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0490" windowHeight="6570"/>
  </bookViews>
  <sheets>
    <sheet name="Unified_Spec" sheetId="1" r:id="rId1"/>
    <sheet name="README" sheetId="2" r:id="rId2"/>
    <sheet name="Brand_Profile" sheetId="3" r:id="rId3"/>
    <sheet name="Campaign_Profile" sheetId="4" r:id="rId4"/>
    <sheet name="Campaign_Match" sheetId="5" r:id="rId5"/>
    <sheet name="Unified_Match" sheetId="6" r:id="rId6"/>
    <sheet name="KOL_Database" sheetId="7" r:id="rId7"/>
    <sheet name="Matching_Engine" sheetId="8" r:id="rId8"/>
    <sheet name="Match_Explanation" sheetId="9" r:id="rId9"/>
    <sheet name="Discovery_Filters" sheetId="10" r:id="rId10"/>
    <sheet name="Discovery_Ranking" sheetId="11" r:id="rId11"/>
    <sheet name="Filter_Logic" sheetId="12" r:id="rId12"/>
    <sheet name="Taxonomy" sheetId="13" r:id="rId13"/>
    <sheet name="Sample_Brands" sheetId="14" r:id="rId14"/>
    <sheet name="Sample_Output" sheetId="15" r:id="rId15"/>
    <sheet name="Lookup_Lists" sheetId="16" r:id="rId16"/>
    <sheet name="CMP_README" sheetId="17" r:id="rId17"/>
    <sheet name="CMP_KOL_Source_Data" sheetId="18" r:id="rId18"/>
    <sheet name="CMP_Brand_Profile" sheetId="19" r:id="rId19"/>
    <sheet name="CMP_Matching_Engine" sheetId="20" r:id="rId20"/>
    <sheet name="CMP_Score_Breakdown" sheetId="21" r:id="rId21"/>
    <sheet name="CMP_Match_Explanation" sheetId="22" r:id="rId22"/>
    <sheet name="CMP_Brand_Comparison" sheetId="23" r:id="rId23"/>
    <sheet name="CMP_Brand_Ranking" sheetId="24" r:id="rId24"/>
    <sheet name="CMP_Top_Matches" sheetId="25" r:id="rId25"/>
    <sheet name="CMP_Hard_vs_Soft_Filter" sheetId="26" r:id="rId26"/>
    <sheet name="CMP_Validation" sheetId="27" r:id="rId27"/>
    <sheet name="CMP_Lookup_Lists" sheetId="28" r:id="rId28"/>
    <sheet name="DIST_README" sheetId="29" r:id="rId29"/>
    <sheet name="DIST_Population" sheetId="30" r:id="rId30"/>
    <sheet name="DIST_Preference_Profiles" sheetId="31" r:id="rId31"/>
    <sheet name="DIST_Absolute_Scores" sheetId="32" r:id="rId32"/>
    <sheet name="DIST_Normalized_Scores" sheetId="33" r:id="rId33"/>
    <sheet name="DIST_Distribution_Summary" sheetId="34" r:id="rId34"/>
    <sheet name="DIST_Histogram_Data" sheetId="35" r:id="rId35"/>
    <sheet name="DIST_Preference_Comparison" sheetId="36" r:id="rId36"/>
    <sheet name="DIST_Validation" sheetId="37" r:id="rId37"/>
    <sheet name="DIST_Histograms" sheetId="38" r:id="rId38"/>
  </sheets>
  <externalReferences>
    <externalReference r:id="rId39"/>
    <externalReference r:id="rId40"/>
    <externalReference r:id="rId41"/>
    <externalReference r:id="rId42"/>
    <externalReference r:id="rId43"/>
    <externalReference r:id="rId44"/>
  </externalReferences>
  <definedNames>
    <definedName name="_xlnm._FilterDatabase" localSheetId="4" hidden="1">Campaign_Match!$A$4:$P$94</definedName>
    <definedName name="_xlnm._FilterDatabase" localSheetId="5" hidden="1">Unified_Match!$A$4:$P$94</definedName>
    <definedName name="_xlnm._FilterDatabase" localSheetId="7" hidden="1">Matching_Engine!$A$5:$BG$95</definedName>
    <definedName name="_xlnm._FilterDatabase" localSheetId="8" hidden="1">Match_Explanation!$A$4:$AC$34</definedName>
    <definedName name="_xlnm._FilterDatabase" localSheetId="10" hidden="1">Discovery_Ranking!$A$6:$W$36</definedName>
    <definedName name="_xlnm._FilterDatabase" localSheetId="14" hidden="1">Sample_Output!$A$4:$Q$34</definedName>
    <definedName name="_xlnm._FilterDatabase" localSheetId="17" hidden="1">CMP_KOL_Source_Data!$A$5:$BY$29</definedName>
    <definedName name="_xlnm._FilterDatabase" localSheetId="19" hidden="1">CMP_Matching_Engine!$A$5:$BG$125</definedName>
    <definedName name="_xlnm._FilterDatabase" localSheetId="20" hidden="1">CMP_Score_Breakdown!$A$5:$R$125</definedName>
    <definedName name="_xlnm._FilterDatabase" localSheetId="21" hidden="1">CMP_Match_Explanation!$A$5:$K$125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<sst xmlns="http://schemas.openxmlformats.org/spreadsheetml/2006/main" count="24687" uniqueCount="8400">
  <si>
    <t>AUTOMETRIC — UNIFIED BRAND × CAMPAIGN MATCH SPEC</t>
  </si>
  <si>
    <t>One model that keeps Brand, Campaign, Content Style, and Creator/Brand Personality explicit. The original Brand Match engine remains intact; Unified Match adds Campaign Fit as a contextual layer.</t>
  </si>
  <si>
    <t>Layer</t>
  </si>
  <si>
    <t>What it answers</t>
  </si>
  <si>
    <t>Included signals</t>
  </si>
  <si>
    <t>Where</t>
  </si>
  <si>
    <t>BRAND</t>
  </si>
  <si>
    <t>Is this creator a fit for the brand itself?</t>
  </si>
  <si>
    <t>Industry, category, keywords, audience, content/category, brand personality, performance, safety</t>
  </si>
  <si>
    <t>Matching_Engine</t>
  </si>
  <si>
    <t>CAMPAIGN</t>
  </si>
  <si>
    <t>Is this creator suitable for this specific activation?</t>
  </si>
  <si>
    <t>Campaign objective, audience, content style, creator personality, communication style, platform</t>
  </si>
  <si>
    <t>Campaign_Profile + Campaign_Match</t>
  </si>
  <si>
    <t>CONTENT STYLE</t>
  </si>
  <si>
    <t>How should the creator make the content?</t>
  </si>
  <si>
    <t>Content Style Match + campaign Content Style</t>
  </si>
  <si>
    <t>Matching_Engine W + Campaign_Profile</t>
  </si>
  <si>
    <t>PERSONALITY</t>
  </si>
  <si>
    <t>Does creator personality fit brand/campaign personality?</t>
  </si>
  <si>
    <t>Brand Personality Fit, creator personality, tone, values, communication style</t>
  </si>
  <si>
    <t>Matching_Engine Y:AB + Campaign_Profile</t>
  </si>
  <si>
    <t>UNIFIED SCORE</t>
  </si>
  <si>
    <t>What is the final contextual fit for this campaign?</t>
  </si>
  <si>
    <t>70% Brand Match + 30% Campaign Fit</t>
  </si>
  <si>
    <t>Unified_Match</t>
  </si>
  <si>
    <t>DEFAULT WEIGHTS</t>
  </si>
  <si>
    <t>Value</t>
  </si>
  <si>
    <t>Notes</t>
  </si>
  <si>
    <t/>
  </si>
  <si>
    <t>Base Brand Match</t>
  </si>
  <si>
    <t>70%</t>
  </si>
  <si>
    <t>Preserves existing Brand Match score and its six component groups.</t>
  </si>
  <si>
    <t>Campaign Fit</t>
  </si>
  <si>
    <t>30%</t>
  </si>
  <si>
    <t>Campaign-specific context; editable in Campaign_Match formula.</t>
  </si>
  <si>
    <t>Campaign Fit internals</t>
  </si>
  <si>
    <t>30% Audience / 30% Style / 25% Personality / 15% Communication Style</t>
  </si>
  <si>
    <t>Objective remains a campaign descriptor and can later become a dedicated signal if backend data supports it.</t>
  </si>
  <si>
    <t>IMPORTANT</t>
  </si>
  <si>
    <t>Style and personality are NOT merged into generic category labels. Brand and campaign remain separate contexts, so the same creator can score differently across brands and campaigns.</t>
  </si>
  <si>
    <t>DATA NOTE</t>
  </si>
  <si>
    <t>VALIDATION TARGET</t>
  </si>
  <si>
    <t>AUTOMETRIC — KOL DISCOVERY BRAND MATCH ENGINE</t>
  </si>
  <si>
    <t>Specification and calculation workbook. Twelve sheets: two of inputs, one engine, seven views, one lookup sheet and this page. Generated by scripts/build-brand-match-workbook.mjs and verified by scripts/verify-brand-match-workbook.mjs.</t>
  </si>
  <si>
    <t>1. PURPOSE</t>
  </si>
  <si>
    <t>This workbook is the source of truth for the Autometric KOL Discovery Brand Match calculation. It is not a mock-up: every score on every sheet is an Excel formula over the values in Brand_Profile and KOL_Database, weighted by the constants on Lookup_Lists. Change an input and the workbook re-answers. Hand it to a backend developer and the formulas are the specification — there is no second document that says what the code should do.</t>
  </si>
  <si>
    <t>It exists because the product needs a Brand Match today and the KOL database cannot supply one: feature.brand_fit_analysis holds 0 rows, which is why four of the eight Smart Preset chips in the running prototype are disabled. The logic has to be agreed and written down before the pipeline is built, not after.</t>
  </si>
  <si>
    <t>2. BRAND_PROFILE — the brand half of the inputs</t>
  </si>
  <si>
    <t>Four sections, matching the Brand Profile &amp; Matching UI: A. Company Profile, B. Target Audience, C. Brand Identification, D. Ideal Creator Profile. A fifth block, E. Matching Configuration, holds the switches that decide which rules act as hard filters.</t>
  </si>
  <si>
    <t>Columns D, E and F are the three brands. Column G is whichever brand cell B4 names, and that is the column the active-brand views (Match_Explanation, Discovery_Ranking) read. Two calculated blocks sit under the fields: a token helper that splits the comma-separated list fields into five addressable slots, and the audience sub-weights, which move weight onto whichever dimension Audience Demographics Priority names.</t>
  </si>
  <si>
    <t>3. KOL_DATABASE — the creator half of the inputs</t>
  </si>
  <si>
    <t>Thirty creators on Instagram and TikTok, in six blocks: identity, performance, audience, content, commercial, safety — plus the exclusion state and the freshness columns Discovery needs. Tier, CPV, CPE, CPM, Estimated Reach, Estimated ROI, View-to-Follower Ratio, Cost Efficiency, Data Completeness and Data Status are calculated from the columns beside them.</t>
  </si>
  <si>
    <t>Several creators are missing a field on purpose — a blank Median Views, a blank rate card, a blank audience city. The real roster is full of holes, the Confidence column exists to report them, and every formula here is written to survive one without printing #DIV/0!.</t>
  </si>
  <si>
    <t>4. THE SIX COMPONENTS</t>
  </si>
  <si>
    <t>Brand &amp; Business Relevance</t>
  </si>
  <si>
    <t>Brand Industry, Product / Service Category, Main Business Keywords, Brand Keywords and Brand Niche against the creator Category, Sub Category, Content Topics and Audience Interests. Industry Match 40%, Category Match 30%, Keyword Match 30% — the last being the two keyword lists scored separately and averaged.</t>
  </si>
  <si>
    <t>Target Audience Relevance</t>
  </si>
  <si>
    <t>Age 25%, Gender 15%, Location 30%, Interest 30% — before Audience Demographics Priority moves 12 points onto one of them and takes a third of that off each of the others.</t>
  </si>
  <si>
    <t>Content &amp; Category Relevance</t>
  </si>
  <si>
    <t>Preferred Category 30%, Preferred Sub Category 20%, Preferred Content Topics 30%, Preferred Content Style 20%.</t>
  </si>
  <si>
    <t>Brand Personality Fit</t>
  </si>
  <si>
    <t>Personality 35%, Tone against Content Style 25%, Values overlap 25%, Communication Style 15%. Related matches count: Innovative is answered by a Tech-savvy or Creative creator, not only by one who calls themselves Innovative.</t>
  </si>
  <si>
    <t>Performance Quality</t>
  </si>
  <si>
    <t>Engagement Rate 35%, Audience Quality 20%, Consistency 20%, Community 10%, Average Views 10%, Recent Growth 5%, each normalised to 0–100 against a calibration target on Lookup_Lists.</t>
  </si>
  <si>
    <t>Brand Safety</t>
  </si>
  <si>
    <t>Brand Safety Score 80%, head-room from Competitor Saturation 20%, multiplied by the Risk Flag discount (High 0.6, Medium 0.85, Low 0.95). Saturation lowers the score; it never excludes on its own.</t>
  </si>
  <si>
    <t>5. WEIGHTING — the master formula</t>
  </si>
  <si>
    <t>FINAL MATCH =  20% Brand &amp; Business  +  30% Target Audience  +  20% Content &amp; Category  +  10% Brand Personality  +  10% Performance  +  10% Brand Safety</t>
  </si>
  <si>
    <t>The six weights live in the COMPONENT WEIGHTS block on Lookup_Lists and nowhere else. The engine divides by their sum rather than by a literal 100, so a workbook whose weights have been edited still produces a 0–100 score; the CHECK_WEIGHT_TOTAL cell beside them says out loud whether they still total 100.</t>
  </si>
  <si>
    <t>6. FORMULA LOGIC — how a comparison becomes a number</t>
  </si>
  <si>
    <t>Category-style comparisons</t>
  </si>
  <si>
    <t>A matrix lookup on Lookup_Lists, on the 100 / 80 / 60 / 40 / 20 ladder: exact, strongly related, partially related, weakly related, unrelated. Five matrices — Industry × Category, Category × Category, Brand Personality × Creator Personality, Brand Tone × Content Style, Communication Style × Content Style, Content Style × Content Style. Every cell is editable, which is what makes a disputed score a conversation about one number rather than about a model.</t>
  </si>
  <si>
    <t>List comparisons</t>
  </si>
  <si>
    <t>Overlap counting. The brand list is split into five slots by the token helper; each slot is looked for in the creator text with SEARCH; the score is matches ÷ slots filled × 100. A brand that names three keywords is judged out of three.</t>
  </si>
  <si>
    <t>Numeric comparisons</t>
  </si>
  <si>
    <t>Normalisation against a target on Lookup_Lists: MIN(100, value ÷ target × 100). Engagement Rate scores 100 at 6%; views per follower at 0.5; 30-day growth at 8%, and 0 at −2%.</t>
  </si>
  <si>
    <t>Missing data</t>
  </si>
  <si>
    <t>A blank input scores the neutral 50 where the brand left a preference blank, and 0 where the creator is missing a measurement — those are different situations and the formulas keep them apart. Nothing ever divides by an unguarded cell.</t>
  </si>
  <si>
    <t>Two inputs that carry no weight</t>
  </si>
  <si>
    <t>Company Description is free text for the brief. Brand Positioning is carried and printed in the Personality Match Reason, but it is deliberately not weighted: the honest thing to weigh a Premium or Luxury positioning against is production quality, and there is no measured production-quality signal on the roster to weigh it against. Inventing one would be the same mistake as the four Smart Preset chips that used to rank by a hash of the creator id. Give it a weight the day a real signal exists.</t>
  </si>
  <si>
    <t>7. HARD FILTERS — remove the creator</t>
  </si>
  <si>
    <t>Platform, Minimum and Maximum Followers, Minimum Engagement Rate, Tier, Minimum Audience Quality, Minimum Brand Safety, Audience Country and Category (both switchable), Max Competitor Saturation, the four exclusion toggles, and Minimum Brand Match. The engine computes the reason first and the verdict from it, so an excluded creator always carries the sentence that explains why. See Filter_Logic.</t>
  </si>
  <si>
    <t>8. SOFT MATCHING — reorder the list</t>
  </si>
  <si>
    <t>Brand Match, Audience Match, Content Relevance, Personality Fit, Performance, Opportunity, Estimated ROI and Competitor Saturation. A low soft score never removes a creator. Competitor Saturation in particular is a warning, not a rejection: it can only exclude through the explicit Max Competitor Saturation setting.</t>
  </si>
  <si>
    <t>9. DISCOVERY RANKING</t>
  </si>
  <si>
    <t>Default order is Brand Match, then Audience Match, then Content Relevance, then Performance, then Brand Safety, encoded as one Default Sort Key so the tie-break order is inspectable. Thirty presets are defined on Lookup_Lists; the picker on Discovery_Ranking reads the metric column each one names. The "Available today" column tells you which of them the KOL database can actually answer — the prototype ships four of its eight chips disabled for exactly this reason.</t>
  </si>
  <si>
    <t>10. MATCH EXPLANATION</t>
  </si>
  <si>
    <t>Generated, not written. The three strengths are the three highest components and the three considerations the three lowest, read with LARGE and SMALL over the same cells the score came from, so an explanation cannot drift away from the number it explains. Each component also carries its own reason line naming its sub-scores.</t>
  </si>
  <si>
    <t>11. SAMPLE BRANDS AND SAMPLE OUTPUT</t>
  </si>
  <si>
    <t>Three briefs — Technology / SaaS, Beauty &amp; Skincare, Food &amp; Beverage — run against one roster of thirty. Sample_Output puts the three scores for each creator side by side and reports the spread. If the engine were ranking creators globally rather than matching brand to creator, that spread would be zero on every row; the verdict cell says whether it is.</t>
  </si>
  <si>
    <t>12. TAXONOMY — the tree everything classifies against</t>
  </si>
  <si>
    <t>One sheet, because the whole point is that the four things are one object: a creator sub category, a brand niche, a raw kol_categories row and a matching keyword are four views of a single tree. Lookup_Lists derives its Category, Sub Category, Industry and Niche dropdowns from it, so no list in this workbook can drift from another.</t>
  </si>
  <si>
    <t>Three axes</t>
  </si>
  <si>
    <t>A label answers one question — what the creator makes, who watches, or how it is shot. public.kol_categories mixes all three: "Moms" is an audience and "Gen Z" is an age band, both sitting in a content column. Only the content axis may feed the Category and Sub Category ladders; the audience axis already has its own 30% of the score.</t>
  </si>
  <si>
    <t>The crosswalk</t>
  </si>
  <si>
    <t>Brand Niche is collected on Brand_Profile and read by no formula in the engine. Section E is what would give it weight: it names the sub categories each niche is actually asking for, over a default that comes from matrix 5 rather than from nowhere. The derived value is printed beside every override so an override reads as an override.</t>
  </si>
  <si>
    <t>What it is for</t>
  </si>
  <si>
    <t>Category covers 54,1% of the roster, Sub Category has no column at all, and Content Topic has none of its 0 rows filled. Section F is the alias table the backend plan is waiting on, and section G is how the 3.547 creators with no category get one — including the rule that a modelled category may rank but must never act as a hard filter.</t>
  </si>
  <si>
    <t>13. FOR THE BACKEND — translating this into code</t>
  </si>
  <si>
    <t>Shape</t>
  </si>
  <si>
    <t>One pure function: score(brand, creator) → { components, subScores, final, level, confidence, reasons, exclusion }. No I/O, no database access, deterministic. The Field Key column on Brand_Profile is the payload shape; the KOL_Database headers are the creator shape.</t>
  </si>
  <si>
    <t>Where the constants live</t>
  </si>
  <si>
    <t>Load the Lookup_Lists blocks — weights, matrices, calibration, bands — from configuration, not from constants in the source. They are meant to be tuned by whoever owns the matching quality, and a redeploy is the wrong unit of change.</t>
  </si>
  <si>
    <t>Order of operations</t>
  </si>
  <si>
    <t>Compute all six components, then the Final Match Score, then evaluate the hard filters (Minimum Brand Match needs the score), then rank. Never fold a hard filter into the SQL when it rests on a computed value — the roster pages server-side, and filtering the page you already fetched gives a result count that means nothing.</t>
  </si>
  <si>
    <t>Provenance</t>
  </si>
  <si>
    <t>Carry a per-field basis flag the way @/lib/discover/creatorMatch does with SignalBasis. A score built from modelled inputs is useful for ranking and must never be presented as a measurement, and it must never be used as a hard filter.</t>
  </si>
  <si>
    <t>What to build first</t>
  </si>
  <si>
    <t>The columns the KOL database cannot answer today are listed with their coverage on Discovery_Filters. The short list: populate feature.brand_fit_analysis; fill audience_demographics_daily with audience_type='age'; widen feature.{ig,tt}_audience_analysis past 23 creators; fill creator_city; populate l1_silver.unified_rate_card. Until then, a filter that rests on one of those must ship disabled with its reason shown, not silently returning nothing.</t>
  </si>
  <si>
    <t>BRAND PROFILE  ·  Company Profile · Target Audience · Brand Identification · Ideal Creator Profile</t>
  </si>
  <si>
    <t>The inputs. Columns D–F are the three brands, each cell typed by hand or picked from a dropdown; column G is whichever brand cell B4 names, and that is the column the engine reads for every active-brand view. Nothing on this sheet is calculated from a creator — it is what the brand says about itself before it has seen the roster.</t>
  </si>
  <si>
    <t>Active Brand →</t>
  </si>
  <si>
    <t>BRAND-A</t>
  </si>
  <si>
    <t>active column →</t>
  </si>
  <si>
    <t>Section</t>
  </si>
  <si>
    <t>Field</t>
  </si>
  <si>
    <t>Field Key</t>
  </si>
  <si>
    <t>BRAND-B</t>
  </si>
  <si>
    <t>BRAND-C</t>
  </si>
  <si>
    <t>Active Value</t>
  </si>
  <si>
    <t>Input type / allowed values</t>
  </si>
  <si>
    <t>A. COMPANY PROFILE</t>
  </si>
  <si>
    <t>COMPANY PROFILE</t>
  </si>
  <si>
    <t>Brand ID</t>
  </si>
  <si>
    <t>brand_id</t>
  </si>
  <si>
    <t>Free text</t>
  </si>
  <si>
    <t>Brand Name</t>
  </si>
  <si>
    <t>brand_name</t>
  </si>
  <si>
    <t>Nusatech Cloud</t>
  </si>
  <si>
    <t>Lumaya Skin</t>
  </si>
  <si>
    <t>Rasa Nusantara</t>
  </si>
  <si>
    <t>Industry</t>
  </si>
  <si>
    <t>industry</t>
  </si>
  <si>
    <t>Technology / SaaS</t>
  </si>
  <si>
    <t>Beauty &amp; Skincare</t>
  </si>
  <si>
    <t>Food &amp; Beverage</t>
  </si>
  <si>
    <t>Dropdown — Lookup_Lists.Industry</t>
  </si>
  <si>
    <t>Company Description</t>
  </si>
  <si>
    <t>company_description</t>
  </si>
  <si>
    <t>Workflow automation and team collaboration for Indonesian SMEs.</t>
  </si>
  <si>
    <t>Dermatologist-tested skincare for humid-climate skin barriers.</t>
  </si>
  <si>
    <t>Ready-to-drink archipelago flavours for everyday family tables.</t>
  </si>
  <si>
    <t>Product / Service Category</t>
  </si>
  <si>
    <t>product_category</t>
  </si>
  <si>
    <t>Software &amp; SaaS</t>
  </si>
  <si>
    <t>Skincare</t>
  </si>
  <si>
    <t>Coffee &amp; Beverage</t>
  </si>
  <si>
    <t>Dropdown — Lookup_Lists.SubCategory</t>
  </si>
  <si>
    <t>Main Business Keywords</t>
  </si>
  <si>
    <t>business_keywords</t>
  </si>
  <si>
    <t>Technology, Productivity, Business, Education, Finance</t>
  </si>
  <si>
    <t>Skincare, Beauty, Makeup, Health, Shopping</t>
  </si>
  <si>
    <t>Food, Cooking, Coffee, Shopping, Entertainment</t>
  </si>
  <si>
    <t>Up to 5 items, comma-separated</t>
  </si>
  <si>
    <t>Brand Niche</t>
  </si>
  <si>
    <t>brand_niche</t>
  </si>
  <si>
    <t>B2B SaaS</t>
  </si>
  <si>
    <t>Derma Skincare</t>
  </si>
  <si>
    <t>Ready-to-Drink</t>
  </si>
  <si>
    <t>Dropdown — Lookup_Lists.Niche</t>
  </si>
  <si>
    <t>B. TARGET AUDIENCE</t>
  </si>
  <si>
    <t>TARGET AUDIENCE</t>
  </si>
  <si>
    <t>Primary Age Range</t>
  </si>
  <si>
    <t>primary_age_range</t>
  </si>
  <si>
    <t>25-34</t>
  </si>
  <si>
    <t>18-24</t>
  </si>
  <si>
    <t>Dropdown — Lookup_Lists.AgeBand</t>
  </si>
  <si>
    <t>Secondary Age Range</t>
  </si>
  <si>
    <t>secondary_age_range</t>
  </si>
  <si>
    <t>35-44</t>
  </si>
  <si>
    <t>Gender Majority</t>
  </si>
  <si>
    <t>gender_majority</t>
  </si>
  <si>
    <t>Any</t>
  </si>
  <si>
    <t>Female</t>
  </si>
  <si>
    <t>Balanced</t>
  </si>
  <si>
    <t>Dropdown — Lookup_Lists.GenderMajority</t>
  </si>
  <si>
    <t>Target Country</t>
  </si>
  <si>
    <t>target_country</t>
  </si>
  <si>
    <t>Indonesia</t>
  </si>
  <si>
    <t>Dropdown — Lookup_Lists.Country</t>
  </si>
  <si>
    <t>Target Region / Province</t>
  </si>
  <si>
    <t>target_region</t>
  </si>
  <si>
    <t>DKI Jakarta</t>
  </si>
  <si>
    <t>Nasional</t>
  </si>
  <si>
    <t>Dropdown — Lookup_Lists.Region</t>
  </si>
  <si>
    <t>Target City</t>
  </si>
  <si>
    <t>target_city</t>
  </si>
  <si>
    <t>Jakarta</t>
  </si>
  <si>
    <t>Dropdown — Lookup_Lists.City</t>
  </si>
  <si>
    <t>Audience Interests</t>
  </si>
  <si>
    <t>audience_interests</t>
  </si>
  <si>
    <t>Technology, Business, Productivity, Education, Finance</t>
  </si>
  <si>
    <t>Skincare, Beauty, Makeup, Fashion, Shopping</t>
  </si>
  <si>
    <t>Food, Cooking, Coffee, Travel, Entertainment</t>
  </si>
  <si>
    <t>Audience Demographics Priority</t>
  </si>
  <si>
    <t>audience_priority</t>
  </si>
  <si>
    <t>Interest</t>
  </si>
  <si>
    <t>Gender</t>
  </si>
  <si>
    <t>Age</t>
  </si>
  <si>
    <t>Dropdown — Lookup_Lists.AudiencePriority</t>
  </si>
  <si>
    <t>C. BRAND IDENTIFICATION</t>
  </si>
  <si>
    <t>BRAND IDENTIFICATION</t>
  </si>
  <si>
    <t>Brand Personality</t>
  </si>
  <si>
    <t>brand_personality</t>
  </si>
  <si>
    <t>Innovative</t>
  </si>
  <si>
    <t>Premium</t>
  </si>
  <si>
    <t>Friendly</t>
  </si>
  <si>
    <t>Dropdown — Lookup_Lists.BrandPersonality</t>
  </si>
  <si>
    <t>Brand Values</t>
  </si>
  <si>
    <t>brand_values</t>
  </si>
  <si>
    <t>Innovation, Trust, Transparency, Quality, Empowerment</t>
  </si>
  <si>
    <t>Quality, Authenticity, Trust, Craftsmanship, Health</t>
  </si>
  <si>
    <t>Fun, Community, Affordability, Authenticity, Family</t>
  </si>
  <si>
    <t>Brand Tone</t>
  </si>
  <si>
    <t>brand_tone</t>
  </si>
  <si>
    <t>Informative</t>
  </si>
  <si>
    <t>Aspirational</t>
  </si>
  <si>
    <t>Warm</t>
  </si>
  <si>
    <t>Dropdown — Lookup_Lists.BrandTone</t>
  </si>
  <si>
    <t>Brand Positioning</t>
  </si>
  <si>
    <t>brand_positioning</t>
  </si>
  <si>
    <t>Mid-market</t>
  </si>
  <si>
    <t>Mass</t>
  </si>
  <si>
    <t>Dropdown — Lookup_Lists.Positioning</t>
  </si>
  <si>
    <t>Brand Keywords</t>
  </si>
  <si>
    <t>brand_keywords</t>
  </si>
  <si>
    <t>Skincare, Beauty, Health, Makeup, Shopping</t>
  </si>
  <si>
    <t>Food, Cooking, Coffee, Entertainment, Shopping</t>
  </si>
  <si>
    <t>Communication Style</t>
  </si>
  <si>
    <t>communication_style</t>
  </si>
  <si>
    <t>Educational</t>
  </si>
  <si>
    <t>Visual-first</t>
  </si>
  <si>
    <t>Storytelling</t>
  </si>
  <si>
    <t>Dropdown — Lookup_Lists.CommStyle</t>
  </si>
  <si>
    <t>D. IDEAL CREATOR PROFILE</t>
  </si>
  <si>
    <t>IDEAL CREATOR PROFILE</t>
  </si>
  <si>
    <t>Preferred Platform</t>
  </si>
  <si>
    <t>preferred_platform</t>
  </si>
  <si>
    <t>Instagram, TikTok</t>
  </si>
  <si>
    <t>One or more of the Platform list, comma-separated</t>
  </si>
  <si>
    <t>Preferred Category</t>
  </si>
  <si>
    <t>preferred_category</t>
  </si>
  <si>
    <t>Tech</t>
  </si>
  <si>
    <t>Beauty</t>
  </si>
  <si>
    <t>Food</t>
  </si>
  <si>
    <t>Dropdown — Lookup_Lists.Category</t>
  </si>
  <si>
    <t>Preferred Sub Category</t>
  </si>
  <si>
    <t>preferred_subcategory</t>
  </si>
  <si>
    <t>Culinary Review</t>
  </si>
  <si>
    <t>Preferred Tier</t>
  </si>
  <si>
    <t>preferred_tier</t>
  </si>
  <si>
    <t>Micro, Mid-tier, Macro</t>
  </si>
  <si>
    <t>Micro, Mid-tier</t>
  </si>
  <si>
    <t>Nano, Micro, Mid-tier</t>
  </si>
  <si>
    <t>One or more of the Tier list, comma-separated</t>
  </si>
  <si>
    <t>Preferred Follower Range — Min</t>
  </si>
  <si>
    <t>preferred_followers_min</t>
  </si>
  <si>
    <t>Whole number</t>
  </si>
  <si>
    <t>Preferred Follower Range — Max</t>
  </si>
  <si>
    <t>preferred_followers_max</t>
  </si>
  <si>
    <t>Minimum Engagement Rate (%)</t>
  </si>
  <si>
    <t>min_engagement_rate</t>
  </si>
  <si>
    <t>Percent, e.g. 3.5 means 3,5%</t>
  </si>
  <si>
    <t>Preferred Content Style</t>
  </si>
  <si>
    <t>preferred_content_style</t>
  </si>
  <si>
    <t>Review</t>
  </si>
  <si>
    <t>Dropdown — Lookup_Lists.ContentStyle</t>
  </si>
  <si>
    <t>Preferred Content Topics</t>
  </si>
  <si>
    <t>preferred_content_topics</t>
  </si>
  <si>
    <t>Technology, Business, Education, Productivity, Finance</t>
  </si>
  <si>
    <t>Food, Cooking, Coffee, Entertainment, Travel</t>
  </si>
  <si>
    <t>Preferred Creator Personality</t>
  </si>
  <si>
    <t>preferred_creator_personality</t>
  </si>
  <si>
    <t>Reviewer</t>
  </si>
  <si>
    <t>Relatable</t>
  </si>
  <si>
    <t>Dropdown — Lookup_Lists.CreatorPersonality</t>
  </si>
  <si>
    <t>Preferred Creator Values</t>
  </si>
  <si>
    <t>preferred_creator_values</t>
  </si>
  <si>
    <t>Innovation, Trust, Quality, Transparency, Empowerment</t>
  </si>
  <si>
    <t>Authenticity, Quality, Trust, Health, Craftsmanship</t>
  </si>
  <si>
    <t>Fun, Community, Authenticity, Family, Affordability</t>
  </si>
  <si>
    <t>Minimum Audience Quality</t>
  </si>
  <si>
    <t>min_audience_quality</t>
  </si>
  <si>
    <t>0–100 (0 turns the rule off)</t>
  </si>
  <si>
    <t>Minimum Brand Safety</t>
  </si>
  <si>
    <t>min_brand_safety</t>
  </si>
  <si>
    <t>E. MATCHING CONFIGURATION</t>
  </si>
  <si>
    <t>MATCHING CONFIGURATION</t>
  </si>
  <si>
    <t>Category is a Hard Filter</t>
  </si>
  <si>
    <t>category_hard_filter</t>
  </si>
  <si>
    <t>No</t>
  </si>
  <si>
    <t>Dropdown — Lookup_Lists.YesNo</t>
  </si>
  <si>
    <t>Audience Country is a Hard Filter</t>
  </si>
  <si>
    <t>country_hard_filter</t>
  </si>
  <si>
    <t>Yes</t>
  </si>
  <si>
    <t>Max Competitor Saturation (0 = off)</t>
  </si>
  <si>
    <t>max_competitor_saturation</t>
  </si>
  <si>
    <t>Minimum Brand Match (0 = off)</t>
  </si>
  <si>
    <t>min_brand_match</t>
  </si>
  <si>
    <t>Exclude Already Selected</t>
  </si>
  <si>
    <t>exclude_already_selected</t>
  </si>
  <si>
    <t>Exclude Already in Cart</t>
  </si>
  <si>
    <t>exclude_in_cart</t>
  </si>
  <si>
    <t>Exclude Existing Partner</t>
  </si>
  <si>
    <t>exclude_existing_partner</t>
  </si>
  <si>
    <t>Exclude Excluded Creator</t>
  </si>
  <si>
    <t>exclude_excluded_creator</t>
  </si>
  <si>
    <t>TOKEN HELPER (calculated)  ·  the comma-separated list fields split into five slots, so overlap can be counted with plain formulas rather than an array</t>
  </si>
  <si>
    <t>List field</t>
  </si>
  <si>
    <t>Slot</t>
  </si>
  <si>
    <t>Key</t>
  </si>
  <si>
    <t>How it is built</t>
  </si>
  <si>
    <t>slot 1</t>
  </si>
  <si>
    <t>business_keywords_1</t>
  </si>
  <si>
    <t>TRIM(MID(SUBSTITUTE(list, ",", REPT(" ",120)), (slot-1)*120+1, 120)) — the standard non-array split. Empty slots come back as "".</t>
  </si>
  <si>
    <t>slot 2</t>
  </si>
  <si>
    <t>business_keywords_2</t>
  </si>
  <si>
    <t>slot 3</t>
  </si>
  <si>
    <t>business_keywords_3</t>
  </si>
  <si>
    <t>slot 4</t>
  </si>
  <si>
    <t>business_keywords_4</t>
  </si>
  <si>
    <t>slot 5</t>
  </si>
  <si>
    <t>business_keywords_5</t>
  </si>
  <si>
    <t>count</t>
  </si>
  <si>
    <t>business_keywords_count</t>
  </si>
  <si>
    <t>Denominator for the overlap score. A brand that names three keywords is judged out of three, not out of five.</t>
  </si>
  <si>
    <t>audience_interests_1</t>
  </si>
  <si>
    <t>audience_interests_2</t>
  </si>
  <si>
    <t>audience_interests_3</t>
  </si>
  <si>
    <t>audience_interests_4</t>
  </si>
  <si>
    <t>audience_interests_5</t>
  </si>
  <si>
    <t>audience_interests_count</t>
  </si>
  <si>
    <t>brand_keywords_1</t>
  </si>
  <si>
    <t>brand_keywords_2</t>
  </si>
  <si>
    <t>brand_keywords_3</t>
  </si>
  <si>
    <t>brand_keywords_4</t>
  </si>
  <si>
    <t>brand_keywords_5</t>
  </si>
  <si>
    <t>brand_keywords_count</t>
  </si>
  <si>
    <t>brand_values_1</t>
  </si>
  <si>
    <t>brand_values_2</t>
  </si>
  <si>
    <t>brand_values_3</t>
  </si>
  <si>
    <t>brand_values_4</t>
  </si>
  <si>
    <t>brand_values_5</t>
  </si>
  <si>
    <t>brand_values_count</t>
  </si>
  <si>
    <t>preferred_content_topics_1</t>
  </si>
  <si>
    <t>preferred_content_topics_2</t>
  </si>
  <si>
    <t>preferred_content_topics_3</t>
  </si>
  <si>
    <t>preferred_content_topics_4</t>
  </si>
  <si>
    <t>preferred_content_topics_5</t>
  </si>
  <si>
    <t>preferred_content_topics_count</t>
  </si>
  <si>
    <t>preferred_creator_values_1</t>
  </si>
  <si>
    <t>preferred_creator_values_2</t>
  </si>
  <si>
    <t>preferred_creator_values_3</t>
  </si>
  <si>
    <t>preferred_creator_values_4</t>
  </si>
  <si>
    <t>preferred_creator_values_5</t>
  </si>
  <si>
    <t>preferred_creator_values_count</t>
  </si>
  <si>
    <t>AUDIENCE SUB-WEIGHTS (calculated)  ·  Audience Demographics Priority moves weight onto one dimension and takes a third of the bonus off each of the others</t>
  </si>
  <si>
    <t>Dimension</t>
  </si>
  <si>
    <t>Base weight</t>
  </si>
  <si>
    <t>Rule</t>
  </si>
  <si>
    <t>Age Match</t>
  </si>
  <si>
    <t>w_age</t>
  </si>
  <si>
    <t>base + bonus when priority = Age, base − bonus/3 otherwise</t>
  </si>
  <si>
    <t>Gender Match</t>
  </si>
  <si>
    <t>w_gender</t>
  </si>
  <si>
    <t>base + bonus when priority = Gender, base − bonus/3 otherwise</t>
  </si>
  <si>
    <t>Location Match</t>
  </si>
  <si>
    <t>w_location</t>
  </si>
  <si>
    <t>base + bonus when priority = Location, base − bonus/3 otherwise</t>
  </si>
  <si>
    <t>Interest Match</t>
  </si>
  <si>
    <t>w_interest</t>
  </si>
  <si>
    <t>base + bonus when priority = Interest, base − bonus/3 otherwise</t>
  </si>
  <si>
    <t>CAMPAIGN PROFILE · campaign is a context layer on top of Brand Match</t>
  </si>
  <si>
    <t>Brand defines the long-term identity; Campaign defines the specific activation. Style and personality remain explicit inputs, while Campaign Fit captures objective-specific requirements.</t>
  </si>
  <si>
    <t>Campaign A</t>
  </si>
  <si>
    <t>Campaign B</t>
  </si>
  <si>
    <t>Campaign C</t>
  </si>
  <si>
    <t>Campaign ID</t>
  </si>
  <si>
    <t>CAMP-A</t>
  </si>
  <si>
    <t>CAMP-B</t>
  </si>
  <si>
    <t>CAMP-C</t>
  </si>
  <si>
    <t>Campaign Name</t>
  </si>
  <si>
    <t>Tech Productivity Launch</t>
  </si>
  <si>
    <t>Glow Up Routine</t>
  </si>
  <si>
    <t>Everyday Meal Moment</t>
  </si>
  <si>
    <t>Objective</t>
  </si>
  <si>
    <t>Awareness</t>
  </si>
  <si>
    <t>Engagement</t>
  </si>
  <si>
    <t>Conversion</t>
  </si>
  <si>
    <t>Platform</t>
  </si>
  <si>
    <t>Instagram</t>
  </si>
  <si>
    <t>TikTok</t>
  </si>
  <si>
    <t>Target Age</t>
  </si>
  <si>
    <t>Campaign Category</t>
  </si>
  <si>
    <t>Key Topics</t>
  </si>
  <si>
    <t>Technology, Productivity, Business</t>
  </si>
  <si>
    <t>Skincare, Beauty, Makeup</t>
  </si>
  <si>
    <t>Food, Lifestyle, Cooking</t>
  </si>
  <si>
    <t>Content Style</t>
  </si>
  <si>
    <t>Tutorial</t>
  </si>
  <si>
    <t>Creator Personality</t>
  </si>
  <si>
    <t>Creative</t>
  </si>
  <si>
    <t>Campaign Tone</t>
  </si>
  <si>
    <t>Demonstrative</t>
  </si>
  <si>
    <t>CTA</t>
  </si>
  <si>
    <t>Learn More</t>
  </si>
  <si>
    <t>Try Now</t>
  </si>
  <si>
    <t>Order Now</t>
  </si>
  <si>
    <t>Campaign Type</t>
  </si>
  <si>
    <t>Product Launch</t>
  </si>
  <si>
    <t>Engagement Challenge</t>
  </si>
  <si>
    <t>Conversion Campaign</t>
  </si>
  <si>
    <t>EDITABLE DEFAULT: Campaign Weight in Unified_Match = 30%; Base Brand Match = 70%.</t>
  </si>
  <si>
    <t>KOL ID</t>
  </si>
  <si>
    <t>Creator</t>
  </si>
  <si>
    <t>Category</t>
  </si>
  <si>
    <t>Brand Match</t>
  </si>
  <si>
    <t>Audience Fit</t>
  </si>
  <si>
    <t>Style Fit</t>
  </si>
  <si>
    <t>Personality Fit</t>
  </si>
  <si>
    <t>Tone Fit</t>
  </si>
  <si>
    <t>Comm. Style Fit</t>
  </si>
  <si>
    <t>Unified Match</t>
  </si>
  <si>
    <t>Match Level</t>
  </si>
  <si>
    <t>Campaign Reason</t>
  </si>
  <si>
    <t>Campaign</t>
  </si>
  <si>
    <t>Brand Match (70%)</t>
  </si>
  <si>
    <t>Campaign Fit (30%)</t>
  </si>
  <si>
    <t>Brand Style Fit</t>
  </si>
  <si>
    <t>Campaign Style Fit</t>
  </si>
  <si>
    <t>Campaign Personality Fit</t>
  </si>
  <si>
    <t>Campaign Objective</t>
  </si>
  <si>
    <t>KOL DATABASE  ·  30 creators, Instagram and TikTok</t>
  </si>
  <si>
    <t>The other half of the inputs. Identity, performance, audience, content, commercial and safety — the same six blocks the creator workspace shows. Tier, CPV, CPE, CPM, Estimated Reach, Estimated ROI, View-to-Follower Ratio, Cost Efficiency, Data Completeness and Data Status are calculated from the columns beside them, so they cannot disagree with their own inputs. Several creators are deliberately missing a field: the real roster is full of holes and every formula here has to survive one.</t>
  </si>
  <si>
    <t>IDENTITY</t>
  </si>
  <si>
    <t>PERFORMANCE</t>
  </si>
  <si>
    <t>AUDIENCE</t>
  </si>
  <si>
    <t>CONTENT</t>
  </si>
  <si>
    <t>COMMERCIAL</t>
  </si>
  <si>
    <t>SAFETY</t>
  </si>
  <si>
    <t>EXCLUSION STATE</t>
  </si>
  <si>
    <t>FRESHNESS</t>
  </si>
  <si>
    <t>DERIVED</t>
  </si>
  <si>
    <t>Creator Name</t>
  </si>
  <si>
    <t>Handle</t>
  </si>
  <si>
    <t>Sub Category</t>
  </si>
  <si>
    <t>Tier</t>
  </si>
  <si>
    <t>Verified</t>
  </si>
  <si>
    <t>Creator City</t>
  </si>
  <si>
    <t>Followers</t>
  </si>
  <si>
    <t>Engagement Rate (%)</t>
  </si>
  <si>
    <t>Average Views</t>
  </si>
  <si>
    <t>Median Views</t>
  </si>
  <si>
    <t>30D Growth (%)</t>
  </si>
  <si>
    <t>90D Growth (%)</t>
  </si>
  <si>
    <t>Consistency Score</t>
  </si>
  <si>
    <t>Community Score</t>
  </si>
  <si>
    <t>Audience Quality</t>
  </si>
  <si>
    <t>Audience Authenticity</t>
  </si>
  <si>
    <t>Share Rate (%)</t>
  </si>
  <si>
    <t>Save Rate (%)</t>
  </si>
  <si>
    <t>Recent Performance</t>
  </si>
  <si>
    <t>Audience Age 13–17 %</t>
  </si>
  <si>
    <t>Audience Age 18–24 %</t>
  </si>
  <si>
    <t>Audience Age 25–34 %</t>
  </si>
  <si>
    <t>Audience Age 35–44 %</t>
  </si>
  <si>
    <t>Audience Age 45+ %</t>
  </si>
  <si>
    <t>Female %</t>
  </si>
  <si>
    <t>Male %</t>
  </si>
  <si>
    <t>Audience Country</t>
  </si>
  <si>
    <t>Audience Region</t>
  </si>
  <si>
    <t>Audience City</t>
  </si>
  <si>
    <t>Purchase Intent</t>
  </si>
  <si>
    <t>Content Topics</t>
  </si>
  <si>
    <t>Creator Values</t>
  </si>
  <si>
    <t>Content Quality</t>
  </si>
  <si>
    <t>Rate Card (IDR)</t>
  </si>
  <si>
    <t>CPV</t>
  </si>
  <si>
    <t>CPE</t>
  </si>
  <si>
    <t>CPM</t>
  </si>
  <si>
    <t>Estimated Reach</t>
  </si>
  <si>
    <t>Estimated ROI</t>
  </si>
  <si>
    <t>Brand Safety Score</t>
  </si>
  <si>
    <t>Competitor Saturation</t>
  </si>
  <si>
    <t>Risk Flag</t>
  </si>
  <si>
    <t>Already Selected</t>
  </si>
  <si>
    <t>In Cart</t>
  </si>
  <si>
    <t>Existing Partner</t>
  </si>
  <si>
    <t>Excluded Creator</t>
  </si>
  <si>
    <t>Added Date</t>
  </si>
  <si>
    <t>Last Updated</t>
  </si>
  <si>
    <t>View-to-Follower Ratio</t>
  </si>
  <si>
    <t>Cost Efficiency</t>
  </si>
  <si>
    <t>Data Completeness %</t>
  </si>
  <si>
    <t>Data Status</t>
  </si>
  <si>
    <t>KOL-01</t>
  </si>
  <si>
    <t>Ardi Nugraha</t>
  </si>
  <si>
    <t>@ardidigital</t>
  </si>
  <si>
    <t>Gadget Review</t>
  </si>
  <si>
    <t>Technology, Productivity, Business, Gaming, Shopping</t>
  </si>
  <si>
    <t>High</t>
  </si>
  <si>
    <t>Quality, Trust, Innovation, Transparency</t>
  </si>
  <si>
    <t>None</t>
  </si>
  <si>
    <t>KOL-02</t>
  </si>
  <si>
    <t>Rifqi Pratama</t>
  </si>
  <si>
    <t>@rifqi.codes</t>
  </si>
  <si>
    <t>Bandung</t>
  </si>
  <si>
    <t>Jawa Barat</t>
  </si>
  <si>
    <t>Technology, Productivity, Education, Business, Finance</t>
  </si>
  <si>
    <t>Medium</t>
  </si>
  <si>
    <t>Technology, Productivity, Education, Business</t>
  </si>
  <si>
    <t>Innovation, Empowerment, Transparency, Quality</t>
  </si>
  <si>
    <t>KOL-03</t>
  </si>
  <si>
    <t>Salsa Aulia</t>
  </si>
  <si>
    <t>@salsabeautydiary</t>
  </si>
  <si>
    <t>Skincare, Beauty, Makeup, Shopping, Health</t>
  </si>
  <si>
    <t>Skincare, Beauty, Health</t>
  </si>
  <si>
    <t>Authenticity, Quality, Trust, Health</t>
  </si>
  <si>
    <t>KOL-04</t>
  </si>
  <si>
    <t>Nadia Puspa</t>
  </si>
  <si>
    <t>@nadiaglowup</t>
  </si>
  <si>
    <t>Makeup</t>
  </si>
  <si>
    <t>Surabaya</t>
  </si>
  <si>
    <t>Jawa Timur</t>
  </si>
  <si>
    <t>Makeup, Beauty, Fashion, Shopping, Entertainment</t>
  </si>
  <si>
    <t>Makeup, Beauty, Fashion</t>
  </si>
  <si>
    <t>Fun, Authenticity, Quality, Empowerment</t>
  </si>
  <si>
    <t>KOL-05</t>
  </si>
  <si>
    <t>Bimo Saputra</t>
  </si>
  <si>
    <t>@bimomakan</t>
  </si>
  <si>
    <t>Food, Cooking, Travel, Shopping, Entertainment</t>
  </si>
  <si>
    <t>Food, Cooking, Travel</t>
  </si>
  <si>
    <t>Fun, Authenticity, Community, Affordability</t>
  </si>
  <si>
    <t>Low</t>
  </si>
  <si>
    <t>KOL-06</t>
  </si>
  <si>
    <t>Ayu Lestari</t>
  </si>
  <si>
    <t>@dapurayu</t>
  </si>
  <si>
    <t>Home Cooking</t>
  </si>
  <si>
    <t>Yogyakarta</t>
  </si>
  <si>
    <t>Cooking, Food, Parenting, Home Decor, Health</t>
  </si>
  <si>
    <t>Cooking, Food, Parenting</t>
  </si>
  <si>
    <t>Family, Community, Quality, Affordability</t>
  </si>
  <si>
    <t>KOL-07</t>
  </si>
  <si>
    <t>Fajar Ramadhan</t>
  </si>
  <si>
    <t>@fajarfinance</t>
  </si>
  <si>
    <t>Finance</t>
  </si>
  <si>
    <t>Personal Finance</t>
  </si>
  <si>
    <t>Finance, Business, Education, Technology, Productivity</t>
  </si>
  <si>
    <t>Finance, Business, Education</t>
  </si>
  <si>
    <t>Professional</t>
  </si>
  <si>
    <t>Trust, Transparency, Empowerment, Quality</t>
  </si>
  <si>
    <t>KOL-08</t>
  </si>
  <si>
    <t>Tania Wijaya</t>
  </si>
  <si>
    <t>@taniainvest</t>
  </si>
  <si>
    <t>Investing</t>
  </si>
  <si>
    <t>Finance, Business, Education, Productivity, Shopping</t>
  </si>
  <si>
    <t>Finance, Business, Productivity</t>
  </si>
  <si>
    <t>Empowerment, Transparency, Trust, Innovation</t>
  </si>
  <si>
    <t>KOL-09</t>
  </si>
  <si>
    <t>Gilang Prakoso</t>
  </si>
  <si>
    <t>@gilangbelajar</t>
  </si>
  <si>
    <t>Education</t>
  </si>
  <si>
    <t>Study Tips</t>
  </si>
  <si>
    <t>Semarang</t>
  </si>
  <si>
    <t>Jawa Tengah</t>
  </si>
  <si>
    <t>Education, Productivity, Technology, Entertainment, Business</t>
  </si>
  <si>
    <t>Education, Productivity, Technology</t>
  </si>
  <si>
    <t>Empowerment, Community, Trust, Innovation</t>
  </si>
  <si>
    <t>KOL-10</t>
  </si>
  <si>
    <t>Mira Handayani</t>
  </si>
  <si>
    <t>@mirabahasa</t>
  </si>
  <si>
    <t>Language</t>
  </si>
  <si>
    <t>Education, Travel, Productivity, Entertainment, Technology</t>
  </si>
  <si>
    <t>Education, Travel, Productivity</t>
  </si>
  <si>
    <t>Empowerment, Quality, Community, Trust</t>
  </si>
  <si>
    <t>KOL-11</t>
  </si>
  <si>
    <t>Dimas Anggara</t>
  </si>
  <si>
    <t>@dimasfit</t>
  </si>
  <si>
    <t>Fitness</t>
  </si>
  <si>
    <t>Gym &amp; Strength</t>
  </si>
  <si>
    <t>Fitness, Health, Food, Fashion, Shopping</t>
  </si>
  <si>
    <t>Fitness, Health, Food</t>
  </si>
  <si>
    <t>Demo</t>
  </si>
  <si>
    <t>Performance, Health, Quality, Trust</t>
  </si>
  <si>
    <t>KOL-12</t>
  </si>
  <si>
    <t>Rani Kusuma</t>
  </si>
  <si>
    <t>@ranihomeworkout</t>
  </si>
  <si>
    <t>Home Workout</t>
  </si>
  <si>
    <t>Tangerang</t>
  </si>
  <si>
    <t>Banten</t>
  </si>
  <si>
    <t>Fitness, Health, Food, Beauty, Parenting</t>
  </si>
  <si>
    <t>Inspirational</t>
  </si>
  <si>
    <t>Health, Empowerment, Community, Performance</t>
  </si>
  <si>
    <t>KOL-13</t>
  </si>
  <si>
    <t>Kevin Halim</t>
  </si>
  <si>
    <t>@kevinstyleid</t>
  </si>
  <si>
    <t>Fashion</t>
  </si>
  <si>
    <t>Streetwear</t>
  </si>
  <si>
    <t>Fashion, Shopping, Music, Entertainment, Beauty</t>
  </si>
  <si>
    <t>Fashion, Shopping, Music</t>
  </si>
  <si>
    <t>Aesthetic</t>
  </si>
  <si>
    <t>Craftsmanship, Quality, Authenticity, Fun</t>
  </si>
  <si>
    <t>KOL-14</t>
  </si>
  <si>
    <t>Zahra Amelia</t>
  </si>
  <si>
    <t>@zahrahijabstyle</t>
  </si>
  <si>
    <t>Hijab Fashion</t>
  </si>
  <si>
    <t>Fashion, Beauty, Shopping, Skincare, Travel</t>
  </si>
  <si>
    <t>Fashion, Beauty, Shopping</t>
  </si>
  <si>
    <t>Quality, Authenticity, Craftsmanship, Trust</t>
  </si>
  <si>
    <t>KOL-15</t>
  </si>
  <si>
    <t>Andini Rahma</t>
  </si>
  <si>
    <t>@andinidaily</t>
  </si>
  <si>
    <t>Lifestyle</t>
  </si>
  <si>
    <t>Daily Vlog</t>
  </si>
  <si>
    <t>Shopping, Food, Beauty, Travel, Fashion</t>
  </si>
  <si>
    <t>Shopping, Food, Beauty</t>
  </si>
  <si>
    <t>Vlog</t>
  </si>
  <si>
    <t>Authenticity, Fun, Community, Affordability</t>
  </si>
  <si>
    <t>KOL-16</t>
  </si>
  <si>
    <t>Yoga Pratama</t>
  </si>
  <si>
    <t>@yogaminimal</t>
  </si>
  <si>
    <t>Self Improvement</t>
  </si>
  <si>
    <t>DI Yogyakarta</t>
  </si>
  <si>
    <t>Productivity, Education, Finance, Technology, Health</t>
  </si>
  <si>
    <t>Productivity, Education, Finance</t>
  </si>
  <si>
    <t>Empowerment, Authenticity, Trust, Health</t>
  </si>
  <si>
    <t>KOL-17</t>
  </si>
  <si>
    <t>Sinta Maharani</t>
  </si>
  <si>
    <t>@sintajalanjalan</t>
  </si>
  <si>
    <t>Travel</t>
  </si>
  <si>
    <t>Domestic Travel</t>
  </si>
  <si>
    <t>Bali</t>
  </si>
  <si>
    <t>Travel, Food, Shopping, Fashion, Entertainment</t>
  </si>
  <si>
    <t>Travel, Food, Shopping</t>
  </si>
  <si>
    <t>Quality, Authenticity, Fun, Community</t>
  </si>
  <si>
    <t>KOL-18</t>
  </si>
  <si>
    <t>Reza Fadillah</t>
  </si>
  <si>
    <t>@rezabudgettrip</t>
  </si>
  <si>
    <t>Budget Travel</t>
  </si>
  <si>
    <t>Travel, Food, Productivity, Entertainment, Shopping</t>
  </si>
  <si>
    <t>Travel, Food, Entertainment</t>
  </si>
  <si>
    <t>Casual</t>
  </si>
  <si>
    <t>Affordability, Fun, Authenticity, Community</t>
  </si>
  <si>
    <t>KOL-19</t>
  </si>
  <si>
    <t>Putri Amanda</t>
  </si>
  <si>
    <t>@putrimomlife</t>
  </si>
  <si>
    <t>Parenting</t>
  </si>
  <si>
    <t>Momlife</t>
  </si>
  <si>
    <t>Depok</t>
  </si>
  <si>
    <t>Parenting, Health, Cooking, Home Decor, Shopping</t>
  </si>
  <si>
    <t>Parenting, Health, Cooking</t>
  </si>
  <si>
    <t>Family, Health, Community, Trust</t>
  </si>
  <si>
    <t>KOL-20</t>
  </si>
  <si>
    <t>Hendra Wijoyo</t>
  </si>
  <si>
    <t>@hendrakeluarga</t>
  </si>
  <si>
    <t>Kids &amp; Family</t>
  </si>
  <si>
    <t>Bekasi</t>
  </si>
  <si>
    <t>Parenting, Food, Entertainment, Home Decor, Education</t>
  </si>
  <si>
    <t>Parenting, Food, Entertainment</t>
  </si>
  <si>
    <t>Entertaining</t>
  </si>
  <si>
    <t>Humorous</t>
  </si>
  <si>
    <t>Family, Fun, Community, Affordability</t>
  </si>
  <si>
    <t>KOL-21</t>
  </si>
  <si>
    <t>Bagas Setiawan</t>
  </si>
  <si>
    <t>@bagaskomedi</t>
  </si>
  <si>
    <t>Entertainment</t>
  </si>
  <si>
    <t>Comedy</t>
  </si>
  <si>
    <t>Entertainment, Music, Food, Gaming, Shopping</t>
  </si>
  <si>
    <t>Entertainment, Music, Food</t>
  </si>
  <si>
    <t>Fun, Community, Authenticity, Affordability</t>
  </si>
  <si>
    <t>KOL-22</t>
  </si>
  <si>
    <t>Nabila Kirana</t>
  </si>
  <si>
    <t>@nabilamusic</t>
  </si>
  <si>
    <t>Music</t>
  </si>
  <si>
    <t>Music, Entertainment, Fashion, Beauty, Shopping</t>
  </si>
  <si>
    <t>Music, Entertainment, Fashion</t>
  </si>
  <si>
    <t>Fun, Craftsmanship, Authenticity, Community</t>
  </si>
  <si>
    <t>KOL-23</t>
  </si>
  <si>
    <t>Arya Mahendra</t>
  </si>
  <si>
    <t>@aryagaming</t>
  </si>
  <si>
    <t>Gaming</t>
  </si>
  <si>
    <t>Mobile Gaming</t>
  </si>
  <si>
    <t>Gaming, Technology, Entertainment, Music, Shopping</t>
  </si>
  <si>
    <t>Gaming, Technology, Entertainment</t>
  </si>
  <si>
    <t>Fun, Performance, Community, Innovation</t>
  </si>
  <si>
    <t>KOL-24</t>
  </si>
  <si>
    <t>Rio Saputra</t>
  </si>
  <si>
    <t>@riopcbuild</t>
  </si>
  <si>
    <t>PC &amp; Console</t>
  </si>
  <si>
    <t>Medan</t>
  </si>
  <si>
    <t>Sumatera Utara</t>
  </si>
  <si>
    <t>Gaming, Technology, Productivity, Entertainment, Shopping</t>
  </si>
  <si>
    <t>Gaming, Technology, Productivity</t>
  </si>
  <si>
    <t>Tech-savvy</t>
  </si>
  <si>
    <t>Performance, Quality, Innovation, Craftsmanship</t>
  </si>
  <si>
    <t>KOL-25</t>
  </si>
  <si>
    <t>Denny Kurniawan</t>
  </si>
  <si>
    <t>@dennymotovlog</t>
  </si>
  <si>
    <t>Automotive</t>
  </si>
  <si>
    <t>Motorcycle</t>
  </si>
  <si>
    <t>Automotive, Travel, Entertainment, Technology, Shopping</t>
  </si>
  <si>
    <t>Automotive, Travel, Entertainment</t>
  </si>
  <si>
    <t>Performance, Fun, Community, Affordability</t>
  </si>
  <si>
    <t>KOL-26</t>
  </si>
  <si>
    <t>Wisnu Adi</t>
  </si>
  <si>
    <t>@wisnucarreview</t>
  </si>
  <si>
    <t>Car Review</t>
  </si>
  <si>
    <t>Automotive, Technology, Finance, Travel, Business</t>
  </si>
  <si>
    <t>Automotive, Technology, Finance</t>
  </si>
  <si>
    <t>Quality, Trust, Performance, Transparency</t>
  </si>
  <si>
    <t>KOL-27</t>
  </si>
  <si>
    <t>Laras Ayu</t>
  </si>
  <si>
    <t>@larasinterior</t>
  </si>
  <si>
    <t>Home &amp; Living</t>
  </si>
  <si>
    <t>Interior</t>
  </si>
  <si>
    <t>Home Decor, Shopping, Parenting, Food, Fashion</t>
  </si>
  <si>
    <t>Home Decor, Shopping, Parenting</t>
  </si>
  <si>
    <t>Craftsmanship, Quality, Family, Sustainability</t>
  </si>
  <si>
    <t>KOL-28</t>
  </si>
  <si>
    <t>Tiara Nisrina</t>
  </si>
  <si>
    <t>@tiararapihin</t>
  </si>
  <si>
    <t>Home Organization</t>
  </si>
  <si>
    <t>Home Decor, Shopping, Productivity, Parenting, Cooking</t>
  </si>
  <si>
    <t>Home Decor, Productivity, Shopping</t>
  </si>
  <si>
    <t>Quality, Affordability, Family, Community</t>
  </si>
  <si>
    <t>KOL-29</t>
  </si>
  <si>
    <t>Sekar Ayu</t>
  </si>
  <si>
    <t>@sekarskincarejujur</t>
  </si>
  <si>
    <t>Skincare, Beauty, Health, Shopping, Makeup</t>
  </si>
  <si>
    <t>Authenticity, Trust, Health, Transparency</t>
  </si>
  <si>
    <t>KOL-30</t>
  </si>
  <si>
    <t>Ibnu Faisal</t>
  </si>
  <si>
    <t>@ibnubisnis</t>
  </si>
  <si>
    <t>Business</t>
  </si>
  <si>
    <t>Business, Finance, Education, Technology, Productivity</t>
  </si>
  <si>
    <t>Business, Finance, Education</t>
  </si>
  <si>
    <t>Talking Head</t>
  </si>
  <si>
    <t>Trust, Quality, Empowerment, Transparency</t>
  </si>
  <si>
    <t>MATCHING ENGINE  ·  every creator scored against every brand</t>
  </si>
  <si>
    <t>Ninety rows: three brands x thirty creators. Not one score on this sheet is typed — each is a formula over Brand_Profile and KOL_Database, weighted by the constants on Lookup_Lists. Filter column A to one Brand ID to read a single brand; compare the same KOL ID across the three blocks to see that Brand Match is a function of the pair, not a ranking of creators.</t>
  </si>
  <si>
    <t>KEY</t>
  </si>
  <si>
    <t>BRAND &amp; BUSINESS RELEVANCE — 20%</t>
  </si>
  <si>
    <t>TARGET AUDIENCE RELEVANCE — 30%</t>
  </si>
  <si>
    <t>CONTENT &amp; CATEGORY RELEVANCE — 20%</t>
  </si>
  <si>
    <t>BRAND PERSONALITY FIT — 10%</t>
  </si>
  <si>
    <t>PERFORMANCE QUALITY — 10%</t>
  </si>
  <si>
    <t>BRAND SAFETY — 10%</t>
  </si>
  <si>
    <t>RESULT</t>
  </si>
  <si>
    <t>HELPERS (intermediate lookups, kept visible on purpose)</t>
  </si>
  <si>
    <t>Brand</t>
  </si>
  <si>
    <t>Industry Match</t>
  </si>
  <si>
    <t>Category Match</t>
  </si>
  <si>
    <t>Keyword Match</t>
  </si>
  <si>
    <t>Age Match Score</t>
  </si>
  <si>
    <t>Gender Match Score</t>
  </si>
  <si>
    <t>Location Match Score</t>
  </si>
  <si>
    <t>Interest Match Score</t>
  </si>
  <si>
    <t>Category Match (content)</t>
  </si>
  <si>
    <t>Sub Category Match</t>
  </si>
  <si>
    <t>Topic Match</t>
  </si>
  <si>
    <t>Content Style Match</t>
  </si>
  <si>
    <t>Personality Match</t>
  </si>
  <si>
    <t>Tone vs Content Style</t>
  </si>
  <si>
    <t>Values Match</t>
  </si>
  <si>
    <t>Communication Style Match</t>
  </si>
  <si>
    <t>Engagement Rate Score</t>
  </si>
  <si>
    <t>Audience Quality Score</t>
  </si>
  <si>
    <t>Average Views Score</t>
  </si>
  <si>
    <t>Recent Growth Score</t>
  </si>
  <si>
    <t>Brand Safety Base</t>
  </si>
  <si>
    <t>Risk Multiplier</t>
  </si>
  <si>
    <t>Final Match Score</t>
  </si>
  <si>
    <t>Confidence</t>
  </si>
  <si>
    <t>Brand Fit Index</t>
  </si>
  <si>
    <t>Opportunity Score</t>
  </si>
  <si>
    <t>Hard Filter Result</t>
  </si>
  <si>
    <t>Exclusion Reason</t>
  </si>
  <si>
    <t>Recommendation</t>
  </si>
  <si>
    <t>Final Match Score (eligible only)</t>
  </si>
  <si>
    <t>Match Key</t>
  </si>
  <si>
    <t>Brand Product Parent Category</t>
  </si>
  <si>
    <t>KOL Sub Parent Category</t>
  </si>
  <si>
    <t>Rel: Brand Product Parent → KOL Category</t>
  </si>
  <si>
    <t>Rel: Preferred Category → KOL Category</t>
  </si>
  <si>
    <t>Brand Preferred Sub Parent</t>
  </si>
  <si>
    <t>KOL Keyword Haystack</t>
  </si>
  <si>
    <t>KOL Topic Haystack</t>
  </si>
  <si>
    <t>MATCH EXPLANATION  ·  why each creator scored what they scored, for the Active Brand</t>
  </si>
  <si>
    <t>Reads the brand named in Brand_Profile!B4. Every sentence is assembled from the component scores next door — the strengths are literally the three highest components and the considerations the three lowest, so an explanation cannot drift away from the number it is explaining. Change the active brand and all thirty explanations change with it.</t>
  </si>
  <si>
    <t>Why This Creator Matches</t>
  </si>
  <si>
    <t>Strength 1</t>
  </si>
  <si>
    <t>Strength 2</t>
  </si>
  <si>
    <t>Strength 3</t>
  </si>
  <si>
    <t>Consideration 1</t>
  </si>
  <si>
    <t>Consideration 2</t>
  </si>
  <si>
    <t>Consideration 3</t>
  </si>
  <si>
    <t>Risk</t>
  </si>
  <si>
    <t>Brand Business Reason</t>
  </si>
  <si>
    <t>Audience Match Reason</t>
  </si>
  <si>
    <t>Content Match Reason</t>
  </si>
  <si>
    <t>Personality Match Reason</t>
  </si>
  <si>
    <t>Safety Reason</t>
  </si>
  <si>
    <t>Engine Row</t>
  </si>
  <si>
    <t>adj 1</t>
  </si>
  <si>
    <t>adj 2</t>
  </si>
  <si>
    <t>adj 3</t>
  </si>
  <si>
    <t>adj 4</t>
  </si>
  <si>
    <t>adj 5</t>
  </si>
  <si>
    <t>adj 6</t>
  </si>
  <si>
    <t>DISCOVERY FILTERS  ·  every control on the Creator Database panel, grouped</t>
  </si>
  <si>
    <t>Type is the load-bearing column: HARD FILTER removes a creator from Discovery, SOFT MATCH only moves them down the list. The last three columns are carried over from deliv.xlsx (Mapping Filter-DB) and the 8 Sep 2026 filter audit — a spec that defines a filter without saying whether the database can answer it is how "Max Rate Card" came to be marked DONE while returning zero creators at every price.</t>
  </si>
  <si>
    <t>Group</t>
  </si>
  <si>
    <t>Filter</t>
  </si>
  <si>
    <t>Filter Key</t>
  </si>
  <si>
    <t>Type</t>
  </si>
  <si>
    <t>Control</t>
  </si>
  <si>
    <t>Brand_Profile input</t>
  </si>
  <si>
    <t>KOL_Database field</t>
  </si>
  <si>
    <t>Status in prototype</t>
  </si>
  <si>
    <t>KOL database source</t>
  </si>
  <si>
    <t>Coverage (8 Sep 2026)</t>
  </si>
  <si>
    <t>SEARCH</t>
  </si>
  <si>
    <t>Creator Search</t>
  </si>
  <si>
    <t>q</t>
  </si>
  <si>
    <t>HARD FILTER</t>
  </si>
  <si>
    <t>Text input (debounce 350ms)</t>
  </si>
  <si>
    <t>—</t>
  </si>
  <si>
    <t>DONE</t>
  </si>
  <si>
    <t>kol_directory.username + agency_kol_accounts.label</t>
  </si>
  <si>
    <t>97,1%</t>
  </si>
  <si>
    <t>handle</t>
  </si>
  <si>
    <t>Text input</t>
  </si>
  <si>
    <t>kol_directory.username_normalized</t>
  </si>
  <si>
    <t>Keyword</t>
  </si>
  <si>
    <t>keyword</t>
  </si>
  <si>
    <t>Content Topics + Audience Interests</t>
  </si>
  <si>
    <t>PARTIAL</t>
  </si>
  <si>
    <t>kol_directory.bio</t>
  </si>
  <si>
    <t>~12% terisi</t>
  </si>
  <si>
    <t>Content Topic</t>
  </si>
  <si>
    <t>topic</t>
  </si>
  <si>
    <t>SOFT MATCH</t>
  </si>
  <si>
    <t>Multi-select</t>
  </si>
  <si>
    <t>BLOCKED BY DATA</t>
  </si>
  <si>
    <t>feature.ig/tt_post_analysis.content_category</t>
  </si>
  <si>
    <t>0 baris</t>
  </si>
  <si>
    <t>PLATFORM</t>
  </si>
  <si>
    <t>platform.instagram</t>
  </si>
  <si>
    <t>Chip</t>
  </si>
  <si>
    <t>kol_directory.platform_id → platforms.key</t>
  </si>
  <si>
    <t>platform.tiktok</t>
  </si>
  <si>
    <t>CREATOR</t>
  </si>
  <si>
    <t>categories</t>
  </si>
  <si>
    <t>Multi-select chips</t>
  </si>
  <si>
    <t>category_ids → kol_categories</t>
  </si>
  <si>
    <t>54,1% (3.547 tanpa kategori)</t>
  </si>
  <si>
    <t>subCategories</t>
  </si>
  <si>
    <t>— tidak ada kolom sub-kategori</t>
  </si>
  <si>
    <t>0%</t>
  </si>
  <si>
    <t>tiers</t>
  </si>
  <si>
    <t>followers_count terhadap kol_tiers</t>
  </si>
  <si>
    <t>7.195 bertier + 526 untiered</t>
  </si>
  <si>
    <t>minFollowers / maxFollowers</t>
  </si>
  <si>
    <t>Range slider</t>
  </si>
  <si>
    <t>preferred_followers_min / _max</t>
  </si>
  <si>
    <t>kol_directory.followers_count</t>
  </si>
  <si>
    <t>Engagement Rate</t>
  </si>
  <si>
    <t>minErPct</t>
  </si>
  <si>
    <t>Slider 0–10%</t>
  </si>
  <si>
    <t>kol_directory.engagement_rate (ER_CLEAN)</t>
  </si>
  <si>
    <t>1.744 terpakai (22,6%)</t>
  </si>
  <si>
    <t>Creator Location</t>
  </si>
  <si>
    <t>creatorCity</t>
  </si>
  <si>
    <t>Dropdown</t>
  </si>
  <si>
    <t>kol_directory.creator_city</t>
  </si>
  <si>
    <t>0% terisi</t>
  </si>
  <si>
    <t>verifiedOnly</t>
  </si>
  <si>
    <t>Toggle</t>
  </si>
  <si>
    <t>kol_directory.verified_status</t>
  </si>
  <si>
    <t>455 verified dari 932 bernilai</t>
  </si>
  <si>
    <t>audienceCountry</t>
  </si>
  <si>
    <t>audience_geo_daily (geo_level='country')</t>
  </si>
  <si>
    <t>23 creator</t>
  </si>
  <si>
    <t>audienceRegion</t>
  </si>
  <si>
    <t>audience_geo_daily</t>
  </si>
  <si>
    <t>9 dari 33 key salah level</t>
  </si>
  <si>
    <t>audienceCity</t>
  </si>
  <si>
    <t>audience_geo_daily (geo_level='city')</t>
  </si>
  <si>
    <t>15 creator usable</t>
  </si>
  <si>
    <t>Audience Age</t>
  </si>
  <si>
    <t>audienceAge</t>
  </si>
  <si>
    <t>Chips 13–17 … 45+</t>
  </si>
  <si>
    <t>primary_age_range / secondary_age_range</t>
  </si>
  <si>
    <t>Audience Age 13–17 % … 45+ %</t>
  </si>
  <si>
    <t>audience_demographics_daily (audience_type='age')</t>
  </si>
  <si>
    <t>Audience Gender</t>
  </si>
  <si>
    <t>audienceGender</t>
  </si>
  <si>
    <t>Slider Major Female / Male</t>
  </si>
  <si>
    <t>Female % / Male %</t>
  </si>
  <si>
    <t>audience_demographics_daily (gender)</t>
  </si>
  <si>
    <t>23 creator (0,30%)</t>
  </si>
  <si>
    <t>audienceInterests</t>
  </si>
  <si>
    <t>audience_interest_daily.interest_key</t>
  </si>
  <si>
    <t>23 creator; 85,2% 'unknown'</t>
  </si>
  <si>
    <t>minAudienceQuality</t>
  </si>
  <si>
    <t>Slider 0–100</t>
  </si>
  <si>
    <t>feature.ig/tt_audience_analysis.audience_quality_score</t>
  </si>
  <si>
    <t>minAuthenticity</t>
  </si>
  <si>
    <t>feature.ig/tt_audience_analysis.authenticity_score</t>
  </si>
  <si>
    <t>purchaseIntent</t>
  </si>
  <si>
    <t>NEW</t>
  </si>
  <si>
    <t>— belum ada kolom</t>
  </si>
  <si>
    <t>minAvgViews</t>
  </si>
  <si>
    <t>Slider</t>
  </si>
  <si>
    <t>l2_gold.post_metric.views</t>
  </si>
  <si>
    <t>21 creator lolos threshold</t>
  </si>
  <si>
    <t>minMedianViews</t>
  </si>
  <si>
    <t>— belum ada agregat median</t>
  </si>
  <si>
    <t>kol_directory.engagement_rate</t>
  </si>
  <si>
    <t>22,6%</t>
  </si>
  <si>
    <t>Share Rate</t>
  </si>
  <si>
    <t>minShareRate</t>
  </si>
  <si>
    <t>l2_gold.post_metric.shares</t>
  </si>
  <si>
    <t>11 creator, TikTok saja</t>
  </si>
  <si>
    <t>Save Rate</t>
  </si>
  <si>
    <t>minSaveRate</t>
  </si>
  <si>
    <t>l2_gold.post_metric.saves</t>
  </si>
  <si>
    <t>Consistency</t>
  </si>
  <si>
    <t>minConsistency</t>
  </si>
  <si>
    <t>— nol kolom consistency/cadence</t>
  </si>
  <si>
    <t>30D Growth</t>
  </si>
  <si>
    <t>min30dGrowth</t>
  </si>
  <si>
    <t>l2_gold.kol_profile_card.followers_growth</t>
  </si>
  <si>
    <t>25 creator (0,3%)</t>
  </si>
  <si>
    <t>90D Growth</t>
  </si>
  <si>
    <t>min90dGrowth</t>
  </si>
  <si>
    <t>l2_gold.kol_metric_monthly (deret)</t>
  </si>
  <si>
    <t>5 creator ≥4 titik</t>
  </si>
  <si>
    <t>minRecentPerf</t>
  </si>
  <si>
    <t>kol_metric_monthly (deret)</t>
  </si>
  <si>
    <t>5 creator</t>
  </si>
  <si>
    <t>minVfr</t>
  </si>
  <si>
    <t>post_metric.views ÷ followers_count</t>
  </si>
  <si>
    <t>21 creator</t>
  </si>
  <si>
    <t>Rate</t>
  </si>
  <si>
    <t>maxRate</t>
  </si>
  <si>
    <t>Slider 500rb–1M</t>
  </si>
  <si>
    <t>l1_silver.unified_rate_card</t>
  </si>
  <si>
    <t>maxCpv</t>
  </si>
  <si>
    <t>rate ÷ views</t>
  </si>
  <si>
    <t>0% (butuh rate card)</t>
  </si>
  <si>
    <t>maxCpe</t>
  </si>
  <si>
    <t>feature.ig/tt_audience_analysis.cpe</t>
  </si>
  <si>
    <t>maxCpm</t>
  </si>
  <si>
    <t>rate ÷ followers × 1.000</t>
  </si>
  <si>
    <t>minCostEfficiency</t>
  </si>
  <si>
    <t>CPE terhadap median roster</t>
  </si>
  <si>
    <t>minRoi</t>
  </si>
  <si>
    <t>EMV ÷ rate</t>
  </si>
  <si>
    <t>INTELLIGENCE</t>
  </si>
  <si>
    <t>minBrandMatch</t>
  </si>
  <si>
    <t>— didefinisikan workbook ini</t>
  </si>
  <si>
    <t>n/a</t>
  </si>
  <si>
    <t>Brand Fit</t>
  </si>
  <si>
    <t>minBrandFit</t>
  </si>
  <si>
    <t>feature.brand_fit_analysis.partnership_score</t>
  </si>
  <si>
    <t>minOpportunity</t>
  </si>
  <si>
    <t>Content Relevance</t>
  </si>
  <si>
    <t>minContentRelevance</t>
  </si>
  <si>
    <t>butuh feature content-DNA</t>
  </si>
  <si>
    <t>maxCompetitorSaturation</t>
  </si>
  <si>
    <t>— tidak ada kolom competitor-saturation</t>
  </si>
  <si>
    <t>minBrandSafety</t>
  </si>
  <si>
    <t>— tidak ada kolom risk-level</t>
  </si>
  <si>
    <t>DISCOVERY</t>
  </si>
  <si>
    <t>Newly Added</t>
  </si>
  <si>
    <t>createdAfter</t>
  </si>
  <si>
    <t>Section tab</t>
  </si>
  <si>
    <t>kol_directory.created_at</t>
  </si>
  <si>
    <t>99,7%</t>
  </si>
  <si>
    <t>Recently Updated</t>
  </si>
  <si>
    <t>refreshedAfter</t>
  </si>
  <si>
    <t>kol_directory.last_refreshed_at</t>
  </si>
  <si>
    <t>Trending Creators</t>
  </si>
  <si>
    <t>trending</t>
  </si>
  <si>
    <t>Recent Performance + 30D Growth</t>
  </si>
  <si>
    <t>Rising Creators</t>
  </si>
  <si>
    <t>rising</t>
  </si>
  <si>
    <t>30D + 90D Growth + ER</t>
  </si>
  <si>
    <t>followers_growth (maks 0,917% vs rule ≥5,5%)</t>
  </si>
  <si>
    <t>25 creator</t>
  </si>
  <si>
    <t>Hidden Gems</t>
  </si>
  <si>
    <t>hiddenGems</t>
  </si>
  <si>
    <t>Hidden Gem Score</t>
  </si>
  <si>
    <t>butuh ER + audience quality + saturation</t>
  </si>
  <si>
    <t>parsial</t>
  </si>
  <si>
    <t>Most Relevant</t>
  </si>
  <si>
    <t>mostRelevant</t>
  </si>
  <si>
    <t>seluruh Brand_Profile</t>
  </si>
  <si>
    <t>Final Match Score × Confidence</t>
  </si>
  <si>
    <t>EXCLUSION</t>
  </si>
  <si>
    <t>discover_creator_links (migrasi 053)</t>
  </si>
  <si>
    <t>100% (state aplikasi)</t>
  </si>
  <si>
    <t>Already in Cart</t>
  </si>
  <si>
    <t>discover cart (state aplikasi)</t>
  </si>
  <si>
    <t>100%</t>
  </si>
  <si>
    <t>public.campaign_kols</t>
  </si>
  <si>
    <t>— belum ada daftar exclusion</t>
  </si>
  <si>
    <t>High Competitor Saturation</t>
  </si>
  <si>
    <t>Slider (0 = off)</t>
  </si>
  <si>
    <t>— tidak ada kolom</t>
  </si>
  <si>
    <t>Low Brand Safety</t>
  </si>
  <si>
    <t>ROLL-UP  ·  counted from the table above, not typed</t>
  </si>
  <si>
    <t>Filters defined</t>
  </si>
  <si>
    <t>— of which HARD FILTER</t>
  </si>
  <si>
    <t>— of which SOFT MATCH</t>
  </si>
  <si>
    <t>Wired end to end today (DONE)</t>
  </si>
  <si>
    <t>Working on part of the roster (PARTIAL)</t>
  </si>
  <si>
    <t>Correct code, empty column (BLOCKED BY DATA)</t>
  </si>
  <si>
    <t>Defined here, no column yet (NEW)</t>
  </si>
  <si>
    <t>DISCOVERY RANKING  ·  the Active Brand’s result page</t>
  </si>
  <si>
    <t>Default ranking is Brand Match, then Audience Match, then Content Relevance, then Performance, then Brand Safety — encoded in the Default Sort Key column as one number, so the tie-break order is inspectable rather than implied. Rank is computed over the creators that passed the hard filters only; an excluded creator shows "—" and keeps its scores, because the reason it is out should stay legible.</t>
  </si>
  <si>
    <t>Ranking Preset →</t>
  </si>
  <si>
    <t>Best Match</t>
  </si>
  <si>
    <t>ranked by</t>
  </si>
  <si>
    <t>available today</t>
  </si>
  <si>
    <t>preset # →</t>
  </si>
  <si>
    <t>Active Brand</t>
  </si>
  <si>
    <t>PRESET METRIC BLOCK  ·  one column per preset; the picker above reads the column it names</t>
  </si>
  <si>
    <t>Rank</t>
  </si>
  <si>
    <t>KOL</t>
  </si>
  <si>
    <t>Audience Match</t>
  </si>
  <si>
    <t>Performance</t>
  </si>
  <si>
    <t>Opportunity</t>
  </si>
  <si>
    <t>Status</t>
  </si>
  <si>
    <t>Default Sort Key</t>
  </si>
  <si>
    <t>Preset Rank</t>
  </si>
  <si>
    <t>Preset Metric Value</t>
  </si>
  <si>
    <t>Highest Average Views</t>
  </si>
  <si>
    <t>Highest Median Views</t>
  </si>
  <si>
    <t>Highest Engagement Quality</t>
  </si>
  <si>
    <t>Highest Share Rate</t>
  </si>
  <si>
    <t>Highest Save Rate</t>
  </si>
  <si>
    <t>Most Consistent</t>
  </si>
  <si>
    <t>Highest View-to-Follower Ratio</t>
  </si>
  <si>
    <t>Highest Recent Performance</t>
  </si>
  <si>
    <t>Highest 30D Growth</t>
  </si>
  <si>
    <t>Highest 90D Growth</t>
  </si>
  <si>
    <t>Highest Audience Quality</t>
  </si>
  <si>
    <t>Highest Audience Authenticity</t>
  </si>
  <si>
    <t>Best Audience Match</t>
  </si>
  <si>
    <t>Strongest Community</t>
  </si>
  <si>
    <t>Lowest CPV</t>
  </si>
  <si>
    <t>Lowest CPE</t>
  </si>
  <si>
    <t>Lowest CPM</t>
  </si>
  <si>
    <t>Best Cost Efficiency</t>
  </si>
  <si>
    <t>Best Estimated ROI</t>
  </si>
  <si>
    <t>Highest Brand Fit</t>
  </si>
  <si>
    <t>Highest Opportunity</t>
  </si>
  <si>
    <t>Lowest Competitor Saturation</t>
  </si>
  <si>
    <t>Highest Content Relevance</t>
  </si>
  <si>
    <t>FILTER LOGIC  ·  hard filter versus soft match</t>
  </si>
  <si>
    <t>A HARD FILTER answers "should this creator be in the result set at all". A SOFT MATCH answers "where in it". Confusing the two is the expensive mistake: a modelled figure used as a hard filter silently drops creators on the strength of a guess, and — because the roster pages server-side — filters only the rows already fetched, giving a count that means nothing.</t>
  </si>
  <si>
    <t>Condition</t>
  </si>
  <si>
    <t>Excel implementation</t>
  </si>
  <si>
    <t>What happens when it fails</t>
  </si>
  <si>
    <t>Backend note</t>
  </si>
  <si>
    <t>The creator platform must appear in Preferred Platform.</t>
  </si>
  <si>
    <t>ISERROR(SEARCH(KOL.Platform, Brand.preferred_platform)) → excluded</t>
  </si>
  <si>
    <t>Removed from Discovery entirely.</t>
  </si>
  <si>
    <t>WHERE platforms.key = ANY($platforms)</t>
  </si>
  <si>
    <t>Minimum Followers</t>
  </si>
  <si>
    <t>Followers must reach Preferred Follower Range — Min. 0 turns the rule off.</t>
  </si>
  <si>
    <t>AND(min&gt;0, KOL.Followers &lt; min) → excluded</t>
  </si>
  <si>
    <t>WHERE followers_count &gt;= $minFollowers</t>
  </si>
  <si>
    <t>Maximum Followers</t>
  </si>
  <si>
    <t>Followers must not exceed Preferred Follower Range — Max. 0 turns the rule off.</t>
  </si>
  <si>
    <t>AND(max&gt;0, KOL.Followers &gt; max) → excluded</t>
  </si>
  <si>
    <t>WHERE followers_count &lt;= $maxFollowers — a creator whose follower count was never measured is excluded when a ceiling is set, because "below X" is not satisfied by "unknown".</t>
  </si>
  <si>
    <t>Minimum Engagement Rate</t>
  </si>
  <si>
    <t>Engagement Rate must reach Minimum Engagement Rate. A blank ER counts as 0.</t>
  </si>
  <si>
    <t>AND(min&gt;0, IF(ER="",0,ER) &lt; min) → excluded</t>
  </si>
  <si>
    <t>WHERE er_pct &gt;= $minErPct, over the ER_CLEAN subset only</t>
  </si>
  <si>
    <t>The creator tier must appear in Preferred Tier.</t>
  </si>
  <si>
    <t>ISERROR(SEARCH(KOL.Tier, Brand.preferred_tier)) → excluded</t>
  </si>
  <si>
    <t>WHERE tier = ANY($tiers), with the __untiered sentinel for creators in no band</t>
  </si>
  <si>
    <t>Audience Quality must reach Minimum Audience Quality. 0 turns the rule off.</t>
  </si>
  <si>
    <t>AND(min&gt;0, AudienceQualityScore &lt; min) → excluded</t>
  </si>
  <si>
    <t>Needs feature.{ig,tt}_audience_analysis; 23 of 7.721 creators today, so ship it disabled with the reason shown.</t>
  </si>
  <si>
    <t>Brand Safety Score must reach Minimum Brand Safety. 0 turns the rule off.</t>
  </si>
  <si>
    <t>AND(min&gt;0, BrandSafetyBase &lt; min) → excluded</t>
  </si>
  <si>
    <t>No column exists yet. Until one does, this must not be presented as an active filter.</t>
  </si>
  <si>
    <t>Only when Audience Country is a Hard Filter = Yes.</t>
  </si>
  <si>
    <t>AND(flag="Yes", KOL.AudienceCountry &lt;&gt; Brand.target_country) → excluded</t>
  </si>
  <si>
    <t>audience_geo_daily at geo_level=country; 23 creators today.</t>
  </si>
  <si>
    <t>Only when Category is a Hard Filter = Yes. Off by default — category is normally a ranking signal, not a gate.</t>
  </si>
  <si>
    <t>AND(flag="Yes", KOL.Category &lt;&gt; Brand.preferred_category) → excluded</t>
  </si>
  <si>
    <t>WHERE category_ids &amp;&amp; $categories — overlap, not equality: 1.183 creators carry more than one category.</t>
  </si>
  <si>
    <t>Max Competitor Saturation</t>
  </si>
  <si>
    <t>Only when Max Competitor Saturation &gt; 0. This is the one place saturation can exclude.</t>
  </si>
  <si>
    <t>AND(max&gt;0, CompetitorSaturation &gt; max) → excluded</t>
  </si>
  <si>
    <t>Removed from Discovery entirely — but only because the brand asked for it.</t>
  </si>
  <si>
    <t>No column exists yet.</t>
  </si>
  <si>
    <t>Exclusion — Already Selected</t>
  </si>
  <si>
    <t>Only when Exclude Already Selected = Yes.</t>
  </si>
  <si>
    <t>AND(flag="Yes", KOL.AlreadySelected="Yes") → excluded</t>
  </si>
  <si>
    <t>discover_creator_links (migration 053).</t>
  </si>
  <si>
    <t>Exclusion — Already in Cart</t>
  </si>
  <si>
    <t>Only when Exclude Already in Cart = Yes.</t>
  </si>
  <si>
    <t>AND(flag="Yes", KOL.InCart="Yes") → excluded</t>
  </si>
  <si>
    <t>Discover cart state.</t>
  </si>
  <si>
    <t>Exclusion — Existing Partner</t>
  </si>
  <si>
    <t>Only when Exclude Existing Partner = Yes.</t>
  </si>
  <si>
    <t>AND(flag="Yes", KOL.ExistingPartner="Yes") → excluded</t>
  </si>
  <si>
    <t>public.campaign_kols — 0 rows today.</t>
  </si>
  <si>
    <t>Exclusion — Excluded Creator</t>
  </si>
  <si>
    <t>Only when Exclude Excluded Creator = Yes.</t>
  </si>
  <si>
    <t>AND(flag="Yes", KOL.ExcludedCreator="Yes") → excluded</t>
  </si>
  <si>
    <t>No exclusion list exists yet.</t>
  </si>
  <si>
    <t>Minimum Brand Match</t>
  </si>
  <si>
    <t>Only when Minimum Brand Match &gt; 0. Off by default: a Low Match stays visible.</t>
  </si>
  <si>
    <t>AND(min&gt;0, FinalMatchScore &lt; min) → excluded</t>
  </si>
  <si>
    <t>Removed from Discovery — the one filter that acts on the score itself.</t>
  </si>
  <si>
    <t>Computed, not stored. Apply after ranking, never inside the SQL.</t>
  </si>
  <si>
    <t>The Final Match Score. Orders the list; never removes anyone.</t>
  </si>
  <si>
    <t>ROUND(Σ component × weight ÷ Σ weight, 0)</t>
  </si>
  <si>
    <t>Creator stays visible, position changes.</t>
  </si>
  <si>
    <t>ORDER BY score DESC, computed in the application layer.</t>
  </si>
  <si>
    <t>Target Audience Relevance. The heaviest single component at 30%.</t>
  </si>
  <si>
    <t>Age×w + Gender×w + Location×w + Interest×w, ÷ Σw</t>
  </si>
  <si>
    <t>Content &amp; Category Relevance.</t>
  </si>
  <si>
    <t>Category×30 + SubCategory×20 + Topic×30 + Style×20, ÷100</t>
  </si>
  <si>
    <t>Brand Personality Fit, from the two personality matrices plus values overlap.</t>
  </si>
  <si>
    <t>Personality×35 + Tone×25 + Values×25 + Communication×15, ÷100</t>
  </si>
  <si>
    <t>Performance Quality, normalised against the calibration targets.</t>
  </si>
  <si>
    <t>ER×35 + AudienceQuality×20 + Consistency×20 + Community×10 + Views×10 + Growth×5, ÷100</t>
  </si>
  <si>
    <t>Head-room, cost efficiency, growth and engagement — how much is still on the table.</t>
  </si>
  <si>
    <t>(100−saturation)×35 + CostEfficiency×25 + Growth×25 + ER×15, ÷100</t>
  </si>
  <si>
    <t>Modelled earned value over the rate card.</t>
  </si>
  <si>
    <t>EstimatedReach × ER% × value-per-engagement ÷ Rate</t>
  </si>
  <si>
    <t>Blocked: unified_rate_card holds 0 rows.</t>
  </si>
  <si>
    <t>A consideration and a warning, never an automatic rejection.</t>
  </si>
  <si>
    <t>Lowers Brand Safety by its 20% share; excludes only via Max Competitor Saturation.</t>
  </si>
  <si>
    <t>Creator stays visible and is flagged in Match_Explanation.</t>
  </si>
  <si>
    <t>MATCH LEVEL LADDER  ·  read straight off the bands on Lookup_Lists, so the ladder and the engine cannot disagree</t>
  </si>
  <si>
    <t>Visible in Discovery?</t>
  </si>
  <si>
    <t>Excellent Match</t>
  </si>
  <si>
    <t>Highly Recommended</t>
  </si>
  <si>
    <t>Strong Match</t>
  </si>
  <si>
    <t>Highly Recommended / Recommended</t>
  </si>
  <si>
    <t>Good Match</t>
  </si>
  <si>
    <t>Recommended</t>
  </si>
  <si>
    <t>Moderate Match</t>
  </si>
  <si>
    <t>Consider</t>
  </si>
  <si>
    <t>Low Match</t>
  </si>
  <si>
    <t>Low Priority</t>
  </si>
  <si>
    <t>Yes — unless Minimum Brand Match is set above the score</t>
  </si>
  <si>
    <t>TAXONOMY  ·  one tree, two sides, three axes</t>
  </si>
  <si>
    <t>The creator side (Category → Sub Category → Content Topic) and the brand side (Industry → Niche) joined by a crosswalk, plus the map from the 28 raw kol_categories rows onto it and the rules that classify a creator who has no category at all. Lookup_Lists derives its Category, Sub Category, Industry and Niche dropdowns from this sheet’s tree, so the two cannot drift.</t>
  </si>
  <si>
    <t>A. THE THREE AXES  ·  a label answers exactly one of these questions. kol_categories mixes all three, which is why the category chip barely narrows a search.</t>
  </si>
  <si>
    <t>Axis</t>
  </si>
  <si>
    <t>Question</t>
  </si>
  <si>
    <t>What belongs to it</t>
  </si>
  <si>
    <t>Where it is stored today</t>
  </si>
  <si>
    <t>What does the creator make?</t>
  </si>
  <si>
    <t>Category → Sub Category → Content Topic. The only axis the Category Match and Sub Category Match ladders are allowed to read.</t>
  </si>
  <si>
    <t>kol_directory.category_ids → public.kol_categories (L1 only, today)</t>
  </si>
  <si>
    <t>Who watches?</t>
  </si>
  <si>
    <t>Age band, gender majority, geography, audience interest. A different question with its own weight — Target Audience Relevance is 30% of the score against Content &amp; Category Relevance at 20%.</t>
  </si>
  <si>
    <t>audience_demographics_daily, audience_geo_daily, audience_interest_daily</t>
  </si>
  <si>
    <t>FORMAT</t>
  </si>
  <si>
    <t>How is it made?</t>
  </si>
  <si>
    <t>Content Style and Communication Style. Already a separate vocabulary with its own matrices (8, 8b, 9); named here so nobody files it back under Category.</t>
  </si>
  <si>
    <t>— no column; modelled on KOL_Database today</t>
  </si>
  <si>
    <t>B. LEVELS AND COVERAGE  ·  what each level is, where it lives, and how much of it the database can answer on 8 Sep 2026</t>
  </si>
  <si>
    <t>Level</t>
  </si>
  <si>
    <t>Nodes</t>
  </si>
  <si>
    <t>Stored in</t>
  </si>
  <si>
    <t>Coverage today</t>
  </si>
  <si>
    <t>What is missing</t>
  </si>
  <si>
    <t>L1 Category</t>
  </si>
  <si>
    <t>kol_directory.category_ids → public.kol_categories</t>
  </si>
  <si>
    <t>4.174 / 7.721 = 54,1%</t>
  </si>
  <si>
    <t>28 raw rows mixing content and audience labels, mapped to no code. Needs the alias table agreed and stored.</t>
  </si>
  <si>
    <t>L2 Sub Category</t>
  </si>
  <si>
    <t>— no column exists</t>
  </si>
  <si>
    <t>Needs public.kol_sub_categories plus kol_directory.sub_category_ids. Until then Sub Category Match falls back to its parent-category ladder and the Discovery filter stays disabled with its reason shown.</t>
  </si>
  <si>
    <t>L3 Content Topic</t>
  </si>
  <si>
    <t>feature.{ig,tt}_post_analysis.content_category</t>
  </si>
  <si>
    <t>0 rows</t>
  </si>
  <si>
    <t>The column exists and is empty. It is also the right place to classify from: a topic is a property of a post, not of an account.</t>
  </si>
  <si>
    <t>B1 Brand Industry</t>
  </si>
  <si>
    <t>Brand_Profile.industry (workbook input)</t>
  </si>
  <si>
    <t>n/a — brand-side input</t>
  </si>
  <si>
    <t>Read by Industry Match through matrix 5. Complete.</t>
  </si>
  <si>
    <t>B2 Brand Niche</t>
  </si>
  <si>
    <t>Brand_Profile.brand_niche (workbook input)</t>
  </si>
  <si>
    <t>Collected, and read by no formula in the engine. The crosswalk is what would give it weight.</t>
  </si>
  <si>
    <t>Keywords</t>
  </si>
  <si>
    <t>Brand_Profile.business_keywords / brand_keywords</t>
  </si>
  <si>
    <t>creator side: kol_directory.bio, ~12% filled</t>
  </si>
  <si>
    <t>Keyword Match searches the creator bio, topics, interests and category text. A bio column that is 88% empty is the ceiling on that score today.</t>
  </si>
  <si>
    <t>C. CREATOR TAXONOMY  ·  Category → Sub Category → Content Topic. Codes are namespaced by parent and are what a migration would key on; labels can be retranslated, codes cannot.</t>
  </si>
  <si>
    <t>Code</t>
  </si>
  <si>
    <t>Parent</t>
  </si>
  <si>
    <t>Label (EN)</t>
  </si>
  <si>
    <t>Label (ID)</t>
  </si>
  <si>
    <t>Matching keywords  ·  what classifies a bio or a caption into this node</t>
  </si>
  <si>
    <t>BEA</t>
  </si>
  <si>
    <t>Kecantikan</t>
  </si>
  <si>
    <t>beauty · kecantikan · cantik · glowing · mua</t>
  </si>
  <si>
    <t>BEA.SKN</t>
  </si>
  <si>
    <t>Perawatan Kulit</t>
  </si>
  <si>
    <t>skincare · perawatan kulit · serum · moisturizer · sunscreen · jerawat · acne</t>
  </si>
  <si>
    <t>BEA.SKN.ROUT</t>
  </si>
  <si>
    <t>Skincare Routine</t>
  </si>
  <si>
    <t>Rutinitas Skincare</t>
  </si>
  <si>
    <t>morning routine · night routine · urutan skincare · layering</t>
  </si>
  <si>
    <t>BEA.SKN.ACNE</t>
  </si>
  <si>
    <t>Acne &amp; Treatment</t>
  </si>
  <si>
    <t>Jerawat &amp; Perawatan</t>
  </si>
  <si>
    <t>jerawat · acne · bruntusan · purging · dermatologist</t>
  </si>
  <si>
    <t>BEA.SKN.SUNS</t>
  </si>
  <si>
    <t>Sunscreen &amp; Barrier</t>
  </si>
  <si>
    <t>Sunscreen &amp; Skin Barrier</t>
  </si>
  <si>
    <t>sunscreen · spf · skin barrier · ceramide</t>
  </si>
  <si>
    <t>BEA.MKP</t>
  </si>
  <si>
    <t>Riasan</t>
  </si>
  <si>
    <t>makeup · riasan · mua · lipstik · foundation · eyeshadow · cushion</t>
  </si>
  <si>
    <t>BEA.MKP.TUTO</t>
  </si>
  <si>
    <t>Makeup Tutorial</t>
  </si>
  <si>
    <t>Tutorial Makeup</t>
  </si>
  <si>
    <t>tutorial makeup · makeup look · daily makeup</t>
  </si>
  <si>
    <t>BEA.MKP.SWAT</t>
  </si>
  <si>
    <t>Product Swatch &amp; Review</t>
  </si>
  <si>
    <t>Swatch &amp; Review Produk</t>
  </si>
  <si>
    <t>swatch · review lipstik · shade · first impression</t>
  </si>
  <si>
    <t>BEA.MKP.OCCA</t>
  </si>
  <si>
    <t>Occasion Makeup</t>
  </si>
  <si>
    <t>Makeup Acara</t>
  </si>
  <si>
    <t>makeup wisuda · makeup pengantin · makeup kondangan · bridal</t>
  </si>
  <si>
    <t>BEA.HAR</t>
  </si>
  <si>
    <t>Haircare</t>
  </si>
  <si>
    <t>Perawatan Rambut</t>
  </si>
  <si>
    <t>haircare · rambut · sampo · shampoo · hairstyling · salon</t>
  </si>
  <si>
    <t>BEA.HAR.TREA</t>
  </si>
  <si>
    <t>Hair Treatment</t>
  </si>
  <si>
    <t>hair mask · rambut rontok · ketombe · smoothing</t>
  </si>
  <si>
    <t>BEA.HAR.STYL</t>
  </si>
  <si>
    <t>Hairstyling</t>
  </si>
  <si>
    <t>Penataan Rambut</t>
  </si>
  <si>
    <t>hairstyle · catok · kepang · hair color</t>
  </si>
  <si>
    <t>FAS</t>
  </si>
  <si>
    <t>Mode</t>
  </si>
  <si>
    <t>fashion · gaya · outfit · ootd · busana</t>
  </si>
  <si>
    <t>FAS.STR</t>
  </si>
  <si>
    <t>streetwear · sneakers · oversized · thrift · kaos</t>
  </si>
  <si>
    <t>FAS.STR.SNKR</t>
  </si>
  <si>
    <t>Sneakers &amp; Footwear</t>
  </si>
  <si>
    <t>Sepatu &amp; Sneakers</t>
  </si>
  <si>
    <t>sneakers · sepatu · unboxing sepatu · colorway</t>
  </si>
  <si>
    <t>FAS.STR.THRF</t>
  </si>
  <si>
    <t>Thrift &amp; Preloved</t>
  </si>
  <si>
    <t>thrift · preloved · thrifting · barang second</t>
  </si>
  <si>
    <t>FAS.HJB</t>
  </si>
  <si>
    <t>Fashion Hijab</t>
  </si>
  <si>
    <t>hijab · hijabers · muslimah · modest · kerudung · syari</t>
  </si>
  <si>
    <t>FAS.HJB.STYL</t>
  </si>
  <si>
    <t>Hijab Styling</t>
  </si>
  <si>
    <t>Tutorial Hijab</t>
  </si>
  <si>
    <t>tutorial hijab · pashmina · hijab segi empat</t>
  </si>
  <si>
    <t>FAS.HJB.OCCA</t>
  </si>
  <si>
    <t>Modest Occasion Wear</t>
  </si>
  <si>
    <t>Busana Acara Muslimah</t>
  </si>
  <si>
    <t>gamis · kondangan · lebaran · baju raya</t>
  </si>
  <si>
    <t>FAS.LOC</t>
  </si>
  <si>
    <t>Local Brand</t>
  </si>
  <si>
    <t>Brand Lokal</t>
  </si>
  <si>
    <t>local brand · brand lokal · umkm · produk lokal · karya anak bangsa</t>
  </si>
  <si>
    <t>FAS.LOC.HAUL</t>
  </si>
  <si>
    <t>Local Brand Haul</t>
  </si>
  <si>
    <t>Haul Brand Lokal</t>
  </si>
  <si>
    <t>haul · checkout · racun belanja · brand lokal</t>
  </si>
  <si>
    <t>FAS.LOC.DSGN</t>
  </si>
  <si>
    <t>Local Designer</t>
  </si>
  <si>
    <t>Desainer Lokal</t>
  </si>
  <si>
    <t>desainer · koleksi · runway · capsule</t>
  </si>
  <si>
    <t>FOD</t>
  </si>
  <si>
    <t>Makanan</t>
  </si>
  <si>
    <t>food · kuliner · makanan · jajan · resep · foodie</t>
  </si>
  <si>
    <t>FOD.CUL</t>
  </si>
  <si>
    <t>Review Kuliner</t>
  </si>
  <si>
    <t>kuliner · review makanan · food review · jajanan · warung</t>
  </si>
  <si>
    <t>FOD.CUL.STRE</t>
  </si>
  <si>
    <t>Street Food</t>
  </si>
  <si>
    <t>Jajanan Kaki Lima</t>
  </si>
  <si>
    <t>kaki lima · street food · jajanan · gerobak</t>
  </si>
  <si>
    <t>FOD.CUL.REST</t>
  </si>
  <si>
    <t>Restaurant Review</t>
  </si>
  <si>
    <t>Review Restoran</t>
  </si>
  <si>
    <t>restoran · all you can eat · fine dining · menu baru</t>
  </si>
  <si>
    <t>FOD.CUL.MUKB</t>
  </si>
  <si>
    <t>Mukbang</t>
  </si>
  <si>
    <t>mukbang · makan besar · asmr makan</t>
  </si>
  <si>
    <t>FOD.HCK</t>
  </si>
  <si>
    <t>Masak Rumahan</t>
  </si>
  <si>
    <t>resep · masak · cooking · dapur · masakan rumahan</t>
  </si>
  <si>
    <t>FOD.HCK.DAIL</t>
  </si>
  <si>
    <t>Everyday Recipe</t>
  </si>
  <si>
    <t>Resep Harian</t>
  </si>
  <si>
    <t>resep praktis · menu harian · bekal · anak kos</t>
  </si>
  <si>
    <t>FOD.HCK.BAKE</t>
  </si>
  <si>
    <t>Baking &amp; Dessert</t>
  </si>
  <si>
    <t>Kue &amp; Dessert</t>
  </si>
  <si>
    <t>baking · kue · dessert · roti</t>
  </si>
  <si>
    <t>FOD.BEV</t>
  </si>
  <si>
    <t>Kopi &amp; Minuman</t>
  </si>
  <si>
    <t>kopi · coffee · minuman · cafe · barista · boba</t>
  </si>
  <si>
    <t>FOD.BEV.BREW</t>
  </si>
  <si>
    <t>Coffee Brewing</t>
  </si>
  <si>
    <t>Seduh Kopi</t>
  </si>
  <si>
    <t>manual brew · espresso · v60 · biji kopi</t>
  </si>
  <si>
    <t>FOD.BEV.CAFE</t>
  </si>
  <si>
    <t>Cafe Hopping</t>
  </si>
  <si>
    <t>cafe · coffee shop · nongkrong · aesthetic cafe</t>
  </si>
  <si>
    <t>FIT</t>
  </si>
  <si>
    <t>Kebugaran</t>
  </si>
  <si>
    <t>fitness · olahraga · workout · sehat · gym · diet</t>
  </si>
  <si>
    <t>FIT.HOM</t>
  </si>
  <si>
    <t>Olahraga di Rumah</t>
  </si>
  <si>
    <t>home workout · olahraga di rumah · senam · pilates · yoga</t>
  </si>
  <si>
    <t>FIT.HOM.BODY</t>
  </si>
  <si>
    <t>Bodyweight Routine</t>
  </si>
  <si>
    <t>Latihan Tanpa Alat</t>
  </si>
  <si>
    <t>tanpa alat · bodyweight · hiit · plank</t>
  </si>
  <si>
    <t>FIT.HOM.YOGA</t>
  </si>
  <si>
    <t>Yoga &amp; Pilates</t>
  </si>
  <si>
    <t>yoga · pilates · stretching · peregangan</t>
  </si>
  <si>
    <t>FIT.GYM</t>
  </si>
  <si>
    <t>Gym &amp; Latihan Beban</t>
  </si>
  <si>
    <t>gym · angkat beban · strength · fitness center · bulking</t>
  </si>
  <si>
    <t>FIT.GYM.PROG</t>
  </si>
  <si>
    <t>Strength Program</t>
  </si>
  <si>
    <t>Program Latihan</t>
  </si>
  <si>
    <t>program latihan · push pull legs · progressive overload</t>
  </si>
  <si>
    <t>FIT.GYM.NUTR</t>
  </si>
  <si>
    <t>Supplement &amp; Nutrition</t>
  </si>
  <si>
    <t>Suplemen &amp; Nutrisi</t>
  </si>
  <si>
    <t>whey · protein · suplemen · defisit kalori</t>
  </si>
  <si>
    <t>FIT.RUN</t>
  </si>
  <si>
    <t>Running</t>
  </si>
  <si>
    <t>Lari</t>
  </si>
  <si>
    <t>lari · running · marathon · sepatu lari</t>
  </si>
  <si>
    <t>FIT.RUN.RACE</t>
  </si>
  <si>
    <t>Race &amp; Event</t>
  </si>
  <si>
    <t>Lomba &amp; Event Lari</t>
  </si>
  <si>
    <t>race · marathon · fun run · finish time</t>
  </si>
  <si>
    <t>FIT.RUN.GEAR</t>
  </si>
  <si>
    <t>Running Gear</t>
  </si>
  <si>
    <t>Perlengkapan Lari</t>
  </si>
  <si>
    <t>sepatu lari · gear lari · jam lari</t>
  </si>
  <si>
    <t>TEC</t>
  </si>
  <si>
    <t>Teknologi</t>
  </si>
  <si>
    <t>tech · teknologi · gadget · digital</t>
  </si>
  <si>
    <t>TEC.GDG</t>
  </si>
  <si>
    <t>Review Gadget</t>
  </si>
  <si>
    <t>gadget · review hp · smartphone · unboxing · spesifikasi</t>
  </si>
  <si>
    <t>TEC.GDG.PHON</t>
  </si>
  <si>
    <t>Smartphone Review</t>
  </si>
  <si>
    <t>Review Ponsel</t>
  </si>
  <si>
    <t>hp baru · kamera hp · benchmark · flagship</t>
  </si>
  <si>
    <t>TEC.GDG.WEAR</t>
  </si>
  <si>
    <t>Audio &amp; Wearable</t>
  </si>
  <si>
    <t>tws · earbuds · smartwatch · headphone</t>
  </si>
  <si>
    <t>TEC.SAAS</t>
  </si>
  <si>
    <t>software · aplikasi · saas · tools · no-code</t>
  </si>
  <si>
    <t>TEC.SAAS.BIZ</t>
  </si>
  <si>
    <t>Business Software</t>
  </si>
  <si>
    <t>Software Bisnis</t>
  </si>
  <si>
    <t>crm · erp · invoice · aplikasi kasir</t>
  </si>
  <si>
    <t>TEC.SAAS.DEV</t>
  </si>
  <si>
    <t>Developer Tools</t>
  </si>
  <si>
    <t>Tools Developer</t>
  </si>
  <si>
    <t>coding · developer · api · github</t>
  </si>
  <si>
    <t>TEC.AIP</t>
  </si>
  <si>
    <t>AI &amp; Productivity</t>
  </si>
  <si>
    <t>AI &amp; Produktivitas</t>
  </si>
  <si>
    <t>ai · kecerdasan buatan · chatgpt · produktivitas · automation</t>
  </si>
  <si>
    <t>TEC.AIP.TOOL</t>
  </si>
  <si>
    <t>AI Tools</t>
  </si>
  <si>
    <t>Tools AI</t>
  </si>
  <si>
    <t>prompt · ai tools · generatif · copilot</t>
  </si>
  <si>
    <t>TEC.AIP.FLOW</t>
  </si>
  <si>
    <t>Workflow &amp; Automation</t>
  </si>
  <si>
    <t>Alur Kerja &amp; Otomasi</t>
  </si>
  <si>
    <t>otomatisasi · workflow · notion · spreadsheet</t>
  </si>
  <si>
    <t>FIN</t>
  </si>
  <si>
    <t>Keuangan</t>
  </si>
  <si>
    <t>finance · keuangan · uang · cuan · finansial</t>
  </si>
  <si>
    <t>FIN.PFN</t>
  </si>
  <si>
    <t>Keuangan Pribadi</t>
  </si>
  <si>
    <t>keuangan pribadi · budgeting · menabung · dana darurat · gaji</t>
  </si>
  <si>
    <t>FIN.PFN.BUDG</t>
  </si>
  <si>
    <t>Budgeting &amp; Saving</t>
  </si>
  <si>
    <t>Atur Anggaran &amp; Menabung</t>
  </si>
  <si>
    <t>budgeting · catat pengeluaran · dana darurat</t>
  </si>
  <si>
    <t>FIN.PFN.DEBT</t>
  </si>
  <si>
    <t>Debt &amp; Credit</t>
  </si>
  <si>
    <t>Utang &amp; Kredit</t>
  </si>
  <si>
    <t>utang · paylater · kartu kredit · pinjol</t>
  </si>
  <si>
    <t>FIN.INV</t>
  </si>
  <si>
    <t>Investasi</t>
  </si>
  <si>
    <t>investasi · saham · reksadana · crypto · portofolio</t>
  </si>
  <si>
    <t>FIN.INV.STCK</t>
  </si>
  <si>
    <t>Stock &amp; Mutual Fund</t>
  </si>
  <si>
    <t>Saham &amp; Reksadana</t>
  </si>
  <si>
    <t>saham · reksadana · ihsg · dividen</t>
  </si>
  <si>
    <t>FIN.INV.CRYP</t>
  </si>
  <si>
    <t>Crypto &amp; Digital Asset</t>
  </si>
  <si>
    <t>Kripto &amp; Aset Digital</t>
  </si>
  <si>
    <t>crypto · bitcoin · kripto · blockchain</t>
  </si>
  <si>
    <t>FIN.BIZ</t>
  </si>
  <si>
    <t>Bisnis</t>
  </si>
  <si>
    <t>bisnis · usaha · umkm · entrepreneur · startup</t>
  </si>
  <si>
    <t>FIN.BIZ.SME</t>
  </si>
  <si>
    <t>SME &amp; Entrepreneurship</t>
  </si>
  <si>
    <t>UMKM &amp; Wirausaha</t>
  </si>
  <si>
    <t>umkm · jualan · modal usaha · reseller</t>
  </si>
  <si>
    <t>FIN.BIZ.STUP</t>
  </si>
  <si>
    <t>Startup &amp; Funding</t>
  </si>
  <si>
    <t>Startup &amp; Pendanaan</t>
  </si>
  <si>
    <t>startup · funding · pitch deck · valuasi</t>
  </si>
  <si>
    <t>EDU</t>
  </si>
  <si>
    <t>Edukasi</t>
  </si>
  <si>
    <t>edukasi · belajar · pendidikan · kelas · kuliah</t>
  </si>
  <si>
    <t>EDU.STU</t>
  </si>
  <si>
    <t>Tips Belajar</t>
  </si>
  <si>
    <t>study tips · utbk · snbt · sekolah · ujian</t>
  </si>
  <si>
    <t>EDU.STU.EXAM</t>
  </si>
  <si>
    <t>Exam Preparation</t>
  </si>
  <si>
    <t>Persiapan Ujian</t>
  </si>
  <si>
    <t>utbk · snbt · try out · ujian</t>
  </si>
  <si>
    <t>EDU.STU.METH</t>
  </si>
  <si>
    <t>Study Method</t>
  </si>
  <si>
    <t>Metode Belajar</t>
  </si>
  <si>
    <t>pomodoro · catatan · study with me · mind map</t>
  </si>
  <si>
    <t>EDU.LNG</t>
  </si>
  <si>
    <t>Bahasa</t>
  </si>
  <si>
    <t>bahasa · english · ielts · toefl · grammar</t>
  </si>
  <si>
    <t>EDU.LNG.ENGL</t>
  </si>
  <si>
    <t>English Learning</t>
  </si>
  <si>
    <t>Belajar Bahasa Inggris</t>
  </si>
  <si>
    <t>english · grammar · speaking · vocabulary</t>
  </si>
  <si>
    <t>EDU.LNG.OTHR</t>
  </si>
  <si>
    <t>Other Languages</t>
  </si>
  <si>
    <t>Bahasa Lain</t>
  </si>
  <si>
    <t>bahasa jepang · bahasa korea · mandarin</t>
  </si>
  <si>
    <t>EDU.CAR</t>
  </si>
  <si>
    <t>Career</t>
  </si>
  <si>
    <t>Karier</t>
  </si>
  <si>
    <t>karier · karir · interview · lowongan · fresh graduate</t>
  </si>
  <si>
    <t>EDU.CAR.HUNT</t>
  </si>
  <si>
    <t>Job Hunting &amp; CV</t>
  </si>
  <si>
    <t>Cari Kerja &amp; CV</t>
  </si>
  <si>
    <t>cv · lamaran · interview · loker</t>
  </si>
  <si>
    <t>EDU.CAR.SKIL</t>
  </si>
  <si>
    <t>Skill &amp; Certification</t>
  </si>
  <si>
    <t>Skill &amp; Sertifikasi</t>
  </si>
  <si>
    <t>sertifikasi · kursus · upskilling · bootcamp</t>
  </si>
  <si>
    <t>LIF</t>
  </si>
  <si>
    <t>Gaya Hidup</t>
  </si>
  <si>
    <t>lifestyle · gaya hidup · keseharian · daily</t>
  </si>
  <si>
    <t>LIF.VLG</t>
  </si>
  <si>
    <t>Vlog Harian</t>
  </si>
  <si>
    <t>vlog · daily vlog · keseharian · day in my life</t>
  </si>
  <si>
    <t>LIF.VLG.DAY</t>
  </si>
  <si>
    <t>Day in the Life</t>
  </si>
  <si>
    <t>Sehari Bersama</t>
  </si>
  <si>
    <t>day in my life · morning routine · night routine</t>
  </si>
  <si>
    <t>LIF.VLG.WKND</t>
  </si>
  <si>
    <t>Weekend &amp; Hangout</t>
  </si>
  <si>
    <t>Akhir Pekan &amp; Nongkrong</t>
  </si>
  <si>
    <t>weekend · nongkrong · hangout · me time</t>
  </si>
  <si>
    <t>LIF.SLF</t>
  </si>
  <si>
    <t>Pengembangan Diri</t>
  </si>
  <si>
    <t>self improvement · motivasi · produktif · mindset · journaling</t>
  </si>
  <si>
    <t>LIF.SLF.HABT</t>
  </si>
  <si>
    <t>Habit &amp; Routine</t>
  </si>
  <si>
    <t>Kebiasaan &amp; Rutinitas</t>
  </si>
  <si>
    <t>habit · rutinitas · konsisten · journaling</t>
  </si>
  <si>
    <t>LIF.SLF.MIND</t>
  </si>
  <si>
    <t>Mindset &amp; Motivation</t>
  </si>
  <si>
    <t>Mindset &amp; Motivasi</t>
  </si>
  <si>
    <t>mindset · motivasi · overthinking · healing</t>
  </si>
  <si>
    <t>LIF.MIN</t>
  </si>
  <si>
    <t>Minimalism</t>
  </si>
  <si>
    <t>Minimalis</t>
  </si>
  <si>
    <t>minimalis · decluttering · hidup sederhana · slow living</t>
  </si>
  <si>
    <t>LIF.MIN.DECL</t>
  </si>
  <si>
    <t>Decluttering</t>
  </si>
  <si>
    <t>Beberes &amp; Kurangi Barang</t>
  </si>
  <si>
    <t>decluttering · buang barang · capsule wardrobe</t>
  </si>
  <si>
    <t>LIF.MIN.SLOW</t>
  </si>
  <si>
    <t>Slow Living</t>
  </si>
  <si>
    <t>slow living · mindful · hidup sederhana</t>
  </si>
  <si>
    <t>TRV</t>
  </si>
  <si>
    <t>Wisata</t>
  </si>
  <si>
    <t>travel · jalan-jalan · wisata · liburan · trip</t>
  </si>
  <si>
    <t>TRV.DOM</t>
  </si>
  <si>
    <t>Wisata Domestik</t>
  </si>
  <si>
    <t>wisata lokal · destinasi · pantai · gunung · explore indonesia</t>
  </si>
  <si>
    <t>TRV.DOM.NATR</t>
  </si>
  <si>
    <t>Nature &amp; Outdoor</t>
  </si>
  <si>
    <t>Alam &amp; Luar Ruang</t>
  </si>
  <si>
    <t>pantai · gunung · air terjun · camping</t>
  </si>
  <si>
    <t>TRV.DOM.CITY</t>
  </si>
  <si>
    <t>City &amp; Culture</t>
  </si>
  <si>
    <t>Kota &amp; Budaya</t>
  </si>
  <si>
    <t>kota tua · museum · budaya · heritage</t>
  </si>
  <si>
    <t>TRV.BGT</t>
  </si>
  <si>
    <t>Wisata Hemat</t>
  </si>
  <si>
    <t>budget travel · hemat · backpacker · itinerary murah</t>
  </si>
  <si>
    <t>TRV.BGT.BPCK</t>
  </si>
  <si>
    <t>Backpacking</t>
  </si>
  <si>
    <t>backpacker · hostel · open trip</t>
  </si>
  <si>
    <t>TRV.BGT.ITIN</t>
  </si>
  <si>
    <t>Itinerary &amp; Tips</t>
  </si>
  <si>
    <t>itinerary · tips liburan · tiket murah · promo</t>
  </si>
  <si>
    <t>TRV.STY</t>
  </si>
  <si>
    <t>Staycation &amp; Hotel</t>
  </si>
  <si>
    <t>staycation · hotel · resort · review hotel · penginapan · villa</t>
  </si>
  <si>
    <t>TRV.STY.REVW</t>
  </si>
  <si>
    <t>Hotel Review</t>
  </si>
  <si>
    <t>Review Hotel</t>
  </si>
  <si>
    <t>review hotel · room tour · breakfast · rooftop</t>
  </si>
  <si>
    <t>TRV.STY.FAM</t>
  </si>
  <si>
    <t>Family Staycation</t>
  </si>
  <si>
    <t>Staycation Keluarga</t>
  </si>
  <si>
    <t>staycation keluarga · kolam anak · family room</t>
  </si>
  <si>
    <t>PAR</t>
  </si>
  <si>
    <t>Pengasuhan</t>
  </si>
  <si>
    <t>parenting · ibu · anak · keluarga · bunda</t>
  </si>
  <si>
    <t>PAR.MOM</t>
  </si>
  <si>
    <t>Kehidupan Ibu</t>
  </si>
  <si>
    <t>momlife · ibu rumah tangga · moms · bunda · working mom</t>
  </si>
  <si>
    <t>PAR.MOM.DAIL</t>
  </si>
  <si>
    <t>Daily Momlife</t>
  </si>
  <si>
    <t>Keseharian Ibu</t>
  </si>
  <si>
    <t>momlife · drama ibu · me time ibu</t>
  </si>
  <si>
    <t>PAR.MOM.PROD</t>
  </si>
  <si>
    <t>Mom Product Review</t>
  </si>
  <si>
    <t>Review Produk Ibu</t>
  </si>
  <si>
    <t>review produk anak · rekomendasi ibu · stroller</t>
  </si>
  <si>
    <t>PAR.KID</t>
  </si>
  <si>
    <t>Anak &amp; Keluarga</t>
  </si>
  <si>
    <t>anak · keluarga · mainan · sekolah anak</t>
  </si>
  <si>
    <t>PAR.KID.ACTV</t>
  </si>
  <si>
    <t>Kids Activity</t>
  </si>
  <si>
    <t>Aktivitas Anak</t>
  </si>
  <si>
    <t>mainan · aktivitas anak · montessori · playdate</t>
  </si>
  <si>
    <t>PAR.KID.TRIP</t>
  </si>
  <si>
    <t>Family Trip &amp; Routine</t>
  </si>
  <si>
    <t>Jalan &amp; Rutinitas Keluarga</t>
  </si>
  <si>
    <t>liburan keluarga · rutinitas keluarga</t>
  </si>
  <si>
    <t>PAR.PRG</t>
  </si>
  <si>
    <t>Pregnancy &amp; Newborn</t>
  </si>
  <si>
    <t>Kehamilan &amp; Bayi</t>
  </si>
  <si>
    <t>hamil · kehamilan · newborn · bayi · mpasi · menyusui</t>
  </si>
  <si>
    <t>PAR.PRG.JRNY</t>
  </si>
  <si>
    <t>Pregnancy Journey</t>
  </si>
  <si>
    <t>Perjalanan Kehamilan</t>
  </si>
  <si>
    <t>trimester · usg · persiapan lahiran</t>
  </si>
  <si>
    <t>PAR.PRG.CARE</t>
  </si>
  <si>
    <t>Newborn Care &amp; MPASI</t>
  </si>
  <si>
    <t>Perawatan Bayi &amp; MPASI</t>
  </si>
  <si>
    <t>mpasi · asi · popok · newborn</t>
  </si>
  <si>
    <t>ENT</t>
  </si>
  <si>
    <t>Hiburan</t>
  </si>
  <si>
    <t>hiburan · entertainment · viral</t>
  </si>
  <si>
    <t>ENT.COM</t>
  </si>
  <si>
    <t>Komedi</t>
  </si>
  <si>
    <t>komedi · lucu · humor · skit · prank · receh</t>
  </si>
  <si>
    <t>ENT.COM.SKIT</t>
  </si>
  <si>
    <t>Sketch &amp; Skit</t>
  </si>
  <si>
    <t>Sketsa &amp; Skit</t>
  </si>
  <si>
    <t>skit · sketsa · parodi · relate</t>
  </si>
  <si>
    <t>ENT.COM.REAC</t>
  </si>
  <si>
    <t>Reaction &amp; Commentary</t>
  </si>
  <si>
    <t>Reaksi &amp; Komentar</t>
  </si>
  <si>
    <t>reaction · komentar · review lucu</t>
  </si>
  <si>
    <t>ENT.MUS</t>
  </si>
  <si>
    <t>Musik</t>
  </si>
  <si>
    <t>musik · music · cover lagu · nyanyi · band</t>
  </si>
  <si>
    <t>ENT.MUS.COVR</t>
  </si>
  <si>
    <t>Cover &amp; Performance</t>
  </si>
  <si>
    <t>Cover &amp; Penampilan</t>
  </si>
  <si>
    <t>cover lagu · akustik · live session · busking</t>
  </si>
  <si>
    <t>ENT.MUS.REVW</t>
  </si>
  <si>
    <t>Music Review</t>
  </si>
  <si>
    <t>Ulasan Musik</t>
  </si>
  <si>
    <t>review album · rekomendasi lagu · playlist</t>
  </si>
  <si>
    <t>ENT.FLM</t>
  </si>
  <si>
    <t>Film &amp; Series</t>
  </si>
  <si>
    <t>Film &amp; Serial</t>
  </si>
  <si>
    <t>film · series · drakor · bioskop · rekomendasi film</t>
  </si>
  <si>
    <t>ENT.FLM.REVW</t>
  </si>
  <si>
    <t>Film &amp; Series Review</t>
  </si>
  <si>
    <t>Ulasan Film &amp; Serial</t>
  </si>
  <si>
    <t>review film · spoiler · ending · drakor</t>
  </si>
  <si>
    <t>ENT.FLM.RECO</t>
  </si>
  <si>
    <t>Recommendation List</t>
  </si>
  <si>
    <t>Daftar Rekomendasi</t>
  </si>
  <si>
    <t>rekomendasi film · wajib tonton · netflix</t>
  </si>
  <si>
    <t>GAM</t>
  </si>
  <si>
    <t>Gim</t>
  </si>
  <si>
    <t>gaming · game · gamer · main game</t>
  </si>
  <si>
    <t>GAM.MOB</t>
  </si>
  <si>
    <t>Gim Mobile</t>
  </si>
  <si>
    <t>mobile legends · free fire · pubg · mobile game</t>
  </si>
  <si>
    <t>GAM.MOB.PLAY</t>
  </si>
  <si>
    <t>Gameplay &amp; Highlight</t>
  </si>
  <si>
    <t>Gameplay &amp; Cuplikan</t>
  </si>
  <si>
    <t>gameplay · highlight · push rank · savage</t>
  </si>
  <si>
    <t>GAM.MOB.META</t>
  </si>
  <si>
    <t>Tips &amp; Meta</t>
  </si>
  <si>
    <t>build · meta · tier list · tips main</t>
  </si>
  <si>
    <t>GAM.PCC</t>
  </si>
  <si>
    <t>PC &amp; Konsol</t>
  </si>
  <si>
    <t>konsol · console · steam · playstation · rakit pc</t>
  </si>
  <si>
    <t>GAM.PCC.BULD</t>
  </si>
  <si>
    <t>PC Build &amp; Setup</t>
  </si>
  <si>
    <t>Rakit PC &amp; Setup</t>
  </si>
  <si>
    <t>rakit pc · setup gaming · gpu · peripheral</t>
  </si>
  <si>
    <t>GAM.PCC.PLAY</t>
  </si>
  <si>
    <t>Console Gameplay</t>
  </si>
  <si>
    <t>Gameplay Konsol</t>
  </si>
  <si>
    <t>playthrough · walkthrough · ps5 · nintendo</t>
  </si>
  <si>
    <t>GAM.ESP</t>
  </si>
  <si>
    <t>Esports</t>
  </si>
  <si>
    <t>esports · turnamen · tournament · pro player</t>
  </si>
  <si>
    <t>GAM.ESP.TOUR</t>
  </si>
  <si>
    <t>Tournament &amp; Team</t>
  </si>
  <si>
    <t>Turnamen &amp; Tim</t>
  </si>
  <si>
    <t>turnamen · roster · grand final · liga</t>
  </si>
  <si>
    <t>GAM.ESP.PRO</t>
  </si>
  <si>
    <t>Pro Player Content</t>
  </si>
  <si>
    <t>Konten Pro Player</t>
  </si>
  <si>
    <t>pro player · scrim · analisis pertandingan</t>
  </si>
  <si>
    <t>AUT</t>
  </si>
  <si>
    <t>Otomotif</t>
  </si>
  <si>
    <t>otomotif · automotive · kendaraan · mesin</t>
  </si>
  <si>
    <t>AUT.MTR</t>
  </si>
  <si>
    <t>Motor</t>
  </si>
  <si>
    <t>motor · motorcycle · moge · matic · touring motor</t>
  </si>
  <si>
    <t>AUT.MTR.REVW</t>
  </si>
  <si>
    <t>Motorcycle Review</t>
  </si>
  <si>
    <t>Review Motor</t>
  </si>
  <si>
    <t>review motor · test ride · konsumsi bbm</t>
  </si>
  <si>
    <t>AUT.MTR.RIDE</t>
  </si>
  <si>
    <t>Riding &amp; Touring</t>
  </si>
  <si>
    <t>touring · safety riding · komunitas motor</t>
  </si>
  <si>
    <t>AUT.CAR</t>
  </si>
  <si>
    <t>Review Mobil</t>
  </si>
  <si>
    <t>mobil · test drive · review mobil</t>
  </si>
  <si>
    <t>AUT.CAR.TEST</t>
  </si>
  <si>
    <t>Car Review &amp; Test Drive</t>
  </si>
  <si>
    <t>Review &amp; Test Drive</t>
  </si>
  <si>
    <t>test drive · review mobil · interior mobil</t>
  </si>
  <si>
    <t>AUT.CAR.EV</t>
  </si>
  <si>
    <t>EV &amp; New Energy</t>
  </si>
  <si>
    <t>Mobil Listrik</t>
  </si>
  <si>
    <t>mobil listrik · ev · hybrid · charging</t>
  </si>
  <si>
    <t>AUT.MOD</t>
  </si>
  <si>
    <t>Modification &amp; Aftermarket</t>
  </si>
  <si>
    <t>Modifikasi &amp; Aftermarket</t>
  </si>
  <si>
    <t>modifikasi · modif · velg · aftermarket · restorasi</t>
  </si>
  <si>
    <t>AUT.MOD.BULD</t>
  </si>
  <si>
    <t>Modification Build</t>
  </si>
  <si>
    <t>Proyek Modifikasi</t>
  </si>
  <si>
    <t>build · modif · restorasi · custom</t>
  </si>
  <si>
    <t>AUT.MOD.PART</t>
  </si>
  <si>
    <t>Parts &amp; Accessories</t>
  </si>
  <si>
    <t>Sparepart &amp; Aksesori</t>
  </si>
  <si>
    <t>sparepart · velg · knalpot · aksesori</t>
  </si>
  <si>
    <t>HNL</t>
  </si>
  <si>
    <t>Rumah &amp; Hunian</t>
  </si>
  <si>
    <t>rumah · hunian · interior · home living</t>
  </si>
  <si>
    <t>HNL.INT</t>
  </si>
  <si>
    <t>interior · dekorasi · desain rumah · ruang tamu</t>
  </si>
  <si>
    <t>HNL.INT.MAKE</t>
  </si>
  <si>
    <t>Room Makeover</t>
  </si>
  <si>
    <t>Makeover Ruangan</t>
  </si>
  <si>
    <t>makeover · room tour · kamar aesthetic</t>
  </si>
  <si>
    <t>HNL.INT.DECO</t>
  </si>
  <si>
    <t>Furniture &amp; Decor</t>
  </si>
  <si>
    <t>Furnitur &amp; Dekorasi</t>
  </si>
  <si>
    <t>furnitur · sofa · dekorasi · lampu</t>
  </si>
  <si>
    <t>HNL.ORG</t>
  </si>
  <si>
    <t>Beberes Rumah</t>
  </si>
  <si>
    <t>beberes · organizing · storage · bersih-bersih · rapi</t>
  </si>
  <si>
    <t>HNL.ORG.STOR</t>
  </si>
  <si>
    <t>Storage &amp; Organizing</t>
  </si>
  <si>
    <t>Penyimpanan &amp; Penataan</t>
  </si>
  <si>
    <t>storage · rak · organizing · lemari</t>
  </si>
  <si>
    <t>HNL.ORG.CLEA</t>
  </si>
  <si>
    <t>Cleaning Routine</t>
  </si>
  <si>
    <t>Rutinitas Bersih-bersih</t>
  </si>
  <si>
    <t>cleaning · bersih-bersih · deep clean</t>
  </si>
  <si>
    <t>HNL.IMP</t>
  </si>
  <si>
    <t>Home Improvement</t>
  </si>
  <si>
    <t>Renovasi Rumah</t>
  </si>
  <si>
    <t>renovasi · bangun rumah · diy rumah · tukang · kpr</t>
  </si>
  <si>
    <t>HNL.IMP.RENO</t>
  </si>
  <si>
    <t>Renovation &amp; DIY</t>
  </si>
  <si>
    <t>Renovasi &amp; DIY</t>
  </si>
  <si>
    <t>renovasi · diy · rab · tukang</t>
  </si>
  <si>
    <t>HNL.IMP.FRST</t>
  </si>
  <si>
    <t>First Home &amp; KPR</t>
  </si>
  <si>
    <t>Rumah Pertama &amp; KPR</t>
  </si>
  <si>
    <t>kpr · rumah pertama · cicilan rumah · developer</t>
  </si>
  <si>
    <t>D. BRAND TAXONOMY  ·  Industry → Niche. Industry drives Industry Match through matrix 5; Niche drives nothing at all today, which is what section E is for.</t>
  </si>
  <si>
    <t>Matching keywords</t>
  </si>
  <si>
    <t>TECH</t>
  </si>
  <si>
    <t>B1 Industry</t>
  </si>
  <si>
    <t>Teknologi / SaaS</t>
  </si>
  <si>
    <t>teknologi · software · aplikasi · platform · digital</t>
  </si>
  <si>
    <t>TECH.B2BSAAS</t>
  </si>
  <si>
    <t>B2 Niche</t>
  </si>
  <si>
    <t>SaaS B2B</t>
  </si>
  <si>
    <t>saas · b2b · dashboard · langganan · enterprise</t>
  </si>
  <si>
    <t>TECH.CONAPP</t>
  </si>
  <si>
    <t>Consumer App</t>
  </si>
  <si>
    <t>Aplikasi Konsumen</t>
  </si>
  <si>
    <t>aplikasi · app · download · pengguna · fitur baru</t>
  </si>
  <si>
    <t>BEAUTY</t>
  </si>
  <si>
    <t>Kecantikan &amp; Perawatan Kulit</t>
  </si>
  <si>
    <t>kecantikan · skincare · kosmetik · perawatan</t>
  </si>
  <si>
    <t>BEAUTY.CLEAN</t>
  </si>
  <si>
    <t>Clean Beauty</t>
  </si>
  <si>
    <t>clean beauty · bahan alami · vegan · cruelty free · bpom</t>
  </si>
  <si>
    <t>BEAUTY.DERMA</t>
  </si>
  <si>
    <t>Skincare Dermatologi</t>
  </si>
  <si>
    <t>dermatologi · klinik kecantikan · active ingredient · retinol · niacinamide</t>
  </si>
  <si>
    <t>FNB</t>
  </si>
  <si>
    <t>Makanan &amp; Minuman</t>
  </si>
  <si>
    <t>makanan · minuman · kuliner · resto</t>
  </si>
  <si>
    <t>FNB.LOCALFNB</t>
  </si>
  <si>
    <t>Local F&amp;B</t>
  </si>
  <si>
    <t>F&amp;B Lokal</t>
  </si>
  <si>
    <t>resto lokal · outlet · cabang baru · menu baru · franchise</t>
  </si>
  <si>
    <t>FNB.RTD</t>
  </si>
  <si>
    <t>Minuman Siap Minum</t>
  </si>
  <si>
    <t>minuman kemasan · botol · sachet · isotonik</t>
  </si>
  <si>
    <t>FASHION</t>
  </si>
  <si>
    <t>Fashion &amp; Apparel</t>
  </si>
  <si>
    <t>Mode &amp; Pakaian</t>
  </si>
  <si>
    <t>fashion · pakaian · apparel · koleksi</t>
  </si>
  <si>
    <t>FASHION.MODEST</t>
  </si>
  <si>
    <t>Modest Fashion</t>
  </si>
  <si>
    <t>Fashion Muslimah</t>
  </si>
  <si>
    <t>modest · hijab · muslimah · gamis · syari</t>
  </si>
  <si>
    <t>FASHION.ATHL</t>
  </si>
  <si>
    <t>Athleisure</t>
  </si>
  <si>
    <t>athleisure · sportswear · legging · activewear</t>
  </si>
  <si>
    <t>HEALTH</t>
  </si>
  <si>
    <t>Health &amp; Fitness</t>
  </si>
  <si>
    <t>Kesehatan &amp; Kebugaran</t>
  </si>
  <si>
    <t>kesehatan · kebugaran · sehat · fitness</t>
  </si>
  <si>
    <t>HEALTH.GYMSTUDIO</t>
  </si>
  <si>
    <t>Gym &amp; Studio</t>
  </si>
  <si>
    <t>gym · studio · membership · personal trainer</t>
  </si>
  <si>
    <t>HEALTH.SUPP</t>
  </si>
  <si>
    <t>suplemen · vitamin · protein · nutrisi · herbal</t>
  </si>
  <si>
    <t>FINSVC</t>
  </si>
  <si>
    <t>Financial Services</t>
  </si>
  <si>
    <t>Jasa Keuangan</t>
  </si>
  <si>
    <t>keuangan · bank · ojk · pembayaran</t>
  </si>
  <si>
    <t>FINSVC.DIGIBANK</t>
  </si>
  <si>
    <t>Digital Banking</t>
  </si>
  <si>
    <t>Bank Digital</t>
  </si>
  <si>
    <t>bank digital · tabungan · transfer · qris · e-wallet</t>
  </si>
  <si>
    <t>FINSVC.INVPLAT</t>
  </si>
  <si>
    <t>Investment Platform</t>
  </si>
  <si>
    <t>Platform Investasi</t>
  </si>
  <si>
    <t>sekuritas · reksadana · portofolio · trading</t>
  </si>
  <si>
    <t>EDUC</t>
  </si>
  <si>
    <t>Pendidikan</t>
  </si>
  <si>
    <t>pendidikan · belajar · kursus · sekolah</t>
  </si>
  <si>
    <t>EDUC.EDUTECH</t>
  </si>
  <si>
    <t>Edutech</t>
  </si>
  <si>
    <t>edutech · kelas online · platform belajar · bimbel online</t>
  </si>
  <si>
    <t>EDUC.TESTPREP</t>
  </si>
  <si>
    <t>Test Prep &amp; Course</t>
  </si>
  <si>
    <t>Bimbel &amp; Kursus</t>
  </si>
  <si>
    <t>bimbel · try out · utbk · sertifikasi · bootcamp</t>
  </si>
  <si>
    <t>TRAVEL</t>
  </si>
  <si>
    <t>Travel &amp; Hospitality</t>
  </si>
  <si>
    <t>Wisata &amp; Perhotelan</t>
  </si>
  <si>
    <t>wisata · travel · hotel · destinasi</t>
  </si>
  <si>
    <t>TRAVEL.HOTEL</t>
  </si>
  <si>
    <t>Hotel &amp; Resort</t>
  </si>
  <si>
    <t>hotel · resort · staycation · menginap</t>
  </si>
  <si>
    <t>TRAVEL.OTA</t>
  </si>
  <si>
    <t>OTA &amp; Trip</t>
  </si>
  <si>
    <t>OTA &amp; Perjalanan</t>
  </si>
  <si>
    <t>tiket · booking · promo · open trip · itinerary</t>
  </si>
  <si>
    <t>HOMELIV</t>
  </si>
  <si>
    <t>rumah · hunian · peralatan rumah</t>
  </si>
  <si>
    <t>HOMELIV.HOMEESS</t>
  </si>
  <si>
    <t>Home Essentials</t>
  </si>
  <si>
    <t>Kebutuhan Rumah</t>
  </si>
  <si>
    <t>peralatan rumah · kebutuhan rumah · pembersih · dapur</t>
  </si>
  <si>
    <t>HOMELIV.FURN</t>
  </si>
  <si>
    <t>furnitur · mebel · dekorasi · sofa · rak</t>
  </si>
  <si>
    <t>AUTOM</t>
  </si>
  <si>
    <t>otomotif · kendaraan · dealer · showroom</t>
  </si>
  <si>
    <t>AUTOM.MOTOPART</t>
  </si>
  <si>
    <t>Motorcycle &amp; Parts</t>
  </si>
  <si>
    <t>Motor &amp; Sparepart</t>
  </si>
  <si>
    <t>motor · sparepart · oli · ban · servis</t>
  </si>
  <si>
    <t>AUTOM.CAREV</t>
  </si>
  <si>
    <t>Car &amp; EV</t>
  </si>
  <si>
    <t>Mobil &amp; Kendaraan Listrik</t>
  </si>
  <si>
    <t>mobil · ev · kendaraan listrik · dealer · test drive</t>
  </si>
  <si>
    <t>GAMENT</t>
  </si>
  <si>
    <t>Gaming &amp; Entertainment</t>
  </si>
  <si>
    <t>Gim &amp; Hiburan</t>
  </si>
  <si>
    <t>gim · game · hiburan · streaming</t>
  </si>
  <si>
    <t>GAMENT.MOBGAME</t>
  </si>
  <si>
    <t>Mobile Game</t>
  </si>
  <si>
    <t>mobile game · event in-game · top up · karakter baru</t>
  </si>
  <si>
    <t>GAMENT.STREAM</t>
  </si>
  <si>
    <t>Streaming &amp; Music</t>
  </si>
  <si>
    <t>Streaming &amp; Musik</t>
  </si>
  <si>
    <t>streaming · playlist · rilis · konser · series</t>
  </si>
  <si>
    <t>PARENT</t>
  </si>
  <si>
    <t>Parenting &amp; Baby</t>
  </si>
  <si>
    <t>Pengasuhan &amp; Bayi</t>
  </si>
  <si>
    <t>ibu · anak · bayi · keluarga · balita</t>
  </si>
  <si>
    <t>PARENT.FAMNUT</t>
  </si>
  <si>
    <t>Family Nutrition</t>
  </si>
  <si>
    <t>Nutrisi Keluarga</t>
  </si>
  <si>
    <t>nutrisi · susu · gizi · mpasi · tumbuh kembang</t>
  </si>
  <si>
    <t>PARENT.BABYCARE</t>
  </si>
  <si>
    <t>Baby Care</t>
  </si>
  <si>
    <t>Perawatan Bayi</t>
  </si>
  <si>
    <t>popok · bayi · newborn · perlengkapan bayi · stroller</t>
  </si>
  <si>
    <t>E. CROSSWALK  ·  brand niche → creator sub category. Every sub category of every category a niche spoke about, so the ladder can be read whole. A category absent here is one no niche has an opinion about, and matrix 5 governs it.</t>
  </si>
  <si>
    <t>Sub Cat. Code</t>
  </si>
  <si>
    <t>Creator Sub Category</t>
  </si>
  <si>
    <t>Parent Category</t>
  </si>
  <si>
    <t>Why</t>
  </si>
  <si>
    <t>Score</t>
  </si>
  <si>
    <t>Matrix 5 says</t>
  </si>
  <si>
    <t>Δ</t>
  </si>
  <si>
    <t>Named by the niche — this is the creator the brief is describing.</t>
  </si>
  <si>
    <t>Not named, while a sibling in this category was — so the silence is an answer.</t>
  </si>
  <si>
    <t>Reached by the niche, but not what it centres on.</t>
  </si>
  <si>
    <t>F. kol_categories → TAXONOMY  ·  the alias table the backend plan is waiting on (backend-validation-10-filters.md:170, owner: Product)  ·  the five names the 8 Sep 2026 audit measured</t>
  </si>
  <si>
    <t>Raw kol_categories.name</t>
  </si>
  <si>
    <t>Creators</t>
  </si>
  <si>
    <t>Maps to code</t>
  </si>
  <si>
    <t>Node</t>
  </si>
  <si>
    <t>Decision</t>
  </si>
  <si>
    <t>Maps cleanly to L1. Also the dumping ground: 2.522 of 4.174 categorised creators sit here, so on its own it barely narrows a search. Sub-category classification is what breaks it up.</t>
  </si>
  <si>
    <t>Maps cleanly to L1. With Lifestyle this is 90,9% of every categorised creator.</t>
  </si>
  <si>
    <t>Moms</t>
  </si>
  <si>
    <t>CONTENT + AUDIENCE</t>
  </si>
  <si>
    <t>The content half maps to Parenting → Momlife. The audience half — female, 25-44, parent — belongs on the audience axis and must not be reached through the category chip.</t>
  </si>
  <si>
    <t>Maps cleanly to L1.</t>
  </si>
  <si>
    <t>Gen Z</t>
  </si>
  <si>
    <t>Not a content category at all: an age band already carried by Audience Age 13-17 / 18-24. Keep the row for backward compatibility, drop it from the category chip, and answer the question with the audience filter built for it.</t>
  </si>
  <si>
    <t>23 more</t>
  </si>
  <si>
    <t>not read</t>
  </si>
  <si>
    <t>?</t>
  </si>
  <si>
    <t>The master table holds 28 rows and all 28 are in use; the 8 Sep 2026 audit measured only the five above. They are left blank rather than guessed — run npm run taxonomy:fetch on the office VPN and they fill in from the server itself.</t>
  </si>
  <si>
    <t>G. CLASSIFYING THE 3.547 CREATORS WITH NO CATEGORY  ·  how a node gets assigned, and what the assignment is then allowed to do</t>
  </si>
  <si>
    <t>Step</t>
  </si>
  <si>
    <t>Detail</t>
  </si>
  <si>
    <t>1. Source of truth</t>
  </si>
  <si>
    <t>An existing kol_categories row always wins</t>
  </si>
  <si>
    <t>If the creator already has category_ids, map them through the alias table and stop. A keyword hit never overwrites a human classification.</t>
  </si>
  <si>
    <t>2. Evidence</t>
  </si>
  <si>
    <t>Bio first, then captions, then audience interest</t>
  </si>
  <si>
    <t>The bio is the creator describing themselves — weight ×2. Recent captions weight ×1. Audience interest is a tie-break only: what an audience likes is not what the creator makes.</t>
  </si>
  <si>
    <t>3. Scoring</t>
  </si>
  <si>
    <t>A keyword hit scores by the level it belongs to</t>
  </si>
  <si>
    <t>A Content Topic (L3) hit scores 3, a Sub Category (L2) hit 2, a Category (L1) hit 1, each multiplied by the evidence weight. Scores roll up — an L3 hit credits its parents too.</t>
  </si>
  <si>
    <t>4. Assignment</t>
  </si>
  <si>
    <t>Assign the level the evidence actually supports</t>
  </si>
  <si>
    <t>Leader ≥ 6 points and ahead of the runner-up by ≥ 2 → assign L2 and its L1. Leader ≥ 3 → assign L1 only. Otherwise leave Uncategorized. At most 3 categories per creator; the DB allows 5 and 1.183 creators already carry more than one.</t>
  </si>
  <si>
    <t>5. Confidence</t>
  </si>
  <si>
    <t>Carry the basis, the way SignalBasis already does</t>
  </si>
  <si>
    <t>live = mapped from kol_categories · calculated = keyword classification above threshold · estimated = L1-only fallback. Discovery may rank on any of the three.</t>
  </si>
  <si>
    <t>6. The hard rule</t>
  </si>
  <si>
    <t>A modelled category ranks; it never gates</t>
  </si>
  <si>
    <t>Category as a HARD FILTER is legitimate only against a live basis. Applied to an estimated one it silently deletes creators on the strength of a guess — the same mistake as the preset chips that ranked by a hash of the creator id.</t>
  </si>
  <si>
    <t>ROLL-UP  ·  counted from the tables above, not typed</t>
  </si>
  <si>
    <t>L1 Categories</t>
  </si>
  <si>
    <t>L2 Sub Categories</t>
  </si>
  <si>
    <t>L3 Content Topics</t>
  </si>
  <si>
    <t>Creator nodes in total</t>
  </si>
  <si>
    <t>Brand industries</t>
  </si>
  <si>
    <t>Brand niches</t>
  </si>
  <si>
    <t>Crosswalk rows</t>
  </si>
  <si>
    <t>— PRIMARY, named by the niche</t>
  </si>
  <si>
    <t>— SECONDARY, reached by the niche</t>
  </si>
  <si>
    <t>— siblings the niche passed over</t>
  </si>
  <si>
    <t>Rows the taxonomy lifts above matrix 5</t>
  </si>
  <si>
    <t>Rows it cuts below matrix 5</t>
  </si>
  <si>
    <t>kol_categories rows mapped so far, of 28</t>
  </si>
  <si>
    <t>SAMPLE BRANDS  ·  three briefs, one roster</t>
  </si>
  <si>
    <t>Columns A–X mirror Brand_Profile — they are lookups, not copies, so a change on Brand_Profile lands here. Columns Y–AD are the outcome: how many creators each brief keeps, how well they score and who wins. Three different answers from one KOL_Database is the whole claim of the workbook, and this is where it is legible in six numbers.</t>
  </si>
  <si>
    <t>Primary Age</t>
  </si>
  <si>
    <t>Secondary Age</t>
  </si>
  <si>
    <t>Target Region</t>
  </si>
  <si>
    <t>Audience Priority</t>
  </si>
  <si>
    <t>Min ER (%)</t>
  </si>
  <si>
    <t>Min Audience Quality</t>
  </si>
  <si>
    <t>Min Brand Safety</t>
  </si>
  <si>
    <t>Eligible Creators</t>
  </si>
  <si>
    <t>Excluded Creators</t>
  </si>
  <si>
    <t>Average Match (eligible)</t>
  </si>
  <si>
    <t>Highest Match</t>
  </si>
  <si>
    <t>Best-Matched Creator</t>
  </si>
  <si>
    <t>Excellent + Strong</t>
  </si>
  <si>
    <t>SAMPLE OUTPUT  ·  the same creator, scored against all three brands</t>
  </si>
  <si>
    <t>The proof that Brand Match is a function of (brand, creator). If this engine were really ranking creators globally, the three score columns would be identical and Score Spread would be zero on every row. Read the roll-up under the table.</t>
  </si>
  <si>
    <t>BRAND-A Score</t>
  </si>
  <si>
    <t>BRAND-A Level</t>
  </si>
  <si>
    <t>BRAND-A Rank</t>
  </si>
  <si>
    <t>BRAND-B Score</t>
  </si>
  <si>
    <t>BRAND-B Level</t>
  </si>
  <si>
    <t>BRAND-B Rank</t>
  </si>
  <si>
    <t>BRAND-C Score</t>
  </si>
  <si>
    <t>BRAND-C Level</t>
  </si>
  <si>
    <t>BRAND-C Rank</t>
  </si>
  <si>
    <t>Score Spread</t>
  </si>
  <si>
    <t>Best-Fit Brand</t>
  </si>
  <si>
    <t>Same score for all three?</t>
  </si>
  <si>
    <t>VERIFICATION  ·  counted from the table above</t>
  </si>
  <si>
    <t>Creators scored</t>
  </si>
  <si>
    <t>Creators whose three scores are identical</t>
  </si>
  <si>
    <t>Should be 0. Any row here would mean the brand inputs made no difference to that creator.</t>
  </si>
  <si>
    <t>Average score spread across the three brands</t>
  </si>
  <si>
    <t>How far apart the three briefs place the average creator.</t>
  </si>
  <si>
    <t>Largest score spread</t>
  </si>
  <si>
    <t>Smallest score spread</t>
  </si>
  <si>
    <t>Brand-dependence verdict</t>
  </si>
  <si>
    <t>TOP 5 PER BRAND  ·  pulled from the score columns above, so it re-sorts itself when an input changes</t>
  </si>
  <si>
    <t>#</t>
  </si>
  <si>
    <t>BRAND-A — Nusatech Cloud</t>
  </si>
  <si>
    <t>BRAND-B — Lumaya Skin</t>
  </si>
  <si>
    <t>BRAND-C — Rasa Nusantara</t>
  </si>
  <si>
    <t>LOOKUP LISTS — vocabularies, relevance matrices and calibration</t>
  </si>
  <si>
    <t>Everything the engine reads that is not a Brand_Profile field or a KOL_Database field lives here. Edit a weight or a matrix cell and every score in the workbook moves — that is the point of the sheet.</t>
  </si>
  <si>
    <t>1. DROPDOWN LISTS  ·  the allowed values for every list field in Brand_Profile and KOL_Database</t>
  </si>
  <si>
    <t>SubCategory</t>
  </si>
  <si>
    <t>AgeBand</t>
  </si>
  <si>
    <t>GenderMajority</t>
  </si>
  <si>
    <t>Country</t>
  </si>
  <si>
    <t>Region</t>
  </si>
  <si>
    <t>City</t>
  </si>
  <si>
    <t>ContentStyle</t>
  </si>
  <si>
    <t>CreatorPersonality</t>
  </si>
  <si>
    <t>BrandPersonality</t>
  </si>
  <si>
    <t>BrandTone</t>
  </si>
  <si>
    <t>CommStyle</t>
  </si>
  <si>
    <t>Positioning</t>
  </si>
  <si>
    <t>Niche</t>
  </si>
  <si>
    <t>PurchaseIntent</t>
  </si>
  <si>
    <t>RiskFlag</t>
  </si>
  <si>
    <t>YesNo</t>
  </si>
  <si>
    <t>AudiencePriority</t>
  </si>
  <si>
    <t>MatchLevel</t>
  </si>
  <si>
    <t>DataStatus</t>
  </si>
  <si>
    <t>BrandID</t>
  </si>
  <si>
    <t>Component</t>
  </si>
  <si>
    <t>RankingPreset</t>
  </si>
  <si>
    <t>Nano</t>
  </si>
  <si>
    <t>13-17</t>
  </si>
  <si>
    <t>Technology</t>
  </si>
  <si>
    <t>Formal</t>
  </si>
  <si>
    <t>Trust</t>
  </si>
  <si>
    <t>Live</t>
  </si>
  <si>
    <t>Micro</t>
  </si>
  <si>
    <t>Male</t>
  </si>
  <si>
    <t>Malaysia</t>
  </si>
  <si>
    <t>Innovation</t>
  </si>
  <si>
    <t>Calculated</t>
  </si>
  <si>
    <t>Mid-tier</t>
  </si>
  <si>
    <t>Singapore</t>
  </si>
  <si>
    <t>Quality</t>
  </si>
  <si>
    <t>Limited Data</t>
  </si>
  <si>
    <t>Estimated</t>
  </si>
  <si>
    <t>Macro</t>
  </si>
  <si>
    <t>Philippines</t>
  </si>
  <si>
    <t>Conversational</t>
  </si>
  <si>
    <t>Transparency</t>
  </si>
  <si>
    <t>Location</t>
  </si>
  <si>
    <t>Mega</t>
  </si>
  <si>
    <t>45+</t>
  </si>
  <si>
    <t>Thailand</t>
  </si>
  <si>
    <t>Productivity</t>
  </si>
  <si>
    <t>Playful</t>
  </si>
  <si>
    <t>Data-driven</t>
  </si>
  <si>
    <t>Sustainability</t>
  </si>
  <si>
    <t>Luxury</t>
  </si>
  <si>
    <t>Excluded</t>
  </si>
  <si>
    <t>Vietnam</t>
  </si>
  <si>
    <t>Inspiring</t>
  </si>
  <si>
    <t>Affordability</t>
  </si>
  <si>
    <t>Authentic</t>
  </si>
  <si>
    <t>Straightforward</t>
  </si>
  <si>
    <t>Community</t>
  </si>
  <si>
    <t>Makassar</t>
  </si>
  <si>
    <t>Bold</t>
  </si>
  <si>
    <t>Testimonial</t>
  </si>
  <si>
    <t>Empowerment</t>
  </si>
  <si>
    <t>Caring</t>
  </si>
  <si>
    <t>Authenticity</t>
  </si>
  <si>
    <t>Sulawesi Selatan</t>
  </si>
  <si>
    <t>Shopping</t>
  </si>
  <si>
    <t>Modern</t>
  </si>
  <si>
    <t>Craftsmanship</t>
  </si>
  <si>
    <t>Health</t>
  </si>
  <si>
    <t>Cooking</t>
  </si>
  <si>
    <t>Family</t>
  </si>
  <si>
    <t>Coffee</t>
  </si>
  <si>
    <t>Fun</t>
  </si>
  <si>
    <t>Home Decor</t>
  </si>
  <si>
    <t>2. SUB CATEGORY → PARENT CATEGORY  ·  used by the Category Match and Sub Category Match ladders</t>
  </si>
  <si>
    <t>3. TIER BANDS  ·  the thresholds tierOf() uses in @/lib/discover/vocab; KOL_Database.Tier is derived from them</t>
  </si>
  <si>
    <t>Min Followers</t>
  </si>
  <si>
    <t>Max Followers</t>
  </si>
  <si>
    <t>4. WEIGHTS, BANDS AND CALIBRATION  ·  every constant the engine uses. Nothing is hard-coded inside a formula.</t>
  </si>
  <si>
    <t>Block</t>
  </si>
  <si>
    <t>Constant</t>
  </si>
  <si>
    <t>What it does</t>
  </si>
  <si>
    <t>COMPONENT WEIGHTS (must total 100)</t>
  </si>
  <si>
    <t>W_BRAND_BUSINESS</t>
  </si>
  <si>
    <t>Weight of component 1 in the Final Match Score.</t>
  </si>
  <si>
    <t>W_TARGET_AUDIENCE</t>
  </si>
  <si>
    <t>Weight of component 2.</t>
  </si>
  <si>
    <t>W_CONTENT_CATEGORY</t>
  </si>
  <si>
    <t>Weight of component 3.</t>
  </si>
  <si>
    <t>W_PERSONALITY</t>
  </si>
  <si>
    <t>Weight of component 4.</t>
  </si>
  <si>
    <t>W_PERFORMANCE</t>
  </si>
  <si>
    <t>Weight of component 5.</t>
  </si>
  <si>
    <t>W_SAFETY</t>
  </si>
  <si>
    <t>Weight of component 6.</t>
  </si>
  <si>
    <t>BRAND &amp; BUSINESS SUB-WEIGHTS</t>
  </si>
  <si>
    <t>W_BB_INDUSTRY</t>
  </si>
  <si>
    <t>Brand Industry against the creator Category, via matrix 5.</t>
  </si>
  <si>
    <t>W_BB_CATEGORY</t>
  </si>
  <si>
    <t>Product / Service Category against the creator Sub Category.</t>
  </si>
  <si>
    <t>W_BB_KEYWORD</t>
  </si>
  <si>
    <t>Main Business Keywords and Brand Keywords found in the creator topics, interests, category and sub category — the two overlap scores averaged.</t>
  </si>
  <si>
    <t>TARGET AUDIENCE SUB-WEIGHTS (base)</t>
  </si>
  <si>
    <t>W_TA_AGE</t>
  </si>
  <si>
    <t>Base weight before Audience Demographics Priority is applied.</t>
  </si>
  <si>
    <t>W_TA_GENDER</t>
  </si>
  <si>
    <t>Base weight.</t>
  </si>
  <si>
    <t>W_TA_LOCATION</t>
  </si>
  <si>
    <t>W_TA_INTEREST</t>
  </si>
  <si>
    <t>Priority bonus</t>
  </si>
  <si>
    <t>W_TA_PRIORITY_BONUS</t>
  </si>
  <si>
    <t>Points added to the dimension named by Audience Demographics Priority; the other three give up a third each, so the four still total 100.</t>
  </si>
  <si>
    <t>LOCATION SUB-WEIGHTS</t>
  </si>
  <si>
    <t>W_LOC_COUNTRY</t>
  </si>
  <si>
    <t>Share of Location Match carried by Audience Country.</t>
  </si>
  <si>
    <t>W_LOC_REGION</t>
  </si>
  <si>
    <t>Share carried by Audience Region.</t>
  </si>
  <si>
    <t>W_LOC_CITY</t>
  </si>
  <si>
    <t>Share carried by Audience City.</t>
  </si>
  <si>
    <t>CONTENT &amp; CATEGORY SUB-WEIGHTS</t>
  </si>
  <si>
    <t>W_CC_CATEGORY</t>
  </si>
  <si>
    <t>Preferred Category against creator Category, via matrix 6.</t>
  </si>
  <si>
    <t>W_CC_SUBCATEGORY</t>
  </si>
  <si>
    <t>Preferred Sub Category against creator Sub Category.</t>
  </si>
  <si>
    <t>W_CC_TOPIC</t>
  </si>
  <si>
    <t>Preferred Content Topics found in creator topics and interests.</t>
  </si>
  <si>
    <t>W_CC_STYLE</t>
  </si>
  <si>
    <t>Preferred Content Style against creator Content Style, via matrix 9.</t>
  </si>
  <si>
    <t>PERSONALITY SUB-WEIGHTS</t>
  </si>
  <si>
    <t>W_BP_PERSONALITY</t>
  </si>
  <si>
    <t>Brand Personality against Creator Personality, via matrix 7.</t>
  </si>
  <si>
    <t>W_BP_TONE</t>
  </si>
  <si>
    <t>Brand Tone against Content Style, via matrix 8.</t>
  </si>
  <si>
    <t>W_BP_VALUES</t>
  </si>
  <si>
    <t>Brand Values and Preferred Creator Values against Creator Values.</t>
  </si>
  <si>
    <t>W_BP_COMM</t>
  </si>
  <si>
    <t>Communication Style against Content Style, via matrix 8b.</t>
  </si>
  <si>
    <t>PERFORMANCE SUB-WEIGHTS</t>
  </si>
  <si>
    <t>W_PQ_ER</t>
  </si>
  <si>
    <t>Share of Performance Quality.</t>
  </si>
  <si>
    <t>W_PQ_AUDIENCE</t>
  </si>
  <si>
    <t>W_PQ_CONSISTENCY</t>
  </si>
  <si>
    <t>W_PQ_COMMUNITY</t>
  </si>
  <si>
    <t>W_PQ_VIEWS</t>
  </si>
  <si>
    <t>Share of Performance Quality, normalised as views per follower.</t>
  </si>
  <si>
    <t>Recent Growth</t>
  </si>
  <si>
    <t>W_PQ_GROWTH</t>
  </si>
  <si>
    <t>Share of Performance Quality, from 30D Growth.</t>
  </si>
  <si>
    <t>BRAND SAFETY SUB-WEIGHTS</t>
  </si>
  <si>
    <t>W_BS_BASE</t>
  </si>
  <si>
    <t>Brand Safety Score is the primary metric, as the spec requires.</t>
  </si>
  <si>
    <t>W_BS_SATURATION</t>
  </si>
  <si>
    <t>Saturation lowers the score but never excludes on its own — only Max Competitor Saturation does.</t>
  </si>
  <si>
    <t>RISK MULTIPLIERS</t>
  </si>
  <si>
    <t>Risk Flag = High</t>
  </si>
  <si>
    <t>RISK_HIGH</t>
  </si>
  <si>
    <t>Applied to Brand Safety. A flag discounts the score; it does not zero it.</t>
  </si>
  <si>
    <t>Risk Flag = Medium</t>
  </si>
  <si>
    <t>RISK_MEDIUM</t>
  </si>
  <si>
    <t>Applied to Brand Safety.</t>
  </si>
  <si>
    <t>Risk Flag = Low</t>
  </si>
  <si>
    <t>RISK_LOW</t>
  </si>
  <si>
    <t>Risk Flag = None</t>
  </si>
  <si>
    <t>RISK_NONE</t>
  </si>
  <si>
    <t>No discount.</t>
  </si>
  <si>
    <t>NORMALISATION TARGETS</t>
  </si>
  <si>
    <t>Engagement Rate = 100 at</t>
  </si>
  <si>
    <t>CAL_ER_TARGET</t>
  </si>
  <si>
    <t>ER in percent that scores 100 on the Performance component.</t>
  </si>
  <si>
    <t>Primary-band audience share = 100 at</t>
  </si>
  <si>
    <t>CAL_AGE_TARGET</t>
  </si>
  <si>
    <t>Primary age band share (plus half the secondary) that scores 100 on Age Match.</t>
  </si>
  <si>
    <t>Gender majority = 100 at</t>
  </si>
  <si>
    <t>CAL_GENDER_TARGET</t>
  </si>
  <si>
    <t>Female (or Male) share that scores 100 when Gender Majority names one.</t>
  </si>
  <si>
    <t>Views per follower = 100 at</t>
  </si>
  <si>
    <t>CAL_VFR_TARGET</t>
  </si>
  <si>
    <t>View-to-follower ratio that scores 100 on Average Views.</t>
  </si>
  <si>
    <t>30D Growth = 100 at</t>
  </si>
  <si>
    <t>CAL_GROWTH_TARGET</t>
  </si>
  <si>
    <t>Monthly follower growth in percent that scores 100. -2% scores 0.</t>
  </si>
  <si>
    <t>Value per engagement (IDR)</t>
  </si>
  <si>
    <t>CAL_VALUE_PER_ENG</t>
  </si>
  <si>
    <t>Earned value of one engagement, used by Estimated ROI.</t>
  </si>
  <si>
    <t>Estimated Reach — views factor</t>
  </si>
  <si>
    <t>CAL_REACH_VIEWS</t>
  </si>
  <si>
    <t>Estimated Reach = Average Views x this + Followers x the next.</t>
  </si>
  <si>
    <t>Estimated Reach — followers factor</t>
  </si>
  <si>
    <t>CAL_REACH_FOLL</t>
  </si>
  <si>
    <t>See above.</t>
  </si>
  <si>
    <t>Median CPE across the roster</t>
  </si>
  <si>
    <t>CAL_MEDIAN_CPE</t>
  </si>
  <si>
    <t>Derived. Cost Efficiency is this divided by the creator CPE.</t>
  </si>
  <si>
    <t>No-preference score</t>
  </si>
  <si>
    <t>CAL_NEUTRAL</t>
  </si>
  <si>
    <t>What a comparison scores when the brand left the field blank — neither a reward nor a penalty.</t>
  </si>
  <si>
    <t>Unrelated floor</t>
  </si>
  <si>
    <t>CAL_UNRELATED</t>
  </si>
  <si>
    <t>Bottom of the 100/80/60/40/20 relevance ladder.</t>
  </si>
  <si>
    <t>MATCH LEVEL BANDS</t>
  </si>
  <si>
    <t>Excellent Match at</t>
  </si>
  <si>
    <t>BAND_EXCELLENT</t>
  </si>
  <si>
    <t>Final Match Score at or above this.</t>
  </si>
  <si>
    <t>Strong Match at</t>
  </si>
  <si>
    <t>BAND_STRONG</t>
  </si>
  <si>
    <t>Good Match at</t>
  </si>
  <si>
    <t>BAND_GOOD</t>
  </si>
  <si>
    <t>Moderate Match at</t>
  </si>
  <si>
    <t>BAND_MODERATE</t>
  </si>
  <si>
    <t>Below this is a Low Match — still visible unless Minimum Brand Match is set.</t>
  </si>
  <si>
    <t>RECOMMENDATION BANDS</t>
  </si>
  <si>
    <t>Highly Recommended at</t>
  </si>
  <si>
    <t>REC_HIGH</t>
  </si>
  <si>
    <t>Final Match Score at or above this, and not excluded.</t>
  </si>
  <si>
    <t>Recommended at</t>
  </si>
  <si>
    <t>REC_MID</t>
  </si>
  <si>
    <t>Consider at</t>
  </si>
  <si>
    <t>REC_LOW</t>
  </si>
  <si>
    <t>Below this is Low Priority.</t>
  </si>
  <si>
    <t>CONFIDENCE BANDS</t>
  </si>
  <si>
    <t>High at data completeness</t>
  </si>
  <si>
    <t>CONF_HIGH</t>
  </si>
  <si>
    <t>Percent of the 12 tracked KOL fields that carry a value.</t>
  </si>
  <si>
    <t>Medium at data completeness</t>
  </si>
  <si>
    <t>CONF_MEDIUM</t>
  </si>
  <si>
    <t>Below this is Limited Data.</t>
  </si>
  <si>
    <t>EXPLANATION</t>
  </si>
  <si>
    <t>Consideration threshold</t>
  </si>
  <si>
    <t>EXP_CONSIDERATION</t>
  </si>
  <si>
    <t>A component below this is written up as a consideration rather than a strength.</t>
  </si>
  <si>
    <t>OPPORTUNITY SUB-WEIGHTS</t>
  </si>
  <si>
    <t>Head-room (100 - saturation)</t>
  </si>
  <si>
    <t>W_OP_HEADROOM</t>
  </si>
  <si>
    <t>Share of Opportunity Score.</t>
  </si>
  <si>
    <t>W_OP_COST</t>
  </si>
  <si>
    <t>W_OP_GROWTH</t>
  </si>
  <si>
    <t>W_OP_ER</t>
  </si>
  <si>
    <t>CHECK</t>
  </si>
  <si>
    <t>Component weights total</t>
  </si>
  <si>
    <t>CHECK_WEIGHT_TOTAL</t>
  </si>
  <si>
    <t>5. INDUSTRY × CREATOR CATEGORY  ·  drives Industry Match. 100 exact · 80 strongly related · 60 partially · 40 weakly · 20 unrelated</t>
  </si>
  <si>
    <t>↓ brand / creator →</t>
  </si>
  <si>
    <t>6. CATEGORY × CATEGORY  ·  drives Content Category Match and the Category Match fallback</t>
  </si>
  <si>
    <t>7. BRAND PERSONALITY × CREATOR PERSONALITY  ·  related matches count. Innovative is answered by Tech-savvy and Creative, not only by "Innovative".</t>
  </si>
  <si>
    <t>8. BRAND TONE × CONTENT STYLE  ·  drives Tone vs Content Style</t>
  </si>
  <si>
    <t>8b. COMMUNICATION STYLE × CONTENT STYLE  ·  drives Communication Style Match</t>
  </si>
  <si>
    <t>9. CONTENT STYLE × CONTENT STYLE  ·  drives Content Style Match</t>
  </si>
  <si>
    <t>10. RANKING PRESETS  ·  the Discovery_Ranking preset picker reads this table. "Available today" is the prototype answer, not an aspiration.</t>
  </si>
  <si>
    <t>Preset</t>
  </si>
  <si>
    <t>Ranked by</t>
  </si>
  <si>
    <t>Direction</t>
  </si>
  <si>
    <t>Available today</t>
  </si>
  <si>
    <t>desc</t>
  </si>
  <si>
    <t>Engagement Quality Index</t>
  </si>
  <si>
    <t>Rising Score</t>
  </si>
  <si>
    <t>asc</t>
  </si>
  <si>
    <t>Trending Score</t>
  </si>
  <si>
    <t>Relevance Score</t>
  </si>
  <si>
    <t>AUTOMETRIC — BRAND MATCH COMPARISON</t>
  </si>
  <si>
    <t>24 creators read from the KOL server, scored against 5 brands, 120 matching records. Roster measured 2026-09-10 04:48 UTC from 10.100.14.216/kol.</t>
  </si>
  <si>
    <t>1. WHAT THIS WORKBOOK IS</t>
  </si>
  <si>
    <t>Purpose</t>
  </si>
  <si>
    <t>To show that Brand Match is a contextual score — a function of (brand, creator) — rather than a permanent rating attached to a creator. The same 24 creators are scored against 5 deliberately different brands, and the resulting orders differ. Brand_Comparison is where that is easiest to see: one row per creator, one column per brand, and a Spread column that would read 0 if the model were secretly ranking creators rather than pairs.</t>
  </si>
  <si>
    <t>Source of data</t>
  </si>
  <si>
    <t>Every creator field comes from the KOL server (10.100.14.216/kol) via scripts/brand-match/roster-fetch.mjs, read-only. Nothing on KOL_Source_Data is invented, estimated to fill a gap, or carried over from the engine workbook's sample roster. Tables read: public.kol_directory, public.kol_social_account, public.kol_categories, feature.ig/tt_audience_analysis, feature.ig_engagement_analysis, l2_gold.kol_profile_card, l2_gold.audience_interest_daily, l2_gold.audience_geo_daily, l2_gold.audience_demographics_daily, l1_silver.unified_post.</t>
  </si>
  <si>
    <t>Relationship to the engine workbook</t>
  </si>
  <si>
    <t>Autometric_Brand_Match_Engine.xlsx is the specification of the logic and runs on a hand-built sample roster. This workbook runs the same logic on real rows: the same six components, the same weights, the same relevance matrices, all read from the same Lookup_Lists code (scripts/brand-match/build.mjs) and the same taxonomy (taxonomy.mjs). There is one model, not two.</t>
  </si>
  <si>
    <t>2. THE 24 CREATORS</t>
  </si>
  <si>
    <t>Selection</t>
  </si>
  <si>
    <t>The 24 handles were given. They were not chosen by the model, and no creator outside the list appears anywhere in this workbook. 24 resolved to an active row in public.kol_directory. None had to be reported NOT FOUND.</t>
  </si>
  <si>
    <t>Two spellings were corrected</t>
  </si>
  <si>
    <t>Two requested handles do not exist on the server and each has a neighbour one transposition away that does: @erickapinedao9 → @erickapineda09, @shabiraaluaadnan → @shabiraalulaadnan. Both spellings are printed on KOL_Source_Data and on Validation. This is the only place a requested handle and a scored handle differ.</t>
  </si>
  <si>
    <t>Four handles existed twice</t>
  </si>
  <si>
    <t>Four creators hold a row on both Instagram and TikTok. The brief asks for 24 accounts, so one row per handle survives — the row carrying the most measured signal, not the most followers. Every dropped row is listed on Validation with the follower count it had, because a dropped row nobody can see is indistinguishable from a row that was never there.</t>
  </si>
  <si>
    <t>3. THE FIVE BRANDS  ·  every category taken from the database</t>
  </si>
  <si>
    <t>The categories are the database’s, not the workbook’s</t>
  </si>
  <si>
    <t>public.kol_categories holds 28 category names, and its taxonomy_key column already says which of them are the same thing — Foodies, Food and Cooking all carry Food; Sports, Gym Enthusiast, Cyclist and Fitness all carry Fitness. That column yields nine canonical values: Beauty · Entertainment · Fashion · Fitness · Food · Gen Z · Lifestyle · Moms · Tech. Lookup_Lists section 11a prints all 28 rows with their counts and their key. Both halves of every comparison resolve through that one column, so neither half authored the vocabulary it is scored on.</t>
  </si>
  <si>
    <t>The five brands</t>
  </si>
  <si>
    <t>NovaTech → Tech  ·  LumiSkin → Beauty  ·  DailyBite → Food  ·  MoveFit → Fitness  ·  UrbanMuse → Fashion. Five different canonical categories, different audience genders, different interest sets — five brands wanting the same creator profile would rank identically and demonstrate nothing. Brand_Profile carries a Source column naming the database column behind every field, and the record shape follows public.brand: name, category, brand_keywords, brand_hashtags.</t>
  </si>
  <si>
    <t>Audience interests are the database’s keys too</t>
  </si>
  <si>
    <t>The interest rows on Brand_Profile hold l2_gold.audience_interest_daily.interest_key values, spelled exactly as the server spells them — lower case, and 'sports' kept separate from 'fitness' because the database keeps them separate, which is why MoveFit targets both. A brand cannot target an interest the database does not have: the build asserts it and stops.</t>
  </si>
  <si>
    <t>There is no Industry field, because there is no industry column</t>
  </si>
  <si>
    <t>An earlier draft of this workbook carried brand Industry, Product Category, Sub Category, Brand Niche, Brand Personality, Tone, Communication Style and Positioning, scored against a 14-label taxonomy written for the engine workbook. None of those exist as creator columns on this server, and the taxonomy was a second vocabulary that disagreed with the database in two places — it filed Moms under Parenting and dropped Gen Z, when kol_categories assigns both a key of their own. They are gone. What remains either maps to a database column or is marked on Brand_Profile as scoring nothing.</t>
  </si>
  <si>
    <t>Hard filters left permissive</t>
  </si>
  <si>
    <t>The brief asks how 24 named creators compare across 5 brands. A minimum-follower or minimum-ER gate would answer a different question by deleting rows from the comparison. Sheet Hard_vs_Soft_Filter documents every gate that exists and counts what each would remove from this roster if it were switched on.</t>
  </si>
  <si>
    <t>4. THE MODEL</t>
  </si>
  <si>
    <t>Final = (Business x 20 + Audience x 30 + Content x 20 + Personality x 10 + Performance x 10 + Safety x 10) / 100, on a 0-100 scale. The six weights live in editable cells on Lookup_Lists section 4 and CHECK_WEIGHT_TOTAL asserts they sum to 100. No score anywhere in this workbook is a typed number: every one is a formula over KOL_Source_Data and Brand_Profile.</t>
  </si>
  <si>
    <t>Sub-weights</t>
  </si>
  <si>
    <t>Target Audience = Age 25 / Gender 15 / Location 30 / Interest 30 (the brief’s own split). Brand &amp; Business = Category 60 / Keyword 25 / Hashtag 15. Content &amp; Category = Content Category 60 / Topic 40. Performance = ER 35 / Audience Quality 20 / Consistency 20 / Community 10 / Average Views 10 / Recent Growth 5. Brand Safety = Authenticity 40 / Follower Quality 30 / Verification 15 / Paid Ratio 15. The first two are not even splits, and Lookup_Lists section 11 says why: measured on this roster, Category Match takes 8 distinct values across the 120 pairs while Keyword Match takes 3 and Hashtag Match 2. Letting the two sparse signals carry 60% of a component would make it mostly measure whether a celebrity writes marketing copy in their captions, which none of them does.</t>
  </si>
  <si>
    <t>Missing inputs renormalise; they never become zero</t>
  </si>
  <si>
    <t>This is the one mechanism this workbook adds to the engine's. Where the server has no reading, the cell reads N/A and drops out of its weighted mean, so the remaining weights renormalise to 100 by themselves. A component with no inputs at all is N/A and drops out of the Final Match Score; the Available Weight column reports how much of the nominal 100 each row could be scored on. Zero is a measurement — "we looked, and there was none". Using it for "nobody looked" would rank an unmeasured creator below a bad one.</t>
  </si>
  <si>
    <t>Score interpretation</t>
  </si>
  <si>
    <t>Excellent Match 90-100 · Strong Match 80-89 · Good Match 70-79 · Moderate Match 60-69 · Low Match below 60. The bands are the brief's and live in editable cells (BAND_EXCELLENT and below). Scores on this roster sit low relative to those bands, and that is a finding rather than a bug: see section 6.</t>
  </si>
  <si>
    <t>5. HARD FILTER vs SOFT MATCH</t>
  </si>
  <si>
    <t>The distinction</t>
  </si>
  <si>
    <t>A hard filter answers yes or no and removes creators from the result set: platform, minimum followers, mandatory location, tier, minimum ER, category requirement, connected-only. A soft match returns 0-100 and reorders them: brand match, audience relevance, content relevance, personality, performance, brand safety. Confusing the two is how a filter can be marked DONE while returning zero creators for every value.</t>
  </si>
  <si>
    <t>6. LIMITATIONS  ·  read this before quoting a number</t>
  </si>
  <si>
    <t>Six inputs do not exist on this server</t>
  </si>
  <si>
    <t>Audience age (no rows anywhere), sub category (no column), creator personality/tone/values/content style (no column — this empties Brand Personality Fit entirely), community (no column), comment sentiment and toxicity (0 rows), rate card (0 rows). Validation lists each one with where it would live, how it was verified and what it does to the score.</t>
  </si>
  <si>
    <t>Absolute scores are low against the bands — read them as a ranking, not a percentage</t>
  </si>
  <si>
    <t>Final scores on this roster run roughly 20 to 71, so almost every row lands in Low Match and a handful reach Moderate or Good. That is a property of the data, not of the creators. Brand Personality Fit contributes nothing at all (10 points of the 100 gone); audience interest and geography are known for only 10-20% of each sampled audience; and Keyword and Topic Match are near-empty for the reasons below. The bands are the brief's and they assume a complete creator record. USE THIS WORKBOOK TO COMPARE — creators within one brand, and one creator across the five brands. Do not read 52/100 as "52% fit".</t>
  </si>
  <si>
    <t>Engagement rate is scored against the creator's own tier</t>
  </si>
  <si>
    <t>Section 11b of Lookup_Lists sets the ER that scores 100 per tier, from 8% at Nano down to 2% at Mega. All 24 of these accounts are Mega. The shared CAL_ER_TARGET of 6% is calibrated for micro creators and would have scored @cristiano's 2.21% — the best engagement on the roster by some distance — as 37 out of 100. Engagement rate falls with reach as a matter of arithmetic, so the question the tier targets ask is "well engaged for an account this size", which is the only version a brand can act on.</t>
  </si>
  <si>
    <t>Audience shares are shares of the KNOWN portion</t>
  </si>
  <si>
    <t>l2_gold.audience_interest_daily is dominated by the key 'unknown' — often 80-89% of a creator's sample. Interest and country shares here are computed over the known remainder, and Interest Known % / Country Known % on KOL_Source_Data report how large that remainder was. A 100 on Interest Score off a 12% known sample is a much weaker claim than the same 100 off a 60% one.</t>
  </si>
  <si>
    <t>Categories are three different kinds of thing</t>
  </si>
  <si>
    <t>12 creators carry a category from public.kol_categories (basis: live). 3 were classified from their own captions and hashtags by the taxonomy's keyword rules (basis: calculated or estimated), and the evidence that produced each one is printed beside it on KOL_Source_Data so it can be overruled. 9 carry none at all. A classified category ranks; it never gates.</t>
  </si>
  <si>
    <t>9 creators have no category, and it moves their score</t>
  </si>
  <si>
    <t>Category Match and Content Category Match fall back to CAL_NEUTRAL for them — not to N/A, and not to CAL_UNRELATED. This has a consequence worth stating plainly: a creator nobody has categorised can outscore one who is known to be a poor fit. That is correct. Knowing @cristiano makes fitness content is real evidence against a SaaS brief; knowing nothing about @leomessi is not evidence either way. Category Basis and Confidence are the columns that tell the two apart, and their ranking says more about their audience than about their content.</t>
  </si>
  <si>
    <t>Keyword Match and Topic Match are close to empty, and honestly so</t>
  </si>
  <si>
    <t>Across all 120 pairs, Keyword Match averages under 2 and Topic Match under 4. Three reasons, none of them a bug: kol_directory.bio is ~12% filled; the brand keyword lists are Indonesian while several of these creators caption in English or Spanish, so @leomessi and @cristiano can never hit an Indonesian term whatever they post about; and these are celebrity and entertainment accounts that genuinely do not write about SaaS, skincare formulation or sportswear. The consequence is that Brand &amp; Business Relevance rests mostly on Industry and Category (70% of it) and Content Relevance rests mostly on category, since Topic is half of what is left after sub-category and style drop out. A per-language keyword set would fix the second reason; nothing in the data fixes the third.</t>
  </si>
  <si>
    <t>7. SHEETS</t>
  </si>
  <si>
    <t>Sheet</t>
  </si>
  <si>
    <t>What it holds</t>
  </si>
  <si>
    <t>README</t>
  </si>
  <si>
    <t>This sheet.</t>
  </si>
  <si>
    <t>KOL_Source_Data</t>
  </si>
  <si>
    <t>The 24 accounts as the server has them, with a Data Note per row saying what was missing.</t>
  </si>
  <si>
    <t>Brand_Profile</t>
  </si>
  <si>
    <t>The 5 brands, one column each, keyed for the engine.</t>
  </si>
  <si>
    <t>120 rows. Every score a formula. The only sheet that computes anything.</t>
  </si>
  <si>
    <t>Score_Breakdown</t>
  </si>
  <si>
    <t>The same rows, sub-scores first. A pure view.</t>
  </si>
  <si>
    <t>Match_Explanation</t>
  </si>
  <si>
    <t>120 written reasons, each assembled from its own row's scores.</t>
  </si>
  <si>
    <t>Brand_Comparison</t>
  </si>
  <si>
    <t>One row per creator, one column per brand, plus Best Brand and Spread.</t>
  </si>
  <si>
    <t>Brand_Ranking</t>
  </si>
  <si>
    <t>5 blocks of 24, ordered by the engine's Rank Key.</t>
  </si>
  <si>
    <t>Top_Matches</t>
  </si>
  <si>
    <t>Top 5 and bottom 5 for each brand, with reason, strength and concern.</t>
  </si>
  <si>
    <t>Hard_vs_Soft_Filter</t>
  </si>
  <si>
    <t>Every filter in the catalogue, split by kind, with its measured effect on this roster.</t>
  </si>
  <si>
    <t>Validation</t>
  </si>
  <si>
    <t>15 checks, each computed in the workbook, plus the handle resolutions and the data gaps.</t>
  </si>
  <si>
    <t>Lookup_Lists</t>
  </si>
  <si>
    <t>Every weight, band, matrix and calibration constant. Edit here and the workbook moves.</t>
  </si>
  <si>
    <t>8. REGENERATING</t>
  </si>
  <si>
    <t>Commands</t>
  </si>
  <si>
    <t>npm run brandmatch:fetch  (office VPN required — re-reads the 24 accounts and rewrites scripts/brand-match/roster.json)  ·  npm run brandmatch:comparison  (rebuilds this file)  ·  npm run brandmatch:comparison:verify  (reads the built file back and checks the roster, the row counts, the formulas and the contextual-score claim).</t>
  </si>
  <si>
    <t>KOL SOURCE DATA  ·  the 24 requested accounts, read from the KOL server</t>
  </si>
  <si>
    <t>Nothing on this sheet is invented, estimated to fill a gap, or carried over from the engine workbook's sample roster. A cell reading N/A means the column exists and is empty, or the column does not exist at all — the Data Note says which. Every one of the five age columns is N/A for every creator: there is no age signal anywhere on this server.</t>
  </si>
  <si>
    <t>CATEGORY &amp; CONTENT</t>
  </si>
  <si>
    <t>INTEGRITY</t>
  </si>
  <si>
    <t>COVERAGE</t>
  </si>
  <si>
    <t>Requested Handle</t>
  </si>
  <si>
    <t>Found In Database</t>
  </si>
  <si>
    <t>Directory Category (raw)</t>
  </si>
  <si>
    <t>Category Basis</t>
  </si>
  <si>
    <t>Category From Captions</t>
  </si>
  <si>
    <t>Classification Evidence</t>
  </si>
  <si>
    <t>Bio</t>
  </si>
  <si>
    <t>Caption Digest</t>
  </si>
  <si>
    <t>Hashtag Digest</t>
  </si>
  <si>
    <t>Audience Age 13-17 %</t>
  </si>
  <si>
    <t>Audience Age 18-24 %</t>
  </si>
  <si>
    <t>Audience Age 25-34 %</t>
  </si>
  <si>
    <t>Audience Age 35-44 %</t>
  </si>
  <si>
    <t>Gender Known %</t>
  </si>
  <si>
    <t>Country Share %</t>
  </si>
  <si>
    <t>Country Known %</t>
  </si>
  <si>
    <t>Audience City 1</t>
  </si>
  <si>
    <t>City 1 Share %</t>
  </si>
  <si>
    <t>Audience City 2</t>
  </si>
  <si>
    <t>City 2 Share %</t>
  </si>
  <si>
    <t>Audience City 3</t>
  </si>
  <si>
    <t>City 3 Share %</t>
  </si>
  <si>
    <t>City Known %</t>
  </si>
  <si>
    <t>Interest Known %</t>
  </si>
  <si>
    <t>Interest: art %</t>
  </si>
  <si>
    <t>Interest: automotive %</t>
  </si>
  <si>
    <t>Interest: beauty %</t>
  </si>
  <si>
    <t>Interest: business %</t>
  </si>
  <si>
    <t>Interest: education %</t>
  </si>
  <si>
    <t>Interest: entertainment %</t>
  </si>
  <si>
    <t>Interest: fashion %</t>
  </si>
  <si>
    <t>Interest: fitness %</t>
  </si>
  <si>
    <t>Interest: food %</t>
  </si>
  <si>
    <t>Interest: gaming %</t>
  </si>
  <si>
    <t>Interest: music %</t>
  </si>
  <si>
    <t>Interest: parenting %</t>
  </si>
  <si>
    <t>Interest: pets %</t>
  </si>
  <si>
    <t>Interest: photography %</t>
  </si>
  <si>
    <t>Interest: religion %</t>
  </si>
  <si>
    <t>Interest: sports %</t>
  </si>
  <si>
    <t>Interest: technology %</t>
  </si>
  <si>
    <t>Interest: travel %</t>
  </si>
  <si>
    <t>Engagement Rate Source</t>
  </si>
  <si>
    <t>Posts Analyzed</t>
  </si>
  <si>
    <t>Posts / Month</t>
  </si>
  <si>
    <t>Observation Days</t>
  </si>
  <si>
    <t>Cadence Usable</t>
  </si>
  <si>
    <t>Followers Growth %</t>
  </si>
  <si>
    <t>Paid Ratio %</t>
  </si>
  <si>
    <t>Follower Quality</t>
  </si>
  <si>
    <t>Content Risk</t>
  </si>
  <si>
    <t>Data Note</t>
  </si>
  <si>
    <t>@instagram</t>
  </si>
  <si>
    <t>instagram</t>
  </si>
  <si>
    <t>FOUND</t>
  </si>
  <si>
    <t>Lifestyle | Moms</t>
  </si>
  <si>
    <t>live</t>
  </si>
  <si>
    <t>N/A</t>
  </si>
  <si>
    <t>Entertainment 2pt [music (caption)]</t>
  </si>
  <si>
    <t>Discover what's new on Instagram 🔎✨</t>
  </si>
  <si>
    <t>The precision in this trick 🤯 @leonmbz is a freestyle footballer who collabs with athletes across different sports. Here, he’s teaming up with spinning top world champion @jun_spintop_s. “I’ve always been trying to push the boundaries of what’s possible.” Video by @leonmbz and @jun_spintop_s Music by @_zynyx</t>
  </si>
  <si>
    <t>no audience analysis row · no audience interest rows · cadence unusable: null/month extrapolated from 0 observed day(s)</t>
  </si>
  <si>
    <t>@cristiano</t>
  </si>
  <si>
    <t>cristiano</t>
  </si>
  <si>
    <t>Esports, Makeup</t>
  </si>
  <si>
    <t>Gaming 3pt [game (caption); esports (caption)]  ·  Beauty 2pt [makeup (caption)]</t>
  </si>
  <si>
    <t>@Cristiano Ronaldo and Georgina Rodríguez (@georginagio) are married! For weeks, the internet was awash with speculation—about the date, the location, the guest list. (The rumored celebrity attendees included everyone from Rio Ferdinand to Rihanna.) In the end, the couple’s wedding took place on a symbolic date: August 11, the 10th anniversary of the day they first met at a Gucci store in Madrid. Instead of a blowout celebration, the couple, who have over 750 million Instagram followers between them, got married in their living room, wearing @gucci by Demna. “It was exactly as I’d imagined it,” says Georgina. For Vogue’s Summer digital cover, Gaby Wood spoke to Cris y Gio, as they are known to friends and family, about their intimate wedding day in Portugal. Tap the link in our bio for an exclusive look inside the ceremony. Photographed by @juergentellerstudio, makeup by @fermartinezlab, hair by @torrentfernando, with special thanks to @angelsproject, Vogue, Summer Digital Cover 2026. · Back 🟡🔵 · C❤️G · My toys 🚀 · Not yet 🤷🏽‍♂️😅 · Cuando te vuelves hacia la luz del sol, las sombras caen detrás de ti. 🌅 · Try my Game Day Blast recipe. Stay sharp. Stay ready. #FuelLikeRonaldo · Pai feliz ❤️ · Greatness takes many forms 💪 Esports World Cup is live in Paris with over 2000 players putting in the work to be the champion. @ewc_en · Football, art and passion. Proud to be part of Knight of Najd – Chapter II with @alnassr and @vhils. 100 moments from my journey, carved into on</t>
  </si>
  <si>
    <t>#fuellikeronaldo #alnassr #vhils #cr7 #knightofnajd</t>
  </si>
  <si>
    <t>complete on every tracked field</t>
  </si>
  <si>
    <t>@leomessi</t>
  </si>
  <si>
    <t>leomessi</t>
  </si>
  <si>
    <t>Animal Lovers</t>
  </si>
  <si>
    <t>Bienvenidos a la cuenta oficial de Instagram de Leo Messi / Welcome to the official Leo Messi Instagram account</t>
  </si>
  <si>
    <t>Te amo, pa. ❤️ · Germany 2006. South Africa 2010. Brazil 2014. Russia 2018. Qatar 2022. Canada, Mexico and United States 2026. Six FIFA World Cups. Relive the journey with my official FIFA World Cup™ signed collection - available only at Icons.com Alemania 2006. Sudáfrica 2010. Brasil 2014. Rusia 2018. Qatar 2022. Canadá, México y Estados Unidos 2026. Seis Copas del Mundo. Reviví todo el camino con mi colección oficial firmada de la Copa Mundial de la FIFA™. Disponible exclusivamente en Icons.com · Thanks world, we’ll take it from here. 🌎 MLS &amp; Leagues Cup are back in a big way. · golden memories. ✨ the new Leo Messi x Originals collection, available tomorrow. · Introducing the new Leo Messi x Originals collection, available tomorrow. Certified gold. 🏅 Descubrí la nueva colección Leo Messi x Originals. Disponible desde mañana. Puro oro. 🏅 · El dolor es muy grande y va a costar que cierre esta herida. Pero también me quedo con todo lo bueno… Con los partidos que dimos vuelta dejando todo y que quedarán para siempre en la memoria, con el apoyo de un país entero que junto con el trabajo y el esfuerzo de este grupo nos llevó a volver a estar, una vez más, entre los mejores del mundo. Hoy cuesta valorar lo que hicimos, pero este grupo llegó a dos finales consecutivas de la Copa del Mundo. Muchas gracias de corazón por cada saludo y por cada mensaje. Una vez más logramos unirnos como país y estar todos juntos, compartiendo el inmenso orgullo de ser argentinos. También quiero fel</t>
  </si>
  <si>
    <t>no category: kol_categories carries none and caption evidence did not reach the threshold</t>
  </si>
  <si>
    <t>@raffinagita1717</t>
  </si>
  <si>
    <t>raffinagita1717</t>
  </si>
  <si>
    <t>calculated</t>
  </si>
  <si>
    <t>Domestic Travel, Business, City &amp; Culture</t>
  </si>
  <si>
    <t>Travel 9pt [jalan-jalan (caption); wisata (caption); wisata lokal (caption)]  ·  Finance 5pt [umkm (caption)]</t>
  </si>
  <si>
    <t>Single terbaru "Bersyukurlah"  ⬇️⬇️</t>
  </si>
  <si>
    <t>Dari Indonesia, menuju lebih dekat ke Asia. 🌏🏠 Di press conference D’MASIV Asia Home Run, Nagita Slavina berbagi harapannya untuk membawa pengalaman D’MASIV lebih dekat dengan para pendengar di berbagai negara Asia—dengan skala yang lebih besar dan tentunya pengalaman yang nggak terlupakan. Siap ikut merasakan perjalanan D’MASIV Asia Home Run? 🏃‍♂️💨 🎟️ Dapatkan tiketmu: dmasivtour.com · Perjalanan The Duda’s-1 belum selesai. Setelah berkeliling Indonesia dan sempat membawa cerita sampai ke Amerika, kali ini rasa penasaran itu membawa kita menjelajahi Asia. Bukan cuma datang ke tempat baru, tapi mengenal lebih dekat budaya, kebiasaan, makanan, musik, dan cerita orang-orangnya. Melihat apa yang membuat setiap negara berbeda, sekaligus menemukan banyak hal yang ternyata terasa dekat dengan Indonesia. The Duda’s-1 Goes to Asia. Satu benua, banyak cerita. Kira-kira negara mana yang bakal mereka datangi pertama? · The Dudas-1, yang beranggotakan Raffi Ahmad, Ariel NOAH, Gading Marten, dan Desta, bersiap melebarkan sayap mereka ke kancah internasional lewat tur Asia. Setelah hampir tiga tahun aktif berkeliling Indonesia untuk mempromosikan destinasi wisata lokal serta mendongkrak UMKM, keempat sahabat ini memutuskan untuk menjajal tantangan baru di luar negeri. Ariel NOAH menjelaskan bahwa pemilihan kawasan Asia bertujuan untuk mempelajari cara negara-negara tetangga mempromosikan pariwisata mereka ke tingkat dunia, sehingga hasilnya dapat menjadi bahan pembelajaran yang berman</t>
  </si>
  <si>
    <t>#thedudasminusone #ransentertainment #dmasiv #nagitaslavina #utusankhususpresiden #pembinaangenerasimuda #pekerjaseni</t>
  </si>
  <si>
    <t>category calculated from captions, not from kol_categories</t>
  </si>
  <si>
    <t>@lunamaya</t>
  </si>
  <si>
    <t>lunamaya</t>
  </si>
  <si>
    <t>Career, Job Hunting &amp; CV, Domestic Travel</t>
  </si>
  <si>
    <t>Education 5pt [interview (caption)]  ·  Fashion 4pt [fashion (caption); gaya (caption); outfit (caption)]</t>
  </si>
  <si>
    <t>@namabeauty.co @tsmediaid
@roleentertainment @yayasan_lunamayanawasena 
lunamaya@role-entertainment.com 
BA @zappremiere @rrfx.indonesia</t>
  </si>
  <si>
    <t>POV: the jewels changed everything! @bvlgari✨️ More from this special cover story over at @bazaarindonesia 🫶 · A glimpse behind the sparkle✨️ @bvlgari · Dalam gerak, kilau, dan siluet yang tegas, @lunamaya mewarnai Harper’s Bazaar Indonesia edisi Agustus 2026. Dipotret di Singapura dalam balutan @bvlgari High Jewelry, kamera menangkap sisi Luna yang modern, powerful, dan penuh karakter. ✨ Portofolio ini: Keseluruhan Perhiasan &amp; Jam tangan: @bvlgari High Jewelry Director: @hilariusjason Video Editor: @fajrids Editor Fashion: @yudithnk Busana: @blancstudio.official @dibbaofficial, Didit Hediprasetyo, @heaven_tanudiredja @_peau @yosafat_k Makeup: @zhouaiyimua Hair: @tressandcurvy (@colinyeohair @dorenelowhair @sitosthair @janebokhair) Asst. Stylist: @nau.kamillaa Lokasi: The Clifford Pier Alfresco Deck and La Brasserie’s Private Dining Room at @fullertonbayhotelsg · A very Cinta birthday! @claurakiehl 🥳🫶 · Here’s to a brighter Indonesia🇮🇩🫶 · Dressed up for a day that means so much✨️🇮🇩 Dirgahayu ke-81, Indonesiaku. Semoga negeri ini selalu menjadi rumah yang kita banggakan❤️🤍 -- Outfit: @saptodjojokartiko | Stylist: @hagaipakan | Bag: @bvlgari | Make Up: @kunsoomakeupartist | Hair Do: @iwanetaufik_hair | Broch: @epajewel | Suntiang: @hummingbirdroad · Didn’t expect anything to survive HYROX hahaha but my makeup did tho. complexion, bibir, semuanya masih cakeppp💋 · Untuk edisi Agustus 2026, @lunamaya kembali menghiasi cover Harper’s Bazaar Indonesia. Dipotret di Singapur</t>
  </si>
  <si>
    <t>#withgalaxy #teamgalaxy #galaxys26ultra #circletosearchwithgoogle #circleitthatsall #mexico66golf #onitsukatiger #onitsukatigerid</t>
  </si>
  <si>
    <t>cadence unusable: 45/month extrapolated from 4 observed day(s)</t>
  </si>
  <si>
    <t>@ibnuwardani</t>
  </si>
  <si>
    <t>ibnuwardani</t>
  </si>
  <si>
    <t>Home &amp; Living 1pt [rumah (caption)]</t>
  </si>
  <si>
    <t>Setuju ga kalau kita keliling Indonesia? @Lita🐣 @Alvarazka Antarsukha Wardani · 🙏🏻🤣🙏🏻 @Lita🐣 @Alvarazka Antarsukha Wardani · Spiderman😍 @Lita🐣 @Alvarazka Antarsukha Wardani · STICH VIDEO INI‼️ Ultah Agustus mana JJ-nya🤣‼️ @Lita🐣 @Alvarazka Antarsukha Wardani · Kok malah rebahan😭🙏🏻 @Lita🐣 @Alvarazka Antarsukha Wardani · ULANGTAHUN AGUSTUS?! @Lita🐣 @Alvarazka Antarsukha Wardani · BIKIN NGILER! Sekali di TF 1 video jutaan, inimah puluhan ratusan juta gampang bgt🙏🏻😭 @tokoclippers · 🙏🏻🤣 @Lita🐣 @Alvarazka Antarsukha Wardani · BTS konten🤣 @Lita🐣 @Alvarazka Antarsukha Wardani · Rumah Impian ini untukmu, dan hanya untukmu, selamanya kamu akan jadi orang yang paling aku sayang🩵 @Lita🐣 @Alvarazka Antarsukha Wardani @Sibambo Studio @Satrio Ananda #rumahibnulita · #rumahibnulita</t>
  </si>
  <si>
    <t>#rumahibnulita</t>
  </si>
  <si>
    <t>l2_gold.kol_profile_card.monitoring_er_pct</t>
  </si>
  <si>
    <t>@iben_ma</t>
  </si>
  <si>
    <t>iben_ma</t>
  </si>
  <si>
    <t>living life to the fullest of capacity 💯🚀 
#LLTTFOC 
@sambalbakar 🔥
@jualemasidn 🥇
@fuelworld_ 💨
CP: 0811-1479-279 (Nonie)</t>
  </si>
  <si>
    <t>Awas lu Habibi, harus gantian lah!! · Jujur! Kalau lu bakal bawain nya apa?? 😁🙏🏻 · The real ngebut Pak Vincent, merdeka! 🇮🇩😁 · Maaf, tapi semua tindakan harus ada balasannya. 🙏🏻 · finallyyyyyy joining this trend, lots of prewedding content coming soon❤️ pre-wedding content creator @momentsmatter.id · Kadang semuanya udah masuk akal, masuk logika. Tapi tetep aja, perlu that final push of “I trust u” buat ngejalaninnya bener-bener maksimal dan pede. Thank you baby @natashabigeyl sudah percaya dengan decision-decision aku yang kadang terlalu roller coaster 😁❤️ Penghargaan ini ditujukan untuk kalian semua pecinta Eatsambel, dan yang pasti untuk team yang udah selalu support Eatsambel 24/7. LET’S GO KITA BAWA SAMBEL MENDUNIA!!!! 🔥🔥🔥🤤🤤🤤 · Wah harus JELAS nih. @sambalbakar · A one minute teaser of our pre-wedding session in our favorite city of all time. You know I’m the happiest when the gummy smile is out🤪❤️ baru teaser aja jujur udh mellow nontonnya hahaha gak sabar next week for the full video, tungguin yaaa!!!🥹❤️ video by @retromagis · Kita tunggu bareng nih di akunnya…😁🤩 📍Jual Emas Indonesia Cipinang · Astaga Habibi, udah gua bilang kan.. 🤣😁</t>
  </si>
  <si>
    <t>Kediri</t>
  </si>
  <si>
    <t>Lampung</t>
  </si>
  <si>
    <t>cadence unusable: 34.29/month extrapolated from 7 observed day(s)</t>
  </si>
  <si>
    <t>@inul.d</t>
  </si>
  <si>
    <t>inul.d</t>
  </si>
  <si>
    <t>Coffee &amp; Beverage, Baking &amp; Dessert, Budget Travel</t>
  </si>
  <si>
    <t>Food 10pt [dessert (caption); minuman (caption); cafe (caption)]  ·  Travel 4pt [travel (caption); promo (caption)]</t>
  </si>
  <si>
    <t>✨BA @sunco_id @brightgas @miburungdara @purinaindonesia 
INUL INFO 👇</t>
  </si>
  <si>
    <t xml:space="preserve">sexy 💋 designer 👉 @jaka_raja @jaka_raja2 💋 shoes Bali 👉 @niluhdjelantik 💋 DMD Panggung Rezeki @officialmnctv · REVEAL! ✨ Scent Your Song — Paket Karaoke + Parfum Favoritmu! 🎤✨ Yang kemarin masih coming soon, sekarang waktunya di-reveal! 👀 Nikmati serunya karaoke sambil bawa pulang parfum pilihanmu dalam Scent Your Song dari Inul Vizta. 🎶💐 MEDIUM PACKAGE — Rp315.000 2 Jam Room + 1 Appetizer + 1 Dessert + 1 Pitcher Minuman + 1 Parfum LARGE PACKAGE — Rp510.000 2 Jam Room + 2 Appetizer + 2 Dessert + 2 Pitcher Minuman + 1 Parfum DELUXE PACKAGE — Rp750.000 2 Jam Room + 3 Appetizer + 3 Dessert + 3 Pitcher Minuman + 1 Parfum 🍴 Appetizer: Cheese Sticks / Mac N’ Cheese / Tteokbokki Cheese 🍰 Dessert: Double Choux 🥤 Beverage: Lychee Tea / Lemon Tea / Orange Juice / Coca-Cola / Fanta 🎁 BONUS PROMO PARFUM Tebus parfum hanya Rp75.000 dengan minimal belanja Rp1.000.000. Harga paket sudah termasuk tax &amp; service. Harga tebus parfum Rp75.000 belum termasuk tax &amp; service. 📍 Tersedia di outlet: DKI Jakarta • Inul Vizta Buaran • Inul Vizta Kramat Jati • Inul Vizta Kota Kasablanka • Inul Vizta Melawai • Inul Vizta Pejaten Jawa Barat • Inul Vizta Summarecon Bekasi • Inul Vizta Harapan Indah • Inul Vizta Blu Plaza • Inul Vizta TSM Cibubur • Inul Vizta Cileungsi • Inul Rumah Bernyanyi • Inul Vizta Festive Walk • Inul Vizta Sukabumi • Inul Vizta Paskal Bandung Banten • Inul Vizta Tangerang City • Inul Vizta Balekota Jambi • Inul Vizta Jambi 🎤 Sing your song, complete your scent! Saatnya </t>
  </si>
  <si>
    <t>#inulvizta #daraparfum #promokaraoke #scentyoursong #keinvizaja #inulviztakaraoke #karaokekeluarga #17agustus #dmdpanggungrezeki #mnctvrumahnyadangdut #hutri81</t>
  </si>
  <si>
    <t>category calculated from captions, not from kol_categories · cadence unusable: 105/month extrapolated from 2 observed day(s)</t>
  </si>
  <si>
    <t>@bbrightvc</t>
  </si>
  <si>
    <t>bbrightvc</t>
  </si>
  <si>
    <t>no engagement rate on any of the three sources · no audience analysis row · no audience interest rows</t>
  </si>
  <si>
    <t>@pevpearce</t>
  </si>
  <si>
    <t>pevpearce</t>
  </si>
  <si>
    <t>Race &amp; Event, Running, Investing</t>
  </si>
  <si>
    <t>Fitness 3pt [race (caption)]  ·  Beauty 2pt [makeup (caption)]</t>
  </si>
  <si>
    <t>A reminder, dreams do come true ✨🏎️ · Monza, we finally meet and even more 🏁 Nggak ada yang ngalahin feeling balik ke race week setelah summer break apalagi ngerasainnya langsung dari salah satu circuit paling legendaris di dunia. Plus, sempat shooting bareng Lewis &amp; Charles juga… kebayang kan serunya kaya apa ✨ Can't wait to show you more... stay tuned! 🏎️ · Next coba apa lagi ya? Spill ✨️ · Date night · Once upon a time di 2019 pas lagi medical check up di Kuala Lumpur dikenalin ke Mirzan dan fast forward sekarang ngerayain hari ulang tahunnya as husband &amp; wife. Life is so funny. They say the best stories are the ones you don’t see coming. Meeting you was mine. Thank you for being you, My Love. Happy birthday to my fave person. · Off the grid for a few days · My July cover for Harper's Bazaar Indonesia is out! Sharing stories of dedication and my creative path, all while in beautiful @louisvuitton. So much love for this feature Fotografi: @mr_hendra Fashion Editor: @sophisticadit Makeup: @evalovira Hair: @picaleva Asisten Stylist: @nau.kamillaa Wardrobe &amp; Accessories: @louisvuitton Teks: sadini Layout Cover: @somadvladislav · Bagi @pevpearce, apa yang terwujud hari ini mungkin pernah bermula dari sesuatu yang sederhana, yakni sebuah bayangan tentang apa yang ingin ia ciptakan. Membuka edisi Juli 2026 Harper’s Bazaar Indonesia, Pevita Pearce hadir dalam balutan @louisvuitton dan berbagi cerita tentang karya, manifestasi, serta dedikasi yang membawanya sampai pada titik in</t>
  </si>
  <si>
    <t>Jawa</t>
  </si>
  <si>
    <t>@irwansyah_15</t>
  </si>
  <si>
    <t>irwansyah_15</t>
  </si>
  <si>
    <t>Coffee &amp; Beverage, Kids &amp; Family</t>
  </si>
  <si>
    <t>Parenting 3pt [keluarga (caption)]  ·  Food 2pt [kopi (caption)]</t>
  </si>
  <si>
    <t>Indonesian
• @15interior_official 
• @jannahtravel 
• @umroqutravel 
• @swizgroup 
Cp +6285176781115 Ov (work only)</t>
  </si>
  <si>
    <t>Dirgahayu Indonesiaku! 81 tahun Indonesia merdeka, Indonesia berdaulat adil dan makmur 🇮🇩 · Semoga kelak Anak2 bisa lebih baik dari kami , semoga Allah jaga mereka آمِيْن اللّهُمَّ آمِيْن Barakallahufiikum anak2 shaleh dan shalehah ku syg · Gawat Ada King @mister.aloy di hari Minggu ❤️ Sehat" semuanyaa guys 🙏 · MasyaAllah Tabarakallah ❤️ semoga Allah jaga anak2ku syg · Ternyata ini isi tasnya @irwansyah_15 ❤️👀 ide challenge apa ya berikutnya? #pakaiautannyamukpamitan · kirain ada maling nggak taunya...🤣🦟 #PakaiAutanNyamukPamitan · caption nya apa ya? 😎 · Kamu team roma + kopi ? Atau roma + teh ? #Pastiromakelapa 🤤😍 @roma.biskuitkelapa · Alhamdulillah Senangnya bisa bergabung di keluarga @barakat_id 😍 siapa yang udah coba @barakat_id ? Ada yang mau dikirimin parcel barakat? Cungg👆🏻 · Satu lagi dari @mayoraofficial , @le_mineraleid 😉 · #pakaiautannyamukpamitan · #PakaiAutanNyamukPamitan · #Pastiromakelapa</t>
  </si>
  <si>
    <t>#pakaiautannyamukpamitan #pastiromakelapa</t>
  </si>
  <si>
    <t>Madiun</t>
  </si>
  <si>
    <t>Palu</t>
  </si>
  <si>
    <t>@fadiljaidi</t>
  </si>
  <si>
    <t>fadiljaidi</t>
  </si>
  <si>
    <t>Makeup, Product Swatch &amp; Review</t>
  </si>
  <si>
    <t>Beauty 3pt [shade (caption)]  ·  Fashion 1pt [gaya (caption)]</t>
  </si>
  <si>
    <t>BA @maricafe.id 
Endorsement 
WA : 081295223083(Admin 1)
         085282606565(Admin 2)</t>
  </si>
  <si>
    <t>Ini gaya tos nya udah dari kita kecil serius 🙏🏻😭 #Juanneve #jasthr #Fadiljaidi · Udah akrab aja jasthr sama om ini @fadiljaidi 😭 #Juanneve · GIMANA KALO KITA KASIH LANGSUNG DAN LIAT REAKSINYA ?🙄 Jual Emas Indonesia baru buka nihh di JEI Pondok Indah yaaa berikut alamatnya : 📍 Jl. Sultan Iskandar Muda No.8, Kec. Kebayoran Lama, Kota Jakarta Selatan. · Mau review shade, tapi shadenya MOP Arena wkwk seruuuuu bareng @fadiljaidi @keanuagl Nippon Paint, Best in Class!! #NipponPaint #NPBestinClass · Final Match Piala Dunia seru banget!! Terima kasih @rexonamenid udah selalu setia setiap saat bikin papa happy di Piala dunia kali ini #SetiaSetiapSaat · Laporan Kesehatan Papa · Ada orang Ganteng + Wangi · Mood hari ini · 😂❤️😂 · kamu punya paket? langsung aja kirim, dijamin harganya lebih fair #TolakBayarAngin · #Juanneve · #jasthr · #Fadiljaidi · #Juanneve · #NipponPaint · #NPBestinClass · #SetiaSetiapSaat · #TolakBayarAngin</t>
  </si>
  <si>
    <t>#juanneve #jasthr #fadiljaidi #nipponpaint #npbestinclass #setiasetiapsaat #tolakbayarangin</t>
  </si>
  <si>
    <t>Magelang</t>
  </si>
  <si>
    <t>Pontianak</t>
  </si>
  <si>
    <t>@saalhaerid</t>
  </si>
  <si>
    <t>saalhaerid</t>
  </si>
  <si>
    <t>PP/ENDORSE @prabmanagement
Campaign/Kerjasama DM @adminabadi
@pentolplatkt 
@tofu_brutal 
@gorenganpokgeboy</t>
  </si>
  <si>
    <t>🤣🤣🤣 #sadin · kesayanganku😍 #sadin · 🤣🤣🤣 #sadin · langsung ketar ketir😭 #sadin · baru kepikiran🤭🤣 #sadin · 😭😭😭 #sadin · Dua hati, satu janji, dan seumur hidup untuk dijalani. Untuk cinta, tawa, dan awal selamanya kita yang dimulai hari ini. · jika tujuannya sama, perasaanya sama, sebesar apapun rintangan dan cobaanya pasti akan sampai juga. #sadin · a new chapter begins. #sadin · #sadin · #sadin · #sadin · #sadin · #sadin · #sadin · #sadin · #sadin</t>
  </si>
  <si>
    <t>#sadin</t>
  </si>
  <si>
    <t>@jharnabhagwani</t>
  </si>
  <si>
    <t>jharnabhagwani</t>
  </si>
  <si>
    <t>Makeup, City &amp; Culture, Domestic Travel</t>
  </si>
  <si>
    <t>Beauty 4pt [makeup (caption); makeup (hashtag)]  ·  Travel 3pt [budaya (caption)]</t>
  </si>
  <si>
    <t>Last one! 🕷️❣️ #spiderman · Dirgahayu Republik Indonesia 🇮🇩❤️ Indonesia yang penuh warna, budaya, dan cerita. Merdeka! 🇮🇩✨ · REBIRTH 🕷️🕸️ #spidermanbrandnewday #makeup #transition · Spider woman 🕷️❣️ #spidermanbrandnewday #spiderman #makeup #trend · Thank you @Urban Decay Indonesia having me at The Baddest Party of the Year! Always a blast celebrating bold looks with the best team. #urbandecayid #UDbaddies · Mommy 🕷️ and Baby Spidey 🕸️ #spiderman #makeup #transition · The Odyssey 👁️ #odyssey #makeup #transition · Devdas Makeup Transition 🪔 Paro’s pov ✨ • #devdas #indianmakeup #transition #bollywood · Cleopatra x The Mummy 🪲⚰️ One of the most requests I’ve ever received on a trend!! Better late than never right? 🫣 I tried to putting my own twist on it, and learned so many new things along the way 🥹💛 Hope you enjoyed watching! Trend setter: @ _marianazambrano Shout out to all the amazing content creators who did this trend! And Thank you for tagging and waiting for me to join in ✨ · Here’s my version of the #Asoka trend! 🫣♥️ Hope you guys like it 🥰 #jharnabhagwani #makeuptransition · #spiderman · #spidermanbrandnewday · #makeup · #transition · #spidermanbrandnewday · #spiderman · #makeup · #trend · #urbandecayid · #udbaddies · #spiderman · #makeup · #transition · #odyssey · #makeup · #transition · #devdas · #indianmakeup · #transition · #bollywood · #asoka · #jharnabhagwani · #makeuptransition</t>
  </si>
  <si>
    <t>#spiderman #spidermanbrandnewday #makeup #transition #trend #urbandecayid #udbaddies #odyssey #devdas #indianmakeup #bollywood #asoka #jharnabhagwani #makeuptransition</t>
  </si>
  <si>
    <t>Tulungagung</t>
  </si>
  <si>
    <t>@sptrakori_</t>
  </si>
  <si>
    <t>sptrakori_</t>
  </si>
  <si>
    <t>Parenting 3pt [anak (caption)]</t>
  </si>
  <si>
    <t>uncle sama enduw jalan jalan di Bali Farm🥰 #sptrakori_ #enduw #korizen · snack ini emang untuk perempuan di seluruh muka bumi de kayaknya🥲#snackterserah · kalo di culik tapi ditidurinnya diatas @TURU sih mau yaaa😗 #sptrakori_ #korizen · anak kecil belom boleh pacaran yah😛 #sptrakori_ #korizen · pertama kali enduw berenang dirumah uncle😍 #sptrakori_ #enduw · ga pernah se-terharu ini🥹😭❤️ makasi banyak semuanyaa🫶🏻 #sptrakori_ · PAPAPA ULALALA😛 · Kalo sampe crush kalian kayak gini mau ges?@Garnier Indonesia #MomenPalingNyerah #HelloMochiSkin #GarnierDryTouchCream #skin · maapin ya vlognya panjang, biar puas nontonnya hahaha😆 #sptrakori_ #korizen · ASMR acara Melaspas dan Birthday, 13.08.2026 #sptrakori_ #korizen · #sptrakori_ · #enduw · #korizen · #snackterserah · #sptrakori_ · #korizen · #sptrakori_ · #korizen · #sptrakori_ · #enduw · #sptrakori_ · #momenpalingnyerah · #hellomochiskin · #garnierdrytouchcream · #skin · #sptrakori_ · #korizen · #sptrakori_ · #korizen</t>
  </si>
  <si>
    <t>#sptrakori_ #enduw #korizen #snackterserah #momenpalingnyerah #hellomochiskin #garnierdrytouchcream #skin</t>
  </si>
  <si>
    <t>Garut</t>
  </si>
  <si>
    <t>Palembang</t>
  </si>
  <si>
    <t>cadence unusable: 50/month extrapolated from 6 observed day(s)</t>
  </si>
  <si>
    <t>@lalitahutami</t>
  </si>
  <si>
    <t>lalitahutami</t>
  </si>
  <si>
    <t>Education 1pt [belajar (caption)]  ·  Lifestyle 1pt [daily (caption)]</t>
  </si>
  <si>
    <t>ashoyyy 🤙🏼 @Ibnu Wardani · CAPEK BGT NGETAWAIN MASNU 😭 @Ibnu Wardani · Lift Trend💖 @Ibnu Wardani @Alvarazka Antarsukha Wardani · Pengen sedikit cerita sama kalian 🥹 hampir mau nyerah, tapi untung ada @Garnier Indonesia ✨ #MomenPalingNyerah #HelloMochiSkin #GarnierDryTouchCream #Skin · Zuzurrr bgt ganyangka sampe abis segini🤣 untung aja sekarang pake @ulike.indonesia 😋🫶🏻 #Ulike #Ulikeid #UlikeIPL · Hubungan saling effort😊👊❤️ @Ibnu Wardani @Alvarazka Antarsukha Wardani @Ibnu Lita daily · hasil belajar 5menit ☺️🫶🏻 · Hmm jadi percaya siapa yaa?🙄 @iniristamoritaa @Ibnu Wardani #MertuaMenantuShow · Cuma mau liatin video doang loh😭 @Ibnu Wardani @Alvarazka Antarsukha Wardani · 🫶🏻🥲 @Ibnu Wardani @Alvarazka Antarsukha Wardani · #momenpalingnyerah · #hellomochiskin · #garnierdrytouchcream · #skin · #ulike · #ulikeid · #ulikeipl · #mertuamenantushow</t>
  </si>
  <si>
    <t>#momenpalingnyerah #hellomochiskin #garnierdrytouchcream #skin #ulike #ulikeid #ulikeipl #mertuamenantushow</t>
  </si>
  <si>
    <t>Ende</t>
  </si>
  <si>
    <t>@isyanasarasvati</t>
  </si>
  <si>
    <t>isyanasarasvati</t>
  </si>
  <si>
    <t>@sarasvatistage
@redrose.records</t>
  </si>
  <si>
    <t xml:space="preserve">MANILA, WE’RE COMING! 🇵🇭 Isyana Sarasvati’s ASIA TOUR SET is making its way to @lalalafestmanila See youuuu! ❤️‍🔥🤘🏻 · seru-seruan pake menu spesial 😋 · Kangenku terobati piuu kemarin, thank youu energi isanesenna Inyooo @isyanation_ 🥹❤️‍🔥✨ #ISYANAEKLEKTIKO · The ICON Season 1 has finally come to an end! It’s been an incredible journey being one of the judges for this pilot season. Thank you @theiconindonesia_sctv for trusting me. Such an honor to witness so many incredible talents and watch them grow stronger EVERY single day. Congratulationsss to @theicon_felicia , @theicon_vedra , and all the contestants. You GUYS ARE ONE OF A KIND! Thank you for bringing such a breath of fresh air to the music scene. I’m officially a fan of you both. Welcome to the club! 🖤🫶🏻✨🤘🏻🎤🎵 photos by @lukasandre0306 · Honored to be performing at the Yamaha Gala Concert 2026 in Tokyo! 🇯🇵🫶🏻✨ As a yamaha music school alumna, it means so much to return and celebrate music alongside incredible musicians. Grateful to represent Indonesia w/ @kenanloui as the only two artists joining from overseas. See you in Tokyo!! · KOREAAAA! YESTERDAY WAS UNREAL! YOUR ENERGY WAS OUT OF THIS WORLD! One of the best crowds I’ve had this year! KAMSAMNIDA, YOROBUNNN!! @pentaportrf 🤘🏻✨🇰🇷 It was my second time performing in Korea, and once again, it felt so unreal to see how much you appreciated my music. I truly hope I can come back again someday! #IsyanaSarasvatiAsiaTour2026 Photos by team @pentaportrf </t>
  </si>
  <si>
    <t>#isyanaeklektiko #isyanasarasvatiasiatour2026 #isyanasarasvati #sarasvatistage #eklektikoisyana #isyana5thalbum</t>
  </si>
  <si>
    <t>@lambe_turah</t>
  </si>
  <si>
    <t>lambe_turah</t>
  </si>
  <si>
    <t>GOSIP ADALAH FAKTA YANG TERTUNDA
DM NO PICT = HOAX
SPAM = BLOCK</t>
  </si>
  <si>
    <t>Bisa sekalian hiling nehhh... · Lagi banyak kejadian di laut.. · Pake sabun.... · Ka kanwil pajak lhoooo..... · What happen aya naon?🤔🤔 · Pray For NTT 🙏🙏 · Klean desil berapa nderr??? · Siappp grak.... · Semangat kakak 💪💪 · Klean desil berapa nderr???</t>
  </si>
  <si>
    <t>Padang</t>
  </si>
  <si>
    <t>Samarinda</t>
  </si>
  <si>
    <t>cadence unusable: 300/month extrapolated from 1 observed day(s)</t>
  </si>
  <si>
    <t>@ditanganu</t>
  </si>
  <si>
    <t>ditanganu</t>
  </si>
  <si>
    <t>Finance 1pt [uang (caption)]  ·  Food 1pt [makanan (caption)]</t>
  </si>
  <si>
    <t>TUTUP GORDEN LANJUT TIDUR · HARUS PUNYA INI DI RUMAH · COCOK BUAT KALIAN YANG SUKA FOTO · KANGEN BANGET MASA ITU · KALAU KE MAKANAN UANG SELALU ADA · BANGGA DENGAN PENCAPAIANKU · BISA DI PINDAHIN KEMANAPUN · YAUDAH AKU MINTA MAAF · SIAP JALAN JALAN · NYESEL MAKAN DI LUAR</t>
  </si>
  <si>
    <t>no category: kol_categories carries none and caption evidence did not reach the threshold · cadence unusable: 150/month extrapolated from 2 observed day(s)</t>
  </si>
  <si>
    <t>@hesfinatia</t>
  </si>
  <si>
    <t>hesfinatia</t>
  </si>
  <si>
    <t>Reaksi orang” pada ngakak😭🫵🏻 #fyp · Ternyata dia gatau kopdes jadi maunya indromarets🥲🙏🏻 · bisa” nya dia baru bilang😭 #fyp · Ini hasilnya🥹🙏🏻 #fyp · Drama banget😭🙏🏻 #fakebodyy⚠️ #fakesituation⚠️️ · lah ko dia doyan😭 · Plis takut banget😭🫵🏻 #fyp · Jadi pengen nikah lagi deh😭🙏🏻 #fyp · Bridesmaid nya @Gelia Linda 🤍✨ · Banyak ngelamun gini😭 #fyp · #fyp · #fyp · #fyp · #fakebodyy⚠️ · #fakesituation⚠️️ · #fyp · #fyp · #fyp</t>
  </si>
  <si>
    <t>#fyp #fakebodyy⚠️ #fakesituation⚠️️</t>
  </si>
  <si>
    <t>cadence unusable: 42.86/month extrapolated from 7 observed day(s)</t>
  </si>
  <si>
    <t>@erickapinedao9</t>
  </si>
  <si>
    <t>@erickapineda09</t>
  </si>
  <si>
    <t>erickapineda09</t>
  </si>
  <si>
    <t>FOUND (alias)</t>
  </si>
  <si>
    <t>requested @erickapinedao9; resolved to @erickapineda09 · no engagement rate on any of the three sources · no audience analysis row · no audience interest rows</t>
  </si>
  <si>
    <t>@anyageraldine</t>
  </si>
  <si>
    <t>anyageraldine</t>
  </si>
  <si>
    <t>Career, Film &amp; Series, Job Hunting &amp; CV</t>
  </si>
  <si>
    <t>Education 5pt [interview (caption)]  ·  Entertainment 4pt [film (caption); bioskop (caption)]</t>
  </si>
  <si>
    <t>🇮🇩 Business inquiries: +62 811 191 8959 (ochi) Whatsapp.</t>
  </si>
  <si>
    <t xml:space="preserve">reminiscing 🇯🇵🥢 · Kemanapun dan kapanpun, aku gak pernah lepas dari Joiway i1 ini! Selain harganya yang affordable banget, Joiway i1 udah jadi salah satu barang essential aku yang harus selalu aku bawa😆 @joiway_id #JOIWAYi1 #JoiwayEveryday #BestDevice2026 · dululululu one-sided love story 💓🤓🫰🏻🌈🫂🦋 (doain ya ges) · Karena banyak pilihan warna, Joiway i1 bisa aku bawa untuk semua aktivitas aku! Termasuk interview kali ini, yang sampai bikin salfok🫣 #JOIWAYi1 #JoiwayEveryday #BestDevice2026 · her ego needed some fresh air 🧘🏼‍♀️🏞️🥂💅🏼✨ · #obsession 💘💘💘 · The little details make all the difference. ✨ Mulai dari apa yang kudengar dengan #OPPOEncoClip2 hingga momen yang kuabadikan dengan #OPPOFindX9s, setiap detail punya ceritanya sendiri. #EffortlessInStyle · Official Poster #Shutter 📸🧟‍♀️ Tayang 30 Oktober di Bioskop @vinogbastian__ @nikenanjanii @anyageraldine @donnyalamsyah @andrimashadi @rangganattra @dewigita01 @rukmanrosadi_ @chellibobs @nugietrilogy @iangdarmawan @nonangie @aphang_alimsudio @herwinnovianto @er1ca · Masa lalu yang kelam membuat luka yang begitu dalam di hati. Namun, Aris kembali. Kinan, Lydia... Siapa yang tersakiti kali ini? Film Layangan Putus SEGERA di bioskop! 🪁 #LayanganPutus #MDEntertainment #MDPictures · Emangnya GAMPANG cari CUAN? Adik kakak selalu punya sifat, kelakukan, tempramen, dan ambisi beda-beda. Tapi pas ada momen, harus kerja bareng melawan realita yang lebih sering bikin nangis daripada manis. Apapun itu, yang penting </t>
  </si>
  <si>
    <t>#joiwayi1 #joiwayeveryday #bestdevice2026 #obsession #oppoencoclip2 #oppofindx9s, #effortlessinstyle #shutter #layanganputus #mdentertainment #mdpictures #gampangcuanfilm</t>
  </si>
  <si>
    <t>Bogor</t>
  </si>
  <si>
    <t>@shabiraaluaadnan</t>
  </si>
  <si>
    <t>@shabiraalulaadnan</t>
  </si>
  <si>
    <t>shabiraalulaadnan</t>
  </si>
  <si>
    <t>requested @shabiraaluaadnan; resolved to @shabiraalulaadnan · no category: kol_categories carries none and caption evidence did not reach the threshold · no engagement rate on any of the three sources · no audience analysis row · no audience interest rows</t>
  </si>
  <si>
    <t>@pojoksatu.id</t>
  </si>
  <si>
    <t>pojoksatu.id</t>
  </si>
  <si>
    <t>Domestic Travel, Nature &amp; Outdoor, Audio &amp; Wearable</t>
  </si>
  <si>
    <t>Travel 10pt [pantai (caption); gunung (caption)]  ·  Tech 6pt [headphone (caption); api (caption)]</t>
  </si>
  <si>
    <t>Kasus hukum yang menyangkut PT Toba Pulp Lestari kembali jadi sorotan. Bagaimana tidak, kini ada 3 kasus hukum sekaligus. Terbaru Kejagung mengungkap dugaan korupsi transfer pricing yang menyeret nama perusahaan. Usai viral, PT Toba Pulp Lestari Tbk (INRU) buka suara. Direktur sekaligus Corporate Secretary INRU, Anwar Lawden, mengaku telah menerima informasi tersebut. Saat ini, perseroan masih melakukan pendalaman dan verifikasi atas informasi tersebut. "Perseroan akan menyampaikan informasi lebih lanjut kepada BEI dan publik sesuai dengan ketentuan peraturan perundang-undangan yang berlaku apabila telah tersedia informasi yang material, relevan, dan dapat diverifikasi," tulis Anwar, Kamis (20/8/2026). #pojoksatu · Aksi seorang pengendara motor di Jalan Lebak Bulus mendadak bikin warganet mengelus dada dan emosi jiwa. Bagaimana tidak, di saat ambulans sedang melaju kencang membawa pasien dalam kondisi kritis menuju RS Fatmawati, pemotor ini justru terkesan enggan memberi ruang jalan meski sirine sudah meraung-raung. Bukannya langsung menepi demi menyelamatkan nyawa orang, situasi di jalanan malah makin memanas setelah sang pemotor justru terlibat cekcok dengan sopir ambulans. Aksi egois yang lebih mementingkan gengsi ketimbang keselamatan pasien kritis ini jelas memicu amarah publik. Bikin heran, kok ya sempat-sempatnya diajak debat di saat nyawa orang lain sedang dipertaruhkan? · Momen seorang penumpang kereta api menjadi perhatian setelah memutar musik dengan volume keras t</t>
  </si>
  <si>
    <t>#pojoksatu #wuwacreator #wutheringwaves</t>
  </si>
  <si>
    <t>Sulawesi</t>
  </si>
  <si>
    <t>category calculated from captions, not from kol_categories · cadence unusable: null/month extrapolated from 0 observed day(s)</t>
  </si>
  <si>
    <t>BRAND PROFILE  ·  five brands, every category taken from the KOL database</t>
  </si>
  <si>
    <t>One column per brand. The Category row holds a kol_categories.taxonomy_key value — Tech, Beauty, Food, Fitness, Fashion — and the Audience Interests rows hold audience_interest_daily.interest_key values, both exactly as the database spells them. The Source column says which database column each field speaks to, or states that none does; the three fields where none does score nothing.</t>
  </si>
  <si>
    <t>Brand Field</t>
  </si>
  <si>
    <t>Source in the database</t>
  </si>
  <si>
    <t>NovaTech</t>
  </si>
  <si>
    <t>LumiSkin</t>
  </si>
  <si>
    <t>DailyBite</t>
  </si>
  <si>
    <t>MoveFit</t>
  </si>
  <si>
    <t>UrbanMuse</t>
  </si>
  <si>
    <t>A. BRAND RECORD  ·  public.brand</t>
  </si>
  <si>
    <t>— workbook key</t>
  </si>
  <si>
    <t>BR-01</t>
  </si>
  <si>
    <t>BR-02</t>
  </si>
  <si>
    <t>BR-03</t>
  </si>
  <si>
    <t>BR-04</t>
  </si>
  <si>
    <t>BR-05</t>
  </si>
  <si>
    <t>public.brand.name</t>
  </si>
  <si>
    <t>Category (canonical)</t>
  </si>
  <si>
    <t>category</t>
  </si>
  <si>
    <t>public.kol_categories.taxonomy_key — one of the 9 canonical values</t>
  </si>
  <si>
    <t>Product / Service</t>
  </si>
  <si>
    <t>product</t>
  </si>
  <si>
    <t>— descriptive, scores nothing</t>
  </si>
  <si>
    <t>Productivity &amp; Business Software</t>
  </si>
  <si>
    <t>Skincare / Beauty</t>
  </si>
  <si>
    <t>Food / Beverage</t>
  </si>
  <si>
    <t>Sportswear / Fitness Product</t>
  </si>
  <si>
    <t>Fashion / Apparel</t>
  </si>
  <si>
    <t>public.brand.brand_keywords</t>
  </si>
  <si>
    <t>teknologi, software, aplikasi, produktivitas, bisnis, digital</t>
  </si>
  <si>
    <t>skincare, perawatan kulit, kecantikan, glowing, serum, sunscreen</t>
  </si>
  <si>
    <t>makanan, minuman, kuliner, resto, cafe, jajan</t>
  </si>
  <si>
    <t>fitness, olahraga, gym, lari, kebugaran, sehat</t>
  </si>
  <si>
    <t>fashion, outfit, ootd, gaya, koleksi, style</t>
  </si>
  <si>
    <t>Brand Hashtags</t>
  </si>
  <si>
    <t>brand_hashtags</t>
  </si>
  <si>
    <t>public.brand.brand_hashtags</t>
  </si>
  <si>
    <t>tech, gadget, startup, produktivitas, aplikasi</t>
  </si>
  <si>
    <t>skincare, beauty, glowing, makeup, bpom</t>
  </si>
  <si>
    <t>kuliner, food, makanan, foodie, jajan</t>
  </si>
  <si>
    <t>fitness, workout, gym, olahraga, sport</t>
  </si>
  <si>
    <t>ootd, fashion, style, outfit, lookbook</t>
  </si>
  <si>
    <t>NO COLUMN — audience_demographics_daily holds gender only; scores nothing</t>
  </si>
  <si>
    <t>NO COLUMN — as above</t>
  </si>
  <si>
    <t>audience_demographics_daily (audience_type='gender') + feature.*_audience_analysis.female_pct</t>
  </si>
  <si>
    <t>interests</t>
  </si>
  <si>
    <t>l2_gold.audience_interest_daily.interest_key — exact keys only</t>
  </si>
  <si>
    <t>technology, business, education, gaming</t>
  </si>
  <si>
    <t>beauty, fashion, entertainment</t>
  </si>
  <si>
    <t>food, entertainment, parenting, travel</t>
  </si>
  <si>
    <t>fitness, sports, food</t>
  </si>
  <si>
    <t>fashion, beauty, travel, music, photography</t>
  </si>
  <si>
    <t xml:space="preserve">    · art</t>
  </si>
  <si>
    <t>interest_art</t>
  </si>
  <si>
    <t>interest_key = 'art'</t>
  </si>
  <si>
    <t xml:space="preserve">    · automotive</t>
  </si>
  <si>
    <t>interest_automotive</t>
  </si>
  <si>
    <t>interest_key = 'automotive'</t>
  </si>
  <si>
    <t xml:space="preserve">    · beauty</t>
  </si>
  <si>
    <t>interest_beauty</t>
  </si>
  <si>
    <t>interest_key = 'beauty'</t>
  </si>
  <si>
    <t xml:space="preserve">    · business</t>
  </si>
  <si>
    <t>interest_business</t>
  </si>
  <si>
    <t>interest_key = 'business'</t>
  </si>
  <si>
    <t xml:space="preserve">    · education</t>
  </si>
  <si>
    <t>interest_education</t>
  </si>
  <si>
    <t>interest_key = 'education'</t>
  </si>
  <si>
    <t xml:space="preserve">    · entertainment</t>
  </si>
  <si>
    <t>interest_entertainment</t>
  </si>
  <si>
    <t>interest_key = 'entertainment'</t>
  </si>
  <si>
    <t xml:space="preserve">    · fashion</t>
  </si>
  <si>
    <t>interest_fashion</t>
  </si>
  <si>
    <t>interest_key = 'fashion'</t>
  </si>
  <si>
    <t xml:space="preserve">    · fitness</t>
  </si>
  <si>
    <t>interest_fitness</t>
  </si>
  <si>
    <t>interest_key = 'fitness'</t>
  </si>
  <si>
    <t xml:space="preserve">    · food</t>
  </si>
  <si>
    <t>interest_food</t>
  </si>
  <si>
    <t>interest_key = 'food'</t>
  </si>
  <si>
    <t xml:space="preserve">    · gaming</t>
  </si>
  <si>
    <t>interest_gaming</t>
  </si>
  <si>
    <t>interest_key = 'gaming'</t>
  </si>
  <si>
    <t xml:space="preserve">    · music</t>
  </si>
  <si>
    <t>interest_music</t>
  </si>
  <si>
    <t>interest_key = 'music'</t>
  </si>
  <si>
    <t xml:space="preserve">    · parenting</t>
  </si>
  <si>
    <t>interest_parenting</t>
  </si>
  <si>
    <t>interest_key = 'parenting'</t>
  </si>
  <si>
    <t xml:space="preserve">    · pets</t>
  </si>
  <si>
    <t>interest_pets</t>
  </si>
  <si>
    <t>interest_key = 'pets'</t>
  </si>
  <si>
    <t xml:space="preserve">    · photography</t>
  </si>
  <si>
    <t>interest_photography</t>
  </si>
  <si>
    <t>interest_key = 'photography'</t>
  </si>
  <si>
    <t xml:space="preserve">    · religion</t>
  </si>
  <si>
    <t>interest_religion</t>
  </si>
  <si>
    <t>interest_key = 'religion'</t>
  </si>
  <si>
    <t xml:space="preserve">    · sports</t>
  </si>
  <si>
    <t>interest_sports</t>
  </si>
  <si>
    <t>interest_key = 'sports'</t>
  </si>
  <si>
    <t xml:space="preserve">    · technology</t>
  </si>
  <si>
    <t>interest_technology</t>
  </si>
  <si>
    <t>interest_key = 'technology'</t>
  </si>
  <si>
    <t xml:space="preserve">    · travel</t>
  </si>
  <si>
    <t>interest_travel</t>
  </si>
  <si>
    <t>interest_key = 'travel'</t>
  </si>
  <si>
    <t>C. CONTENT EVIDENCE</t>
  </si>
  <si>
    <t>Caption Search Terms</t>
  </si>
  <si>
    <t>caption_terms</t>
  </si>
  <si>
    <t>searched in l1_silver.unified_post.caption — NOT a taxonomy; post_analysis.content_category is NULL in all 212 rows</t>
  </si>
  <si>
    <t>teknologi, aplikasi, digital, bisnis, edukasi, gadget</t>
  </si>
  <si>
    <t>skincare, kecantikan, makeup, glowing, perawatan, cantik</t>
  </si>
  <si>
    <t>kuliner, makanan, minuman, resto, enak, keluarga</t>
  </si>
  <si>
    <t>olahraga, fitness, lari, gym, sehat, latihan</t>
  </si>
  <si>
    <t>fashion, outfit, gaya, style, koleksi, travel</t>
  </si>
  <si>
    <t>D. BRIEFED, NOT SCORED</t>
  </si>
  <si>
    <t>personality_brief</t>
  </si>
  <si>
    <t>NO CREATOR COLUMN — no personality, tone, values or content-style field exists anywhere; Brand Personality Fit is N/A on all 120 rows</t>
  </si>
  <si>
    <t>Professional · Innovative · Modern · Educational</t>
  </si>
  <si>
    <t>Elegant · Friendly · Modern · Trustworthy</t>
  </si>
  <si>
    <t>Friendly · Fun · Casual · Relatable</t>
  </si>
  <si>
    <t>Energetic · Motivational · Active · Bold</t>
  </si>
  <si>
    <t>Modern · Stylish · Creative · Premium</t>
  </si>
  <si>
    <t>Ideal Creator</t>
  </si>
  <si>
    <t>ideal_creator</t>
  </si>
  <si>
    <t>— descriptive, states which kol_categories rows feed this brand's canonical key</t>
  </si>
  <si>
    <t>Creators carrying the Tech category — kol_categories "Technology and gadgets" or "Gaming" — with a business or education audience.</t>
  </si>
  <si>
    <t>Creators carrying the Beauty category, with a majority-female audience.</t>
  </si>
  <si>
    <t>Creators carrying the Food category — kol_categories "Foodies", "Food" or "Cooking" — or an entertainment audience that indexes on food.</t>
  </si>
  <si>
    <t>Creators carrying the Fitness category — kol_categories "Fitness", "Sports", "Gym Enthusiast" or "Cyclist".</t>
  </si>
  <si>
    <t>Creators carrying the Fashion category, with a majority-female audience.</t>
  </si>
  <si>
    <t>TOKEN SLOTS  ·  each term on its own row, because the match tests them one at a time</t>
  </si>
  <si>
    <t>Token set</t>
  </si>
  <si>
    <t>Searched in</t>
  </si>
  <si>
    <t>creator bio + captions + category names</t>
  </si>
  <si>
    <t>teknologi</t>
  </si>
  <si>
    <t>skincare</t>
  </si>
  <si>
    <t>makanan</t>
  </si>
  <si>
    <t>fitness</t>
  </si>
  <si>
    <t>fashion</t>
  </si>
  <si>
    <t>software</t>
  </si>
  <si>
    <t>perawatan kulit</t>
  </si>
  <si>
    <t>minuman</t>
  </si>
  <si>
    <t>olahraga</t>
  </si>
  <si>
    <t>outfit</t>
  </si>
  <si>
    <t>aplikasi</t>
  </si>
  <si>
    <t>kecantikan</t>
  </si>
  <si>
    <t>kuliner</t>
  </si>
  <si>
    <t>gym</t>
  </si>
  <si>
    <t>ootd</t>
  </si>
  <si>
    <t>produktivitas</t>
  </si>
  <si>
    <t>glowing</t>
  </si>
  <si>
    <t>resto</t>
  </si>
  <si>
    <t>lari</t>
  </si>
  <si>
    <t>gaya</t>
  </si>
  <si>
    <t>bisnis</t>
  </si>
  <si>
    <t>serum</t>
  </si>
  <si>
    <t>cafe</t>
  </si>
  <si>
    <t>kebugaran</t>
  </si>
  <si>
    <t>koleksi</t>
  </si>
  <si>
    <t>slot 6</t>
  </si>
  <si>
    <t>brand_keywords_6</t>
  </si>
  <si>
    <t>digital</t>
  </si>
  <si>
    <t>sunscreen</t>
  </si>
  <si>
    <t>jajan</t>
  </si>
  <si>
    <t>sehat</t>
  </si>
  <si>
    <t>style</t>
  </si>
  <si>
    <t>terms filled</t>
  </si>
  <si>
    <t>brand_hashtags_1</t>
  </si>
  <si>
    <t>the creator's own hashtags (l1_silver.unified_post.hashtags)</t>
  </si>
  <si>
    <t>tech</t>
  </si>
  <si>
    <t>brand_hashtags_2</t>
  </si>
  <si>
    <t>gadget</t>
  </si>
  <si>
    <t>beauty</t>
  </si>
  <si>
    <t>food</t>
  </si>
  <si>
    <t>workout</t>
  </si>
  <si>
    <t>brand_hashtags_3</t>
  </si>
  <si>
    <t>startup</t>
  </si>
  <si>
    <t>brand_hashtags_4</t>
  </si>
  <si>
    <t>makeup</t>
  </si>
  <si>
    <t>foodie</t>
  </si>
  <si>
    <t>brand_hashtags_5</t>
  </si>
  <si>
    <t>bpom</t>
  </si>
  <si>
    <t>sport</t>
  </si>
  <si>
    <t>lookbook</t>
  </si>
  <si>
    <t>brand_hashtags_count</t>
  </si>
  <si>
    <t>caption_terms_1</t>
  </si>
  <si>
    <t>l1_silver.unified_post.caption</t>
  </si>
  <si>
    <t>caption_terms_2</t>
  </si>
  <si>
    <t>caption_terms_3</t>
  </si>
  <si>
    <t>caption_terms_4</t>
  </si>
  <si>
    <t>caption_terms_5</t>
  </si>
  <si>
    <t>edukasi</t>
  </si>
  <si>
    <t>perawatan</t>
  </si>
  <si>
    <t>enak</t>
  </si>
  <si>
    <t>caption_terms_6</t>
  </si>
  <si>
    <t>cantik</t>
  </si>
  <si>
    <t>keluarga</t>
  </si>
  <si>
    <t>latihan</t>
  </si>
  <si>
    <t>travel</t>
  </si>
  <si>
    <t>caption_terms_count</t>
  </si>
  <si>
    <t>120 rows: 5 brands x 24 creators. Not one score here is typed — each is a formula over KOL_Source_Data and Brand_Profile, weighted by the constants on Lookup_Lists. Filter column A to one Brand ID to read a single brand; compare one KOL ID down the five blocks to see that the score is a function of the pair, not a ranking of creators.</t>
  </si>
  <si>
    <t>Hashtag Match</t>
  </si>
  <si>
    <t>Business Score</t>
  </si>
  <si>
    <t>Business Available</t>
  </si>
  <si>
    <t>Age Score</t>
  </si>
  <si>
    <t>Gender Score</t>
  </si>
  <si>
    <t>Location Score</t>
  </si>
  <si>
    <t>Interest Score</t>
  </si>
  <si>
    <t>Audience Score</t>
  </si>
  <si>
    <t>Audience Available</t>
  </si>
  <si>
    <t>Content Category Match</t>
  </si>
  <si>
    <t>Content Score</t>
  </si>
  <si>
    <t>Content Available</t>
  </si>
  <si>
    <t>Tone Match</t>
  </si>
  <si>
    <t>Communication Match</t>
  </si>
  <si>
    <t>Personality Score</t>
  </si>
  <si>
    <t>Personality Available</t>
  </si>
  <si>
    <t>ER Score</t>
  </si>
  <si>
    <t>Performance Score</t>
  </si>
  <si>
    <t>Performance Available</t>
  </si>
  <si>
    <t>Authenticity Score</t>
  </si>
  <si>
    <t>Follower Quality Score</t>
  </si>
  <si>
    <t>Verification Score</t>
  </si>
  <si>
    <t>Paid Ratio Score</t>
  </si>
  <si>
    <t>Content Risk Score</t>
  </si>
  <si>
    <t>Safety Score</t>
  </si>
  <si>
    <t>Safety Available</t>
  </si>
  <si>
    <t>Safety Level</t>
  </si>
  <si>
    <t>Risk Note</t>
  </si>
  <si>
    <t>Available Weight</t>
  </si>
  <si>
    <t>Rank Key</t>
  </si>
  <si>
    <t>Keyword Haystack</t>
  </si>
  <si>
    <t>Topic Haystack</t>
  </si>
  <si>
    <t>Hashtag Haystack</t>
  </si>
  <si>
    <t>SCORE BREAKDOWN  ·  every sub-score behind every Final Match Score</t>
  </si>
  <si>
    <t>A pure view of Matching_Engine: each cell is a reference, not a recalculation. Age Score is N/A on all 120 rows because no age signal exists on this server, and its 25% renormalises across gender, location and interest — which is why an Audience Score can be higher than any single dimension that produced it.</t>
  </si>
  <si>
    <t>AUDIENCE SUB-SCORES (weights 25 / 15 / 30 / 30)</t>
  </si>
  <si>
    <t>COMPONENTS</t>
  </si>
  <si>
    <t>Final Score</t>
  </si>
  <si>
    <t>MATCH EXPLANATION  ·  one written reason per creator-brand pair</t>
  </si>
  <si>
    <t>All 120 pairs. Every clause is assembled from the row's own component scores — the strongest and weakest factor are found by MATCH across the six components, not written down — so no sentence can survive a score that moved underneath it. The helper columns on the right are the working: they are what MATCH searches, and they are left visible so the wording can be traced.</t>
  </si>
  <si>
    <t>WORKING  ·  how the strongest and weakest factor were found</t>
  </si>
  <si>
    <t>Why Match</t>
  </si>
  <si>
    <t>Top Strength</t>
  </si>
  <si>
    <t>Weakest Factor</t>
  </si>
  <si>
    <t>Consideration</t>
  </si>
  <si>
    <t>max: Brand &amp; Business Relevance</t>
  </si>
  <si>
    <t>max: Target Audience Relevance</t>
  </si>
  <si>
    <t>max: Content &amp; Category Relevance</t>
  </si>
  <si>
    <t>max: Brand Personality Fit</t>
  </si>
  <si>
    <t>max: Performance Quality</t>
  </si>
  <si>
    <t>max: Brand Safety</t>
  </si>
  <si>
    <t>Best Value</t>
  </si>
  <si>
    <t>Best Component</t>
  </si>
  <si>
    <t>min: Brand &amp; Business Relevance</t>
  </si>
  <si>
    <t>min: Target Audience Relevance</t>
  </si>
  <si>
    <t>min: Content &amp; Category Relevance</t>
  </si>
  <si>
    <t>min: Brand Personality Fit</t>
  </si>
  <si>
    <t>min: Performance Quality</t>
  </si>
  <si>
    <t>min: Brand Safety</t>
  </si>
  <si>
    <t>Worst Value</t>
  </si>
  <si>
    <t>Worst Component</t>
  </si>
  <si>
    <t>BRAND COMPARISON  ·  the same creator against all five brands</t>
  </si>
  <si>
    <t>This is the sheet the exercise exists to produce. One row per creator, one column per brand, every cell an INDEX/MATCH into Matching_Engine on the Brand|KOL key. Spread is the max minus the min: a creator whose spread is 0 would be carrying a permanent score, which is exactly the behaviour Brand Match must not have.</t>
  </si>
  <si>
    <t>Best Brand</t>
  </si>
  <si>
    <t>Best Score</t>
  </si>
  <si>
    <t>Spread (max-min)</t>
  </si>
  <si>
    <t>BRAND RANKING  ·  all 24 creators ordered, separately for each brand</t>
  </si>
  <si>
    <t>One block per brand. Order comes from the engine's Rank Key — the Final Match Score times 1000 plus the creator's roster position — so ties resolve to exactly one row instead of collapsing onto whichever appears first. Read two blocks side by side: the orders differ, and that difference is the deliverable.</t>
  </si>
  <si>
    <t>NovaTech  ·  undefined  ·  ranked by Final Match Score</t>
  </si>
  <si>
    <t>LumiSkin  ·  undefined  ·  ranked by Final Match Score</t>
  </si>
  <si>
    <t>DailyBite  ·  undefined  ·  ranked by Final Match Score</t>
  </si>
  <si>
    <t>MoveFit  ·  undefined  ·  ranked by Final Match Score</t>
  </si>
  <si>
    <t>UrbanMuse  ·  undefined  ·  ranked by Final Match Score</t>
  </si>
  <si>
    <t>TOP MATCHES  ·  the five best and five worst fits for each brand</t>
  </si>
  <si>
    <t>Straight references into Brand_Ranking, with the reason and the concern pulled off Match_Explanation by the Brand|KOL key. The bottom five matter as much as the top five: they are what shows the model is discriminating rather than flattering everyone on the roster.</t>
  </si>
  <si>
    <t>NovaTech  ·  undefined</t>
  </si>
  <si>
    <t>Band</t>
  </si>
  <si>
    <t>Reason</t>
  </si>
  <si>
    <t>Strength</t>
  </si>
  <si>
    <t>Concern</t>
  </si>
  <si>
    <t>TOP 5</t>
  </si>
  <si>
    <t>BOTTOM 5</t>
  </si>
  <si>
    <t>LumiSkin  ·  undefined</t>
  </si>
  <si>
    <t>DailyBite  ·  undefined</t>
  </si>
  <si>
    <t>MoveFit  ·  undefined</t>
  </si>
  <si>
    <t>UrbanMuse  ·  undefined</t>
  </si>
  <si>
    <t>HARD FILTER vs SOFT MATCH  ·  what deletes a creator and what merely reorders them</t>
  </si>
  <si>
    <t>A hard filter answers yes or no and removes rows; a soft match returns 0-100 and reorders them. Confusing the two is how "Max Rate Card" came to be marked DONE while returning zero creators for every price. The right-hand column is measured against these 24 rows, not asserted — a gate whose effect nobody has counted is a gate nobody has tested.</t>
  </si>
  <si>
    <t>HARD FILTERS  ·  boolean gates. A creator that fails one leaves the result set entirely.</t>
  </si>
  <si>
    <t>Brand input</t>
  </si>
  <si>
    <t>KOL field</t>
  </si>
  <si>
    <t>Prototype status</t>
  </si>
  <si>
    <t>Effect on this roster</t>
  </si>
  <si>
    <t>see kol_directory.username + agency_kol_accounts.label (97,1%)</t>
  </si>
  <si>
    <t>see kol_directory.username_normalized (97,1%)</t>
  </si>
  <si>
    <t>see kol_directory.bio (~12% terisi)</t>
  </si>
  <si>
    <t>Connected</t>
  </si>
  <si>
    <t>connectedOnly</t>
  </si>
  <si>
    <t>not measurable on this roster — audience_geo_daily (geo_level='country') (23 creator)</t>
  </si>
  <si>
    <t>not measurable on this roster — l1_silver.unified_rate_card (0 baris)</t>
  </si>
  <si>
    <t>not measurable on this roster — — tidak ada kolom risk-level (0%)</t>
  </si>
  <si>
    <t>see discover_creator_links (migrasi 053) (100% (state aplikasi))</t>
  </si>
  <si>
    <t>see discover cart (state aplikasi) (100%)</t>
  </si>
  <si>
    <t>not measurable on this roster — public.campaign_kols (0 baris)</t>
  </si>
  <si>
    <t>defined by this workbook; no column exists to filter on yet</t>
  </si>
  <si>
    <t>not measurable on this roster — — tidak ada kolom (0%)</t>
  </si>
  <si>
    <t>SOFT MATCH  ·  0-100 contributions. These change the order, never the membership.</t>
  </si>
  <si>
    <t>not measurable on this roster — feature.ig/tt_post_analysis.content_category (0 baris)</t>
  </si>
  <si>
    <t>not measurable on this roster — — tidak ada kolom sub-kategori (0%)</t>
  </si>
  <si>
    <t>not measurable on this roster — kol_directory.creator_city (0% terisi)</t>
  </si>
  <si>
    <t>not measurable on this roster — audience_geo_daily (9 dari 33 key salah level)</t>
  </si>
  <si>
    <t>not measurable on this roster — audience_geo_daily (geo_level='city') (15 creator usable)</t>
  </si>
  <si>
    <t>not measurable on this roster — audience_demographics_daily (audience_type='age') (0 baris)</t>
  </si>
  <si>
    <t>not measurable on this roster — audience_demographics_daily (gender) (23 creator (0,30%))</t>
  </si>
  <si>
    <t>not measurable on this roster — audience_interest_daily.interest_key (23 creator; 85,2% 'unknown')</t>
  </si>
  <si>
    <t>not measurable on this roster — feature.ig/tt_audience_analysis.authenticity_score (23 creator)</t>
  </si>
  <si>
    <t>see l2_gold.post_metric.views (21 creator lolos threshold)</t>
  </si>
  <si>
    <t>see l2_gold.post_metric.shares (11 creator, TikTok saja)</t>
  </si>
  <si>
    <t>see l2_gold.post_metric.saves (11 creator, TikTok saja)</t>
  </si>
  <si>
    <t>not measurable on this roster — — nol kolom consistency/cadence (0%)</t>
  </si>
  <si>
    <t>Follower Growth</t>
  </si>
  <si>
    <t>growth</t>
  </si>
  <si>
    <t>Preset band + sort</t>
  </si>
  <si>
    <t>Growth sejak snapshot terakhir</t>
  </si>
  <si>
    <t>see l2_gold.kol_profile_card.followers_growth (25 creator (0,3%) — butuh dua snapshot)</t>
  </si>
  <si>
    <t>not measurable on this roster — l2_gold.kol_metric_monthly (deret) (5 creator ≥4 titik)</t>
  </si>
  <si>
    <t>not measurable on this roster — kol_metric_monthly (deret) (5 creator)</t>
  </si>
  <si>
    <t>see post_metric.views ÷ followers_count (21 creator)</t>
  </si>
  <si>
    <t>not measurable on this roster — rate ÷ views (0% (butuh rate card))</t>
  </si>
  <si>
    <t>not measurable on this roster — feature.ig/tt_audience_analysis.cpe (0%)</t>
  </si>
  <si>
    <t>not measurable on this roster — rate ÷ followers × 1.000 (0%)</t>
  </si>
  <si>
    <t>not measurable on this roster — CPE terhadap median roster (0%)</t>
  </si>
  <si>
    <t>not measurable on this roster — EMV ÷ rate (0%)</t>
  </si>
  <si>
    <t>not measurable on this roster — feature.brand_fit_analysis.partnership_score (0 baris)</t>
  </si>
  <si>
    <t>not measurable on this roster — — tidak ada kolom competitor-saturation (0%)</t>
  </si>
  <si>
    <t>see kol_directory.created_at (99,7%)</t>
  </si>
  <si>
    <t>see kol_directory.last_refreshed_at (97,1%)</t>
  </si>
  <si>
    <t>not measurable on this roster — followers_growth (maks 0,917% vs rule ≥5,5%) (25 creator)</t>
  </si>
  <si>
    <t>WHY THIS ROSTER IS RANKED, NOT GATED</t>
  </si>
  <si>
    <t>All five brands run with permissive hard filters</t>
  </si>
  <si>
    <t>The brief names 24 specific creators and asks how they compare across 5 brands. A minimum-follower or minimum-ER gate would answer a different question by deleting rows from the comparison — so every brand admits every creator, and the ordering does the work.</t>
  </si>
  <si>
    <t>Brand Safety is a soft input here, not a gate</t>
  </si>
  <si>
    <t>The catalogue lists Minimum Brand Safety as a HARD filter, and it should be one in the product. It cannot be one on this data: no content-risk reading exists for any account, so a safety gate would be filtering on an integrity screen and calling it safety.</t>
  </si>
  <si>
    <t>Category as a hard filter needs a live basis</t>
  </si>
  <si>
    <t>Nine of the 24 carry no category and three carry one classified from captions. Gating on a modelled category deletes creators on the strength of a guess — the taxonomy's own rule 6. It ranks here; it never gates.</t>
  </si>
  <si>
    <t>VALIDATION  ·  every check the brief asks for, computed in the workbook</t>
  </si>
  <si>
    <t>Each Result cell is a formula over the sheets themselves, so the check re-runs on open and cannot go stale. A check that reported a number typed in by the generator would only be testing the generator's memory.</t>
  </si>
  <si>
    <t>Check</t>
  </si>
  <si>
    <t>Result</t>
  </si>
  <si>
    <t>Verdict</t>
  </si>
  <si>
    <t>Why it is here</t>
  </si>
  <si>
    <t>1. Requested accounts</t>
  </si>
  <si>
    <t>The brief names 24 accounts. More would mean something was added, fewer that something was dropped.</t>
  </si>
  <si>
    <t>2. Found in KOL database</t>
  </si>
  <si>
    <t>Anything not resolvable to a kol_directory row must be reported, never replaced.</t>
  </si>
  <si>
    <t>3. Resolved through an alias</t>
  </si>
  <si>
    <t>A substitution the reader cannot see is indistinguishable from invented data.</t>
  </si>
  <si>
    <t>4. Duplicate creators</t>
  </si>
  <si>
    <t>A creator on the roster twice would be double-counted in every ranking and average.</t>
  </si>
  <si>
    <t>5. Brands with distinct qualifications</t>
  </si>
  <si>
    <t>Five brands that all wanted the same creator profile would prove nothing about contextual scoring.</t>
  </si>
  <si>
    <t>6. Matching combinations</t>
  </si>
  <si>
    <t>One row per creator-brand pair. A shortfall means a pair silently went unscored.</t>
  </si>
  <si>
    <t>7. Component weights total 100</t>
  </si>
  <si>
    <t>The whole model rests on this identity. It is asserted, not assumed.</t>
  </si>
  <si>
    <t>8. Scores inside 0-100</t>
  </si>
  <si>
    <t>A score outside the band means a normalisation target was mis-set.</t>
  </si>
  <si>
    <t>9. Formula errors</t>
  </si>
  <si>
    <t>An error propagates silently into rankings and averages.</t>
  </si>
  <si>
    <t>10. Rows scored on partial data</t>
  </si>
  <si>
    <t>Says how much of the model each row could actually be scored on.</t>
  </si>
  <si>
    <t>11. Contextual scoring — score varies by brand</t>
  </si>
  <si>
    <t>The core claim of the exercise: the score is a function of the pair, not of the creator.</t>
  </si>
  <si>
    <t>12. Ranking generated per brand</t>
  </si>
  <si>
    <t>Every brand gets its own order, or the comparison has nothing to show.</t>
  </si>
  <si>
    <t>13. Reason Why populated</t>
  </si>
  <si>
    <t>A blank reason means an explanation was dropped rather than derived.</t>
  </si>
  <si>
    <t>14. Followers do not decide the ranking</t>
  </si>
  <si>
    <t>Relevance must outrank reach. This roster is 24 mega accounts, so a follower-driven model would rank them almost identically for all five brands.</t>
  </si>
  <si>
    <t>15. Missing data marked, never filled</t>
  </si>
  <si>
    <t>The count is the honesty budget: it is what was not measured, stated rather than hidden.</t>
  </si>
  <si>
    <t>HANDLE RESOLUTION  ·  every requested spelling, and what it resolved to</t>
  </si>
  <si>
    <t>Requested</t>
  </si>
  <si>
    <t>Resolved to</t>
  </si>
  <si>
    <t>How</t>
  </si>
  <si>
    <t>Note</t>
  </si>
  <si>
    <t>exact</t>
  </si>
  <si>
    <t>username_normalized matched exactly</t>
  </si>
  <si>
    <t>alias</t>
  </si>
  <si>
    <t>requested spelling does not exist on the server; resolved to the one-transposition neighbour that does</t>
  </si>
  <si>
    <t>DUPLICATE PLATFORM ROWS DROPPED  ·  handles the roster carries on both Instagram and TikTok</t>
  </si>
  <si>
    <t>Dropped row</t>
  </si>
  <si>
    <t>Followers dropped</t>
  </si>
  <si>
    <t>Kept row</t>
  </si>
  <si>
    <t>Why the kept row won</t>
  </si>
  <si>
    <t>tiktok</t>
  </si>
  <si>
    <t>instagram (685,896,635 followers)</t>
  </si>
  <si>
    <t>measured-signal score 6 against 1. The kept row carries the audience analysis, engagement analysis, interest shares and captions the model reads; follower count does not decide this.</t>
  </si>
  <si>
    <t>instagram (3,997,609 followers)</t>
  </si>
  <si>
    <t>measured-signal score 12 against 9. The kept row carries the audience analysis, engagement analysis, interest shares and captions the model reads; follower count does not decide this.</t>
  </si>
  <si>
    <t>instagram (20,046,665 followers)</t>
  </si>
  <si>
    <t>instagram (2,249,679 followers)</t>
  </si>
  <si>
    <t>WHAT THE DATABASE DOES NOT HAVE  ·  every N/A on this workbook traces to one of these</t>
  </si>
  <si>
    <t>Where it would live</t>
  </si>
  <si>
    <t>State</t>
  </si>
  <si>
    <t>Effect on the score</t>
  </si>
  <si>
    <t>Verified how</t>
  </si>
  <si>
    <t>Audience age</t>
  </si>
  <si>
    <t>l2_gold.audience_demographics_daily (audience_type='age')</t>
  </si>
  <si>
    <t>0 rows — the table holds gender only</t>
  </si>
  <si>
    <t>Age Score is N/A on all 120 rows. Its 25% of Target Audience Relevance renormalises across gender, location and interest.</t>
  </si>
  <si>
    <t>SELECT DISTINCT audience_type → {gender}; age_gender_breakdown NULL in all 27 audience-analysis rows</t>
  </si>
  <si>
    <t>Content topic</t>
  </si>
  <si>
    <t>column exists, NULL in all 212 rows</t>
  </si>
  <si>
    <t>Topics are classified from real captions and hashtags instead, and every one carries its evidence on KOL_Source_Data.</t>
  </si>
  <si>
    <t>SELECT content_category, count(*) GROUP BY 1 → one row, NULL, 212</t>
  </si>
  <si>
    <t>Sub category</t>
  </si>
  <si>
    <t>never built</t>
  </si>
  <si>
    <t>Sub Category Match is N/A; its 20% of Content Relevance renormalises onto category and topic.</t>
  </si>
  <si>
    <t>no kol_sub_categories table, no sub_category_ids column</t>
  </si>
  <si>
    <t>Creator personality / tone / values / content style</t>
  </si>
  <si>
    <t>Brand Personality Fit is N/A on all 120 rows. Its full 10% is redistributed across the other five components.</t>
  </si>
  <si>
    <t>no column on kol_directory, kol_profile_card or any feature table</t>
  </si>
  <si>
    <t>Comment sentiment, spam, toxicity</t>
  </si>
  <si>
    <t>feature.{ig,tt}_comments_analysis</t>
  </si>
  <si>
    <t>Content Risk is N/A. Brand Safety is an integrity screen over authenticity, follower quality, verification and paid ratio — labelled as such everywhere it appears.</t>
  </si>
  <si>
    <t>SELECT count(*) → 0</t>
  </si>
  <si>
    <t>Rate card</t>
  </si>
  <si>
    <t>l1_silver.unified_rate_card; kol_profile_card.rate_card_*</t>
  </si>
  <si>
    <t>0 rows; all NULL</t>
  </si>
  <si>
    <t>No CPE, CPM, CPV or ROI is computed anywhere in this workbook. A cost column would have to be invented to exist.</t>
  </si>
  <si>
    <t>SELECT count(*) → 0; rate_card_min_fee NULL in all 1.978 card rows</t>
  </si>
  <si>
    <t>Creator city</t>
  </si>
  <si>
    <t>column exists, 0% filled</t>
  </si>
  <si>
    <t>Creator location is N/A. Only AUDIENCE location is scored, from audience_geo_daily.</t>
  </si>
  <si>
    <t>all 24 roster rows NULL</t>
  </si>
  <si>
    <t>Community score</t>
  </si>
  <si>
    <t>Community is N/A; its 10% of Performance renormalises across the other five performance inputs.</t>
  </si>
  <si>
    <t>no column anywhere in public, feature or l2_gold</t>
  </si>
  <si>
    <t>PARTIAL — 25 creator</t>
  </si>
  <si>
    <t>11a. AVAILABLE CATEGORIES FROM THE EXISTING KOL DATABASE  ·  public.kol_categories, read at fetch time. Every category in this workbook comes from this table. Nothing here was invented, re-spelled or given a synonym.</t>
  </si>
  <si>
    <t>Category name (raw)</t>
  </si>
  <si>
    <t>taxonomy_key (canonical)</t>
  </si>
  <si>
    <t>canonical name</t>
  </si>
  <si>
    <t>Foodies</t>
  </si>
  <si>
    <t>folds into Food</t>
  </si>
  <si>
    <t>folds into Lifestyle</t>
  </si>
  <si>
    <t>Sports</t>
  </si>
  <si>
    <t>folds into Fitness</t>
  </si>
  <si>
    <t>Humor</t>
  </si>
  <si>
    <t>folds into Entertainment</t>
  </si>
  <si>
    <t>Automotive and motorsports</t>
  </si>
  <si>
    <t>(null)</t>
  </si>
  <si>
    <t>the database assigns this no taxonomy_key, so a creator carrying only this row stays uncategorised</t>
  </si>
  <si>
    <t>Parenting and family</t>
  </si>
  <si>
    <t>folds into Moms</t>
  </si>
  <si>
    <t>Musicians</t>
  </si>
  <si>
    <t>Medical</t>
  </si>
  <si>
    <t>Dance</t>
  </si>
  <si>
    <t>Gym Enthusiast</t>
  </si>
  <si>
    <t>Story Teller</t>
  </si>
  <si>
    <t>folds into Tech</t>
  </si>
  <si>
    <t>Spirituality and religion</t>
  </si>
  <si>
    <t>Technology and gadgets</t>
  </si>
  <si>
    <t>Business and entrepreneurship</t>
  </si>
  <si>
    <t>Cyclist</t>
  </si>
  <si>
    <t>Environmentalism and sustainability</t>
  </si>
  <si>
    <t>CANONICAL</t>
  </si>
  <si>
    <t>9 keys</t>
  </si>
  <si>
    <t>Beauty · Entertainment · Fashion · Fitness · Food · Gen Z · Lifestyle · Moms · Tech</t>
  </si>
  <si>
    <t>11. COMPARISON-WORKBOOK CALIBRATION  ·  targets for the raw server measurements this workbook scores. Section 4 above still governs every weight and band; nothing here overrides it.</t>
  </si>
  <si>
    <t>AUDIENCE NORMALISATION</t>
  </si>
  <si>
    <t>Audience in target country = 100 at</t>
  </si>
  <si>
    <t>CAL_COUNTRY_TARGET</t>
  </si>
  <si>
    <t>Share of the KNOWN-country audience sitting in Target Country that scores 100. Known-country share is itself only 10-20% of the sample for most creators — the Country Known % column is what says how far to trust it.</t>
  </si>
  <si>
    <t>Audience in target city = 100 at</t>
  </si>
  <si>
    <t>CAL_CITY_TARGET</t>
  </si>
  <si>
    <t>Share of the known-city audience in Target City that scores 100. Lower than the country target because city shares fragment across dozens of keys.</t>
  </si>
  <si>
    <t>Audience interest overlap = 100 at</t>
  </si>
  <si>
    <t>CAL_INTEREST_TARGET</t>
  </si>
  <si>
    <t>Combined share of the known-interest audience falling inside the brand interest set that scores 100.</t>
  </si>
  <si>
    <t>PERFORMANCE NORMALISATION</t>
  </si>
  <si>
    <t>Posts per month = 100 at</t>
  </si>
  <si>
    <t>CAL_CONSISTENCY_TARGET</t>
  </si>
  <si>
    <t>Posting cadence that scores 100 on Consistency.</t>
  </si>
  <si>
    <t>Minimum observation days for cadence</t>
  </si>
  <si>
    <t>CAL_MIN_OBS_DAYS</t>
  </si>
  <si>
    <t>A post_frequency_monthly extrapolated from a 1-2 day window is arithmetic, not a cadence — the roster carries readings of 300/month off a single observed day. Below this many days Consistency reports N/A instead.</t>
  </si>
  <si>
    <t>View-to-follower ratio = 100 at</t>
  </si>
  <si>
    <t>CAL_VFR_TARGET_ROSTER</t>
  </si>
  <si>
    <t>Replaces CAL_VFR_TARGET (0,5) for this roster. Every one of the 15 creators carrying a ratio is above 0,5, so the shared target scored all of them 100 and the sub-score carried no information at all. The observed range here is 0,54 to 50,1 — the high end coming off accounts where only one or two posts were analysed, which is why the target is set near the middle of the credible band rather than the top of the observed one.</t>
  </si>
  <si>
    <t>BRAND SAFETY SCREEN</t>
  </si>
  <si>
    <t>Authenticity weight</t>
  </si>
  <si>
    <t>W_BS_AUTHENTICITY</t>
  </si>
  <si>
    <t>Share of the safety screen carried by feature.*_audience_analysis.authenticity_score.</t>
  </si>
  <si>
    <t>Follower quality weight</t>
  </si>
  <si>
    <t>W_BS_FOLLOWER_QUALITY</t>
  </si>
  <si>
    <t>Share carried by follower_quality_score.</t>
  </si>
  <si>
    <t>Verification weight</t>
  </si>
  <si>
    <t>W_BS_VERIFICATION</t>
  </si>
  <si>
    <t>Share carried by platform verification — the one identity signal that is complete for this roster.</t>
  </si>
  <si>
    <t>Paid-ratio weight</t>
  </si>
  <si>
    <t>W_BS_PAID</t>
  </si>
  <si>
    <t>Share carried by the sponsored-post ratio. An account that is mostly paid placements is a weaker endorsement, not an unsafe one.</t>
  </si>
  <si>
    <t>Verified scores</t>
  </si>
  <si>
    <t>CAL_VERIFIED_YES</t>
  </si>
  <si>
    <t>Score when verified_status = verified.</t>
  </si>
  <si>
    <t>Unverified scores</t>
  </si>
  <si>
    <t>CAL_VERIFIED_NO</t>
  </si>
  <si>
    <t>Not zero: unverified is an unanswered question about identity, not evidence of harm.</t>
  </si>
  <si>
    <t>Paid ratio = 0 at</t>
  </si>
  <si>
    <t>CAL_PAID_CEILING</t>
  </si>
  <si>
    <t>Sponsored share of posts, in percent, at which the paid-ratio component reaches 0.</t>
  </si>
  <si>
    <t>SAFETY LEVEL BANDS</t>
  </si>
  <si>
    <t>Low Risk at</t>
  </si>
  <si>
    <t>BAND_SAFE_LOW</t>
  </si>
  <si>
    <t>Safety Score at or above this.</t>
  </si>
  <si>
    <t>Moderate Risk at</t>
  </si>
  <si>
    <t>BAND_SAFE_MOD</t>
  </si>
  <si>
    <t>Elevated Risk at</t>
  </si>
  <si>
    <t>BAND_SAFE_ELEV</t>
  </si>
  <si>
    <t>Below this is High Risk.</t>
  </si>
  <si>
    <t>W_BB_CAT</t>
  </si>
  <si>
    <t>Brand category against the creator's TAGGED canonical category, via matrix 11d. Supersedes W_BB_INDUSTRY on section 4: this workbook has no Industry field, because the database has no industry concept — public.brand carries `category` and nothing else.</t>
  </si>
  <si>
    <t>W_BB_KW</t>
  </si>
  <si>
    <t>public.brand.brand_keywords found in the creator bio, captions and category names. Sparse: kol_directory.bio is ~12% filled server-wide and several of these creators caption in English or Spanish, so an Indonesian keyword list cannot reach them.</t>
  </si>
  <si>
    <t>W_BB_HASH</t>
  </si>
  <si>
    <t>public.brand.brand_hashtags found in the creator's own hashtags. A separate question from keywords because the schema treats it as one — a hashtag is what a post is filed under, a keyword is a word that appeared in a sentence. Sparser still: only 312 of 503 harvested posts carry any hashtag.</t>
  </si>
  <si>
    <t>W_CC_CAT</t>
  </si>
  <si>
    <t>Brand category against Category From Captions — what the creator's own posts show them doing, as opposed to the tag they carry. Supersedes the section-4 content sub-weights, which split across a sub-category and a content-style column that do not exist on this server.</t>
  </si>
  <si>
    <t>W_CC_TOPICS</t>
  </si>
  <si>
    <t>The brand's caption search terms found in the creator's captions. Same sparsity caveat as Keyword Match, and the same reasoning for not letting it carry half the component.</t>
  </si>
  <si>
    <t>11b. ENGAGEMENT RATE TARGET BY TIER  ·  the ER, in percent, that scores 100. Overrides CAL_ER_TARGET for this workbook, because engagement rate falls with follower count and one global bar would rank the roster by size.</t>
  </si>
  <si>
    <t>ER = 100 at (%)</t>
  </si>
  <si>
    <t>Small, close audiences engage hardest.</t>
  </si>
  <si>
    <t>The bar CAL_ER_TARGET was set for.</t>
  </si>
  <si>
    <t>Every creator on this roster is Mega. 2% is at the top of what accounts above 10M followers reach; @cristiano at 2,21% is the only one clearing it.</t>
  </si>
  <si>
    <t>11d. CANONICAL CATEGORY × CANONICAL CATEGORY  ·  drives Category Match and Content Category Match. Row = what the brand wants, column = what the creator is. 100 exact · 80 strongly related · 60 partially · 40 weakly · 20 unrelated. Both axes are kol_categories.taxonomy_key values — there is no third list.</t>
  </si>
  <si>
    <t>12. AUDIENCE INTEREST KEYS  ·  every distinct l2_gold.audience_interest_daily.interest_key, spelled as the database spells it. Brands target these strings directly, so no crosswalk sits between the two halves to disagree with itself. 'sports' and 'fitness' stay separate because the database keeps them separate.</t>
  </si>
  <si>
    <t>interest_key</t>
  </si>
  <si>
    <t>In the scoring axis</t>
  </si>
  <si>
    <t>Targeted by</t>
  </si>
  <si>
    <t>art</t>
  </si>
  <si>
    <t>yes</t>
  </si>
  <si>
    <t>— no brand targets it</t>
  </si>
  <si>
    <t>automotive</t>
  </si>
  <si>
    <t>LumiSkin, UrbanMuse</t>
  </si>
  <si>
    <t>business</t>
  </si>
  <si>
    <t>education</t>
  </si>
  <si>
    <t>entertainment</t>
  </si>
  <si>
    <t>LumiSkin, DailyBite</t>
  </si>
  <si>
    <t>DailyBite, MoveFit</t>
  </si>
  <si>
    <t>gaming</t>
  </si>
  <si>
    <t>music</t>
  </si>
  <si>
    <t>parenting</t>
  </si>
  <si>
    <t>pets</t>
  </si>
  <si>
    <t>photography</t>
  </si>
  <si>
    <t>religion</t>
  </si>
  <si>
    <t>sports</t>
  </si>
  <si>
    <t>technology</t>
  </si>
  <si>
    <t>DailyBite, UrbanMuse</t>
  </si>
  <si>
    <t>'unknown'</t>
  </si>
  <si>
    <t>Not an interest: the share of the sampled audience the pipeline could not classify — often 80-89% of it. Counted in the denominator of every interest share so the shares stay honest, reported separately as Interest Known %, and never targeted by a brand.</t>
  </si>
  <si>
    <t>AUTOMETRIC — BRAND MATCH DISTRIBUTION TEST</t>
  </si>
  <si>
    <t>6991 creators read from the KOL server · three preference profiles · populations of 1243, 5115, 687 · Absolute and Normalized scores, six histograms.</t>
  </si>
  <si>
    <t>1. WHAT THIS FILE IS FOR</t>
  </si>
  <si>
    <t>The question</t>
  </si>
  <si>
    <t>Not "who should this brand hire". It is: taking the Absolute Brand Match Score exactly as it stands, what shape does it take across a real population, and does dividing by the population maximum make it easier to read?</t>
  </si>
  <si>
    <t>What was NOT changed</t>
  </si>
  <si>
    <t>No weight, sub-weight, normalisation target, match-level band or relevance-matrix cell. The scores here are produced by scripts/brand-match/scoring.mjs, a JavaScript port of the workbook formulas that is gated by npm run brandmatch:port:verify — it recalculates the published 24x5 comparison workbook in Excel and asserts the port reproduces all 120 rows across 26 score columns exactly. 3.120 values, no tolerance.</t>
  </si>
  <si>
    <t>The one change that was made</t>
  </si>
  <si>
    <t>A bug, and the brief allows bug fixing. The emptiness guard on the keyword and topic haystacks tested LEN(TRIM(haystack))=0, but the haystack joins four fields with " | ", so a creator with none of them still produced " | | | " and the guard never fired — three creators with no bio and no captions were scoring 0 ("searched, found nothing") where the design says N/A ("nothing was searched"). The guard now strips the separators first. It affects 15 of the 120 rows in the comparison workbook and nothing else.</t>
  </si>
  <si>
    <t>2. HOW TO READ THE TWO SCORES</t>
  </si>
  <si>
    <t>Absolute Score</t>
  </si>
  <si>
    <t>Answers "what value did the scoring formula produce". It is comparable across preferences and across time, and it is the number to look at when asking whether the model itself is working.</t>
  </si>
  <si>
    <t>Normalized Score</t>
  </si>
  <si>
    <t>Answers "how high does this creator sit compared with the others in the SAME comparison population". Normalized = Absolute ÷ MAX(Absolute in that population) × 100. The three divisors here are Preference A 80, Preference B 80, Preference C 67.</t>
  </si>
  <si>
    <t>What 100 does NOT mean</t>
  </si>
  <si>
    <t>A Normalized Score of 100 means "highest relative match within the current comparison population". It does not mean a 100% fit. In Preference A the top creator scores an Absolute 80 and a Normalized 100 — the same creator, the same evidence, two different questions. Both sheets ship for exactly this reason.</t>
  </si>
  <si>
    <t>3. WHAT THE DATA SHOWS</t>
  </si>
  <si>
    <t>The distribution is compressed, and normalisation does not fix it</t>
  </si>
  <si>
    <t>Preference A (LumiSkin, N=1243) spans 25-80 but its middle half sits between 44 and 50 — 6 points of a 55-point range. Preference B (DailyBite, N=5115) spans 18-80 but its middle half sits between 41 and 50 — 9 points of a 62-point range. Preference C (NovaTech, N=687) spans 18-67 but its middle half sits between 36 and 48 — 12 points of a 49-point range. The absolute scores occupy a narrow band in the middle of the 0-100 scale, so almost every creator lands in Low Match against bands that assume a complete record.</t>
  </si>
  <si>
    <t>Normalisation is affine, so it cannot change shape</t>
  </si>
  <si>
    <t>Dividing every value by one constant is a linear rescale. It moves the maximum to 100 and stretches the axis, but skewness, the ordering, and the relative gaps are mathematically identical — which is why the Skewness column on Distribution_Summary reads the same for Absolute and Normalized in every one of the three preferences. Normalisation is a presentation layer. It makes a ranking easier to read; it cannot make a compressed score more discriminating.</t>
  </si>
  <si>
    <t>Why so many creators land on the same value</t>
  </si>
  <si>
    <t>Preference A: 33.7% of the population scores exactly 50 · Preference B: 45.0% of the population scores exactly 50 · Preference C: 10.0% of the population scores exactly 55. The reason is on the Population sheet: 55,8% of creators carry a category and almost nobody carries anything else, so for most of the population the model has only Category Match, verification and sometimes an engagement rate to work with. A discrete input produces a discrete score, and creators with no category at all take CAL_NEUTRAL = 50 on every category-driven sub-score at once.</t>
  </si>
  <si>
    <t>The ranking does change when the brand changes</t>
  </si>
  <si>
    <t>Across the 194 creators eligible under all three preferences, the median rank spread is 2409 places and the widest is 5082. 152 of them (78.4%) move by more than 10 percentiles between the best and worst preference for them. The score is behaving contextually: changing the brand reorders the population rather than only relabelling it.</t>
  </si>
  <si>
    <t>4. SHEETS</t>
  </si>
  <si>
    <t>Population</t>
  </si>
  <si>
    <t>What was read, and the signal-coverage table that explains every distribution here.</t>
  </si>
  <si>
    <t>Preference_Profiles</t>
  </si>
  <si>
    <t>The three brands and their eligibility rules, with the database column behind each.</t>
  </si>
  <si>
    <t>Absolute_Scores</t>
  </si>
  <si>
    <t>The unchanged model, one block per preference.</t>
  </si>
  <si>
    <t>Normalized_Scores</t>
  </si>
  <si>
    <t>Absolute ÷ population max × 100, as live formulas, with the absolute beside it.</t>
  </si>
  <si>
    <t>Distribution_Summary</t>
  </si>
  <si>
    <t>N, Min, Max, Mean, Median, Std Dev, P25, P75, SKEW() and a tail reading per series.</t>
  </si>
  <si>
    <t>Histogram_Data</t>
  </si>
  <si>
    <t>Twenty five-point bins per series, as COUNTIFS. The six charts read from here.</t>
  </si>
  <si>
    <t>Histograms</t>
  </si>
  <si>
    <t>The six charts: Absolute and Normalized for each preference.</t>
  </si>
  <si>
    <t>Preference_Comparison</t>
  </si>
  <si>
    <t>Creators eligible under all three, with both scores and all three ranks.</t>
  </si>
  <si>
    <t>The fifteen checks.</t>
  </si>
  <si>
    <t>5. REGENERATING</t>
  </si>
  <si>
    <t>npm run brandmatch:population  (office VPN)  ·  npm run brandmatch:port:verify  (the gate)  ·  npm run brandmatch:distribution</t>
  </si>
  <si>
    <t>POPULATION  ·  what was read off the KOL server, and how much of it can be scored</t>
  </si>
  <si>
    <t>6991 active creators from public.kol_directory, measured 2026-09-10 06:25 UTC from 10.100.14.216/kol. No creator here was invented and no metric was filled in. The coverage table below is the single most important context for every distribution on the other sheets.</t>
  </si>
  <si>
    <t>A. SIGNAL COVERAGE  ·  how many of the population carry each input the model reads</t>
  </si>
  <si>
    <t>Input</t>
  </si>
  <si>
    <t>Creators carrying it</t>
  </si>
  <si>
    <t>Share of population</t>
  </si>
  <si>
    <t>Which component it feeds</t>
  </si>
  <si>
    <t>Consequence when absent</t>
  </si>
  <si>
    <t>Tier, and every eligibility rule</t>
  </si>
  <si>
    <t>Canonical category (kol_categories.taxonomy_key)</t>
  </si>
  <si>
    <t>Brand &amp; Business Relevance (60% of it)</t>
  </si>
  <si>
    <t>Category Match falls back to CAL_NEUTRAL = 50</t>
  </si>
  <si>
    <t xml:space="preserve">  of those, live from kol_categories</t>
  </si>
  <si>
    <t>as above</t>
  </si>
  <si>
    <t>Engagement rate</t>
  </si>
  <si>
    <t>Performance Quality (35% of it)</t>
  </si>
  <si>
    <t>ER Score N/A; Performance renormalises or drops out</t>
  </si>
  <si>
    <t>View-to-follower ratio</t>
  </si>
  <si>
    <t>Performance Quality (10% of it)</t>
  </si>
  <si>
    <t>Average Views Score N/A</t>
  </si>
  <si>
    <t>Audience analysis (quality / authenticity)</t>
  </si>
  <si>
    <t>Performance and Brand Safety</t>
  </si>
  <si>
    <t>Safety falls back to verification alone</t>
  </si>
  <si>
    <t>Audience interests</t>
  </si>
  <si>
    <t>Target Audience Relevance (30% of it)</t>
  </si>
  <si>
    <t>Interest Score N/A; whole component often N/A</t>
  </si>
  <si>
    <t>Harvested captions</t>
  </si>
  <si>
    <t>Content Relevance and Keyword Match</t>
  </si>
  <si>
    <t>Topic Match N/A; category cannot be classified</t>
  </si>
  <si>
    <t>Bio text</t>
  </si>
  <si>
    <t>Keyword Match N/A unless a category name is present</t>
  </si>
  <si>
    <t>Platform-verified</t>
  </si>
  <si>
    <t>Brand Safety (15% of it)</t>
  </si>
  <si>
    <t>scores CAL_VERIFIED_NO = 50, not 0</t>
  </si>
  <si>
    <t>B. THE THREE COMPARISON POPULATIONS  ·  each preference filters the same reading</t>
  </si>
  <si>
    <t>Preference</t>
  </si>
  <si>
    <t>Brand category</t>
  </si>
  <si>
    <t>Population size (N)</t>
  </si>
  <si>
    <t>Eligibility</t>
  </si>
  <si>
    <t>Preference A</t>
  </si>
  <si>
    <t>Platform: Instagram only  ·  Minimum followers: 10.000 (Micro and above)  ·  Category requirement: must carry at least one kol_categories row  ·  Brand category: Beauty  ·  Gender target: Female</t>
  </si>
  <si>
    <t>Preference B</t>
  </si>
  <si>
    <t>Platform: Instagram and TikTok  ·  Minimum followers: 10.000 (Micro and above)  ·  Category requirement: none  ·  Brand category: Food  ·  Gender target: Balanced</t>
  </si>
  <si>
    <t>Preference C</t>
  </si>
  <si>
    <t>Platform: Instagram and TikTok  ·  Minimum followers: 100.000 (Macro and above)  ·  Minimum engagement rate: must be measured (kol_directory.engagement_rate not null)  ·  Brand category: Tech  ·  Gender target: Balanced</t>
  </si>
  <si>
    <t>PREFERENCE PROFILES  ·  the three brand profiles under test</t>
  </si>
  <si>
    <t>Each is an existing brand from the comparison workbook — same canonical category, same keywords, same interest keys — paired with an eligibility rule that decides its comparison population. Every filter used is one the Discovery catalogue marks DONE; none gates on a column that is 0% filled.</t>
  </si>
  <si>
    <t>Preference A  ·  LumiSkin  ·  category Beauty  ·  N = 1243</t>
  </si>
  <si>
    <t>Why this profile</t>
  </si>
  <si>
    <t>A beauty brand buying on Instagram. Beauty is the second-largest category on the server (1.206 creators), so this preference has a deep pool of on-category creators and a female-audience target that most of the roster can be measured against.</t>
  </si>
  <si>
    <t>Criterion</t>
  </si>
  <si>
    <t>Kind</t>
  </si>
  <si>
    <t>Instagram only</t>
  </si>
  <si>
    <t>Minimum followers</t>
  </si>
  <si>
    <t>10.000 (Micro and above)</t>
  </si>
  <si>
    <t>Category requirement</t>
  </si>
  <si>
    <t>must carry at least one kol_categories row</t>
  </si>
  <si>
    <t>kol_directory.category_ids → kol_categories</t>
  </si>
  <si>
    <t>public.kol_categories.taxonomy_key</t>
  </si>
  <si>
    <t>SOFT MATCH — scored, never gated</t>
  </si>
  <si>
    <t>Gender target</t>
  </si>
  <si>
    <t>audience_demographics_daily / feature.*_audience_analysis.female_pct</t>
  </si>
  <si>
    <t>Brand keywords</t>
  </si>
  <si>
    <t>l2_gold.audience_interest_daily.interest_key</t>
  </si>
  <si>
    <t>Preference B  ·  DailyBite  ·  category Food  ·  N = 5115</t>
  </si>
  <si>
    <t>A mass-market F&amp;B brand with the broadest possible reach: both platforms, no category requirement. This is the largest of the three populations and the one most exposed to creators the database knows almost nothing about, which is exactly what makes it worth measuring.</t>
  </si>
  <si>
    <t>Instagram and TikTok</t>
  </si>
  <si>
    <t>none</t>
  </si>
  <si>
    <t>Preference C  ·  NovaTech  ·  category Tech  ·  N = 687</t>
  </si>
  <si>
    <t>A B2B software brand buying large accounts with measured engagement. Tech is the SMALLEST canonical category on the server — 4 creators carry it — so this preference tests what the model does when almost nobody in the population is on-category, and the engagement-rate gate makes it the only one of the three where every creator has a Performance Score.</t>
  </si>
  <si>
    <t>100.000 (Macro and above)</t>
  </si>
  <si>
    <t>Minimum engagement rate</t>
  </si>
  <si>
    <t>must be measured (kol_directory.engagement_rate not null)</t>
  </si>
  <si>
    <t>ABSOLUTE SCORES  ·  the model exactly as it stands, one block per preference</t>
  </si>
  <si>
    <t>Every value is the Final Match Score produced by the unchanged model. Blocks are side by side rather than stacked so each preference keeps its own contiguous range — which is what lets Distribution_Summary and Histogram_Data be live formulas over a population instead of pasted numbers.</t>
  </si>
  <si>
    <t>Preference A · LumiSkin (Beauty) · N=1243</t>
  </si>
  <si>
    <t>Preference B · DailyBite (Food) · N=5115</t>
  </si>
  <si>
    <t>Preference C · NovaTech (Tech) · N=687</t>
  </si>
  <si>
    <t>@almamestika</t>
  </si>
  <si>
    <t>@nanakoot</t>
  </si>
  <si>
    <t>@alyaaputri</t>
  </si>
  <si>
    <t>@desylasterina</t>
  </si>
  <si>
    <t>@hipatrickreal</t>
  </si>
  <si>
    <t>@regina_nugroho</t>
  </si>
  <si>
    <t>@cheekykiddo</t>
  </si>
  <si>
    <t>@nfahdan</t>
  </si>
  <si>
    <t>@__ditamal</t>
  </si>
  <si>
    <t>@dairyqueen</t>
  </si>
  <si>
    <t>@suryainsomnia</t>
  </si>
  <si>
    <t>@angelaaudreyyy</t>
  </si>
  <si>
    <t>@dimsthemeatguy</t>
  </si>
  <si>
    <t>@indahnadapuspita</t>
  </si>
  <si>
    <t>@carlenedoraa</t>
  </si>
  <si>
    <t>@mursid241</t>
  </si>
  <si>
    <t>@anggikabolsterli</t>
  </si>
  <si>
    <t>@cindercella</t>
  </si>
  <si>
    <t>@ainiraaul</t>
  </si>
  <si>
    <t>@bobbykertanegara</t>
  </si>
  <si>
    <t>@lindakayhz</t>
  </si>
  <si>
    <t>@kayleemiracle</t>
  </si>
  <si>
    <t>@raniaayamin</t>
  </si>
  <si>
    <t>@laura_theux</t>
  </si>
  <si>
    <t>@theliztagram</t>
  </si>
  <si>
    <t>@kokikutv</t>
  </si>
  <si>
    <t>@ia_nita_lohiya</t>
  </si>
  <si>
    <t>@vaniafebrianne</t>
  </si>
  <si>
    <t>@karmalogy</t>
  </si>
  <si>
    <t>@yorikooangln_</t>
  </si>
  <si>
    <t>@aira_mishel_aurellia</t>
  </si>
  <si>
    <t>@__ehan</t>
  </si>
  <si>
    <t>@yudhistirawr</t>
  </si>
  <si>
    <t>@dimasramadhan</t>
  </si>
  <si>
    <t>@abellyc</t>
  </si>
  <si>
    <t>@therealasilamaisa</t>
  </si>
  <si>
    <t>@lilisbadriyahh</t>
  </si>
  <si>
    <t>@adenalfurqon</t>
  </si>
  <si>
    <t>@jerhemynemo</t>
  </si>
  <si>
    <t>@yusufhendratnoo</t>
  </si>
  <si>
    <t>@aialbar</t>
  </si>
  <si>
    <t>@ataliabunga</t>
  </si>
  <si>
    <t>@alexandraasherly</t>
  </si>
  <si>
    <t>@makanber2</t>
  </si>
  <si>
    <t>@alyssadaguise</t>
  </si>
  <si>
    <t>@baksorusukjoss</t>
  </si>
  <si>
    <t>@andikahonda18</t>
  </si>
  <si>
    <t>@nisaput_hudia</t>
  </si>
  <si>
    <t>@dellyclarissa</t>
  </si>
  <si>
    <t>@andrew.white._</t>
  </si>
  <si>
    <t>@vfeliciwa</t>
  </si>
  <si>
    <t>@destira_inka</t>
  </si>
  <si>
    <t>@aninditahidayat</t>
  </si>
  <si>
    <t>@babyylisa_</t>
  </si>
  <si>
    <t>@basiaputri</t>
  </si>
  <si>
    <t>@cakecaine</t>
  </si>
  <si>
    <t>@bobonsantoso</t>
  </si>
  <si>
    <t>@bumantarateam</t>
  </si>
  <si>
    <t>@faniaelizaa</t>
  </si>
  <si>
    <t>@mursyidzon</t>
  </si>
  <si>
    <t>@chachathaib</t>
  </si>
  <si>
    <t>@tasyakamila</t>
  </si>
  <si>
    <t>@a.ci.pa</t>
  </si>
  <si>
    <t>@clahayes</t>
  </si>
  <si>
    <t>@agnes_jennifer</t>
  </si>
  <si>
    <t>@deasaufika</t>
  </si>
  <si>
    <t>@adrianarmanasco</t>
  </si>
  <si>
    <t>@ahquote</t>
  </si>
  <si>
    <t>@degensiotter</t>
  </si>
  <si>
    <t>@aldogiustino21</t>
  </si>
  <si>
    <t>@dillaljaidi</t>
  </si>
  <si>
    <t>@avy_vhie</t>
  </si>
  <si>
    <t>@alfyfatmasaga</t>
  </si>
  <si>
    <t>@dwiatikanova</t>
  </si>
  <si>
    <t>@faniaputriutami</t>
  </si>
  <si>
    <t>@andreaslukita_</t>
  </si>
  <si>
    <t>@elvira.tjan</t>
  </si>
  <si>
    <t>@kangferrymaryadi</t>
  </si>
  <si>
    <t>@anisabasyir</t>
  </si>
  <si>
    <t>@farhanfirms</t>
  </si>
  <si>
    <t>@annabellesjy</t>
  </si>
  <si>
    <t>@fifi.sasta</t>
  </si>
  <si>
    <t>@nopeknovian</t>
  </si>
  <si>
    <t>@arafahrianti02</t>
  </si>
  <si>
    <t>@folkative</t>
  </si>
  <si>
    <t>@panjisuryono7</t>
  </si>
  <si>
    <t>@gamcul</t>
  </si>
  <si>
    <t>@papiabeabeabe</t>
  </si>
  <si>
    <t>@ayi_stari</t>
  </si>
  <si>
    <t>@halokrw</t>
  </si>
  <si>
    <t>@winnylieyantii</t>
  </si>
  <si>
    <t>@aymanalts</t>
  </si>
  <si>
    <t>@hifdzikhoir</t>
  </si>
  <si>
    <t>@alecyavebyy</t>
  </si>
  <si>
    <t>@ayuwisya666</t>
  </si>
  <si>
    <t>@ibrhmrsyd</t>
  </si>
  <si>
    <t>@anggiriana</t>
  </si>
  <si>
    <t>@aziarizzza</t>
  </si>
  <si>
    <t>@infojkt24</t>
  </si>
  <si>
    <t>@arianirosidi</t>
  </si>
  <si>
    <t>@bailafauri</t>
  </si>
  <si>
    <t>@istri.koko</t>
  </si>
  <si>
    <t>@ayulstrni</t>
  </si>
  <si>
    <t>@bekasi.terkini</t>
  </si>
  <si>
    <t>@julianjacs</t>
  </si>
  <si>
    <t>@bebyydils</t>
  </si>
  <si>
    <t>@celinenobleza</t>
  </si>
  <si>
    <t>@keisavourie</t>
  </si>
  <si>
    <t>@christianistella</t>
  </si>
  <si>
    <t>@cimitcu</t>
  </si>
  <si>
    <t>@larissachou</t>
  </si>
  <si>
    <t>@emilianald</t>
  </si>
  <si>
    <t>@clarestatok</t>
  </si>
  <si>
    <t>@laurasiburiann</t>
  </si>
  <si>
    <t>@febbyfadilaa</t>
  </si>
  <si>
    <t>@dillaprb</t>
  </si>
  <si>
    <t>@luluelhasbu</t>
  </si>
  <si>
    <t>@fidyahaliza_</t>
  </si>
  <si>
    <t>@drrichardlee</t>
  </si>
  <si>
    <t>@kanazhra</t>
  </si>
  <si>
    <t>@ejpeace.ent</t>
  </si>
  <si>
    <t>@marcoivanos12</t>
  </si>
  <si>
    <t>@eunicetjoaa</t>
  </si>
  <si>
    <t>@mass.arkan</t>
  </si>
  <si>
    <t>@najlahsy</t>
  </si>
  <si>
    <t>@faizsadad</t>
  </si>
  <si>
    <t>@meliana_d3w</t>
  </si>
  <si>
    <t>@nandafmarcelina</t>
  </si>
  <si>
    <t>@merdioctav</t>
  </si>
  <si>
    <t>@properbeauty.id</t>
  </si>
  <si>
    <t>@farhanbashel</t>
  </si>
  <si>
    <t>@michelleloraaa</t>
  </si>
  <si>
    <t>@sarah_novika</t>
  </si>
  <si>
    <t>@felicia.tjiasaka</t>
  </si>
  <si>
    <t>@mputrasetia</t>
  </si>
  <si>
    <t>@slvdew</t>
  </si>
  <si>
    <t>@gabriellaekaputrii</t>
  </si>
  <si>
    <t>@muhammadrfl</t>
  </si>
  <si>
    <t>@_nelfaanndt</t>
  </si>
  <si>
    <t>@geyghea</t>
  </si>
  <si>
    <t>@mymnca</t>
  </si>
  <si>
    <t>@alianuyudha</t>
  </si>
  <si>
    <t>@haloakuclay</t>
  </si>
  <si>
    <t>@nabilagardena</t>
  </si>
  <si>
    <t>@alitakata</t>
  </si>
  <si>
    <t>@hendydion</t>
  </si>
  <si>
    <t>@namiramonda</t>
  </si>
  <si>
    <t>@angelwbw</t>
  </si>
  <si>
    <t>@imeyhou</t>
  </si>
  <si>
    <t>@nikma.rahmaa</t>
  </si>
  <si>
    <t>@anisaipmawati</t>
  </si>
  <si>
    <t>@infodepok24</t>
  </si>
  <si>
    <t>@nisafathoni</t>
  </si>
  <si>
    <t>@anna_liusitan</t>
  </si>
  <si>
    <t>@itsyourchel</t>
  </si>
  <si>
    <t>@nonawilly16</t>
  </si>
  <si>
    <t>@ansurr1</t>
  </si>
  <si>
    <t>@janes_cs</t>
  </si>
  <si>
    <t>@queenzangell</t>
  </si>
  <si>
    <t>@arie.auliaa</t>
  </si>
  <si>
    <t>@jennifer.coppen</t>
  </si>
  <si>
    <t>@arinlubis</t>
  </si>
  <si>
    <t>@jenniferbachdim</t>
  </si>
  <si>
    <t>@refalhady</t>
  </si>
  <si>
    <t>@beautyandacne</t>
  </si>
  <si>
    <t>@rinaldi_ni</t>
  </si>
  <si>
    <t>@byviolina</t>
  </si>
  <si>
    <t>@kezializina</t>
  </si>
  <si>
    <t>@riyukabunga</t>
  </si>
  <si>
    <t>@camilarasy</t>
  </si>
  <si>
    <t>@leyladerina</t>
  </si>
  <si>
    <t>@rucenuenda</t>
  </si>
  <si>
    <t>@chofyx</t>
  </si>
  <si>
    <t>@lystianovilda</t>
  </si>
  <si>
    <t>@rx_mnd</t>
  </si>
  <si>
    <t>@ddini.rahmaaa</t>
  </si>
  <si>
    <t>@maharajasp8</t>
  </si>
  <si>
    <t>@ryangoutama</t>
  </si>
  <si>
    <t>@dewimeisyamld</t>
  </si>
  <si>
    <t>@maspaijooo</t>
  </si>
  <si>
    <t>@sabrinasosiawan</t>
  </si>
  <si>
    <t>@dewmalaa</t>
  </si>
  <si>
    <t>@mmivia</t>
  </si>
  <si>
    <t>@sakilagustina</t>
  </si>
  <si>
    <t>@dheaudrey</t>
  </si>
  <si>
    <t>@mumukdaneno</t>
  </si>
  <si>
    <t>@sashfir</t>
  </si>
  <si>
    <t>@diah.rosmawati7</t>
  </si>
  <si>
    <t>@shielyv</t>
  </si>
  <si>
    <t>@diniarvita17</t>
  </si>
  <si>
    <t>@pandawaragroup</t>
  </si>
  <si>
    <t>@skupingg</t>
  </si>
  <si>
    <t>@divaalatas</t>
  </si>
  <si>
    <t>@panggilakubambang</t>
  </si>
  <si>
    <t>@solehsolihun</t>
  </si>
  <si>
    <t>@dwii.s97</t>
  </si>
  <si>
    <t>@stephanie.hertanto</t>
  </si>
  <si>
    <t>@ellypurple</t>
  </si>
  <si>
    <t>@sunnydahye</t>
  </si>
  <si>
    <t>@erieharun</t>
  </si>
  <si>
    <t>@queerkunoichi</t>
  </si>
  <si>
    <t>@syafira_hdd</t>
  </si>
  <si>
    <t>@farisaaisss</t>
  </si>
  <si>
    <t>@raymondchins</t>
  </si>
  <si>
    <t>@talitamaghfira</t>
  </si>
  <si>
    <t>@feliciaongkarina</t>
  </si>
  <si>
    <t>@risyadandson</t>
  </si>
  <si>
    <t>@valeriedewiofficial</t>
  </si>
  <si>
    <t>@firdianovita</t>
  </si>
  <si>
    <t>@sahilmulachela</t>
  </si>
  <si>
    <t>@vinthadevina</t>
  </si>
  <si>
    <t>@fradila_anggita</t>
  </si>
  <si>
    <t>@shella_fernanda29</t>
  </si>
  <si>
    <t>@xiaoyuebiie</t>
  </si>
  <si>
    <t>@gabriellaekaputri</t>
  </si>
  <si>
    <t>@skupakping</t>
  </si>
  <si>
    <t>@yassinbintang</t>
  </si>
  <si>
    <t>@gadissyfha</t>
  </si>
  <si>
    <t>@soimah_pancawati</t>
  </si>
  <si>
    <t>@aqsaaswar</t>
  </si>
  <si>
    <t>@hanjizah</t>
  </si>
  <si>
    <t>@sport77official</t>
  </si>
  <si>
    <t>@cindifanisa</t>
  </si>
  <si>
    <t>@hanna.mardiyah</t>
  </si>
  <si>
    <t>@sunnydahye_</t>
  </si>
  <si>
    <t>@dilanjaniyar</t>
  </si>
  <si>
    <t>@hentiyashinta</t>
  </si>
  <si>
    <t>@syahnazsadiqah</t>
  </si>
  <si>
    <t>@elikaboen</t>
  </si>
  <si>
    <t>@hestiadityas</t>
  </si>
  <si>
    <t>@tiarach18</t>
  </si>
  <si>
    <t>@miraagile</t>
  </si>
  <si>
    <t>@iffydentity</t>
  </si>
  <si>
    <t>@twitter</t>
  </si>
  <si>
    <t>@nazlaalifa</t>
  </si>
  <si>
    <t>@ira_sugianty</t>
  </si>
  <si>
    <t>@willyanggawinata</t>
  </si>
  <si>
    <t>@ryujiutomo</t>
  </si>
  <si>
    <t>@iva_asih</t>
  </si>
  <si>
    <t>@shela_lala96</t>
  </si>
  <si>
    <t>@jennielevina</t>
  </si>
  <si>
    <t>@wulanestriyani</t>
  </si>
  <si>
    <t>@jeonkii28</t>
  </si>
  <si>
    <t>@yourrkayesss</t>
  </si>
  <si>
    <t>@jessicaliviaa</t>
  </si>
  <si>
    <t>@agnes_widiautama</t>
  </si>
  <si>
    <t>@ameliazega</t>
  </si>
  <si>
    <t>@jessicawongso_</t>
  </si>
  <si>
    <t>@kiararindani</t>
  </si>
  <si>
    <t>@kim.official____</t>
  </si>
  <si>
    <t>@nyamwithinopp</t>
  </si>
  <si>
    <t>@kiyokochii_</t>
  </si>
  <si>
    <t>@larosesl</t>
  </si>
  <si>
    <t>@leyareen</t>
  </si>
  <si>
    <t>@akugakgendutloh</t>
  </si>
  <si>
    <t>@listiadwisetyanti</t>
  </si>
  <si>
    <t>@aleadella</t>
  </si>
  <si>
    <t>@lstxndn_</t>
  </si>
  <si>
    <t>@anaayu16</t>
  </si>
  <si>
    <t>@vansa.be</t>
  </si>
  <si>
    <t>@maudypermata</t>
  </si>
  <si>
    <t>@auliapsptadewii</t>
  </si>
  <si>
    <t>@adindafala</t>
  </si>
  <si>
    <t>@meishellybarbieee</t>
  </si>
  <si>
    <t>@ayu_widyanitha</t>
  </si>
  <si>
    <t>@melfianaputri</t>
  </si>
  <si>
    <t>@ayub_1993</t>
  </si>
  <si>
    <t>@cindylevinaa</t>
  </si>
  <si>
    <t>@merifyu</t>
  </si>
  <si>
    <t>@baksojwr</t>
  </si>
  <si>
    <t>@gelangelicca</t>
  </si>
  <si>
    <t>@michikochan_88</t>
  </si>
  <si>
    <t>@baksojwrofficial</t>
  </si>
  <si>
    <t>@liana_tan</t>
  </si>
  <si>
    <t>@nadya.sari</t>
  </si>
  <si>
    <t>@bali.spot</t>
  </si>
  <si>
    <t>@mr.filipuss</t>
  </si>
  <si>
    <t>@nadysha.alana</t>
  </si>
  <si>
    <t>@bbbbmo</t>
  </si>
  <si>
    <t>@viankacalista</t>
  </si>
  <si>
    <t>@neko_oneesan</t>
  </si>
  <si>
    <t>@bellyculinaryid</t>
  </si>
  <si>
    <t>@onestyanes</t>
  </si>
  <si>
    <t>@besokkemanaril</t>
  </si>
  <si>
    <t>@almirantifira</t>
  </si>
  <si>
    <t>@paci20_</t>
  </si>
  <si>
    <t>@bilameal</t>
  </si>
  <si>
    <t>@bangsaonline</t>
  </si>
  <si>
    <t>@penipitriani</t>
  </si>
  <si>
    <t>@christatita</t>
  </si>
  <si>
    <t>@pitipitss</t>
  </si>
  <si>
    <t>@creativejr</t>
  </si>
  <si>
    <t>@debisagita</t>
  </si>
  <si>
    <t>@princessrhie</t>
  </si>
  <si>
    <t>@dairyqueenid</t>
  </si>
  <si>
    <t>@prodica_saricaa</t>
  </si>
  <si>
    <t>@deliciousbalii</t>
  </si>
  <si>
    <t>@putripratiwi.f</t>
  </si>
  <si>
    <t>@dhifa.mci11</t>
  </si>
  <si>
    <t>@riii_nz</t>
  </si>
  <si>
    <t>@diaryalfiiiii</t>
  </si>
  <si>
    <t>@salshaam</t>
  </si>
  <si>
    <t>@diexplorein</t>
  </si>
  <si>
    <t>@shafanrq</t>
  </si>
  <si>
    <t>@dimin105</t>
  </si>
  <si>
    <t>@shandyzahrass</t>
  </si>
  <si>
    <t>@titantyra</t>
  </si>
  <si>
    <t>@shannahssn</t>
  </si>
  <si>
    <t>@eldenxnisyaa</t>
  </si>
  <si>
    <t>@ussfeeds</t>
  </si>
  <si>
    <t>@silvinw</t>
  </si>
  <si>
    <t>@evelynpricilia</t>
  </si>
  <si>
    <t>@sofieaorcasitas</t>
  </si>
  <si>
    <t>@fakhriroon</t>
  </si>
  <si>
    <t>@arifahsari</t>
  </si>
  <si>
    <t>@stftmh__</t>
  </si>
  <si>
    <t>@beritainspira_</t>
  </si>
  <si>
    <t>@tamariscl</t>
  </si>
  <si>
    <t>@cretivox</t>
  </si>
  <si>
    <t>@taniadrwis</t>
  </si>
  <si>
    <t>@halonisyaa</t>
  </si>
  <si>
    <t>@taraanzh</t>
  </si>
  <si>
    <t>@jeremiahlakhwani</t>
  </si>
  <si>
    <t>@valenciatacco</t>
  </si>
  <si>
    <t>@iqbalzain2002</t>
  </si>
  <si>
    <t>@noiscasonya</t>
  </si>
  <si>
    <t>@vitrinadhiroh</t>
  </si>
  <si>
    <t>@itsorcaputris</t>
  </si>
  <si>
    <t>@realityclub</t>
  </si>
  <si>
    <t>@vivimayapariskaa</t>
  </si>
  <si>
    <t>@jalanbarengdarla</t>
  </si>
  <si>
    <t>@vanessaegas</t>
  </si>
  <si>
    <t>@wenny_2929</t>
  </si>
  <si>
    <t>@jesselynmci8</t>
  </si>
  <si>
    <t>@zhie_pu3</t>
  </si>
  <si>
    <t>@wilna9297</t>
  </si>
  <si>
    <t>@jessicarachelia</t>
  </si>
  <si>
    <t>@_kfatmawatii</t>
  </si>
  <si>
    <t>@winanesbitt</t>
  </si>
  <si>
    <t>@almirakys</t>
  </si>
  <si>
    <t>@zadnyaa</t>
  </si>
  <si>
    <t>@jktfoodmap</t>
  </si>
  <si>
    <t>@amelridhawati</t>
  </si>
  <si>
    <t>@fahirair</t>
  </si>
  <si>
    <t>@jordhialdyan_</t>
  </si>
  <si>
    <t>@anggisdevakii</t>
  </si>
  <si>
    <t>@hildaa.maulida</t>
  </si>
  <si>
    <t>@kezia_stephanie</t>
  </si>
  <si>
    <t>@awrelalifiaa</t>
  </si>
  <si>
    <t>@krisstouv</t>
  </si>
  <si>
    <t>@bernadettegainara</t>
  </si>
  <si>
    <t>@kuliner_bekasi_hits</t>
  </si>
  <si>
    <t>@chicco.jerikho</t>
  </si>
  <si>
    <t>@kuliner1.menit</t>
  </si>
  <si>
    <t>@kulinerbali</t>
  </si>
  <si>
    <t>@desnov1812</t>
  </si>
  <si>
    <t>@kulinernyaber2</t>
  </si>
  <si>
    <t>@desta80s</t>
  </si>
  <si>
    <t>@loli_adelardo</t>
  </si>
  <si>
    <t>@dikingo69</t>
  </si>
  <si>
    <t>@anggraenivaniap</t>
  </si>
  <si>
    <t>@megastyn</t>
  </si>
  <si>
    <t>@faithcns_</t>
  </si>
  <si>
    <t>@muaramine</t>
  </si>
  <si>
    <t>@hildachriss</t>
  </si>
  <si>
    <t>@ngunyahpedia</t>
  </si>
  <si>
    <t>@nithaaa28</t>
  </si>
  <si>
    <t>@njajantoksby</t>
  </si>
  <si>
    <t>@putriemje</t>
  </si>
  <si>
    <t>@maverick.jonathan</t>
  </si>
  <si>
    <t>@nongkrongintrovert</t>
  </si>
  <si>
    <t>@rtfelish</t>
  </si>
  <si>
    <t>@nyamwithinop</t>
  </si>
  <si>
    <t>@saura.thania</t>
  </si>
  <si>
    <t>@olivia.tommy</t>
  </si>
  <si>
    <t>@weni_sf</t>
  </si>
  <si>
    <t>@olivialeryana</t>
  </si>
  <si>
    <t>@andreastaulany</t>
  </si>
  <si>
    <t>@ana_alviandro</t>
  </si>
  <si>
    <t>@oppa_kuliner</t>
  </si>
  <si>
    <t>@andreayudias</t>
  </si>
  <si>
    <t>@opsioktm</t>
  </si>
  <si>
    <t>@bellatjahyadii</t>
  </si>
  <si>
    <t>@otwrosel</t>
  </si>
  <si>
    <t>@arkhanfikri</t>
  </si>
  <si>
    <t>@pikurii</t>
  </si>
  <si>
    <t>@nexcarlos</t>
  </si>
  <si>
    <t>@pipihouston</t>
  </si>
  <si>
    <t>@bjawato</t>
  </si>
  <si>
    <t>@alenzivio</t>
  </si>
  <si>
    <t>@ratnarevata</t>
  </si>
  <si>
    <t>@reviewmajo</t>
  </si>
  <si>
    <t>@reyhan.hilman</t>
  </si>
  <si>
    <t>@donnaharunofficial</t>
  </si>
  <si>
    <t>@divvaaura</t>
  </si>
  <si>
    <t>@rhynaass</t>
  </si>
  <si>
    <t>@gelaelized</t>
  </si>
  <si>
    <t>@geamaria</t>
  </si>
  <si>
    <t>@richardstvn</t>
  </si>
  <si>
    <t>@hy.hani</t>
  </si>
  <si>
    <t>@rndysz</t>
  </si>
  <si>
    <t>@jakartaselatan24jam</t>
  </si>
  <si>
    <t>@karindennisha</t>
  </si>
  <si>
    <t>@salshabilazzahraa</t>
  </si>
  <si>
    <t>@kentri_ag</t>
  </si>
  <si>
    <t>@kylakameron</t>
  </si>
  <si>
    <t>@sheilakmal</t>
  </si>
  <si>
    <t>@limintangdilino</t>
  </si>
  <si>
    <t>@sherenaffff</t>
  </si>
  <si>
    <t>@meearaaaa</t>
  </si>
  <si>
    <t>@sijajanjalan</t>
  </si>
  <si>
    <t>@oktasoekarno</t>
  </si>
  <si>
    <t>@meisyasallwa</t>
  </si>
  <si>
    <t>@sisiltaneal</t>
  </si>
  <si>
    <t>@olivia.liem</t>
  </si>
  <si>
    <t>@syarifsindy</t>
  </si>
  <si>
    <t>@okkyalparessi</t>
  </si>
  <si>
    <t>@tanameracoffeeindonesia</t>
  </si>
  <si>
    <t>@riofhm_</t>
  </si>
  <si>
    <t>@thebalispot</t>
  </si>
  <si>
    <t>@rin_hermana</t>
  </si>
  <si>
    <t>@sabreenadressler</t>
  </si>
  <si>
    <t>@traveat_id</t>
  </si>
  <si>
    <t>@sysyaaaaaaa_</t>
  </si>
  <si>
    <t>@viacipi_</t>
  </si>
  <si>
    <t>@azahhra</t>
  </si>
  <si>
    <t>@zaachiraf</t>
  </si>
  <si>
    <t>@dibawahpohon_</t>
  </si>
  <si>
    <t>@fitriaqatrunnada</t>
  </si>
  <si>
    <t>@bukanwulanwu</t>
  </si>
  <si>
    <t>@ilasalsabilla</t>
  </si>
  <si>
    <t>@jackable__</t>
  </si>
  <si>
    <t>@yunie.saputra</t>
  </si>
  <si>
    <t>@learellaa</t>
  </si>
  <si>
    <t>@rrghufrona</t>
  </si>
  <si>
    <t>@akhairunnisa</t>
  </si>
  <si>
    <t>@mhmmdlatifsaputra_</t>
  </si>
  <si>
    <t>@amerossaaaaa</t>
  </si>
  <si>
    <t>@nova_nayla</t>
  </si>
  <si>
    <t>@amy_raharjo</t>
  </si>
  <si>
    <t>@ocihasanah</t>
  </si>
  <si>
    <t>@queenviolia</t>
  </si>
  <si>
    <t>@rennireree</t>
  </si>
  <si>
    <t>@anggunhrmsr</t>
  </si>
  <si>
    <t>@safirakaunang</t>
  </si>
  <si>
    <t>@asriutari8</t>
  </si>
  <si>
    <t>@serafinalvs</t>
  </si>
  <si>
    <t>@ayu.kartikaa</t>
  </si>
  <si>
    <t>@tehikaa</t>
  </si>
  <si>
    <t>@virginiaobed</t>
  </si>
  <si>
    <t>@bepe20</t>
  </si>
  <si>
    <t>@vlrieval</t>
  </si>
  <si>
    <t>@kokojackson7</t>
  </si>
  <si>
    <t>@cidhiya</t>
  </si>
  <si>
    <t>@arinprastya</t>
  </si>
  <si>
    <t>@deborahani</t>
  </si>
  <si>
    <t>@brigittairene22</t>
  </si>
  <si>
    <t>@doktermedok</t>
  </si>
  <si>
    <t>@cindymeisiany</t>
  </si>
  <si>
    <t>@enyablanco</t>
  </si>
  <si>
    <t>@daenkrukka</t>
  </si>
  <si>
    <t>@eunike_tn</t>
  </si>
  <si>
    <t>@delaakr_</t>
  </si>
  <si>
    <t>@farasyafara</t>
  </si>
  <si>
    <t>@dwisuci_ardi</t>
  </si>
  <si>
    <t>@firna.alisha</t>
  </si>
  <si>
    <t>@dwiuuzzukk19</t>
  </si>
  <si>
    <t>@hendyvijaya</t>
  </si>
  <si>
    <t>@evi_mamadzaky</t>
  </si>
  <si>
    <t>@fideliachristina_</t>
  </si>
  <si>
    <t>@heyciaa</t>
  </si>
  <si>
    <t>@haiucel</t>
  </si>
  <si>
    <t>@ibas404</t>
  </si>
  <si>
    <t>@jocelynleora_</t>
  </si>
  <si>
    <t>@andyyanata</t>
  </si>
  <si>
    <t>@indrowarkop_asli</t>
  </si>
  <si>
    <t>@jujudaisme</t>
  </si>
  <si>
    <t>@levianaivel</t>
  </si>
  <si>
    <t>@jonathan_abe</t>
  </si>
  <si>
    <t>@miaanf</t>
  </si>
  <si>
    <t>@kaekariany</t>
  </si>
  <si>
    <t>@mineralbotanica</t>
  </si>
  <si>
    <t>@aqilladiary</t>
  </si>
  <si>
    <t>@mahirakanis</t>
  </si>
  <si>
    <t>@mommylony</t>
  </si>
  <si>
    <t>@marianesia</t>
  </si>
  <si>
    <t>@nadhieraa</t>
  </si>
  <si>
    <t>@asabelliaa</t>
  </si>
  <si>
    <t>@metaiskandar</t>
  </si>
  <si>
    <t>@oliviareginas18</t>
  </si>
  <si>
    <t>@mutiarasanova</t>
  </si>
  <si>
    <t>@queenpink2818</t>
  </si>
  <si>
    <t>@mutiatreza</t>
  </si>
  <si>
    <t>@revialdooo</t>
  </si>
  <si>
    <t>@nabibil.a</t>
  </si>
  <si>
    <t>@riaprnmasr</t>
  </si>
  <si>
    <t>@neexchy</t>
  </si>
  <si>
    <t>@skinonscreen</t>
  </si>
  <si>
    <t>@cchasagala</t>
  </si>
  <si>
    <t>@sopiyamn</t>
  </si>
  <si>
    <t>@ns.hafidz</t>
  </si>
  <si>
    <t>@syakirdaulay</t>
  </si>
  <si>
    <t>@oceanaskygumilar</t>
  </si>
  <si>
    <t>@_jessicaayu</t>
  </si>
  <si>
    <t>@putrikurniads_</t>
  </si>
  <si>
    <t>@_risaeka</t>
  </si>
  <si>
    <t>@reinhard.h.s</t>
  </si>
  <si>
    <t>@14sella</t>
  </si>
  <si>
    <t>@resti.ika</t>
  </si>
  <si>
    <t>@abang_azum</t>
  </si>
  <si>
    <t>@ririeprams</t>
  </si>
  <si>
    <t>@abidinirosemary</t>
  </si>
  <si>
    <t>@sabrinachairunnisa_</t>
  </si>
  <si>
    <t>@adeauliyar</t>
  </si>
  <si>
    <t>@adjengpdc</t>
  </si>
  <si>
    <t>@tiaramw_</t>
  </si>
  <si>
    <t>@adriankhalif</t>
  </si>
  <si>
    <t>@ulyaslsss__</t>
  </si>
  <si>
    <t>@affioktaf</t>
  </si>
  <si>
    <t>@gabriellaglady</t>
  </si>
  <si>
    <t>@vallent.auliya</t>
  </si>
  <si>
    <t>@viaazulviani</t>
  </si>
  <si>
    <t>@ainunsway</t>
  </si>
  <si>
    <t>@wargatangsel</t>
  </si>
  <si>
    <t>@ajengsekartiwi</t>
  </si>
  <si>
    <t>@akubetsaa</t>
  </si>
  <si>
    <t>@al.wahab_</t>
  </si>
  <si>
    <t>@arya_artamansa</t>
  </si>
  <si>
    <t>@aliciaaurora_</t>
  </si>
  <si>
    <t>@atriesangel</t>
  </si>
  <si>
    <t>@alisanabilah96</t>
  </si>
  <si>
    <t>@ichaswavira</t>
  </si>
  <si>
    <t>@allegra19_</t>
  </si>
  <si>
    <t>@iim_fahima</t>
  </si>
  <si>
    <t>@fbyramadhana</t>
  </si>
  <si>
    <t>@almaquintha</t>
  </si>
  <si>
    <t>@febiesmeralda</t>
  </si>
  <si>
    <t>@alviansyahnr</t>
  </si>
  <si>
    <t>@helminursifah</t>
  </si>
  <si>
    <t>@amahmaulana12</t>
  </si>
  <si>
    <t>@amalia_dety</t>
  </si>
  <si>
    <t>@kanayamia_lowery</t>
  </si>
  <si>
    <t>@ameliawww08</t>
  </si>
  <si>
    <t>@angellyaguillera</t>
  </si>
  <si>
    <t>@laurentiasheila</t>
  </si>
  <si>
    <t>@angga.phn</t>
  </si>
  <si>
    <t>@melisasoetjipto</t>
  </si>
  <si>
    <t>@anggar_ina</t>
  </si>
  <si>
    <t>@niputuchandra</t>
  </si>
  <si>
    <t>@anggie_yoelyiantie</t>
  </si>
  <si>
    <t>@olevelove</t>
  </si>
  <si>
    <t>@anisa_albasir</t>
  </si>
  <si>
    <t>@svmmerloco</t>
  </si>
  <si>
    <t>@anisa.maulidaa</t>
  </si>
  <si>
    <t>@tenggowicaksono</t>
  </si>
  <si>
    <t>@anisaaulia28</t>
  </si>
  <si>
    <t>@marlisathen</t>
  </si>
  <si>
    <t>@violetaekanjani</t>
  </si>
  <si>
    <t>@anitakrlinaa</t>
  </si>
  <si>
    <t>@bagassianipar_</t>
  </si>
  <si>
    <t>@anjanne87</t>
  </si>
  <si>
    <t>@bintanbukanbintang</t>
  </si>
  <si>
    <t>@annebakara</t>
  </si>
  <si>
    <t>@melatigunawan</t>
  </si>
  <si>
    <t>@damarindraa_</t>
  </si>
  <si>
    <t>@annesbelia</t>
  </si>
  <si>
    <t>@gulajawaofficial</t>
  </si>
  <si>
    <t>@annisaicha354</t>
  </si>
  <si>
    <t>@imeyliem?hl=en</t>
  </si>
  <si>
    <t>@apriliabellaa</t>
  </si>
  <si>
    <t>@laurasiburian</t>
  </si>
  <si>
    <t>@arifianthi</t>
  </si>
  <si>
    <t>@lenny.juwita</t>
  </si>
  <si>
    <t>@arlylaksita</t>
  </si>
  <si>
    <t>@lugnutz_aj</t>
  </si>
  <si>
    <t>@arsakhakenzie</t>
  </si>
  <si>
    <t>@marcelldarwin</t>
  </si>
  <si>
    <t>@artiwibeastly</t>
  </si>
  <si>
    <t>@mitadwiputri</t>
  </si>
  <si>
    <t>@astuti.deny</t>
  </si>
  <si>
    <t>@nanamirdad_</t>
  </si>
  <si>
    <t>@atin_nuratikah</t>
  </si>
  <si>
    <t>@nora_wuu</t>
  </si>
  <si>
    <t>@atk_caa</t>
  </si>
  <si>
    <t>@atsaqafi</t>
  </si>
  <si>
    <t>@aukk____</t>
  </si>
  <si>
    <t>@penaattt</t>
  </si>
  <si>
    <t>@auliaamj</t>
  </si>
  <si>
    <t>@aya_mdf</t>
  </si>
  <si>
    <t>@qanitafachirah</t>
  </si>
  <si>
    <t>@ayu.ulfa.dewi</t>
  </si>
  <si>
    <t>@ayuktami_official</t>
  </si>
  <si>
    <t>@shaniaaaf</t>
  </si>
  <si>
    <t>@ayundashendy_</t>
  </si>
  <si>
    <t>@ayyu7588</t>
  </si>
  <si>
    <t>@timotiusmul</t>
  </si>
  <si>
    <t>@azkaalfi</t>
  </si>
  <si>
    <t>@azkasachiorafif</t>
  </si>
  <si>
    <t>@yolenta.joanna</t>
  </si>
  <si>
    <t>@azzahra_3015</t>
  </si>
  <si>
    <t>@zahra_puspita</t>
  </si>
  <si>
    <t>@badiah_basyaib</t>
  </si>
  <si>
    <t>@adindavld</t>
  </si>
  <si>
    <t>@bayuilhambintang19</t>
  </si>
  <si>
    <t>@alwinsast</t>
  </si>
  <si>
    <t>@bee.febyy</t>
  </si>
  <si>
    <t>@brillydiary</t>
  </si>
  <si>
    <t>@bulanfortuna</t>
  </si>
  <si>
    <t>@aymanalatas</t>
  </si>
  <si>
    <t>@bunahrhiaaa14</t>
  </si>
  <si>
    <t>@cacahya17</t>
  </si>
  <si>
    <t>@cindyjessiica</t>
  </si>
  <si>
    <t>@cahyaningtyas.nagara</t>
  </si>
  <si>
    <t>@cantikaamanda16</t>
  </si>
  <si>
    <t>@davidwijaya23</t>
  </si>
  <si>
    <t>@ceceh15</t>
  </si>
  <si>
    <t>@devinakonatra</t>
  </si>
  <si>
    <t>@chandrameimei</t>
  </si>
  <si>
    <t>@devinaureel</t>
  </si>
  <si>
    <t>@chantikkhaniadha</t>
  </si>
  <si>
    <t>@dramaid06_</t>
  </si>
  <si>
    <t>@checeh.eka</t>
  </si>
  <si>
    <t>@chicaharyati</t>
  </si>
  <si>
    <t>@ghandy_spw</t>
  </si>
  <si>
    <t>@ci_lan89</t>
  </si>
  <si>
    <t>@good.diel</t>
  </si>
  <si>
    <t>@cindykhooo</t>
  </si>
  <si>
    <t>@yunika.fedianti</t>
  </si>
  <si>
    <t>@heyitsvianka</t>
  </si>
  <si>
    <t>@ciptaningtyasdw_</t>
  </si>
  <si>
    <t>@indah_impiyanii</t>
  </si>
  <si>
    <t>@claaaara.______</t>
  </si>
  <si>
    <t>@inezzsabrina</t>
  </si>
  <si>
    <t>@clararimaaa</t>
  </si>
  <si>
    <t>@angggiiie</t>
  </si>
  <si>
    <t>@infobogor</t>
  </si>
  <si>
    <t>@connysantosoo</t>
  </si>
  <si>
    <t>@ankatama</t>
  </si>
  <si>
    <t>@its_ziandsty</t>
  </si>
  <si>
    <t>@cpls_21</t>
  </si>
  <si>
    <t>@jalur5</t>
  </si>
  <si>
    <t>@d.heyyo</t>
  </si>
  <si>
    <t>@baldtwins</t>
  </si>
  <si>
    <t>@kekekania</t>
  </si>
  <si>
    <t>@damarpanuluh_k</t>
  </si>
  <si>
    <t>@bambangmosaja_</t>
  </si>
  <si>
    <t>@keprionline.co.id</t>
  </si>
  <si>
    <t>@dapur_hany</t>
  </si>
  <si>
    <t>@dar.q</t>
  </si>
  <si>
    <t>@davinakaramoy</t>
  </si>
  <si>
    <t>@megautami3147</t>
  </si>
  <si>
    <t>@defgarnis</t>
  </si>
  <si>
    <t>@dennysumargoreal</t>
  </si>
  <si>
    <t>@dela_yo</t>
  </si>
  <si>
    <t>@desinta_rw</t>
  </si>
  <si>
    <t>@nisacookie</t>
  </si>
  <si>
    <t>@desipertiwii</t>
  </si>
  <si>
    <t>@dr.mariojohan</t>
  </si>
  <si>
    <t>@putriandanii</t>
  </si>
  <si>
    <t>@desliyaninatalia</t>
  </si>
  <si>
    <t>@efritaasmr</t>
  </si>
  <si>
    <t>@rapunzelbila1</t>
  </si>
  <si>
    <t>@dessyandrianipratiwi</t>
  </si>
  <si>
    <t>@rerreputri</t>
  </si>
  <si>
    <t>@desy_oktaviasari</t>
  </si>
  <si>
    <t>@kei.savourie</t>
  </si>
  <si>
    <t>@devikustinaw</t>
  </si>
  <si>
    <t>@megandomanii</t>
  </si>
  <si>
    <t>@devirafika22</t>
  </si>
  <si>
    <t>@milaalawiyah</t>
  </si>
  <si>
    <t>@devirininta</t>
  </si>
  <si>
    <t>@sararobert</t>
  </si>
  <si>
    <t>@dewicahyaprawita</t>
  </si>
  <si>
    <t>@nabilasyabanaa</t>
  </si>
  <si>
    <t>@shannondorothea1</t>
  </si>
  <si>
    <t>@dewiikrisma22</t>
  </si>
  <si>
    <t>@dewiseptya09</t>
  </si>
  <si>
    <t>@dheauwinaa</t>
  </si>
  <si>
    <t>@tynadwijayanti</t>
  </si>
  <si>
    <t>@dhilgha</t>
  </si>
  <si>
    <t>@verenaindha</t>
  </si>
  <si>
    <t>@dhinafd</t>
  </si>
  <si>
    <t>@tiranissya</t>
  </si>
  <si>
    <t>@dhita.deasy</t>
  </si>
  <si>
    <t>@annesaritaa</t>
  </si>
  <si>
    <t>@diahhardii</t>
  </si>
  <si>
    <t>@ardilasv17</t>
  </si>
  <si>
    <t>@dianasrrhmwt</t>
  </si>
  <si>
    <t>@arif_alfiansyah</t>
  </si>
  <si>
    <t>@dianwijaya8936</t>
  </si>
  <si>
    <t>@balikpapanku</t>
  </si>
  <si>
    <t>@dianyosihw</t>
  </si>
  <si>
    <t>@ns_rdt</t>
  </si>
  <si>
    <t>@cunplawer</t>
  </si>
  <si>
    <t>@dieta_nirmala</t>
  </si>
  <si>
    <t>@dapurbekal</t>
  </si>
  <si>
    <t>@diiannaseptianii_</t>
  </si>
  <si>
    <t>@diasftri21</t>
  </si>
  <si>
    <t>@dinfiaa</t>
  </si>
  <si>
    <t>@diniindahc</t>
  </si>
  <si>
    <t>@dzhea_zee</t>
  </si>
  <si>
    <t>@dinnirz</t>
  </si>
  <si>
    <t>@emmachatarina</t>
  </si>
  <si>
    <t>@ditapamelia</t>
  </si>
  <si>
    <t>@emrahma</t>
  </si>
  <si>
    <t>@dittaanyanie</t>
  </si>
  <si>
    <t>@erinagustinaa</t>
  </si>
  <si>
    <t>@dokyeong04</t>
  </si>
  <si>
    <t>@govinzulhelmi</t>
  </si>
  <si>
    <t>@info_pondokgede</t>
  </si>
  <si>
    <t>@drh.rahmahf08</t>
  </si>
  <si>
    <t>@laperstory</t>
  </si>
  <si>
    <t>@iniimona</t>
  </si>
  <si>
    <t>@dutakejora</t>
  </si>
  <si>
    <t>@dwipriatiningsih</t>
  </si>
  <si>
    <t>@itsagnesdwiw</t>
  </si>
  <si>
    <t>@dwiyantiprasetyo</t>
  </si>
  <si>
    <t>@madelarasati</t>
  </si>
  <si>
    <t>@joannadv</t>
  </si>
  <si>
    <t>@echiiiiii</t>
  </si>
  <si>
    <t>@nabilaaprikarnin</t>
  </si>
  <si>
    <t>@eeppiioo</t>
  </si>
  <si>
    <t>@nancyagita</t>
  </si>
  <si>
    <t>@ega.panda</t>
  </si>
  <si>
    <t>@nathaniec</t>
  </si>
  <si>
    <t>@eireenjuslimm</t>
  </si>
  <si>
    <t>@oktosiagian</t>
  </si>
  <si>
    <t>@elfinayunisari</t>
  </si>
  <si>
    <t>@ranireaction</t>
  </si>
  <si>
    <t>@elissuciati.else</t>
  </si>
  <si>
    <t>@sophia_latjuba88</t>
  </si>
  <si>
    <t>@elmaro.eml</t>
  </si>
  <si>
    <t>@aiiyouvidh</t>
  </si>
  <si>
    <t>@stkhadijah99_</t>
  </si>
  <si>
    <t>@elvia_rara</t>
  </si>
  <si>
    <t>@strawberrymint17</t>
  </si>
  <si>
    <t>@ty_nanda91</t>
  </si>
  <si>
    <t>@enikeveronika</t>
  </si>
  <si>
    <t>@baksorusuksamanhudi</t>
  </si>
  <si>
    <t>@widya_luvy</t>
  </si>
  <si>
    <t>@erac_01</t>
  </si>
  <si>
    <t>@xfy0z_</t>
  </si>
  <si>
    <t>@erialukmanasr</t>
  </si>
  <si>
    <t>@aamandazahra</t>
  </si>
  <si>
    <t>@erlanggabayuuu</t>
  </si>
  <si>
    <t>@adell.exe</t>
  </si>
  <si>
    <t>@erlitakhoirilisa</t>
  </si>
  <si>
    <t>@angelineafandi</t>
  </si>
  <si>
    <t>@ernamu31</t>
  </si>
  <si>
    <t>@anisasetiawan_</t>
  </si>
  <si>
    <t>@erni_tristiani</t>
  </si>
  <si>
    <t>@arbanirezas</t>
  </si>
  <si>
    <t>@eskaaw_</t>
  </si>
  <si>
    <t>@asakecil</t>
  </si>
  <si>
    <t>@evarozalinaa</t>
  </si>
  <si>
    <t>@astaririri</t>
  </si>
  <si>
    <t>@evisarah</t>
  </si>
  <si>
    <t>@charisaafaith</t>
  </si>
  <si>
    <t>@explore.fajar</t>
  </si>
  <si>
    <t>@heybybs</t>
  </si>
  <si>
    <t>@dahliachr</t>
  </si>
  <si>
    <t>@fajarrusalem</t>
  </si>
  <si>
    <t>@deviliviaa</t>
  </si>
  <si>
    <t>@faqih_hanna</t>
  </si>
  <si>
    <t>@mayanksarrii</t>
  </si>
  <si>
    <t>@dziyanabilaaa</t>
  </si>
  <si>
    <t>@farsiscaa</t>
  </si>
  <si>
    <t>@melysaha_</t>
  </si>
  <si>
    <t>@evevlynn09</t>
  </si>
  <si>
    <t>@febbych_</t>
  </si>
  <si>
    <t>@fannyghassani</t>
  </si>
  <si>
    <t>@febrianagnes</t>
  </si>
  <si>
    <t>@faqih.dh</t>
  </si>
  <si>
    <t>@febryyantibayni_oria</t>
  </si>
  <si>
    <t>@farislovitasari</t>
  </si>
  <si>
    <t>@febylasmia_ma</t>
  </si>
  <si>
    <t>@fenyrosdiana</t>
  </si>
  <si>
    <t>@inungw12</t>
  </si>
  <si>
    <t>@fernando_wijaya_</t>
  </si>
  <si>
    <t>@sharoncb_</t>
  </si>
  <si>
    <t>@iwanbanaranblog</t>
  </si>
  <si>
    <t>@fiavidri05</t>
  </si>
  <si>
    <t>@jakartabarat24jam</t>
  </si>
  <si>
    <t>@fiezhanis</t>
  </si>
  <si>
    <t>@juniarayutl</t>
  </si>
  <si>
    <t>@fina_nst21</t>
  </si>
  <si>
    <t>@tanameracoffee</t>
  </si>
  <si>
    <t>@karinadila8921</t>
  </si>
  <si>
    <t>@fiocelesta</t>
  </si>
  <si>
    <t>@kikysaputrii</t>
  </si>
  <si>
    <t>@fitraama</t>
  </si>
  <si>
    <t>@tristatristar</t>
  </si>
  <si>
    <t>@kiyoe.shima</t>
  </si>
  <si>
    <t>@fitriah_93</t>
  </si>
  <si>
    <t>@kristianita_dian</t>
  </si>
  <si>
    <t>@fritaargaf</t>
  </si>
  <si>
    <t>@zeezaharaputri</t>
  </si>
  <si>
    <t>@leoafandi_</t>
  </si>
  <si>
    <t>@ftriy</t>
  </si>
  <si>
    <t>@____xsan</t>
  </si>
  <si>
    <t>@margenie_mg</t>
  </si>
  <si>
    <t>@fujiiraaaa</t>
  </si>
  <si>
    <t>@g.millenia</t>
  </si>
  <si>
    <t>@__your.bby</t>
  </si>
  <si>
    <t>@momdhifa.mia</t>
  </si>
  <si>
    <t>@gianfyi</t>
  </si>
  <si>
    <t>@_avdaa</t>
  </si>
  <si>
    <t>@motomobitv</t>
  </si>
  <si>
    <t>@gisyacha</t>
  </si>
  <si>
    <t>@_bangbrewok</t>
  </si>
  <si>
    <t>@mudaberumahtangga</t>
  </si>
  <si>
    <t>@gongzhuofficial</t>
  </si>
  <si>
    <t>@_ciya_0</t>
  </si>
  <si>
    <t>@h_fitria30</t>
  </si>
  <si>
    <t>@_cynthiacfp</t>
  </si>
  <si>
    <t>@naylarazisky</t>
  </si>
  <si>
    <t>@haiiyullya</t>
  </si>
  <si>
    <t>@_davinaputri10</t>
  </si>
  <si>
    <t>@piekisses2</t>
  </si>
  <si>
    <t>@hallowulandari</t>
  </si>
  <si>
    <t>@_deamonica</t>
  </si>
  <si>
    <t>@pipirasabakpao</t>
  </si>
  <si>
    <t>@hannaevilia</t>
  </si>
  <si>
    <t>@_ekawulandarii</t>
  </si>
  <si>
    <t>@pwgofficial</t>
  </si>
  <si>
    <t>@heiina_</t>
  </si>
  <si>
    <t>@racuncouple</t>
  </si>
  <si>
    <t>@helenind</t>
  </si>
  <si>
    <t>@_little.ail</t>
  </si>
  <si>
    <t>@rayanurfitrird</t>
  </si>
  <si>
    <t>@heni_nino</t>
  </si>
  <si>
    <t>@_niilaams</t>
  </si>
  <si>
    <t>@heyy.itsamee</t>
  </si>
  <si>
    <t>@_nunooh</t>
  </si>
  <si>
    <t>@siveve</t>
  </si>
  <si>
    <t>@hmangela02</t>
  </si>
  <si>
    <t>@sriayun12</t>
  </si>
  <si>
    <t>@hufianafl</t>
  </si>
  <si>
    <t>@_rzkgii</t>
  </si>
  <si>
    <t>@utrichfarzah</t>
  </si>
  <si>
    <t>@ibuk.vanno</t>
  </si>
  <si>
    <t>@_shaz</t>
  </si>
  <si>
    <t>@vanessaechaa26</t>
  </si>
  <si>
    <t>@idaakwariah</t>
  </si>
  <si>
    <t>@_sherlymg</t>
  </si>
  <si>
    <t>@wellisnaa</t>
  </si>
  <si>
    <t>@idawsafitri</t>
  </si>
  <si>
    <t>@_suriayu</t>
  </si>
  <si>
    <t>@wulanwu</t>
  </si>
  <si>
    <t>@ifahalifah</t>
  </si>
  <si>
    <t>@_syifaalfii</t>
  </si>
  <si>
    <t>@zahrenaa</t>
  </si>
  <si>
    <t>@ifmaa_</t>
  </si>
  <si>
    <t>@_vaniawijaya</t>
  </si>
  <si>
    <t>@iid_msaidah</t>
  </si>
  <si>
    <t>@_wdyazh09</t>
  </si>
  <si>
    <t>@anifa.tamara</t>
  </si>
  <si>
    <t>@iindindriani</t>
  </si>
  <si>
    <t>@.ayambakar20</t>
  </si>
  <si>
    <t>@anthonysudarsono</t>
  </si>
  <si>
    <t>@ika.chan6</t>
  </si>
  <si>
    <t>@.karyn444</t>
  </si>
  <si>
    <t>@artiyanangeliza_</t>
  </si>
  <si>
    <t>@ikafnursani</t>
  </si>
  <si>
    <t>@.nidaawafa</t>
  </si>
  <si>
    <t>@ilmaizlhq_</t>
  </si>
  <si>
    <t>@carissa_puteri</t>
  </si>
  <si>
    <t>@imaa19</t>
  </si>
  <si>
    <t>@666jjjn__</t>
  </si>
  <si>
    <t>@cynthiaganesha</t>
  </si>
  <si>
    <t>@indaaindodd</t>
  </si>
  <si>
    <t>@6tea6ix</t>
  </si>
  <si>
    <t>@dinzzur</t>
  </si>
  <si>
    <t>@indah.viryasvastika</t>
  </si>
  <si>
    <t>@7649121</t>
  </si>
  <si>
    <t>@elysacandra</t>
  </si>
  <si>
    <t>@indahabby</t>
  </si>
  <si>
    <t>@aaprilea</t>
  </si>
  <si>
    <t>@indahayuamanda</t>
  </si>
  <si>
    <t>@indiranand</t>
  </si>
  <si>
    <t>@abadibersamaadelweis</t>
  </si>
  <si>
    <t>@itsvivie91</t>
  </si>
  <si>
    <t>@indriwidiartii</t>
  </si>
  <si>
    <t>@jakarta.terkini</t>
  </si>
  <si>
    <t>@ineesbrna</t>
  </si>
  <si>
    <t>@abdngoimc</t>
  </si>
  <si>
    <t>@iniakunitaa__</t>
  </si>
  <si>
    <t>@abel_cantika</t>
  </si>
  <si>
    <t>@joviadhiguna</t>
  </si>
  <si>
    <t>@inikarinagita</t>
  </si>
  <si>
    <t>@abeltrld</t>
  </si>
  <si>
    <t>@lifia_laeticia</t>
  </si>
  <si>
    <t>@inkallee03</t>
  </si>
  <si>
    <t>@mariakarinaa</t>
  </si>
  <si>
    <t>@innacahyani1308</t>
  </si>
  <si>
    <t>@abiejie</t>
  </si>
  <si>
    <t>@nadialaydrus</t>
  </si>
  <si>
    <t>@inne_salim</t>
  </si>
  <si>
    <t>@abigailaurellia</t>
  </si>
  <si>
    <t>@nesyanabila</t>
  </si>
  <si>
    <t>@intaniamay16</t>
  </si>
  <si>
    <t>@abigusmas</t>
  </si>
  <si>
    <t>@pipithuang</t>
  </si>
  <si>
    <t>@iqbalghiffari</t>
  </si>
  <si>
    <t>@abinyaayin</t>
  </si>
  <si>
    <t>@prisciliatanbayong</t>
  </si>
  <si>
    <t>@irawati0309</t>
  </si>
  <si>
    <t>@abramwenas</t>
  </si>
  <si>
    <t>@raatihsyafriza</t>
  </si>
  <si>
    <t>@isnaenikkh</t>
  </si>
  <si>
    <t>@accio.olshop</t>
  </si>
  <si>
    <t>@reginaseptinamainof</t>
  </si>
  <si>
    <t>@itamargareta_</t>
  </si>
  <si>
    <t>@acessz</t>
  </si>
  <si>
    <t>@rotuaaa</t>
  </si>
  <si>
    <t>@its.fadil_</t>
  </si>
  <si>
    <t>@acharamel_</t>
  </si>
  <si>
    <t>@sonia_wibisono</t>
  </si>
  <si>
    <t>@itsagnesdwi</t>
  </si>
  <si>
    <t>@acimlaz</t>
  </si>
  <si>
    <t>@tasyafarasya</t>
  </si>
  <si>
    <t>@itsaiiuayu27</t>
  </si>
  <si>
    <t>@acinggu</t>
  </si>
  <si>
    <t>@wulanguritno</t>
  </si>
  <si>
    <t>@itsvennyy</t>
  </si>
  <si>
    <t>@adabinacindina</t>
  </si>
  <si>
    <t>@_icedgreentea8</t>
  </si>
  <si>
    <t>@iya.nevin</t>
  </si>
  <si>
    <t>@adamfaiiq</t>
  </si>
  <si>
    <t>@iyyan_alf</t>
  </si>
  <si>
    <t>@izza_ilmi_alyusufi</t>
  </si>
  <si>
    <t>@adel_nurra</t>
  </si>
  <si>
    <t>@amelia_angelineee</t>
  </si>
  <si>
    <t>@izza.lubna</t>
  </si>
  <si>
    <t>@adelina.darminto</t>
  </si>
  <si>
    <t>@anazsiantar</t>
  </si>
  <si>
    <t>@jennmalita</t>
  </si>
  <si>
    <t>@adeljkt48</t>
  </si>
  <si>
    <t>@arahardiant</t>
  </si>
  <si>
    <t>@jerny.sidabutar</t>
  </si>
  <si>
    <t>@adhetora</t>
  </si>
  <si>
    <t>@asriwahyunirais</t>
  </si>
  <si>
    <t>@juliyani_06</t>
  </si>
  <si>
    <t>@adianpricil</t>
  </si>
  <si>
    <t>@kakaminda</t>
  </si>
  <si>
    <t>@adibdwitamma</t>
  </si>
  <si>
    <t>@bapak2id</t>
  </si>
  <si>
    <t>@kamilaanisa_</t>
  </si>
  <si>
    <t>@adiellaberliani</t>
  </si>
  <si>
    <t>@berliansalim</t>
  </si>
  <si>
    <t>@kareenaptr</t>
  </si>
  <si>
    <t>@adifarvn</t>
  </si>
  <si>
    <t>@bogor_update</t>
  </si>
  <si>
    <t>@kayraacans</t>
  </si>
  <si>
    <t>@adimback01</t>
  </si>
  <si>
    <t>@cindycendana</t>
  </si>
  <si>
    <t>@kellykhey</t>
  </si>
  <si>
    <t>@dr_danar</t>
  </si>
  <si>
    <t>@kharistauvi</t>
  </si>
  <si>
    <t>@adlysagara</t>
  </si>
  <si>
    <t>@dwiaay</t>
  </si>
  <si>
    <t>@khilyaa10</t>
  </si>
  <si>
    <t>@adrianjabonga6</t>
  </si>
  <si>
    <t>@fatyabiya</t>
  </si>
  <si>
    <t>@klarissa_kl</t>
  </si>
  <si>
    <t>@fazrikecap_</t>
  </si>
  <si>
    <t>@kocak.petcaah</t>
  </si>
  <si>
    <t>@febibuder</t>
  </si>
  <si>
    <t>@afira.sya</t>
  </si>
  <si>
    <t>@kusumapuu</t>
  </si>
  <si>
    <t>@afiyafiya19</t>
  </si>
  <si>
    <t>@kyim.kusnadireja</t>
  </si>
  <si>
    <t>@afridaluthfiyah</t>
  </si>
  <si>
    <t>@l_lela99</t>
  </si>
  <si>
    <t>@afrinaltist</t>
  </si>
  <si>
    <t>@kianara.nay</t>
  </si>
  <si>
    <t>@laili_amalina</t>
  </si>
  <si>
    <t>@agneswidiautama</t>
  </si>
  <si>
    <t>@lee.bella999</t>
  </si>
  <si>
    <t>@leandrashye</t>
  </si>
  <si>
    <t>@agnezteee</t>
  </si>
  <si>
    <t>@litahutami</t>
  </si>
  <si>
    <t>@lelynsf</t>
  </si>
  <si>
    <t>@agunggg03__</t>
  </si>
  <si>
    <t>@maggiekholine</t>
  </si>
  <si>
    <t>@lenafachan</t>
  </si>
  <si>
    <t>@agungmerryzky</t>
  </si>
  <si>
    <t>@meilianacen</t>
  </si>
  <si>
    <t>@lidiawildhasonata</t>
  </si>
  <si>
    <t>@agustin_silvi</t>
  </si>
  <si>
    <t>@linarahma17</t>
  </si>
  <si>
    <t>@ah.yayaa</t>
  </si>
  <si>
    <t>@liputpiutzpiut</t>
  </si>
  <si>
    <t>@okkapratama</t>
  </si>
  <si>
    <t>@lisaandini25</t>
  </si>
  <si>
    <t>@ainybariqq</t>
  </si>
  <si>
    <t>@lucky_wlf</t>
  </si>
  <si>
    <t>@aisyahhaa_</t>
  </si>
  <si>
    <t>@rhasiebatara</t>
  </si>
  <si>
    <t>@lulurinjanim12</t>
  </si>
  <si>
    <t>@aisykaspol</t>
  </si>
  <si>
    <t>@ria.ria14</t>
  </si>
  <si>
    <t>@ma_donnnaaa_</t>
  </si>
  <si>
    <t>@ajenggee16</t>
  </si>
  <si>
    <t>@riezhaaulia</t>
  </si>
  <si>
    <t>@mainikki95</t>
  </si>
  <si>
    <t>@ajenglestari18</t>
  </si>
  <si>
    <t>@shannondorothea</t>
  </si>
  <si>
    <t>@mamahnavp_channel</t>
  </si>
  <si>
    <t>@ajengptrn</t>
  </si>
  <si>
    <t>@sing.adisastro</t>
  </si>
  <si>
    <t>@mankook_</t>
  </si>
  <si>
    <t>@siskasaragih</t>
  </si>
  <si>
    <t>@marsyarmitha</t>
  </si>
  <si>
    <t>@aksel.lolly</t>
  </si>
  <si>
    <t>@valeriastahlk</t>
  </si>
  <si>
    <t>@martika_tirta</t>
  </si>
  <si>
    <t>@akubeingrandom</t>
  </si>
  <si>
    <t>@wetgloss</t>
  </si>
  <si>
    <t>@mawarsiska20</t>
  </si>
  <si>
    <t>@akundefazz</t>
  </si>
  <si>
    <t>@abouttng</t>
  </si>
  <si>
    <t>@mayadestira</t>
  </si>
  <si>
    <t>@akuumii17</t>
  </si>
  <si>
    <t>@alexeffendhy</t>
  </si>
  <si>
    <t>@mayrisaputri</t>
  </si>
  <si>
    <t>@al_hanaroo</t>
  </si>
  <si>
    <t>@megaputripamungkas</t>
  </si>
  <si>
    <t>@anniska_suwasdy</t>
  </si>
  <si>
    <t>@meikefatimah</t>
  </si>
  <si>
    <t>@alamjayya</t>
  </si>
  <si>
    <t>@bodyfitbybagus</t>
  </si>
  <si>
    <t>@melaaprilia74_</t>
  </si>
  <si>
    <t>@alannaumsntk</t>
  </si>
  <si>
    <t>@calistaangelina</t>
  </si>
  <si>
    <t>@melindazharich</t>
  </si>
  <si>
    <t>@albiansyahreal</t>
  </si>
  <si>
    <t>@dellaaseptt</t>
  </si>
  <si>
    <t>@melvinmaylani</t>
  </si>
  <si>
    <t>@albuchori_0891</t>
  </si>
  <si>
    <t>@dinastyan</t>
  </si>
  <si>
    <t>@melz.oei</t>
  </si>
  <si>
    <t>@aldasuwardi</t>
  </si>
  <si>
    <t>@meyrinaaputrii</t>
  </si>
  <si>
    <t>@aldenametta1</t>
  </si>
  <si>
    <t>@infobekasi</t>
  </si>
  <si>
    <t>@meysetiawati</t>
  </si>
  <si>
    <t>@aldianmr</t>
  </si>
  <si>
    <t>@infobekasi.coo</t>
  </si>
  <si>
    <t>@mia___far</t>
  </si>
  <si>
    <t>@aldoavega</t>
  </si>
  <si>
    <t>@infodepok_id</t>
  </si>
  <si>
    <t>@milkaiueo</t>
  </si>
  <si>
    <t>@aldojusman</t>
  </si>
  <si>
    <t>@irenaldriana</t>
  </si>
  <si>
    <t>@mimigendismimigendis</t>
  </si>
  <si>
    <t>@aldosutarnaa</t>
  </si>
  <si>
    <t>@jaysforeal</t>
  </si>
  <si>
    <t>@mirzahidayat_</t>
  </si>
  <si>
    <t>@alecyavebyyy</t>
  </si>
  <si>
    <t>@jktgo</t>
  </si>
  <si>
    <t>@missdjie</t>
  </si>
  <si>
    <t>@alethaabew</t>
  </si>
  <si>
    <t>@kabarcibubur24jam</t>
  </si>
  <si>
    <t>@moms_twinsaraswati</t>
  </si>
  <si>
    <t>@aletheeeea</t>
  </si>
  <si>
    <t>@kemalmochtar</t>
  </si>
  <si>
    <t>@monicapurdiani1710</t>
  </si>
  <si>
    <t>@alfanarsyad</t>
  </si>
  <si>
    <t>@kethagustine</t>
  </si>
  <si>
    <t>@mrs.hanarismay</t>
  </si>
  <si>
    <t>@alfani.sidharta</t>
  </si>
  <si>
    <t>@putrighafar</t>
  </si>
  <si>
    <t>@mrs.senopati</t>
  </si>
  <si>
    <t>@alfarizi_sahrul</t>
  </si>
  <si>
    <t>@sindyfungg</t>
  </si>
  <si>
    <t>@muliafitri55</t>
  </si>
  <si>
    <t>@alfi1712</t>
  </si>
  <si>
    <t>@yaswildblood</t>
  </si>
  <si>
    <t>@murni_fatih</t>
  </si>
  <si>
    <t>@alfikhair_</t>
  </si>
  <si>
    <t>@aletaanovianda</t>
  </si>
  <si>
    <t>@muthiashz</t>
  </si>
  <si>
    <t>@alfiromi</t>
  </si>
  <si>
    <t>@anggunmiad</t>
  </si>
  <si>
    <t>@mynameucii</t>
  </si>
  <si>
    <t>@aliansyaht</t>
  </si>
  <si>
    <t>@captainbarbershopid</t>
  </si>
  <si>
    <t>@mytatika</t>
  </si>
  <si>
    <t>@dimasbudiu</t>
  </si>
  <si>
    <t>@nabilahlthfyh</t>
  </si>
  <si>
    <t>@aliciadell18</t>
  </si>
  <si>
    <t>@nadhif.almira</t>
  </si>
  <si>
    <t>@alifiaaudita99</t>
  </si>
  <si>
    <t>@fauziaahanum</t>
  </si>
  <si>
    <t>@nadindaayyu12_</t>
  </si>
  <si>
    <t>@alikhawahyu</t>
  </si>
  <si>
    <t>@fenny_fennyyy</t>
  </si>
  <si>
    <t>@namyrasyahdan</t>
  </si>
  <si>
    <t>@alipwahid</t>
  </si>
  <si>
    <t>@galagea_</t>
  </si>
  <si>
    <t>@nana_dwiyuliana</t>
  </si>
  <si>
    <t>@guaryan__</t>
  </si>
  <si>
    <t>@naqiyyahsyam</t>
  </si>
  <si>
    <t>@aliyasw</t>
  </si>
  <si>
    <t>@hairnerdsstudio</t>
  </si>
  <si>
    <t>@nashani</t>
  </si>
  <si>
    <t>@alkhanmarcedo</t>
  </si>
  <si>
    <t>@jihanyusnita</t>
  </si>
  <si>
    <t>@neandrosabian</t>
  </si>
  <si>
    <t>@kyranayda</t>
  </si>
  <si>
    <t>@nengdesinengdesi</t>
  </si>
  <si>
    <t>@allisyaaffa</t>
  </si>
  <si>
    <t>@lidyarismi</t>
  </si>
  <si>
    <t>@niisa_anggaraii</t>
  </si>
  <si>
    <t>@allugra</t>
  </si>
  <si>
    <t>@oliviatanned</t>
  </si>
  <si>
    <t>@nisacaldis</t>
  </si>
  <si>
    <t>@onyahero</t>
  </si>
  <si>
    <t>@niss_ya11</t>
  </si>
  <si>
    <t>@almayunita06</t>
  </si>
  <si>
    <t>@putrypurwantika</t>
  </si>
  <si>
    <t>@nissataqiyyah</t>
  </si>
  <si>
    <t>@aloeeveeraaaaa</t>
  </si>
  <si>
    <t>@rizky.rakhmasari</t>
  </si>
  <si>
    <t>@nitaaja73</t>
  </si>
  <si>
    <t>@salsabyyllaa</t>
  </si>
  <si>
    <t>@noon_skinner</t>
  </si>
  <si>
    <t>@alvinsyahvin</t>
  </si>
  <si>
    <t>@salyangkamu</t>
  </si>
  <si>
    <t>@nqaulia</t>
  </si>
  <si>
    <t>@alvirazhrn</t>
  </si>
  <si>
    <t>@susijournal1509</t>
  </si>
  <si>
    <t>@nungky_viida</t>
  </si>
  <si>
    <t>@alyabroziouz</t>
  </si>
  <si>
    <t>@theopasaribu_</t>
  </si>
  <si>
    <t>@nunu.hasanahnur</t>
  </si>
  <si>
    <t>@alyakbar__</t>
  </si>
  <si>
    <t>@verafirdyana</t>
  </si>
  <si>
    <t>@nunungnrhyti_</t>
  </si>
  <si>
    <t>@alyttlebit</t>
  </si>
  <si>
    <t>@ajiyana_as</t>
  </si>
  <si>
    <t>@nuraeni_moms_kl</t>
  </si>
  <si>
    <t>@amadeaseptiaa</t>
  </si>
  <si>
    <t>@angelinawj</t>
  </si>
  <si>
    <t>@nurassyafa_</t>
  </si>
  <si>
    <t>@caesarlaineanggi2</t>
  </si>
  <si>
    <t>@nurfadillahh_3</t>
  </si>
  <si>
    <t>@eshahidayat</t>
  </si>
  <si>
    <t>@nurilfarida_</t>
  </si>
  <si>
    <t>@amaliamrdtnn</t>
  </si>
  <si>
    <t>@femaledailynetwork</t>
  </si>
  <si>
    <t>@nurirrahmah_nst</t>
  </si>
  <si>
    <t>@amaliarizqi962</t>
  </si>
  <si>
    <t>@habibul251</t>
  </si>
  <si>
    <t>@nurjanah_adiba17</t>
  </si>
  <si>
    <t>@amanalfarisii</t>
  </si>
  <si>
    <t>@nurkomala_s14</t>
  </si>
  <si>
    <t>@amanaturr</t>
  </si>
  <si>
    <t>@jeffchristianchen</t>
  </si>
  <si>
    <t>@nurul_ikra</t>
  </si>
  <si>
    <t>@amanda_putrii12</t>
  </si>
  <si>
    <t>@jktinfo</t>
  </si>
  <si>
    <t>@nurul.adila__</t>
  </si>
  <si>
    <t>@amandaskiy</t>
  </si>
  <si>
    <t>@key.rzky</t>
  </si>
  <si>
    <t>@nurulhikmahn_</t>
  </si>
  <si>
    <t>@amandastatic_</t>
  </si>
  <si>
    <t>@nurulsafitri3982</t>
  </si>
  <si>
    <t>@amandatorquise</t>
  </si>
  <si>
    <t>@melisadwlndrr</t>
  </si>
  <si>
    <t>@nurulumayahs_</t>
  </si>
  <si>
    <t>@amaracintia16</t>
  </si>
  <si>
    <t>@nadirandr_</t>
  </si>
  <si>
    <t>@nuryani.tri_dn</t>
  </si>
  <si>
    <t>@ambarayd_</t>
  </si>
  <si>
    <t>@nonik_fay</t>
  </si>
  <si>
    <t>@nyk_mlg</t>
  </si>
  <si>
    <t>@amelia.almasyhad</t>
  </si>
  <si>
    <t>@norawuu</t>
  </si>
  <si>
    <t>@octafinda</t>
  </si>
  <si>
    <t>@ameliaasshh</t>
  </si>
  <si>
    <t>@pinkkyganz</t>
  </si>
  <si>
    <t>@shintya_audrey</t>
  </si>
  <si>
    <t>@olliveeikaaa</t>
  </si>
  <si>
    <t>@amelisar_</t>
  </si>
  <si>
    <t>@sintiaardianti</t>
  </si>
  <si>
    <t>@oppieaulia</t>
  </si>
  <si>
    <t>@amerowssa</t>
  </si>
  <si>
    <t>@teukudinoo</t>
  </si>
  <si>
    <t>@pagns</t>
  </si>
  <si>
    <t>@amertadian</t>
  </si>
  <si>
    <t>@theadamsband</t>
  </si>
  <si>
    <t>@parlybengkulu18</t>
  </si>
  <si>
    <t>@aminyandawi</t>
  </si>
  <si>
    <t>@vennyalawiyah</t>
  </si>
  <si>
    <t>@patrice_dmq2206</t>
  </si>
  <si>
    <t>@amitamonica</t>
  </si>
  <si>
    <t>@virgadana</t>
  </si>
  <si>
    <t>@pawon_nia</t>
  </si>
  <si>
    <t>@ammi_lina87</t>
  </si>
  <si>
    <t>@_putritidurr_</t>
  </si>
  <si>
    <t>@pemerela</t>
  </si>
  <si>
    <t>@anadiaaisyah</t>
  </si>
  <si>
    <t>@asyahidan</t>
  </si>
  <si>
    <t>@petywulandari</t>
  </si>
  <si>
    <t>@anakmamiii96</t>
  </si>
  <si>
    <t>@ceritapelari</t>
  </si>
  <si>
    <t>@pi.pi.te</t>
  </si>
  <si>
    <t>@anakmotorbaru</t>
  </si>
  <si>
    <t>@cinpawpaw</t>
  </si>
  <si>
    <t>@pratiwi.ftry</t>
  </si>
  <si>
    <t>@anaknyaibukelis</t>
  </si>
  <si>
    <t>@cliffton_zhang</t>
  </si>
  <si>
    <t>@pu.put6683</t>
  </si>
  <si>
    <t>@anastasiamanik1</t>
  </si>
  <si>
    <t>@cndytang</t>
  </si>
  <si>
    <t>@putherikhan2805</t>
  </si>
  <si>
    <t>@anastasyaard_</t>
  </si>
  <si>
    <t>@cokardina</t>
  </si>
  <si>
    <t>@putriandezta</t>
  </si>
  <si>
    <t>@anatacaa</t>
  </si>
  <si>
    <t>@dionharyadi</t>
  </si>
  <si>
    <t>@putrii.apnd</t>
  </si>
  <si>
    <t>@anboow</t>
  </si>
  <si>
    <t>@fikrifreestyle</t>
  </si>
  <si>
    <t>@putrinurlaila96</t>
  </si>
  <si>
    <t>@andhikaerdy</t>
  </si>
  <si>
    <t>@galangbedon</t>
  </si>
  <si>
    <t>@putskichu</t>
  </si>
  <si>
    <t>@andiniatmaja</t>
  </si>
  <si>
    <t>@ghinarestini</t>
  </si>
  <si>
    <t>@rachelfransiska7</t>
  </si>
  <si>
    <t>@andreaparamesti</t>
  </si>
  <si>
    <t>@kabarbintaro</t>
  </si>
  <si>
    <t>@radofamily0504</t>
  </si>
  <si>
    <t>@andrynd</t>
  </si>
  <si>
    <t>@marfanu26</t>
  </si>
  <si>
    <t>@rafida_erwin</t>
  </si>
  <si>
    <t>@angela.purnamasari</t>
  </si>
  <si>
    <t>@maya_permatasari76</t>
  </si>
  <si>
    <t>@rahman_nur77</t>
  </si>
  <si>
    <t>@pipirmnov_</t>
  </si>
  <si>
    <t>@rahmaniakwb</t>
  </si>
  <si>
    <t>@angellisandidoang</t>
  </si>
  <si>
    <t>@sarahh.zu</t>
  </si>
  <si>
    <t>@rahmasulis__</t>
  </si>
  <si>
    <t>@angelluwensk.y</t>
  </si>
  <si>
    <t>@tiera.rm</t>
  </si>
  <si>
    <t>@ramadyah_ninik</t>
  </si>
  <si>
    <t>@tikarahayusarii</t>
  </si>
  <si>
    <t>@rani_rifayati</t>
  </si>
  <si>
    <t>@angelwjy__</t>
  </si>
  <si>
    <t>@ubaneste</t>
  </si>
  <si>
    <t>@regiinaaptr</t>
  </si>
  <si>
    <t>@angelynne_and</t>
  </si>
  <si>
    <t>@adeliaazzahra97</t>
  </si>
  <si>
    <t>@reginagitta</t>
  </si>
  <si>
    <t>@alfifanni</t>
  </si>
  <si>
    <t>@reivira.arindhi</t>
  </si>
  <si>
    <t>@ardiansyahgoli_</t>
  </si>
  <si>
    <t>@reni_fi3ani</t>
  </si>
  <si>
    <t>@ashleykantjana</t>
  </si>
  <si>
    <t>@renymdh</t>
  </si>
  <si>
    <t>@anggifatchur</t>
  </si>
  <si>
    <t>@atharalikhwan</t>
  </si>
  <si>
    <t>@rere_nusaputera</t>
  </si>
  <si>
    <t>@anggii_prdttaa25</t>
  </si>
  <si>
    <t>@destaaaww</t>
  </si>
  <si>
    <t>@retnowindaryani</t>
  </si>
  <si>
    <t>@anggraini_lilik</t>
  </si>
  <si>
    <t>@djasminesoraya</t>
  </si>
  <si>
    <t>@reyfifitri</t>
  </si>
  <si>
    <t>@angie.marella</t>
  </si>
  <si>
    <t>@ellenterrence</t>
  </si>
  <si>
    <t>@rezaamitap</t>
  </si>
  <si>
    <t>@anidyanti_</t>
  </si>
  <si>
    <t>@fanny_angelique</t>
  </si>
  <si>
    <t>@riiska.khaa</t>
  </si>
  <si>
    <t>@anidyanti__</t>
  </si>
  <si>
    <t>@febignwn</t>
  </si>
  <si>
    <t>@rikachimoy</t>
  </si>
  <si>
    <t>@aniinkunnin</t>
  </si>
  <si>
    <t>@inihenny</t>
  </si>
  <si>
    <t>@rikaistiqomah05</t>
  </si>
  <si>
    <t>@anindietazhra</t>
  </si>
  <si>
    <t>@intansukmautami</t>
  </si>
  <si>
    <t>@riskiiiku_</t>
  </si>
  <si>
    <t>@mariasteffigunadi</t>
  </si>
  <si>
    <t>@rittaahandayanii</t>
  </si>
  <si>
    <t>@marzcheese</t>
  </si>
  <si>
    <t>@rivie_baverly</t>
  </si>
  <si>
    <t>@anisaaryant</t>
  </si>
  <si>
    <t>@powerslidebrand</t>
  </si>
  <si>
    <t>@rizhaa</t>
  </si>
  <si>
    <t>@randikanurmauli</t>
  </si>
  <si>
    <t>@rizkinadyaputri</t>
  </si>
  <si>
    <t>@anisahijriani</t>
  </si>
  <si>
    <t>@riltrian</t>
  </si>
  <si>
    <t>@rizkyamelia019</t>
  </si>
  <si>
    <t>@anisatswn</t>
  </si>
  <si>
    <t>@rosita_mehrunisa1212</t>
  </si>
  <si>
    <t>@rizma.vhee_</t>
  </si>
  <si>
    <t>@anisawesome_</t>
  </si>
  <si>
    <t>@skevinooc</t>
  </si>
  <si>
    <t>@rjesyakira</t>
  </si>
  <si>
    <t>@anisyaaasiddik</t>
  </si>
  <si>
    <t>@suwantoasennn</t>
  </si>
  <si>
    <t>@rkhaa_marline</t>
  </si>
  <si>
    <t>@anitacindhy</t>
  </si>
  <si>
    <t>@tommy.utomoo</t>
  </si>
  <si>
    <t>@roedyeina</t>
  </si>
  <si>
    <t>@zoaai</t>
  </si>
  <si>
    <t>@rraxxq</t>
  </si>
  <si>
    <t>@anjaneeeyy</t>
  </si>
  <si>
    <t>@arfanafiif</t>
  </si>
  <si>
    <t>@rumahbeevi</t>
  </si>
  <si>
    <t>@babylea_genevieve</t>
  </si>
  <si>
    <t>@ruro_kim</t>
  </si>
  <si>
    <t>@ankeardine</t>
  </si>
  <si>
    <t>@cessy_dr</t>
  </si>
  <si>
    <t>@ryanadewis</t>
  </si>
  <si>
    <t>@annaannisaa</t>
  </si>
  <si>
    <t>@deenish_20</t>
  </si>
  <si>
    <t>@ryanury</t>
  </si>
  <si>
    <t>@annapulupulu</t>
  </si>
  <si>
    <t>@dhian_setyarini</t>
  </si>
  <si>
    <t>@saaelisaasaaa</t>
  </si>
  <si>
    <t>@febryantieby</t>
  </si>
  <si>
    <t>@sairetthahutagalung</t>
  </si>
  <si>
    <t>@annesarita93</t>
  </si>
  <si>
    <t>@indahmegaa</t>
  </si>
  <si>
    <t>@salyoroselin</t>
  </si>
  <si>
    <t>@sandrachane</t>
  </si>
  <si>
    <t>@anneseptiaa</t>
  </si>
  <si>
    <t>@santiuwey</t>
  </si>
  <si>
    <t>@annetteyules</t>
  </si>
  <si>
    <t>@muhammadfahrul_</t>
  </si>
  <si>
    <t>@sapipoooy</t>
  </si>
  <si>
    <t>@annisahavni</t>
  </si>
  <si>
    <t>@naftaliangel_miracle</t>
  </si>
  <si>
    <t>@sarahzahrahhh</t>
  </si>
  <si>
    <t>@raditya_dika</t>
  </si>
  <si>
    <t>@selepy_agustin</t>
  </si>
  <si>
    <t>@annisakhoirinaa</t>
  </si>
  <si>
    <t>@revdy</t>
  </si>
  <si>
    <t>@selieffendy</t>
  </si>
  <si>
    <t>@annisanisnoy_</t>
  </si>
  <si>
    <t>@rizkaamelya_</t>
  </si>
  <si>
    <t>@septiyanah93</t>
  </si>
  <si>
    <t>@annisapuspitaz</t>
  </si>
  <si>
    <t>@sitimasth_</t>
  </si>
  <si>
    <t>@sfnnauliaa_</t>
  </si>
  <si>
    <t>@anothersalsu</t>
  </si>
  <si>
    <t>@shahnaz204</t>
  </si>
  <si>
    <t>@anyen_huang</t>
  </si>
  <si>
    <t>@shasazhania</t>
  </si>
  <si>
    <t>@aoelija</t>
  </si>
  <si>
    <t>@vae_tobing97</t>
  </si>
  <si>
    <t>@sheilaayata</t>
  </si>
  <si>
    <t>@aphrodite.glow</t>
  </si>
  <si>
    <t>@wilona_asheera92</t>
  </si>
  <si>
    <t>@shendaputri</t>
  </si>
  <si>
    <t>@aprilia_fitri2604</t>
  </si>
  <si>
    <t>@_jamesadam_</t>
  </si>
  <si>
    <t>@sheput_</t>
  </si>
  <si>
    <t>@asti_geboy</t>
  </si>
  <si>
    <t>@sindyafrillia_</t>
  </si>
  <si>
    <t>@apriliafitri75</t>
  </si>
  <si>
    <t>@attiusandrw</t>
  </si>
  <si>
    <t>@sisila.z</t>
  </si>
  <si>
    <t>@aprilistyadara</t>
  </si>
  <si>
    <t>@ceciliafrntk</t>
  </si>
  <si>
    <t>@siskaswrd</t>
  </si>
  <si>
    <t>@aprillyzasalmaa</t>
  </si>
  <si>
    <t>@fangs_kezia</t>
  </si>
  <si>
    <t>@sitiyayanf</t>
  </si>
  <si>
    <t>@apt.sintaaprilianas</t>
  </si>
  <si>
    <t>@infokabupatenbogor</t>
  </si>
  <si>
    <t>@sobatpukat</t>
  </si>
  <si>
    <t>@aqeela.neirasha</t>
  </si>
  <si>
    <t>@ismatuilan</t>
  </si>
  <si>
    <t>@soekaraja_</t>
  </si>
  <si>
    <t>@aqeelaaz_</t>
  </si>
  <si>
    <t>@jennangelina_</t>
  </si>
  <si>
    <t>@sselynaa</t>
  </si>
  <si>
    <t>@araarafia</t>
  </si>
  <si>
    <t>@stellaprita</t>
  </si>
  <si>
    <t>@arabpakez</t>
  </si>
  <si>
    <t>@stepjeje</t>
  </si>
  <si>
    <t>@archieyevia</t>
  </si>
  <si>
    <t>@mahdarayy</t>
  </si>
  <si>
    <t>@sucii1202</t>
  </si>
  <si>
    <t>@ardan_achsya</t>
  </si>
  <si>
    <t>@melina_lyn</t>
  </si>
  <si>
    <t>@suciirestiipertiwii</t>
  </si>
  <si>
    <t>@ardellnab</t>
  </si>
  <si>
    <t>@okywulandarii</t>
  </si>
  <si>
    <t>@suniiiy_</t>
  </si>
  <si>
    <t>@ardfoodie</t>
  </si>
  <si>
    <t>@ovieekaoru</t>
  </si>
  <si>
    <t>@susisinta</t>
  </si>
  <si>
    <t>@ardikatamps</t>
  </si>
  <si>
    <t>@syakhyahzanullutfian</t>
  </si>
  <si>
    <t>@ardipocen</t>
  </si>
  <si>
    <t>@syamilahhouse</t>
  </si>
  <si>
    <t>@arena.fakta</t>
  </si>
  <si>
    <t>@szcaalghofur</t>
  </si>
  <si>
    <t>@sytami15</t>
  </si>
  <si>
    <t>@tangsel.info</t>
  </si>
  <si>
    <t>@taslinah</t>
  </si>
  <si>
    <t>@arin_an28</t>
  </si>
  <si>
    <t>@tata_early</t>
  </si>
  <si>
    <t>@tasya.caa</t>
  </si>
  <si>
    <t>@arin2408_ar</t>
  </si>
  <si>
    <t>@theaven1802</t>
  </si>
  <si>
    <t>@tasyaaneke</t>
  </si>
  <si>
    <t>@arindapuy</t>
  </si>
  <si>
    <t>@tebyharun</t>
  </si>
  <si>
    <t>@arindyoktar</t>
  </si>
  <si>
    <t>@vanessachrst</t>
  </si>
  <si>
    <t>@teh_dinil</t>
  </si>
  <si>
    <t>@arinfaala18</t>
  </si>
  <si>
    <t>@vera_ratasya</t>
  </si>
  <si>
    <t>@tica_pramesty</t>
  </si>
  <si>
    <t>@ariwidyasari6</t>
  </si>
  <si>
    <t>@volix.media</t>
  </si>
  <si>
    <t>@tri_asics</t>
  </si>
  <si>
    <t>@arkamlee</t>
  </si>
  <si>
    <t>@anatakirana</t>
  </si>
  <si>
    <t>@triayulaksana</t>
  </si>
  <si>
    <t>@arashimalya</t>
  </si>
  <si>
    <t>@tyaslidyarusdiantoro</t>
  </si>
  <si>
    <t>@armalinaa</t>
  </si>
  <si>
    <t>@bellprist</t>
  </si>
  <si>
    <t>@uchyea</t>
  </si>
  <si>
    <t>@arnettaauriella</t>
  </si>
  <si>
    <t>@edeline.vk</t>
  </si>
  <si>
    <t>@ulfahoktavianiii</t>
  </si>
  <si>
    <t>@arrianar</t>
  </si>
  <si>
    <t>@harveyanthonius</t>
  </si>
  <si>
    <t>@ulfahzahrotinnisa</t>
  </si>
  <si>
    <t>@hijrahfest</t>
  </si>
  <si>
    <t>@unayumna</t>
  </si>
  <si>
    <t>@arstaaats</t>
  </si>
  <si>
    <t>@irma_miranti</t>
  </si>
  <si>
    <t>@unclemayk</t>
  </si>
  <si>
    <t>@arthaadaa</t>
  </si>
  <si>
    <t>@itsjesselin</t>
  </si>
  <si>
    <t>@vaiqelizza</t>
  </si>
  <si>
    <t>@jesicalin_</t>
  </si>
  <si>
    <t>@valent_cynthia</t>
  </si>
  <si>
    <t>@arynnuna_</t>
  </si>
  <si>
    <t>@litanurlitaf</t>
  </si>
  <si>
    <t>@vannynrs</t>
  </si>
  <si>
    <t>@asa.hsnh</t>
  </si>
  <si>
    <t>@veraa_h_p</t>
  </si>
  <si>
    <t>@asam.manis.kehidupan</t>
  </si>
  <si>
    <t>@oceljoycelyn</t>
  </si>
  <si>
    <t>@verenvalenciaa</t>
  </si>
  <si>
    <t>@asetianingtyas</t>
  </si>
  <si>
    <t>@veronicaavrill21</t>
  </si>
  <si>
    <t>@ashaaye</t>
  </si>
  <si>
    <t>@ritarichie_</t>
  </si>
  <si>
    <t>@victdewi</t>
  </si>
  <si>
    <t>@ashafiranatasya</t>
  </si>
  <si>
    <t>@vindynaisya</t>
  </si>
  <si>
    <t>@asni.w.arsyad</t>
  </si>
  <si>
    <t>@taniaatnt</t>
  </si>
  <si>
    <t>@vionawinargo</t>
  </si>
  <si>
    <t>@asrnto_2</t>
  </si>
  <si>
    <t>@veveyen_</t>
  </si>
  <si>
    <t>@viozulistia</t>
  </si>
  <si>
    <t>@assyifaa26_</t>
  </si>
  <si>
    <t>@zalfanadhira</t>
  </si>
  <si>
    <t>@vyen92</t>
  </si>
  <si>
    <t>@adistyrnii_</t>
  </si>
  <si>
    <t>@wardah_yns</t>
  </si>
  <si>
    <t>@asyeraamajesti</t>
  </si>
  <si>
    <t>@anisahijr</t>
  </si>
  <si>
    <t>@wardahasyarqiyah_</t>
  </si>
  <si>
    <t>@asyla_r</t>
  </si>
  <si>
    <t>@bang__ashim</t>
  </si>
  <si>
    <t>@wddy.s</t>
  </si>
  <si>
    <t>@bizzlexo</t>
  </si>
  <si>
    <t>@whinainti</t>
  </si>
  <si>
    <t>@bogor.terkini</t>
  </si>
  <si>
    <t>@widdamahesh03</t>
  </si>
  <si>
    <t>@atmosfour</t>
  </si>
  <si>
    <t>@carolinataliia</t>
  </si>
  <si>
    <t>@wiji95</t>
  </si>
  <si>
    <t>@ceninin</t>
  </si>
  <si>
    <t>@wijjer_</t>
  </si>
  <si>
    <t>@audifzn</t>
  </si>
  <si>
    <t>@clarice.emerald</t>
  </si>
  <si>
    <t>@windi_budiharti</t>
  </si>
  <si>
    <t>@augstne95</t>
  </si>
  <si>
    <t>@dayangprtiwi</t>
  </si>
  <si>
    <t>@windyrismaa</t>
  </si>
  <si>
    <t>@dee_vanz</t>
  </si>
  <si>
    <t>@withnisalia</t>
  </si>
  <si>
    <t>@aulia.nrz</t>
  </si>
  <si>
    <t>@delmiraprabu</t>
  </si>
  <si>
    <t>@yandigsa</t>
  </si>
  <si>
    <t>@auliaaaku_</t>
  </si>
  <si>
    <t>@depok24jam</t>
  </si>
  <si>
    <t>@yaninaayu</t>
  </si>
  <si>
    <t>@elysia_tania</t>
  </si>
  <si>
    <t>@yeni_setiyawati</t>
  </si>
  <si>
    <t>@auliamj</t>
  </si>
  <si>
    <t>@ibupedia_id</t>
  </si>
  <si>
    <t>@yenifarida93</t>
  </si>
  <si>
    <t>@aulianuzl</t>
  </si>
  <si>
    <t>@ig.syipaanr</t>
  </si>
  <si>
    <t>@yenirahma44</t>
  </si>
  <si>
    <t>@auraa.ths</t>
  </si>
  <si>
    <t>@info.jakartabarat</t>
  </si>
  <si>
    <t>@yennigow</t>
  </si>
  <si>
    <t>@austeniche</t>
  </si>
  <si>
    <t>@infotangerang.id</t>
  </si>
  <si>
    <t>@ysmnlbs</t>
  </si>
  <si>
    <t>@austinkohandfamily</t>
  </si>
  <si>
    <t>@jakartasiana</t>
  </si>
  <si>
    <t>@yuanita_aaa</t>
  </si>
  <si>
    <t>@averylss</t>
  </si>
  <si>
    <t>@justrismaa</t>
  </si>
  <si>
    <t>@yulianarnengtyas</t>
  </si>
  <si>
    <t>@awaleeyaa</t>
  </si>
  <si>
    <t>@lita.chan</t>
  </si>
  <si>
    <t>@yuniiapr</t>
  </si>
  <si>
    <t>@awl.ya</t>
  </si>
  <si>
    <t>@mfchaca</t>
  </si>
  <si>
    <t>@yunitanitaps</t>
  </si>
  <si>
    <t>@axplicit</t>
  </si>
  <si>
    <t>@moms_cia</t>
  </si>
  <si>
    <t>@zulherman_fm</t>
  </si>
  <si>
    <t>@phonayzanethaa</t>
  </si>
  <si>
    <t>@ayachoiriyah</t>
  </si>
  <si>
    <t>@ranyoomi</t>
  </si>
  <si>
    <t>@dennyalfary</t>
  </si>
  <si>
    <t>@ayamnyapahaatas</t>
  </si>
  <si>
    <t>@risasabilla_</t>
  </si>
  <si>
    <t>@ewihyy</t>
  </si>
  <si>
    <t>@rollerblade</t>
  </si>
  <si>
    <t>@ayudiie</t>
  </si>
  <si>
    <t>@shellayang</t>
  </si>
  <si>
    <t>@feliciatyrenz</t>
  </si>
  <si>
    <t>@ayukppip</t>
  </si>
  <si>
    <t>@tangerang.terkini</t>
  </si>
  <si>
    <t>@undercover.id</t>
  </si>
  <si>
    <t>@lahisyaghaysani</t>
  </si>
  <si>
    <t>@ayumikuu</t>
  </si>
  <si>
    <t>@wivina_fauzya</t>
  </si>
  <si>
    <t>@ayundash_</t>
  </si>
  <si>
    <t>@wr.gusnari</t>
  </si>
  <si>
    <t>@nadiyarawil</t>
  </si>
  <si>
    <t>@zalfanadhiraa</t>
  </si>
  <si>
    <t>@silvia_ratu</t>
  </si>
  <si>
    <t>@ayuni_reftalina</t>
  </si>
  <si>
    <t>@deeana_05</t>
  </si>
  <si>
    <t>@yuristissia</t>
  </si>
  <si>
    <t>@ayunoor.a</t>
  </si>
  <si>
    <t>@gracious_my</t>
  </si>
  <si>
    <t>@ayuvidh</t>
  </si>
  <si>
    <t>@ikkaprashee</t>
  </si>
  <si>
    <t>@indozone.id</t>
  </si>
  <si>
    <t>@azahhrr</t>
  </si>
  <si>
    <t>@jabodetabek.terkini</t>
  </si>
  <si>
    <t>@bilasuryanto</t>
  </si>
  <si>
    <t>@azahrahf</t>
  </si>
  <si>
    <t>@jenongtiktok</t>
  </si>
  <si>
    <t>@azaleapute</t>
  </si>
  <si>
    <t>@kinesgamers</t>
  </si>
  <si>
    <t>@azaliyaay</t>
  </si>
  <si>
    <t>@nadi_ngopi</t>
  </si>
  <si>
    <t>@putryjeje</t>
  </si>
  <si>
    <t>@aziz_syaputra</t>
  </si>
  <si>
    <t>@naura_nca</t>
  </si>
  <si>
    <t>@raniashafira</t>
  </si>
  <si>
    <t>@azizahsalshaa</t>
  </si>
  <si>
    <t>@onya210</t>
  </si>
  <si>
    <t>@rachmamalia</t>
  </si>
  <si>
    <t>@anisaframita</t>
  </si>
  <si>
    <t>@store.kdi</t>
  </si>
  <si>
    <t>@azmannis</t>
  </si>
  <si>
    <t>@tasyadinikafajar3</t>
  </si>
  <si>
    <t>@temanbumil</t>
  </si>
  <si>
    <t>@cittaf</t>
  </si>
  <si>
    <t>@azzahra.09_</t>
  </si>
  <si>
    <t>@wendyodixius</t>
  </si>
  <si>
    <t>@dewi.jalal</t>
  </si>
  <si>
    <t>@babygfw</t>
  </si>
  <si>
    <t>@andreadianbimo</t>
  </si>
  <si>
    <t>@dinshabina</t>
  </si>
  <si>
    <t>@babyzoezie</t>
  </si>
  <si>
    <t>@david_rizal</t>
  </si>
  <si>
    <t>@eyuliarita</t>
  </si>
  <si>
    <t>@ekasriwahyni</t>
  </si>
  <si>
    <t>@badlanbamon</t>
  </si>
  <si>
    <t>@ibra.berkisah</t>
  </si>
  <si>
    <t>@baihakidisini</t>
  </si>
  <si>
    <t>@rinda_farhan</t>
  </si>
  <si>
    <t>@balitravelfolder</t>
  </si>
  <si>
    <t>@bangadiho</t>
  </si>
  <si>
    <t>@dianps2509</t>
  </si>
  <si>
    <t>@bangbaud_</t>
  </si>
  <si>
    <t>@febestari</t>
  </si>
  <si>
    <t>@mitareny</t>
  </si>
  <si>
    <t>@bangkikis</t>
  </si>
  <si>
    <t>@media.virals</t>
  </si>
  <si>
    <t>@barokmk</t>
  </si>
  <si>
    <t>@melisa.josiah</t>
  </si>
  <si>
    <t>@raniazzhr</t>
  </si>
  <si>
    <t>@baru_punya_mobil</t>
  </si>
  <si>
    <t>@monethmona</t>
  </si>
  <si>
    <t>@nadianinette</t>
  </si>
  <si>
    <t>@bayusimerah</t>
  </si>
  <si>
    <t>@bbyjiangell_</t>
  </si>
  <si>
    <t>@calistacherrie</t>
  </si>
  <si>
    <t>@syaharanieptr</t>
  </si>
  <si>
    <t>@bbyndaa27</t>
  </si>
  <si>
    <t>@claudia.yycin</t>
  </si>
  <si>
    <t>@be__ce</t>
  </si>
  <si>
    <t>@febbyrastanty</t>
  </si>
  <si>
    <t>@adit_insomnia</t>
  </si>
  <si>
    <t>@bebyenyen</t>
  </si>
  <si>
    <t>@kiaraleswara</t>
  </si>
  <si>
    <t>@bebyocha99</t>
  </si>
  <si>
    <t>@tarnandoete</t>
  </si>
  <si>
    <t>@andinih.erlangga</t>
  </si>
  <si>
    <t>@biila___</t>
  </si>
  <si>
    <t>@beebiancaa</t>
  </si>
  <si>
    <t>@martinaahuang</t>
  </si>
  <si>
    <t>@bondol.jpg</t>
  </si>
  <si>
    <t>@belayaaaaa_</t>
  </si>
  <si>
    <t>@ratnatita</t>
  </si>
  <si>
    <t>@callin_lim</t>
  </si>
  <si>
    <t>@bellamarthasari18</t>
  </si>
  <si>
    <t>@sasyashena</t>
  </si>
  <si>
    <t>@belzelvel</t>
  </si>
  <si>
    <t>@ben.onix</t>
  </si>
  <si>
    <t>@dwitakdewii</t>
  </si>
  <si>
    <t>@bepeeekk</t>
  </si>
  <si>
    <t>@deliciousbali</t>
  </si>
  <si>
    <t>@beritaindonesia____</t>
  </si>
  <si>
    <t>@justvita28</t>
  </si>
  <si>
    <t>@puputmitha_</t>
  </si>
  <si>
    <t>@amyasriv</t>
  </si>
  <si>
    <t>@bestiebelin</t>
  </si>
  <si>
    <t>@scepynun</t>
  </si>
  <si>
    <t>@azizahannah</t>
  </si>
  <si>
    <t>@bforbilee</t>
  </si>
  <si>
    <t>@tellaaa09</t>
  </si>
  <si>
    <t>@bebyneyra</t>
  </si>
  <si>
    <t>@bgsjava</t>
  </si>
  <si>
    <t>@kumpulanresepmasak</t>
  </si>
  <si>
    <t>@bianca_maura_filia</t>
  </si>
  <si>
    <t>@siresepbunda</t>
  </si>
  <si>
    <t>@bibulbib</t>
  </si>
  <si>
    <t>@erlina.ayu</t>
  </si>
  <si>
    <t>@faaarm.z</t>
  </si>
  <si>
    <t>@bidandewigurniingjambi</t>
  </si>
  <si>
    <t>@khadziyah_</t>
  </si>
  <si>
    <t>@bidarakirana</t>
  </si>
  <si>
    <t>@biiittaa</t>
  </si>
  <si>
    <t>@bil.lasyabilla</t>
  </si>
  <si>
    <t>@nsf_82</t>
  </si>
  <si>
    <t>@bilalfadh</t>
  </si>
  <si>
    <t>@bilbawazier</t>
  </si>
  <si>
    <t>@billaazz</t>
  </si>
  <si>
    <t>@binar_tika</t>
  </si>
  <si>
    <t>@bintangmaretta</t>
  </si>
  <si>
    <t>@uchiruhendi</t>
  </si>
  <si>
    <t>@bitcj4lyf</t>
  </si>
  <si>
    <t>@_ameliatriani</t>
  </si>
  <si>
    <t>@bitpply</t>
  </si>
  <si>
    <t>@_ifa.sl</t>
  </si>
  <si>
    <t>@bixxy.chan</t>
  </si>
  <si>
    <t>@20.atim</t>
  </si>
  <si>
    <t>@a.nasrahma</t>
  </si>
  <si>
    <t>@bloginnara</t>
  </si>
  <si>
    <t>@addindaputri</t>
  </si>
  <si>
    <t>@boahancuk</t>
  </si>
  <si>
    <t>@adeaclaudiagunawan</t>
  </si>
  <si>
    <t>@bobahidup</t>
  </si>
  <si>
    <t>@adelastfriend</t>
  </si>
  <si>
    <t>@bobbysaputraaaa</t>
  </si>
  <si>
    <t>@adhis_lilstar</t>
  </si>
  <si>
    <t>@bobysuardii</t>
  </si>
  <si>
    <t>@adindadwa</t>
  </si>
  <si>
    <t>@bonbineu</t>
  </si>
  <si>
    <t>@agrilisaafinta</t>
  </si>
  <si>
    <t>@borukukuss</t>
  </si>
  <si>
    <t>@ai.aisia</t>
  </si>
  <si>
    <t>@bosenajadirumah</t>
  </si>
  <si>
    <t>@ain_chaariro</t>
  </si>
  <si>
    <t>@botakteras</t>
  </si>
  <si>
    <t>@aishinda25_</t>
  </si>
  <si>
    <t>@brendashahnaz</t>
  </si>
  <si>
    <t>@ajenglarasaty8039</t>
  </si>
  <si>
    <t>@breobreyen</t>
  </si>
  <si>
    <t>@ajengshinshin</t>
  </si>
  <si>
    <t>@akuumii_94</t>
  </si>
  <si>
    <t>@brrybluee</t>
  </si>
  <si>
    <t>@alfianalfarisqy</t>
  </si>
  <si>
    <t>@brutalkidz</t>
  </si>
  <si>
    <t>@alicesanie</t>
  </si>
  <si>
    <t>@bschristy</t>
  </si>
  <si>
    <t>@alxndra.britney</t>
  </si>
  <si>
    <t>@bukanalicia</t>
  </si>
  <si>
    <t>@amaliafebriyana</t>
  </si>
  <si>
    <t>@bukancecil</t>
  </si>
  <si>
    <t>@amandania922</t>
  </si>
  <si>
    <t>@bukanmemels</t>
  </si>
  <si>
    <t>@ambrrni</t>
  </si>
  <si>
    <t>@bukanodef</t>
  </si>
  <si>
    <t>@amelindah.is</t>
  </si>
  <si>
    <t>@amy.gendhis</t>
  </si>
  <si>
    <t>@bulebuaran</t>
  </si>
  <si>
    <t>@anaagustinp</t>
  </si>
  <si>
    <t>@anasparhasian</t>
  </si>
  <si>
    <t>@bundaarsya_</t>
  </si>
  <si>
    <t>@andinamerrysagita</t>
  </si>
  <si>
    <t>@bundakuwe</t>
  </si>
  <si>
    <t>@andindseptina</t>
  </si>
  <si>
    <t>@bunga_ardina</t>
  </si>
  <si>
    <t>@andrianilm</t>
  </si>
  <si>
    <t>@bungaaayu</t>
  </si>
  <si>
    <t>@angelicamarietta</t>
  </si>
  <si>
    <t>@bungaadnda2</t>
  </si>
  <si>
    <t>@anggie_ira</t>
  </si>
  <si>
    <t>@burr.11</t>
  </si>
  <si>
    <t>@anggrayunita</t>
  </si>
  <si>
    <t>@bylodlia</t>
  </si>
  <si>
    <t>@anggun_sanisa_ms</t>
  </si>
  <si>
    <t>@cacaaantiksss_</t>
  </si>
  <si>
    <t>@anikwulan95</t>
  </si>
  <si>
    <t>@anisthesiahuda</t>
  </si>
  <si>
    <t>@caesadhanisa</t>
  </si>
  <si>
    <t>@anitadwi.handayani</t>
  </si>
  <si>
    <t>@cahayahikmaa</t>
  </si>
  <si>
    <t>@anna.wulandari</t>
  </si>
  <si>
    <t>@annaanggunf</t>
  </si>
  <si>
    <t>@callmealh</t>
  </si>
  <si>
    <t>@annanakesya</t>
  </si>
  <si>
    <t>@campervangirl01</t>
  </si>
  <si>
    <t>@annisarisnasari</t>
  </si>
  <si>
    <t>@canduncan</t>
  </si>
  <si>
    <t>@candyelina_</t>
  </si>
  <si>
    <t>@ariyanipe</t>
  </si>
  <si>
    <t>@cantikaaacn</t>
  </si>
  <si>
    <t>@arofah_24</t>
  </si>
  <si>
    <t>@arum.triw</t>
  </si>
  <si>
    <t>@cantykaf</t>
  </si>
  <si>
    <t>@arumi_andhara</t>
  </si>
  <si>
    <t>@caramellina07</t>
  </si>
  <si>
    <t>@atikahhermani</t>
  </si>
  <si>
    <t>@carizqa</t>
  </si>
  <si>
    <t>@auliaarosyid</t>
  </si>
  <si>
    <t>@auliaaseptiani</t>
  </si>
  <si>
    <t>@catleaoktaviana</t>
  </si>
  <si>
    <t>@awulaans</t>
  </si>
  <si>
    <t>@ayu_bahari03</t>
  </si>
  <si>
    <t>@ceceyolanda26</t>
  </si>
  <si>
    <t>@ayuku1234</t>
  </si>
  <si>
    <t>@ceer.iaa</t>
  </si>
  <si>
    <t>@ayutrianah.d</t>
  </si>
  <si>
    <t>@cellajt</t>
  </si>
  <si>
    <t>@azxrne</t>
  </si>
  <si>
    <t>@cels_73</t>
  </si>
  <si>
    <t>@bahaghiya</t>
  </si>
  <si>
    <t>@celviin__</t>
  </si>
  <si>
    <t>@bd_yanis</t>
  </si>
  <si>
    <t>@ceritanyaangel</t>
  </si>
  <si>
    <t>@bunda_erhan_rafisqy</t>
  </si>
  <si>
    <t>@cete.r</t>
  </si>
  <si>
    <t>@bunda_oftwo</t>
  </si>
  <si>
    <t>@chacuuuu</t>
  </si>
  <si>
    <t>@bundaqueensha26</t>
  </si>
  <si>
    <t>@chairina_bawazir</t>
  </si>
  <si>
    <t>@chala...sw</t>
  </si>
  <si>
    <t>@callmeastri</t>
  </si>
  <si>
    <t>@chaltenciptadi</t>
  </si>
  <si>
    <t>@cchooxx</t>
  </si>
  <si>
    <t>@chaerunnisa_imr</t>
  </si>
  <si>
    <t>@chytraanggraeni</t>
  </si>
  <si>
    <t>@chanzliap</t>
  </si>
  <si>
    <t>@cicinviaa_</t>
  </si>
  <si>
    <t>@chaoticri0t</t>
  </si>
  <si>
    <t>@cindy_nanlohy</t>
  </si>
  <si>
    <t>@cio.uhay</t>
  </si>
  <si>
    <t>@chels_kris</t>
  </si>
  <si>
    <t>@clarinapriliap</t>
  </si>
  <si>
    <t>@chelsheaflo</t>
  </si>
  <si>
    <t>@clay.cliff.hartono</t>
  </si>
  <si>
    <t>@chenyamelia_</t>
  </si>
  <si>
    <t>@cnycp_</t>
  </si>
  <si>
    <t>@cheverlakelsey10</t>
  </si>
  <si>
    <t>@crismafh</t>
  </si>
  <si>
    <t>@dameriagullo</t>
  </si>
  <si>
    <t>@chielvyy</t>
  </si>
  <si>
    <t>@danialyaa_</t>
  </si>
  <si>
    <t>@chienadya</t>
  </si>
  <si>
    <t>@datikk</t>
  </si>
  <si>
    <t>@chika_rossa</t>
  </si>
  <si>
    <t>@deavalenta</t>
  </si>
  <si>
    <t>@chikajssca</t>
  </si>
  <si>
    <t>@deeassyy</t>
  </si>
  <si>
    <t>@chillaaa03</t>
  </si>
  <si>
    <t>@delladelnr</t>
  </si>
  <si>
    <t>@chintiaerwin</t>
  </si>
  <si>
    <t>@dessiapriliya</t>
  </si>
  <si>
    <t>@chintya.cn</t>
  </si>
  <si>
    <t>@dewantidini</t>
  </si>
  <si>
    <t>@christanedison</t>
  </si>
  <si>
    <t>@dewi.utamisari</t>
  </si>
  <si>
    <t>@christea.finds</t>
  </si>
  <si>
    <t>@dewi13247484</t>
  </si>
  <si>
    <t>@christianvns</t>
  </si>
  <si>
    <t>@dheeaana</t>
  </si>
  <si>
    <t>@christinebe.sidabalok</t>
  </si>
  <si>
    <t>@dhiajengskhodijah</t>
  </si>
  <si>
    <t>@dhitaoktaputri</t>
  </si>
  <si>
    <t>@cilcecilll</t>
  </si>
  <si>
    <t>@dhyanilyas</t>
  </si>
  <si>
    <t>@cilitami_</t>
  </si>
  <si>
    <t>@dianaikha</t>
  </si>
  <si>
    <t>@cillavioletta</t>
  </si>
  <si>
    <t>@dinacheira</t>
  </si>
  <si>
    <t>@cindy_widy</t>
  </si>
  <si>
    <t>@dindaaaws</t>
  </si>
  <si>
    <t>@cindyalfiann</t>
  </si>
  <si>
    <t>@dita.bundarda</t>
  </si>
  <si>
    <t>@cindyangelpurba</t>
  </si>
  <si>
    <t>@dw.rista</t>
  </si>
  <si>
    <t>@dwikantariii</t>
  </si>
  <si>
    <t>@cindylorenza_00</t>
  </si>
  <si>
    <t>@dwisar17</t>
  </si>
  <si>
    <t>@cindyorchidia</t>
  </si>
  <si>
    <t>@ealindafithry</t>
  </si>
  <si>
    <t>@cino_medhok</t>
  </si>
  <si>
    <t>@ekshanti_oktavia</t>
  </si>
  <si>
    <t>@cintacindys</t>
  </si>
  <si>
    <t>@elkajuwita</t>
  </si>
  <si>
    <t>@cintiatan</t>
  </si>
  <si>
    <t>@elya_tami</t>
  </si>
  <si>
    <t>@emakkahiyang</t>
  </si>
  <si>
    <t>@ciputrakunz</t>
  </si>
  <si>
    <t>@eniwinarti</t>
  </si>
  <si>
    <t>@cissss23</t>
  </si>
  <si>
    <t>@epifania_veve</t>
  </si>
  <si>
    <t>@citrasulis19</t>
  </si>
  <si>
    <t>@erika_sammy</t>
  </si>
  <si>
    <t>@citrazaraa</t>
  </si>
  <si>
    <t>@cl_anthonia</t>
  </si>
  <si>
    <t>@faizhaaa</t>
  </si>
  <si>
    <t>@fanghela_30729</t>
  </si>
  <si>
    <t>@clara.krisstiane</t>
  </si>
  <si>
    <t>@farisahsabrinaa</t>
  </si>
  <si>
    <t>@claraagustinn</t>
  </si>
  <si>
    <t>@fdlatri</t>
  </si>
  <si>
    <t>@febikartikadewi</t>
  </si>
  <si>
    <t>@clariceecutie</t>
  </si>
  <si>
    <t>@clarissacmty</t>
  </si>
  <si>
    <t>@fhaaifanm</t>
  </si>
  <si>
    <t>@claudyadona</t>
  </si>
  <si>
    <t>@firdadafiraseptialoka</t>
  </si>
  <si>
    <t>@claycliffhartono</t>
  </si>
  <si>
    <t>@gitapd151</t>
  </si>
  <si>
    <t>@clownofbali</t>
  </si>
  <si>
    <t>@glamalia</t>
  </si>
  <si>
    <t>@coach.rh</t>
  </si>
  <si>
    <t>@great.ej</t>
  </si>
  <si>
    <t>@cokcinta</t>
  </si>
  <si>
    <t>@griya_nurussyifa</t>
  </si>
  <si>
    <t>@gustianatriyani</t>
  </si>
  <si>
    <t>@corneleaparamithaa</t>
  </si>
  <si>
    <t>@handasulistiyo</t>
  </si>
  <si>
    <t>@corneliosantoso</t>
  </si>
  <si>
    <t>@handaynsrii</t>
  </si>
  <si>
    <t>@hefi_paristin</t>
  </si>
  <si>
    <t>@cranbernies</t>
  </si>
  <si>
    <t>@hellondiy</t>
  </si>
  <si>
    <t>@crescentiads</t>
  </si>
  <si>
    <t>@herlinanr</t>
  </si>
  <si>
    <t>@cukiinn_</t>
  </si>
  <si>
    <t>@hestyalvionitaoctavera</t>
  </si>
  <si>
    <t>@cunnul111</t>
  </si>
  <si>
    <t>@hetty_ke</t>
  </si>
  <si>
    <t>@cupcake_dai</t>
  </si>
  <si>
    <t>@hikmahcamelia</t>
  </si>
  <si>
    <t>@cutdibiaa</t>
  </si>
  <si>
    <t>@hilmial12</t>
  </si>
  <si>
    <t>@cutfebrina</t>
  </si>
  <si>
    <t>@hyedetty99</t>
  </si>
  <si>
    <t>@cutnaaa</t>
  </si>
  <si>
    <t>@i.am_belz</t>
  </si>
  <si>
    <t>@cutsalsahency</t>
  </si>
  <si>
    <t>@ic.hie</t>
  </si>
  <si>
    <t>@cyntiayoga</t>
  </si>
  <si>
    <t>@ida_apriliana</t>
  </si>
  <si>
    <t>@d_mutia_putri</t>
  </si>
  <si>
    <t>@idaefrida99</t>
  </si>
  <si>
    <t>@d.cidoriii</t>
  </si>
  <si>
    <t>@ika.ratna.12</t>
  </si>
  <si>
    <t>@ikenj09</t>
  </si>
  <si>
    <t>@daffarizqiyana</t>
  </si>
  <si>
    <t>@illuminareyou</t>
  </si>
  <si>
    <t>@dainlite</t>
  </si>
  <si>
    <t>@im.rikaaa</t>
  </si>
  <si>
    <t>@indira_az</t>
  </si>
  <si>
    <t>@dandeeey</t>
  </si>
  <si>
    <t>@indrimardiana__</t>
  </si>
  <si>
    <t>@danielmanihuruk</t>
  </si>
  <si>
    <t>@inne93</t>
  </si>
  <si>
    <t>@ira.sryni</t>
  </si>
  <si>
    <t>@dapurmamahalfa</t>
  </si>
  <si>
    <t>@jannah.silvia</t>
  </si>
  <si>
    <t>@daraanindhita</t>
  </si>
  <si>
    <t>@joannaanastasia</t>
  </si>
  <si>
    <t>@daraasekar</t>
  </si>
  <si>
    <t>@joe_azizah</t>
  </si>
  <si>
    <t>@davidlie15</t>
  </si>
  <si>
    <t>@juheriah_nurahman</t>
  </si>
  <si>
    <t>@davu_elazar</t>
  </si>
  <si>
    <t>@junibella06</t>
  </si>
  <si>
    <t>@dayy.ayya</t>
  </si>
  <si>
    <t>@karimaassegaf</t>
  </si>
  <si>
    <t>@dccamel</t>
  </si>
  <si>
    <t>@kennyharlen</t>
  </si>
  <si>
    <t>@ddiddiv</t>
  </si>
  <si>
    <t>@kenzkai__</t>
  </si>
  <si>
    <t>@ddimpleee</t>
  </si>
  <si>
    <t>@kethijuliana1</t>
  </si>
  <si>
    <t>@deamanipa</t>
  </si>
  <si>
    <t>@deandramarissi</t>
  </si>
  <si>
    <t>@kimmiraa_</t>
  </si>
  <si>
    <t>@deandriani_</t>
  </si>
  <si>
    <t>@laidaalubis</t>
  </si>
  <si>
    <t>@debyibnuy</t>
  </si>
  <si>
    <t>@laurajunisa27</t>
  </si>
  <si>
    <t>@dedeivori</t>
  </si>
  <si>
    <t>@leavlo</t>
  </si>
  <si>
    <t>@dedesiro815</t>
  </si>
  <si>
    <t>@lelyramdhani.skincare</t>
  </si>
  <si>
    <t>@lia_hrlina</t>
  </si>
  <si>
    <t>@deganduls</t>
  </si>
  <si>
    <t>@lianaabbey</t>
  </si>
  <si>
    <t>@deilanofficial</t>
  </si>
  <si>
    <t>@lidyasalsabillaaa</t>
  </si>
  <si>
    <t>@deira.28</t>
  </si>
  <si>
    <t>@lilyhaniilfani</t>
  </si>
  <si>
    <t>@linda.haqushe</t>
  </si>
  <si>
    <t>@dellamariagracia</t>
  </si>
  <si>
    <t>@lintanggarini</t>
  </si>
  <si>
    <t>@dellamonika19</t>
  </si>
  <si>
    <t>@lisaristya88</t>
  </si>
  <si>
    <t>@deltanrmdny</t>
  </si>
  <si>
    <t>@listiantir28</t>
  </si>
  <si>
    <t>@dena.18</t>
  </si>
  <si>
    <t>@listyanadafys</t>
  </si>
  <si>
    <t>@denaaul</t>
  </si>
  <si>
    <t>@lita.meliana.sihotang</t>
  </si>
  <si>
    <t>@dennielyoesmita</t>
  </si>
  <si>
    <t>@louwysapristiati</t>
  </si>
  <si>
    <t>@dennyskenjiro</t>
  </si>
  <si>
    <t>@luki_female</t>
  </si>
  <si>
    <t>@depok.update</t>
  </si>
  <si>
    <t>@lulukimroatus</t>
  </si>
  <si>
    <t>@deprianthony</t>
  </si>
  <si>
    <t>@lulurahmalinaa_</t>
  </si>
  <si>
    <t>@deri_ardi</t>
  </si>
  <si>
    <t>@makjannahaeyo</t>
  </si>
  <si>
    <t>@derrafuadi</t>
  </si>
  <si>
    <t>@mamaknya.zayn</t>
  </si>
  <si>
    <t>@deshafiira</t>
  </si>
  <si>
    <t>@mamanatira</t>
  </si>
  <si>
    <t>@desidwiyustiani_</t>
  </si>
  <si>
    <t>@mandafuady</t>
  </si>
  <si>
    <t>@desiekasulistyowati</t>
  </si>
  <si>
    <t>@margarethbms</t>
  </si>
  <si>
    <t>@marhezaayu</t>
  </si>
  <si>
    <t>@marlinajourney</t>
  </si>
  <si>
    <t>@desisyaptri</t>
  </si>
  <si>
    <t>@marslilia.kelas</t>
  </si>
  <si>
    <t>@mas.dikaaa</t>
  </si>
  <si>
    <t>@desmiatideudeu</t>
  </si>
  <si>
    <t>@mastikaws</t>
  </si>
  <si>
    <t>@desmonda.devi</t>
  </si>
  <si>
    <t>@mbak.julia</t>
  </si>
  <si>
    <t>@desraawr</t>
  </si>
  <si>
    <t>@mdtobing__</t>
  </si>
  <si>
    <t>@dessiinatalia</t>
  </si>
  <si>
    <t>@megaawd</t>
  </si>
  <si>
    <t>@meighayudyh</t>
  </si>
  <si>
    <t>@dessydyl</t>
  </si>
  <si>
    <t>@michavier_instag</t>
  </si>
  <si>
    <t>@dessykarinalestari</t>
  </si>
  <si>
    <t>@momysisiel</t>
  </si>
  <si>
    <t>@dessytsr_</t>
  </si>
  <si>
    <t>@mrs.italyono</t>
  </si>
  <si>
    <t>@destianti5</t>
  </si>
  <si>
    <t>@mrsniaaaa___</t>
  </si>
  <si>
    <t>@destyamiq</t>
  </si>
  <si>
    <t>@mrsvitasyifa</t>
  </si>
  <si>
    <t>@mukti.agt</t>
  </si>
  <si>
    <t>@desyaris.ayzara</t>
  </si>
  <si>
    <t>@nabilaaprln</t>
  </si>
  <si>
    <t>@detalinalviza_</t>
  </si>
  <si>
    <t>@naddy234</t>
  </si>
  <si>
    <t>@nadiaerlinia20</t>
  </si>
  <si>
    <t>@devinasusantoo</t>
  </si>
  <si>
    <t>@nadianst16</t>
  </si>
  <si>
    <t>@nadinamizah.id</t>
  </si>
  <si>
    <t>@dewi_defor</t>
  </si>
  <si>
    <t>@nanidiansofiana</t>
  </si>
  <si>
    <t>@nara_elfreda</t>
  </si>
  <si>
    <t>@naura_anandaputri</t>
  </si>
  <si>
    <t>@dewiirmayanti30</t>
  </si>
  <si>
    <t>@nazla_hani</t>
  </si>
  <si>
    <t>@neenengtv</t>
  </si>
  <si>
    <t>@dfriza_</t>
  </si>
  <si>
    <t>@nengsepty_</t>
  </si>
  <si>
    <t>@dhannicha</t>
  </si>
  <si>
    <t>@ni.kadekrai</t>
  </si>
  <si>
    <t>@dheadelavega</t>
  </si>
  <si>
    <t>@nickittaiskandar</t>
  </si>
  <si>
    <t>@dheafeb</t>
  </si>
  <si>
    <t>@nina.alfa</t>
  </si>
  <si>
    <t>@dheofauzi</t>
  </si>
  <si>
    <t>@ninna_linggasari</t>
  </si>
  <si>
    <t>@dheryamonicc</t>
  </si>
  <si>
    <t>@nisanichan31</t>
  </si>
  <si>
    <t>@novanan</t>
  </si>
  <si>
    <t>@nurfadhilahlaia18</t>
  </si>
  <si>
    <t>@dhiomahesaa_07</t>
  </si>
  <si>
    <t>@nuri_nurpurwaningsih</t>
  </si>
  <si>
    <t>@nurulwidiyanti18</t>
  </si>
  <si>
    <t>@dhonet</t>
  </si>
  <si>
    <t>@nyuzhella_mahasetia</t>
  </si>
  <si>
    <t>@diahayuaryn_</t>
  </si>
  <si>
    <t>@oei_lanlan</t>
  </si>
  <si>
    <t>@official.barbienouva</t>
  </si>
  <si>
    <t>@diahrosanti82</t>
  </si>
  <si>
    <t>@olyvia_kerin</t>
  </si>
  <si>
    <t>@diana_vianiii</t>
  </si>
  <si>
    <t>@on.ly.hom</t>
  </si>
  <si>
    <t>@panggilvanyaja</t>
  </si>
  <si>
    <t>@diancagrcl</t>
  </si>
  <si>
    <t>@pebrianti_ines</t>
  </si>
  <si>
    <t>@diandragautama</t>
  </si>
  <si>
    <t>@pinx_fransiska</t>
  </si>
  <si>
    <t>@dianlatri2</t>
  </si>
  <si>
    <t>@prill_cn</t>
  </si>
  <si>
    <t>@dianmendadakpurnamaaa</t>
  </si>
  <si>
    <t>@puputlestari</t>
  </si>
  <si>
    <t>@diantielma</t>
  </si>
  <si>
    <t>@putranugra</t>
  </si>
  <si>
    <t>@putrinasher</t>
  </si>
  <si>
    <t>@qianzikayla</t>
  </si>
  <si>
    <t>@diaryanakmakan</t>
  </si>
  <si>
    <t>@ra_araaaa02</t>
  </si>
  <si>
    <t>@diaryofworkinmommy</t>
  </si>
  <si>
    <t>@rahayualfarizky</t>
  </si>
  <si>
    <t>@diasayl</t>
  </si>
  <si>
    <t>@rahma_anthie</t>
  </si>
  <si>
    <t>@dibdiby</t>
  </si>
  <si>
    <t>@raninurcha</t>
  </si>
  <si>
    <t>@diboool</t>
  </si>
  <si>
    <t>@rarakayyisaa</t>
  </si>
  <si>
    <t>@dici.marcis</t>
  </si>
  <si>
    <t>@ratna_069</t>
  </si>
  <si>
    <t>@didinfelani_</t>
  </si>
  <si>
    <t>@retnodyahp</t>
  </si>
  <si>
    <t>@diesty_arwid</t>
  </si>
  <si>
    <t>@rezaanggalin_dwiputri</t>
  </si>
  <si>
    <t>@rhyzkaangel</t>
  </si>
  <si>
    <t>@riaernaaa</t>
  </si>
  <si>
    <t>@diica_00</t>
  </si>
  <si>
    <t>@riana_nananna</t>
  </si>
  <si>
    <t>@dilahomedecorlover</t>
  </si>
  <si>
    <t>@rina_meyrina</t>
  </si>
  <si>
    <t>@dilatur</t>
  </si>
  <si>
    <t>@rinarhmd</t>
  </si>
  <si>
    <t>@dimasirfans_</t>
  </si>
  <si>
    <t>@rindybestya</t>
  </si>
  <si>
    <t>@dimasyudhystira</t>
  </si>
  <si>
    <t>@ririzanugraeny</t>
  </si>
  <si>
    <t>@dinaagr14</t>
  </si>
  <si>
    <t>@ritaardiani</t>
  </si>
  <si>
    <t>@dindaanggriani</t>
  </si>
  <si>
    <t>@riya_dloh</t>
  </si>
  <si>
    <t>@dindayasminn</t>
  </si>
  <si>
    <t>@rizki.putriutami</t>
  </si>
  <si>
    <t>@dinefp</t>
  </si>
  <si>
    <t>@roro_dyy</t>
  </si>
  <si>
    <t>@rosa_icn</t>
  </si>
  <si>
    <t>@rumah_haura</t>
  </si>
  <si>
    <t>@dinikusumaaa</t>
  </si>
  <si>
    <t>@rvstika</t>
  </si>
  <si>
    <t>@dinnassssss</t>
  </si>
  <si>
    <t>@saacoddd2</t>
  </si>
  <si>
    <t>@safitri_adhiyaksha</t>
  </si>
  <si>
    <t>@dinouris</t>
  </si>
  <si>
    <t>@sajidah28</t>
  </si>
  <si>
    <t>@dio.rahman</t>
  </si>
  <si>
    <t>@salmaaa312</t>
  </si>
  <si>
    <t>@dippae_</t>
  </si>
  <si>
    <t>@salsavina</t>
  </si>
  <si>
    <t>@dita.dipi</t>
  </si>
  <si>
    <t>@samrotul09</t>
  </si>
  <si>
    <t>@ditaarta_khan</t>
  </si>
  <si>
    <t>@sannysandra</t>
  </si>
  <si>
    <t>@selinoviani</t>
  </si>
  <si>
    <t>@ditasaphira</t>
  </si>
  <si>
    <t>@septyandari12</t>
  </si>
  <si>
    <t>@seraphina.tania</t>
  </si>
  <si>
    <t>@divarum_</t>
  </si>
  <si>
    <t>@setyadewy</t>
  </si>
  <si>
    <t>@diviasofie?igshid=6hg1qrocg6no</t>
  </si>
  <si>
    <t>@sewsant</t>
  </si>
  <si>
    <t>@divrdiansyh</t>
  </si>
  <si>
    <t>@shanty.hdiyani</t>
  </si>
  <si>
    <t>@divykeduaa</t>
  </si>
  <si>
    <t>@shintarosrosi</t>
  </si>
  <si>
    <t>@djevi_ida</t>
  </si>
  <si>
    <t>@silmmi</t>
  </si>
  <si>
    <t>@djodivaleery</t>
  </si>
  <si>
    <t>@sintaputrinadila</t>
  </si>
  <si>
    <t>@dndea</t>
  </si>
  <si>
    <t>@siskaasiska</t>
  </si>
  <si>
    <t>@dokterikadevisppd</t>
  </si>
  <si>
    <t>@sisterabigail_</t>
  </si>
  <si>
    <t>@sitisarahadiyastuti</t>
  </si>
  <si>
    <t>@dominiquesierruh</t>
  </si>
  <si>
    <t>@snurkholifah04</t>
  </si>
  <si>
    <t>@dontlikeacaffee</t>
  </si>
  <si>
    <t>@sofie_sopik</t>
  </si>
  <si>
    <t>@dopjla</t>
  </si>
  <si>
    <t>@ssheilloooooo</t>
  </si>
  <si>
    <t>@dr.feliciasiswanto</t>
  </si>
  <si>
    <t>@sucimelia198</t>
  </si>
  <si>
    <t>@drgfira</t>
  </si>
  <si>
    <t>@tarialrasyid</t>
  </si>
  <si>
    <t>@teoakustikgitar</t>
  </si>
  <si>
    <t>@drillian_basketball</t>
  </si>
  <si>
    <t>@thyalatifah</t>
  </si>
  <si>
    <t>@dudukpalingdepan</t>
  </si>
  <si>
    <t>@trheey_airaa23</t>
  </si>
  <si>
    <t>@dunia.siuna</t>
  </si>
  <si>
    <t>@triansyahbani</t>
  </si>
  <si>
    <t>@triiutarie</t>
  </si>
  <si>
    <t>@dvitasss</t>
  </si>
  <si>
    <t>@triwahyuningtias</t>
  </si>
  <si>
    <t>@dvnanatalia</t>
  </si>
  <si>
    <t>@umi_arayya</t>
  </si>
  <si>
    <t>@dwi.efriyanaa</t>
  </si>
  <si>
    <t>@ummu_fatihfaiha</t>
  </si>
  <si>
    <t>@dwialhikmawati</t>
  </si>
  <si>
    <t>@uswahachma</t>
  </si>
  <si>
    <t>@dwielsytha_</t>
  </si>
  <si>
    <t>@utbahatsatsah</t>
  </si>
  <si>
    <t>@dwikpermana</t>
  </si>
  <si>
    <t>@valencecilia_</t>
  </si>
  <si>
    <t>@vanaatiara</t>
  </si>
  <si>
    <t>@dwipujirahayu300</t>
  </si>
  <si>
    <t>@wafanurhilma</t>
  </si>
  <si>
    <t>@wahyu.permatasari</t>
  </si>
  <si>
    <t>@dxzdaa</t>
  </si>
  <si>
    <t>@widyacita1</t>
  </si>
  <si>
    <t>@dya_andya</t>
  </si>
  <si>
    <t>@winariarl</t>
  </si>
  <si>
    <t>@dygheaddyghead</t>
  </si>
  <si>
    <t>@windaekaryn</t>
  </si>
  <si>
    <t>@eatingforlyfe</t>
  </si>
  <si>
    <t>@windahhyn</t>
  </si>
  <si>
    <t>@eaudesarah</t>
  </si>
  <si>
    <t>@windyputria</t>
  </si>
  <si>
    <t>@echaarina19</t>
  </si>
  <si>
    <t>@withzaza</t>
  </si>
  <si>
    <t>@echalaksmi</t>
  </si>
  <si>
    <t>@wulan.amsar</t>
  </si>
  <si>
    <t>@wulandaritarigan</t>
  </si>
  <si>
    <t>@edelynemia</t>
  </si>
  <si>
    <t>@wulandyas</t>
  </si>
  <si>
    <t>@wydiaprillia</t>
  </si>
  <si>
    <t>@yasyfi_la</t>
  </si>
  <si>
    <t>@ei.eily</t>
  </si>
  <si>
    <t>@yfahrurizal</t>
  </si>
  <si>
    <t>@yoanprastywi</t>
  </si>
  <si>
    <t>@eka0.9</t>
  </si>
  <si>
    <t>@yulianitiara</t>
  </si>
  <si>
    <t>@ekaafy</t>
  </si>
  <si>
    <t>@yulistia.utami</t>
  </si>
  <si>
    <t>@ekaduwih</t>
  </si>
  <si>
    <t>@zahranisaaprilia</t>
  </si>
  <si>
    <t>@ekaramadhani92</t>
  </si>
  <si>
    <t>@alinda_kholisoh</t>
  </si>
  <si>
    <t>@ekasukmariyanti</t>
  </si>
  <si>
    <t>@ambarao</t>
  </si>
  <si>
    <t>@ekayounitha</t>
  </si>
  <si>
    <t>@elenabintang</t>
  </si>
  <si>
    <t>@bellaclaudya</t>
  </si>
  <si>
    <t>@cindylaurenziaa12</t>
  </si>
  <si>
    <t>@claraviaadn</t>
  </si>
  <si>
    <t>@elizstp</t>
  </si>
  <si>
    <t>@daniarelvaria</t>
  </si>
  <si>
    <t>@elki.sumanto</t>
  </si>
  <si>
    <t>@dessydecyl</t>
  </si>
  <si>
    <t>@ella_azis</t>
  </si>
  <si>
    <t>@divaarnda.97_</t>
  </si>
  <si>
    <t>@ellagoeltom</t>
  </si>
  <si>
    <t>@fitaagustin</t>
  </si>
  <si>
    <t>@ellynurul</t>
  </si>
  <si>
    <t>@frisellavindyy</t>
  </si>
  <si>
    <t>@g.giselaaa</t>
  </si>
  <si>
    <t>@elnafta</t>
  </si>
  <si>
    <t>@jeolsi</t>
  </si>
  <si>
    <t>@jihaannp_</t>
  </si>
  <si>
    <t>@elvieprawiro</t>
  </si>
  <si>
    <t>@juliusjason_</t>
  </si>
  <si>
    <t>@elvin.gaa</t>
  </si>
  <si>
    <t>@elvinsalasa</t>
  </si>
  <si>
    <t>@elzaraproject</t>
  </si>
  <si>
    <t>@ema.ervita</t>
  </si>
  <si>
    <t>@mel_josh_claire</t>
  </si>
  <si>
    <t>@emaandii</t>
  </si>
  <si>
    <t>@putripujiastti</t>
  </si>
  <si>
    <t>@emaksatuanak09</t>
  </si>
  <si>
    <t>@putrisarah17</t>
  </si>
  <si>
    <t>@emilutfi</t>
  </si>
  <si>
    <t>@queenaya22</t>
  </si>
  <si>
    <t>@emilykwik</t>
  </si>
  <si>
    <t>@ratnaadewihariadi</t>
  </si>
  <si>
    <t>@refinatrianii</t>
  </si>
  <si>
    <t>@emyli_lin</t>
  </si>
  <si>
    <t>@renal1995</t>
  </si>
  <si>
    <t>@endah_wulandhari</t>
  </si>
  <si>
    <t>@endahdwisetyawan</t>
  </si>
  <si>
    <t>@suciwhn</t>
  </si>
  <si>
    <t>@enjelinong</t>
  </si>
  <si>
    <t>@sukmabayusetiawan</t>
  </si>
  <si>
    <t>@erialsr.makeupart</t>
  </si>
  <si>
    <t>@vinauliaa_</t>
  </si>
  <si>
    <t>@erin_carllo</t>
  </si>
  <si>
    <t>@yenydap</t>
  </si>
  <si>
    <t>@erin.carllo</t>
  </si>
  <si>
    <t>@alfinpanduu</t>
  </si>
  <si>
    <t>@erlanggaxzs</t>
  </si>
  <si>
    <t>@amandatrst</t>
  </si>
  <si>
    <t>@erlina.novitasar</t>
  </si>
  <si>
    <t>@amelsal_</t>
  </si>
  <si>
    <t>@ceyogrl</t>
  </si>
  <si>
    <t>@claritafeifeiky</t>
  </si>
  <si>
    <t>@ernanapitupulu_</t>
  </si>
  <si>
    <t>@cynthiasrswt</t>
  </si>
  <si>
    <t>@ernandaa__</t>
  </si>
  <si>
    <t>@devitul99</t>
  </si>
  <si>
    <t>@ernawiguna</t>
  </si>
  <si>
    <t>@dilanadilaa_</t>
  </si>
  <si>
    <t>@ftmknnt</t>
  </si>
  <si>
    <t>@ernps_</t>
  </si>
  <si>
    <t>@gabriellaben_</t>
  </si>
  <si>
    <t>@ernypuspa</t>
  </si>
  <si>
    <t>@haikaladlin_</t>
  </si>
  <si>
    <t>@erwanti_wahyu</t>
  </si>
  <si>
    <t>@herlinasalsabila16</t>
  </si>
  <si>
    <t>@esterlitaalexander</t>
  </si>
  <si>
    <t>@esyasparkles</t>
  </si>
  <si>
    <t>@jf.seeyah</t>
  </si>
  <si>
    <t>@euginiavalen220</t>
  </si>
  <si>
    <t>@euisramadhani12</t>
  </si>
  <si>
    <t>@karada_id</t>
  </si>
  <si>
    <t>@euisssspr</t>
  </si>
  <si>
    <t>@eunchaheunchah</t>
  </si>
  <si>
    <t>@mirza.mgfr</t>
  </si>
  <si>
    <t>@euzhanmarsa</t>
  </si>
  <si>
    <t>@nhyllaqym</t>
  </si>
  <si>
    <t>@evalita.tasya</t>
  </si>
  <si>
    <t>@prisciliabella</t>
  </si>
  <si>
    <t>@raniaahstr</t>
  </si>
  <si>
    <t>@exellnn_</t>
  </si>
  <si>
    <t>@salwakhalishaa</t>
  </si>
  <si>
    <t>@sfyt_nisa</t>
  </si>
  <si>
    <t>@explorewithbella</t>
  </si>
  <si>
    <t>@siti.f4tim4h</t>
  </si>
  <si>
    <t>@eygrasinuhaji</t>
  </si>
  <si>
    <t>@eyyowzizah</t>
  </si>
  <si>
    <t>@ummi_khaira_</t>
  </si>
  <si>
    <t>@ezaanbiyatisna374</t>
  </si>
  <si>
    <t>@wnywinn</t>
  </si>
  <si>
    <t>@faduyyy</t>
  </si>
  <si>
    <t>@yusufff04_</t>
  </si>
  <si>
    <t>@fahadhaydra</t>
  </si>
  <si>
    <t>@fahmiryz</t>
  </si>
  <si>
    <t>@arraliaruf</t>
  </si>
  <si>
    <t>@fahri.061</t>
  </si>
  <si>
    <t>@atikah_nurmala</t>
  </si>
  <si>
    <t>@fairouz_perdana</t>
  </si>
  <si>
    <t>@fajarmahez</t>
  </si>
  <si>
    <t>@deaputrik</t>
  </si>
  <si>
    <t>@fanahworld</t>
  </si>
  <si>
    <t>@fakhrimu</t>
  </si>
  <si>
    <t>@kevinmooses</t>
  </si>
  <si>
    <t>@falyaaqiela</t>
  </si>
  <si>
    <t>@letta_himeka29</t>
  </si>
  <si>
    <t>@fanggg66_</t>
  </si>
  <si>
    <t>@nukesaputraa</t>
  </si>
  <si>
    <t>@faniekalistiyana</t>
  </si>
  <si>
    <t>@priscillaakarens</t>
  </si>
  <si>
    <t>@fannydwimm</t>
  </si>
  <si>
    <t>@ragil_respati</t>
  </si>
  <si>
    <t>@fara_syafara2</t>
  </si>
  <si>
    <t>@skidsans</t>
  </si>
  <si>
    <t>@faradinaauliya</t>
  </si>
  <si>
    <t>@farahalula</t>
  </si>
  <si>
    <t>@farelibnu__</t>
  </si>
  <si>
    <t>@farhanadili</t>
  </si>
  <si>
    <t>@vie_evie</t>
  </si>
  <si>
    <t>@farrenbenedictus_</t>
  </si>
  <si>
    <t>@andira_83</t>
  </si>
  <si>
    <t>@desidwiyustiani</t>
  </si>
  <si>
    <t>@fathiafauzan</t>
  </si>
  <si>
    <t>@felizchang</t>
  </si>
  <si>
    <t>@fathinhafidzah24</t>
  </si>
  <si>
    <t>@fathria_satriani</t>
  </si>
  <si>
    <t>@kristiani_chen</t>
  </si>
  <si>
    <t>@fauzannoorqolbi</t>
  </si>
  <si>
    <t>@linda.fr4ns</t>
  </si>
  <si>
    <t>@fauziah.rachmawati</t>
  </si>
  <si>
    <t>@niffvirgiasari</t>
  </si>
  <si>
    <t>@osin__osin</t>
  </si>
  <si>
    <t>@febrianaelita</t>
  </si>
  <si>
    <t>@rafimnaf</t>
  </si>
  <si>
    <t>@febrinuzi</t>
  </si>
  <si>
    <t>@septianaragil</t>
  </si>
  <si>
    <t>@febryolaindra</t>
  </si>
  <si>
    <t>@aant_otomotif</t>
  </si>
  <si>
    <t>@fedrina.ads</t>
  </si>
  <si>
    <t>@albelajar</t>
  </si>
  <si>
    <t>@feelingaquarius</t>
  </si>
  <si>
    <t>@dwist89</t>
  </si>
  <si>
    <t>@feliaphang</t>
  </si>
  <si>
    <t>@felixlilacboy</t>
  </si>
  <si>
    <t>@fenygabriella</t>
  </si>
  <si>
    <t>@iffah_latifah88</t>
  </si>
  <si>
    <t>@irenelintong</t>
  </si>
  <si>
    <t>@ferenciaannabele</t>
  </si>
  <si>
    <t>@karinnmarzuki</t>
  </si>
  <si>
    <t>@ferendikaa</t>
  </si>
  <si>
    <t>@lalogstina</t>
  </si>
  <si>
    <t>@larashere__</t>
  </si>
  <si>
    <t>@ferrennabilapn</t>
  </si>
  <si>
    <t>@nilaavenila</t>
  </si>
  <si>
    <t>@ferrihc</t>
  </si>
  <si>
    <t>@riasasr</t>
  </si>
  <si>
    <t>@richaicha16</t>
  </si>
  <si>
    <t>@fieekazoo</t>
  </si>
  <si>
    <t>@fierlia15</t>
  </si>
  <si>
    <t>@yolakadeshi27</t>
  </si>
  <si>
    <t>@fika_afriyanti</t>
  </si>
  <si>
    <t>@fikamoo</t>
  </si>
  <si>
    <t>@ai_aprianti</t>
  </si>
  <si>
    <t>@fikramfahrurazi</t>
  </si>
  <si>
    <t>@ambarrachi</t>
  </si>
  <si>
    <t>@filipusadc</t>
  </si>
  <si>
    <t>@angelinasetiadii</t>
  </si>
  <si>
    <t>@angelitaiskandar</t>
  </si>
  <si>
    <t>@finaa_tsaniya</t>
  </si>
  <si>
    <t>@finaadiny</t>
  </si>
  <si>
    <t>@finadiana93</t>
  </si>
  <si>
    <t>@fineelhaq</t>
  </si>
  <si>
    <t>@balqissabhika</t>
  </si>
  <si>
    <t>@fio.stacey</t>
  </si>
  <si>
    <t>@fiona.melly</t>
  </si>
  <si>
    <t>@dethaniam_</t>
  </si>
  <si>
    <t>@firasyodhas</t>
  </si>
  <si>
    <t>@firdasaff</t>
  </si>
  <si>
    <t>@diandrachmi</t>
  </si>
  <si>
    <t>@diniastriani14</t>
  </si>
  <si>
    <t>@fitrahsakinahh</t>
  </si>
  <si>
    <t>@dinna_mystyle</t>
  </si>
  <si>
    <t>@el.natia</t>
  </si>
  <si>
    <t>@fitrianahisnainy</t>
  </si>
  <si>
    <t>@fdlhalkaf</t>
  </si>
  <si>
    <t>@fitrianirachmawati</t>
  </si>
  <si>
    <t>@fitriyendesi</t>
  </si>
  <si>
    <t>@ina_anilre</t>
  </si>
  <si>
    <t>@flame.drip</t>
  </si>
  <si>
    <t>@irmasinagah</t>
  </si>
  <si>
    <t>@floerlilie</t>
  </si>
  <si>
    <t>@khansagabril</t>
  </si>
  <si>
    <t>@fn_handayani</t>
  </si>
  <si>
    <t>@maurashafa</t>
  </si>
  <si>
    <t>@fngrlacc_</t>
  </si>
  <si>
    <t>@fooddoctor.id</t>
  </si>
  <si>
    <t>@nisskha</t>
  </si>
  <si>
    <t>@foodjournal_bdg</t>
  </si>
  <si>
    <t>@raishazeamutiba</t>
  </si>
  <si>
    <t>@fransiscaaa94</t>
  </si>
  <si>
    <t>@renandaand</t>
  </si>
  <si>
    <t>@fransiscamakdalena</t>
  </si>
  <si>
    <t>@fransiska.timothy</t>
  </si>
  <si>
    <t>@rskayuni</t>
  </si>
  <si>
    <t>@frdrck___</t>
  </si>
  <si>
    <t>@suspitha_</t>
  </si>
  <si>
    <t>@frederickyangg</t>
  </si>
  <si>
    <t>@syanaz.tifanabila25</t>
  </si>
  <si>
    <t>@frencha_toast</t>
  </si>
  <si>
    <t>@syarif.yosee</t>
  </si>
  <si>
    <t>@frishhhy</t>
  </si>
  <si>
    <t>@tyasayuswndr</t>
  </si>
  <si>
    <t>@frsmutiaraaa</t>
  </si>
  <si>
    <t>@veiloveita</t>
  </si>
  <si>
    <t>@fumie.aya</t>
  </si>
  <si>
    <t>@wulan6juli</t>
  </si>
  <si>
    <t>@gabi_ga_biel</t>
  </si>
  <si>
    <t>@annisahidayarahmahica</t>
  </si>
  <si>
    <t>@gabriellamileniaa</t>
  </si>
  <si>
    <t>@asya.ep</t>
  </si>
  <si>
    <t>@gabybsaputraa</t>
  </si>
  <si>
    <t>@ayu_ast</t>
  </si>
  <si>
    <t>@gadisaries97</t>
  </si>
  <si>
    <t>@azizahazwar23</t>
  </si>
  <si>
    <t>@gaklucuaku</t>
  </si>
  <si>
    <t>@claudya.dona</t>
  </si>
  <si>
    <t>@galuhe_</t>
  </si>
  <si>
    <t>@desdesshe</t>
  </si>
  <si>
    <t>@gamautidur</t>
  </si>
  <si>
    <t>@deviavril</t>
  </si>
  <si>
    <t>@garrilla666</t>
  </si>
  <si>
    <t>@dhaniutary</t>
  </si>
  <si>
    <t>@geges___</t>
  </si>
  <si>
    <t>@dhiangela88</t>
  </si>
  <si>
    <t>@gelialinda</t>
  </si>
  <si>
    <t>@genta_buanarr</t>
  </si>
  <si>
    <t>@gestanorio</t>
  </si>
  <si>
    <t>@geuneve</t>
  </si>
  <si>
    <t>@leninurjanah</t>
  </si>
  <si>
    <t>@geyongclub</t>
  </si>
  <si>
    <t>@lisadianaoktavia</t>
  </si>
  <si>
    <t>@ghaida_hakiki</t>
  </si>
  <si>
    <t>@nandafitriyaa</t>
  </si>
  <si>
    <t>@ghaniaa18</t>
  </si>
  <si>
    <t>@ghatfaan__</t>
  </si>
  <si>
    <t>@nurlaila90934</t>
  </si>
  <si>
    <t>@oy_hai</t>
  </si>
  <si>
    <t>@gigidprams</t>
  </si>
  <si>
    <t>@rivaldimy</t>
  </si>
  <si>
    <t>@gilangsamiadji</t>
  </si>
  <si>
    <t>@seiradlphhh_</t>
  </si>
  <si>
    <t>@gilannngr</t>
  </si>
  <si>
    <t>@sitifaradhilaranita</t>
  </si>
  <si>
    <t>@ginaagriani95</t>
  </si>
  <si>
    <t>@sitiialifahh</t>
  </si>
  <si>
    <t>@ginawidiav</t>
  </si>
  <si>
    <t>@giselarns</t>
  </si>
  <si>
    <t>@agnesvisia.re</t>
  </si>
  <si>
    <t>@gispanitaj</t>
  </si>
  <si>
    <t>@ararachma</t>
  </si>
  <si>
    <t>@ayurha13</t>
  </si>
  <si>
    <t>@gita_vbpr</t>
  </si>
  <si>
    <t>@gitahermanda</t>
  </si>
  <si>
    <t>@debiyuliaa</t>
  </si>
  <si>
    <t>@gitaprtwi</t>
  </si>
  <si>
    <t>@glennaxel</t>
  </si>
  <si>
    <t>@fiahmasfiah</t>
  </si>
  <si>
    <t>@glenoni</t>
  </si>
  <si>
    <t>@happywithjess</t>
  </si>
  <si>
    <t>@gracefeliciaaa</t>
  </si>
  <si>
    <t>@maudiriski</t>
  </si>
  <si>
    <t>@graciacarolinee</t>
  </si>
  <si>
    <t>@merindasr</t>
  </si>
  <si>
    <t>@gracieme_</t>
  </si>
  <si>
    <t>@najwa_maulida23</t>
  </si>
  <si>
    <t>@greatcatastrophe</t>
  </si>
  <si>
    <t>@nanalutfiana</t>
  </si>
  <si>
    <t>@grecia.yessefie</t>
  </si>
  <si>
    <t>@puutriaa</t>
  </si>
  <si>
    <t>@greygoosze</t>
  </si>
  <si>
    <t>@rezaputriamelia</t>
  </si>
  <si>
    <t>@gridddeliaa_</t>
  </si>
  <si>
    <t>@rheatjhai</t>
  </si>
  <si>
    <t>@grizzzlly3</t>
  </si>
  <si>
    <t>@rika.fransiska92</t>
  </si>
  <si>
    <t>@guessyoullhavetofindout</t>
  </si>
  <si>
    <t>@serayaworld</t>
  </si>
  <si>
    <t>@gunawannww</t>
  </si>
  <si>
    <t>@stephaprilia</t>
  </si>
  <si>
    <t>@gung_indii</t>
  </si>
  <si>
    <t>@widyajiwo</t>
  </si>
  <si>
    <t>@gungmaspemayun</t>
  </si>
  <si>
    <t>@witadwi52</t>
  </si>
  <si>
    <t>@guntur.d.feri</t>
  </si>
  <si>
    <t>@_rahayuncii</t>
  </si>
  <si>
    <t>@gurumasalalu</t>
  </si>
  <si>
    <t>@gurumudakamu</t>
  </si>
  <si>
    <t>@chainhere</t>
  </si>
  <si>
    <t>@cindyagilo</t>
  </si>
  <si>
    <t>@habibahrisa</t>
  </si>
  <si>
    <t>@ctraniarta</t>
  </si>
  <si>
    <t>@habibiedanayitanpanun</t>
  </si>
  <si>
    <t>@hahahen_</t>
  </si>
  <si>
    <t>@dje_putri92</t>
  </si>
  <si>
    <t>@dwpuspitaaa</t>
  </si>
  <si>
    <t>@haledomo</t>
  </si>
  <si>
    <t>@dyandy02</t>
  </si>
  <si>
    <t>@joyuthon</t>
  </si>
  <si>
    <t>@halotugek</t>
  </si>
  <si>
    <t>@lailysadiah19_</t>
  </si>
  <si>
    <t>@hamzahnstt</t>
  </si>
  <si>
    <t>@hanaalaydrus</t>
  </si>
  <si>
    <t>@haniffnh</t>
  </si>
  <si>
    <t>@meirinchan29</t>
  </si>
  <si>
    <t>@hanifthalib28</t>
  </si>
  <si>
    <t>@mmekuliner</t>
  </si>
  <si>
    <t>@hanin.arifah</t>
  </si>
  <si>
    <t>@hanisasarah18</t>
  </si>
  <si>
    <t>@muse_dianbudiati</t>
  </si>
  <si>
    <t>@ndahput07</t>
  </si>
  <si>
    <t>@hapvymeal</t>
  </si>
  <si>
    <t>@nurhidayahdena</t>
  </si>
  <si>
    <t>@hasnafizaa</t>
  </si>
  <si>
    <t>@rivani_rahmadani</t>
  </si>
  <si>
    <t>@hasnielo23</t>
  </si>
  <si>
    <t>@sdaninuri</t>
  </si>
  <si>
    <t>@hatethepipel</t>
  </si>
  <si>
    <t>@viranisa_riska</t>
  </si>
  <si>
    <t>@hay_thy</t>
  </si>
  <si>
    <t>@ay_akm</t>
  </si>
  <si>
    <t>@hay.sha30</t>
  </si>
  <si>
    <t>@hayillor</t>
  </si>
  <si>
    <t>@cmietamagotchi</t>
  </si>
  <si>
    <t>@haymoothia</t>
  </si>
  <si>
    <t>@headkirbyy</t>
  </si>
  <si>
    <t>@eci_chan30</t>
  </si>
  <si>
    <t>@hedii30_</t>
  </si>
  <si>
    <t>@princesssadira</t>
  </si>
  <si>
    <t>@hegyzy</t>
  </si>
  <si>
    <t>@ratusalza</t>
  </si>
  <si>
    <t>@hehebalik</t>
  </si>
  <si>
    <t>@sasikapretisa</t>
  </si>
  <si>
    <t>@helena_cj</t>
  </si>
  <si>
    <t>@hellosikecil</t>
  </si>
  <si>
    <t>@gizaamel_</t>
  </si>
  <si>
    <t>@helmaliiaaa_</t>
  </si>
  <si>
    <t>@helpbeauty07</t>
  </si>
  <si>
    <t>@sisca_zhang18</t>
  </si>
  <si>
    <t>@hendihindarto</t>
  </si>
  <si>
    <t>@sunarsiech_chochobiez</t>
  </si>
  <si>
    <t>@hendydaneka</t>
  </si>
  <si>
    <t>@xavierius_alvin</t>
  </si>
  <si>
    <t>@hendyprdn</t>
  </si>
  <si>
    <t>@henyperm</t>
  </si>
  <si>
    <t>@heracneblog</t>
  </si>
  <si>
    <t>@feralexia_</t>
  </si>
  <si>
    <t>@heri_horeh</t>
  </si>
  <si>
    <t>@fitrifree</t>
  </si>
  <si>
    <t>@herlina.elisa</t>
  </si>
  <si>
    <t>@herlinaaleee</t>
  </si>
  <si>
    <t>@tmcblog</t>
  </si>
  <si>
    <t>@heruahmaja</t>
  </si>
  <si>
    <t>@herustyler</t>
  </si>
  <si>
    <t>@demmyps_</t>
  </si>
  <si>
    <t>@heyitsarshya</t>
  </si>
  <si>
    <t>@evyjuliana_</t>
  </si>
  <si>
    <t>@heyitsciul</t>
  </si>
  <si>
    <t>@fitriani_rachmawati</t>
  </si>
  <si>
    <t>@heyitsmarwa</t>
  </si>
  <si>
    <t>@heyoo.lin</t>
  </si>
  <si>
    <t>@meongculinary</t>
  </si>
  <si>
    <t>@r_amalia98</t>
  </si>
  <si>
    <t>@heyyodila</t>
  </si>
  <si>
    <t>@al_uswa</t>
  </si>
  <si>
    <t>@hi_armaida</t>
  </si>
  <si>
    <t>@hilmy_zulvian</t>
  </si>
  <si>
    <t>@mrs.diah_kartika</t>
  </si>
  <si>
    <t>@hilusiana</t>
  </si>
  <si>
    <t>@noniikiky</t>
  </si>
  <si>
    <t>@hiwigooagain</t>
  </si>
  <si>
    <t>@abednego_n</t>
  </si>
  <si>
    <t>@hizkiia.s</t>
  </si>
  <si>
    <t>@houseofpamungkas</t>
  </si>
  <si>
    <t>@hoveryponen12</t>
  </si>
  <si>
    <t>@humairatushafa</t>
  </si>
  <si>
    <t>@humdyzyd</t>
  </si>
  <si>
    <t>@huningprastiwi</t>
  </si>
  <si>
    <t>@hxneybz</t>
  </si>
  <si>
    <t>@hyeiwn</t>
  </si>
  <si>
    <t>@hyemhyemla</t>
  </si>
  <si>
    <t>@hyly.angie</t>
  </si>
  <si>
    <t>@hypee.boyy</t>
  </si>
  <si>
    <t>@hythyrr</t>
  </si>
  <si>
    <t>@iaamsyn</t>
  </si>
  <si>
    <t>@iam_evole</t>
  </si>
  <si>
    <t>@iamferitaafr</t>
  </si>
  <si>
    <t>@iamhirman_</t>
  </si>
  <si>
    <t>@ibanana99</t>
  </si>
  <si>
    <t>@ibel_arumichy</t>
  </si>
  <si>
    <t>@ibuhajat123</t>
  </si>
  <si>
    <t>@ibukhappy</t>
  </si>
  <si>
    <t>@ica_anisa05</t>
  </si>
  <si>
    <t>@icaaakim</t>
  </si>
  <si>
    <t>@iceddmatchalatteee</t>
  </si>
  <si>
    <t>@ichaam_s</t>
  </si>
  <si>
    <t>@ichanovtiana</t>
  </si>
  <si>
    <t>@ichsansahrul</t>
  </si>
  <si>
    <t>@icindanjoy1</t>
  </si>
  <si>
    <t>@idanursiani1</t>
  </si>
  <si>
    <t>@iftinassya.rf</t>
  </si>
  <si>
    <t>@iga.pertamasari</t>
  </si>
  <si>
    <t>@igandhika23</t>
  </si>
  <si>
    <t>@ihipitih</t>
  </si>
  <si>
    <t>@ihsan.hafifi</t>
  </si>
  <si>
    <t>@iipehepii</t>
  </si>
  <si>
    <t>@ika66_</t>
  </si>
  <si>
    <t>@ikaastriekartika4</t>
  </si>
  <si>
    <t>@ike.m.ayu</t>
  </si>
  <si>
    <t>@ikeaini10</t>
  </si>
  <si>
    <t>@ikka.em</t>
  </si>
  <si>
    <t>@ilfa_ubayya</t>
  </si>
  <si>
    <t>@ilfinsight</t>
  </si>
  <si>
    <t>@im.jenniey</t>
  </si>
  <si>
    <t>@imeldadwl_</t>
  </si>
  <si>
    <t>@imoyazura16</t>
  </si>
  <si>
    <t>@inayofina</t>
  </si>
  <si>
    <t>@indahindys</t>
  </si>
  <si>
    <t>@indahmegaa1</t>
  </si>
  <si>
    <t>@indahoctria</t>
  </si>
  <si>
    <t>@indahrezkinatasya</t>
  </si>
  <si>
    <t>@indahrizkiani.kiki</t>
  </si>
  <si>
    <t>@indahsulis_s</t>
  </si>
  <si>
    <t>@indahtede_</t>
  </si>
  <si>
    <t>@indaindi</t>
  </si>
  <si>
    <t>@indhoktv8</t>
  </si>
  <si>
    <t>@indonesia.netizen</t>
  </si>
  <si>
    <t>@indrianilaila</t>
  </si>
  <si>
    <t>@indriarianti</t>
  </si>
  <si>
    <t>@inem_laundry</t>
  </si>
  <si>
    <t>@infocbng</t>
  </si>
  <si>
    <t>@inggridea</t>
  </si>
  <si>
    <t>@ini_mamet</t>
  </si>
  <si>
    <t>@iniakunitaa_</t>
  </si>
  <si>
    <t>@inidivyy</t>
  </si>
  <si>
    <t>@ininia9</t>
  </si>
  <si>
    <t>@iniputcah</t>
  </si>
  <si>
    <t>@inislan</t>
  </si>
  <si>
    <t>@initehwini</t>
  </si>
  <si>
    <t>@initokyolagii</t>
  </si>
  <si>
    <t>@inkatama_</t>
  </si>
  <si>
    <t>@inkathhh</t>
  </si>
  <si>
    <t>@inna_niya</t>
  </si>
  <si>
    <t>@inna.cahyani</t>
  </si>
  <si>
    <t>@inspirasipemuda.id</t>
  </si>
  <si>
    <t>@intan_nuraini3150</t>
  </si>
  <si>
    <t>@intansarass_</t>
  </si>
  <si>
    <t>@intanscbl</t>
  </si>
  <si>
    <t>@inungws12</t>
  </si>
  <si>
    <t>@iputpj</t>
  </si>
  <si>
    <t>@iqbalbaihaqyy</t>
  </si>
  <si>
    <t>@ireene_mariana?hl=en</t>
  </si>
  <si>
    <t>@irgicrayon</t>
  </si>
  <si>
    <t>@irliiy</t>
  </si>
  <si>
    <t>@irma_firda</t>
  </si>
  <si>
    <t>@irmasrie</t>
  </si>
  <si>
    <t>@isaamsudin</t>
  </si>
  <si>
    <t>@ishvaary</t>
  </si>
  <si>
    <t>@ismhayantii</t>
  </si>
  <si>
    <t>@isnainingtyas</t>
  </si>
  <si>
    <t>@isthatshabrina</t>
  </si>
  <si>
    <t>@iswara.alesha</t>
  </si>
  <si>
    <t>@isyarora</t>
  </si>
  <si>
    <t>@itajegegbaliid</t>
  </si>
  <si>
    <t>@its.browngurll</t>
  </si>
  <si>
    <t>@itsbrigittatifanny</t>
  </si>
  <si>
    <t>@itsmeralda</t>
  </si>
  <si>
    <t>@itsmestasi</t>
  </si>
  <si>
    <t>@itsmoanya</t>
  </si>
  <si>
    <t>@itsnfransisca</t>
  </si>
  <si>
    <t>@itzzme.maharani</t>
  </si>
  <si>
    <t>@ivyfeb</t>
  </si>
  <si>
    <t>@iyey.esj</t>
  </si>
  <si>
    <t>@iyinynrtaa</t>
  </si>
  <si>
    <t>@iyuz_inhiji</t>
  </si>
  <si>
    <t>@iyuzmisterius</t>
  </si>
  <si>
    <t>@izaraarta</t>
  </si>
  <si>
    <t>@j.noviena</t>
  </si>
  <si>
    <t>@jabdrr</t>
  </si>
  <si>
    <t>@jacqueswifee</t>
  </si>
  <si>
    <t>@jahekembangtahu</t>
  </si>
  <si>
    <t>@jaichrora</t>
  </si>
  <si>
    <t>@jaiiibruh</t>
  </si>
  <si>
    <t>@jakarta_zone</t>
  </si>
  <si>
    <t>@jakartalucu</t>
  </si>
  <si>
    <t>@jakia_wedding</t>
  </si>
  <si>
    <t>@jalanjalanjajananma</t>
  </si>
  <si>
    <t>@jamess.27</t>
  </si>
  <si>
    <t>@jamiputtiandini</t>
  </si>
  <si>
    <t>@janeabys</t>
  </si>
  <si>
    <t>@janeferrinka</t>
  </si>
  <si>
    <t>@jannafla</t>
  </si>
  <si>
    <t>@jannahcochrane</t>
  </si>
  <si>
    <t>@jasonoliv3r</t>
  </si>
  <si>
    <t>@jassminemhrn</t>
  </si>
  <si>
    <t>@javierstoy2.0</t>
  </si>
  <si>
    <t>@jaydenoliv3r</t>
  </si>
  <si>
    <t>@jeanjulian217</t>
  </si>
  <si>
    <t>@jeannirawidny</t>
  </si>
  <si>
    <t>@jecelline.els</t>
  </si>
  <si>
    <t>@jekichannn</t>
  </si>
  <si>
    <t>@jelitawidiaw</t>
  </si>
  <si>
    <t>@jellyjels_</t>
  </si>
  <si>
    <t>@jemmymelviano</t>
  </si>
  <si>
    <t>@jenniferchrstie</t>
  </si>
  <si>
    <t>@jenniferkezia99</t>
  </si>
  <si>
    <t>@jepe.14</t>
  </si>
  <si>
    <t>@jeremyviar1</t>
  </si>
  <si>
    <t>@jerkuy_</t>
  </si>
  <si>
    <t>@jesicaceren_</t>
  </si>
  <si>
    <t>@jessicajehaa</t>
  </si>
  <si>
    <t>@jessicanovia26</t>
  </si>
  <si>
    <t>@jesslynanggara</t>
  </si>
  <si>
    <t>@jesslynfed</t>
  </si>
  <si>
    <t>@jesslynjoy1</t>
  </si>
  <si>
    <t>@jevoonn</t>
  </si>
  <si>
    <t>@jhenyw</t>
  </si>
  <si>
    <t>@jiancokraimu</t>
  </si>
  <si>
    <t>@jillkimberlykwee</t>
  </si>
  <si>
    <t>@jkt48gracia</t>
  </si>
  <si>
    <t>@jnnzee</t>
  </si>
  <si>
    <t>@joevianly</t>
  </si>
  <si>
    <t>@joeybndkt</t>
  </si>
  <si>
    <t>@jogja_berada</t>
  </si>
  <si>
    <t>@jon.ganda</t>
  </si>
  <si>
    <t>@joseph1negaby</t>
  </si>
  <si>
    <t>@josephinehalim</t>
  </si>
  <si>
    <t>@jourimanzkyp</t>
  </si>
  <si>
    <t>@jovita.sulaiman</t>
  </si>
  <si>
    <t>@jtthere</t>
  </si>
  <si>
    <t>@jurnaldigital</t>
  </si>
  <si>
    <t>@jurnalsafa</t>
  </si>
  <si>
    <t>@just.ir.ma</t>
  </si>
  <si>
    <t>@justrelaxgurl</t>
  </si>
  <si>
    <t>@juwitalarast</t>
  </si>
  <si>
    <t>@juwllll</t>
  </si>
  <si>
    <t>@kaci.nuna</t>
  </si>
  <si>
    <t>@kadang.sokinggris</t>
  </si>
  <si>
    <t>@kaeside_</t>
  </si>
  <si>
    <t>@kafimbrk98__</t>
  </si>
  <si>
    <t>@kalyazhr</t>
  </si>
  <si>
    <t>@kamuflasse</t>
  </si>
  <si>
    <t>@kania_permatasari</t>
  </si>
  <si>
    <t>@kaniajoo</t>
  </si>
  <si>
    <t>@kanizzlle</t>
  </si>
  <si>
    <t>@karina_noor</t>
  </si>
  <si>
    <t>@karina_rattulangi</t>
  </si>
  <si>
    <t>@karinabelindaa</t>
  </si>
  <si>
    <t>@karl_home</t>
  </si>
  <si>
    <t>@kasyaaptr</t>
  </si>
  <si>
    <t>@kathleen_renee18</t>
  </si>
  <si>
    <t>@kathpriskila</t>
  </si>
  <si>
    <t>@kathypermata9</t>
  </si>
  <si>
    <t>@kayla_odeliazahra</t>
  </si>
  <si>
    <t>@kaylaaaapf</t>
  </si>
  <si>
    <t>@kaylahafsyari</t>
  </si>
  <si>
    <t>@keanuagl</t>
  </si>
  <si>
    <t>@keciilll</t>
  </si>
  <si>
    <t>@kee_ms</t>
  </si>
  <si>
    <t>@keerunnn</t>
  </si>
  <si>
    <t>@kehidupankoe</t>
  </si>
  <si>
    <t>@kehlaniaa</t>
  </si>
  <si>
    <t>@keiishabel</t>
  </si>
  <si>
    <t>@keila_naifa</t>
  </si>
  <si>
    <t>@kelompoklapan</t>
  </si>
  <si>
    <t>@keluargaa6zay</t>
  </si>
  <si>
    <t>@keluargacina</t>
  </si>
  <si>
    <t>@keluargapakseno</t>
  </si>
  <si>
    <t>@kenesah</t>
  </si>
  <si>
    <t>@kent.hadi</t>
  </si>
  <si>
    <t>@kepinappsss</t>
  </si>
  <si>
    <t>@kepusoccer</t>
  </si>
  <si>
    <t>@kesyaputrihsr</t>
  </si>
  <si>
    <t>@ketinmakan</t>
  </si>
  <si>
    <t>@kevinmuham</t>
  </si>
  <si>
    <t>@kevinyowilliam</t>
  </si>
  <si>
    <t>@keziaaletheia</t>
  </si>
  <si>
    <t>@keziaameliaviolin</t>
  </si>
  <si>
    <t>@keziaatmadji</t>
  </si>
  <si>
    <t>@keziachan88</t>
  </si>
  <si>
    <t>@keziaclaritaaa</t>
  </si>
  <si>
    <t>@keziasutrisna</t>
  </si>
  <si>
    <t>@keziatabita</t>
  </si>
  <si>
    <t>@khadijahaulya</t>
  </si>
  <si>
    <t>@khaleesieee</t>
  </si>
  <si>
    <t>@khalidibrahimoriginal</t>
  </si>
  <si>
    <t>@khan_theux</t>
  </si>
  <si>
    <t>@khansaneira</t>
  </si>
  <si>
    <t>@khilda_syafaini88</t>
  </si>
  <si>
    <t>@khodijahariani</t>
  </si>
  <si>
    <t>@kholifahrifani</t>
  </si>
  <si>
    <t>@kiaraflaviastory</t>
  </si>
  <si>
    <t>@kiki.tifani</t>
  </si>
  <si>
    <t>@kimatcha_</t>
  </si>
  <si>
    <t>@kimdea</t>
  </si>
  <si>
    <t>@kinancu</t>
  </si>
  <si>
    <t>@kingcempaka</t>
  </si>
  <si>
    <t>@kitingss</t>
  </si>
  <si>
    <t>@kodisgataukeberapa</t>
  </si>
  <si>
    <t>@kokopebasket</t>
  </si>
  <si>
    <t>@komangteguh11</t>
  </si>
  <si>
    <t>@krisna_hfa</t>
  </si>
  <si>
    <t>@krnchrs</t>
  </si>
  <si>
    <t>@kulturekit</t>
  </si>
  <si>
    <t>@kurniamadani_</t>
  </si>
  <si>
    <t>@kusumaadeewi</t>
  </si>
  <si>
    <t>@kyfania</t>
  </si>
  <si>
    <t>@kyyon1403</t>
  </si>
  <si>
    <t>@laaabos</t>
  </si>
  <si>
    <t>@lachimoolala</t>
  </si>
  <si>
    <t>@ladymeraliaa</t>
  </si>
  <si>
    <t>@lahisyaa</t>
  </si>
  <si>
    <t>@lahlupede</t>
  </si>
  <si>
    <t>@lakembaa</t>
  </si>
  <si>
    <t>@laksmidamayanti2</t>
  </si>
  <si>
    <t>@lalalafyouuu</t>
  </si>
  <si>
    <t>@lalardianss</t>
  </si>
  <si>
    <t>@lannytjo</t>
  </si>
  <si>
    <t>@lazhimah</t>
  </si>
  <si>
    <t>@lazuardimeri</t>
  </si>
  <si>
    <t>@leanderla8</t>
  </si>
  <si>
    <t>@leavlo_</t>
  </si>
  <si>
    <t>@leerubyv</t>
  </si>
  <si>
    <t>@leharoy_pattiradjawane</t>
  </si>
  <si>
    <t>@leibenoname</t>
  </si>
  <si>
    <t>@leninurj</t>
  </si>
  <si>
    <t>@lennyjuwita</t>
  </si>
  <si>
    <t>@lenynuragustina</t>
  </si>
  <si>
    <t>@leoahmdd</t>
  </si>
  <si>
    <t>@leongigs</t>
  </si>
  <si>
    <t>@leovarr</t>
  </si>
  <si>
    <t>@leurinz</t>
  </si>
  <si>
    <t>@lia_aranku</t>
  </si>
  <si>
    <t>@liaferianggrestiana</t>
  </si>
  <si>
    <t>@liasnamaruli</t>
  </si>
  <si>
    <t>@lidiabizza</t>
  </si>
  <si>
    <t>@lidianofi</t>
  </si>
  <si>
    <t>@liffanie</t>
  </si>
  <si>
    <t>@lifnisanders</t>
  </si>
  <si>
    <t>@lihaalihuu</t>
  </si>
  <si>
    <t>@lilidipsie</t>
  </si>
  <si>
    <t>@lilis_akmal</t>
  </si>
  <si>
    <t>@lilscott_x</t>
  </si>
  <si>
    <t>@lindanirmala24</t>
  </si>
  <si>
    <t>@lingling.sptri</t>
  </si>
  <si>
    <t>@linglinglinaa</t>
  </si>
  <si>
    <t>@lingrahma13</t>
  </si>
  <si>
    <t>@lintangmrld</t>
  </si>
  <si>
    <t>@lionwehlah</t>
  </si>
  <si>
    <t>@lisaandhiny</t>
  </si>
  <si>
    <t>@lisahaliza27</t>
  </si>
  <si>
    <t>@lissacahaya_</t>
  </si>
  <si>
    <t>@lita.christabel</t>
  </si>
  <si>
    <t>@littlevendust</t>
  </si>
  <si>
    <t>@liviagabriell</t>
  </si>
  <si>
    <t>@livianatalya</t>
  </si>
  <si>
    <t>@llealinaa</t>
  </si>
  <si>
    <t>@longleggedgirl</t>
  </si>
  <si>
    <t>@louivigrace</t>
  </si>
  <si>
    <t>@louuvrtapee</t>
  </si>
  <si>
    <t>@lubabaa_</t>
  </si>
  <si>
    <t>@luciana_rina_silaban_</t>
  </si>
  <si>
    <t>@luckybimansyah3</t>
  </si>
  <si>
    <t>@lulssky</t>
  </si>
  <si>
    <t>@luniyd91</t>
  </si>
  <si>
    <t>@lupitaalitaa</t>
  </si>
  <si>
    <t>@lutfi.afansyah</t>
  </si>
  <si>
    <t>@lutfiadicha</t>
  </si>
  <si>
    <t>@lydiaaas__</t>
  </si>
  <si>
    <t>@lydiawidianti</t>
  </si>
  <si>
    <t>@lyta_annidapranata</t>
  </si>
  <si>
    <t>@maachiat0o</t>
  </si>
  <si>
    <t>@machan15</t>
  </si>
  <si>
    <t>@magdalenabhe</t>
  </si>
  <si>
    <t>@mahirakaniss</t>
  </si>
  <si>
    <t>@maintennis</t>
  </si>
  <si>
    <t>@makansamakoko</t>
  </si>
  <si>
    <t>@makeupjesslyn</t>
  </si>
  <si>
    <t>@makimadagingcincang</t>
  </si>
  <si>
    <t>@malameze</t>
  </si>
  <si>
    <t>@maleikhi</t>
  </si>
  <si>
    <t>@mamabercerita</t>
  </si>
  <si>
    <t>@mamanianindi</t>
  </si>
  <si>
    <t>@mamasaverodansheila_</t>
  </si>
  <si>
    <t>@mami_divinia</t>
  </si>
  <si>
    <t>@mamibubos</t>
  </si>
  <si>
    <t>@mamijaksel</t>
  </si>
  <si>
    <t>@mandputrr</t>
  </si>
  <si>
    <t>@mankemond</t>
  </si>
  <si>
    <t>@mantrianarani</t>
  </si>
  <si>
    <t>@marcelldarwin58</t>
  </si>
  <si>
    <t>@marcusapi</t>
  </si>
  <si>
    <t>@mardatillahika</t>
  </si>
  <si>
    <t>@margareta.wijaya</t>
  </si>
  <si>
    <t>@margareth_angelina</t>
  </si>
  <si>
    <t>@maria_isnaini</t>
  </si>
  <si>
    <t>@mariaasfc</t>
  </si>
  <si>
    <t>@marinasea26</t>
  </si>
  <si>
    <t>@marindaaws</t>
  </si>
  <si>
    <t>@mariodelano</t>
  </si>
  <si>
    <t>@marissa.megawati</t>
  </si>
  <si>
    <t>@maritzazhrsy</t>
  </si>
  <si>
    <t>@mariyamanta</t>
  </si>
  <si>
    <t>@marsha.jkt48</t>
  </si>
  <si>
    <t>@marshaaazhr</t>
  </si>
  <si>
    <t>@masayudebby89</t>
  </si>
  <si>
    <t>@masmasjawabantul</t>
  </si>
  <si>
    <t>@maswendix</t>
  </si>
  <si>
    <t>@matakukecil</t>
  </si>
  <si>
    <t>@maudyalmiraa</t>
  </si>
  <si>
    <t>@maulanaalzukhri</t>
  </si>
  <si>
    <t>@maulidads</t>
  </si>
  <si>
    <t>@maulisarh</t>
  </si>
  <si>
    <t>@maumaukuji</t>
  </si>
  <si>
    <t>@maurenhwang</t>
  </si>
  <si>
    <t>@mawang.s.i</t>
  </si>
  <si>
    <t>@mawminumaja</t>
  </si>
  <si>
    <t>@may_angeliska</t>
  </si>
  <si>
    <t>@mayadinasaa</t>
  </si>
  <si>
    <t>@mayaems</t>
  </si>
  <si>
    <t>@mayamonica.s</t>
  </si>
  <si>
    <t>@maychelta_love</t>
  </si>
  <si>
    <t>@mayradeva</t>
  </si>
  <si>
    <t>@mayshajhuann</t>
  </si>
  <si>
    <t>@mbakverro</t>
  </si>
  <si>
    <t>@me.me.meiii</t>
  </si>
  <si>
    <t>@meandthingss</t>
  </si>
  <si>
    <t>@meiangeel</t>
  </si>
  <si>
    <t>@meighayudyhs</t>
  </si>
  <si>
    <t>@meiipriska</t>
  </si>
  <si>
    <t>@meiraniamalia</t>
  </si>
  <si>
    <t>@mel_mly20</t>
  </si>
  <si>
    <t>@melatiyeka</t>
  </si>
  <si>
    <t>@melianasiska06</t>
  </si>
  <si>
    <t>@melidaasti</t>
  </si>
  <si>
    <t>@melisa_kusnadi</t>
  </si>
  <si>
    <t>@melisawd__</t>
  </si>
  <si>
    <t>@melissaanggriawan</t>
  </si>
  <si>
    <t>@mellyana.thalikaa</t>
  </si>
  <si>
    <t>@melycholif</t>
  </si>
  <si>
    <t>@memoirpng</t>
  </si>
  <si>
    <t>@merasaria</t>
  </si>
  <si>
    <t>@merlinnats_</t>
  </si>
  <si>
    <t>@metametw</t>
  </si>
  <si>
    <t>@mfarellm_</t>
  </si>
  <si>
    <t>@mfdtnnaf_27</t>
  </si>
  <si>
    <t>@miaagstyn</t>
  </si>
  <si>
    <t>@miahomecatfe</t>
  </si>
  <si>
    <t>@miarefafadila</t>
  </si>
  <si>
    <t>@miawwwallace</t>
  </si>
  <si>
    <t>@mich.lauren_</t>
  </si>
  <si>
    <t>@michaelgwn</t>
  </si>
  <si>
    <t>@michaeltjiu</t>
  </si>
  <si>
    <t>@michelladominique</t>
  </si>
  <si>
    <t>@michelle_v.k</t>
  </si>
  <si>
    <t>@michelleoktani</t>
  </si>
  <si>
    <t>@michelletaniago</t>
  </si>
  <si>
    <t>@mifta.kharimah</t>
  </si>
  <si>
    <t>@mikety08</t>
  </si>
  <si>
    <t>@miledut</t>
  </si>
  <si>
    <t>@mimauluddin</t>
  </si>
  <si>
    <t>@mimii.fairy</t>
  </si>
  <si>
    <t>@minaharisatullisan</t>
  </si>
  <si>
    <t>@minihomeabil</t>
  </si>
  <si>
    <t>@miniituhamini</t>
  </si>
  <si>
    <t>@minijetplane</t>
  </si>
  <si>
    <t>@minla_yg</t>
  </si>
  <si>
    <t>@miraa.fj</t>
  </si>
  <si>
    <t>@mirawaty17</t>
  </si>
  <si>
    <t>@missevev</t>
  </si>
  <si>
    <t>@misyandpiyo</t>
  </si>
  <si>
    <t>@mitseliathya</t>
  </si>
  <si>
    <t>@mlfyfngrstyl</t>
  </si>
  <si>
    <t>@mnayuninglistya</t>
  </si>
  <si>
    <t>@mochamadziddan</t>
  </si>
  <si>
    <t>@mohamedaces</t>
  </si>
  <si>
    <t>@moietchance</t>
  </si>
  <si>
    <t>@moladelle</t>
  </si>
  <si>
    <t>@momcenzio</t>
  </si>
  <si>
    <t>@mommycio0621</t>
  </si>
  <si>
    <t>@monica_ivha</t>
  </si>
  <si>
    <t>@monica.vio</t>
  </si>
  <si>
    <t>@monicantoniio</t>
  </si>
  <si>
    <t>@monichrhd</t>
  </si>
  <si>
    <t>@monnnnnnnique</t>
  </si>
  <si>
    <t>@montparnasse6eme</t>
  </si>
  <si>
    <t>@morningtaisback</t>
  </si>
  <si>
    <t>@mr.eat374</t>
  </si>
  <si>
    <t>@mr.hana_</t>
  </si>
  <si>
    <t>@mrgara</t>
  </si>
  <si>
    <t>@mrgoldbag</t>
  </si>
  <si>
    <t>@mrs.arrusydi</t>
  </si>
  <si>
    <t>@mrsstellach</t>
  </si>
  <si>
    <t>@ms.sherlyo</t>
  </si>
  <si>
    <t>@msacnebegone</t>
  </si>
  <si>
    <t>@msfarhmhoops</t>
  </si>
  <si>
    <t>@msolinaya_</t>
  </si>
  <si>
    <t>@mtrayaa_</t>
  </si>
  <si>
    <t>@muhammadarjun</t>
  </si>
  <si>
    <t>@muhammadcarlos</t>
  </si>
  <si>
    <t>@murnidwikartika</t>
  </si>
  <si>
    <t>@muthejkt48</t>
  </si>
  <si>
    <t>@my.linho</t>
  </si>
  <si>
    <t>@mydeyaaa</t>
  </si>
  <si>
    <t>@mysecrets3lf</t>
  </si>
  <si>
    <t>@n.ureee</t>
  </si>
  <si>
    <t>@naadinndiana</t>
  </si>
  <si>
    <t>@nabilaishma</t>
  </si>
  <si>
    <t>@nabillamentary</t>
  </si>
  <si>
    <t>@nadaferlysia</t>
  </si>
  <si>
    <t>@naddyadea</t>
  </si>
  <si>
    <t>@nadfitr</t>
  </si>
  <si>
    <t>@nadianesa</t>
  </si>
  <si>
    <t>@nadirardys</t>
  </si>
  <si>
    <t>@nadsyzhr</t>
  </si>
  <si>
    <t>@nadya.diego</t>
  </si>
  <si>
    <t>@nadyaaqillaa</t>
  </si>
  <si>
    <t>@nadyabels</t>
  </si>
  <si>
    <t>@naelunsukarelawati18</t>
  </si>
  <si>
    <t>@naely_rachmah</t>
  </si>
  <si>
    <t>@nagi.shaq</t>
  </si>
  <si>
    <t>@nahdaia</t>
  </si>
  <si>
    <t>@naila_aisyah_zahra</t>
  </si>
  <si>
    <t>@nailamunandar</t>
  </si>
  <si>
    <t>@nailarushadd</t>
  </si>
  <si>
    <t>@najlalalalaa</t>
  </si>
  <si>
    <t>@najwaaeyn</t>
  </si>
  <si>
    <t>@najwaqim</t>
  </si>
  <si>
    <t>@namanyajuag</t>
  </si>
  <si>
    <t>@namiraagustinaa</t>
  </si>
  <si>
    <t>@namiradjani</t>
  </si>
  <si>
    <t>@namiraratuu</t>
  </si>
  <si>
    <t>@nananailafhra</t>
  </si>
  <si>
    <t>@nanasarmu</t>
  </si>
  <si>
    <t>@nancmayta</t>
  </si>
  <si>
    <t>@nandapriscillia29</t>
  </si>
  <si>
    <t>@nashani.dindra</t>
  </si>
  <si>
    <t>@nashyasyara</t>
  </si>
  <si>
    <t>@natalia_aysien</t>
  </si>
  <si>
    <t>@nataliajulyana</t>
  </si>
  <si>
    <t>@natashahiranyy</t>
  </si>
  <si>
    <t>@natasianurwitas</t>
  </si>
  <si>
    <t>@natasya_arenta</t>
  </si>
  <si>
    <t>@naufalfawwaz_official</t>
  </si>
  <si>
    <t>@naura_alya_of</t>
  </si>
  <si>
    <t>@nauraadheliaputri</t>
  </si>
  <si>
    <t>@nazila_ummu_faza</t>
  </si>
  <si>
    <t>@nazla.tiara</t>
  </si>
  <si>
    <t>@nazlakhn</t>
  </si>
  <si>
    <t>@neayayah</t>
  </si>
  <si>
    <t>@nessa.sadin</t>
  </si>
  <si>
    <t>@nestie_27</t>
  </si>
  <si>
    <t>@neymakeup</t>
  </si>
  <si>
    <t>@nfkeyla</t>
  </si>
  <si>
    <t>@ngabtos</t>
  </si>
  <si>
    <t>@ngunyahwithtaufik</t>
  </si>
  <si>
    <t>@nia_rizq</t>
  </si>
  <si>
    <t>@nia.knia1</t>
  </si>
  <si>
    <t>@nichawili</t>
  </si>
  <si>
    <t>@nida_mufidah22</t>
  </si>
  <si>
    <t>@nikenandalusia</t>
  </si>
  <si>
    <t>@niki.shuu</t>
  </si>
  <si>
    <t>@nikiwindia</t>
  </si>
  <si>
    <t>@nilaqueen_</t>
  </si>
  <si>
    <t>@niluhputurisyaandari</t>
  </si>
  <si>
    <t>@nindahaf</t>
  </si>
  <si>
    <t>@nindidewi_</t>
  </si>
  <si>
    <t>@ninunaaa</t>
  </si>
  <si>
    <t>@nirwaanantya</t>
  </si>
  <si>
    <t>@nisaa027_</t>
  </si>
  <si>
    <t>@nisabilahanjani</t>
  </si>
  <si>
    <t>@nisheilaf</t>
  </si>
  <si>
    <t>@nissanisyanur</t>
  </si>
  <si>
    <t>@nita.juwithafina</t>
  </si>
  <si>
    <t>@nitafebri01</t>
  </si>
  <si>
    <t>@nitamaharanie</t>
  </si>
  <si>
    <t>@nizzuyy</t>
  </si>
  <si>
    <t>@nmaliccaa</t>
  </si>
  <si>
    <t>@nn.khitt</t>
  </si>
  <si>
    <t>@noellaanindhita</t>
  </si>
  <si>
    <t>@noiscawinasonya</t>
  </si>
  <si>
    <t>@nooppa_</t>
  </si>
  <si>
    <t>@notcaci</t>
  </si>
  <si>
    <t>@notriisaaa</t>
  </si>
  <si>
    <t>@notsol0nely</t>
  </si>
  <si>
    <t>@notursupport</t>
  </si>
  <si>
    <t>@notyourtentor</t>
  </si>
  <si>
    <t>@noureen_adam</t>
  </si>
  <si>
    <t>@novilgstnn</t>
  </si>
  <si>
    <t>@nr.rahmat_</t>
  </si>
  <si>
    <t>@nrlzkh_</t>
  </si>
  <si>
    <t>@ns.putubahagiana</t>
  </si>
  <si>
    <t>@ntlygp</t>
  </si>
  <si>
    <t>@nugiestyles</t>
  </si>
  <si>
    <t>@nunanash_04</t>
  </si>
  <si>
    <t>@nur_mujiana90</t>
  </si>
  <si>
    <t>@nuraliyanatasha13</t>
  </si>
  <si>
    <t>@nurmeyuliai94</t>
  </si>
  <si>
    <t>@nuruladds</t>
  </si>
  <si>
    <t>@nurulafrinaapt</t>
  </si>
  <si>
    <t>@nurulmahfudhotin</t>
  </si>
  <si>
    <t>@nutri.jilie</t>
  </si>
  <si>
    <t>@nyakizza</t>
  </si>
  <si>
    <t>@nyndooo</t>
  </si>
  <si>
    <t>@nyok_elen</t>
  </si>
  <si>
    <t>@oceanasky_</t>
  </si>
  <si>
    <t>@odikabayu</t>
  </si>
  <si>
    <t>@ohipaipa</t>
  </si>
  <si>
    <t>@oktadanik</t>
  </si>
  <si>
    <t>@oktavialaw</t>
  </si>
  <si>
    <t>@olgazebrinaa</t>
  </si>
  <si>
    <t>@oliphyo</t>
  </si>
  <si>
    <t>@oliverjane</t>
  </si>
  <si>
    <t>@olivesuryanto</t>
  </si>
  <si>
    <t>@ollskull</t>
  </si>
  <si>
    <t>@olviapp</t>
  </si>
  <si>
    <t>@onedinda</t>
  </si>
  <si>
    <t>@onie_callista</t>
  </si>
  <si>
    <t>@opakaefsi</t>
  </si>
  <si>
    <t>@orandm</t>
  </si>
  <si>
    <t>@oryzaaaaaf</t>
  </si>
  <si>
    <t>@othersideofcaroline</t>
  </si>
  <si>
    <t>@oubreyauliaa</t>
  </si>
  <si>
    <t>@outbrakeid</t>
  </si>
  <si>
    <t>@ovi_roro</t>
  </si>
  <si>
    <t>@ovierestii</t>
  </si>
  <si>
    <t>@ovilia_dht</t>
  </si>
  <si>
    <t>@ovillaasdha</t>
  </si>
  <si>
    <t>@pacarkamuinii</t>
  </si>
  <si>
    <t>@pacarwooseok_oppa</t>
  </si>
  <si>
    <t>@padeendul</t>
  </si>
  <si>
    <t>@pamelaigann</t>
  </si>
  <si>
    <t>@panjijawara</t>
  </si>
  <si>
    <t>@paperflower_bylita</t>
  </si>
  <si>
    <t>@parent.ina</t>
  </si>
  <si>
    <t>@patricevianca</t>
  </si>
  <si>
    <t>@patrinevianca</t>
  </si>
  <si>
    <t>@pattygurlz</t>
  </si>
  <si>
    <t>@paulinekharisma</t>
  </si>
  <si>
    <t>@payy______sya</t>
  </si>
  <si>
    <t>@pdx.kitty</t>
  </si>
  <si>
    <t>@peaceano</t>
  </si>
  <si>
    <t>@pencildrwng</t>
  </si>
  <si>
    <t>@perdana.indra</t>
  </si>
  <si>
    <t>@pesimussel</t>
  </si>
  <si>
    <t>@phinadyaenggar</t>
  </si>
  <si>
    <t>@phoebevalentina</t>
  </si>
  <si>
    <t>@plumptolean</t>
  </si>
  <si>
    <t>@pluto0child</t>
  </si>
  <si>
    <t>@plxelqrte</t>
  </si>
  <si>
    <t>@pophaustic</t>
  </si>
  <si>
    <t>@pranastyaiqball</t>
  </si>
  <si>
    <t>@praserika2</t>
  </si>
  <si>
    <t>@pratiwidya_</t>
  </si>
  <si>
    <t>@prawindafitri</t>
  </si>
  <si>
    <t>@pricilia_micca</t>
  </si>
  <si>
    <t>@pridmagusti</t>
  </si>
  <si>
    <t>@primabaros</t>
  </si>
  <si>
    <t>@princes_clovenka</t>
  </si>
  <si>
    <t>@priscilla.wresty</t>
  </si>
  <si>
    <t>@priscillaraintung</t>
  </si>
  <si>
    <t>@priscillia_danillie18</t>
  </si>
  <si>
    <t>@priscufifuh</t>
  </si>
  <si>
    <t>@priska_christnova</t>
  </si>
  <si>
    <t>@prmswrijanii</t>
  </si>
  <si>
    <t>@proterinabati</t>
  </si>
  <si>
    <t>@prscllseira</t>
  </si>
  <si>
    <t>@prudenceangl</t>
  </si>
  <si>
    <t>@ptr_mayangg</t>
  </si>
  <si>
    <t>@ptramrqz_</t>
  </si>
  <si>
    <t>@puahsitistory</t>
  </si>
  <si>
    <t>@pungkydp17</t>
  </si>
  <si>
    <t>@puputrimakeup</t>
  </si>
  <si>
    <t>@pupuyeng_</t>
  </si>
  <si>
    <t>@purplelithaass</t>
  </si>
  <si>
    <t>@puspitajati</t>
  </si>
  <si>
    <t>@puspitawulandari88</t>
  </si>
  <si>
    <t>@puspitayusari</t>
  </si>
  <si>
    <t>@putcorn</t>
  </si>
  <si>
    <t>@puteriersa</t>
  </si>
  <si>
    <t>@putrakangkuk</t>
  </si>
  <si>
    <t>@putramangaraja</t>
  </si>
  <si>
    <t>@putriaasyy</t>
  </si>
  <si>
    <t>@putriduyung14</t>
  </si>
  <si>
    <t>@putriiii_1709</t>
  </si>
  <si>
    <t>@putrimith</t>
  </si>
  <si>
    <t>@putrinurwanti11</t>
  </si>
  <si>
    <t>@putrisarahsanly</t>
  </si>
  <si>
    <t>@putrynie</t>
  </si>
  <si>
    <t>@puttri_joy</t>
  </si>
  <si>
    <t>@pylucious</t>
  </si>
  <si>
    <t>@qifa_r</t>
  </si>
  <si>
    <t>@qiminyoo</t>
  </si>
  <si>
    <t>@qonita.zh</t>
  </si>
  <si>
    <t>@qqdilla</t>
  </si>
  <si>
    <t>@queen_veeoliviaa</t>
  </si>
  <si>
    <t>@quinn.jiva</t>
  </si>
  <si>
    <t>@quinshakimora</t>
  </si>
  <si>
    <t>@r00fle</t>
  </si>
  <si>
    <t>@r12h05</t>
  </si>
  <si>
    <t>@racerlaoban</t>
  </si>
  <si>
    <t>@rachelins11</t>
  </si>
  <si>
    <t>@racunwithdivani</t>
  </si>
  <si>
    <t>@racuuunwidya</t>
  </si>
  <si>
    <t>@radeis_mokoginta</t>
  </si>
  <si>
    <t>@radenajengagustina_</t>
  </si>
  <si>
    <t>@radintabtari</t>
  </si>
  <si>
    <t>@raffattarrayyan</t>
  </si>
  <si>
    <t>@raflyfs7</t>
  </si>
  <si>
    <t>@rahadianfaqih</t>
  </si>
  <si>
    <t>@rahimmahs</t>
  </si>
  <si>
    <t>@rahmadani_safitri13</t>
  </si>
  <si>
    <t>@rahmandaps</t>
  </si>
  <si>
    <t>@rahmicahyasarii</t>
  </si>
  <si>
    <t>@raihandwindra</t>
  </si>
  <si>
    <t>@rainaaaa02</t>
  </si>
  <si>
    <t>@rainaomi.alesha.mashel</t>
  </si>
  <si>
    <t>@raindahmaydna</t>
  </si>
  <si>
    <t>@raisha.ar</t>
  </si>
  <si>
    <t>@raissanadia11</t>
  </si>
  <si>
    <t>@rakkazizz</t>
  </si>
  <si>
    <t>@ralpheugene15</t>
  </si>
  <si>
    <t>@ramadhan_sraj</t>
  </si>
  <si>
    <t>@ramorasya</t>
  </si>
  <si>
    <t>@ramzibayhaqie</t>
  </si>
  <si>
    <t>@raniaacantika</t>
  </si>
  <si>
    <t>@raniahalaydroes</t>
  </si>
  <si>
    <t>@raniueow</t>
  </si>
  <si>
    <t>@raracellina</t>
  </si>
  <si>
    <t>@rarascitra</t>
  </si>
  <si>
    <t>@rashdamawn</t>
  </si>
  <si>
    <t>@ratich.palgunadi</t>
  </si>
  <si>
    <t>@ratih_putri0</t>
  </si>
  <si>
    <t>@ratih.diningsih</t>
  </si>
  <si>
    <t>@ratikaptri</t>
  </si>
  <si>
    <t>@ratna.kartiika</t>
  </si>
  <si>
    <t>@ratnasabilla</t>
  </si>
  <si>
    <t>@ratu.ghania</t>
  </si>
  <si>
    <t>@ratujesya</t>
  </si>
  <si>
    <t>@ratukachitaa</t>
  </si>
  <si>
    <t>@ratukusumaningrum</t>
  </si>
  <si>
    <t>@rauzyiranda</t>
  </si>
  <si>
    <t>@ravondra_asyam</t>
  </si>
  <si>
    <t>@ravuuunzel</t>
  </si>
  <si>
    <t>@raybel.14</t>
  </si>
  <si>
    <t>@raynaaptr_</t>
  </si>
  <si>
    <t>@raynaldowijaya</t>
  </si>
  <si>
    <t>@razanialsya</t>
  </si>
  <si>
    <t>@rcnsqrtyn</t>
  </si>
  <si>
    <t>@rdiaaan</t>
  </si>
  <si>
    <t>@rdnanik</t>
  </si>
  <si>
    <t>@reaaaulyh_</t>
  </si>
  <si>
    <t>@recepiforyouu</t>
  </si>
  <si>
    <t>@redjaramli19</t>
  </si>
  <si>
    <t>@regiitenk</t>
  </si>
  <si>
    <t>@regina.audrianov</t>
  </si>
  <si>
    <t>@regina.tanya</t>
  </si>
  <si>
    <t>@reginaayudita</t>
  </si>
  <si>
    <t>@reginaltf</t>
  </si>
  <si>
    <t>@reinermawan</t>
  </si>
  <si>
    <t>@rekomendasi_abin</t>
  </si>
  <si>
    <t>@renssinaaa_</t>
  </si>
  <si>
    <t>@rereeonni</t>
  </si>
  <si>
    <t>@resansp</t>
  </si>
  <si>
    <t>@resisundari29</t>
  </si>
  <si>
    <t>@restawin99</t>
  </si>
  <si>
    <t>@restusyahputrii</t>
  </si>
  <si>
    <t>@retnanikory</t>
  </si>
  <si>
    <t>@revelkenneth</t>
  </si>
  <si>
    <t>@reviewmamais</t>
  </si>
  <si>
    <t>@reviewyuk21</t>
  </si>
  <si>
    <t>@reyza.dahlia</t>
  </si>
  <si>
    <t>@rezartari</t>
  </si>
  <si>
    <t>@rframadhantyy</t>
  </si>
  <si>
    <t>@rfrzazzz</t>
  </si>
  <si>
    <t>@rftkmida_</t>
  </si>
  <si>
    <t>@rgdiwan1010</t>
  </si>
  <si>
    <t>@rhasiebatarap</t>
  </si>
  <si>
    <t>@rhizmaa78</t>
  </si>
  <si>
    <t>@rhmdniainbri_</t>
  </si>
  <si>
    <t>@riadnti</t>
  </si>
  <si>
    <t>@ribkaaugust</t>
  </si>
  <si>
    <t>@richa_annisa</t>
  </si>
  <si>
    <t>@ridho_mohamad</t>
  </si>
  <si>
    <t>@ridwan.maulanaa_</t>
  </si>
  <si>
    <t>@rie_nadisya</t>
  </si>
  <si>
    <t>@rifaneyy0</t>
  </si>
  <si>
    <t>@rifel_ipe04</t>
  </si>
  <si>
    <t>@rifkarofiah</t>
  </si>
  <si>
    <t>@riiidh0</t>
  </si>
  <si>
    <t>@riiyanti30</t>
  </si>
  <si>
    <t>@rikaaaaams</t>
  </si>
  <si>
    <t>@rikaakhanaa</t>
  </si>
  <si>
    <t>@rikigustiana</t>
  </si>
  <si>
    <t>@rimarismayanti56</t>
  </si>
  <si>
    <t>@rina_hayden_evelyn</t>
  </si>
  <si>
    <t>@rinaldyprast</t>
  </si>
  <si>
    <t>@rinanose_josscy</t>
  </si>
  <si>
    <t>@riniperdiyanti77</t>
  </si>
  <si>
    <t>@riopra22_</t>
  </si>
  <si>
    <t>@ripanakmalamir</t>
  </si>
  <si>
    <t>@ririeprameswari</t>
  </si>
  <si>
    <t>@ririi.tann</t>
  </si>
  <si>
    <t>@risamhq</t>
  </si>
  <si>
    <t>@riska_aseftiana</t>
  </si>
  <si>
    <t>@riskeu7134</t>
  </si>
  <si>
    <t>@riskisorra</t>
  </si>
  <si>
    <t>@riskyamiliya</t>
  </si>
  <si>
    <t>@rismaaisyah11</t>
  </si>
  <si>
    <t>@risolunyil</t>
  </si>
  <si>
    <t>@ristafhani</t>
  </si>
  <si>
    <t>@risty.aja</t>
  </si>
  <si>
    <t>@ritmaraa</t>
  </si>
  <si>
    <t>@rivanirahmadani</t>
  </si>
  <si>
    <t>@rizalhamzahnasution</t>
  </si>
  <si>
    <t>@rizanjani</t>
  </si>
  <si>
    <t>@rizantifadilah</t>
  </si>
  <si>
    <t>@rizayitnawati</t>
  </si>
  <si>
    <t>@rizkambalika</t>
  </si>
  <si>
    <t>@rizkayunindaa</t>
  </si>
  <si>
    <t>@rizkiapebriyantii</t>
  </si>
  <si>
    <t>@rizkymaulana5450</t>
  </si>
  <si>
    <t>@rizmalda_</t>
  </si>
  <si>
    <t>@rlinachang</t>
  </si>
  <si>
    <t>@ronal.kim_taeroo98</t>
  </si>
  <si>
    <t>@ronaldandrian.k</t>
  </si>
  <si>
    <t>@ronaromansyah11</t>
  </si>
  <si>
    <t>@rosaliameydln</t>
  </si>
  <si>
    <t>@rosellienonn</t>
  </si>
  <si>
    <t>@rosiiii_1</t>
  </si>
  <si>
    <t>@rosiitaputri_</t>
  </si>
  <si>
    <t>@rowienaumboh</t>
  </si>
  <si>
    <t>@rozeismyname</t>
  </si>
  <si>
    <t>@rrajjaar_</t>
  </si>
  <si>
    <t>@rratuasha</t>
  </si>
  <si>
    <t>@rratuwn</t>
  </si>
  <si>
    <t>@rumah.atu</t>
  </si>
  <si>
    <t>@rumah.kaia</t>
  </si>
  <si>
    <t>@rumahriqata</t>
  </si>
  <si>
    <t>@rumahurang</t>
  </si>
  <si>
    <t>@rushrunners</t>
  </si>
  <si>
    <t>@ruthwilianto</t>
  </si>
  <si>
    <t>@rvylichah</t>
  </si>
  <si>
    <t>@ryana15_</t>
  </si>
  <si>
    <t>@ryanayam</t>
  </si>
  <si>
    <t>@ryanfadh</t>
  </si>
  <si>
    <t>@ryanottelo</t>
  </si>
  <si>
    <t>@rzfany_</t>
  </si>
  <si>
    <t>@s_meilani5</t>
  </si>
  <si>
    <t>@s.abila</t>
  </si>
  <si>
    <t>@saafrinna</t>
  </si>
  <si>
    <t>@sabarglowup</t>
  </si>
  <si>
    <t>@sabbilaags</t>
  </si>
  <si>
    <t>@sabrinayovela</t>
  </si>
  <si>
    <t>@sadrinaoctadelya</t>
  </si>
  <si>
    <t>@safitriaayu</t>
  </si>
  <si>
    <t>@safsafierra</t>
  </si>
  <si>
    <t>@salamaazizahh</t>
  </si>
  <si>
    <t>@salmaaristiana</t>
  </si>
  <si>
    <t>@salmafitri8</t>
  </si>
  <si>
    <t>@salmameiiiii</t>
  </si>
  <si>
    <t>@salmazzhra18</t>
  </si>
  <si>
    <t>@salmon.roll</t>
  </si>
  <si>
    <t>@salsabilaenn</t>
  </si>
  <si>
    <t>@salsabilainii</t>
  </si>
  <si>
    <t>@salsabilasalwaaa</t>
  </si>
  <si>
    <t>@salsabilazta</t>
  </si>
  <si>
    <t>@salvalie</t>
  </si>
  <si>
    <t>@samanthaahana</t>
  </si>
  <si>
    <t>@san_saniaa</t>
  </si>
  <si>
    <t>@sanditia_permata</t>
  </si>
  <si>
    <t>@sanntania</t>
  </si>
  <si>
    <t>@sanshiners</t>
  </si>
  <si>
    <t>@santimaesyaroh</t>
  </si>
  <si>
    <t>@saphirasyndrome</t>
  </si>
  <si>
    <t>@sara.nataliasnl</t>
  </si>
  <si>
    <t>@sarah.aidid</t>
  </si>
  <si>
    <t>@sarahtumiwa</t>
  </si>
  <si>
    <t>@sariislamioktovia</t>
  </si>
  <si>
    <t>@sasaads22</t>
  </si>
  <si>
    <t>@saufanyy</t>
  </si>
  <si>
    <t>@sawanganupdate</t>
  </si>
  <si>
    <t>@scharliezetjong</t>
  </si>
  <si>
    <t>@seanifersydney</t>
  </si>
  <si>
    <t>@secnidaaa</t>
  </si>
  <si>
    <t>@sefiiin</t>
  </si>
  <si>
    <t>@seilairfniaaa</t>
  </si>
  <si>
    <t>@seillarahma</t>
  </si>
  <si>
    <t>@selasidoo</t>
  </si>
  <si>
    <t>@selina.agusta</t>
  </si>
  <si>
    <t>@selinaagusta</t>
  </si>
  <si>
    <t>@semoganakbaik</t>
  </si>
  <si>
    <t>@senjafirsta</t>
  </si>
  <si>
    <t>@sennysetia</t>
  </si>
  <si>
    <t>@sephioora</t>
  </si>
  <si>
    <t>@septinasilalahi</t>
  </si>
  <si>
    <t>@serviralvty</t>
  </si>
  <si>
    <t>@seti.yw</t>
  </si>
  <si>
    <t>@shaaaqy</t>
  </si>
  <si>
    <t>@shab00ri</t>
  </si>
  <si>
    <t>@shafadriness</t>
  </si>
  <si>
    <t>@shafaikaa</t>
  </si>
  <si>
    <t>@shaguffta_</t>
  </si>
  <si>
    <t>@shalsarsyaa</t>
  </si>
  <si>
    <t>@shalsarsyaa?lang=en</t>
  </si>
  <si>
    <t>@shandrabahari</t>
  </si>
  <si>
    <t>@shannonkurniawan_</t>
  </si>
  <si>
    <t>@sharengraciella</t>
  </si>
  <si>
    <t>@sharon_christabelle</t>
  </si>
  <si>
    <t>@shaturday</t>
  </si>
  <si>
    <t>@she_wian</t>
  </si>
  <si>
    <t>@shellaapriliahanada</t>
  </si>
  <si>
    <t>@sherlavenia</t>
  </si>
  <si>
    <t>@sherly.ocktavia</t>
  </si>
  <si>
    <t>@sherlyaltissa</t>
  </si>
  <si>
    <t>@sherlycalistaa</t>
  </si>
  <si>
    <t>@sherlylid_</t>
  </si>
  <si>
    <t>@shevaudreyy</t>
  </si>
  <si>
    <t>@sheza.dw</t>
  </si>
  <si>
    <t>@shfraa._a</t>
  </si>
  <si>
    <t>@shhhhne</t>
  </si>
  <si>
    <t>@shinta.deput</t>
  </si>
  <si>
    <t>@shivbell</t>
  </si>
  <si>
    <t>@shopee.stash</t>
  </si>
  <si>
    <t>@shorthairme_</t>
  </si>
  <si>
    <t>@shortneckkk</t>
  </si>
  <si>
    <t>@shortygrey</t>
  </si>
  <si>
    <t>@shusiie_limbong</t>
  </si>
  <si>
    <t>@shynaudina</t>
  </si>
  <si>
    <t>@sichandrajayapermana</t>
  </si>
  <si>
    <t>@sifa.sipol</t>
  </si>
  <si>
    <t>@siibuuyuy</t>
  </si>
  <si>
    <t>@sikesayangann</t>
  </si>
  <si>
    <t>@silviafajrins</t>
  </si>
  <si>
    <t>@silviajnd</t>
  </si>
  <si>
    <t>@silvinurrahayu</t>
  </si>
  <si>
    <t>@sindiauliaaay</t>
  </si>
  <si>
    <t>@sindysukendy</t>
  </si>
  <si>
    <t>@sinthiasindy</t>
  </si>
  <si>
    <t>@sipinug</t>
  </si>
  <si>
    <t>@sirliulfa</t>
  </si>
  <si>
    <t>@siscaisma</t>
  </si>
  <si>
    <t>@sistersbourbond</t>
  </si>
  <si>
    <t>@sitinurnaibah_</t>
  </si>
  <si>
    <t>@sitisarahadiyastuti?r=nametag</t>
  </si>
  <si>
    <t>@situkangjajanjogja</t>
  </si>
  <si>
    <t>@skingasmid</t>
  </si>
  <si>
    <t>@skinofmeid</t>
  </si>
  <si>
    <t>@skolastikaingee</t>
  </si>
  <si>
    <t>@skylesjours</t>
  </si>
  <si>
    <t>@skyliezzlemynizzl</t>
  </si>
  <si>
    <t>@sllsbila2</t>
  </si>
  <si>
    <t>@sniaaaaaaaaaaaaaa_</t>
  </si>
  <si>
    <t>@so.niall</t>
  </si>
  <si>
    <t>@sofyaulfa_</t>
  </si>
  <si>
    <t>@someoneclass2</t>
  </si>
  <si>
    <t>@song.anna06</t>
  </si>
  <si>
    <t>@sophiaaljufri</t>
  </si>
  <si>
    <t>@soviborntoplay</t>
  </si>
  <si>
    <t>@spalspilgurl</t>
  </si>
  <si>
    <t>@spicycurryyramen</t>
  </si>
  <si>
    <t>@squisu</t>
  </si>
  <si>
    <t>@srcn111</t>
  </si>
  <si>
    <t>@sriingsh_</t>
  </si>
  <si>
    <t>@srirahma_y</t>
  </si>
  <si>
    <t>@ssoursally</t>
  </si>
  <si>
    <t>@st.adhaayu</t>
  </si>
  <si>
    <t>@stabiitaaa</t>
  </si>
  <si>
    <t>@starvavva</t>
  </si>
  <si>
    <t>@stefandhermanus</t>
  </si>
  <si>
    <t>@stellameryl</t>
  </si>
  <si>
    <t>@stells_diary</t>
  </si>
  <si>
    <t>@stephagathaw</t>
  </si>
  <si>
    <t>@stephdish</t>
  </si>
  <si>
    <t>@stevanpasaribu</t>
  </si>
  <si>
    <t>@stfutooo</t>
  </si>
  <si>
    <t>@subasri_16</t>
  </si>
  <si>
    <t>@suciawaliahharis</t>
  </si>
  <si>
    <t>@sucifitriaapriani</t>
  </si>
  <si>
    <t>@suhandrifamily</t>
  </si>
  <si>
    <t>@suhvashv</t>
  </si>
  <si>
    <t>@sukangegym</t>
  </si>
  <si>
    <t>@sukmaasuk</t>
  </si>
  <si>
    <t>@summernichols.model</t>
  </si>
  <si>
    <t>@sundayaromatics</t>
  </si>
  <si>
    <t>@surjakentjana</t>
  </si>
  <si>
    <t>@susiayulestari_</t>
  </si>
  <si>
    <t>@susidevitta</t>
  </si>
  <si>
    <t>@susiibeauty96</t>
  </si>
  <si>
    <t>@sweeturcandy</t>
  </si>
  <si>
    <t>@sweetyzf</t>
  </si>
  <si>
    <t>@syaaviolett</t>
  </si>
  <si>
    <t>@syafithfz</t>
  </si>
  <si>
    <t>@syahranithomasri</t>
  </si>
  <si>
    <t>@syamalwahab</t>
  </si>
  <si>
    <t>@syavicaf</t>
  </si>
  <si>
    <t>@sye.daily</t>
  </si>
  <si>
    <t>@syifabyandra</t>
  </si>
  <si>
    <t>@syifahadjuuuuuuu</t>
  </si>
  <si>
    <t>@syifaslestari</t>
  </si>
  <si>
    <t>@sylauvme</t>
  </si>
  <si>
    <t>@sylviatann_</t>
  </si>
  <si>
    <t>@sylvyprinces</t>
  </si>
  <si>
    <t>@synaprrr</t>
  </si>
  <si>
    <t>@syuka2mintul</t>
  </si>
  <si>
    <t>@taclaresta</t>
  </si>
  <si>
    <t>@talbotrio</t>
  </si>
  <si>
    <t>@talitaredja</t>
  </si>
  <si>
    <t>@tantish</t>
  </si>
  <si>
    <t>@taqy_comel</t>
  </si>
  <si>
    <t>@tar.nl</t>
  </si>
  <si>
    <t>@tarachika</t>
  </si>
  <si>
    <t>@tastehuntsman</t>
  </si>
  <si>
    <t>@tasyacalista_</t>
  </si>
  <si>
    <t>@tasyalvioo</t>
  </si>
  <si>
    <t>@tasyamalinda_</t>
  </si>
  <si>
    <t>@tasyaoctav</t>
  </si>
  <si>
    <t>@tatangazak</t>
  </si>
  <si>
    <t>@tataokta93</t>
  </si>
  <si>
    <t>@tatasyaah</t>
  </si>
  <si>
    <t>@taufikeffendi88</t>
  </si>
  <si>
    <t>@tavaleras</t>
  </si>
  <si>
    <t>@tdianakusmi</t>
  </si>
  <si>
    <t>@temilladwenty</t>
  </si>
  <si>
    <t>@tenya.cynthiadi</t>
  </si>
  <si>
    <t>@tessa_aan</t>
  </si>
  <si>
    <t>@thaa_0322</t>
  </si>
  <si>
    <t>@thaluaaaa</t>
  </si>
  <si>
    <t>@thariolivia</t>
  </si>
  <si>
    <t>@thasyaserafina_</t>
  </si>
  <si>
    <t>@themaplemedia</t>
  </si>
  <si>
    <t>@themunchingbee</t>
  </si>
  <si>
    <t>@thesipitz</t>
  </si>
  <si>
    <t>@thisishannon</t>
  </si>
  <si>
    <t>@thoipatun</t>
  </si>
  <si>
    <t>@thotbarbie</t>
  </si>
  <si>
    <t>@threeazz</t>
  </si>
  <si>
    <t>@thvvrichi</t>
  </si>
  <si>
    <t>@thyarassii</t>
  </si>
  <si>
    <t>@tiakrtka_</t>
  </si>
  <si>
    <t>@tiarahasian_</t>
  </si>
  <si>
    <t>@tiaraptrb__</t>
  </si>
  <si>
    <t>@tika.mulyawati</t>
  </si>
  <si>
    <t>@tikamuzt</t>
  </si>
  <si>
    <t>@tiktoknyaadam</t>
  </si>
  <si>
    <t>@tips.ibunda</t>
  </si>
  <si>
    <t>@tirtogandaa</t>
  </si>
  <si>
    <t>@titis.puji</t>
  </si>
  <si>
    <t>@tiwi_prawito</t>
  </si>
  <si>
    <t>@topiieq</t>
  </si>
  <si>
    <t>@tracy_3110</t>
  </si>
  <si>
    <t>@travellercantique</t>
  </si>
  <si>
    <t>@tri_murtii</t>
  </si>
  <si>
    <t>@triaayu41</t>
  </si>
  <si>
    <t>@triarona</t>
  </si>
  <si>
    <t>@trishaln</t>
  </si>
  <si>
    <t>@ts.jasmine</t>
  </si>
  <si>
    <t>@tsanianl_</t>
  </si>
  <si>
    <t>@tsanqinr</t>
  </si>
  <si>
    <t>@ttaaokk05</t>
  </si>
  <si>
    <t>@tuanmudatazir</t>
  </si>
  <si>
    <t>@tukangmakeuppp</t>
  </si>
  <si>
    <t>@tumbenrajin</t>
  </si>
  <si>
    <t>@twindasigma</t>
  </si>
  <si>
    <t>@twulandar_</t>
  </si>
  <si>
    <t>@tyaap10</t>
  </si>
  <si>
    <t>@tyamarizaa</t>
  </si>
  <si>
    <t>@tyasnay</t>
  </si>
  <si>
    <t>@tyassyaff</t>
  </si>
  <si>
    <t>@tytamurti</t>
  </si>
  <si>
    <t>@tytaptr</t>
  </si>
  <si>
    <t>@ucyullll</t>
  </si>
  <si>
    <t>@ufo_yaa</t>
  </si>
  <si>
    <t>@ulfahnurhidayati_</t>
  </si>
  <si>
    <t>@ulfamarryee</t>
  </si>
  <si>
    <t>@ulfawm</t>
  </si>
  <si>
    <t>@ulyashafa</t>
  </si>
  <si>
    <t>@ulyayulihana</t>
  </si>
  <si>
    <t>@umacantikk</t>
  </si>
  <si>
    <t>@umik_ilonatanjung</t>
  </si>
  <si>
    <t>@ummafathan</t>
  </si>
  <si>
    <t>@ummi_quary30</t>
  </si>
  <si>
    <t>@ummi_umaroh</t>
  </si>
  <si>
    <t>@ummuava</t>
  </si>
  <si>
    <t>@una_husnana</t>
  </si>
  <si>
    <t>@uncahbuncah</t>
  </si>
  <si>
    <t>@uni.esce</t>
  </si>
  <si>
    <t>@unie.88</t>
  </si>
  <si>
    <t>@upalestari12</t>
  </si>
  <si>
    <t>@urr911_</t>
  </si>
  <si>
    <t>@ursecretwitch</t>
  </si>
  <si>
    <t>@uswatunkhasanah.93</t>
  </si>
  <si>
    <t>@utamigunawati</t>
  </si>
  <si>
    <t>@vaalllssss</t>
  </si>
  <si>
    <t>@vajraalexey</t>
  </si>
  <si>
    <t>@vallyrians</t>
  </si>
  <si>
    <t>@vamells</t>
  </si>
  <si>
    <t>@vaniahendra</t>
  </si>
  <si>
    <t>@vaniakwans</t>
  </si>
  <si>
    <t>@vanilla.latte28</t>
  </si>
  <si>
    <t>@vaninovia</t>
  </si>
  <si>
    <t>@vebrianieamz</t>
  </si>
  <si>
    <t>@veliaveve_</t>
  </si>
  <si>
    <t>@vellawss</t>
  </si>
  <si>
    <t>@velsjournal</t>
  </si>
  <si>
    <t>@vendialexander</t>
  </si>
  <si>
    <t>@ventyherdian29</t>
  </si>
  <si>
    <t>@venvenod</t>
  </si>
  <si>
    <t>@verasiagian</t>
  </si>
  <si>
    <t>@verdinvee</t>
  </si>
  <si>
    <t>@verinanath</t>
  </si>
  <si>
    <t>@verinavee_</t>
  </si>
  <si>
    <t>@veronaavl</t>
  </si>
  <si>
    <t>@veroniamelia</t>
  </si>
  <si>
    <t>@veronicafbny</t>
  </si>
  <si>
    <t>@verrenchristy12</t>
  </si>
  <si>
    <t>@vervee_</t>
  </si>
  <si>
    <t>@vevenita17</t>
  </si>
  <si>
    <t>@veyba.anindita</t>
  </si>
  <si>
    <t>@vhiiaa.svlyn</t>
  </si>
  <si>
    <t>@vi.homecafe</t>
  </si>
  <si>
    <t>@viana_fransiscayra</t>
  </si>
  <si>
    <t>@vianny_acoustic</t>
  </si>
  <si>
    <t>@vibeswith.yesha</t>
  </si>
  <si>
    <t>@victori_vitality</t>
  </si>
  <si>
    <t>@vidamardatillah_</t>
  </si>
  <si>
    <t>@vinaalubis_</t>
  </si>
  <si>
    <t>@vinaariyanti2020</t>
  </si>
  <si>
    <t>@vinacuu12</t>
  </si>
  <si>
    <t>@vinaoktav15</t>
  </si>
  <si>
    <t>@vinasilvani</t>
  </si>
  <si>
    <t>@vinavia89</t>
  </si>
  <si>
    <t>@vincedi.gg</t>
  </si>
  <si>
    <t>@vinkaniaaa</t>
  </si>
  <si>
    <t>@vinnagraciaa</t>
  </si>
  <si>
    <t>@viofitriana</t>
  </si>
  <si>
    <t>@violetviancadhia</t>
  </si>
  <si>
    <t>@vissiapoppy</t>
  </si>
  <si>
    <t>@vitri.annna</t>
  </si>
  <si>
    <t>@vivipihh</t>
  </si>
  <si>
    <t>@vnessakr</t>
  </si>
  <si>
    <t>@vynamoniccaaa</t>
  </si>
  <si>
    <t>@w_homecafe</t>
  </si>
  <si>
    <t>@wabisabi.jogja</t>
  </si>
  <si>
    <t>@wahyuanishau</t>
  </si>
  <si>
    <t>@wenisita11</t>
  </si>
  <si>
    <t>@wenty.ing</t>
  </si>
  <si>
    <t>@wevvssmusic</t>
  </si>
  <si>
    <t>@wh0dlv</t>
  </si>
  <si>
    <t>@whyve</t>
  </si>
  <si>
    <t>@widyatarmizi</t>
  </si>
  <si>
    <t>@willamaidia</t>
  </si>
  <si>
    <t>@williamlomban</t>
  </si>
  <si>
    <t>@williamnugraha</t>
  </si>
  <si>
    <t>@winandaharistha</t>
  </si>
  <si>
    <t>@winolasebastian</t>
  </si>
  <si>
    <t>@witaervianda</t>
  </si>
  <si>
    <t>@wlsleo2</t>
  </si>
  <si>
    <t>@wndi.aa__</t>
  </si>
  <si>
    <t>@wulanoctarya</t>
  </si>
  <si>
    <t>@xeronav</t>
  </si>
  <si>
    <t>@xicadel_</t>
  </si>
  <si>
    <t>@xpeditiontravelove</t>
  </si>
  <si>
    <t>@xvtree</t>
  </si>
  <si>
    <t>@y0urcocaine</t>
  </si>
  <si>
    <t>@yakalimel</t>
  </si>
  <si>
    <t>@yallbewildinaf</t>
  </si>
  <si>
    <t>@yanna.oxania</t>
  </si>
  <si>
    <t>@yantianiz</t>
  </si>
  <si>
    <t>@yarabbiiii</t>
  </si>
  <si>
    <t>@yashyashbaby</t>
  </si>
  <si>
    <t>@yasminaashilaa</t>
  </si>
  <si>
    <t>@yay.nads</t>
  </si>
  <si>
    <t>@yayukistiana606</t>
  </si>
  <si>
    <t>@yemimaashn</t>
  </si>
  <si>
    <t>@yeni_ermawaty</t>
  </si>
  <si>
    <t>@yennip.tambak</t>
  </si>
  <si>
    <t>@yennyxiu</t>
  </si>
  <si>
    <t>@yerikhotuasela</t>
  </si>
  <si>
    <t>@yessi_js</t>
  </si>
  <si>
    <t>@yesyade</t>
  </si>
  <si>
    <t>@yevamenorah</t>
  </si>
  <si>
    <t>@yeyedgr</t>
  </si>
  <si>
    <t>@yikesjeezy</t>
  </si>
  <si>
    <t>@yo_sipu</t>
  </si>
  <si>
    <t>@yogaffmaulana</t>
  </si>
  <si>
    <t>@yolaalumbangaol</t>
  </si>
  <si>
    <t>@yolkp</t>
  </si>
  <si>
    <t>@yoniza_fbrn</t>
  </si>
  <si>
    <t>@yonobakrie_</t>
  </si>
  <si>
    <t>@yosikaantyas</t>
  </si>
  <si>
    <t>@yourfavoriteb0y</t>
  </si>
  <si>
    <t>@youronlyhijabi</t>
  </si>
  <si>
    <t>@yparikesit</t>
  </si>
  <si>
    <t>@ysmndania</t>
  </si>
  <si>
    <t>@yudha_ganis</t>
  </si>
  <si>
    <t>@yudharizkisaputraa</t>
  </si>
  <si>
    <t>@yudhibronch</t>
  </si>
  <si>
    <t>@yulianitasohpiana</t>
  </si>
  <si>
    <t>@yulistiashodri</t>
  </si>
  <si>
    <t>@yuniardwi0</t>
  </si>
  <si>
    <t>@yuniarwulandarii</t>
  </si>
  <si>
    <t>@yunii_wdini</t>
  </si>
  <si>
    <t>@yunuura</t>
  </si>
  <si>
    <t>@yuriiaw</t>
  </si>
  <si>
    <t>@yuu_ke</t>
  </si>
  <si>
    <t>@yuvellala</t>
  </si>
  <si>
    <t>@yvbw</t>
  </si>
  <si>
    <t>@zaidandye</t>
  </si>
  <si>
    <t>@zakiadestryan</t>
  </si>
  <si>
    <t>@zakiaramanda28</t>
  </si>
  <si>
    <t>@zakiazf</t>
  </si>
  <si>
    <t>@zakkynfl</t>
  </si>
  <si>
    <t>@zakyrizqi</t>
  </si>
  <si>
    <t>@zalfaafikaa</t>
  </si>
  <si>
    <t>@zee_belle.pretty</t>
  </si>
  <si>
    <t>@zeyko_111</t>
  </si>
  <si>
    <t>@zharif.dk</t>
  </si>
  <si>
    <t>@zheliatann</t>
  </si>
  <si>
    <t>@zhifaaaaa</t>
  </si>
  <si>
    <t>@ziashome</t>
  </si>
  <si>
    <t>@zidanakmal</t>
  </si>
  <si>
    <t>@zivaafisah</t>
  </si>
  <si>
    <t>@zt.justzt</t>
  </si>
  <si>
    <t>@zuifany</t>
  </si>
  <si>
    <t>@zulfanurjannahh</t>
  </si>
  <si>
    <t>@amelamelon</t>
  </si>
  <si>
    <t>@auranixie</t>
  </si>
  <si>
    <t>@dhiarcom</t>
  </si>
  <si>
    <t>@dinararizqiyyaraf93</t>
  </si>
  <si>
    <t>@dosenkecantikan</t>
  </si>
  <si>
    <t>@farizaynn</t>
  </si>
  <si>
    <t>@farrajaidi</t>
  </si>
  <si>
    <t>@florie_aa_</t>
  </si>
  <si>
    <t>@josephinetheaa</t>
  </si>
  <si>
    <t>@karenkurniawan_kk</t>
  </si>
  <si>
    <t>@marshaaruan</t>
  </si>
  <si>
    <t>@monicasahr</t>
  </si>
  <si>
    <t>@parsih.homedecor</t>
  </si>
  <si>
    <t>@putrizianii</t>
  </si>
  <si>
    <t>@vic.sam</t>
  </si>
  <si>
    <t>@zaraanih</t>
  </si>
  <si>
    <t>@abu_hadiassegaf89</t>
  </si>
  <si>
    <t>@anaindahafsheenmy</t>
  </si>
  <si>
    <t>@cb1103</t>
  </si>
  <si>
    <t>@choco.emong</t>
  </si>
  <si>
    <t>@conchizzlin</t>
  </si>
  <si>
    <t>@conytiwi</t>
  </si>
  <si>
    <t>@desiinata</t>
  </si>
  <si>
    <t>@desyaghnia</t>
  </si>
  <si>
    <t>@elissuciati99</t>
  </si>
  <si>
    <t>@farislovitasari2</t>
  </si>
  <si>
    <t>@fendystella</t>
  </si>
  <si>
    <t>@ghinalwi</t>
  </si>
  <si>
    <t>@goodboiitae</t>
  </si>
  <si>
    <t>@hizkiadelano</t>
  </si>
  <si>
    <t>@inkaayusaskia</t>
  </si>
  <si>
    <t>@jennifervidya</t>
  </si>
  <si>
    <t>@kakasfitri</t>
  </si>
  <si>
    <t>@lafadyasteele</t>
  </si>
  <si>
    <t>@maharani_97</t>
  </si>
  <si>
    <t>@mahdiyasirfan</t>
  </si>
  <si>
    <t>@marvelinegrace</t>
  </si>
  <si>
    <t>@maudimo</t>
  </si>
  <si>
    <t>@maulanahasyim_</t>
  </si>
  <si>
    <t>@mettykurniadewi_</t>
  </si>
  <si>
    <t>@milamiza00</t>
  </si>
  <si>
    <t>@priscillamery</t>
  </si>
  <si>
    <t>@priscillamery13</t>
  </si>
  <si>
    <t>@pujihidayatimahendra</t>
  </si>
  <si>
    <t>@puputdewiasiah17</t>
  </si>
  <si>
    <t>@ratnatita5</t>
  </si>
  <si>
    <t>@rerein.family</t>
  </si>
  <si>
    <t>@reshabtzm</t>
  </si>
  <si>
    <t>@riekemeilanis23</t>
  </si>
  <si>
    <t>@rotidanselai1717</t>
  </si>
  <si>
    <t>@steffanyoctavina</t>
  </si>
  <si>
    <t>@steph.hertanto</t>
  </si>
  <si>
    <t>@yassipoullomanik</t>
  </si>
  <si>
    <t>@yerikacornelia</t>
  </si>
  <si>
    <t>@zhea_zee</t>
  </si>
  <si>
    <t>@arjunasutedjaa</t>
  </si>
  <si>
    <t>@asheeqaleesha</t>
  </si>
  <si>
    <t>@catherineealicia</t>
  </si>
  <si>
    <t>@cielmakeupartist</t>
  </si>
  <si>
    <t>@mithatan</t>
  </si>
  <si>
    <t>@sasyamaharani</t>
  </si>
  <si>
    <t>@tasyakamilaofficial</t>
  </si>
  <si>
    <t>@thebeautywimp</t>
  </si>
  <si>
    <t>@abcdefuvkkkk7</t>
  </si>
  <si>
    <t>@adilladimitrihardjanto</t>
  </si>
  <si>
    <t>@anumhafzz</t>
  </si>
  <si>
    <t>@ashlyn.richelle</t>
  </si>
  <si>
    <t>@bangudinj.o</t>
  </si>
  <si>
    <t>@dedeap_</t>
  </si>
  <si>
    <t>@inayahasmr</t>
  </si>
  <si>
    <t>@kalaundry</t>
  </si>
  <si>
    <t>@mutiaraarsya</t>
  </si>
  <si>
    <t>@noiaswari</t>
  </si>
  <si>
    <t>@racuntikt0k__</t>
  </si>
  <si>
    <t>@tellyyasmine_</t>
  </si>
  <si>
    <t>@tia.sptn</t>
  </si>
  <si>
    <t>@ullie_iswara</t>
  </si>
  <si>
    <t>@_amelians</t>
  </si>
  <si>
    <t>@3am_uzi</t>
  </si>
  <si>
    <t>@abrahamgustavito</t>
  </si>
  <si>
    <t>@accangdoedoe02</t>
  </si>
  <si>
    <t>@achtasyaiman</t>
  </si>
  <si>
    <t>@adam.vt7</t>
  </si>
  <si>
    <t>@adelscooking</t>
  </si>
  <si>
    <t>@aevxfl.nss</t>
  </si>
  <si>
    <t>@agemmmmm</t>
  </si>
  <si>
    <t>@aisyafputri</t>
  </si>
  <si>
    <t>@aku_ratumauraaa</t>
  </si>
  <si>
    <t>@aku.madan</t>
  </si>
  <si>
    <t>@alanddpradana</t>
  </si>
  <si>
    <t>@aldyroo</t>
  </si>
  <si>
    <t>@almahyraska</t>
  </si>
  <si>
    <t>@alvitaangela19</t>
  </si>
  <si>
    <t>@amandakohar</t>
  </si>
  <si>
    <t>@amizahnadin</t>
  </si>
  <si>
    <t>@angelyn_bloom</t>
  </si>
  <si>
    <t>@annissamunaf</t>
  </si>
  <si>
    <t>@anopqklmnvt</t>
  </si>
  <si>
    <t>@ansellbndy</t>
  </si>
  <si>
    <t>@anthonyhartono_</t>
  </si>
  <si>
    <t>@apriliaryani95</t>
  </si>
  <si>
    <t>@arifreyy</t>
  </si>
  <si>
    <t>@astrityas</t>
  </si>
  <si>
    <t>@ayuandrni_</t>
  </si>
  <si>
    <t>@baddiebaday</t>
  </si>
  <si>
    <t>@bananatall</t>
  </si>
  <si>
    <t>@bbykevv_</t>
  </si>
  <si>
    <t>@bebytsabinaa</t>
  </si>
  <si>
    <t>@bramrpaa</t>
  </si>
  <si>
    <t>@bundahamster</t>
  </si>
  <si>
    <t>@cacamoora</t>
  </si>
  <si>
    <t>@chrislin.chrislin</t>
  </si>
  <si>
    <t>@chxrryblssom</t>
  </si>
  <si>
    <t>@ciasootd</t>
  </si>
  <si>
    <t>@citatociki</t>
  </si>
  <si>
    <t>@cut_icha</t>
  </si>
  <si>
    <t>@cuterthandell</t>
  </si>
  <si>
    <t>@dantifaramita</t>
  </si>
  <si>
    <t>@deandranditaa</t>
  </si>
  <si>
    <t>@deckyrs</t>
  </si>
  <si>
    <t>@delalune_</t>
  </si>
  <si>
    <t>@devarawijayaa</t>
  </si>
  <si>
    <t>@dickysuryadikk</t>
  </si>
  <si>
    <t>@dikialfaa</t>
  </si>
  <si>
    <t>@dila_jm</t>
  </si>
  <si>
    <t>@diondykusuma</t>
  </si>
  <si>
    <t>@dipanggiljose</t>
  </si>
  <si>
    <t>@dominggaa</t>
  </si>
  <si>
    <t>@doradori21</t>
  </si>
  <si>
    <t>@doscincoo</t>
  </si>
  <si>
    <t>@duomins</t>
  </si>
  <si>
    <t>@eline.angeline</t>
  </si>
  <si>
    <t>@erizachrr</t>
  </si>
  <si>
    <t>@evelyngwyneth</t>
  </si>
  <si>
    <t>@ezyvz</t>
  </si>
  <si>
    <t>@fadliinzaghi</t>
  </si>
  <si>
    <t>@farhanzubedi</t>
  </si>
  <si>
    <t>@faustaottoni</t>
  </si>
  <si>
    <t>@fawzyahaz</t>
  </si>
  <si>
    <t>@fessvtae</t>
  </si>
  <si>
    <t>@fionadominiquee</t>
  </si>
  <si>
    <t>@gagap_was_here</t>
  </si>
  <si>
    <t>@galgadun26</t>
  </si>
  <si>
    <t>@gayatriay</t>
  </si>
  <si>
    <t>@gilangseiya</t>
  </si>
  <si>
    <t>@giovanniputraa</t>
  </si>
  <si>
    <t>@glowyya</t>
  </si>
  <si>
    <t>@gosongexotis</t>
  </si>
  <si>
    <t>@grandementor</t>
  </si>
  <si>
    <t>@gumilang_jatii</t>
  </si>
  <si>
    <t>@hanifa_ross</t>
  </si>
  <si>
    <t>@harjunatbm</t>
  </si>
  <si>
    <t>@holanana</t>
  </si>
  <si>
    <t>@holeeey_</t>
  </si>
  <si>
    <t>@hungrymikego</t>
  </si>
  <si>
    <t>@ibass444</t>
  </si>
  <si>
    <t>@ikafitriza</t>
  </si>
  <si>
    <t>@ilyyrmd</t>
  </si>
  <si>
    <t>@indyish</t>
  </si>
  <si>
    <t>@infodepok24jam</t>
  </si>
  <si>
    <t>@inggridchan</t>
  </si>
  <si>
    <t>@ino_gaol</t>
  </si>
  <si>
    <t>@ishmaannisa96</t>
  </si>
  <si>
    <t>@itawidya___</t>
  </si>
  <si>
    <t>@itspikachi</t>
  </si>
  <si>
    <t>@izatlistifnya10</t>
  </si>
  <si>
    <t>@jenniferchayra</t>
  </si>
  <si>
    <t>@jennifersutionoo</t>
  </si>
  <si>
    <t>@jennipongg</t>
  </si>
  <si>
    <t>@jhrrzel</t>
  </si>
  <si>
    <t>@jona_pottger</t>
  </si>
  <si>
    <t>@jonathan_abee</t>
  </si>
  <si>
    <t>@jordanfadhilla</t>
  </si>
  <si>
    <t>@juniarayutll</t>
  </si>
  <si>
    <t>@k.e.l.a.r.a</t>
  </si>
  <si>
    <t>@kamilahfickychannel</t>
  </si>
  <si>
    <t>@kaniadachlan</t>
  </si>
  <si>
    <t>@kathrynlisaa</t>
  </si>
  <si>
    <t>@kevinthennedy</t>
  </si>
  <si>
    <t>@keykanyamey</t>
  </si>
  <si>
    <t>@keyuruh</t>
  </si>
  <si>
    <t>@kingk00nta</t>
  </si>
  <si>
    <t>@knzymyln__</t>
  </si>
  <si>
    <t>@koko_pino</t>
  </si>
  <si>
    <t>@korinjul</t>
  </si>
  <si>
    <t>@kurakuraca</t>
  </si>
  <si>
    <t>@lauratheux</t>
  </si>
  <si>
    <t>@lauraziphoraa</t>
  </si>
  <si>
    <t>@littlejarvischannel</t>
  </si>
  <si>
    <t>@livbabylol</t>
  </si>
  <si>
    <t>@livianasm</t>
  </si>
  <si>
    <t>@marcelldegen</t>
  </si>
  <si>
    <t>@mardefff</t>
  </si>
  <si>
    <t>@masyoarief</t>
  </si>
  <si>
    <t>@mbaktinsaja</t>
  </si>
  <si>
    <t>@melssupit</t>
  </si>
  <si>
    <t>@merryyanis</t>
  </si>
  <si>
    <t>@mimigendis</t>
  </si>
  <si>
    <t>@mochabagas</t>
  </si>
  <si>
    <t>@mtgras</t>
  </si>
  <si>
    <t>@mumkidzone.189</t>
  </si>
  <si>
    <t>@mzojol</t>
  </si>
  <si>
    <t>@nabilamndd</t>
  </si>
  <si>
    <t>@nandasamsu</t>
  </si>
  <si>
    <t>@natajadeh</t>
  </si>
  <si>
    <t>@nbpiolabg</t>
  </si>
  <si>
    <t>@nidahenida22</t>
  </si>
  <si>
    <t>@ninanikicio</t>
  </si>
  <si>
    <t>@nininajadeh</t>
  </si>
  <si>
    <t>@nisaraate</t>
  </si>
  <si>
    <t>@nissyasp</t>
  </si>
  <si>
    <t>@nonikbawels</t>
  </si>
  <si>
    <t>@notfound_4</t>
  </si>
  <si>
    <t>@novia_yaz</t>
  </si>
  <si>
    <t>@nursitamryn</t>
  </si>
  <si>
    <t>@nurulsafitri065</t>
  </si>
  <si>
    <t>@ozomrockers</t>
  </si>
  <si>
    <t>@panggildhia</t>
  </si>
  <si>
    <t>@pingkyruslie</t>
  </si>
  <si>
    <t>@raflidesrama04</t>
  </si>
  <si>
    <t>@raidanra_</t>
  </si>
  <si>
    <t>@raisasa6690</t>
  </si>
  <si>
    <t>@randomvisit</t>
  </si>
  <si>
    <t>@reginabundiarti</t>
  </si>
  <si>
    <t>@rei.la</t>
  </si>
  <si>
    <t>@rereanggara</t>
  </si>
  <si>
    <t>@rererafald7</t>
  </si>
  <si>
    <t>@rika_yusnia</t>
  </si>
  <si>
    <t>@rtsfya</t>
  </si>
  <si>
    <t>@ruicheru</t>
  </si>
  <si>
    <t>@ryanrandomtiktok</t>
  </si>
  <si>
    <t>@salsabila_10114</t>
  </si>
  <si>
    <t>@seaankyle</t>
  </si>
  <si>
    <t>@sehatbarengyu</t>
  </si>
  <si>
    <t>@septian_amd</t>
  </si>
  <si>
    <t>@shanianayaa</t>
  </si>
  <si>
    <t>@shasa.navira</t>
  </si>
  <si>
    <t>@shavirazahra</t>
  </si>
  <si>
    <t>@shitabhoraa</t>
  </si>
  <si>
    <t>@simeisya</t>
  </si>
  <si>
    <t>@siregardespa</t>
  </si>
  <si>
    <t>@sofiaelmia</t>
  </si>
  <si>
    <t>@srdesignart</t>
  </si>
  <si>
    <t>@syalmeuu</t>
  </si>
  <si>
    <t>@taffyvine</t>
  </si>
  <si>
    <t>@tamiradimyati</t>
  </si>
  <si>
    <t>@tasyacax</t>
  </si>
  <si>
    <t>@tekinziee</t>
  </si>
  <si>
    <t>@tetehaull</t>
  </si>
  <si>
    <t>@thari_chacol92</t>
  </si>
  <si>
    <t>@titisapwa_</t>
  </si>
  <si>
    <t>@triyogi.apriansya</t>
  </si>
  <si>
    <t>@tttesayang</t>
  </si>
  <si>
    <t>@twomannn</t>
  </si>
  <si>
    <t>@ucilyouchill</t>
  </si>
  <si>
    <t>@ulfanafia</t>
  </si>
  <si>
    <t>@ummulsalmaa</t>
  </si>
  <si>
    <t>@unyukaaa</t>
  </si>
  <si>
    <t>@vandhri</t>
  </si>
  <si>
    <t>@veronikalydiaa</t>
  </si>
  <si>
    <t>@viliacarl</t>
  </si>
  <si>
    <t>@vinnie.hasan</t>
  </si>
  <si>
    <t>@vionacharlotte</t>
  </si>
  <si>
    <t>@wendyodixiuss</t>
  </si>
  <si>
    <t>@wiyanda__</t>
  </si>
  <si>
    <t>@xixixixixixixixixixi</t>
  </si>
  <si>
    <t>@yezsy07</t>
  </si>
  <si>
    <t>@yuni.saputra</t>
  </si>
  <si>
    <t>@yunisyarizqa_</t>
  </si>
  <si>
    <t>@yusahai</t>
  </si>
  <si>
    <t>@zhie_pu3.official</t>
  </si>
  <si>
    <t>@zxkllm</t>
  </si>
  <si>
    <t>@_novilia</t>
  </si>
  <si>
    <t>@abcdewi13_</t>
  </si>
  <si>
    <t>@admhrscha</t>
  </si>
  <si>
    <t>@alfikhair_ahsol</t>
  </si>
  <si>
    <t>@alkindi_18</t>
  </si>
  <si>
    <t>@andrywulansari</t>
  </si>
  <si>
    <t>@anggieloveangel</t>
  </si>
  <si>
    <t>@angme99</t>
  </si>
  <si>
    <t>@arsitakhoirunisa</t>
  </si>
  <si>
    <t>@astriehapsarii</t>
  </si>
  <si>
    <t>@audreykareninaa</t>
  </si>
  <si>
    <t>@ayuulfadewi8</t>
  </si>
  <si>
    <t>@banyube</t>
  </si>
  <si>
    <t>@bekasiinfo_id</t>
  </si>
  <si>
    <t>@bidandesi</t>
  </si>
  <si>
    <t>@bidanzulfa</t>
  </si>
  <si>
    <t>@bimbyanggara_</t>
  </si>
  <si>
    <t>@bluberriela</t>
  </si>
  <si>
    <t>@brigitta_elena</t>
  </si>
  <si>
    <t>@ca1lmelater_</t>
  </si>
  <si>
    <t>@chintyacn28</t>
  </si>
  <si>
    <t>@christinajennifer</t>
  </si>
  <si>
    <t>@chyntiadewanti</t>
  </si>
  <si>
    <t>@ciputski</t>
  </si>
  <si>
    <t>@citraniaa</t>
  </si>
  <si>
    <t>@claudiaprawira</t>
  </si>
  <si>
    <t>@coverbyalma</t>
  </si>
  <si>
    <t>@danielmarcell</t>
  </si>
  <si>
    <t>@delladefriza</t>
  </si>
  <si>
    <t>@dhyaniiiip</t>
  </si>
  <si>
    <t>@ditaayuanitaa</t>
  </si>
  <si>
    <t>@dlyzx_</t>
  </si>
  <si>
    <t>@evansyahhh</t>
  </si>
  <si>
    <t>@fashionmen_1</t>
  </si>
  <si>
    <t>@fbrynpp</t>
  </si>
  <si>
    <t>@febbyfy23</t>
  </si>
  <si>
    <t>@fellamaheen</t>
  </si>
  <si>
    <t>@fergigutomo_</t>
  </si>
  <si>
    <t>@firyalnbla</t>
  </si>
  <si>
    <t>@fzyhanisa_</t>
  </si>
  <si>
    <t>@hazyaadira</t>
  </si>
  <si>
    <t>@igayuintan</t>
  </si>
  <si>
    <t>@imjstalonee</t>
  </si>
  <si>
    <t>@intanangell</t>
  </si>
  <si>
    <t>@intanaww</t>
  </si>
  <si>
    <t>@jenni.wang</t>
  </si>
  <si>
    <t>@jsn.amelia</t>
  </si>
  <si>
    <t>@justmiselhere</t>
  </si>
  <si>
    <t>@karinabilla_</t>
  </si>
  <si>
    <t>@kevinjulio_a</t>
  </si>
  <si>
    <t>@lienda.moshi</t>
  </si>
  <si>
    <t>@linov.alif</t>
  </si>
  <si>
    <t>@luhrahayuu_</t>
  </si>
  <si>
    <t>@lylypad</t>
  </si>
  <si>
    <t>@marciangel20</t>
  </si>
  <si>
    <t>@marisaahapsari</t>
  </si>
  <si>
    <t>@maulana.alzukhri_</t>
  </si>
  <si>
    <t>@mkarenam</t>
  </si>
  <si>
    <t>@mrs.deviana</t>
  </si>
  <si>
    <t>@mutiarahazle</t>
  </si>
  <si>
    <t>@mybaby9995</t>
  </si>
  <si>
    <t>@nathaniaraynelle</t>
  </si>
  <si>
    <t>@neng.rismart</t>
  </si>
  <si>
    <t>@niccole__</t>
  </si>
  <si>
    <t>@niluhekaad</t>
  </si>
  <si>
    <t>@olaitsemmy</t>
  </si>
  <si>
    <t>@oreomilk24</t>
  </si>
  <si>
    <t>@parligita</t>
  </si>
  <si>
    <t>@pirrrrrrnandul</t>
  </si>
  <si>
    <t>@popy_indri23</t>
  </si>
  <si>
    <t>@prillistyy</t>
  </si>
  <si>
    <t>@puti.aibige</t>
  </si>
  <si>
    <t>@putriikalumata</t>
  </si>
  <si>
    <t>@redvelvettlate</t>
  </si>
  <si>
    <t>@rezasptr17_</t>
  </si>
  <si>
    <t>@rfqhriya_</t>
  </si>
  <si>
    <t>@rohim_arkhan_elfahrie</t>
  </si>
  <si>
    <t>@rra_xyzz</t>
  </si>
  <si>
    <t>@salmasfyn</t>
  </si>
  <si>
    <t>@salsa.vb</t>
  </si>
  <si>
    <t>@salsavinandita</t>
  </si>
  <si>
    <t>@sangbulanr</t>
  </si>
  <si>
    <t>@scoopofgoodness</t>
  </si>
  <si>
    <t>@sena_cahya_</t>
  </si>
  <si>
    <t>@senandn19</t>
  </si>
  <si>
    <t>@septibeneran</t>
  </si>
  <si>
    <t>@sgabrielaaimee_</t>
  </si>
  <si>
    <t>@sghinagm</t>
  </si>
  <si>
    <t>@silvia_fani</t>
  </si>
  <si>
    <t>@squishycheeksss</t>
  </si>
  <si>
    <t>@steveowen.j.k</t>
  </si>
  <si>
    <t>@supingg_02</t>
  </si>
  <si>
    <t>@susisinta23</t>
  </si>
  <si>
    <t>@syafrilia</t>
  </si>
  <si>
    <t>@talithalase</t>
  </si>
  <si>
    <t>@tarinvt</t>
  </si>
  <si>
    <t>@thatsenjaa</t>
  </si>
  <si>
    <t>@veronyca.ang</t>
  </si>
  <si>
    <t>@verrynangell</t>
  </si>
  <si>
    <t>@viviaje33</t>
  </si>
  <si>
    <t>@wolly_ameera</t>
  </si>
  <si>
    <t>@xxszans</t>
  </si>
  <si>
    <t>@xyzherdi</t>
  </si>
  <si>
    <t>@yue_chan11</t>
  </si>
  <si>
    <t>@zielsnra</t>
  </si>
  <si>
    <t>@_deriell</t>
  </si>
  <si>
    <t>@_pravi</t>
  </si>
  <si>
    <t>@abilsdv</t>
  </si>
  <si>
    <t>@aenefa</t>
  </si>
  <si>
    <t>@afinasalma</t>
  </si>
  <si>
    <t>@akusintiakuaci</t>
  </si>
  <si>
    <t>@alelococo</t>
  </si>
  <si>
    <t>@alex_effendhy</t>
  </si>
  <si>
    <t>@anakmamah0403_</t>
  </si>
  <si>
    <t>@andrewgiovannii</t>
  </si>
  <si>
    <t>@aneyuliastuti17</t>
  </si>
  <si>
    <t>@anggeldia86</t>
  </si>
  <si>
    <t>@annisaasharudin</t>
  </si>
  <si>
    <t>@arminarachma</t>
  </si>
  <si>
    <t>@aurandm</t>
  </si>
  <si>
    <t>@aurelanakrumahan</t>
  </si>
  <si>
    <t>@ayuwulandri12</t>
  </si>
  <si>
    <t>@baitusskh</t>
  </si>
  <si>
    <t>@balqislonnie</t>
  </si>
  <si>
    <t>@bananalace</t>
  </si>
  <si>
    <t>@bebelhz</t>
  </si>
  <si>
    <t>@camilapaulen</t>
  </si>
  <si>
    <t>@carerabella</t>
  </si>
  <si>
    <t>@celiceli_</t>
  </si>
  <si>
    <t>@ciciangelica5</t>
  </si>
  <si>
    <t>@clarissazli</t>
  </si>
  <si>
    <t>@cucupajokowi</t>
  </si>
  <si>
    <t>@darinassh</t>
  </si>
  <si>
    <t>@demarellementari</t>
  </si>
  <si>
    <t>@devindaayu19</t>
  </si>
  <si>
    <t>@deviwangg</t>
  </si>
  <si>
    <t>@dianalatifah</t>
  </si>
  <si>
    <t>@dinihari20</t>
  </si>
  <si>
    <t>@diyooou_</t>
  </si>
  <si>
    <t>@dynaprl</t>
  </si>
  <si>
    <t>@elenaa20___</t>
  </si>
  <si>
    <t>@elvi_mahendra</t>
  </si>
  <si>
    <t>@etadesta21</t>
  </si>
  <si>
    <t>@fajaredogawaa</t>
  </si>
  <si>
    <t>@fara.olivia</t>
  </si>
  <si>
    <t>@fen24__</t>
  </si>
  <si>
    <t>@ferryonggo</t>
  </si>
  <si>
    <t>@fickassss</t>
  </si>
  <si>
    <t>@ghimihunimida</t>
  </si>
  <si>
    <t>@giga_pramudika_putry</t>
  </si>
  <si>
    <t>@hafidz.ns</t>
  </si>
  <si>
    <t>@icha_silaban_92</t>
  </si>
  <si>
    <t>@iin_fdlh</t>
  </si>
  <si>
    <t>@ikenurha25</t>
  </si>
  <si>
    <t>@ilaamooy_</t>
  </si>
  <si>
    <t>@incesssha</t>
  </si>
  <si>
    <t>@izumiyaa</t>
  </si>
  <si>
    <t>@jamesadam</t>
  </si>
  <si>
    <t>@jfanylie</t>
  </si>
  <si>
    <t>@jinggaaa13</t>
  </si>
  <si>
    <t>@jocelynscape</t>
  </si>
  <si>
    <t>@kangfanboy</t>
  </si>
  <si>
    <t>@kdkoreanmask</t>
  </si>
  <si>
    <t>@kembarannyazara</t>
  </si>
  <si>
    <t>@krisbiee</t>
  </si>
  <si>
    <t>@kyle_seann</t>
  </si>
  <si>
    <t>@manullang_30</t>
  </si>
  <si>
    <t>@meitadwi_lestari</t>
  </si>
  <si>
    <t>@michellinchrysant_</t>
  </si>
  <si>
    <t>@miseue_ka</t>
  </si>
  <si>
    <t>@miss.faustinasoe</t>
  </si>
  <si>
    <t>@mutiaramarl</t>
  </si>
  <si>
    <t>@mywrk1000</t>
  </si>
  <si>
    <t>@n.niaa_</t>
  </si>
  <si>
    <t>@nabilariupassa</t>
  </si>
  <si>
    <t>@nadiahaqumaminurcahyani</t>
  </si>
  <si>
    <t>@nanashop_shop04</t>
  </si>
  <si>
    <t>@nancyferdinand</t>
  </si>
  <si>
    <t>@niaaryanii</t>
  </si>
  <si>
    <t>@notyourtypicallllll</t>
  </si>
  <si>
    <t>@nurfitrianoviantii</t>
  </si>
  <si>
    <t>@nuruldefgh</t>
  </si>
  <si>
    <t>@patriaatp</t>
  </si>
  <si>
    <t>@petentenk</t>
  </si>
  <si>
    <t>@queencharrrrrrrr</t>
  </si>
  <si>
    <t>@rachelorenza</t>
  </si>
  <si>
    <t>@rahmarahayu25</t>
  </si>
  <si>
    <t>@rayshalevina</t>
  </si>
  <si>
    <t>@reynalzy</t>
  </si>
  <si>
    <t>@ri.suma</t>
  </si>
  <si>
    <t>@rinrini875</t>
  </si>
  <si>
    <t>@riskafagistaa</t>
  </si>
  <si>
    <t>@rizkacullen</t>
  </si>
  <si>
    <t>@rndys29</t>
  </si>
  <si>
    <t>@safiraalft</t>
  </si>
  <si>
    <t>@saii.shary05</t>
  </si>
  <si>
    <t>@salsa_fii</t>
  </si>
  <si>
    <t>@sannisca</t>
  </si>
  <si>
    <t>@seilairfniaa</t>
  </si>
  <si>
    <t>@sherlyxu</t>
  </si>
  <si>
    <t>@sidecil</t>
  </si>
  <si>
    <t>@sikebaebae</t>
  </si>
  <si>
    <t>@sleepylilie</t>
  </si>
  <si>
    <t>@steffigouw</t>
  </si>
  <si>
    <t>@talitawb</t>
  </si>
  <si>
    <t>@tinep17</t>
  </si>
  <si>
    <t>@tsmitasoraya</t>
  </si>
  <si>
    <t>@uyuy_ns</t>
  </si>
  <si>
    <t>@volliepowp</t>
  </si>
  <si>
    <t>@witapsarii</t>
  </si>
  <si>
    <t>@zahrulsilmi</t>
  </si>
  <si>
    <t>@zakariatara</t>
  </si>
  <si>
    <t>@zulfa_jamilaa</t>
  </si>
  <si>
    <t>@805.aal</t>
  </si>
  <si>
    <t>@aatthhee</t>
  </si>
  <si>
    <t>@abedamzari15</t>
  </si>
  <si>
    <t>@adigunadaniel</t>
  </si>
  <si>
    <t>@adrianramadhan093</t>
  </si>
  <si>
    <t>@akmalmlnaa</t>
  </si>
  <si>
    <t>@alzwashere</t>
  </si>
  <si>
    <t>@anez_scarlet</t>
  </si>
  <si>
    <t>@angelinesumardyy</t>
  </si>
  <si>
    <t>@aradhanara</t>
  </si>
  <si>
    <t>@arievrahman</t>
  </si>
  <si>
    <t>@bagus.bay</t>
  </si>
  <si>
    <t>@bayuajiefit</t>
  </si>
  <si>
    <t>@bayukenan</t>
  </si>
  <si>
    <t>@bbrighttvv</t>
  </si>
  <si>
    <t>@boymunthee</t>
  </si>
  <si>
    <t>@calivfarido</t>
  </si>
  <si>
    <t>@claraa_chantika</t>
  </si>
  <si>
    <t>@delyviaazra</t>
  </si>
  <si>
    <t>@dmsspptr</t>
  </si>
  <si>
    <t>@eduardo_adam</t>
  </si>
  <si>
    <t>@ehfank</t>
  </si>
  <si>
    <t>@ekakmldw_</t>
  </si>
  <si>
    <t>@encolalaina</t>
  </si>
  <si>
    <t>@fahezafebrianti</t>
  </si>
  <si>
    <t>@faisalary</t>
  </si>
  <si>
    <t>@firmansalvatore</t>
  </si>
  <si>
    <t>@gautama_gt</t>
  </si>
  <si>
    <t>@gilangpurnama_</t>
  </si>
  <si>
    <t>@gilbertgideonn</t>
  </si>
  <si>
    <t>@habibieishere</t>
  </si>
  <si>
    <t>@heyaguswandi</t>
  </si>
  <si>
    <t>@heykur</t>
  </si>
  <si>
    <t>@its.kii__</t>
  </si>
  <si>
    <t>@johannesgabriell</t>
  </si>
  <si>
    <t>@jojoaeyo</t>
  </si>
  <si>
    <t>@jubanh</t>
  </si>
  <si>
    <t>@kataruang_</t>
  </si>
  <si>
    <t>@kegabutann12_</t>
  </si>
  <si>
    <t>@leonardusyesino</t>
  </si>
  <si>
    <t>@lianadevn</t>
  </si>
  <si>
    <t>@liannandopr</t>
  </si>
  <si>
    <t>@mahalmer</t>
  </si>
  <si>
    <t>@masnur93</t>
  </si>
  <si>
    <t>@maulyaridwans</t>
  </si>
  <si>
    <t>@mrafffy12</t>
  </si>
  <si>
    <t>@nata.kansias</t>
  </si>
  <si>
    <t>@omndutv</t>
  </si>
  <si>
    <t>@pahimhim</t>
  </si>
  <si>
    <t>@paldoooo</t>
  </si>
  <si>
    <t>@potatona3</t>
  </si>
  <si>
    <t>@quotesmotivasi86</t>
  </si>
  <si>
    <t>@raider_wenas</t>
  </si>
  <si>
    <t>@rdhmhdvk</t>
  </si>
  <si>
    <t>@redridho</t>
  </si>
  <si>
    <t>@riczco</t>
  </si>
  <si>
    <t>@risyahputra06</t>
  </si>
  <si>
    <t>@roni.rahadi96</t>
  </si>
  <si>
    <t>@sadinsquad</t>
  </si>
  <si>
    <t>@sammypwk</t>
  </si>
  <si>
    <t>@seinxxx</t>
  </si>
  <si>
    <t>@shabrinaautomo</t>
  </si>
  <si>
    <t>@skyiskandar123</t>
  </si>
  <si>
    <t>@sulhan_khann</t>
  </si>
  <si>
    <t>@tutsunarye__</t>
  </si>
  <si>
    <t>@vaniapuspitasarii</t>
  </si>
  <si>
    <t>@widayanti_36</t>
  </si>
  <si>
    <t>@yoursmeet</t>
  </si>
  <si>
    <t>@yudhipp_</t>
  </si>
  <si>
    <t>@yutaj_</t>
  </si>
  <si>
    <t>@a_gungds</t>
  </si>
  <si>
    <t>@brigita.andine</t>
  </si>
  <si>
    <t>@cohrirans</t>
  </si>
  <si>
    <t>@faizalakew</t>
  </si>
  <si>
    <t>@minyo33</t>
  </si>
  <si>
    <t>@rifaarhas</t>
  </si>
  <si>
    <t>@tya.kq</t>
  </si>
  <si>
    <t>@vivianwahab</t>
  </si>
  <si>
    <t>@angie_levinaaa</t>
  </si>
  <si>
    <t>@ash_bharlly</t>
  </si>
  <si>
    <t>@candycallista</t>
  </si>
  <si>
    <t>@dhorriii</t>
  </si>
  <si>
    <t>@diana.nana.id</t>
  </si>
  <si>
    <t>@dwiayuasribahari</t>
  </si>
  <si>
    <t>@eiyan_guitaris</t>
  </si>
  <si>
    <t>@f__arwen</t>
  </si>
  <si>
    <t>@ichalesta</t>
  </si>
  <si>
    <t>@isabellaimanuella</t>
  </si>
  <si>
    <t>@jauzahumairo</t>
  </si>
  <si>
    <t>@karlinachandraa</t>
  </si>
  <si>
    <t>@margarethaaa</t>
  </si>
  <si>
    <t>@minatiatmanagara</t>
  </si>
  <si>
    <t>@mondeamore</t>
  </si>
  <si>
    <t>@namik2604</t>
  </si>
  <si>
    <t>@natashagracia</t>
  </si>
  <si>
    <t>@princesskica</t>
  </si>
  <si>
    <t>@rima.nk</t>
  </si>
  <si>
    <t>@salsabylasya</t>
  </si>
  <si>
    <t>@saqinnaconelly</t>
  </si>
  <si>
    <t>@talkboutskin</t>
  </si>
  <si>
    <t>@tikhasudirja17</t>
  </si>
  <si>
    <t>@uwilan</t>
  </si>
  <si>
    <t>@_meithazahra</t>
  </si>
  <si>
    <t>@_orange.peel</t>
  </si>
  <si>
    <t>@_orenji00</t>
  </si>
  <si>
    <t>@_putriitidurr_</t>
  </si>
  <si>
    <t>@_tiaraa.._</t>
  </si>
  <si>
    <t>@29.nan</t>
  </si>
  <si>
    <t>@2nditstyaraaaa</t>
  </si>
  <si>
    <t>@aaaauudreyy</t>
  </si>
  <si>
    <t>@aanotherocha</t>
  </si>
  <si>
    <t>@aarrielll_</t>
  </si>
  <si>
    <t>@abcddgemes</t>
  </si>
  <si>
    <t>@abcdefginjal</t>
  </si>
  <si>
    <t>@abcdepiee</t>
  </si>
  <si>
    <t>@abelsoe</t>
  </si>
  <si>
    <t>@abgl__loves</t>
  </si>
  <si>
    <t>@abigaelzerren</t>
  </si>
  <si>
    <t>@adeliapasha22</t>
  </si>
  <si>
    <t>@adillasaefitri</t>
  </si>
  <si>
    <t>@adistyhecaa</t>
  </si>
  <si>
    <t>@adzaninamira</t>
  </si>
  <si>
    <t>@afafalkatirii</t>
  </si>
  <si>
    <t>@afaraaaa</t>
  </si>
  <si>
    <t>@afidamadina</t>
  </si>
  <si>
    <t>@afifahlr27</t>
  </si>
  <si>
    <t>@afn.salma</t>
  </si>
  <si>
    <t>@afniii_f</t>
  </si>
  <si>
    <t>@agneslianna</t>
  </si>
  <si>
    <t>@ai_thya</t>
  </si>
  <si>
    <t>@aiinasution_</t>
  </si>
  <si>
    <t>@ainihapsari</t>
  </si>
  <si>
    <t>@ainunfp3</t>
  </si>
  <si>
    <t>@aisyaasyh_</t>
  </si>
  <si>
    <t>@aiwuffwy0u</t>
  </si>
  <si>
    <t>@aku3y1n</t>
  </si>
  <si>
    <t>@akusitaa</t>
  </si>
  <si>
    <t>@aldajessicaa</t>
  </si>
  <si>
    <t>@aldibaa</t>
  </si>
  <si>
    <t>@alisyaays</t>
  </si>
  <si>
    <t>@allofbeautycheck</t>
  </si>
  <si>
    <t>@almirandni</t>
  </si>
  <si>
    <t>@almollyyy</t>
  </si>
  <si>
    <t>@alzhafff</t>
  </si>
  <si>
    <t>@amandapuspitawardani</t>
  </si>
  <si>
    <t>@amekajaa</t>
  </si>
  <si>
    <t>@amell2.7</t>
  </si>
  <si>
    <t>@amioktarina</t>
  </si>
  <si>
    <t>@amyaudithaa</t>
  </si>
  <si>
    <t>@anarghia</t>
  </si>
  <si>
    <t>@andityaratu</t>
  </si>
  <si>
    <t>@angelicalouisedmd</t>
  </si>
  <si>
    <t>@anggirianaa</t>
  </si>
  <si>
    <t>@anibhays</t>
  </si>
  <si>
    <t>@anindya.ramaa</t>
  </si>
  <si>
    <t>@annawkwk</t>
  </si>
  <si>
    <t>@annisaap__</t>
  </si>
  <si>
    <t>@annisahnfhh</t>
  </si>
  <si>
    <t>@annsasyfrna5</t>
  </si>
  <si>
    <t>@apiccaa</t>
  </si>
  <si>
    <t>@apriliazhrrr</t>
  </si>
  <si>
    <t>@araaaagh</t>
  </si>
  <si>
    <t>@arameera</t>
  </si>
  <si>
    <t>@arinininii_</t>
  </si>
  <si>
    <t>@ashirazamita</t>
  </si>
  <si>
    <t>@ashpyxia2</t>
  </si>
  <si>
    <t>@aulia.nrdiniah</t>
  </si>
  <si>
    <t>@auraptris</t>
  </si>
  <si>
    <t>@aureliafw</t>
  </si>
  <si>
    <t>@aurellsantiio</t>
  </si>
  <si>
    <t>@awwnod</t>
  </si>
  <si>
    <t>@ayaaptrrr</t>
  </si>
  <si>
    <t>@ayacahya58</t>
  </si>
  <si>
    <t>@ayamdindut</t>
  </si>
  <si>
    <t>@ayobersyucure</t>
  </si>
  <si>
    <t>@ayuarsini28</t>
  </si>
  <si>
    <t>@ayumustikarini14</t>
  </si>
  <si>
    <t>@ayunanda2104</t>
  </si>
  <si>
    <t>@azariaza</t>
  </si>
  <si>
    <t>@aziebeautyshop</t>
  </si>
  <si>
    <t>@babybabybyy</t>
  </si>
  <si>
    <t>@barneysfling</t>
  </si>
  <si>
    <t>@bayuxsn</t>
  </si>
  <si>
    <t>@bbydreamer93</t>
  </si>
  <si>
    <t>@bbyleow</t>
  </si>
  <si>
    <t>@bbyprils</t>
  </si>
  <si>
    <t>@bbyyouan</t>
  </si>
  <si>
    <t>@bebiaurelllll</t>
  </si>
  <si>
    <t>@belaasnc</t>
  </si>
  <si>
    <t>@beliicia</t>
  </si>
  <si>
    <t>@belinsid</t>
  </si>
  <si>
    <t>@bellanjabulanan</t>
  </si>
  <si>
    <t>@bellendear</t>
  </si>
  <si>
    <t>@berlinaus6</t>
  </si>
  <si>
    <t>@bestabeste</t>
  </si>
  <si>
    <t>@bestalifta</t>
  </si>
  <si>
    <t>@bianisubki</t>
  </si>
  <si>
    <t>@bidanku.afita</t>
  </si>
  <si>
    <t>@bikingendut</t>
  </si>
  <si>
    <t>@bila.salsabil25</t>
  </si>
  <si>
    <t>@bilehbillah</t>
  </si>
  <si>
    <t>@billovedd</t>
  </si>
  <si>
    <t>@blackxugar</t>
  </si>
  <si>
    <t>@blue_fairytalee</t>
  </si>
  <si>
    <t>@bluurain</t>
  </si>
  <si>
    <t>@btr_babyla</t>
  </si>
  <si>
    <t>@bukananakmanjaa</t>
  </si>
  <si>
    <t>@bukangansa</t>
  </si>
  <si>
    <t>@bymauveine</t>
  </si>
  <si>
    <t>@bynurafifahh</t>
  </si>
  <si>
    <t>@cacaxx.ca</t>
  </si>
  <si>
    <t>@cadburylemonade</t>
  </si>
  <si>
    <t>@calcalala</t>
  </si>
  <si>
    <t>@callmec4</t>
  </si>
  <si>
    <t>@canclesrac_</t>
  </si>
  <si>
    <t>@cantikamartini</t>
  </si>
  <si>
    <t>@cassandraslee</t>
  </si>
  <si>
    <t>@cath_as</t>
  </si>
  <si>
    <t>@cclaracr</t>
  </si>
  <si>
    <t>@cclarenttiffany</t>
  </si>
  <si>
    <t>@celinesingz</t>
  </si>
  <si>
    <t>@cessshabine</t>
  </si>
  <si>
    <t>@chalulaashdr</t>
  </si>
  <si>
    <t>@chareraprilly</t>
  </si>
  <si>
    <t>@charinnnsy</t>
  </si>
  <si>
    <t>@cheeseeecats</t>
  </si>
  <si>
    <t>@chelsyalaurent</t>
  </si>
  <si>
    <t>@cherylyaaa</t>
  </si>
  <si>
    <t>@chikaaherdaa</t>
  </si>
  <si>
    <t>@chikaasss</t>
  </si>
  <si>
    <t>@christie.ofcl</t>
  </si>
  <si>
    <t>@christinatchh</t>
  </si>
  <si>
    <t>@ciicicici__</t>
  </si>
  <si>
    <t>@cikeunugget</t>
  </si>
  <si>
    <t>@cilakkkkkkkk</t>
  </si>
  <si>
    <t>@cimeeyyyy</t>
  </si>
  <si>
    <t>@cintaindraa</t>
  </si>
  <si>
    <t>@citraayudiaa</t>
  </si>
  <si>
    <t>@clara.louisea</t>
  </si>
  <si>
    <t>@clayolayyy</t>
  </si>
  <si>
    <t>@clorinisaa</t>
  </si>
  <si>
    <t>@crankygvrlishere</t>
  </si>
  <si>
    <t>@cutarsyilla</t>
  </si>
  <si>
    <t>@cutetastic_</t>
  </si>
  <si>
    <t>@cutiiecatpie</t>
  </si>
  <si>
    <t>@cyntiaar_</t>
  </si>
  <si>
    <t>@daineujune</t>
  </si>
  <si>
    <t>@darksidemica</t>
  </si>
  <si>
    <t>@dastiaprajak</t>
  </si>
  <si>
    <t>@deliacavilll</t>
  </si>
  <si>
    <t>@dellatiroo</t>
  </si>
  <si>
    <t>@denis.park_</t>
  </si>
  <si>
    <t>@dessy.jlta</t>
  </si>
  <si>
    <t>@destiarifa</t>
  </si>
  <si>
    <t>@destyazhr</t>
  </si>
  <si>
    <t>@desyaaa.dmh</t>
  </si>
  <si>
    <t>@devmesha</t>
  </si>
  <si>
    <t>@dhamayy_</t>
  </si>
  <si>
    <t>@dheaeaea</t>
  </si>
  <si>
    <t>@diaann24_</t>
  </si>
  <si>
    <t>@diakrtps</t>
  </si>
  <si>
    <t>@dianpebrylaa</t>
  </si>
  <si>
    <t>@dianwm</t>
  </si>
  <si>
    <t>@dibsky</t>
  </si>
  <si>
    <t>@dididudu_</t>
  </si>
  <si>
    <t>@dijaaaah.h</t>
  </si>
  <si>
    <t>@dilaaprily</t>
  </si>
  <si>
    <t>@dilannf</t>
  </si>
  <si>
    <t>@dillasurayaa</t>
  </si>
  <si>
    <t>@dillgatess</t>
  </si>
  <si>
    <t>@dinda.nurafifa</t>
  </si>
  <si>
    <t>@dindangela</t>
  </si>
  <si>
    <t>@diniiftt</t>
  </si>
  <si>
    <t>@dioalviero</t>
  </si>
  <si>
    <t>@divanglptr</t>
  </si>
  <si>
    <t>@dndyulia13</t>
  </si>
  <si>
    <t>@dominiquesie</t>
  </si>
  <si>
    <t>@doyandairymilkk</t>
  </si>
  <si>
    <t>@dsylvlvy</t>
  </si>
  <si>
    <t>@duwiii.r</t>
  </si>
  <si>
    <t>@dyahknissa</t>
  </si>
  <si>
    <t>@ebi_furaai</t>
  </si>
  <si>
    <t>@ekasundr</t>
  </si>
  <si>
    <t>@ekkapuspitaa</t>
  </si>
  <si>
    <t>@el.lisss1</t>
  </si>
  <si>
    <t>@eldhik</t>
  </si>
  <si>
    <t>@ellencamelia</t>
  </si>
  <si>
    <t>@enuzaiin</t>
  </si>
  <si>
    <t>@er.ef.em</t>
  </si>
  <si>
    <t>@erfinhdt</t>
  </si>
  <si>
    <t>@ervinaaaprilianti</t>
  </si>
  <si>
    <t>@evana.diary</t>
  </si>
  <si>
    <t>@eveberliana</t>
  </si>
  <si>
    <t>@ewhyy7</t>
  </si>
  <si>
    <t>@extra.0.rdinary</t>
  </si>
  <si>
    <t>@eyenedel</t>
  </si>
  <si>
    <t>@fafauzyah</t>
  </si>
  <si>
    <t>@fahrisaas</t>
  </si>
  <si>
    <t>@fanggg66</t>
  </si>
  <si>
    <t>@fardina31</t>
  </si>
  <si>
    <t>@farell.akbar12</t>
  </si>
  <si>
    <t>@fasterbabyy</t>
  </si>
  <si>
    <t>@fatiyaiya</t>
  </si>
  <si>
    <t>@fatyabiyaaa</t>
  </si>
  <si>
    <t>@fayolaleoo</t>
  </si>
  <si>
    <t>@fayyyzza</t>
  </si>
  <si>
    <t>@fazhayaaa</t>
  </si>
  <si>
    <t>@feilianaveve</t>
  </si>
  <si>
    <t>@felicia.carissa</t>
  </si>
  <si>
    <t>@felita_anthony</t>
  </si>
  <si>
    <t>@felongkarina</t>
  </si>
  <si>
    <t>@feyapp</t>
  </si>
  <si>
    <t>@ffesya</t>
  </si>
  <si>
    <t>@finaaa__0</t>
  </si>
  <si>
    <t>@fiq.taufiq</t>
  </si>
  <si>
    <t>@firzadrian</t>
  </si>
  <si>
    <t>@fitririzkia93</t>
  </si>
  <si>
    <t>@fitriyar</t>
  </si>
  <si>
    <t>@fluffyaa_</t>
  </si>
  <si>
    <t>@fredoaquinaldo</t>
  </si>
  <si>
    <t>@frinanaila</t>
  </si>
  <si>
    <t>@fujiraaaaaa</t>
  </si>
  <si>
    <t>@gabisaditemukan</t>
  </si>
  <si>
    <t>@gabywijaya_</t>
  </si>
  <si>
    <t>@galdielocks</t>
  </si>
  <si>
    <t>@gataulupa12350</t>
  </si>
  <si>
    <t>@ghaidaaaz</t>
  </si>
  <si>
    <t>@ghaitcaaa</t>
  </si>
  <si>
    <t>@ghendudee</t>
  </si>
  <si>
    <t>@gisellashafa</t>
  </si>
  <si>
    <t>@gladisalexandria</t>
  </si>
  <si>
    <t>@glorianovenaa</t>
  </si>
  <si>
    <t>@halifaintaniaa</t>
  </si>
  <si>
    <t>@hallotell_</t>
  </si>
  <si>
    <t>@haloakuririn</t>
  </si>
  <si>
    <t>@haloneneu</t>
  </si>
  <si>
    <t>@hanacrlne</t>
  </si>
  <si>
    <t>@hanaofficial88</t>
  </si>
  <si>
    <t>@hanatz</t>
  </si>
  <si>
    <t>@haneybunnyyy</t>
  </si>
  <si>
    <t>@hanita.e</t>
  </si>
  <si>
    <t>@hanumsajidah1</t>
  </si>
  <si>
    <t>@hasnaaazz_</t>
  </si>
  <si>
    <t>@heffalump88</t>
  </si>
  <si>
    <t>@helen.mn_</t>
  </si>
  <si>
    <t>@hellosun_0</t>
  </si>
  <si>
    <t>@hellowfunnyy</t>
  </si>
  <si>
    <t>@henakuhen</t>
  </si>
  <si>
    <t>@henirahayu01</t>
  </si>
  <si>
    <t>@herikanatasya_</t>
  </si>
  <si>
    <t>@heylulaa</t>
  </si>
  <si>
    <t>@hifazra</t>
  </si>
  <si>
    <t>@hik4wu</t>
  </si>
  <si>
    <t>@hillaryeilishh</t>
  </si>
  <si>
    <t>@hourlysar</t>
  </si>
  <si>
    <t>@hsign62</t>
  </si>
  <si>
    <t>@https.buna</t>
  </si>
  <si>
    <t>@iamkeylie</t>
  </si>
  <si>
    <t>@idulbukanidoel</t>
  </si>
  <si>
    <t>@ig.devynchintya</t>
  </si>
  <si>
    <t>@ikanbirruuu</t>
  </si>
  <si>
    <t>@im.hopey</t>
  </si>
  <si>
    <t>@imaowta</t>
  </si>
  <si>
    <t>@imn0t.yours</t>
  </si>
  <si>
    <t>@inaadonad</t>
  </si>
  <si>
    <t>@indrimeiliana</t>
  </si>
  <si>
    <t>@iniochaak</t>
  </si>
  <si>
    <t>@iraamulyani</t>
  </si>
  <si>
    <t>@ireniaofficial</t>
  </si>
  <si>
    <t>@irma.iryanto3</t>
  </si>
  <si>
    <t>@istiqamhh</t>
  </si>
  <si>
    <t>@itscykaa</t>
  </si>
  <si>
    <t>@itsmeaprilola</t>
  </si>
  <si>
    <t>@itsnuyi</t>
  </si>
  <si>
    <t>@itsrachul</t>
  </si>
  <si>
    <t>@itzzme.ang</t>
  </si>
  <si>
    <t>@janessatheo</t>
  </si>
  <si>
    <t>@janicesamanthaa</t>
  </si>
  <si>
    <t>@jeliliyy_</t>
  </si>
  <si>
    <t>@jesiscajesis</t>
  </si>
  <si>
    <t>@jesselinjess</t>
  </si>
  <si>
    <t>@jessicarosmaureena</t>
  </si>
  <si>
    <t>@jesslynhere</t>
  </si>
  <si>
    <t>@jessysaaas</t>
  </si>
  <si>
    <t>@jihanmndaa</t>
  </si>
  <si>
    <t>@julianastasia</t>
  </si>
  <si>
    <t>@juniarwitan</t>
  </si>
  <si>
    <t>@junjunshii</t>
  </si>
  <si>
    <t>@justlintang</t>
  </si>
  <si>
    <t>@kakakjilbabcoklat</t>
  </si>
  <si>
    <t>@kakatayaa</t>
  </si>
  <si>
    <t>@kardevvvv</t>
  </si>
  <si>
    <t>@karenhendrawan7</t>
  </si>
  <si>
    <t>@karenthaliaaa</t>
  </si>
  <si>
    <t>@kareynaz</t>
  </si>
  <si>
    <t>@karinspill</t>
  </si>
  <si>
    <t>@kemalagita</t>
  </si>
  <si>
    <t>@khadziyah13_</t>
  </si>
  <si>
    <t>@khairsaa</t>
  </si>
  <si>
    <t>@kheiv</t>
  </si>
  <si>
    <t>@kiynnar</t>
  </si>
  <si>
    <t>@kkmn99</t>
  </si>
  <si>
    <t>@laladitiktok</t>
  </si>
  <si>
    <t>@lalajuliandari053</t>
  </si>
  <si>
    <t>@lalapoo76</t>
  </si>
  <si>
    <t>@leilamrnda</t>
  </si>
  <si>
    <t>@lenimizzle</t>
  </si>
  <si>
    <t>@leonymarcha</t>
  </si>
  <si>
    <t>@lilyawliya</t>
  </si>
  <si>
    <t>@lilyisnotflowerrr</t>
  </si>
  <si>
    <t>@lindawidyaa8</t>
  </si>
  <si>
    <t>@lingstephanie</t>
  </si>
  <si>
    <t>@lintangraina</t>
  </si>
  <si>
    <t>@lisdafbrd_</t>
  </si>
  <si>
    <t>@literalygabuttt</t>
  </si>
  <si>
    <t>@lorrrrrrrra_</t>
  </si>
  <si>
    <t>@ludovicajessica</t>
  </si>
  <si>
    <t>@lul0l</t>
  </si>
  <si>
    <t>@lutxani</t>
  </si>
  <si>
    <t>@maddienathania</t>
  </si>
  <si>
    <t>@madivabeer</t>
  </si>
  <si>
    <t>@makeupbyjane2</t>
  </si>
  <si>
    <t>@makeupfor30s</t>
  </si>
  <si>
    <t>@makeupxsherren</t>
  </si>
  <si>
    <t>@mamanarasi</t>
  </si>
  <si>
    <t>@marcelinafzhh</t>
  </si>
  <si>
    <t>@mardatills</t>
  </si>
  <si>
    <t>@marisajasminee</t>
  </si>
  <si>
    <t>@marsyabungaaa</t>
  </si>
  <si>
    <t>@matchaaciiiiii</t>
  </si>
  <si>
    <t>@matchajunkie</t>
  </si>
  <si>
    <t>@mayanadiaa</t>
  </si>
  <si>
    <t>@maybmei</t>
  </si>
  <si>
    <t>@mbanajlaa</t>
  </si>
  <si>
    <t>@meeiiya</t>
  </si>
  <si>
    <t>@meilanindraa</t>
  </si>
  <si>
    <t>@melfacitra</t>
  </si>
  <si>
    <t>@merilazuardiii</t>
  </si>
  <si>
    <t>@merisaptr_</t>
  </si>
  <si>
    <t>@metaliaaaaaaa</t>
  </si>
  <si>
    <t>@metta.phan</t>
  </si>
  <si>
    <t>@meyleela</t>
  </si>
  <si>
    <t>@micaellamnn</t>
  </si>
  <si>
    <t>@micloudy</t>
  </si>
  <si>
    <t>@milkywoof</t>
  </si>
  <si>
    <t>@mindysabrina</t>
  </si>
  <si>
    <t>@miyaaliii</t>
  </si>
  <si>
    <t>@mlkrtkaa</t>
  </si>
  <si>
    <t>@monnyriskianip</t>
  </si>
  <si>
    <t>@ms.stya</t>
  </si>
  <si>
    <t>@mtsyvtr</t>
  </si>
  <si>
    <t>@mucia.au</t>
  </si>
  <si>
    <t>@mulia_setyowati</t>
  </si>
  <si>
    <t>@muthiazohra</t>
  </si>
  <si>
    <t>@mutiaadawiyyah5</t>
  </si>
  <si>
    <t>@mutiasrigianti</t>
  </si>
  <si>
    <t>@mwojii</t>
  </si>
  <si>
    <t>@nabilafirdaus07</t>
  </si>
  <si>
    <t>@nabilahwirizkiii</t>
  </si>
  <si>
    <t>@nacalatte</t>
  </si>
  <si>
    <t>@nadiaaaalll</t>
  </si>
  <si>
    <t>@nadiaaag01</t>
  </si>
  <si>
    <t>@nadiatussaa</t>
  </si>
  <si>
    <t>@nadilaafatesa</t>
  </si>
  <si>
    <t>@nadyaanatashaaa</t>
  </si>
  <si>
    <t>@nadyamgdlnn</t>
  </si>
  <si>
    <t>@naisalsabila</t>
  </si>
  <si>
    <t>@namanya.katerine</t>
  </si>
  <si>
    <t>@nandaadelia21</t>
  </si>
  <si>
    <t>@natashaalaurentinaa</t>
  </si>
  <si>
    <t>@natasyafifialayda_</t>
  </si>
  <si>
    <t>@naylasyr</t>
  </si>
  <si>
    <t>@nazwamhrm</t>
  </si>
  <si>
    <t>@nbllaap</t>
  </si>
  <si>
    <t>@ndini_rahma23</t>
  </si>
  <si>
    <t>@nellyharahap25_</t>
  </si>
  <si>
    <t>@nesagnesss_</t>
  </si>
  <si>
    <t>@nhsnasya_</t>
  </si>
  <si>
    <t>@nicetmy</t>
  </si>
  <si>
    <t>@nidatidurmulu</t>
  </si>
  <si>
    <t>@nindya.widyasaputri</t>
  </si>
  <si>
    <t>@nissa.sekar</t>
  </si>
  <si>
    <t>@nmarecar</t>
  </si>
  <si>
    <t>@noiamig</t>
  </si>
  <si>
    <t>@nolahariadi</t>
  </si>
  <si>
    <t>@nonaatyass</t>
  </si>
  <si>
    <t>@northstargirls_</t>
  </si>
  <si>
    <t>@nov_kbc</t>
  </si>
  <si>
    <t>@novalexannn07</t>
  </si>
  <si>
    <t>@novandadaraa</t>
  </si>
  <si>
    <t>@nrlaellaa</t>
  </si>
  <si>
    <t>@nu_qila</t>
  </si>
  <si>
    <t>@nudshine</t>
  </si>
  <si>
    <t>@nuraenisappee</t>
  </si>
  <si>
    <t>@nuralissaaa</t>
  </si>
  <si>
    <t>@ocedecee</t>
  </si>
  <si>
    <t>@octaviani.w</t>
  </si>
  <si>
    <t>@odeliachristina</t>
  </si>
  <si>
    <t>@odxlxx</t>
  </si>
  <si>
    <t>@oikavva2</t>
  </si>
  <si>
    <t>@oliviasompie</t>
  </si>
  <si>
    <t>@oyicloudy</t>
  </si>
  <si>
    <t>@pamelawanggg</t>
  </si>
  <si>
    <t>@pangilaja_nyu</t>
  </si>
  <si>
    <t>@patricialourence</t>
  </si>
  <si>
    <t>@peachydf</t>
  </si>
  <si>
    <t>@peonyyypeony</t>
  </si>
  <si>
    <t>@periwinkle_9</t>
  </si>
  <si>
    <t>@peteputee</t>
  </si>
  <si>
    <t>@pinkyglass7</t>
  </si>
  <si>
    <t>@pistaschioo</t>
  </si>
  <si>
    <t>@pokziee</t>
  </si>
  <si>
    <t>@pr3eety</t>
  </si>
  <si>
    <t>@prcliaavanessa</t>
  </si>
  <si>
    <t>@precioushifa</t>
  </si>
  <si>
    <t>@primaomaaa</t>
  </si>
  <si>
    <t>@prnmagatrii</t>
  </si>
  <si>
    <t>@psychobaby.xx</t>
  </si>
  <si>
    <t>@putrek18</t>
  </si>
  <si>
    <t>@putricitra27</t>
  </si>
  <si>
    <t>@qamaraasr</t>
  </si>
  <si>
    <t>@qheylazv</t>
  </si>
  <si>
    <t>@qinomsaurus</t>
  </si>
  <si>
    <t>@queeeenzaaa</t>
  </si>
  <si>
    <t>@queenoee1</t>
  </si>
  <si>
    <t>@queentann_</t>
  </si>
  <si>
    <t>@queenzyyr</t>
  </si>
  <si>
    <t>@r22nn4</t>
  </si>
  <si>
    <t>@raflyalvinn</t>
  </si>
  <si>
    <t>@rani.yln</t>
  </si>
  <si>
    <t>@ratucariissa</t>
  </si>
  <si>
    <t>@ravie.pie</t>
  </si>
  <si>
    <t>@refaaalhady</t>
  </si>
  <si>
    <t>@refiameidi</t>
  </si>
  <si>
    <t>@reginadebii</t>
  </si>
  <si>
    <t>@reginanugroho</t>
  </si>
  <si>
    <t>@reginayoshida_</t>
  </si>
  <si>
    <t>@renagriselda</t>
  </si>
  <si>
    <t>@renieas</t>
  </si>
  <si>
    <t>@renisiaaa</t>
  </si>
  <si>
    <t>@renny_pl</t>
  </si>
  <si>
    <t>@renny.antonious</t>
  </si>
  <si>
    <t>@ricapuspitas</t>
  </si>
  <si>
    <t>@richrachellll</t>
  </si>
  <si>
    <t>@rihaikha</t>
  </si>
  <si>
    <t>@rikhalaila</t>
  </si>
  <si>
    <t>@riskareres</t>
  </si>
  <si>
    <t>@risqianao</t>
  </si>
  <si>
    <t>@rizkibles</t>
  </si>
  <si>
    <t>@rizzkaaulia_</t>
  </si>
  <si>
    <t>@rossyrosee3</t>
  </si>
  <si>
    <t>@rrfebryl</t>
  </si>
  <si>
    <t>@rsnakr</t>
  </si>
  <si>
    <t>@sabilavirajati</t>
  </si>
  <si>
    <t>@sabrinaisarah</t>
  </si>
  <si>
    <t>@safapelangii</t>
  </si>
  <si>
    <t>@safiramiss</t>
  </si>
  <si>
    <t>@sahasahaaieuu</t>
  </si>
  <si>
    <t>@salma.nafissa</t>
  </si>
  <si>
    <t>@salmaqilla</t>
  </si>
  <si>
    <t>@sarfahh_</t>
  </si>
  <si>
    <t>@sarifahhanaa</t>
  </si>
  <si>
    <t>@sasaihsansii</t>
  </si>
  <si>
    <t>@sawitri_nopela</t>
  </si>
  <si>
    <t>@selvisantoso92</t>
  </si>
  <si>
    <t>@selymutiara__</t>
  </si>
  <si>
    <t>@sepertiteman</t>
  </si>
  <si>
    <t>@shanijkt48</t>
  </si>
  <si>
    <t>@sharfeint</t>
  </si>
  <si>
    <t>@sharonatashaa</t>
  </si>
  <si>
    <t>@shelaoktav1</t>
  </si>
  <si>
    <t>@shellaalaztha</t>
  </si>
  <si>
    <t>@shellacletus</t>
  </si>
  <si>
    <t>@shelly.chandra</t>
  </si>
  <si>
    <t>@shellyagathaa</t>
  </si>
  <si>
    <t>@sherenzx</t>
  </si>
  <si>
    <t>@sheylanada</t>
  </si>
  <si>
    <t>@shii.faa_</t>
  </si>
  <si>
    <t>@shintadez_20</t>
  </si>
  <si>
    <t>@shiskarabekenz</t>
  </si>
  <si>
    <t>@shvnyleona</t>
  </si>
  <si>
    <t>@shyacaa</t>
  </si>
  <si>
    <t>@sicicisipit</t>
  </si>
  <si>
    <t>@siiiincerelyaprilll</t>
  </si>
  <si>
    <t>@silvahidfm</t>
  </si>
  <si>
    <t>@silvalim_</t>
  </si>
  <si>
    <t>@silvidnlorenza</t>
  </si>
  <si>
    <t>@sindiprastika.s</t>
  </si>
  <si>
    <t>@sitijenab044</t>
  </si>
  <si>
    <t>@sitisandah</t>
  </si>
  <si>
    <t>@skincarebyw</t>
  </si>
  <si>
    <t>@skingasm_id</t>
  </si>
  <si>
    <t>@snowwhiteezz</t>
  </si>
  <si>
    <t>@softyicecream_</t>
  </si>
  <si>
    <t>@soufberry</t>
  </si>
  <si>
    <t>@soviosjustle</t>
  </si>
  <si>
    <t>@starlssmoon</t>
  </si>
  <si>
    <t>@stellajoee_</t>
  </si>
  <si>
    <t>@stellatandajaya</t>
  </si>
  <si>
    <t>@suchiaas</t>
  </si>
  <si>
    <t>@sufarelysia</t>
  </si>
  <si>
    <t>@sukmaningrum__</t>
  </si>
  <si>
    <t>@sunflowerszir</t>
  </si>
  <si>
    <t>@sweetirtup</t>
  </si>
  <si>
    <t>@syaast</t>
  </si>
  <si>
    <t>@syavicaf_</t>
  </si>
  <si>
    <t>@syeaja</t>
  </si>
  <si>
    <t>@syewiw</t>
  </si>
  <si>
    <t>@syifaazizah_</t>
  </si>
  <si>
    <t>@t.cheese_</t>
  </si>
  <si>
    <t>@taa_768</t>
  </si>
  <si>
    <t>@takanasamisakata</t>
  </si>
  <si>
    <t>@talithanaf96</t>
  </si>
  <si>
    <t>@tatanzrh</t>
  </si>
  <si>
    <t>@theardrop</t>
  </si>
  <si>
    <t>@theblackswannn</t>
  </si>
  <si>
    <t>@thefabulousvin</t>
  </si>
  <si>
    <t>@thifapuspita</t>
  </si>
  <si>
    <t>@thisisyuhupo</t>
  </si>
  <si>
    <t>@thsaurus</t>
  </si>
  <si>
    <t>@tiaratshh</t>
  </si>
  <si>
    <t>@tiiraamisuuu</t>
  </si>
  <si>
    <t>@tiktokshopblue</t>
  </si>
  <si>
    <t>@tissabianiazzahra</t>
  </si>
  <si>
    <t>@tresyee</t>
  </si>
  <si>
    <t>@trustiyanamaya</t>
  </si>
  <si>
    <t>@tsysal</t>
  </si>
  <si>
    <t>@tunasko</t>
  </si>
  <si>
    <t>@tyaltya</t>
  </si>
  <si>
    <t>@udahgalibur</t>
  </si>
  <si>
    <t>@ulfadianita</t>
  </si>
  <si>
    <t>@uracnebf</t>
  </si>
  <si>
    <t>@urskinrescuer</t>
  </si>
  <si>
    <t>@utezet</t>
  </si>
  <si>
    <t>@uwioyeng</t>
  </si>
  <si>
    <t>@v.sevillaaa</t>
  </si>
  <si>
    <t>@vanessaabigail31</t>
  </si>
  <si>
    <t>@vanessacha95</t>
  </si>
  <si>
    <t>@vaniaahmad101</t>
  </si>
  <si>
    <t>@velaineee</t>
  </si>
  <si>
    <t>@veldaasuma</t>
  </si>
  <si>
    <t>@veryvinca</t>
  </si>
  <si>
    <t>@vetegbr</t>
  </si>
  <si>
    <t>@vidyadikaa</t>
  </si>
  <si>
    <t>@viekalika</t>
  </si>
  <si>
    <t>@vika.dwicakra</t>
  </si>
  <si>
    <t>@vinnilya</t>
  </si>
  <si>
    <t>@vitamincyuu</t>
  </si>
  <si>
    <t>@vitridev</t>
  </si>
  <si>
    <t>@vlnnnjb</t>
  </si>
  <si>
    <t>@vntsyaaa</t>
  </si>
  <si>
    <t>@voilaaah</t>
  </si>
  <si>
    <t>@vvafarrah</t>
  </si>
  <si>
    <t>@wearsunblock</t>
  </si>
  <si>
    <t>@wellisnaa_</t>
  </si>
  <si>
    <t>@whatspo0pin</t>
  </si>
  <si>
    <t>@whiteflowerains</t>
  </si>
  <si>
    <t>@whoismontserratgizelle</t>
  </si>
  <si>
    <t>@widya.wei</t>
  </si>
  <si>
    <t>@wiiiiinawdynt02</t>
  </si>
  <si>
    <t>@wndzzzzz</t>
  </si>
  <si>
    <t>@woonbabe</t>
  </si>
  <si>
    <t>@wrgusnari_</t>
  </si>
  <si>
    <t>@wuwu6</t>
  </si>
  <si>
    <t>@wynneaqila</t>
  </si>
  <si>
    <t>@xclusive.piy</t>
  </si>
  <si>
    <t>@yaiyaiaa</t>
  </si>
  <si>
    <t>@yanikuhhh</t>
  </si>
  <si>
    <t>@yazfarach</t>
  </si>
  <si>
    <t>@yemimaassa</t>
  </si>
  <si>
    <t>@ymlia002</t>
  </si>
  <si>
    <t>@yolksacc</t>
  </si>
  <si>
    <t>@yosefineyoe</t>
  </si>
  <si>
    <t>@yosep.muach</t>
  </si>
  <si>
    <t>@yoursadbestfriend</t>
  </si>
  <si>
    <t>@zahrah.ateerah</t>
  </si>
  <si>
    <t>@zahrahauu</t>
  </si>
  <si>
    <t>@zahrasalsabilaaaaa</t>
  </si>
  <si>
    <t>@zaramatoshi</t>
  </si>
  <si>
    <t>@zeejkt48</t>
  </si>
  <si>
    <t>@zistalutzfayda</t>
  </si>
  <si>
    <t>@zulfajuman</t>
  </si>
  <si>
    <t>@zzalishaa</t>
  </si>
  <si>
    <t>@amerizkaaa</t>
  </si>
  <si>
    <t>@annasyashaqueenanavisha</t>
  </si>
  <si>
    <t>@ayu_agstn24</t>
  </si>
  <si>
    <t>@celinesoegiardjo_</t>
  </si>
  <si>
    <t>@ciledug24jam</t>
  </si>
  <si>
    <t>@kingkong_me</t>
  </si>
  <si>
    <t>@malika.bstr</t>
  </si>
  <si>
    <t>@ocilia_saragi</t>
  </si>
  <si>
    <t>@sizkywlndri</t>
  </si>
  <si>
    <t>@tiffrappucino</t>
  </si>
  <si>
    <t>@aditya_sigma12</t>
  </si>
  <si>
    <t>@alegeor_</t>
  </si>
  <si>
    <t>@anisaulkhasanahh</t>
  </si>
  <si>
    <t>@ardhisekartaji</t>
  </si>
  <si>
    <t>@arjunabiru20</t>
  </si>
  <si>
    <t>@daniiyaa11</t>
  </si>
  <si>
    <t>@denganvivi</t>
  </si>
  <si>
    <t>@depokterkini</t>
  </si>
  <si>
    <t>@derrickbroaster</t>
  </si>
  <si>
    <t>@deysamosir</t>
  </si>
  <si>
    <t>@difarraa</t>
  </si>
  <si>
    <t>@faizfazliii</t>
  </si>
  <si>
    <t>@febrianratna</t>
  </si>
  <si>
    <t>@fernandagunsan</t>
  </si>
  <si>
    <t>@fitrii_ags</t>
  </si>
  <si>
    <t>@gamebrott.com</t>
  </si>
  <si>
    <t>@gamila_chavaleeya4</t>
  </si>
  <si>
    <t>@gansaaay</t>
  </si>
  <si>
    <t>@gigislavina</t>
  </si>
  <si>
    <t>@haekalmajid</t>
  </si>
  <si>
    <t>@ikaoktavia22</t>
  </si>
  <si>
    <t>@jesstheoutfitrepeater</t>
  </si>
  <si>
    <t>@kenn.hiro.keiko</t>
  </si>
  <si>
    <t>@kiunazira</t>
  </si>
  <si>
    <t>@kokowil_titiwil</t>
  </si>
  <si>
    <t>@krindanii</t>
  </si>
  <si>
    <t>@lhyalihe</t>
  </si>
  <si>
    <t>@mamahshema</t>
  </si>
  <si>
    <t>@nureynia</t>
  </si>
  <si>
    <t>@princezxx</t>
  </si>
  <si>
    <t>@renandaandp</t>
  </si>
  <si>
    <t>@seftiaani_</t>
  </si>
  <si>
    <t>@selvielim</t>
  </si>
  <si>
    <t>@ursboyy_</t>
  </si>
  <si>
    <t>@wisnukumoro_official</t>
  </si>
  <si>
    <t>@aaasiiel</t>
  </si>
  <si>
    <t>@alimtlh</t>
  </si>
  <si>
    <t>@arnyjiang</t>
  </si>
  <si>
    <t>@ayurarasa</t>
  </si>
  <si>
    <t>@bochld</t>
  </si>
  <si>
    <t>@danbening</t>
  </si>
  <si>
    <t>@dinnnsl</t>
  </si>
  <si>
    <t>@fasolasidoshop</t>
  </si>
  <si>
    <t>@fenty_atikaa21</t>
  </si>
  <si>
    <t>@ficillia.cicill</t>
  </si>
  <si>
    <t>@helenhannahleongara</t>
  </si>
  <si>
    <t>@itsflowra</t>
  </si>
  <si>
    <t>@ivo_bahar</t>
  </si>
  <si>
    <t>@jalerijal</t>
  </si>
  <si>
    <t>@jonstipenn_</t>
  </si>
  <si>
    <t>@latisharputri</t>
  </si>
  <si>
    <t>@noviemm</t>
  </si>
  <si>
    <t>@panggilajapejang</t>
  </si>
  <si>
    <t>@puterisalsabilaaaa</t>
  </si>
  <si>
    <t>@rhyntofebrian</t>
  </si>
  <si>
    <t>@rikariafatma</t>
  </si>
  <si>
    <t>@rxx_mnd</t>
  </si>
  <si>
    <t>@satria_elfdr17</t>
  </si>
  <si>
    <t>@uly.mz</t>
  </si>
  <si>
    <t>@zzarssept98</t>
  </si>
  <si>
    <t>@___moccacinta</t>
  </si>
  <si>
    <t>@alfifauziah__</t>
  </si>
  <si>
    <t>@anggraeni_uni</t>
  </si>
  <si>
    <t>@asyaaazh</t>
  </si>
  <si>
    <t>@deenduuh</t>
  </si>
  <si>
    <t>@dwmalaa_</t>
  </si>
  <si>
    <t>@fdishaa</t>
  </si>
  <si>
    <t>@fulgentio</t>
  </si>
  <si>
    <t>@infociputatcom</t>
  </si>
  <si>
    <t>@kukymunchsterrr_</t>
  </si>
  <si>
    <t>@medinaka_17</t>
  </si>
  <si>
    <t>@nyonyahafidz_</t>
  </si>
  <si>
    <t>@puspitawi</t>
  </si>
  <si>
    <t>@sitifitriyani115</t>
  </si>
  <si>
    <t>@sylvyprincesnata</t>
  </si>
  <si>
    <t>@tutusthomson</t>
  </si>
  <si>
    <t>@valleskaraa</t>
  </si>
  <si>
    <t>@yericastephaniek</t>
  </si>
  <si>
    <t>@anastyapandan</t>
  </si>
  <si>
    <t>@angui.11</t>
  </si>
  <si>
    <t>@anisanhdlyh_</t>
  </si>
  <si>
    <t>@antikawlns_</t>
  </si>
  <si>
    <t>@aprillmuuv</t>
  </si>
  <si>
    <t>@ayoskincarean</t>
  </si>
  <si>
    <t>@citrasidabutar1</t>
  </si>
  <si>
    <t>@darraalfaridzi</t>
  </si>
  <si>
    <t>@dekaul</t>
  </si>
  <si>
    <t>@divocado</t>
  </si>
  <si>
    <t>@dzidzihadid</t>
  </si>
  <si>
    <t>@effioct</t>
  </si>
  <si>
    <t>@el_tannn</t>
  </si>
  <si>
    <t>@fitrianaf123</t>
  </si>
  <si>
    <t>@florinrine</t>
  </si>
  <si>
    <t>@inge_majoz</t>
  </si>
  <si>
    <t>@jellycho0</t>
  </si>
  <si>
    <t>@kellyaliandra</t>
  </si>
  <si>
    <t>@lia_hdm</t>
  </si>
  <si>
    <t>@melysatann</t>
  </si>
  <si>
    <t>@meydicine</t>
  </si>
  <si>
    <t>@nafilahm</t>
  </si>
  <si>
    <t>@nhafsaaa</t>
  </si>
  <si>
    <t>@niacnofitasari</t>
  </si>
  <si>
    <t>@nida0698</t>
  </si>
  <si>
    <t>@nindihr_</t>
  </si>
  <si>
    <t>@nindtha</t>
  </si>
  <si>
    <t>@oriveralinas</t>
  </si>
  <si>
    <t>@reviewnana</t>
  </si>
  <si>
    <t>@rischachikaa</t>
  </si>
  <si>
    <t>@roulineee</t>
  </si>
  <si>
    <t>@she.nathasya</t>
  </si>
  <si>
    <t>@tepungoreng_</t>
  </si>
  <si>
    <t>@thisisnaiii</t>
  </si>
  <si>
    <t>@trzadyn</t>
  </si>
  <si>
    <t>@widya98</t>
  </si>
  <si>
    <t>@wudih</t>
  </si>
  <si>
    <t>@.nanab</t>
  </si>
  <si>
    <t>@alyssachairiena</t>
  </si>
  <si>
    <t>@anisapianika_</t>
  </si>
  <si>
    <t>@baby.dinar</t>
  </si>
  <si>
    <t>@daphnemadeline</t>
  </si>
  <si>
    <t>@dodevvvv</t>
  </si>
  <si>
    <t>@eka_frasetty</t>
  </si>
  <si>
    <t>@evelynsumarli</t>
  </si>
  <si>
    <t>@fifelia</t>
  </si>
  <si>
    <t>@hmrifah</t>
  </si>
  <si>
    <t>@indhkhrnnsaa</t>
  </si>
  <si>
    <t>@inezmanggau</t>
  </si>
  <si>
    <t>@jessica_sisy</t>
  </si>
  <si>
    <t>@justbeyousist</t>
  </si>
  <si>
    <t>@khailamom28</t>
  </si>
  <si>
    <t>@kuaisyy</t>
  </si>
  <si>
    <t>@niikakichi</t>
  </si>
  <si>
    <t>@nurul_aziiz</t>
  </si>
  <si>
    <t>@pricylzhang</t>
  </si>
  <si>
    <t>@selviaanrreal</t>
  </si>
  <si>
    <t>@shaasya.a</t>
  </si>
  <si>
    <t>@silajubran</t>
  </si>
  <si>
    <t>@syeajaaa</t>
  </si>
  <si>
    <t>@tiffanylauwrence</t>
  </si>
  <si>
    <t>@trisa066</t>
  </si>
  <si>
    <t>@veralinee</t>
  </si>
  <si>
    <t>@xtin.angelia</t>
  </si>
  <si>
    <t>@yannysukmana</t>
  </si>
  <si>
    <t>@yassipoullo</t>
  </si>
  <si>
    <t>@alyaarzkymln</t>
  </si>
  <si>
    <t>@anggtraa</t>
  </si>
  <si>
    <t>@arjunfahri</t>
  </si>
  <si>
    <t>@britneykim06</t>
  </si>
  <si>
    <t>@c_llatan88</t>
  </si>
  <si>
    <t>@cacajuwiita</t>
  </si>
  <si>
    <t>@cee_tra99</t>
  </si>
  <si>
    <t>@dessyaditya</t>
  </si>
  <si>
    <t>@enesty.putricho</t>
  </si>
  <si>
    <t>@eptriian</t>
  </si>
  <si>
    <t>@gebi_gabriela</t>
  </si>
  <si>
    <t>@hampson.zachary</t>
  </si>
  <si>
    <t>@hananabdn</t>
  </si>
  <si>
    <t>@jedsonjioriadistyo</t>
  </si>
  <si>
    <t>@jeevan_akawa</t>
  </si>
  <si>
    <t>@kay.kimiko</t>
  </si>
  <si>
    <t>@lamriadel_</t>
  </si>
  <si>
    <t>@lolitawardani</t>
  </si>
  <si>
    <t>@naybaihaqi</t>
  </si>
  <si>
    <t>@princesshuangg</t>
  </si>
  <si>
    <t>@rafael_tjoeng</t>
  </si>
  <si>
    <t>@sita_riyani</t>
  </si>
  <si>
    <t>@sywijii</t>
  </si>
  <si>
    <t>@yuliastuty1</t>
  </si>
  <si>
    <t>@adzkiya_rizqi</t>
  </si>
  <si>
    <t>@lustyaa23</t>
  </si>
  <si>
    <t>@nana.shakira.397</t>
  </si>
  <si>
    <t>@nplia</t>
  </si>
  <si>
    <t>@nurulfitriaa__</t>
  </si>
  <si>
    <t>@pantjoranpik</t>
  </si>
  <si>
    <t>@riniamanah_ra</t>
  </si>
  <si>
    <t>@vonirhamaa</t>
  </si>
  <si>
    <t>@nisa_alifa</t>
  </si>
  <si>
    <t>@joselyn.velixia</t>
  </si>
  <si>
    <t>NORMALIZED SCORES  ·  Absolute ÷ population maximum × 100</t>
  </si>
  <si>
    <t>Every cell is a formula over Absolute_Scores, and the divisor is the MAX of THAT preference's own population — never a global maximum across the database. 100 therefore means "the highest relative match inside this comparison group", and it does NOT mean a perfect or 100% fit. The absolute score it came from is one sheet to the left.</t>
  </si>
  <si>
    <t xml:space="preserve">Preference A · LumiSkin · population maximum = </t>
  </si>
  <si>
    <t xml:space="preserve">Preference B · DailyBite · population maximum = </t>
  </si>
  <si>
    <t xml:space="preserve">Preference C · NovaTech · population maximum = </t>
  </si>
  <si>
    <t>DISTRIBUTION SUMMARY  ·  every statistic computed by Excel over the score ranges</t>
  </si>
  <si>
    <t>Nothing on this sheet is a pasted number. Each cell is a formula over the corresponding column of Absolute_Scores or Normalized_Scores, so the statistics cannot drift from the data and SKEW() is Excel's own.</t>
  </si>
  <si>
    <t>Score Type</t>
  </si>
  <si>
    <t>N</t>
  </si>
  <si>
    <t>Min</t>
  </si>
  <si>
    <t>Max</t>
  </si>
  <si>
    <t>Mean</t>
  </si>
  <si>
    <t>Median</t>
  </si>
  <si>
    <t>Std Dev</t>
  </si>
  <si>
    <t>P25</t>
  </si>
  <si>
    <t>P75</t>
  </si>
  <si>
    <t>Absolute</t>
  </si>
  <si>
    <t>Normalized</t>
  </si>
  <si>
    <t>SKEWNESS AND TAIL  ·  SKEW() is Excel's own sample skewness; the reading beside it is a description, not a verdict</t>
  </si>
  <si>
    <t>Skewness =SKEW()</t>
  </si>
  <si>
    <t>Reading</t>
  </si>
  <si>
    <t>Spread (Max-Min)</t>
  </si>
  <si>
    <t>IQR (P75-P25)</t>
  </si>
  <si>
    <t>Modal value</t>
  </si>
  <si>
    <t>Modal share</t>
  </si>
  <si>
    <t>Tail Observation</t>
  </si>
  <si>
    <t>HISTOGRAM DATA  ·  bin counts behind the six charts</t>
  </si>
  <si>
    <t>Twenty five-point bins spanning the whole 0-100 scale, not the observed range: a chart auto-scaled to the data would make a distribution occupying 18-80 look like it fills the scale, which is the impression this test exists to check. Every count is a COUNTIFS over the score column, so the charts move with the data.</t>
  </si>
  <si>
    <t>x-axis = score band · y-axis = number of KOL</t>
  </si>
  <si>
    <t>Bin (score)</t>
  </si>
  <si>
    <t>Preference A Absolute</t>
  </si>
  <si>
    <t>Preference A Normalized</t>
  </si>
  <si>
    <t>Preference B Absolute</t>
  </si>
  <si>
    <t>Preference B Normalized</t>
  </si>
  <si>
    <t>Preference C Absolute</t>
  </si>
  <si>
    <t>Preference C Normalized</t>
  </si>
  <si>
    <t>0-5</t>
  </si>
  <si>
    <t>5-10</t>
  </si>
  <si>
    <t>10-15</t>
  </si>
  <si>
    <t>15-20</t>
  </si>
  <si>
    <t>20-25</t>
  </si>
  <si>
    <t>25-30</t>
  </si>
  <si>
    <t>30-35</t>
  </si>
  <si>
    <t>35-40</t>
  </si>
  <si>
    <t>40-45</t>
  </si>
  <si>
    <t>45-50</t>
  </si>
  <si>
    <t>50-55</t>
  </si>
  <si>
    <t>55-60</t>
  </si>
  <si>
    <t>60-65</t>
  </si>
  <si>
    <t>65-70</t>
  </si>
  <si>
    <t>70-75</t>
  </si>
  <si>
    <t>75-80</t>
  </si>
  <si>
    <t>80-85</t>
  </si>
  <si>
    <t>85-90</t>
  </si>
  <si>
    <t>90-95</t>
  </si>
  <si>
    <t>95-100</t>
  </si>
  <si>
    <t>TOTAL</t>
  </si>
  <si>
    <t>PREFERENCE COMPARISON  ·  the same creators scored under all three profiles</t>
  </si>
  <si>
    <t>Only creators eligible for ALL THREE populations appear here — that is what makes the six numbers on a row comparable. Absolute and Normalized travel together, and the rank columns are what answer whether changing the brand changes the order rather than just the numbers.</t>
  </si>
  <si>
    <t>194 creators are eligible under all three preferences</t>
  </si>
  <si>
    <t>Pref A Abs</t>
  </si>
  <si>
    <t>Pref A Norm</t>
  </si>
  <si>
    <t>Pref A Rank</t>
  </si>
  <si>
    <t>Pref B Abs</t>
  </si>
  <si>
    <t>Pref B Norm</t>
  </si>
  <si>
    <t>Pref B Rank</t>
  </si>
  <si>
    <t>Pref C Abs</t>
  </si>
  <si>
    <t>Pref C Norm</t>
  </si>
  <si>
    <t>Pref C Rank</t>
  </si>
  <si>
    <t>Rank spread (max-min)</t>
  </si>
  <si>
    <t>VALIDATION  ·  the checks this test has to pass before its conclusions mean anything</t>
  </si>
  <si>
    <t>Formula checks recompute in the workbook. Process checks record what was done outside it and where the evidence lives.</t>
  </si>
  <si>
    <t>No dummy KOL</t>
  </si>
  <si>
    <t>PASS</t>
  </si>
  <si>
    <t>Every creator comes from public.kol_directory where directory_status='active'. Population read 2026-09-10 06:25 UTC from 10.100.14.216/kol.</t>
  </si>
  <si>
    <t>No duplicate KOL within a population</t>
  </si>
  <si>
    <t>Each preference population is a filter over one reading, and each directory row appears once in it.</t>
  </si>
  <si>
    <t>No fabricated metrics</t>
  </si>
  <si>
    <t>Every input is read or null. Where the server has nothing the sub-score is N/A and its weight renormalises; nothing is defaulted to zero. See the coverage table on Population.</t>
  </si>
  <si>
    <t>Population size recorded</t>
  </si>
  <si>
    <t>Active creators read: 6991. Eligible per preference: Preference A N=1243 · Preference B N=5115 · Preference C N=687</t>
  </si>
  <si>
    <t>Three preference profiles recorded</t>
  </si>
  <si>
    <t>Preference A = LumiSkin (Beauty) · Preference B = DailyBite (Food) · Preference C = NovaTech (Tech)</t>
  </si>
  <si>
    <t>Absolute Score unchanged</t>
  </si>
  <si>
    <t>No weight, sub-weight, normalisation target, band or matrix cell was altered for this test. npm run brandmatch:port:verify recalculates the 24x5 comparison workbook in Excel and asserts the JavaScript scorer reproduces all 120 rows across 26 score columns — 3.120 values, exact match.</t>
  </si>
  <si>
    <t>One bug fixed, and named</t>
  </si>
  <si>
    <t>NOTED</t>
  </si>
  <si>
    <t>The haystack emptiness guard tested LEN(TRIM(haystack))=0, but the haystack is four fields joined with " | ", so a creator with none of them still produced " | | | " and the guard never fired. Three creators with no bio and no captions were scoring Keyword and Topic Match 0 instead of N/A. Now stripped of separators before the test. This is the only change to scoring behaviour.</t>
  </si>
  <si>
    <t>Normalized uses the max of its OWN population</t>
  </si>
  <si>
    <t>Each Normalized column divides by MAX of that preference's own Absolute column, shown on Normalized_Scores row 4. A correct normalisation puts exactly 100 at the top of every population. No global database maximum is used anywhere.</t>
  </si>
  <si>
    <t>Normalized Score inside 0-100</t>
  </si>
  <si>
    <t>Absolute Score still present beside it</t>
  </si>
  <si>
    <t>Absolute_Scores is a full sheet, and Normalized_Scores repeats the absolute value in the column immediately left of each normalised one. Neither replaces the other.</t>
  </si>
  <si>
    <t>Histogram bin counts reconcile with N</t>
  </si>
  <si>
    <t>Every scored creator lands in exactly one bin: the six bin totals equal the six population counts.</t>
  </si>
  <si>
    <t>Distribution summary present</t>
  </si>
  <si>
    <t>Count, Min, Max, Mean, Median, Std Dev, P25 and P75 for all six series, each an Excel formula over the score range.</t>
  </si>
  <si>
    <t>Skewness present</t>
  </si>
  <si>
    <t>Excel =SKEW() over each of the six ranges, on Distribution_Summary.</t>
  </si>
  <si>
    <t>Tail observation present</t>
  </si>
  <si>
    <t>Per series on Distribution_Summary, assembled from that series' own P25, median, P75, range and modal share.</t>
  </si>
  <si>
    <t>Creators comparable across all three preferences</t>
  </si>
  <si>
    <t>Populations differ by design, so only creators eligible under all three can have their ranks compared. Preference_Comparison holds them.</t>
  </si>
  <si>
    <t>HISTOGRAMS  -  x-axis = score band, y-axis = number of KOL</t>
  </si>
  <si>
    <t>Bins are five points wide and span the full 0-100 scale, so empty space at either end is part of the finding. Counts come from Histogram_Data.</t>
  </si>
</sst>
</file>

<file path=xl/styles.xml><?xml version="1.0" encoding="utf-8"?>
<styleSheet xmlns="http://schemas.openxmlformats.org/spreadsheetml/2006/main" xmlns:mc="http://schemas.openxmlformats.org/markup-compatibility/2006" xmlns:xr9="http://schemas.microsoft.com/office/spreadsheetml/2016/revision9" mc:Ignorable="xr9">
  <numFmts count="10">
    <numFmt numFmtId="176" formatCode="_(* #,##0.00_);_(* \(#,##0.00\);_(* &quot;-&quot;??_);_(@_)"/>
    <numFmt numFmtId="177" formatCode="_-&quot;Rp&quot;* #,##0.00_-;\-&quot;Rp&quot;* #,##0.00_-;_-&quot;Rp&quot;* &quot;-&quot;??_-;_-@_-"/>
    <numFmt numFmtId="178" formatCode="_(* #,##0_);_(* \(#,##0\);_(* &quot;-&quot;_);_(@_)"/>
    <numFmt numFmtId="179" formatCode="_-&quot;Rp&quot;* #,##0_-;\-&quot;Rp&quot;* #,##0_-;_-&quot;Rp&quot;* &quot;-&quot;??_-;_-@_-"/>
    <numFmt numFmtId="180" formatCode="0.000"/>
    <numFmt numFmtId="181" formatCode="0.0%"/>
    <numFmt numFmtId="182" formatCode="0.0000"/>
    <numFmt numFmtId="183" formatCode="0.0"/>
    <numFmt numFmtId="184" formatCode="0.00000000"/>
    <numFmt numFmtId="185" formatCode="yyyy\-mm\-dd"/>
  </numFmts>
  <fonts count="36">
    <font>
      <sz val="11"/>
      <color theme="1"/>
      <name val="Calibri"/>
      <charset val="134"/>
      <scheme val="minor"/>
    </font>
    <font>
      <b/>
      <sz val="13"/>
      <color rgb="FFFFFFFF"/>
      <name val="Calibri"/>
      <charset val="134"/>
    </font>
    <font>
      <i/>
      <sz val="9"/>
      <color rgb="FF6B7280"/>
      <name val="Calibri"/>
      <charset val="134"/>
    </font>
    <font>
      <b/>
      <sz val="11"/>
      <color rgb="FFFFFFFF"/>
      <name val="Calibri"/>
      <charset val="134"/>
    </font>
    <font>
      <b/>
      <sz val="9"/>
      <color rgb="FF111827"/>
      <name val="Calibri"/>
      <charset val="134"/>
    </font>
    <font>
      <sz val="10"/>
      <color rgb="FF111827"/>
      <name val="Calibri"/>
      <charset val="134"/>
    </font>
    <font>
      <b/>
      <sz val="12"/>
      <color rgb="FF15325B"/>
      <name val="Calibri"/>
      <charset val="134"/>
    </font>
    <font>
      <b/>
      <sz val="10"/>
      <color rgb="FF111827"/>
      <name val="Calibri"/>
      <charset val="134"/>
    </font>
    <font>
      <b/>
      <sz val="11"/>
      <color rgb="FF111827"/>
      <name val="Calibri"/>
      <charset val="134"/>
    </font>
    <font>
      <sz val="8"/>
      <color rgb="FF6B7280"/>
      <name val="Calibri"/>
      <charset val="134"/>
    </font>
    <font>
      <b/>
      <sz val="9"/>
      <color rgb="FFFFFFFF"/>
      <name val="Calibri"/>
      <charset val="134"/>
    </font>
    <font>
      <b/>
      <sz val="10"/>
      <color rgb="FFFFFFFF"/>
      <name val="Calibri"/>
      <charset val="134"/>
    </font>
    <font>
      <sz val="9"/>
      <color rgb="FF111827"/>
      <name val="Calibri"/>
      <charset val="134"/>
    </font>
    <font>
      <sz val="9"/>
      <color rgb="FF6B7280"/>
      <name val="Calibri"/>
      <charset val="134"/>
    </font>
    <font>
      <b/>
      <sz val="8"/>
      <color rgb="FFFFFFFF"/>
      <name val="Calibri"/>
      <charset val="134"/>
    </font>
    <font>
      <b/>
      <sz val="1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42">
    <fill>
      <patternFill patternType="none"/>
    </fill>
    <fill>
      <patternFill patternType="gray125"/>
    </fill>
    <fill>
      <patternFill patternType="solid">
        <fgColor rgb="FF15325B"/>
        <bgColor indexed="64"/>
      </patternFill>
    </fill>
    <fill>
      <patternFill patternType="solid">
        <fgColor rgb="FF1F2937"/>
        <bgColor indexed="64"/>
      </patternFill>
    </fill>
    <fill>
      <patternFill patternType="solid">
        <fgColor rgb="FFEFF6FF"/>
        <bgColor indexed="64"/>
      </patternFill>
    </fill>
    <fill>
      <patternFill patternType="solid">
        <fgColor rgb="FFF3F4F6"/>
        <bgColor indexed="64"/>
      </patternFill>
    </fill>
    <fill>
      <patternFill patternType="solid">
        <fgColor rgb="FFFFF8E1"/>
        <bgColor indexed="64"/>
      </patternFill>
    </fill>
    <fill>
      <patternFill patternType="solid">
        <fgColor rgb="FF334E68"/>
        <bgColor indexed="64"/>
      </patternFill>
    </fill>
    <fill>
      <patternFill patternType="solid">
        <fgColor rgb="FFF0F6FF"/>
        <bgColor indexed="64"/>
      </patternFill>
    </fill>
    <fill>
      <patternFill patternType="solid">
        <fgColor rgb="FFFAFAFA"/>
        <bgColor indexed="64"/>
      </patternFill>
    </fill>
    <fill>
      <patternFill patternType="solid">
        <fgColor rgb="FFD9EAF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5">
    <border>
      <left/>
      <right/>
      <top/>
      <bottom/>
      <diagonal/>
    </border>
    <border>
      <left style="thin">
        <color rgb="FF15325B"/>
      </left>
      <right style="thin">
        <color rgb="FF15325B"/>
      </right>
      <top style="thin">
        <color rgb="FF15325B"/>
      </top>
      <bottom style="thin">
        <color rgb="FF15325B"/>
      </bottom>
      <diagonal/>
    </border>
    <border>
      <left style="thin">
        <color rgb="FFE5E7EB"/>
      </left>
      <right style="thin">
        <color rgb="FFE5E7EB"/>
      </right>
      <top style="thin">
        <color rgb="FFE5E7EB"/>
      </top>
      <bottom style="thin">
        <color rgb="FFE5E7EB"/>
      </bottom>
      <diagonal/>
    </border>
    <border>
      <left/>
      <right/>
      <top style="thin">
        <color rgb="FFE5E7EB"/>
      </top>
      <bottom style="thin">
        <color rgb="FFE5E7EB"/>
      </bottom>
      <diagonal/>
    </border>
    <border>
      <left/>
      <right style="thin">
        <color rgb="FFE5E7EB"/>
      </right>
      <top style="thin">
        <color rgb="FFE5E7EB"/>
      </top>
      <bottom style="thin">
        <color rgb="FFE5E7EB"/>
      </bottom>
      <diagonal/>
    </border>
    <border>
      <left/>
      <right/>
      <top style="thin">
        <color rgb="FF15325B"/>
      </top>
      <bottom style="thin">
        <color rgb="FF15325B"/>
      </bottom>
      <diagonal/>
    </border>
    <border>
      <left/>
      <right style="thin">
        <color rgb="FF15325B"/>
      </right>
      <top style="thin">
        <color rgb="FF15325B"/>
      </top>
      <bottom style="thin">
        <color rgb="FF15325B"/>
      </bottom>
      <diagonal/>
    </border>
    <border>
      <left style="thin">
        <color rgb="FFF59E0B"/>
      </left>
      <right style="thin">
        <color rgb="FFF59E0B"/>
      </right>
      <top style="thin">
        <color rgb="FFF59E0B"/>
      </top>
      <bottom style="thin">
        <color rgb="FFF59E0B"/>
      </bottom>
      <diagonal/>
    </border>
    <border>
      <left/>
      <right/>
      <top style="thin">
        <color rgb="FFF59E0B"/>
      </top>
      <bottom style="thin">
        <color rgb="FFF59E0B"/>
      </bottom>
      <diagonal/>
    </border>
    <border>
      <left/>
      <right style="thin">
        <color rgb="FFF59E0B"/>
      </right>
      <top style="thin">
        <color rgb="FFF59E0B"/>
      </top>
      <bottom style="thin">
        <color rgb="FFF59E0B"/>
      </bottom>
      <diagonal/>
    </border>
    <border>
      <left style="thin">
        <color rgb="FF0F172A"/>
      </left>
      <right style="thin">
        <color rgb="FF0F172A"/>
      </right>
      <top style="thin">
        <color rgb="FF0F172A"/>
      </top>
      <bottom style="thin">
        <color rgb="FF0F172A"/>
      </bottom>
      <diagonal/>
    </border>
    <border>
      <left/>
      <right/>
      <top style="thin">
        <color rgb="FF0F172A"/>
      </top>
      <bottom style="thin">
        <color rgb="FF0F172A"/>
      </bottom>
      <diagonal/>
    </border>
    <border>
      <left/>
      <right style="thin">
        <color rgb="FF0F172A"/>
      </right>
      <top style="thin">
        <color rgb="FF0F172A"/>
      </top>
      <bottom style="thin">
        <color rgb="FF0F172A"/>
      </bottom>
      <diagonal/>
    </border>
    <border>
      <left style="thin">
        <color rgb="FF1F2937"/>
      </left>
      <right style="thin">
        <color rgb="FF1F2937"/>
      </right>
      <top style="thin">
        <color rgb="FF1F2937"/>
      </top>
      <bottom style="thin">
        <color rgb="FF1F2937"/>
      </bottom>
      <diagonal/>
    </border>
    <border>
      <left/>
      <right/>
      <top style="thin">
        <color rgb="FF1F2937"/>
      </top>
      <bottom style="thin">
        <color rgb="FF1F2937"/>
      </bottom>
      <diagonal/>
    </border>
    <border>
      <left/>
      <right style="thin">
        <color rgb="FF1F2937"/>
      </right>
      <top style="thin">
        <color rgb="FF1F2937"/>
      </top>
      <bottom style="thin">
        <color rgb="FF1F2937"/>
      </bottom>
      <diagonal/>
    </border>
    <border>
      <left style="thin">
        <color rgb="FFE8C77B"/>
      </left>
      <right style="thin">
        <color rgb="FFE8C77B"/>
      </right>
      <top style="thin">
        <color rgb="FFE8C77B"/>
      </top>
      <bottom style="thin">
        <color rgb="FFE8C77B"/>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6" fillId="0" borderId="0" applyFont="0" applyFill="0" applyBorder="0" applyAlignment="0" applyProtection="0">
      <alignment vertical="center"/>
    </xf>
    <xf numFmtId="177" fontId="16" fillId="0" borderId="0" applyFont="0" applyFill="0" applyBorder="0" applyAlignment="0" applyProtection="0">
      <alignment vertical="center"/>
    </xf>
    <xf numFmtId="9" fontId="16" fillId="0" borderId="0" applyFont="0" applyFill="0" applyBorder="0" applyAlignment="0" applyProtection="0">
      <alignment vertical="center"/>
    </xf>
    <xf numFmtId="178" fontId="16" fillId="0" borderId="0" applyFont="0" applyFill="0" applyBorder="0" applyAlignment="0" applyProtection="0">
      <alignment vertical="center"/>
    </xf>
    <xf numFmtId="179" fontId="16"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6" fillId="11" borderId="17"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18" applyNumberFormat="0" applyFill="0" applyAlignment="0" applyProtection="0">
      <alignment vertical="center"/>
    </xf>
    <xf numFmtId="0" fontId="23" fillId="0" borderId="18" applyNumberFormat="0" applyFill="0" applyAlignment="0" applyProtection="0">
      <alignment vertical="center"/>
    </xf>
    <xf numFmtId="0" fontId="24" fillId="0" borderId="19" applyNumberFormat="0" applyFill="0" applyAlignment="0" applyProtection="0">
      <alignment vertical="center"/>
    </xf>
    <xf numFmtId="0" fontId="24" fillId="0" borderId="0" applyNumberFormat="0" applyFill="0" applyBorder="0" applyAlignment="0" applyProtection="0">
      <alignment vertical="center"/>
    </xf>
    <xf numFmtId="0" fontId="25" fillId="12" borderId="20" applyNumberFormat="0" applyAlignment="0" applyProtection="0">
      <alignment vertical="center"/>
    </xf>
    <xf numFmtId="0" fontId="26" fillId="13" borderId="21" applyNumberFormat="0" applyAlignment="0" applyProtection="0">
      <alignment vertical="center"/>
    </xf>
    <xf numFmtId="0" fontId="27" fillId="13" borderId="20" applyNumberFormat="0" applyAlignment="0" applyProtection="0">
      <alignment vertical="center"/>
    </xf>
    <xf numFmtId="0" fontId="28" fillId="14" borderId="22" applyNumberFormat="0" applyAlignment="0" applyProtection="0">
      <alignment vertical="center"/>
    </xf>
    <xf numFmtId="0" fontId="29" fillId="0" borderId="23" applyNumberFormat="0" applyFill="0" applyAlignment="0" applyProtection="0">
      <alignment vertical="center"/>
    </xf>
    <xf numFmtId="0" fontId="30" fillId="0" borderId="24" applyNumberFormat="0" applyFill="0" applyAlignment="0" applyProtection="0">
      <alignment vertical="center"/>
    </xf>
    <xf numFmtId="0" fontId="31" fillId="15" borderId="0" applyNumberFormat="0" applyBorder="0" applyAlignment="0" applyProtection="0">
      <alignment vertical="center"/>
    </xf>
    <xf numFmtId="0" fontId="32" fillId="16" borderId="0" applyNumberFormat="0" applyBorder="0" applyAlignment="0" applyProtection="0">
      <alignment vertical="center"/>
    </xf>
    <xf numFmtId="0" fontId="33" fillId="17" borderId="0" applyNumberFormat="0" applyBorder="0" applyAlignment="0" applyProtection="0">
      <alignment vertical="center"/>
    </xf>
    <xf numFmtId="0" fontId="34" fillId="18" borderId="0" applyNumberFormat="0" applyBorder="0" applyAlignment="0" applyProtection="0">
      <alignment vertical="center"/>
    </xf>
    <xf numFmtId="0" fontId="35" fillId="19" borderId="0" applyNumberFormat="0" applyBorder="0" applyAlignment="0" applyProtection="0">
      <alignment vertical="center"/>
    </xf>
    <xf numFmtId="0" fontId="35" fillId="20" borderId="0" applyNumberFormat="0" applyBorder="0" applyAlignment="0" applyProtection="0">
      <alignment vertical="center"/>
    </xf>
    <xf numFmtId="0" fontId="34" fillId="21" borderId="0" applyNumberFormat="0" applyBorder="0" applyAlignment="0" applyProtection="0">
      <alignment vertical="center"/>
    </xf>
    <xf numFmtId="0" fontId="34" fillId="22" borderId="0" applyNumberFormat="0" applyBorder="0" applyAlignment="0" applyProtection="0">
      <alignment vertical="center"/>
    </xf>
    <xf numFmtId="0" fontId="35" fillId="23" borderId="0" applyNumberFormat="0" applyBorder="0" applyAlignment="0" applyProtection="0">
      <alignment vertical="center"/>
    </xf>
    <xf numFmtId="0" fontId="35" fillId="24" borderId="0" applyNumberFormat="0" applyBorder="0" applyAlignment="0" applyProtection="0">
      <alignment vertical="center"/>
    </xf>
    <xf numFmtId="0" fontId="34" fillId="25" borderId="0" applyNumberFormat="0" applyBorder="0" applyAlignment="0" applyProtection="0">
      <alignment vertical="center"/>
    </xf>
    <xf numFmtId="0" fontId="34" fillId="26" borderId="0" applyNumberFormat="0" applyBorder="0" applyAlignment="0" applyProtection="0">
      <alignment vertical="center"/>
    </xf>
    <xf numFmtId="0" fontId="35" fillId="27" borderId="0" applyNumberFormat="0" applyBorder="0" applyAlignment="0" applyProtection="0">
      <alignment vertical="center"/>
    </xf>
    <xf numFmtId="0" fontId="35" fillId="28" borderId="0" applyNumberFormat="0" applyBorder="0" applyAlignment="0" applyProtection="0">
      <alignment vertical="center"/>
    </xf>
    <xf numFmtId="0" fontId="34" fillId="29" borderId="0" applyNumberFormat="0" applyBorder="0" applyAlignment="0" applyProtection="0">
      <alignment vertical="center"/>
    </xf>
    <xf numFmtId="0" fontId="34" fillId="30" borderId="0" applyNumberFormat="0" applyBorder="0" applyAlignment="0" applyProtection="0">
      <alignment vertical="center"/>
    </xf>
    <xf numFmtId="0" fontId="35" fillId="31" borderId="0" applyNumberFormat="0" applyBorder="0" applyAlignment="0" applyProtection="0">
      <alignment vertical="center"/>
    </xf>
    <xf numFmtId="0" fontId="35" fillId="32" borderId="0" applyNumberFormat="0" applyBorder="0" applyAlignment="0" applyProtection="0">
      <alignment vertical="center"/>
    </xf>
    <xf numFmtId="0" fontId="34" fillId="33" borderId="0" applyNumberFormat="0" applyBorder="0" applyAlignment="0" applyProtection="0">
      <alignment vertical="center"/>
    </xf>
    <xf numFmtId="0" fontId="34" fillId="34" borderId="0" applyNumberFormat="0" applyBorder="0" applyAlignment="0" applyProtection="0">
      <alignment vertical="center"/>
    </xf>
    <xf numFmtId="0" fontId="35" fillId="35" borderId="0" applyNumberFormat="0" applyBorder="0" applyAlignment="0" applyProtection="0">
      <alignment vertical="center"/>
    </xf>
    <xf numFmtId="0" fontId="35" fillId="36" borderId="0" applyNumberFormat="0" applyBorder="0" applyAlignment="0" applyProtection="0">
      <alignment vertical="center"/>
    </xf>
    <xf numFmtId="0" fontId="34" fillId="37" borderId="0" applyNumberFormat="0" applyBorder="0" applyAlignment="0" applyProtection="0">
      <alignment vertical="center"/>
    </xf>
    <xf numFmtId="0" fontId="34" fillId="38" borderId="0" applyNumberFormat="0" applyBorder="0" applyAlignment="0" applyProtection="0">
      <alignment vertical="center"/>
    </xf>
    <xf numFmtId="0" fontId="35" fillId="39" borderId="0" applyNumberFormat="0" applyBorder="0" applyAlignment="0" applyProtection="0">
      <alignment vertical="center"/>
    </xf>
    <xf numFmtId="0" fontId="35" fillId="40" borderId="0" applyNumberFormat="0" applyBorder="0" applyAlignment="0" applyProtection="0">
      <alignment vertical="center"/>
    </xf>
    <xf numFmtId="0" fontId="34" fillId="41" borderId="0" applyNumberFormat="0" applyBorder="0" applyAlignment="0" applyProtection="0">
      <alignment vertical="center"/>
    </xf>
  </cellStyleXfs>
  <cellXfs count="176">
    <xf numFmtId="0" fontId="0" fillId="0" borderId="0" xfId="0"/>
    <xf numFmtId="0" fontId="1" fillId="0" borderId="0" xfId="0" applyFont="1"/>
    <xf numFmtId="0" fontId="2" fillId="0" borderId="0" xfId="0" applyFont="1"/>
    <xf numFmtId="0" fontId="3" fillId="2" borderId="0" xfId="0" applyFont="1" applyFill="1" applyAlignment="1">
      <alignment vertical="center" indent="1"/>
    </xf>
    <xf numFmtId="0" fontId="4" fillId="0" borderId="0" xfId="0" applyFont="1" applyAlignment="1">
      <alignment vertical="center" wrapText="1" indent="1"/>
    </xf>
    <xf numFmtId="0" fontId="5" fillId="3" borderId="1" xfId="0" applyFont="1" applyFill="1" applyBorder="1" applyAlignment="1">
      <alignment horizontal="center" vertical="center" wrapText="1"/>
    </xf>
    <xf numFmtId="0" fontId="6" fillId="0" borderId="2" xfId="0" applyFont="1" applyBorder="1" applyAlignment="1">
      <alignment horizontal="center"/>
    </xf>
    <xf numFmtId="0" fontId="7" fillId="0" borderId="2" xfId="0" applyFont="1" applyBorder="1" applyAlignment="1">
      <alignment vertical="center"/>
    </xf>
    <xf numFmtId="0" fontId="7" fillId="4" borderId="2" xfId="0" applyFont="1" applyFill="1" applyBorder="1" applyAlignment="1">
      <alignment horizontal="center"/>
    </xf>
    <xf numFmtId="0" fontId="8" fillId="0" borderId="2" xfId="0" applyFont="1" applyBorder="1" applyAlignment="1">
      <alignment vertical="center" wrapText="1"/>
    </xf>
    <xf numFmtId="0" fontId="8" fillId="0" borderId="2" xfId="0" applyFont="1" applyBorder="1" applyAlignment="1">
      <alignment vertical="center"/>
    </xf>
    <xf numFmtId="0" fontId="7" fillId="0" borderId="2" xfId="0" applyFont="1" applyBorder="1"/>
    <xf numFmtId="0" fontId="6" fillId="0" borderId="2" xfId="0" applyFont="1" applyBorder="1"/>
    <xf numFmtId="1" fontId="7" fillId="0" borderId="2" xfId="0" applyNumberFormat="1" applyFont="1" applyBorder="1"/>
    <xf numFmtId="2" fontId="6" fillId="0" borderId="2" xfId="0" applyNumberFormat="1" applyFont="1" applyBorder="1"/>
    <xf numFmtId="3" fontId="6" fillId="0" borderId="2" xfId="0" applyNumberFormat="1" applyFont="1" applyBorder="1"/>
    <xf numFmtId="3" fontId="7" fillId="0" borderId="2" xfId="0" applyNumberFormat="1" applyFont="1" applyBorder="1"/>
    <xf numFmtId="0" fontId="7" fillId="5" borderId="2" xfId="0" applyFont="1" applyFill="1" applyBorder="1" applyAlignment="1">
      <alignment vertical="center"/>
    </xf>
    <xf numFmtId="3" fontId="7" fillId="4" borderId="2" xfId="0" applyNumberFormat="1" applyFont="1" applyFill="1" applyBorder="1"/>
    <xf numFmtId="0" fontId="6" fillId="0" borderId="2" xfId="0" applyFont="1" applyBorder="1" applyAlignment="1">
      <alignment vertical="center"/>
    </xf>
    <xf numFmtId="3" fontId="6" fillId="0" borderId="2" xfId="0" applyNumberFormat="1" applyFont="1" applyBorder="1" applyAlignment="1">
      <alignment horizontal="right"/>
    </xf>
    <xf numFmtId="1" fontId="6" fillId="0" borderId="2" xfId="0" applyNumberFormat="1" applyFont="1" applyBorder="1" applyAlignment="1">
      <alignment horizontal="right"/>
    </xf>
    <xf numFmtId="2" fontId="6" fillId="0" borderId="2" xfId="0" applyNumberFormat="1" applyFont="1" applyBorder="1" applyAlignment="1">
      <alignment horizontal="right"/>
    </xf>
    <xf numFmtId="0" fontId="9" fillId="3" borderId="0" xfId="0" applyFont="1" applyFill="1" applyAlignment="1">
      <alignment vertical="center" indent="1"/>
    </xf>
    <xf numFmtId="180" fontId="7" fillId="0" borderId="2" xfId="0" applyNumberFormat="1" applyFont="1" applyBorder="1" applyAlignment="1">
      <alignment horizontal="right"/>
    </xf>
    <xf numFmtId="181" fontId="6" fillId="0" borderId="2" xfId="0" applyNumberFormat="1" applyFont="1" applyBorder="1" applyAlignment="1">
      <alignment horizontal="right"/>
    </xf>
    <xf numFmtId="0" fontId="8" fillId="0" borderId="2" xfId="0" applyFont="1" applyBorder="1" applyAlignment="1">
      <alignment vertical="top" wrapText="1"/>
    </xf>
    <xf numFmtId="0" fontId="10" fillId="5" borderId="2" xfId="0" applyFont="1" applyFill="1" applyBorder="1" applyAlignment="1">
      <alignment vertical="center"/>
    </xf>
    <xf numFmtId="0" fontId="0" fillId="0" borderId="3" xfId="0" applyBorder="1"/>
    <xf numFmtId="0" fontId="0" fillId="0" borderId="4" xfId="0" applyBorder="1"/>
    <xf numFmtId="1" fontId="10" fillId="4" borderId="2" xfId="0" applyNumberFormat="1" applyFont="1" applyFill="1" applyBorder="1"/>
    <xf numFmtId="1" fontId="6" fillId="0" borderId="2" xfId="0" applyNumberFormat="1" applyFont="1" applyBorder="1"/>
    <xf numFmtId="2" fontId="7" fillId="0" borderId="2" xfId="0" applyNumberFormat="1" applyFont="1" applyBorder="1"/>
    <xf numFmtId="0" fontId="6" fillId="0" borderId="2" xfId="0" applyFont="1" applyBorder="1" applyAlignment="1">
      <alignment vertical="center" wrapText="1"/>
    </xf>
    <xf numFmtId="3" fontId="6" fillId="0" borderId="2" xfId="0" applyNumberFormat="1" applyFont="1" applyBorder="1" applyAlignment="1">
      <alignment vertical="center"/>
    </xf>
    <xf numFmtId="181" fontId="6" fillId="0" borderId="2" xfId="0" applyNumberFormat="1" applyFont="1" applyBorder="1" applyAlignment="1">
      <alignment vertical="center"/>
    </xf>
    <xf numFmtId="3" fontId="7" fillId="0" borderId="2" xfId="0" applyNumberFormat="1" applyFont="1" applyBorder="1" applyAlignment="1">
      <alignment vertical="center"/>
    </xf>
    <xf numFmtId="0" fontId="10" fillId="0" borderId="2" xfId="0" applyFont="1" applyBorder="1" applyAlignment="1">
      <alignment vertical="center"/>
    </xf>
    <xf numFmtId="0" fontId="1" fillId="2" borderId="0" xfId="0" applyFont="1" applyFill="1" applyAlignment="1">
      <alignment vertical="center" indent="1"/>
    </xf>
    <xf numFmtId="0" fontId="2" fillId="0" borderId="0" xfId="0" applyFont="1" applyAlignment="1">
      <alignment vertical="center" wrapText="1" indent="1"/>
    </xf>
    <xf numFmtId="0" fontId="3" fillId="3" borderId="0" xfId="0" applyFont="1" applyFill="1" applyAlignment="1">
      <alignment vertical="center" indent="1"/>
    </xf>
    <xf numFmtId="0" fontId="6" fillId="3" borderId="2" xfId="0" applyFont="1" applyFill="1" applyBorder="1" applyAlignment="1">
      <alignment horizontal="center" vertical="center" wrapText="1"/>
    </xf>
    <xf numFmtId="0" fontId="8" fillId="0" borderId="1" xfId="0" applyFont="1" applyBorder="1"/>
    <xf numFmtId="0" fontId="8" fillId="0" borderId="1" xfId="0" applyFont="1" applyBorder="1" applyAlignment="1">
      <alignment vertical="center"/>
    </xf>
    <xf numFmtId="3" fontId="8" fillId="0" borderId="1" xfId="0" applyNumberFormat="1" applyFont="1" applyBorder="1" applyAlignment="1">
      <alignment vertical="center"/>
    </xf>
    <xf numFmtId="0" fontId="7" fillId="5" borderId="1" xfId="0" applyFont="1" applyFill="1" applyBorder="1" applyAlignment="1">
      <alignment vertical="center"/>
    </xf>
    <xf numFmtId="0" fontId="5" fillId="0" borderId="1" xfId="0" applyFont="1" applyBorder="1" applyAlignment="1">
      <alignment vertical="center"/>
    </xf>
    <xf numFmtId="0" fontId="7" fillId="6" borderId="1" xfId="0" applyFont="1" applyFill="1" applyBorder="1" applyAlignment="1">
      <alignment horizontal="center" vertical="center"/>
    </xf>
    <xf numFmtId="0" fontId="5" fillId="0" borderId="1" xfId="0" applyFont="1" applyBorder="1" applyAlignment="1">
      <alignment vertical="center" wrapText="1"/>
    </xf>
    <xf numFmtId="0" fontId="7" fillId="0" borderId="1" xfId="0" applyFont="1" applyBorder="1" applyAlignment="1">
      <alignment vertical="center"/>
    </xf>
    <xf numFmtId="0" fontId="7" fillId="7" borderId="1" xfId="0" applyFont="1" applyFill="1" applyBorder="1" applyAlignment="1">
      <alignment horizontal="center"/>
    </xf>
    <xf numFmtId="0" fontId="10" fillId="3" borderId="1" xfId="0" applyFont="1" applyFill="1" applyBorder="1" applyAlignment="1">
      <alignment horizontal="center" vertical="center" wrapText="1"/>
    </xf>
    <xf numFmtId="1" fontId="8" fillId="0" borderId="1" xfId="0" applyNumberFormat="1" applyFont="1" applyBorder="1" applyAlignment="1">
      <alignment horizontal="center"/>
    </xf>
    <xf numFmtId="0" fontId="8" fillId="0" borderId="1" xfId="0" applyFont="1" applyBorder="1" applyAlignment="1">
      <alignment horizontal="center"/>
    </xf>
    <xf numFmtId="0" fontId="0" fillId="0" borderId="5" xfId="0" applyBorder="1"/>
    <xf numFmtId="0" fontId="0" fillId="0" borderId="6" xfId="0" applyBorder="1"/>
    <xf numFmtId="0" fontId="7" fillId="6" borderId="1" xfId="0" applyFont="1" applyFill="1" applyBorder="1" applyAlignment="1">
      <alignment horizontal="center"/>
    </xf>
    <xf numFmtId="0" fontId="8" fillId="0" borderId="1" xfId="0" applyFont="1" applyBorder="1" applyAlignment="1">
      <alignment vertical="top" wrapText="1"/>
    </xf>
    <xf numFmtId="0" fontId="7" fillId="0" borderId="1" xfId="0" applyFont="1" applyBorder="1" applyAlignment="1">
      <alignment vertical="center" wrapText="1"/>
    </xf>
    <xf numFmtId="0" fontId="8" fillId="0" borderId="1" xfId="0" applyFont="1" applyBorder="1" applyAlignment="1">
      <alignment vertical="center" wrapText="1"/>
    </xf>
    <xf numFmtId="0" fontId="7" fillId="0" borderId="1" xfId="0" applyFont="1" applyBorder="1" applyAlignment="1">
      <alignment vertical="top"/>
    </xf>
    <xf numFmtId="0" fontId="8" fillId="0" borderId="1" xfId="0" applyFont="1" applyBorder="1" applyAlignment="1">
      <alignment vertical="top"/>
    </xf>
    <xf numFmtId="1" fontId="7" fillId="0" borderId="1" xfId="0" applyNumberFormat="1" applyFont="1" applyBorder="1" applyAlignment="1">
      <alignment vertical="top"/>
    </xf>
    <xf numFmtId="1" fontId="7" fillId="0" borderId="1" xfId="0" applyNumberFormat="1" applyFont="1" applyBorder="1"/>
    <xf numFmtId="0" fontId="7" fillId="0" borderId="1" xfId="0" applyFont="1" applyBorder="1"/>
    <xf numFmtId="1" fontId="8" fillId="0" borderId="1" xfId="0" applyNumberFormat="1" applyFont="1" applyBorder="1"/>
    <xf numFmtId="0" fontId="6" fillId="4" borderId="7" xfId="0" applyFont="1" applyFill="1" applyBorder="1" applyAlignment="1">
      <alignment horizontal="center" vertical="center"/>
    </xf>
    <xf numFmtId="0" fontId="0" fillId="0" borderId="8" xfId="0" applyBorder="1"/>
    <xf numFmtId="0" fontId="0" fillId="0" borderId="9" xfId="0" applyBorder="1"/>
    <xf numFmtId="0" fontId="6" fillId="8" borderId="7" xfId="0" applyFont="1" applyFill="1" applyBorder="1" applyAlignment="1">
      <alignment horizontal="center" vertical="center"/>
    </xf>
    <xf numFmtId="1" fontId="7" fillId="0" borderId="1" xfId="0" applyNumberFormat="1" applyFont="1" applyBorder="1" applyAlignment="1">
      <alignment vertical="top" wrapText="1"/>
    </xf>
    <xf numFmtId="1" fontId="8" fillId="0" borderId="1" xfId="0" applyNumberFormat="1" applyFont="1" applyBorder="1" applyAlignment="1">
      <alignment vertical="top" wrapText="1"/>
    </xf>
    <xf numFmtId="3" fontId="8" fillId="0" borderId="1" xfId="0" applyNumberFormat="1" applyFont="1" applyBorder="1"/>
    <xf numFmtId="2" fontId="8" fillId="0" borderId="1" xfId="0" applyNumberFormat="1" applyFont="1" applyBorder="1"/>
    <xf numFmtId="1" fontId="4" fillId="0" borderId="1" xfId="0" applyNumberFormat="1" applyFont="1" applyBorder="1"/>
    <xf numFmtId="0" fontId="8" fillId="6" borderId="1" xfId="0" applyFont="1" applyFill="1" applyBorder="1" applyAlignment="1">
      <alignment vertical="top" wrapText="1"/>
    </xf>
    <xf numFmtId="0" fontId="7" fillId="6" borderId="1" xfId="0" applyFont="1" applyFill="1" applyBorder="1" applyAlignment="1">
      <alignment vertical="center"/>
    </xf>
    <xf numFmtId="0" fontId="9" fillId="0" borderId="1" xfId="0" applyFont="1" applyBorder="1" applyAlignment="1">
      <alignment vertical="center" wrapText="1"/>
    </xf>
    <xf numFmtId="0" fontId="8" fillId="6" borderId="1" xfId="0" applyFont="1" applyFill="1" applyBorder="1" applyAlignment="1">
      <alignment vertical="center"/>
    </xf>
    <xf numFmtId="0" fontId="8" fillId="6" borderId="1" xfId="0" applyFont="1" applyFill="1" applyBorder="1" applyAlignment="1">
      <alignment vertical="center" wrapText="1"/>
    </xf>
    <xf numFmtId="0" fontId="8" fillId="6" borderId="1" xfId="0" applyFont="1" applyFill="1" applyBorder="1" applyAlignment="1">
      <alignment horizontal="center"/>
    </xf>
    <xf numFmtId="0" fontId="2" fillId="0" borderId="1" xfId="0" applyFont="1" applyBorder="1"/>
    <xf numFmtId="182" fontId="8" fillId="0" borderId="1" xfId="0" applyNumberFormat="1" applyFont="1" applyBorder="1"/>
    <xf numFmtId="183" fontId="8" fillId="0" borderId="1" xfId="0" applyNumberFormat="1" applyFont="1" applyBorder="1"/>
    <xf numFmtId="180" fontId="8" fillId="0" borderId="1" xfId="0" applyNumberFormat="1" applyFont="1" applyBorder="1"/>
    <xf numFmtId="0" fontId="4" fillId="0" borderId="1" xfId="0" applyFont="1" applyBorder="1" applyAlignment="1">
      <alignment vertical="center"/>
    </xf>
    <xf numFmtId="0" fontId="5" fillId="0" borderId="1" xfId="0" applyFont="1" applyBorder="1" applyAlignment="1">
      <alignment vertical="top" wrapText="1"/>
    </xf>
    <xf numFmtId="0" fontId="11" fillId="3" borderId="0" xfId="0" applyFont="1" applyFill="1" applyAlignment="1">
      <alignment vertical="center" indent="1"/>
    </xf>
    <xf numFmtId="0" fontId="10" fillId="3" borderId="10" xfId="0" applyFont="1" applyFill="1" applyBorder="1" applyAlignment="1">
      <alignment horizontal="center" vertical="center" wrapText="1"/>
    </xf>
    <xf numFmtId="0" fontId="12" fillId="0" borderId="2" xfId="0" applyFont="1" applyBorder="1"/>
    <xf numFmtId="0" fontId="12" fillId="0" borderId="2" xfId="0" applyFont="1" applyBorder="1" applyAlignment="1">
      <alignment vertical="center"/>
    </xf>
    <xf numFmtId="3" fontId="12" fillId="0" borderId="2" xfId="0" applyNumberFormat="1" applyFont="1" applyBorder="1" applyAlignment="1">
      <alignment vertical="center"/>
    </xf>
    <xf numFmtId="0" fontId="4" fillId="5" borderId="2" xfId="0" applyFont="1" applyFill="1" applyBorder="1" applyAlignment="1">
      <alignment vertical="center"/>
    </xf>
    <xf numFmtId="0" fontId="13" fillId="0" borderId="2" xfId="0" applyFont="1" applyBorder="1" applyAlignment="1">
      <alignment vertical="center"/>
    </xf>
    <xf numFmtId="0" fontId="4" fillId="6" borderId="2" xfId="0" applyFont="1" applyFill="1" applyBorder="1" applyAlignment="1">
      <alignment horizontal="center" vertical="center"/>
    </xf>
    <xf numFmtId="0" fontId="13" fillId="0" borderId="2" xfId="0" applyFont="1" applyBorder="1" applyAlignment="1">
      <alignment vertical="center" wrapText="1"/>
    </xf>
    <xf numFmtId="0" fontId="4" fillId="0" borderId="2" xfId="0" applyFont="1" applyBorder="1" applyAlignment="1">
      <alignment vertical="center"/>
    </xf>
    <xf numFmtId="0" fontId="4" fillId="8" borderId="2" xfId="0" applyFont="1" applyFill="1" applyBorder="1" applyAlignment="1">
      <alignment horizontal="center"/>
    </xf>
    <xf numFmtId="0" fontId="14" fillId="3" borderId="2" xfId="0" applyFont="1" applyFill="1" applyBorder="1" applyAlignment="1">
      <alignment horizontal="center" vertical="center" wrapText="1"/>
    </xf>
    <xf numFmtId="1" fontId="12" fillId="0" borderId="2" xfId="0" applyNumberFormat="1" applyFont="1" applyBorder="1" applyAlignment="1">
      <alignment horizontal="center"/>
    </xf>
    <xf numFmtId="0" fontId="12" fillId="0" borderId="2" xfId="0" applyFont="1" applyBorder="1" applyAlignment="1">
      <alignment horizontal="center"/>
    </xf>
    <xf numFmtId="0" fontId="4" fillId="0" borderId="2" xfId="0" applyFont="1" applyBorder="1"/>
    <xf numFmtId="1" fontId="4" fillId="0" borderId="2" xfId="0" applyNumberFormat="1" applyFont="1" applyBorder="1"/>
    <xf numFmtId="0" fontId="4" fillId="0" borderId="2" xfId="0" applyFont="1" applyBorder="1" applyAlignment="1">
      <alignment horizontal="center"/>
    </xf>
    <xf numFmtId="0" fontId="4" fillId="0" borderId="2" xfId="0" applyFont="1" applyBorder="1" applyAlignment="1">
      <alignment vertical="top" wrapText="1"/>
    </xf>
    <xf numFmtId="0" fontId="12" fillId="0" borderId="2" xfId="0" applyFont="1" applyBorder="1" applyAlignment="1">
      <alignment vertical="top" wrapText="1"/>
    </xf>
    <xf numFmtId="1" fontId="12" fillId="0" borderId="2" xfId="0" applyNumberFormat="1" applyFont="1" applyBorder="1" applyAlignment="1">
      <alignment vertical="top" wrapText="1"/>
    </xf>
    <xf numFmtId="183" fontId="4" fillId="8" borderId="2" xfId="0" applyNumberFormat="1" applyFont="1" applyFill="1" applyBorder="1" applyAlignment="1">
      <alignment horizontal="center"/>
    </xf>
    <xf numFmtId="1" fontId="4" fillId="8" borderId="2" xfId="0" applyNumberFormat="1" applyFont="1" applyFill="1" applyBorder="1" applyAlignment="1">
      <alignment horizontal="center"/>
    </xf>
    <xf numFmtId="0" fontId="4" fillId="8" borderId="2" xfId="0" applyFont="1" applyFill="1" applyBorder="1"/>
    <xf numFmtId="0" fontId="0" fillId="0" borderId="11" xfId="0" applyBorder="1"/>
    <xf numFmtId="0" fontId="0" fillId="0" borderId="12" xfId="0" applyBorder="1"/>
    <xf numFmtId="0" fontId="4" fillId="0" borderId="2" xfId="0" applyFont="1" applyBorder="1" applyAlignment="1">
      <alignment horizontal="left" vertical="top" wrapText="1"/>
    </xf>
    <xf numFmtId="0" fontId="12" fillId="0" borderId="2" xfId="0" applyFont="1" applyBorder="1" applyAlignment="1">
      <alignment horizontal="left" vertical="top" wrapText="1"/>
    </xf>
    <xf numFmtId="0" fontId="13" fillId="0" borderId="2" xfId="0" applyFont="1" applyBorder="1" applyAlignment="1">
      <alignment horizontal="left" vertical="top" wrapText="1"/>
    </xf>
    <xf numFmtId="0" fontId="4" fillId="8" borderId="2" xfId="0" applyFont="1" applyFill="1" applyBorder="1" applyAlignment="1">
      <alignment horizontal="center" vertical="top"/>
    </xf>
    <xf numFmtId="0" fontId="4" fillId="0" borderId="2" xfId="0" applyFont="1" applyBorder="1" applyAlignment="1">
      <alignment horizontal="center" vertical="top"/>
    </xf>
    <xf numFmtId="0" fontId="4" fillId="5" borderId="2" xfId="0" applyFont="1" applyFill="1" applyBorder="1" applyAlignment="1">
      <alignment horizontal="left" vertical="top" wrapText="1"/>
    </xf>
    <xf numFmtId="0" fontId="12" fillId="5" borderId="2" xfId="0" applyFont="1" applyFill="1" applyBorder="1" applyAlignment="1">
      <alignment horizontal="left" vertical="top" wrapText="1"/>
    </xf>
    <xf numFmtId="0" fontId="13" fillId="5" borderId="2" xfId="0" applyFont="1" applyFill="1" applyBorder="1" applyAlignment="1">
      <alignment horizontal="left" vertical="top" wrapText="1"/>
    </xf>
    <xf numFmtId="0" fontId="4" fillId="6" borderId="2" xfId="0" applyFont="1" applyFill="1" applyBorder="1" applyAlignment="1">
      <alignment horizontal="center" vertical="top" wrapText="1"/>
    </xf>
    <xf numFmtId="0" fontId="12" fillId="9" borderId="2" xfId="0" applyFont="1" applyFill="1" applyBorder="1" applyAlignment="1">
      <alignment horizontal="center" vertical="top" wrapText="1"/>
    </xf>
    <xf numFmtId="0" fontId="13" fillId="0" borderId="2" xfId="0" applyFont="1" applyBorder="1" applyAlignment="1">
      <alignment horizontal="center" vertical="top" wrapText="1"/>
    </xf>
    <xf numFmtId="0" fontId="4" fillId="9" borderId="2" xfId="0" applyFont="1" applyFill="1" applyBorder="1" applyAlignment="1">
      <alignment horizontal="center" vertical="top" wrapText="1"/>
    </xf>
    <xf numFmtId="3" fontId="12" fillId="0" borderId="2" xfId="0" applyNumberFormat="1" applyFont="1" applyBorder="1" applyAlignment="1">
      <alignment horizontal="center" vertical="top" wrapText="1"/>
    </xf>
    <xf numFmtId="0" fontId="12" fillId="0" borderId="2" xfId="0" applyFont="1" applyBorder="1" applyAlignment="1">
      <alignment horizontal="center" vertical="top" wrapText="1"/>
    </xf>
    <xf numFmtId="0" fontId="4" fillId="9" borderId="2" xfId="0" applyFont="1" applyFill="1" applyBorder="1" applyAlignment="1">
      <alignment horizontal="left" vertical="top" wrapText="1"/>
    </xf>
    <xf numFmtId="0" fontId="13" fillId="9" borderId="2" xfId="0" applyFont="1" applyFill="1" applyBorder="1" applyAlignment="1">
      <alignment horizontal="left" vertical="top" wrapText="1"/>
    </xf>
    <xf numFmtId="0" fontId="12" fillId="9" borderId="2" xfId="0" applyFont="1" applyFill="1" applyBorder="1" applyAlignment="1">
      <alignment horizontal="left" vertical="top" wrapText="1"/>
    </xf>
    <xf numFmtId="0" fontId="12" fillId="0" borderId="0" xfId="0" applyFont="1" applyAlignment="1">
      <alignment vertical="top" wrapText="1"/>
    </xf>
    <xf numFmtId="0" fontId="8" fillId="6" borderId="7" xfId="0" applyFont="1" applyFill="1" applyBorder="1" applyAlignment="1">
      <alignment horizontal="center"/>
    </xf>
    <xf numFmtId="0" fontId="4" fillId="0" borderId="0" xfId="0" applyFont="1"/>
    <xf numFmtId="0" fontId="4" fillId="0" borderId="0" xfId="0" applyFont="1" applyAlignment="1">
      <alignment horizontal="center"/>
    </xf>
    <xf numFmtId="0" fontId="9" fillId="0" borderId="0" xfId="0" applyFont="1" applyAlignment="1">
      <alignment vertical="center"/>
    </xf>
    <xf numFmtId="0" fontId="9" fillId="0" borderId="0" xfId="0" applyFont="1"/>
    <xf numFmtId="0" fontId="13" fillId="0" borderId="0" xfId="0" applyFont="1" applyAlignment="1">
      <alignment vertical="center"/>
    </xf>
    <xf numFmtId="0" fontId="7" fillId="0" borderId="0" xfId="0" applyFont="1"/>
    <xf numFmtId="0" fontId="10" fillId="7" borderId="13" xfId="0" applyFont="1" applyFill="1" applyBorder="1" applyAlignment="1">
      <alignment horizontal="center" vertical="center"/>
    </xf>
    <xf numFmtId="0" fontId="0" fillId="0" borderId="14" xfId="0" applyBorder="1"/>
    <xf numFmtId="0" fontId="0" fillId="0" borderId="15" xfId="0" applyBorder="1"/>
    <xf numFmtId="3" fontId="12" fillId="0" borderId="2" xfId="0" applyNumberFormat="1" applyFont="1" applyBorder="1"/>
    <xf numFmtId="183" fontId="12" fillId="0" borderId="2" xfId="0" applyNumberFormat="1" applyFont="1" applyBorder="1"/>
    <xf numFmtId="1" fontId="12" fillId="0" borderId="2" xfId="0" applyNumberFormat="1" applyFont="1" applyBorder="1"/>
    <xf numFmtId="2" fontId="12" fillId="0" borderId="2" xfId="0" applyNumberFormat="1" applyFont="1" applyBorder="1"/>
    <xf numFmtId="184" fontId="12" fillId="0" borderId="2" xfId="0" applyNumberFormat="1" applyFont="1" applyBorder="1"/>
    <xf numFmtId="2" fontId="9" fillId="0" borderId="2" xfId="0" applyNumberFormat="1" applyFont="1" applyBorder="1"/>
    <xf numFmtId="1" fontId="7" fillId="0" borderId="2" xfId="0" applyNumberFormat="1" applyFont="1" applyBorder="1" applyAlignment="1">
      <alignment vertical="top" wrapText="1"/>
    </xf>
    <xf numFmtId="180" fontId="12" fillId="0" borderId="2" xfId="0" applyNumberFormat="1" applyFont="1" applyBorder="1" applyAlignment="1">
      <alignment vertical="top" wrapText="1"/>
    </xf>
    <xf numFmtId="0" fontId="12" fillId="0" borderId="0" xfId="0" applyFont="1"/>
    <xf numFmtId="3" fontId="12" fillId="0" borderId="0" xfId="0" applyNumberFormat="1" applyFont="1"/>
    <xf numFmtId="183" fontId="12" fillId="0" borderId="0" xfId="0" applyNumberFormat="1" applyFont="1"/>
    <xf numFmtId="1" fontId="12" fillId="0" borderId="0" xfId="0" applyNumberFormat="1" applyFont="1"/>
    <xf numFmtId="2" fontId="12" fillId="0" borderId="0" xfId="0" applyNumberFormat="1" applyFont="1"/>
    <xf numFmtId="4" fontId="12" fillId="0" borderId="0" xfId="0" applyNumberFormat="1" applyFont="1"/>
    <xf numFmtId="185" fontId="12" fillId="0" borderId="0" xfId="0" applyNumberFormat="1" applyFont="1"/>
    <xf numFmtId="180" fontId="12" fillId="0" borderId="0" xfId="0" applyNumberFormat="1" applyFont="1"/>
    <xf numFmtId="0" fontId="15" fillId="10" borderId="0" xfId="0" applyFont="1" applyFill="1"/>
    <xf numFmtId="0" fontId="15" fillId="0" borderId="0" xfId="0" applyFont="1"/>
    <xf numFmtId="0" fontId="8" fillId="6" borderId="7" xfId="0" applyFont="1" applyFill="1" applyBorder="1" applyAlignment="1">
      <alignment horizontal="center" vertical="center"/>
    </xf>
    <xf numFmtId="0" fontId="5" fillId="0" borderId="0" xfId="0" applyFont="1" applyAlignment="1">
      <alignment vertical="center"/>
    </xf>
    <xf numFmtId="0" fontId="11" fillId="7" borderId="0" xfId="0" applyFont="1" applyFill="1" applyAlignment="1">
      <alignment vertical="center" indent="1"/>
    </xf>
    <xf numFmtId="0" fontId="9" fillId="0" borderId="2" xfId="0" applyFont="1" applyBorder="1" applyAlignment="1">
      <alignment vertical="center"/>
    </xf>
    <xf numFmtId="0" fontId="12" fillId="6" borderId="16" xfId="0" applyFont="1" applyFill="1" applyBorder="1" applyAlignment="1">
      <alignment vertical="center" wrapText="1"/>
    </xf>
    <xf numFmtId="0" fontId="4" fillId="8" borderId="2" xfId="0" applyFont="1" applyFill="1" applyBorder="1" applyAlignment="1">
      <alignment vertical="center" wrapText="1"/>
    </xf>
    <xf numFmtId="0" fontId="9" fillId="0" borderId="2" xfId="0" applyFont="1" applyBorder="1" applyAlignment="1">
      <alignment vertical="center" wrapText="1"/>
    </xf>
    <xf numFmtId="3" fontId="12" fillId="6" borderId="16" xfId="0" applyNumberFormat="1" applyFont="1" applyFill="1" applyBorder="1" applyAlignment="1">
      <alignment vertical="center" wrapText="1"/>
    </xf>
    <xf numFmtId="3" fontId="4" fillId="8" borderId="2" xfId="0" applyNumberFormat="1" applyFont="1" applyFill="1" applyBorder="1" applyAlignment="1">
      <alignment vertical="center" wrapText="1"/>
    </xf>
    <xf numFmtId="183" fontId="12" fillId="6" borderId="16" xfId="0" applyNumberFormat="1" applyFont="1" applyFill="1" applyBorder="1" applyAlignment="1">
      <alignment vertical="center" wrapText="1"/>
    </xf>
    <xf numFmtId="183" fontId="4" fillId="8" borderId="2" xfId="0" applyNumberFormat="1" applyFont="1" applyFill="1" applyBorder="1" applyAlignment="1">
      <alignment vertical="center" wrapText="1"/>
    </xf>
    <xf numFmtId="1" fontId="12" fillId="6" borderId="16" xfId="0" applyNumberFormat="1" applyFont="1" applyFill="1" applyBorder="1" applyAlignment="1">
      <alignment vertical="center" wrapText="1"/>
    </xf>
    <xf numFmtId="1" fontId="4" fillId="8" borderId="2" xfId="0" applyNumberFormat="1" applyFont="1" applyFill="1" applyBorder="1" applyAlignment="1">
      <alignment vertical="center" wrapText="1"/>
    </xf>
    <xf numFmtId="0" fontId="12" fillId="8" borderId="2" xfId="0" applyFont="1" applyFill="1" applyBorder="1"/>
    <xf numFmtId="183" fontId="4" fillId="8" borderId="2" xfId="0" applyNumberFormat="1" applyFont="1" applyFill="1" applyBorder="1"/>
    <xf numFmtId="0" fontId="4" fillId="0" borderId="0" xfId="0" applyFont="1" applyAlignment="1">
      <alignment vertical="center" wrapText="1"/>
    </xf>
    <xf numFmtId="0" fontId="5" fillId="0" borderId="0" xfId="0" applyFont="1" applyAlignment="1">
      <alignment vertical="center" wrapText="1"/>
    </xf>
    <xf numFmtId="0" fontId="6" fillId="4" borderId="1" xfId="0" applyFont="1" applyFill="1" applyBorder="1" applyAlignment="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4">
    <dxf>
      <font>
        <b val="1"/>
        <color rgb="FF991B1B"/>
      </font>
      <fill>
        <patternFill patternType="solid">
          <fgColor rgb="FFFEE2E2"/>
        </patternFill>
      </fill>
    </dxf>
    <dxf>
      <font>
        <color rgb="FF92400E"/>
      </font>
      <fill>
        <patternFill patternType="solid">
          <fgColor rgb="FFFEF3C7"/>
        </patternFill>
      </fill>
    </dxf>
    <dxf>
      <font>
        <b val="1"/>
        <color rgb="FF166534"/>
      </font>
    </dxf>
    <dxf>
      <font>
        <color rgb="FF92400E"/>
      </font>
    </dxf>
    <dxf>
      <font>
        <b val="1"/>
        <color rgb="FF92400E"/>
      </font>
      <fill>
        <patternFill patternType="solid">
          <fgColor rgb="FFFEF3C7"/>
        </patternFill>
      </fill>
    </dxf>
    <dxf>
      <font>
        <b val="1"/>
        <color rgb="FF14532D"/>
      </font>
      <fill>
        <patternFill patternType="solid">
          <fgColor rgb="FFBBF7D0"/>
        </patternFill>
      </fill>
    </dxf>
    <dxf>
      <font>
        <b val="1"/>
        <color rgb="FF166534"/>
      </font>
      <fill>
        <patternFill patternType="solid">
          <fgColor rgb="FFDCFCE7"/>
        </patternFill>
      </fill>
    </dxf>
    <dxf>
      <font>
        <b val="1"/>
        <color rgb="FF854D0E"/>
      </font>
      <fill>
        <patternFill patternType="solid">
          <fgColor rgb="FFFEF9C3"/>
        </patternFill>
      </fill>
    </dxf>
    <dxf>
      <font>
        <b val="1"/>
        <color rgb="FF1E40AF"/>
      </font>
      <fill>
        <patternFill patternType="solid">
          <fgColor rgb="FFDBEAFE"/>
        </patternFill>
      </fill>
    </dxf>
    <dxf>
      <font>
        <color rgb="FF991B1B"/>
      </font>
      <fill>
        <patternFill patternType="solid">
          <fgColor rgb="FFFEE2E2"/>
        </patternFill>
      </fill>
    </dxf>
    <dxf>
      <font>
        <color rgb="FF166534"/>
      </font>
      <fill>
        <patternFill patternType="solid">
          <fgColor rgb="FFDCFCE7"/>
        </patternFill>
      </fill>
    </dxf>
    <dxf>
      <font>
        <color rgb="FF3730A3"/>
      </font>
      <fill>
        <patternFill patternType="solid">
          <fgColor rgb="FFE0E7FF"/>
        </patternFill>
      </fill>
    </dxf>
    <dxf>
      <font>
        <b val="1"/>
        <color rgb="FF166534"/>
      </font>
    </dxf>
    <dxf>
      <font>
        <b val="1"/>
        <color rgb="FF991B1B"/>
      </font>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7" Type="http://schemas.openxmlformats.org/officeDocument/2006/relationships/styles" Target="styles.xml"/><Relationship Id="rId46" Type="http://schemas.openxmlformats.org/officeDocument/2006/relationships/sharedStrings" Target="sharedStrings.xml"/><Relationship Id="rId45" Type="http://schemas.openxmlformats.org/officeDocument/2006/relationships/theme" Target="theme/theme1.xml"/><Relationship Id="rId44" Type="http://schemas.openxmlformats.org/officeDocument/2006/relationships/externalLink" Target="externalLinks/externalLink6.xml"/><Relationship Id="rId43" Type="http://schemas.openxmlformats.org/officeDocument/2006/relationships/externalLink" Target="externalLinks/externalLink5.xml"/><Relationship Id="rId42" Type="http://schemas.openxmlformats.org/officeDocument/2006/relationships/externalLink" Target="externalLinks/externalLink4.xml"/><Relationship Id="rId41" Type="http://schemas.openxmlformats.org/officeDocument/2006/relationships/externalLink" Target="externalLinks/externalLink3.xml"/><Relationship Id="rId40" Type="http://schemas.openxmlformats.org/officeDocument/2006/relationships/externalLink" Target="externalLinks/externalLink2.xml"/><Relationship Id="rId4" Type="http://schemas.openxmlformats.org/officeDocument/2006/relationships/worksheet" Target="worksheets/sheet4.xml"/><Relationship Id="rId39" Type="http://schemas.openxmlformats.org/officeDocument/2006/relationships/externalLink" Target="externalLinks/externalLink1.xml"/><Relationship Id="rId38" Type="http://schemas.openxmlformats.org/officeDocument/2006/relationships/worksheet" Target="worksheets/sheet38.xml"/><Relationship Id="rId37" Type="http://schemas.openxmlformats.org/officeDocument/2006/relationships/worksheet" Target="worksheets/sheet37.xml"/><Relationship Id="rId36" Type="http://schemas.openxmlformats.org/officeDocument/2006/relationships/worksheet" Target="worksheets/sheet36.xml"/><Relationship Id="rId35" Type="http://schemas.openxmlformats.org/officeDocument/2006/relationships/worksheet" Target="worksheets/sheet35.xml"/><Relationship Id="rId34" Type="http://schemas.openxmlformats.org/officeDocument/2006/relationships/worksheet" Target="worksheets/sheet34.xml"/><Relationship Id="rId33" Type="http://schemas.openxmlformats.org/officeDocument/2006/relationships/worksheet" Target="worksheets/sheet33.xml"/><Relationship Id="rId32" Type="http://schemas.openxmlformats.org/officeDocument/2006/relationships/worksheet" Target="worksheets/sheet32.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KOL_Source_Data"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Brand_Ranking"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Brand_Comparison"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bsolute_Scores"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ormalized_Score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Histogram_Data" TargetMode="External"/></Relationships>
</file>

<file path=xl/externalLinks/externalLink1.xml><?xml version="1.0" encoding="utf-8"?>
<externalLink xmlns="http://schemas.openxmlformats.org/spreadsheetml/2006/main">
  <externalBook xmlns:r="http://schemas.openxmlformats.org/officeDocument/2006/relationships" r:id="rId1"/>
</externalLink>
</file>

<file path=xl/externalLinks/externalLink2.xml><?xml version="1.0" encoding="utf-8"?>
<externalLink xmlns="http://schemas.openxmlformats.org/spreadsheetml/2006/main">
  <externalBook xmlns:r="http://schemas.openxmlformats.org/officeDocument/2006/relationships" r:id="rId1"/>
</externalLink>
</file>

<file path=xl/externalLinks/externalLink3.xml><?xml version="1.0" encoding="utf-8"?>
<externalLink xmlns="http://schemas.openxmlformats.org/spreadsheetml/2006/main">
  <externalBook xmlns:r="http://schemas.openxmlformats.org/officeDocument/2006/relationships" r:id="rId1"/>
</externalLink>
</file>

<file path=xl/externalLinks/externalLink4.xml><?xml version="1.0" encoding="utf-8"?>
<externalLink xmlns="http://schemas.openxmlformats.org/spreadsheetml/2006/main">
  <externalBook xmlns:r="http://schemas.openxmlformats.org/officeDocument/2006/relationships" r:id="rId1"/>
</externalLink>
</file>

<file path=xl/externalLinks/externalLink5.xml><?xml version="1.0" encoding="utf-8"?>
<externalLink xmlns="http://schemas.openxmlformats.org/spreadsheetml/2006/main">
  <externalBook xmlns:r="http://schemas.openxmlformats.org/officeDocument/2006/relationships" r:id="rId1"/>
</externalLink>
</file>

<file path=xl/externalLinks/externalLink6.xml><?xml version="1.0" encoding="utf-8"?>
<externalLink xmlns="http://schemas.openxmlformats.org/spreadsheetml/2006/main">
  <externalBook xmlns:r="http://schemas.openxmlformats.org/officeDocument/2006/relationships" r:id="rId1"/>
</externalLink>
</file>

<file path=xl/tables/table1.xml><?xml version="1.0" encoding="utf-8"?>
<table xmlns="http://schemas.openxmlformats.org/spreadsheetml/2006/main" id="1" name="tblKOL" displayName="tblKOL" ref="A4:BF34">
  <autoFilter xmlns:etc="http://www.wps.cn/officeDocument/2017/etCustomData" ref="A4:BF34" etc:filterBottomFollowUsedRange="0"/>
  <tableColumns count="58">
    <tableColumn id="1" name="KOL ID" totalsRowLabel="Total"/>
    <tableColumn id="2" name="Creator Name"/>
    <tableColumn id="3" name="Handle"/>
    <tableColumn id="4" name="Platform"/>
    <tableColumn id="5" name="Category"/>
    <tableColumn id="6" name="Sub Category"/>
    <tableColumn id="7" name="Tier"/>
    <tableColumn id="8" name="Verified"/>
    <tableColumn id="9" name="Creator City"/>
    <tableColumn id="10" name="Followers"/>
    <tableColumn id="11" name="Engagement Rate (%)"/>
    <tableColumn id="12" name="Average Views"/>
    <tableColumn id="13" name="Median Views"/>
    <tableColumn id="14" name="30D Growth (%)"/>
    <tableColumn id="15" name="90D Growth (%)"/>
    <tableColumn id="16" name="Consistency Score"/>
    <tableColumn id="17" name="Community Score"/>
    <tableColumn id="18" name="Audience Quality"/>
    <tableColumn id="19" name="Audience Authenticity"/>
    <tableColumn id="20" name="Share Rate (%)"/>
    <tableColumn id="21" name="Save Rate (%)"/>
    <tableColumn id="22" name="Recent Performance"/>
    <tableColumn id="23" name="Audience Age 13–17 %"/>
    <tableColumn id="24" name="Audience Age 18–24 %"/>
    <tableColumn id="25" name="Audience Age 25–34 %"/>
    <tableColumn id="26" name="Audience Age 35–44 %"/>
    <tableColumn id="27" name="Audience Age 45+ %"/>
    <tableColumn id="28" name="Female %"/>
    <tableColumn id="29" name="Male %"/>
    <tableColumn id="30" name="Audience Country"/>
    <tableColumn id="31" name="Audience Region"/>
    <tableColumn id="32" name="Audience City"/>
    <tableColumn id="33" name="Audience Interests"/>
    <tableColumn id="34" name="Purchase Intent"/>
    <tableColumn id="35" name="Content Topics"/>
    <tableColumn id="36" name="Content Style"/>
    <tableColumn id="37" name="Creator Personality"/>
    <tableColumn id="38" name="Creator Values"/>
    <tableColumn id="39" name="Content Quality"/>
    <tableColumn id="40" name="Rate Card (IDR)"/>
    <tableColumn id="41" name="CPV"/>
    <tableColumn id="42" name="CPE"/>
    <tableColumn id="43" name="CPM"/>
    <tableColumn id="44" name="Estimated Reach"/>
    <tableColumn id="45" name="Estimated ROI"/>
    <tableColumn id="46" name="Brand Safety Score"/>
    <tableColumn id="47" name="Competitor Saturation"/>
    <tableColumn id="48" name="Risk Flag"/>
    <tableColumn id="49" name="Already Selected"/>
    <tableColumn id="50" name="In Cart"/>
    <tableColumn id="51" name="Existing Partner"/>
    <tableColumn id="52" name="Excluded Creator"/>
    <tableColumn id="53" name="Added Date"/>
    <tableColumn id="54" name="Last Updated"/>
    <tableColumn id="55" name="View-to-Follower Ratio"/>
    <tableColumn id="56" name="Cost Efficiency"/>
    <tableColumn id="57" name="Data Completeness %"/>
    <tableColumn id="58" name="Data Status"/>
  </tableColumns>
  <tableStyleInfo name="TableStyleMedium2" showFirstColumn="0" showLastColumn="0" showRowStripes="1" showColumnStripes="0"/>
</table>
</file>

<file path=xl/tables/table2.xml><?xml version="1.0" encoding="utf-8"?>
<table xmlns="http://schemas.openxmlformats.org/spreadsheetml/2006/main" id="2" name="tblDiscoveryFilters" displayName="tblDiscoveryFilters" ref="A4:J60">
  <autoFilter xmlns:etc="http://www.wps.cn/officeDocument/2017/etCustomData" ref="A4:J60" etc:filterBottomFollowUsedRange="0"/>
  <tableColumns count="10">
    <tableColumn id="1" name="Group" totalsRowLabel="Total"/>
    <tableColumn id="2" name="Filter"/>
    <tableColumn id="3" name="Filter Key"/>
    <tableColumn id="4" name="Type"/>
    <tableColumn id="5" name="Control"/>
    <tableColumn id="6" name="Brand_Profile input"/>
    <tableColumn id="7" name="KOL_Database field"/>
    <tableColumn id="8" name="Status in prototype"/>
    <tableColumn id="9" name="KOL database source"/>
    <tableColumn id="10" name="Coverage (8 Sep 2026)"/>
  </tableColumns>
  <tableStyleInfo name="TableStyleMedium2" showFirstColumn="0" showLastColumn="0" showRowStripes="1" showColumnStripes="0"/>
</table>
</file>

<file path=xl/tables/table3.xml><?xml version="1.0" encoding="utf-8"?>
<table xmlns="http://schemas.openxmlformats.org/spreadsheetml/2006/main" id="3" name="tblFilterLogic" displayName="tblFilterLogic" ref="A4:F27">
  <autoFilter xmlns:etc="http://www.wps.cn/officeDocument/2017/etCustomData" ref="A4:F27" etc:filterBottomFollowUsedRange="0"/>
  <tableColumns count="6">
    <tableColumn id="1" name="Type" totalsRowLabel="Total"/>
    <tableColumn id="2" name="Rule"/>
    <tableColumn id="3" name="Condition"/>
    <tableColumn id="4" name="Excel implementation"/>
    <tableColumn id="5" name="What happens when it fails"/>
    <tableColumn id="6" name="Backend not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9"/>
  <sheetViews>
    <sheetView tabSelected="1" workbookViewId="0">
      <pane ySplit="3" topLeftCell="A4" activePane="bottomLeft" state="frozen"/>
      <selection/>
      <selection pane="bottomLeft" activeCell="A1" sqref="A1:D1"/>
    </sheetView>
  </sheetViews>
  <sheetFormatPr defaultColWidth="9" defaultRowHeight="15" outlineLevelCol="3"/>
  <cols>
    <col min="1" max="1" width="24" customWidth="1"/>
    <col min="2" max="2" width="38" customWidth="1"/>
    <col min="3" max="3" width="65" customWidth="1"/>
    <col min="4" max="4" width="32" customWidth="1"/>
  </cols>
  <sheetData>
    <row r="1" spans="1:4">
      <c r="A1" s="157" t="s">
        <v>0</v>
      </c>
    </row>
    <row r="2" spans="1:4">
      <c r="A2" t="s">
        <v>1</v>
      </c>
    </row>
    <row r="4" spans="1:4">
      <c r="A4" s="156" t="s">
        <v>2</v>
      </c>
      <c r="B4" s="156" t="s">
        <v>3</v>
      </c>
      <c r="C4" s="156" t="s">
        <v>4</v>
      </c>
      <c r="D4" s="156" t="s">
        <v>5</v>
      </c>
    </row>
    <row r="5" spans="1:4">
      <c r="A5" t="s">
        <v>6</v>
      </c>
      <c r="B5" t="s">
        <v>7</v>
      </c>
      <c r="C5" t="s">
        <v>8</v>
      </c>
      <c r="D5" t="s">
        <v>9</v>
      </c>
    </row>
    <row r="6" spans="1:4">
      <c r="A6" t="s">
        <v>10</v>
      </c>
      <c r="B6" t="s">
        <v>11</v>
      </c>
      <c r="C6" t="s">
        <v>12</v>
      </c>
      <c r="D6" t="s">
        <v>13</v>
      </c>
    </row>
    <row r="7" spans="1:4">
      <c r="A7" t="s">
        <v>14</v>
      </c>
      <c r="B7" t="s">
        <v>15</v>
      </c>
      <c r="C7" t="s">
        <v>16</v>
      </c>
      <c r="D7" t="s">
        <v>17</v>
      </c>
    </row>
    <row r="8" spans="1:4">
      <c r="A8" t="s">
        <v>18</v>
      </c>
      <c r="B8" t="s">
        <v>19</v>
      </c>
      <c r="C8" t="s">
        <v>20</v>
      </c>
      <c r="D8" t="s">
        <v>21</v>
      </c>
    </row>
    <row r="9" spans="1:4">
      <c r="A9" t="s">
        <v>22</v>
      </c>
      <c r="B9" t="s">
        <v>23</v>
      </c>
      <c r="C9" t="s">
        <v>24</v>
      </c>
      <c r="D9" t="s">
        <v>25</v>
      </c>
    </row>
    <row r="11" spans="1:4">
      <c r="A11" s="157" t="s">
        <v>26</v>
      </c>
      <c r="B11" t="s">
        <v>27</v>
      </c>
      <c r="C11" t="s">
        <v>28</v>
      </c>
      <c r="D11" t="s">
        <v>29</v>
      </c>
    </row>
    <row r="12" spans="1:4">
      <c r="A12" t="s">
        <v>30</v>
      </c>
      <c r="B12" t="s">
        <v>31</v>
      </c>
      <c r="C12" t="s">
        <v>32</v>
      </c>
      <c r="D12" t="s">
        <v>29</v>
      </c>
    </row>
    <row r="13" spans="1:4">
      <c r="A13" t="s">
        <v>33</v>
      </c>
      <c r="B13" t="s">
        <v>34</v>
      </c>
      <c r="C13" t="s">
        <v>35</v>
      </c>
      <c r="D13" t="s">
        <v>29</v>
      </c>
    </row>
    <row r="14" spans="1:4">
      <c r="A14" t="s">
        <v>36</v>
      </c>
      <c r="B14" t="s">
        <v>37</v>
      </c>
      <c r="C14" t="s">
        <v>38</v>
      </c>
      <c r="D14" t="s">
        <v>29</v>
      </c>
    </row>
    <row r="16" spans="1:4">
      <c r="A16" t="s">
        <v>39</v>
      </c>
      <c r="B16" t="s">
        <v>40</v>
      </c>
    </row>
    <row r="17" spans="1:1">
      <c r="A17" s="157" t="s">
        <v>41</v>
      </c>
    </row>
    <row r="18" spans="1:1">
      <c r="A18" t="s">
        <v>42</v>
      </c>
    </row>
  </sheetData>
  <mergeCells count="5">
    <mergeCell ref="A1:D1"/>
    <mergeCell ref="A2:D2"/>
    <mergeCell ref="A17:D17"/>
    <mergeCell ref="A18:D18"/>
    <mergeCell ref="A19:D19"/>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50"/>
  <sheetViews>
    <sheetView workbookViewId="0">
      <pane ySplit="3" topLeftCell="A4" activePane="bottomLeft" state="frozen"/>
      <selection/>
      <selection pane="bottomLeft" activeCell="A1" sqref="A1:C1"/>
    </sheetView>
  </sheetViews>
  <sheetFormatPr defaultColWidth="9" defaultRowHeight="15" outlineLevelCol="2"/>
  <cols>
    <col min="1" max="1" width="32" customWidth="1"/>
    <col min="2" max="2" width="118" customWidth="1"/>
    <col min="3" max="3" width="30" customWidth="1"/>
  </cols>
  <sheetData>
    <row r="1" ht="24" customHeight="1" spans="1:2">
      <c r="A1" s="38" t="s">
        <v>43</v>
      </c>
    </row>
    <row r="2" ht="30" customHeight="1" spans="1:2">
      <c r="A2" s="39" t="s">
        <v>44</v>
      </c>
    </row>
    <row r="4" ht="20" customHeight="1" spans="1:2">
      <c r="A4" s="40" t="s">
        <v>45</v>
      </c>
    </row>
    <row r="5" ht="64" customHeight="1" spans="1:2">
      <c r="A5" s="173" t="s">
        <v>29</v>
      </c>
      <c r="B5" s="174" t="s">
        <v>46</v>
      </c>
    </row>
    <row r="6" ht="49" customHeight="1" spans="1:2">
      <c r="A6" s="173" t="s">
        <v>29</v>
      </c>
      <c r="B6" s="174" t="s">
        <v>47</v>
      </c>
    </row>
    <row r="7" ht="20" customHeight="1" spans="1:2">
      <c r="A7" s="40" t="s">
        <v>48</v>
      </c>
    </row>
    <row r="8" ht="49" customHeight="1" spans="1:2">
      <c r="A8" s="173" t="s">
        <v>29</v>
      </c>
      <c r="B8" s="174" t="s">
        <v>49</v>
      </c>
    </row>
    <row r="9" ht="64" customHeight="1" spans="1:2">
      <c r="A9" s="173" t="s">
        <v>29</v>
      </c>
      <c r="B9" s="174" t="s">
        <v>50</v>
      </c>
    </row>
    <row r="10" ht="20" customHeight="1" spans="1:2">
      <c r="A10" s="40" t="s">
        <v>51</v>
      </c>
    </row>
    <row r="11" ht="64" customHeight="1" spans="1:2">
      <c r="A11" s="173" t="s">
        <v>29</v>
      </c>
      <c r="B11" s="174" t="s">
        <v>52</v>
      </c>
    </row>
    <row r="12" ht="49" customHeight="1" spans="1:2">
      <c r="A12" s="173" t="s">
        <v>29</v>
      </c>
      <c r="B12" s="174" t="s">
        <v>53</v>
      </c>
    </row>
    <row r="13" ht="20" customHeight="1" spans="1:2">
      <c r="A13" s="40" t="s">
        <v>54</v>
      </c>
    </row>
    <row r="14" ht="49" customHeight="1" spans="1:2">
      <c r="A14" s="173" t="s">
        <v>55</v>
      </c>
      <c r="B14" s="174" t="s">
        <v>56</v>
      </c>
    </row>
    <row r="15" ht="34" customHeight="1" spans="1:2">
      <c r="A15" s="173" t="s">
        <v>57</v>
      </c>
      <c r="B15" s="174" t="s">
        <v>58</v>
      </c>
    </row>
    <row r="16" ht="19" customHeight="1" spans="1:2">
      <c r="A16" s="173" t="s">
        <v>59</v>
      </c>
      <c r="B16" s="174" t="s">
        <v>60</v>
      </c>
    </row>
    <row r="17" ht="34" customHeight="1" spans="1:3">
      <c r="A17" s="173" t="s">
        <v>61</v>
      </c>
      <c r="B17" s="174" t="s">
        <v>62</v>
      </c>
    </row>
    <row r="18" ht="34" customHeight="1" spans="1:3">
      <c r="A18" s="173" t="s">
        <v>63</v>
      </c>
      <c r="B18" s="174" t="s">
        <v>64</v>
      </c>
    </row>
    <row r="19" ht="34" customHeight="1" spans="1:3">
      <c r="A19" s="173" t="s">
        <v>65</v>
      </c>
      <c r="B19" s="174" t="s">
        <v>66</v>
      </c>
    </row>
    <row r="20" ht="20" customHeight="1" spans="1:3">
      <c r="A20" s="40" t="s">
        <v>67</v>
      </c>
    </row>
    <row r="21" ht="34" customHeight="1" spans="1:3">
      <c r="A21" s="175" t="s">
        <v>68</v>
      </c>
      <c r="B21" s="54"/>
      <c r="C21" s="55"/>
    </row>
    <row r="23" ht="49" customHeight="1" spans="1:3">
      <c r="A23" s="173" t="s">
        <v>29</v>
      </c>
      <c r="B23" s="174" t="s">
        <v>69</v>
      </c>
    </row>
    <row r="24" ht="20" customHeight="1" spans="1:3">
      <c r="A24" s="40" t="s">
        <v>70</v>
      </c>
    </row>
    <row r="25" ht="64" customHeight="1" spans="1:3">
      <c r="A25" s="173" t="s">
        <v>71</v>
      </c>
      <c r="B25" s="174" t="s">
        <v>72</v>
      </c>
    </row>
    <row r="26" ht="34" customHeight="1" spans="1:3">
      <c r="A26" s="173" t="s">
        <v>73</v>
      </c>
      <c r="B26" s="174" t="s">
        <v>74</v>
      </c>
    </row>
    <row r="27" ht="34" customHeight="1" spans="1:3">
      <c r="A27" s="173" t="s">
        <v>75</v>
      </c>
      <c r="B27" s="174" t="s">
        <v>76</v>
      </c>
    </row>
    <row r="28" ht="34" customHeight="1" spans="1:3">
      <c r="A28" s="173" t="s">
        <v>77</v>
      </c>
      <c r="B28" s="174" t="s">
        <v>78</v>
      </c>
    </row>
    <row r="29" ht="79" customHeight="1" spans="1:3">
      <c r="A29" s="173" t="s">
        <v>79</v>
      </c>
      <c r="B29" s="174" t="s">
        <v>80</v>
      </c>
    </row>
    <row r="30" ht="20" customHeight="1" spans="1:3">
      <c r="A30" s="40" t="s">
        <v>81</v>
      </c>
    </row>
    <row r="31" ht="64" customHeight="1" spans="1:3">
      <c r="A31" s="173" t="s">
        <v>29</v>
      </c>
      <c r="B31" s="174" t="s">
        <v>82</v>
      </c>
    </row>
    <row r="32" ht="20" customHeight="1" spans="1:3">
      <c r="A32" s="40" t="s">
        <v>83</v>
      </c>
    </row>
    <row r="33" ht="49" customHeight="1" spans="1:2">
      <c r="A33" s="173" t="s">
        <v>29</v>
      </c>
      <c r="B33" s="174" t="s">
        <v>84</v>
      </c>
    </row>
    <row r="34" ht="20" customHeight="1" spans="1:2">
      <c r="A34" s="40" t="s">
        <v>85</v>
      </c>
    </row>
    <row r="35" ht="64" customHeight="1" spans="1:2">
      <c r="A35" s="173" t="s">
        <v>29</v>
      </c>
      <c r="B35" s="174" t="s">
        <v>86</v>
      </c>
    </row>
    <row r="36" ht="20" customHeight="1" spans="1:2">
      <c r="A36" s="40" t="s">
        <v>87</v>
      </c>
    </row>
    <row r="37" ht="49" customHeight="1" spans="1:2">
      <c r="A37" s="173" t="s">
        <v>29</v>
      </c>
      <c r="B37" s="174" t="s">
        <v>88</v>
      </c>
    </row>
    <row r="38" ht="20" customHeight="1" spans="1:2">
      <c r="A38" s="40" t="s">
        <v>89</v>
      </c>
    </row>
    <row r="39" ht="64" customHeight="1" spans="1:2">
      <c r="A39" s="173" t="s">
        <v>29</v>
      </c>
      <c r="B39" s="174" t="s">
        <v>90</v>
      </c>
    </row>
    <row r="40" ht="20" customHeight="1" spans="1:2">
      <c r="A40" s="40" t="s">
        <v>91</v>
      </c>
    </row>
    <row r="41" ht="49" customHeight="1" spans="1:2">
      <c r="A41" s="173" t="s">
        <v>29</v>
      </c>
      <c r="B41" s="174" t="s">
        <v>92</v>
      </c>
    </row>
    <row r="42" ht="49" customHeight="1" spans="1:2">
      <c r="A42" s="173" t="s">
        <v>93</v>
      </c>
      <c r="B42" s="174" t="s">
        <v>94</v>
      </c>
    </row>
    <row r="43" ht="49" customHeight="1" spans="1:2">
      <c r="A43" s="173" t="s">
        <v>95</v>
      </c>
      <c r="B43" s="174" t="s">
        <v>96</v>
      </c>
    </row>
    <row r="44" ht="49" customHeight="1" spans="1:2">
      <c r="A44" s="173" t="s">
        <v>97</v>
      </c>
      <c r="B44" s="174" t="s">
        <v>98</v>
      </c>
    </row>
    <row r="45" ht="20" customHeight="1" spans="1:2">
      <c r="A45" s="40" t="s">
        <v>99</v>
      </c>
    </row>
    <row r="46" ht="49" customHeight="1" spans="1:2">
      <c r="A46" s="173" t="s">
        <v>100</v>
      </c>
      <c r="B46" s="174" t="s">
        <v>101</v>
      </c>
    </row>
    <row r="47" ht="34" customHeight="1" spans="1:2">
      <c r="A47" s="173" t="s">
        <v>102</v>
      </c>
      <c r="B47" s="174" t="s">
        <v>103</v>
      </c>
    </row>
    <row r="48" ht="49" customHeight="1" spans="1:2">
      <c r="A48" s="173" t="s">
        <v>104</v>
      </c>
      <c r="B48" s="174" t="s">
        <v>105</v>
      </c>
    </row>
    <row r="49" ht="34" customHeight="1" spans="1:2">
      <c r="A49" s="173" t="s">
        <v>106</v>
      </c>
      <c r="B49" s="174" t="s">
        <v>107</v>
      </c>
    </row>
    <row r="50" ht="64" customHeight="1" spans="1:2">
      <c r="A50" s="173" t="s">
        <v>108</v>
      </c>
      <c r="B50" s="174" t="s">
        <v>109</v>
      </c>
    </row>
  </sheetData>
  <mergeCells count="48">
    <mergeCell ref="A1:C1"/>
    <mergeCell ref="A2:C2"/>
    <mergeCell ref="A4:C4"/>
    <mergeCell ref="B5:C5"/>
    <mergeCell ref="B6:C6"/>
    <mergeCell ref="A7:C7"/>
    <mergeCell ref="B8:C8"/>
    <mergeCell ref="B9:C9"/>
    <mergeCell ref="A10:C10"/>
    <mergeCell ref="B11:C11"/>
    <mergeCell ref="B12:C12"/>
    <mergeCell ref="A13:C13"/>
    <mergeCell ref="B14:C14"/>
    <mergeCell ref="B15:C15"/>
    <mergeCell ref="B16:C16"/>
    <mergeCell ref="B17:C17"/>
    <mergeCell ref="B18:C18"/>
    <mergeCell ref="B19:C19"/>
    <mergeCell ref="A20:C20"/>
    <mergeCell ref="A21:C21"/>
    <mergeCell ref="B23:C23"/>
    <mergeCell ref="A24:C24"/>
    <mergeCell ref="B25:C25"/>
    <mergeCell ref="B26:C26"/>
    <mergeCell ref="B27:C27"/>
    <mergeCell ref="B28:C28"/>
    <mergeCell ref="B29:C29"/>
    <mergeCell ref="A30:C30"/>
    <mergeCell ref="B31:C31"/>
    <mergeCell ref="A32:C32"/>
    <mergeCell ref="B33:C33"/>
    <mergeCell ref="A34:C34"/>
    <mergeCell ref="B35:C35"/>
    <mergeCell ref="A36:C36"/>
    <mergeCell ref="B37:C37"/>
    <mergeCell ref="A38:C38"/>
    <mergeCell ref="B39:C39"/>
    <mergeCell ref="A40:C40"/>
    <mergeCell ref="B41:C41"/>
    <mergeCell ref="B42:C42"/>
    <mergeCell ref="B43:C43"/>
    <mergeCell ref="B44:C44"/>
    <mergeCell ref="A45:C45"/>
    <mergeCell ref="B46:C46"/>
    <mergeCell ref="B47:C47"/>
    <mergeCell ref="B48:C48"/>
    <mergeCell ref="B49:C49"/>
    <mergeCell ref="B50:C50"/>
  </mergeCells>
  <pageMargins left="0.7" right="0.7" top="0.75" bottom="0.75" header="0.3" footer="0.3"/>
  <pageSetup paperSize="1"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99"/>
  <sheetViews>
    <sheetView workbookViewId="0">
      <pane xSplit="3" ySplit="6" topLeftCell="D7" activePane="bottomRight" state="frozen"/>
      <selection/>
      <selection pane="topRight"/>
      <selection pane="bottomLeft"/>
      <selection pane="bottomRight" activeCell="A1" sqref="A1:H1"/>
    </sheetView>
  </sheetViews>
  <sheetFormatPr defaultColWidth="9" defaultRowHeight="15" outlineLevelCol="7"/>
  <cols>
    <col min="1" max="1" width="22" customWidth="1"/>
    <col min="2" max="2" width="30" customWidth="1"/>
    <col min="3" max="3" width="26" customWidth="1"/>
    <col min="4" max="7" width="34" customWidth="1"/>
    <col min="8" max="8" width="46" customWidth="1"/>
  </cols>
  <sheetData>
    <row r="1" ht="24" customHeight="1" spans="1:8">
      <c r="A1" s="38" t="s">
        <v>110</v>
      </c>
    </row>
    <row r="2" ht="30" customHeight="1" spans="1:8">
      <c r="A2" s="39" t="s">
        <v>111</v>
      </c>
    </row>
    <row r="4" ht="22" customHeight="1" spans="1:8">
      <c r="A4" s="17" t="s">
        <v>112</v>
      </c>
      <c r="B4" s="158" t="s">
        <v>113</v>
      </c>
      <c r="C4" s="159" t="s">
        <v>29</v>
      </c>
      <c r="G4" s="133" t="s">
        <v>114</v>
      </c>
      <c r="H4" s="134">
        <f>MATCH($B$4,$D$6:$F$6,0)</f>
        <v>1</v>
      </c>
    </row>
    <row r="6" ht="28" customHeight="1" spans="1:8">
      <c r="A6" s="88" t="s">
        <v>115</v>
      </c>
      <c r="B6" s="88" t="s">
        <v>116</v>
      </c>
      <c r="C6" s="88" t="s">
        <v>117</v>
      </c>
      <c r="D6" s="88" t="s">
        <v>113</v>
      </c>
      <c r="E6" s="88" t="s">
        <v>118</v>
      </c>
      <c r="F6" s="88" t="s">
        <v>119</v>
      </c>
      <c r="G6" s="88" t="s">
        <v>120</v>
      </c>
      <c r="H6" s="88" t="s">
        <v>121</v>
      </c>
    </row>
    <row r="7" ht="18" customHeight="1" spans="1:8">
      <c r="A7" s="160" t="s">
        <v>122</v>
      </c>
    </row>
    <row r="8" spans="1:8">
      <c r="A8" s="161" t="s">
        <v>123</v>
      </c>
      <c r="B8" s="96" t="s">
        <v>124</v>
      </c>
      <c r="C8" s="93" t="s">
        <v>125</v>
      </c>
      <c r="D8" s="162" t="s">
        <v>113</v>
      </c>
      <c r="E8" s="162" t="s">
        <v>118</v>
      </c>
      <c r="F8" s="162" t="s">
        <v>119</v>
      </c>
      <c r="G8" s="163" t="str">
        <f t="shared" ref="G8:G14" si="0">INDEX($D8:$F8,1,$H$4)</f>
        <v>BRAND-A</v>
      </c>
      <c r="H8" s="164" t="s">
        <v>126</v>
      </c>
    </row>
    <row r="9" spans="1:8">
      <c r="A9" s="161" t="s">
        <v>123</v>
      </c>
      <c r="B9" s="96" t="s">
        <v>127</v>
      </c>
      <c r="C9" s="93" t="s">
        <v>128</v>
      </c>
      <c r="D9" s="162" t="s">
        <v>129</v>
      </c>
      <c r="E9" s="162" t="s">
        <v>130</v>
      </c>
      <c r="F9" s="162" t="s">
        <v>131</v>
      </c>
      <c r="G9" s="163" t="str">
        <f t="shared" si="0"/>
        <v>Nusatech Cloud</v>
      </c>
      <c r="H9" s="164" t="s">
        <v>126</v>
      </c>
    </row>
    <row r="10" spans="1:8">
      <c r="A10" s="161" t="s">
        <v>123</v>
      </c>
      <c r="B10" s="96" t="s">
        <v>132</v>
      </c>
      <c r="C10" s="93" t="s">
        <v>133</v>
      </c>
      <c r="D10" s="162" t="s">
        <v>134</v>
      </c>
      <c r="E10" s="162" t="s">
        <v>135</v>
      </c>
      <c r="F10" s="162" t="s">
        <v>136</v>
      </c>
      <c r="G10" s="163" t="str">
        <f t="shared" si="0"/>
        <v>Technology / SaaS</v>
      </c>
      <c r="H10" s="164" t="s">
        <v>137</v>
      </c>
    </row>
    <row r="11" ht="24" spans="1:8">
      <c r="A11" s="161" t="s">
        <v>123</v>
      </c>
      <c r="B11" s="96" t="s">
        <v>138</v>
      </c>
      <c r="C11" s="93" t="s">
        <v>139</v>
      </c>
      <c r="D11" s="162" t="s">
        <v>140</v>
      </c>
      <c r="E11" s="162" t="s">
        <v>141</v>
      </c>
      <c r="F11" s="162" t="s">
        <v>142</v>
      </c>
      <c r="G11" s="163" t="str">
        <f t="shared" si="0"/>
        <v>Workflow automation and team collaboration for Indonesian SMEs.</v>
      </c>
      <c r="H11" s="164" t="s">
        <v>126</v>
      </c>
    </row>
    <row r="12" spans="1:8">
      <c r="A12" s="161" t="s">
        <v>123</v>
      </c>
      <c r="B12" s="96" t="s">
        <v>143</v>
      </c>
      <c r="C12" s="93" t="s">
        <v>144</v>
      </c>
      <c r="D12" s="162" t="s">
        <v>145</v>
      </c>
      <c r="E12" s="162" t="s">
        <v>146</v>
      </c>
      <c r="F12" s="162" t="s">
        <v>147</v>
      </c>
      <c r="G12" s="163" t="str">
        <f t="shared" si="0"/>
        <v>Software &amp; SaaS</v>
      </c>
      <c r="H12" s="164" t="s">
        <v>148</v>
      </c>
    </row>
    <row r="13" ht="24" spans="1:8">
      <c r="A13" s="161" t="s">
        <v>123</v>
      </c>
      <c r="B13" s="96" t="s">
        <v>149</v>
      </c>
      <c r="C13" s="93" t="s">
        <v>150</v>
      </c>
      <c r="D13" s="162" t="s">
        <v>151</v>
      </c>
      <c r="E13" s="162" t="s">
        <v>152</v>
      </c>
      <c r="F13" s="162" t="s">
        <v>153</v>
      </c>
      <c r="G13" s="163" t="str">
        <f t="shared" si="0"/>
        <v>Technology, Productivity, Business, Education, Finance</v>
      </c>
      <c r="H13" s="164" t="s">
        <v>154</v>
      </c>
    </row>
    <row r="14" spans="1:8">
      <c r="A14" s="161" t="s">
        <v>123</v>
      </c>
      <c r="B14" s="96" t="s">
        <v>155</v>
      </c>
      <c r="C14" s="93" t="s">
        <v>156</v>
      </c>
      <c r="D14" s="162" t="s">
        <v>157</v>
      </c>
      <c r="E14" s="162" t="s">
        <v>158</v>
      </c>
      <c r="F14" s="162" t="s">
        <v>159</v>
      </c>
      <c r="G14" s="163" t="str">
        <f t="shared" si="0"/>
        <v>B2B SaaS</v>
      </c>
      <c r="H14" s="164" t="s">
        <v>160</v>
      </c>
    </row>
    <row r="15" ht="18" customHeight="1" spans="1:8">
      <c r="A15" s="160" t="s">
        <v>161</v>
      </c>
    </row>
    <row r="16" spans="1:8">
      <c r="A16" s="161" t="s">
        <v>162</v>
      </c>
      <c r="B16" s="96" t="s">
        <v>163</v>
      </c>
      <c r="C16" s="93" t="s">
        <v>164</v>
      </c>
      <c r="D16" s="162" t="s">
        <v>165</v>
      </c>
      <c r="E16" s="162" t="s">
        <v>166</v>
      </c>
      <c r="F16" s="162" t="s">
        <v>165</v>
      </c>
      <c r="G16" s="163" t="str">
        <f t="shared" ref="G16:G23" si="1">INDEX($D16:$F16,1,$H$4)</f>
        <v>25-34</v>
      </c>
      <c r="H16" s="164" t="s">
        <v>167</v>
      </c>
    </row>
    <row r="17" spans="1:8">
      <c r="A17" s="161" t="s">
        <v>162</v>
      </c>
      <c r="B17" s="96" t="s">
        <v>168</v>
      </c>
      <c r="C17" s="93" t="s">
        <v>169</v>
      </c>
      <c r="D17" s="162" t="s">
        <v>166</v>
      </c>
      <c r="E17" s="162" t="s">
        <v>165</v>
      </c>
      <c r="F17" s="162" t="s">
        <v>170</v>
      </c>
      <c r="G17" s="163" t="str">
        <f t="shared" si="1"/>
        <v>18-24</v>
      </c>
      <c r="H17" s="164" t="s">
        <v>167</v>
      </c>
    </row>
    <row r="18" spans="1:8">
      <c r="A18" s="161" t="s">
        <v>162</v>
      </c>
      <c r="B18" s="96" t="s">
        <v>171</v>
      </c>
      <c r="C18" s="93" t="s">
        <v>172</v>
      </c>
      <c r="D18" s="162" t="s">
        <v>173</v>
      </c>
      <c r="E18" s="162" t="s">
        <v>174</v>
      </c>
      <c r="F18" s="162" t="s">
        <v>175</v>
      </c>
      <c r="G18" s="163" t="str">
        <f t="shared" si="1"/>
        <v>Any</v>
      </c>
      <c r="H18" s="164" t="s">
        <v>176</v>
      </c>
    </row>
    <row r="19" spans="1:8">
      <c r="A19" s="161" t="s">
        <v>162</v>
      </c>
      <c r="B19" s="96" t="s">
        <v>177</v>
      </c>
      <c r="C19" s="93" t="s">
        <v>178</v>
      </c>
      <c r="D19" s="162" t="s">
        <v>179</v>
      </c>
      <c r="E19" s="162" t="s">
        <v>179</v>
      </c>
      <c r="F19" s="162" t="s">
        <v>179</v>
      </c>
      <c r="G19" s="163" t="str">
        <f t="shared" si="1"/>
        <v>Indonesia</v>
      </c>
      <c r="H19" s="164" t="s">
        <v>180</v>
      </c>
    </row>
    <row r="20" spans="1:8">
      <c r="A20" s="161" t="s">
        <v>162</v>
      </c>
      <c r="B20" s="96" t="s">
        <v>181</v>
      </c>
      <c r="C20" s="93" t="s">
        <v>182</v>
      </c>
      <c r="D20" s="162" t="s">
        <v>183</v>
      </c>
      <c r="E20" s="162" t="s">
        <v>184</v>
      </c>
      <c r="F20" s="162" t="s">
        <v>184</v>
      </c>
      <c r="G20" s="163" t="str">
        <f t="shared" si="1"/>
        <v>DKI Jakarta</v>
      </c>
      <c r="H20" s="164" t="s">
        <v>185</v>
      </c>
    </row>
    <row r="21" spans="1:8">
      <c r="A21" s="161" t="s">
        <v>162</v>
      </c>
      <c r="B21" s="96" t="s">
        <v>186</v>
      </c>
      <c r="C21" s="93" t="s">
        <v>187</v>
      </c>
      <c r="D21" s="162" t="s">
        <v>188</v>
      </c>
      <c r="E21" s="162" t="s">
        <v>188</v>
      </c>
      <c r="F21" s="162" t="s">
        <v>184</v>
      </c>
      <c r="G21" s="163" t="str">
        <f t="shared" si="1"/>
        <v>Jakarta</v>
      </c>
      <c r="H21" s="164" t="s">
        <v>189</v>
      </c>
    </row>
    <row r="22" ht="24" spans="1:8">
      <c r="A22" s="161" t="s">
        <v>162</v>
      </c>
      <c r="B22" s="96" t="s">
        <v>190</v>
      </c>
      <c r="C22" s="93" t="s">
        <v>191</v>
      </c>
      <c r="D22" s="162" t="s">
        <v>192</v>
      </c>
      <c r="E22" s="162" t="s">
        <v>193</v>
      </c>
      <c r="F22" s="162" t="s">
        <v>194</v>
      </c>
      <c r="G22" s="163" t="str">
        <f t="shared" si="1"/>
        <v>Technology, Business, Productivity, Education, Finance</v>
      </c>
      <c r="H22" s="164" t="s">
        <v>154</v>
      </c>
    </row>
    <row r="23" spans="1:8">
      <c r="A23" s="161" t="s">
        <v>162</v>
      </c>
      <c r="B23" s="96" t="s">
        <v>195</v>
      </c>
      <c r="C23" s="93" t="s">
        <v>196</v>
      </c>
      <c r="D23" s="162" t="s">
        <v>197</v>
      </c>
      <c r="E23" s="162" t="s">
        <v>198</v>
      </c>
      <c r="F23" s="162" t="s">
        <v>199</v>
      </c>
      <c r="G23" s="163" t="str">
        <f t="shared" si="1"/>
        <v>Interest</v>
      </c>
      <c r="H23" s="164" t="s">
        <v>200</v>
      </c>
    </row>
    <row r="24" ht="18" customHeight="1" spans="1:8">
      <c r="A24" s="160" t="s">
        <v>201</v>
      </c>
    </row>
    <row r="25" spans="1:8">
      <c r="A25" s="161" t="s">
        <v>202</v>
      </c>
      <c r="B25" s="96" t="s">
        <v>203</v>
      </c>
      <c r="C25" s="93" t="s">
        <v>204</v>
      </c>
      <c r="D25" s="162" t="s">
        <v>205</v>
      </c>
      <c r="E25" s="162" t="s">
        <v>206</v>
      </c>
      <c r="F25" s="162" t="s">
        <v>207</v>
      </c>
      <c r="G25" s="163" t="str">
        <f t="shared" ref="G25:G30" si="2">INDEX($D25:$F25,1,$H$4)</f>
        <v>Innovative</v>
      </c>
      <c r="H25" s="164" t="s">
        <v>208</v>
      </c>
    </row>
    <row r="26" ht="24" spans="1:8">
      <c r="A26" s="161" t="s">
        <v>202</v>
      </c>
      <c r="B26" s="96" t="s">
        <v>209</v>
      </c>
      <c r="C26" s="93" t="s">
        <v>210</v>
      </c>
      <c r="D26" s="162" t="s">
        <v>211</v>
      </c>
      <c r="E26" s="162" t="s">
        <v>212</v>
      </c>
      <c r="F26" s="162" t="s">
        <v>213</v>
      </c>
      <c r="G26" s="163" t="str">
        <f t="shared" si="2"/>
        <v>Innovation, Trust, Transparency, Quality, Empowerment</v>
      </c>
      <c r="H26" s="164" t="s">
        <v>154</v>
      </c>
    </row>
    <row r="27" spans="1:8">
      <c r="A27" s="161" t="s">
        <v>202</v>
      </c>
      <c r="B27" s="96" t="s">
        <v>214</v>
      </c>
      <c r="C27" s="93" t="s">
        <v>215</v>
      </c>
      <c r="D27" s="162" t="s">
        <v>216</v>
      </c>
      <c r="E27" s="162" t="s">
        <v>217</v>
      </c>
      <c r="F27" s="162" t="s">
        <v>218</v>
      </c>
      <c r="G27" s="163" t="str">
        <f t="shared" si="2"/>
        <v>Informative</v>
      </c>
      <c r="H27" s="164" t="s">
        <v>219</v>
      </c>
    </row>
    <row r="28" spans="1:8">
      <c r="A28" s="161" t="s">
        <v>202</v>
      </c>
      <c r="B28" s="96" t="s">
        <v>220</v>
      </c>
      <c r="C28" s="93" t="s">
        <v>221</v>
      </c>
      <c r="D28" s="162" t="s">
        <v>222</v>
      </c>
      <c r="E28" s="162" t="s">
        <v>206</v>
      </c>
      <c r="F28" s="162" t="s">
        <v>223</v>
      </c>
      <c r="G28" s="163" t="str">
        <f t="shared" si="2"/>
        <v>Mid-market</v>
      </c>
      <c r="H28" s="164" t="s">
        <v>224</v>
      </c>
    </row>
    <row r="29" ht="24" spans="1:8">
      <c r="A29" s="161" t="s">
        <v>202</v>
      </c>
      <c r="B29" s="96" t="s">
        <v>225</v>
      </c>
      <c r="C29" s="93" t="s">
        <v>226</v>
      </c>
      <c r="D29" s="162" t="s">
        <v>151</v>
      </c>
      <c r="E29" s="162" t="s">
        <v>227</v>
      </c>
      <c r="F29" s="162" t="s">
        <v>228</v>
      </c>
      <c r="G29" s="163" t="str">
        <f t="shared" si="2"/>
        <v>Technology, Productivity, Business, Education, Finance</v>
      </c>
      <c r="H29" s="164" t="s">
        <v>154</v>
      </c>
    </row>
    <row r="30" spans="1:8">
      <c r="A30" s="161" t="s">
        <v>202</v>
      </c>
      <c r="B30" s="96" t="s">
        <v>229</v>
      </c>
      <c r="C30" s="93" t="s">
        <v>230</v>
      </c>
      <c r="D30" s="162" t="s">
        <v>231</v>
      </c>
      <c r="E30" s="162" t="s">
        <v>232</v>
      </c>
      <c r="F30" s="162" t="s">
        <v>233</v>
      </c>
      <c r="G30" s="163" t="str">
        <f t="shared" si="2"/>
        <v>Educational</v>
      </c>
      <c r="H30" s="164" t="s">
        <v>234</v>
      </c>
    </row>
    <row r="31" ht="18" customHeight="1" spans="1:8">
      <c r="A31" s="160" t="s">
        <v>235</v>
      </c>
    </row>
    <row r="32" spans="1:8">
      <c r="A32" s="161" t="s">
        <v>236</v>
      </c>
      <c r="B32" s="96" t="s">
        <v>237</v>
      </c>
      <c r="C32" s="93" t="s">
        <v>238</v>
      </c>
      <c r="D32" s="162" t="s">
        <v>239</v>
      </c>
      <c r="E32" s="162" t="s">
        <v>239</v>
      </c>
      <c r="F32" s="162" t="s">
        <v>239</v>
      </c>
      <c r="G32" s="163" t="str">
        <f t="shared" ref="G32:G44" si="3">INDEX($D32:$F32,1,$H$4)</f>
        <v>Instagram, TikTok</v>
      </c>
      <c r="H32" s="164" t="s">
        <v>240</v>
      </c>
    </row>
    <row r="33" spans="1:8">
      <c r="A33" s="161" t="s">
        <v>236</v>
      </c>
      <c r="B33" s="96" t="s">
        <v>241</v>
      </c>
      <c r="C33" s="93" t="s">
        <v>242</v>
      </c>
      <c r="D33" s="162" t="s">
        <v>243</v>
      </c>
      <c r="E33" s="162" t="s">
        <v>244</v>
      </c>
      <c r="F33" s="162" t="s">
        <v>245</v>
      </c>
      <c r="G33" s="163" t="str">
        <f t="shared" si="3"/>
        <v>Tech</v>
      </c>
      <c r="H33" s="164" t="s">
        <v>246</v>
      </c>
    </row>
    <row r="34" spans="1:8">
      <c r="A34" s="161" t="s">
        <v>236</v>
      </c>
      <c r="B34" s="96" t="s">
        <v>247</v>
      </c>
      <c r="C34" s="93" t="s">
        <v>248</v>
      </c>
      <c r="D34" s="162" t="s">
        <v>145</v>
      </c>
      <c r="E34" s="162" t="s">
        <v>146</v>
      </c>
      <c r="F34" s="162" t="s">
        <v>249</v>
      </c>
      <c r="G34" s="163" t="str">
        <f t="shared" si="3"/>
        <v>Software &amp; SaaS</v>
      </c>
      <c r="H34" s="164" t="s">
        <v>148</v>
      </c>
    </row>
    <row r="35" spans="1:8">
      <c r="A35" s="161" t="s">
        <v>236</v>
      </c>
      <c r="B35" s="96" t="s">
        <v>250</v>
      </c>
      <c r="C35" s="93" t="s">
        <v>251</v>
      </c>
      <c r="D35" s="162" t="s">
        <v>252</v>
      </c>
      <c r="E35" s="162" t="s">
        <v>253</v>
      </c>
      <c r="F35" s="162" t="s">
        <v>254</v>
      </c>
      <c r="G35" s="163" t="str">
        <f t="shared" si="3"/>
        <v>Micro, Mid-tier, Macro</v>
      </c>
      <c r="H35" s="164" t="s">
        <v>255</v>
      </c>
    </row>
    <row r="36" spans="1:8">
      <c r="A36" s="161" t="s">
        <v>236</v>
      </c>
      <c r="B36" s="96" t="s">
        <v>256</v>
      </c>
      <c r="C36" s="93" t="s">
        <v>257</v>
      </c>
      <c r="D36" s="165">
        <v>10000</v>
      </c>
      <c r="E36" s="165">
        <v>10000</v>
      </c>
      <c r="F36" s="165">
        <v>5000</v>
      </c>
      <c r="G36" s="166">
        <f t="shared" si="3"/>
        <v>10000</v>
      </c>
      <c r="H36" s="164" t="s">
        <v>258</v>
      </c>
    </row>
    <row r="37" spans="1:8">
      <c r="A37" s="161" t="s">
        <v>236</v>
      </c>
      <c r="B37" s="96" t="s">
        <v>259</v>
      </c>
      <c r="C37" s="93" t="s">
        <v>260</v>
      </c>
      <c r="D37" s="165">
        <v>1000000</v>
      </c>
      <c r="E37" s="165">
        <v>500000</v>
      </c>
      <c r="F37" s="165">
        <v>400000</v>
      </c>
      <c r="G37" s="166">
        <f t="shared" si="3"/>
        <v>1000000</v>
      </c>
      <c r="H37" s="164" t="s">
        <v>258</v>
      </c>
    </row>
    <row r="38" spans="1:8">
      <c r="A38" s="161" t="s">
        <v>236</v>
      </c>
      <c r="B38" s="96" t="s">
        <v>261</v>
      </c>
      <c r="C38" s="93" t="s">
        <v>262</v>
      </c>
      <c r="D38" s="167">
        <v>2.5</v>
      </c>
      <c r="E38" s="167">
        <v>3</v>
      </c>
      <c r="F38" s="167">
        <v>3.5</v>
      </c>
      <c r="G38" s="168">
        <f t="shared" si="3"/>
        <v>2.5</v>
      </c>
      <c r="H38" s="164" t="s">
        <v>263</v>
      </c>
    </row>
    <row r="39" spans="1:8">
      <c r="A39" s="161" t="s">
        <v>236</v>
      </c>
      <c r="B39" s="96" t="s">
        <v>264</v>
      </c>
      <c r="C39" s="93" t="s">
        <v>265</v>
      </c>
      <c r="D39" s="162" t="s">
        <v>231</v>
      </c>
      <c r="E39" s="162" t="s">
        <v>266</v>
      </c>
      <c r="F39" s="162" t="s">
        <v>233</v>
      </c>
      <c r="G39" s="163" t="str">
        <f t="shared" si="3"/>
        <v>Educational</v>
      </c>
      <c r="H39" s="164" t="s">
        <v>267</v>
      </c>
    </row>
    <row r="40" ht="24" spans="1:8">
      <c r="A40" s="161" t="s">
        <v>236</v>
      </c>
      <c r="B40" s="96" t="s">
        <v>268</v>
      </c>
      <c r="C40" s="93" t="s">
        <v>269</v>
      </c>
      <c r="D40" s="162" t="s">
        <v>270</v>
      </c>
      <c r="E40" s="162" t="s">
        <v>152</v>
      </c>
      <c r="F40" s="162" t="s">
        <v>271</v>
      </c>
      <c r="G40" s="163" t="str">
        <f t="shared" si="3"/>
        <v>Technology, Business, Education, Productivity, Finance</v>
      </c>
      <c r="H40" s="164" t="s">
        <v>154</v>
      </c>
    </row>
    <row r="41" spans="1:8">
      <c r="A41" s="161" t="s">
        <v>236</v>
      </c>
      <c r="B41" s="96" t="s">
        <v>272</v>
      </c>
      <c r="C41" s="93" t="s">
        <v>273</v>
      </c>
      <c r="D41" s="162" t="s">
        <v>231</v>
      </c>
      <c r="E41" s="162" t="s">
        <v>274</v>
      </c>
      <c r="F41" s="162" t="s">
        <v>275</v>
      </c>
      <c r="G41" s="163" t="str">
        <f t="shared" si="3"/>
        <v>Educational</v>
      </c>
      <c r="H41" s="164" t="s">
        <v>276</v>
      </c>
    </row>
    <row r="42" ht="24" spans="1:8">
      <c r="A42" s="161" t="s">
        <v>236</v>
      </c>
      <c r="B42" s="96" t="s">
        <v>277</v>
      </c>
      <c r="C42" s="93" t="s">
        <v>278</v>
      </c>
      <c r="D42" s="162" t="s">
        <v>279</v>
      </c>
      <c r="E42" s="162" t="s">
        <v>280</v>
      </c>
      <c r="F42" s="162" t="s">
        <v>281</v>
      </c>
      <c r="G42" s="163" t="str">
        <f t="shared" si="3"/>
        <v>Innovation, Trust, Quality, Transparency, Empowerment</v>
      </c>
      <c r="H42" s="164" t="s">
        <v>154</v>
      </c>
    </row>
    <row r="43" spans="1:8">
      <c r="A43" s="161" t="s">
        <v>236</v>
      </c>
      <c r="B43" s="96" t="s">
        <v>282</v>
      </c>
      <c r="C43" s="93" t="s">
        <v>283</v>
      </c>
      <c r="D43" s="169">
        <v>65</v>
      </c>
      <c r="E43" s="169">
        <v>70</v>
      </c>
      <c r="F43" s="169">
        <v>60</v>
      </c>
      <c r="G43" s="170">
        <f t="shared" si="3"/>
        <v>65</v>
      </c>
      <c r="H43" s="164" t="s">
        <v>284</v>
      </c>
    </row>
    <row r="44" spans="1:8">
      <c r="A44" s="161" t="s">
        <v>236</v>
      </c>
      <c r="B44" s="96" t="s">
        <v>285</v>
      </c>
      <c r="C44" s="93" t="s">
        <v>286</v>
      </c>
      <c r="D44" s="169">
        <v>70</v>
      </c>
      <c r="E44" s="169">
        <v>75</v>
      </c>
      <c r="F44" s="169">
        <v>65</v>
      </c>
      <c r="G44" s="170">
        <f t="shared" si="3"/>
        <v>70</v>
      </c>
      <c r="H44" s="164" t="s">
        <v>284</v>
      </c>
    </row>
    <row r="45" ht="18" customHeight="1" spans="1:8">
      <c r="A45" s="160" t="s">
        <v>287</v>
      </c>
    </row>
    <row r="46" spans="1:8">
      <c r="A46" s="161" t="s">
        <v>288</v>
      </c>
      <c r="B46" s="96" t="s">
        <v>289</v>
      </c>
      <c r="C46" s="93" t="s">
        <v>290</v>
      </c>
      <c r="D46" s="162" t="s">
        <v>291</v>
      </c>
      <c r="E46" s="162" t="s">
        <v>291</v>
      </c>
      <c r="F46" s="162" t="s">
        <v>291</v>
      </c>
      <c r="G46" s="163" t="str">
        <f t="shared" ref="G46:G53" si="4">INDEX($D46:$F46,1,$H$4)</f>
        <v>No</v>
      </c>
      <c r="H46" s="164" t="s">
        <v>292</v>
      </c>
    </row>
    <row r="47" spans="1:8">
      <c r="A47" s="161" t="s">
        <v>288</v>
      </c>
      <c r="B47" s="96" t="s">
        <v>293</v>
      </c>
      <c r="C47" s="93" t="s">
        <v>294</v>
      </c>
      <c r="D47" s="162" t="s">
        <v>295</v>
      </c>
      <c r="E47" s="162" t="s">
        <v>295</v>
      </c>
      <c r="F47" s="162" t="s">
        <v>295</v>
      </c>
      <c r="G47" s="163" t="str">
        <f t="shared" si="4"/>
        <v>Yes</v>
      </c>
      <c r="H47" s="164" t="s">
        <v>292</v>
      </c>
    </row>
    <row r="48" spans="1:8">
      <c r="A48" s="161" t="s">
        <v>288</v>
      </c>
      <c r="B48" s="96" t="s">
        <v>296</v>
      </c>
      <c r="C48" s="93" t="s">
        <v>297</v>
      </c>
      <c r="D48" s="169">
        <v>0</v>
      </c>
      <c r="E48" s="169">
        <v>0</v>
      </c>
      <c r="F48" s="169">
        <v>0</v>
      </c>
      <c r="G48" s="170">
        <f t="shared" si="4"/>
        <v>0</v>
      </c>
      <c r="H48" s="164" t="s">
        <v>284</v>
      </c>
    </row>
    <row r="49" spans="1:8">
      <c r="A49" s="161" t="s">
        <v>288</v>
      </c>
      <c r="B49" s="96" t="s">
        <v>298</v>
      </c>
      <c r="C49" s="93" t="s">
        <v>299</v>
      </c>
      <c r="D49" s="169">
        <v>0</v>
      </c>
      <c r="E49" s="169">
        <v>0</v>
      </c>
      <c r="F49" s="169">
        <v>0</v>
      </c>
      <c r="G49" s="170">
        <f t="shared" si="4"/>
        <v>0</v>
      </c>
      <c r="H49" s="164" t="s">
        <v>284</v>
      </c>
    </row>
    <row r="50" spans="1:8">
      <c r="A50" s="161" t="s">
        <v>288</v>
      </c>
      <c r="B50" s="96" t="s">
        <v>300</v>
      </c>
      <c r="C50" s="93" t="s">
        <v>301</v>
      </c>
      <c r="D50" s="162" t="s">
        <v>291</v>
      </c>
      <c r="E50" s="162" t="s">
        <v>291</v>
      </c>
      <c r="F50" s="162" t="s">
        <v>291</v>
      </c>
      <c r="G50" s="163" t="str">
        <f t="shared" si="4"/>
        <v>No</v>
      </c>
      <c r="H50" s="164" t="s">
        <v>292</v>
      </c>
    </row>
    <row r="51" spans="1:8">
      <c r="A51" s="161" t="s">
        <v>288</v>
      </c>
      <c r="B51" s="96" t="s">
        <v>302</v>
      </c>
      <c r="C51" s="93" t="s">
        <v>303</v>
      </c>
      <c r="D51" s="162" t="s">
        <v>291</v>
      </c>
      <c r="E51" s="162" t="s">
        <v>291</v>
      </c>
      <c r="F51" s="162" t="s">
        <v>291</v>
      </c>
      <c r="G51" s="163" t="str">
        <f t="shared" si="4"/>
        <v>No</v>
      </c>
      <c r="H51" s="164" t="s">
        <v>292</v>
      </c>
    </row>
    <row r="52" spans="1:8">
      <c r="A52" s="161" t="s">
        <v>288</v>
      </c>
      <c r="B52" s="96" t="s">
        <v>304</v>
      </c>
      <c r="C52" s="93" t="s">
        <v>305</v>
      </c>
      <c r="D52" s="162" t="s">
        <v>291</v>
      </c>
      <c r="E52" s="162" t="s">
        <v>295</v>
      </c>
      <c r="F52" s="162" t="s">
        <v>291</v>
      </c>
      <c r="G52" s="163" t="str">
        <f t="shared" si="4"/>
        <v>No</v>
      </c>
      <c r="H52" s="164" t="s">
        <v>292</v>
      </c>
    </row>
    <row r="53" spans="1:8">
      <c r="A53" s="161" t="s">
        <v>288</v>
      </c>
      <c r="B53" s="96" t="s">
        <v>306</v>
      </c>
      <c r="C53" s="93" t="s">
        <v>307</v>
      </c>
      <c r="D53" s="162" t="s">
        <v>295</v>
      </c>
      <c r="E53" s="162" t="s">
        <v>295</v>
      </c>
      <c r="F53" s="162" t="s">
        <v>295</v>
      </c>
      <c r="G53" s="163" t="str">
        <f t="shared" si="4"/>
        <v>Yes</v>
      </c>
      <c r="H53" s="164" t="s">
        <v>292</v>
      </c>
    </row>
    <row r="55" ht="18" customHeight="1" spans="1:8">
      <c r="A55" s="87" t="s">
        <v>308</v>
      </c>
    </row>
    <row r="56" ht="22" customHeight="1" spans="1:8">
      <c r="A56" s="88" t="s">
        <v>309</v>
      </c>
      <c r="B56" s="88" t="s">
        <v>310</v>
      </c>
      <c r="C56" s="88" t="s">
        <v>311</v>
      </c>
      <c r="D56" s="88" t="s">
        <v>113</v>
      </c>
      <c r="E56" s="88" t="s">
        <v>118</v>
      </c>
      <c r="F56" s="88" t="s">
        <v>119</v>
      </c>
      <c r="G56" s="88" t="s">
        <v>120</v>
      </c>
      <c r="H56" s="88" t="s">
        <v>312</v>
      </c>
    </row>
    <row r="57" ht="22.5" spans="1:8">
      <c r="A57" s="96" t="s">
        <v>149</v>
      </c>
      <c r="B57" s="93" t="s">
        <v>313</v>
      </c>
      <c r="C57" s="161" t="s">
        <v>314</v>
      </c>
      <c r="D57" s="171" t="str">
        <f>TRIM(MID(SUBSTITUTE($D$13,",",REPT(" ",120)),1,120))</f>
        <v>Technology</v>
      </c>
      <c r="E57" s="171" t="str">
        <f>TRIM(MID(SUBSTITUTE($E$13,",",REPT(" ",120)),1,120))</f>
        <v>Skincare</v>
      </c>
      <c r="F57" s="171" t="str">
        <f>TRIM(MID(SUBSTITUTE($F$13,",",REPT(" ",120)),1,120))</f>
        <v>Food</v>
      </c>
      <c r="G57" s="171" t="str">
        <f t="shared" ref="G57:G92" si="5">INDEX($D57:$F57,1,$H$4)</f>
        <v>Technology</v>
      </c>
      <c r="H57" s="164" t="s">
        <v>315</v>
      </c>
    </row>
    <row r="58" spans="1:8">
      <c r="A58" s="90" t="s">
        <v>29</v>
      </c>
      <c r="B58" s="93" t="s">
        <v>316</v>
      </c>
      <c r="C58" s="161" t="s">
        <v>317</v>
      </c>
      <c r="D58" s="171" t="str">
        <f>TRIM(MID(SUBSTITUTE($D$13,",",REPT(" ",120)),121,120))</f>
        <v>Productivity</v>
      </c>
      <c r="E58" s="171" t="str">
        <f>TRIM(MID(SUBSTITUTE($E$13,",",REPT(" ",120)),121,120))</f>
        <v>Beauty</v>
      </c>
      <c r="F58" s="171" t="str">
        <f>TRIM(MID(SUBSTITUTE($F$13,",",REPT(" ",120)),121,120))</f>
        <v>Cooking</v>
      </c>
      <c r="G58" s="171" t="str">
        <f t="shared" si="5"/>
        <v>Productivity</v>
      </c>
      <c r="H58" s="164" t="s">
        <v>29</v>
      </c>
    </row>
    <row r="59" spans="1:8">
      <c r="A59" s="90" t="s">
        <v>29</v>
      </c>
      <c r="B59" s="93" t="s">
        <v>318</v>
      </c>
      <c r="C59" s="161" t="s">
        <v>319</v>
      </c>
      <c r="D59" s="171" t="str">
        <f>TRIM(MID(SUBSTITUTE($D$13,",",REPT(" ",120)),241,120))</f>
        <v>Business</v>
      </c>
      <c r="E59" s="171" t="str">
        <f>TRIM(MID(SUBSTITUTE($E$13,",",REPT(" ",120)),241,120))</f>
        <v>Makeup</v>
      </c>
      <c r="F59" s="171" t="str">
        <f>TRIM(MID(SUBSTITUTE($F$13,",",REPT(" ",120)),241,120))</f>
        <v>Coffee</v>
      </c>
      <c r="G59" s="171" t="str">
        <f t="shared" si="5"/>
        <v>Business</v>
      </c>
      <c r="H59" s="164" t="s">
        <v>29</v>
      </c>
    </row>
    <row r="60" spans="1:8">
      <c r="A60" s="90" t="s">
        <v>29</v>
      </c>
      <c r="B60" s="93" t="s">
        <v>320</v>
      </c>
      <c r="C60" s="161" t="s">
        <v>321</v>
      </c>
      <c r="D60" s="171" t="str">
        <f>TRIM(MID(SUBSTITUTE($D$13,",",REPT(" ",120)),361,120))</f>
        <v>Education</v>
      </c>
      <c r="E60" s="171" t="str">
        <f>TRIM(MID(SUBSTITUTE($E$13,",",REPT(" ",120)),361,120))</f>
        <v>Health</v>
      </c>
      <c r="F60" s="171" t="str">
        <f>TRIM(MID(SUBSTITUTE($F$13,",",REPT(" ",120)),361,120))</f>
        <v>Shopping</v>
      </c>
      <c r="G60" s="171" t="str">
        <f t="shared" si="5"/>
        <v>Education</v>
      </c>
      <c r="H60" s="164" t="s">
        <v>29</v>
      </c>
    </row>
    <row r="61" spans="1:8">
      <c r="A61" s="90" t="s">
        <v>29</v>
      </c>
      <c r="B61" s="93" t="s">
        <v>322</v>
      </c>
      <c r="C61" s="161" t="s">
        <v>323</v>
      </c>
      <c r="D61" s="171" t="str">
        <f>TRIM(MID(SUBSTITUTE($D$13,",",REPT(" ",120)),481,120))</f>
        <v>Finance</v>
      </c>
      <c r="E61" s="171" t="str">
        <f>TRIM(MID(SUBSTITUTE($E$13,",",REPT(" ",120)),481,120))</f>
        <v>Shopping</v>
      </c>
      <c r="F61" s="171" t="str">
        <f>TRIM(MID(SUBSTITUTE($F$13,",",REPT(" ",120)),481,120))</f>
        <v>Entertainment</v>
      </c>
      <c r="G61" s="171" t="str">
        <f t="shared" si="5"/>
        <v>Finance</v>
      </c>
      <c r="H61" s="164" t="s">
        <v>29</v>
      </c>
    </row>
    <row r="62" ht="22.5" spans="1:8">
      <c r="A62" s="90" t="s">
        <v>29</v>
      </c>
      <c r="B62" s="96" t="s">
        <v>324</v>
      </c>
      <c r="C62" s="161" t="s">
        <v>325</v>
      </c>
      <c r="D62" s="97">
        <f>IF($D$57="",0,1)+IF($D$58="",0,1)+IF($D$59="",0,1)+IF($D$60="",0,1)+IF($D$61="",0,1)</f>
        <v>5</v>
      </c>
      <c r="E62" s="97">
        <f>IF($E$57="",0,1)+IF($E$58="",0,1)+IF($E$59="",0,1)+IF($E$60="",0,1)+IF($E$61="",0,1)</f>
        <v>5</v>
      </c>
      <c r="F62" s="97">
        <f>IF($F$57="",0,1)+IF($F$58="",0,1)+IF($F$59="",0,1)+IF($F$60="",0,1)+IF($F$61="",0,1)</f>
        <v>5</v>
      </c>
      <c r="G62" s="109">
        <f t="shared" si="5"/>
        <v>5</v>
      </c>
      <c r="H62" s="164" t="s">
        <v>326</v>
      </c>
    </row>
    <row r="63" ht="22.5" spans="1:8">
      <c r="A63" s="96" t="s">
        <v>190</v>
      </c>
      <c r="B63" s="93" t="s">
        <v>313</v>
      </c>
      <c r="C63" s="161" t="s">
        <v>327</v>
      </c>
      <c r="D63" s="171" t="str">
        <f>TRIM(MID(SUBSTITUTE($D$22,",",REPT(" ",120)),1,120))</f>
        <v>Technology</v>
      </c>
      <c r="E63" s="171" t="str">
        <f>TRIM(MID(SUBSTITUTE($E$22,",",REPT(" ",120)),1,120))</f>
        <v>Skincare</v>
      </c>
      <c r="F63" s="171" t="str">
        <f>TRIM(MID(SUBSTITUTE($F$22,",",REPT(" ",120)),1,120))</f>
        <v>Food</v>
      </c>
      <c r="G63" s="171" t="str">
        <f t="shared" si="5"/>
        <v>Technology</v>
      </c>
      <c r="H63" s="164" t="s">
        <v>315</v>
      </c>
    </row>
    <row r="64" spans="1:8">
      <c r="A64" s="90" t="s">
        <v>29</v>
      </c>
      <c r="B64" s="93" t="s">
        <v>316</v>
      </c>
      <c r="C64" s="161" t="s">
        <v>328</v>
      </c>
      <c r="D64" s="171" t="str">
        <f>TRIM(MID(SUBSTITUTE($D$22,",",REPT(" ",120)),121,120))</f>
        <v>Business</v>
      </c>
      <c r="E64" s="171" t="str">
        <f>TRIM(MID(SUBSTITUTE($E$22,",",REPT(" ",120)),121,120))</f>
        <v>Beauty</v>
      </c>
      <c r="F64" s="171" t="str">
        <f>TRIM(MID(SUBSTITUTE($F$22,",",REPT(" ",120)),121,120))</f>
        <v>Cooking</v>
      </c>
      <c r="G64" s="171" t="str">
        <f t="shared" si="5"/>
        <v>Business</v>
      </c>
      <c r="H64" s="164" t="s">
        <v>29</v>
      </c>
    </row>
    <row r="65" spans="1:8">
      <c r="A65" s="90" t="s">
        <v>29</v>
      </c>
      <c r="B65" s="93" t="s">
        <v>318</v>
      </c>
      <c r="C65" s="161" t="s">
        <v>329</v>
      </c>
      <c r="D65" s="171" t="str">
        <f>TRIM(MID(SUBSTITUTE($D$22,",",REPT(" ",120)),241,120))</f>
        <v>Productivity</v>
      </c>
      <c r="E65" s="171" t="str">
        <f>TRIM(MID(SUBSTITUTE($E$22,",",REPT(" ",120)),241,120))</f>
        <v>Makeup</v>
      </c>
      <c r="F65" s="171" t="str">
        <f>TRIM(MID(SUBSTITUTE($F$22,",",REPT(" ",120)),241,120))</f>
        <v>Coffee</v>
      </c>
      <c r="G65" s="171" t="str">
        <f t="shared" si="5"/>
        <v>Productivity</v>
      </c>
      <c r="H65" s="164" t="s">
        <v>29</v>
      </c>
    </row>
    <row r="66" spans="1:8">
      <c r="A66" s="90" t="s">
        <v>29</v>
      </c>
      <c r="B66" s="93" t="s">
        <v>320</v>
      </c>
      <c r="C66" s="161" t="s">
        <v>330</v>
      </c>
      <c r="D66" s="171" t="str">
        <f>TRIM(MID(SUBSTITUTE($D$22,",",REPT(" ",120)),361,120))</f>
        <v>Education</v>
      </c>
      <c r="E66" s="171" t="str">
        <f>TRIM(MID(SUBSTITUTE($E$22,",",REPT(" ",120)),361,120))</f>
        <v>Fashion</v>
      </c>
      <c r="F66" s="171" t="str">
        <f>TRIM(MID(SUBSTITUTE($F$22,",",REPT(" ",120)),361,120))</f>
        <v>Travel</v>
      </c>
      <c r="G66" s="171" t="str">
        <f t="shared" si="5"/>
        <v>Education</v>
      </c>
      <c r="H66" s="164" t="s">
        <v>29</v>
      </c>
    </row>
    <row r="67" spans="1:8">
      <c r="A67" s="90" t="s">
        <v>29</v>
      </c>
      <c r="B67" s="93" t="s">
        <v>322</v>
      </c>
      <c r="C67" s="161" t="s">
        <v>331</v>
      </c>
      <c r="D67" s="171" t="str">
        <f>TRIM(MID(SUBSTITUTE($D$22,",",REPT(" ",120)),481,120))</f>
        <v>Finance</v>
      </c>
      <c r="E67" s="171" t="str">
        <f>TRIM(MID(SUBSTITUTE($E$22,",",REPT(" ",120)),481,120))</f>
        <v>Shopping</v>
      </c>
      <c r="F67" s="171" t="str">
        <f>TRIM(MID(SUBSTITUTE($F$22,",",REPT(" ",120)),481,120))</f>
        <v>Entertainment</v>
      </c>
      <c r="G67" s="171" t="str">
        <f t="shared" si="5"/>
        <v>Finance</v>
      </c>
      <c r="H67" s="164" t="s">
        <v>29</v>
      </c>
    </row>
    <row r="68" ht="22.5" spans="1:8">
      <c r="A68" s="90" t="s">
        <v>29</v>
      </c>
      <c r="B68" s="96" t="s">
        <v>324</v>
      </c>
      <c r="C68" s="161" t="s">
        <v>332</v>
      </c>
      <c r="D68" s="97">
        <f>IF($D$63="",0,1)+IF($D$64="",0,1)+IF($D$65="",0,1)+IF($D$66="",0,1)+IF($D$67="",0,1)</f>
        <v>5</v>
      </c>
      <c r="E68" s="97">
        <f>IF($E$63="",0,1)+IF($E$64="",0,1)+IF($E$65="",0,1)+IF($E$66="",0,1)+IF($E$67="",0,1)</f>
        <v>5</v>
      </c>
      <c r="F68" s="97">
        <f>IF($F$63="",0,1)+IF($F$64="",0,1)+IF($F$65="",0,1)+IF($F$66="",0,1)+IF($F$67="",0,1)</f>
        <v>5</v>
      </c>
      <c r="G68" s="109">
        <f t="shared" si="5"/>
        <v>5</v>
      </c>
      <c r="H68" s="164" t="s">
        <v>326</v>
      </c>
    </row>
    <row r="69" ht="22.5" spans="1:8">
      <c r="A69" s="96" t="s">
        <v>225</v>
      </c>
      <c r="B69" s="93" t="s">
        <v>313</v>
      </c>
      <c r="C69" s="161" t="s">
        <v>333</v>
      </c>
      <c r="D69" s="171" t="str">
        <f>TRIM(MID(SUBSTITUTE($D$29,",",REPT(" ",120)),1,120))</f>
        <v>Technology</v>
      </c>
      <c r="E69" s="171" t="str">
        <f>TRIM(MID(SUBSTITUTE($E$29,",",REPT(" ",120)),1,120))</f>
        <v>Skincare</v>
      </c>
      <c r="F69" s="171" t="str">
        <f>TRIM(MID(SUBSTITUTE($F$29,",",REPT(" ",120)),1,120))</f>
        <v>Food</v>
      </c>
      <c r="G69" s="171" t="str">
        <f t="shared" si="5"/>
        <v>Technology</v>
      </c>
      <c r="H69" s="164" t="s">
        <v>315</v>
      </c>
    </row>
    <row r="70" spans="1:8">
      <c r="A70" s="90" t="s">
        <v>29</v>
      </c>
      <c r="B70" s="93" t="s">
        <v>316</v>
      </c>
      <c r="C70" s="161" t="s">
        <v>334</v>
      </c>
      <c r="D70" s="171" t="str">
        <f>TRIM(MID(SUBSTITUTE($D$29,",",REPT(" ",120)),121,120))</f>
        <v>Productivity</v>
      </c>
      <c r="E70" s="171" t="str">
        <f>TRIM(MID(SUBSTITUTE($E$29,",",REPT(" ",120)),121,120))</f>
        <v>Beauty</v>
      </c>
      <c r="F70" s="171" t="str">
        <f>TRIM(MID(SUBSTITUTE($F$29,",",REPT(" ",120)),121,120))</f>
        <v>Cooking</v>
      </c>
      <c r="G70" s="171" t="str">
        <f t="shared" si="5"/>
        <v>Productivity</v>
      </c>
      <c r="H70" s="164" t="s">
        <v>29</v>
      </c>
    </row>
    <row r="71" spans="1:8">
      <c r="A71" s="90" t="s">
        <v>29</v>
      </c>
      <c r="B71" s="93" t="s">
        <v>318</v>
      </c>
      <c r="C71" s="161" t="s">
        <v>335</v>
      </c>
      <c r="D71" s="171" t="str">
        <f>TRIM(MID(SUBSTITUTE($D$29,",",REPT(" ",120)),241,120))</f>
        <v>Business</v>
      </c>
      <c r="E71" s="171" t="str">
        <f>TRIM(MID(SUBSTITUTE($E$29,",",REPT(" ",120)),241,120))</f>
        <v>Health</v>
      </c>
      <c r="F71" s="171" t="str">
        <f>TRIM(MID(SUBSTITUTE($F$29,",",REPT(" ",120)),241,120))</f>
        <v>Coffee</v>
      </c>
      <c r="G71" s="171" t="str">
        <f t="shared" si="5"/>
        <v>Business</v>
      </c>
      <c r="H71" s="164" t="s">
        <v>29</v>
      </c>
    </row>
    <row r="72" spans="1:8">
      <c r="A72" s="90" t="s">
        <v>29</v>
      </c>
      <c r="B72" s="93" t="s">
        <v>320</v>
      </c>
      <c r="C72" s="161" t="s">
        <v>336</v>
      </c>
      <c r="D72" s="171" t="str">
        <f>TRIM(MID(SUBSTITUTE($D$29,",",REPT(" ",120)),361,120))</f>
        <v>Education</v>
      </c>
      <c r="E72" s="171" t="str">
        <f>TRIM(MID(SUBSTITUTE($E$29,",",REPT(" ",120)),361,120))</f>
        <v>Makeup</v>
      </c>
      <c r="F72" s="171" t="str">
        <f>TRIM(MID(SUBSTITUTE($F$29,",",REPT(" ",120)),361,120))</f>
        <v>Entertainment</v>
      </c>
      <c r="G72" s="171" t="str">
        <f t="shared" si="5"/>
        <v>Education</v>
      </c>
      <c r="H72" s="164" t="s">
        <v>29</v>
      </c>
    </row>
    <row r="73" spans="1:8">
      <c r="A73" s="90" t="s">
        <v>29</v>
      </c>
      <c r="B73" s="93" t="s">
        <v>322</v>
      </c>
      <c r="C73" s="161" t="s">
        <v>337</v>
      </c>
      <c r="D73" s="171" t="str">
        <f>TRIM(MID(SUBSTITUTE($D$29,",",REPT(" ",120)),481,120))</f>
        <v>Finance</v>
      </c>
      <c r="E73" s="171" t="str">
        <f>TRIM(MID(SUBSTITUTE($E$29,",",REPT(" ",120)),481,120))</f>
        <v>Shopping</v>
      </c>
      <c r="F73" s="171" t="str">
        <f>TRIM(MID(SUBSTITUTE($F$29,",",REPT(" ",120)),481,120))</f>
        <v>Shopping</v>
      </c>
      <c r="G73" s="171" t="str">
        <f t="shared" si="5"/>
        <v>Finance</v>
      </c>
      <c r="H73" s="164" t="s">
        <v>29</v>
      </c>
    </row>
    <row r="74" ht="22.5" spans="1:8">
      <c r="A74" s="90" t="s">
        <v>29</v>
      </c>
      <c r="B74" s="96" t="s">
        <v>324</v>
      </c>
      <c r="C74" s="161" t="s">
        <v>338</v>
      </c>
      <c r="D74" s="97">
        <f>IF($D$69="",0,1)+IF($D$70="",0,1)+IF($D$71="",0,1)+IF($D$72="",0,1)+IF($D$73="",0,1)</f>
        <v>5</v>
      </c>
      <c r="E74" s="97">
        <f>IF($E$69="",0,1)+IF($E$70="",0,1)+IF($E$71="",0,1)+IF($E$72="",0,1)+IF($E$73="",0,1)</f>
        <v>5</v>
      </c>
      <c r="F74" s="97">
        <f>IF($F$69="",0,1)+IF($F$70="",0,1)+IF($F$71="",0,1)+IF($F$72="",0,1)+IF($F$73="",0,1)</f>
        <v>5</v>
      </c>
      <c r="G74" s="109">
        <f t="shared" si="5"/>
        <v>5</v>
      </c>
      <c r="H74" s="164" t="s">
        <v>326</v>
      </c>
    </row>
    <row r="75" ht="22.5" spans="1:8">
      <c r="A75" s="96" t="s">
        <v>209</v>
      </c>
      <c r="B75" s="93" t="s">
        <v>313</v>
      </c>
      <c r="C75" s="161" t="s">
        <v>339</v>
      </c>
      <c r="D75" s="171" t="str">
        <f>TRIM(MID(SUBSTITUTE($D$26,",",REPT(" ",120)),1,120))</f>
        <v>Innovation</v>
      </c>
      <c r="E75" s="171" t="str">
        <f>TRIM(MID(SUBSTITUTE($E$26,",",REPT(" ",120)),1,120))</f>
        <v>Quality</v>
      </c>
      <c r="F75" s="171" t="str">
        <f>TRIM(MID(SUBSTITUTE($F$26,",",REPT(" ",120)),1,120))</f>
        <v>Fun</v>
      </c>
      <c r="G75" s="171" t="str">
        <f t="shared" si="5"/>
        <v>Innovation</v>
      </c>
      <c r="H75" s="164" t="s">
        <v>315</v>
      </c>
    </row>
    <row r="76" spans="1:8">
      <c r="A76" s="90" t="s">
        <v>29</v>
      </c>
      <c r="B76" s="93" t="s">
        <v>316</v>
      </c>
      <c r="C76" s="161" t="s">
        <v>340</v>
      </c>
      <c r="D76" s="171" t="str">
        <f>TRIM(MID(SUBSTITUTE($D$26,",",REPT(" ",120)),121,120))</f>
        <v>Trust</v>
      </c>
      <c r="E76" s="171" t="str">
        <f>TRIM(MID(SUBSTITUTE($E$26,",",REPT(" ",120)),121,120))</f>
        <v>Authenticity</v>
      </c>
      <c r="F76" s="171" t="str">
        <f>TRIM(MID(SUBSTITUTE($F$26,",",REPT(" ",120)),121,120))</f>
        <v>Community</v>
      </c>
      <c r="G76" s="171" t="str">
        <f t="shared" si="5"/>
        <v>Trust</v>
      </c>
      <c r="H76" s="164" t="s">
        <v>29</v>
      </c>
    </row>
    <row r="77" spans="1:8">
      <c r="A77" s="90" t="s">
        <v>29</v>
      </c>
      <c r="B77" s="93" t="s">
        <v>318</v>
      </c>
      <c r="C77" s="161" t="s">
        <v>341</v>
      </c>
      <c r="D77" s="171" t="str">
        <f>TRIM(MID(SUBSTITUTE($D$26,",",REPT(" ",120)),241,120))</f>
        <v>Transparency</v>
      </c>
      <c r="E77" s="171" t="str">
        <f>TRIM(MID(SUBSTITUTE($E$26,",",REPT(" ",120)),241,120))</f>
        <v>Trust</v>
      </c>
      <c r="F77" s="171" t="str">
        <f>TRIM(MID(SUBSTITUTE($F$26,",",REPT(" ",120)),241,120))</f>
        <v>Affordability</v>
      </c>
      <c r="G77" s="171" t="str">
        <f t="shared" si="5"/>
        <v>Transparency</v>
      </c>
      <c r="H77" s="164" t="s">
        <v>29</v>
      </c>
    </row>
    <row r="78" spans="1:8">
      <c r="A78" s="90" t="s">
        <v>29</v>
      </c>
      <c r="B78" s="93" t="s">
        <v>320</v>
      </c>
      <c r="C78" s="161" t="s">
        <v>342</v>
      </c>
      <c r="D78" s="171" t="str">
        <f>TRIM(MID(SUBSTITUTE($D$26,",",REPT(" ",120)),361,120))</f>
        <v>Quality</v>
      </c>
      <c r="E78" s="171" t="str">
        <f>TRIM(MID(SUBSTITUTE($E$26,",",REPT(" ",120)),361,120))</f>
        <v>Craftsmanship</v>
      </c>
      <c r="F78" s="171" t="str">
        <f>TRIM(MID(SUBSTITUTE($F$26,",",REPT(" ",120)),361,120))</f>
        <v>Authenticity</v>
      </c>
      <c r="G78" s="171" t="str">
        <f t="shared" si="5"/>
        <v>Quality</v>
      </c>
      <c r="H78" s="164" t="s">
        <v>29</v>
      </c>
    </row>
    <row r="79" spans="1:8">
      <c r="A79" s="90" t="s">
        <v>29</v>
      </c>
      <c r="B79" s="93" t="s">
        <v>322</v>
      </c>
      <c r="C79" s="161" t="s">
        <v>343</v>
      </c>
      <c r="D79" s="171" t="str">
        <f>TRIM(MID(SUBSTITUTE($D$26,",",REPT(" ",120)),481,120))</f>
        <v>Empowerment</v>
      </c>
      <c r="E79" s="171" t="str">
        <f>TRIM(MID(SUBSTITUTE($E$26,",",REPT(" ",120)),481,120))</f>
        <v>Health</v>
      </c>
      <c r="F79" s="171" t="str">
        <f>TRIM(MID(SUBSTITUTE($F$26,",",REPT(" ",120)),481,120))</f>
        <v>Family</v>
      </c>
      <c r="G79" s="171" t="str">
        <f t="shared" si="5"/>
        <v>Empowerment</v>
      </c>
      <c r="H79" s="164" t="s">
        <v>29</v>
      </c>
    </row>
    <row r="80" ht="22.5" spans="1:8">
      <c r="A80" s="90" t="s">
        <v>29</v>
      </c>
      <c r="B80" s="96" t="s">
        <v>324</v>
      </c>
      <c r="C80" s="161" t="s">
        <v>344</v>
      </c>
      <c r="D80" s="97">
        <f>IF($D$75="",0,1)+IF($D$76="",0,1)+IF($D$77="",0,1)+IF($D$78="",0,1)+IF($D$79="",0,1)</f>
        <v>5</v>
      </c>
      <c r="E80" s="97">
        <f>IF($E$75="",0,1)+IF($E$76="",0,1)+IF($E$77="",0,1)+IF($E$78="",0,1)+IF($E$79="",0,1)</f>
        <v>5</v>
      </c>
      <c r="F80" s="97">
        <f>IF($F$75="",0,1)+IF($F$76="",0,1)+IF($F$77="",0,1)+IF($F$78="",0,1)+IF($F$79="",0,1)</f>
        <v>5</v>
      </c>
      <c r="G80" s="109">
        <f t="shared" si="5"/>
        <v>5</v>
      </c>
      <c r="H80" s="164" t="s">
        <v>326</v>
      </c>
    </row>
    <row r="81" ht="22.5" spans="1:8">
      <c r="A81" s="96" t="s">
        <v>268</v>
      </c>
      <c r="B81" s="93" t="s">
        <v>313</v>
      </c>
      <c r="C81" s="161" t="s">
        <v>345</v>
      </c>
      <c r="D81" s="171" t="str">
        <f>TRIM(MID(SUBSTITUTE($D$40,",",REPT(" ",120)),1,120))</f>
        <v>Technology</v>
      </c>
      <c r="E81" s="171" t="str">
        <f>TRIM(MID(SUBSTITUTE($E$40,",",REPT(" ",120)),1,120))</f>
        <v>Skincare</v>
      </c>
      <c r="F81" s="171" t="str">
        <f>TRIM(MID(SUBSTITUTE($F$40,",",REPT(" ",120)),1,120))</f>
        <v>Food</v>
      </c>
      <c r="G81" s="171" t="str">
        <f t="shared" si="5"/>
        <v>Technology</v>
      </c>
      <c r="H81" s="164" t="s">
        <v>315</v>
      </c>
    </row>
    <row r="82" spans="1:8">
      <c r="A82" s="90" t="s">
        <v>29</v>
      </c>
      <c r="B82" s="93" t="s">
        <v>316</v>
      </c>
      <c r="C82" s="161" t="s">
        <v>346</v>
      </c>
      <c r="D82" s="171" t="str">
        <f>TRIM(MID(SUBSTITUTE($D$40,",",REPT(" ",120)),121,120))</f>
        <v>Business</v>
      </c>
      <c r="E82" s="171" t="str">
        <f>TRIM(MID(SUBSTITUTE($E$40,",",REPT(" ",120)),121,120))</f>
        <v>Beauty</v>
      </c>
      <c r="F82" s="171" t="str">
        <f>TRIM(MID(SUBSTITUTE($F$40,",",REPT(" ",120)),121,120))</f>
        <v>Cooking</v>
      </c>
      <c r="G82" s="171" t="str">
        <f t="shared" si="5"/>
        <v>Business</v>
      </c>
      <c r="H82" s="164" t="s">
        <v>29</v>
      </c>
    </row>
    <row r="83" spans="1:8">
      <c r="A83" s="90" t="s">
        <v>29</v>
      </c>
      <c r="B83" s="93" t="s">
        <v>318</v>
      </c>
      <c r="C83" s="161" t="s">
        <v>347</v>
      </c>
      <c r="D83" s="171" t="str">
        <f>TRIM(MID(SUBSTITUTE($D$40,",",REPT(" ",120)),241,120))</f>
        <v>Education</v>
      </c>
      <c r="E83" s="171" t="str">
        <f>TRIM(MID(SUBSTITUTE($E$40,",",REPT(" ",120)),241,120))</f>
        <v>Makeup</v>
      </c>
      <c r="F83" s="171" t="str">
        <f>TRIM(MID(SUBSTITUTE($F$40,",",REPT(" ",120)),241,120))</f>
        <v>Coffee</v>
      </c>
      <c r="G83" s="171" t="str">
        <f t="shared" si="5"/>
        <v>Education</v>
      </c>
      <c r="H83" s="164" t="s">
        <v>29</v>
      </c>
    </row>
    <row r="84" spans="1:8">
      <c r="A84" s="90" t="s">
        <v>29</v>
      </c>
      <c r="B84" s="93" t="s">
        <v>320</v>
      </c>
      <c r="C84" s="161" t="s">
        <v>348</v>
      </c>
      <c r="D84" s="171" t="str">
        <f>TRIM(MID(SUBSTITUTE($D$40,",",REPT(" ",120)),361,120))</f>
        <v>Productivity</v>
      </c>
      <c r="E84" s="171" t="str">
        <f>TRIM(MID(SUBSTITUTE($E$40,",",REPT(" ",120)),361,120))</f>
        <v>Health</v>
      </c>
      <c r="F84" s="171" t="str">
        <f>TRIM(MID(SUBSTITUTE($F$40,",",REPT(" ",120)),361,120))</f>
        <v>Entertainment</v>
      </c>
      <c r="G84" s="171" t="str">
        <f t="shared" si="5"/>
        <v>Productivity</v>
      </c>
      <c r="H84" s="164" t="s">
        <v>29</v>
      </c>
    </row>
    <row r="85" spans="1:8">
      <c r="A85" s="90" t="s">
        <v>29</v>
      </c>
      <c r="B85" s="93" t="s">
        <v>322</v>
      </c>
      <c r="C85" s="161" t="s">
        <v>349</v>
      </c>
      <c r="D85" s="171" t="str">
        <f>TRIM(MID(SUBSTITUTE($D$40,",",REPT(" ",120)),481,120))</f>
        <v>Finance</v>
      </c>
      <c r="E85" s="171" t="str">
        <f>TRIM(MID(SUBSTITUTE($E$40,",",REPT(" ",120)),481,120))</f>
        <v>Shopping</v>
      </c>
      <c r="F85" s="171" t="str">
        <f>TRIM(MID(SUBSTITUTE($F$40,",",REPT(" ",120)),481,120))</f>
        <v>Travel</v>
      </c>
      <c r="G85" s="171" t="str">
        <f t="shared" si="5"/>
        <v>Finance</v>
      </c>
      <c r="H85" s="164" t="s">
        <v>29</v>
      </c>
    </row>
    <row r="86" ht="22.5" spans="1:8">
      <c r="A86" s="90" t="s">
        <v>29</v>
      </c>
      <c r="B86" s="96" t="s">
        <v>324</v>
      </c>
      <c r="C86" s="161" t="s">
        <v>350</v>
      </c>
      <c r="D86" s="97">
        <f>IF($D$81="",0,1)+IF($D$82="",0,1)+IF($D$83="",0,1)+IF($D$84="",0,1)+IF($D$85="",0,1)</f>
        <v>5</v>
      </c>
      <c r="E86" s="97">
        <f>IF($E$81="",0,1)+IF($E$82="",0,1)+IF($E$83="",0,1)+IF($E$84="",0,1)+IF($E$85="",0,1)</f>
        <v>5</v>
      </c>
      <c r="F86" s="97">
        <f>IF($F$81="",0,1)+IF($F$82="",0,1)+IF($F$83="",0,1)+IF($F$84="",0,1)+IF($F$85="",0,1)</f>
        <v>5</v>
      </c>
      <c r="G86" s="109">
        <f t="shared" si="5"/>
        <v>5</v>
      </c>
      <c r="H86" s="164" t="s">
        <v>326</v>
      </c>
    </row>
    <row r="87" ht="22.5" spans="1:8">
      <c r="A87" s="96" t="s">
        <v>277</v>
      </c>
      <c r="B87" s="93" t="s">
        <v>313</v>
      </c>
      <c r="C87" s="161" t="s">
        <v>351</v>
      </c>
      <c r="D87" s="171" t="str">
        <f>TRIM(MID(SUBSTITUTE($D$42,",",REPT(" ",120)),1,120))</f>
        <v>Innovation</v>
      </c>
      <c r="E87" s="171" t="str">
        <f>TRIM(MID(SUBSTITUTE($E$42,",",REPT(" ",120)),1,120))</f>
        <v>Authenticity</v>
      </c>
      <c r="F87" s="171" t="str">
        <f>TRIM(MID(SUBSTITUTE($F$42,",",REPT(" ",120)),1,120))</f>
        <v>Fun</v>
      </c>
      <c r="G87" s="171" t="str">
        <f t="shared" si="5"/>
        <v>Innovation</v>
      </c>
      <c r="H87" s="164" t="s">
        <v>315</v>
      </c>
    </row>
    <row r="88" spans="1:8">
      <c r="A88" s="90" t="s">
        <v>29</v>
      </c>
      <c r="B88" s="93" t="s">
        <v>316</v>
      </c>
      <c r="C88" s="161" t="s">
        <v>352</v>
      </c>
      <c r="D88" s="171" t="str">
        <f>TRIM(MID(SUBSTITUTE($D$42,",",REPT(" ",120)),121,120))</f>
        <v>Trust</v>
      </c>
      <c r="E88" s="171" t="str">
        <f>TRIM(MID(SUBSTITUTE($E$42,",",REPT(" ",120)),121,120))</f>
        <v>Quality</v>
      </c>
      <c r="F88" s="171" t="str">
        <f>TRIM(MID(SUBSTITUTE($F$42,",",REPT(" ",120)),121,120))</f>
        <v>Community</v>
      </c>
      <c r="G88" s="171" t="str">
        <f t="shared" si="5"/>
        <v>Trust</v>
      </c>
      <c r="H88" s="164" t="s">
        <v>29</v>
      </c>
    </row>
    <row r="89" spans="1:8">
      <c r="A89" s="90" t="s">
        <v>29</v>
      </c>
      <c r="B89" s="93" t="s">
        <v>318</v>
      </c>
      <c r="C89" s="161" t="s">
        <v>353</v>
      </c>
      <c r="D89" s="171" t="str">
        <f>TRIM(MID(SUBSTITUTE($D$42,",",REPT(" ",120)),241,120))</f>
        <v>Quality</v>
      </c>
      <c r="E89" s="171" t="str">
        <f>TRIM(MID(SUBSTITUTE($E$42,",",REPT(" ",120)),241,120))</f>
        <v>Trust</v>
      </c>
      <c r="F89" s="171" t="str">
        <f>TRIM(MID(SUBSTITUTE($F$42,",",REPT(" ",120)),241,120))</f>
        <v>Authenticity</v>
      </c>
      <c r="G89" s="171" t="str">
        <f t="shared" si="5"/>
        <v>Quality</v>
      </c>
      <c r="H89" s="164" t="s">
        <v>29</v>
      </c>
    </row>
    <row r="90" spans="1:8">
      <c r="A90" s="90" t="s">
        <v>29</v>
      </c>
      <c r="B90" s="93" t="s">
        <v>320</v>
      </c>
      <c r="C90" s="161" t="s">
        <v>354</v>
      </c>
      <c r="D90" s="171" t="str">
        <f>TRIM(MID(SUBSTITUTE($D$42,",",REPT(" ",120)),361,120))</f>
        <v>Transparency</v>
      </c>
      <c r="E90" s="171" t="str">
        <f>TRIM(MID(SUBSTITUTE($E$42,",",REPT(" ",120)),361,120))</f>
        <v>Health</v>
      </c>
      <c r="F90" s="171" t="str">
        <f>TRIM(MID(SUBSTITUTE($F$42,",",REPT(" ",120)),361,120))</f>
        <v>Family</v>
      </c>
      <c r="G90" s="171" t="str">
        <f t="shared" si="5"/>
        <v>Transparency</v>
      </c>
      <c r="H90" s="164" t="s">
        <v>29</v>
      </c>
    </row>
    <row r="91" spans="1:8">
      <c r="A91" s="90" t="s">
        <v>29</v>
      </c>
      <c r="B91" s="93" t="s">
        <v>322</v>
      </c>
      <c r="C91" s="161" t="s">
        <v>355</v>
      </c>
      <c r="D91" s="171" t="str">
        <f>TRIM(MID(SUBSTITUTE($D$42,",",REPT(" ",120)),481,120))</f>
        <v>Empowerment</v>
      </c>
      <c r="E91" s="171" t="str">
        <f>TRIM(MID(SUBSTITUTE($E$42,",",REPT(" ",120)),481,120))</f>
        <v>Craftsmanship</v>
      </c>
      <c r="F91" s="171" t="str">
        <f>TRIM(MID(SUBSTITUTE($F$42,",",REPT(" ",120)),481,120))</f>
        <v>Affordability</v>
      </c>
      <c r="G91" s="171" t="str">
        <f t="shared" si="5"/>
        <v>Empowerment</v>
      </c>
      <c r="H91" s="164" t="s">
        <v>29</v>
      </c>
    </row>
    <row r="92" ht="22.5" spans="1:8">
      <c r="A92" s="90" t="s">
        <v>29</v>
      </c>
      <c r="B92" s="96" t="s">
        <v>324</v>
      </c>
      <c r="C92" s="161" t="s">
        <v>356</v>
      </c>
      <c r="D92" s="97">
        <f>IF($D$87="",0,1)+IF($D$88="",0,1)+IF($D$89="",0,1)+IF($D$90="",0,1)+IF($D$91="",0,1)</f>
        <v>5</v>
      </c>
      <c r="E92" s="97">
        <f>IF($E$87="",0,1)+IF($E$88="",0,1)+IF($E$89="",0,1)+IF($E$90="",0,1)+IF($E$91="",0,1)</f>
        <v>5</v>
      </c>
      <c r="F92" s="97">
        <f>IF($F$87="",0,1)+IF($F$88="",0,1)+IF($F$89="",0,1)+IF($F$90="",0,1)+IF($F$91="",0,1)</f>
        <v>5</v>
      </c>
      <c r="G92" s="109">
        <f t="shared" si="5"/>
        <v>5</v>
      </c>
      <c r="H92" s="164" t="s">
        <v>326</v>
      </c>
    </row>
    <row r="94" ht="18" customHeight="1" spans="1:8">
      <c r="A94" s="87" t="s">
        <v>357</v>
      </c>
    </row>
    <row r="95" ht="22" customHeight="1" spans="1:8">
      <c r="A95" s="88" t="s">
        <v>358</v>
      </c>
      <c r="B95" s="88" t="s">
        <v>359</v>
      </c>
      <c r="C95" s="88" t="s">
        <v>311</v>
      </c>
      <c r="D95" s="88" t="s">
        <v>113</v>
      </c>
      <c r="E95" s="88" t="s">
        <v>118</v>
      </c>
      <c r="F95" s="88" t="s">
        <v>119</v>
      </c>
      <c r="G95" s="88" t="s">
        <v>120</v>
      </c>
      <c r="H95" s="88" t="s">
        <v>360</v>
      </c>
    </row>
    <row r="96" spans="1:8">
      <c r="A96" s="96" t="s">
        <v>361</v>
      </c>
      <c r="B96" s="100">
        <f>Lookup_Lists!$D$113</f>
        <v>25</v>
      </c>
      <c r="C96" s="161" t="s">
        <v>362</v>
      </c>
      <c r="D96" s="107">
        <f>MAX(0,Lookup_Lists!$D$113+IF($D$23="Age",Lookup_Lists!$D$117,IF($D$23="Balanced",0,-Lookup_Lists!$D$117/3)))</f>
        <v>21</v>
      </c>
      <c r="E96" s="107">
        <f>MAX(0,Lookup_Lists!$D$113+IF($E$23="Age",Lookup_Lists!$D$117,IF($E$23="Balanced",0,-Lookup_Lists!$D$117/3)))</f>
        <v>21</v>
      </c>
      <c r="F96" s="107">
        <f>MAX(0,Lookup_Lists!$D$113+IF($F$23="Age",Lookup_Lists!$D$117,IF($F$23="Balanced",0,-Lookup_Lists!$D$117/3)))</f>
        <v>37</v>
      </c>
      <c r="G96" s="172">
        <f>INDEX($D96:$F96,1,$H$4)</f>
        <v>21</v>
      </c>
      <c r="H96" s="164" t="s">
        <v>363</v>
      </c>
    </row>
    <row r="97" spans="1:8">
      <c r="A97" s="96" t="s">
        <v>364</v>
      </c>
      <c r="B97" s="100">
        <f>Lookup_Lists!$D$114</f>
        <v>15</v>
      </c>
      <c r="C97" s="161" t="s">
        <v>365</v>
      </c>
      <c r="D97" s="107">
        <f>MAX(0,Lookup_Lists!$D$114+IF($D$23="Gender",Lookup_Lists!$D$117,IF($D$23="Balanced",0,-Lookup_Lists!$D$117/3)))</f>
        <v>11</v>
      </c>
      <c r="E97" s="107">
        <f>MAX(0,Lookup_Lists!$D$114+IF($E$23="Gender",Lookup_Lists!$D$117,IF($E$23="Balanced",0,-Lookup_Lists!$D$117/3)))</f>
        <v>27</v>
      </c>
      <c r="F97" s="107">
        <f>MAX(0,Lookup_Lists!$D$114+IF($F$23="Gender",Lookup_Lists!$D$117,IF($F$23="Balanced",0,-Lookup_Lists!$D$117/3)))</f>
        <v>11</v>
      </c>
      <c r="G97" s="172">
        <f>INDEX($D97:$F97,1,$H$4)</f>
        <v>11</v>
      </c>
      <c r="H97" s="164" t="s">
        <v>366</v>
      </c>
    </row>
    <row r="98" spans="1:8">
      <c r="A98" s="96" t="s">
        <v>367</v>
      </c>
      <c r="B98" s="100">
        <f>Lookup_Lists!$D$115</f>
        <v>30</v>
      </c>
      <c r="C98" s="161" t="s">
        <v>368</v>
      </c>
      <c r="D98" s="107">
        <f>MAX(0,Lookup_Lists!$D$115+IF($D$23="Location",Lookup_Lists!$D$117,IF($D$23="Balanced",0,-Lookup_Lists!$D$117/3)))</f>
        <v>26</v>
      </c>
      <c r="E98" s="107">
        <f>MAX(0,Lookup_Lists!$D$115+IF($E$23="Location",Lookup_Lists!$D$117,IF($E$23="Balanced",0,-Lookup_Lists!$D$117/3)))</f>
        <v>26</v>
      </c>
      <c r="F98" s="107">
        <f>MAX(0,Lookup_Lists!$D$115+IF($F$23="Location",Lookup_Lists!$D$117,IF($F$23="Balanced",0,-Lookup_Lists!$D$117/3)))</f>
        <v>26</v>
      </c>
      <c r="G98" s="172">
        <f>INDEX($D98:$F98,1,$H$4)</f>
        <v>26</v>
      </c>
      <c r="H98" s="164" t="s">
        <v>369</v>
      </c>
    </row>
    <row r="99" spans="1:8">
      <c r="A99" s="96" t="s">
        <v>370</v>
      </c>
      <c r="B99" s="100">
        <f>Lookup_Lists!$D$116</f>
        <v>30</v>
      </c>
      <c r="C99" s="161" t="s">
        <v>371</v>
      </c>
      <c r="D99" s="107">
        <f>MAX(0,Lookup_Lists!$D$116+IF($D$23="Interest",Lookup_Lists!$D$117,IF($D$23="Balanced",0,-Lookup_Lists!$D$117/3)))</f>
        <v>42</v>
      </c>
      <c r="E99" s="107">
        <f>MAX(0,Lookup_Lists!$D$116+IF($E$23="Interest",Lookup_Lists!$D$117,IF($E$23="Balanced",0,-Lookup_Lists!$D$117/3)))</f>
        <v>26</v>
      </c>
      <c r="F99" s="107">
        <f>MAX(0,Lookup_Lists!$D$116+IF($F$23="Interest",Lookup_Lists!$D$117,IF($F$23="Balanced",0,-Lookup_Lists!$D$117/3)))</f>
        <v>26</v>
      </c>
      <c r="G99" s="172">
        <f>INDEX($D99:$F99,1,$H$4)</f>
        <v>42</v>
      </c>
      <c r="H99" s="164" t="s">
        <v>372</v>
      </c>
    </row>
  </sheetData>
  <mergeCells count="9">
    <mergeCell ref="A1:H1"/>
    <mergeCell ref="A2:H2"/>
    <mergeCell ref="A7:H7"/>
    <mergeCell ref="A15:H15"/>
    <mergeCell ref="A24:H24"/>
    <mergeCell ref="A31:H31"/>
    <mergeCell ref="A45:H45"/>
    <mergeCell ref="A55:H55"/>
    <mergeCell ref="A94:H94"/>
  </mergeCells>
  <dataValidations count="18">
    <dataValidation type="list" sqref="B4">
      <formula1>Lookup_Lists!$AB$6:$AB$8</formula1>
    </dataValidation>
    <dataValidation type="list" allowBlank="1" sqref="D10:F10">
      <formula1>Lookup_Lists!$B$6:$B$17</formula1>
    </dataValidation>
    <dataValidation type="list" allowBlank="1" sqref="D12:F12 D34:F34">
      <formula1>Lookup_Lists!$D$6:$D$47</formula1>
    </dataValidation>
    <dataValidation type="list" allowBlank="1" sqref="D14:F14">
      <formula1>Lookup_Lists!$S$6:$S$29</formula1>
    </dataValidation>
    <dataValidation type="list" allowBlank="1" sqref="D18:F18">
      <formula1>Lookup_Lists!$G$6:$G$9</formula1>
    </dataValidation>
    <dataValidation type="list" allowBlank="1" sqref="D19:F19">
      <formula1>Lookup_Lists!$H$6:$H$11</formula1>
    </dataValidation>
    <dataValidation type="list" allowBlank="1" sqref="D20:F20">
      <formula1>Lookup_Lists!$I$6:$I$15</formula1>
    </dataValidation>
    <dataValidation type="list" allowBlank="1" sqref="D21:F21">
      <formula1>Lookup_Lists!$J$6:$J$17</formula1>
    </dataValidation>
    <dataValidation type="list" allowBlank="1" sqref="D23:F23">
      <formula1>Lookup_Lists!$W$6:$W$10</formula1>
    </dataValidation>
    <dataValidation type="list" allowBlank="1" sqref="D25:F25">
      <formula1>Lookup_Lists!$N$6:$N$15</formula1>
    </dataValidation>
    <dataValidation type="list" allowBlank="1" sqref="D27:F27">
      <formula1>Lookup_Lists!$O$6:$O$13</formula1>
    </dataValidation>
    <dataValidation type="list" allowBlank="1" sqref="D28:F28">
      <formula1>Lookup_Lists!$R$6:$R$10</formula1>
    </dataValidation>
    <dataValidation type="list" allowBlank="1" sqref="D30:F30">
      <formula1>Lookup_Lists!$P$6:$P$13</formula1>
    </dataValidation>
    <dataValidation type="list" allowBlank="1" sqref="D33:F33">
      <formula1>Lookup_Lists!$C$6:$C$19</formula1>
    </dataValidation>
    <dataValidation type="list" allowBlank="1" sqref="D39:F39">
      <formula1>Lookup_Lists!$L$6:$L$15</formula1>
    </dataValidation>
    <dataValidation type="list" allowBlank="1" sqref="D41:F41">
      <formula1>Lookup_Lists!$M$6:$M$17</formula1>
    </dataValidation>
    <dataValidation type="list" allowBlank="1" sqref="D16:F17">
      <formula1>Lookup_Lists!$F$6:$F$10</formula1>
    </dataValidation>
    <dataValidation type="list" allowBlank="1" sqref="D46:F47 D50:F53">
      <formula1>Lookup_Lists!$V$6:$V$7</formula1>
    </dataValidation>
  </dataValidations>
  <pageMargins left="0.7" right="0.7" top="0.75" bottom="0.75" header="0.3" footer="0.3"/>
  <pageSetup paperSize="1"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2"/>
  <sheetViews>
    <sheetView workbookViewId="0">
      <pane ySplit="4" topLeftCell="A5" activePane="bottomLeft" state="frozen"/>
      <selection/>
      <selection pane="bottomLeft" activeCell="A1" sqref="A1:D1"/>
    </sheetView>
  </sheetViews>
  <sheetFormatPr defaultColWidth="9" defaultRowHeight="15" outlineLevelCol="3"/>
  <cols>
    <col min="1" max="1" width="28" customWidth="1"/>
    <col min="2" max="4" width="24" customWidth="1"/>
  </cols>
  <sheetData>
    <row r="1" spans="1:4">
      <c r="A1" s="157" t="s">
        <v>373</v>
      </c>
    </row>
    <row r="2" spans="1:4">
      <c r="A2" s="157" t="s">
        <v>374</v>
      </c>
    </row>
    <row r="4" spans="1:4">
      <c r="A4" s="156" t="s">
        <v>116</v>
      </c>
      <c r="B4" s="156" t="s">
        <v>375</v>
      </c>
      <c r="C4" s="156" t="s">
        <v>376</v>
      </c>
      <c r="D4" s="156" t="s">
        <v>377</v>
      </c>
    </row>
    <row r="5" spans="1:4">
      <c r="A5" t="s">
        <v>378</v>
      </c>
      <c r="B5" t="s">
        <v>379</v>
      </c>
      <c r="C5" t="s">
        <v>380</v>
      </c>
      <c r="D5" t="s">
        <v>381</v>
      </c>
    </row>
    <row r="6" spans="1:4">
      <c r="A6" t="s">
        <v>124</v>
      </c>
      <c r="B6" t="s">
        <v>113</v>
      </c>
      <c r="C6" t="s">
        <v>118</v>
      </c>
      <c r="D6" t="s">
        <v>119</v>
      </c>
    </row>
    <row r="7" spans="1:4">
      <c r="A7" t="s">
        <v>382</v>
      </c>
      <c r="B7" t="s">
        <v>383</v>
      </c>
      <c r="C7" t="s">
        <v>384</v>
      </c>
      <c r="D7" t="s">
        <v>385</v>
      </c>
    </row>
    <row r="8" spans="1:4">
      <c r="A8" t="s">
        <v>386</v>
      </c>
      <c r="B8" t="s">
        <v>387</v>
      </c>
      <c r="C8" t="s">
        <v>388</v>
      </c>
      <c r="D8" t="s">
        <v>389</v>
      </c>
    </row>
    <row r="9" spans="1:4">
      <c r="A9" t="s">
        <v>390</v>
      </c>
      <c r="B9" t="s">
        <v>391</v>
      </c>
      <c r="C9" t="s">
        <v>392</v>
      </c>
      <c r="D9" t="s">
        <v>391</v>
      </c>
    </row>
    <row r="10" spans="1:4">
      <c r="A10" t="s">
        <v>393</v>
      </c>
      <c r="B10" t="s">
        <v>166</v>
      </c>
      <c r="C10" t="s">
        <v>166</v>
      </c>
      <c r="D10" t="s">
        <v>165</v>
      </c>
    </row>
    <row r="11" spans="1:4">
      <c r="A11" t="s">
        <v>198</v>
      </c>
      <c r="B11" t="s">
        <v>175</v>
      </c>
      <c r="C11" t="s">
        <v>174</v>
      </c>
      <c r="D11" t="s">
        <v>175</v>
      </c>
    </row>
    <row r="12" spans="1:4">
      <c r="A12" t="s">
        <v>177</v>
      </c>
      <c r="B12" t="s">
        <v>179</v>
      </c>
      <c r="C12" t="s">
        <v>179</v>
      </c>
      <c r="D12" t="s">
        <v>179</v>
      </c>
    </row>
    <row r="13" spans="1:4">
      <c r="A13" t="s">
        <v>394</v>
      </c>
      <c r="B13" t="s">
        <v>243</v>
      </c>
      <c r="C13" t="s">
        <v>244</v>
      </c>
      <c r="D13" t="s">
        <v>245</v>
      </c>
    </row>
    <row r="14" spans="1:4">
      <c r="A14" t="s">
        <v>395</v>
      </c>
      <c r="B14" t="s">
        <v>396</v>
      </c>
      <c r="C14" t="s">
        <v>397</v>
      </c>
      <c r="D14" t="s">
        <v>398</v>
      </c>
    </row>
    <row r="15" spans="1:4">
      <c r="A15" t="s">
        <v>399</v>
      </c>
      <c r="B15" t="s">
        <v>231</v>
      </c>
      <c r="C15" t="s">
        <v>400</v>
      </c>
      <c r="D15" t="s">
        <v>266</v>
      </c>
    </row>
    <row r="16" spans="1:4">
      <c r="A16" t="s">
        <v>401</v>
      </c>
      <c r="B16" t="s">
        <v>231</v>
      </c>
      <c r="C16" t="s">
        <v>402</v>
      </c>
      <c r="D16" t="s">
        <v>274</v>
      </c>
    </row>
    <row r="17" spans="1:4">
      <c r="A17" t="s">
        <v>403</v>
      </c>
      <c r="B17" t="s">
        <v>216</v>
      </c>
      <c r="C17" t="s">
        <v>207</v>
      </c>
      <c r="D17" t="s">
        <v>218</v>
      </c>
    </row>
    <row r="18" spans="1:4">
      <c r="A18" t="s">
        <v>229</v>
      </c>
      <c r="B18" t="s">
        <v>231</v>
      </c>
      <c r="C18" t="s">
        <v>233</v>
      </c>
      <c r="D18" t="s">
        <v>404</v>
      </c>
    </row>
    <row r="19" spans="1:4">
      <c r="A19" t="s">
        <v>405</v>
      </c>
      <c r="B19" t="s">
        <v>406</v>
      </c>
      <c r="C19" t="s">
        <v>407</v>
      </c>
      <c r="D19" t="s">
        <v>408</v>
      </c>
    </row>
    <row r="20" spans="1:4">
      <c r="A20" t="s">
        <v>409</v>
      </c>
      <c r="B20" t="s">
        <v>410</v>
      </c>
      <c r="C20" t="s">
        <v>411</v>
      </c>
      <c r="D20" t="s">
        <v>412</v>
      </c>
    </row>
    <row r="22" spans="1:4">
      <c r="A22" s="157" t="s">
        <v>413</v>
      </c>
    </row>
  </sheetData>
  <mergeCells count="3">
    <mergeCell ref="A1:D1"/>
    <mergeCell ref="A2:D2"/>
    <mergeCell ref="A22:D22"/>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4:P94"/>
  <sheetViews>
    <sheetView workbookViewId="0">
      <pane ySplit="4" topLeftCell="A5" activePane="bottomLeft" state="frozen"/>
      <selection/>
      <selection pane="bottomLeft" activeCell="A1" sqref="A1"/>
    </sheetView>
  </sheetViews>
  <sheetFormatPr defaultColWidth="9" defaultRowHeight="15"/>
  <cols>
    <col min="1" max="1" width="14" customWidth="1"/>
    <col min="2" max="3" width="12" customWidth="1"/>
    <col min="4" max="4" width="22" customWidth="1"/>
    <col min="5" max="5" width="14" customWidth="1"/>
    <col min="6" max="6" width="16" customWidth="1"/>
    <col min="7" max="9" width="12" customWidth="1"/>
    <col min="10" max="10" width="14" customWidth="1"/>
    <col min="11" max="11" width="11" customWidth="1"/>
    <col min="12" max="12" width="15" customWidth="1"/>
    <col min="13" max="13" width="12" customWidth="1"/>
    <col min="14" max="14" width="13" customWidth="1"/>
    <col min="15" max="15" width="18" customWidth="1"/>
    <col min="16" max="16" width="80" customWidth="1"/>
  </cols>
  <sheetData>
    <row r="4" spans="1:16">
      <c r="A4" s="156" t="s">
        <v>378</v>
      </c>
      <c r="B4" s="156" t="s">
        <v>124</v>
      </c>
      <c r="C4" s="156" t="s">
        <v>414</v>
      </c>
      <c r="D4" s="156" t="s">
        <v>415</v>
      </c>
      <c r="E4" s="156" t="s">
        <v>390</v>
      </c>
      <c r="F4" s="156" t="s">
        <v>416</v>
      </c>
      <c r="G4" s="156" t="s">
        <v>417</v>
      </c>
      <c r="H4" s="156" t="s">
        <v>418</v>
      </c>
      <c r="I4" s="156" t="s">
        <v>419</v>
      </c>
      <c r="J4" s="156" t="s">
        <v>420</v>
      </c>
      <c r="K4" s="156" t="s">
        <v>421</v>
      </c>
      <c r="L4" s="156" t="s">
        <v>422</v>
      </c>
      <c r="M4" s="156" t="s">
        <v>33</v>
      </c>
      <c r="N4" s="156" t="s">
        <v>423</v>
      </c>
      <c r="O4" s="156" t="s">
        <v>424</v>
      </c>
      <c r="P4" s="156" t="s">
        <v>425</v>
      </c>
    </row>
    <row r="5" spans="1:16">
      <c r="A5" t="str">
        <f>Campaign_Profile!$B$5</f>
        <v>CAMP-A</v>
      </c>
      <c r="B5" t="str">
        <f>Campaign_Profile!$B$6</f>
        <v>BRAND-A</v>
      </c>
      <c r="C5" t="str">
        <f>KOL_Database!$A$5</f>
        <v>KOL-01</v>
      </c>
      <c r="D5" t="str">
        <f>KOL_Database!$B$5</f>
        <v>Ardi Nugraha</v>
      </c>
      <c r="E5" t="str">
        <f>KOL_Database!$D$5</f>
        <v>Instagram</v>
      </c>
      <c r="F5" t="str">
        <f>KOL_Database!$E$5</f>
        <v>Tech</v>
      </c>
      <c r="G5">
        <f ca="1">IFERROR(INDEX(Matching_Engine!$AY$6:$AY$95,MATCH($B5&amp;"|"&amp;$C5,Matching_Engine!$AZ$6:$AZ$95,0)),0)</f>
        <v>80</v>
      </c>
      <c r="H5">
        <f ca="1">IFERROR(INDEX(Matching_Engine!$S$6:$S$95,MATCH($B5&amp;"|"&amp;$C5,Matching_Engine!$AZ$6:$AZ$95,0)),0)</f>
        <v>83</v>
      </c>
      <c r="I5">
        <f>IFERROR(INDEX(Matching_Engine!$W$6:$W$95,MATCH($B5&amp;"|"&amp;$C5,Matching_Engine!$AZ$6:$AZ$95,0)),0)</f>
        <v>80</v>
      </c>
      <c r="J5">
        <f>IFERROR(INDEX(Matching_Engine!$Y$6:$Y$95,MATCH($B5&amp;"|"&amp;$C5,Matching_Engine!$AZ$6:$AZ$95,0)),0)</f>
        <v>85</v>
      </c>
      <c r="K5">
        <f>IFERROR(INDEX(Matching_Engine!$Z$6:$Z$95,MATCH($B5&amp;"|"&amp;$C5,Matching_Engine!$AZ$6:$AZ$95,0)),0)</f>
        <v>90</v>
      </c>
      <c r="L5">
        <f>IFERROR(INDEX(Matching_Engine!$AB$6:$AB$95,MATCH($B5&amp;"|"&amp;$C5,Matching_Engine!$AZ$6:$AZ$95,0)),0)</f>
        <v>70</v>
      </c>
      <c r="M5">
        <f ca="1" t="shared" ref="M5:M68" si="0">ROUND($H5*0.3+$I5*0.3+$J5*0.25+$L5*0.15,1)</f>
        <v>80.7</v>
      </c>
      <c r="N5">
        <f ca="1" t="shared" ref="N5:N68" si="1">ROUND($G5*0.7+$M5*0.3,1)</f>
        <v>80.2</v>
      </c>
      <c r="O5" t="str">
        <f ca="1" t="shared" ref="O5:O68" si="2">IF($N5&gt;=85,"Excellent Match",IF($N5&gt;=70,"Strong Match",IF($N5&gt;=55,"Good Match","Weak Match")))</f>
        <v>Strong Match</v>
      </c>
      <c r="P5" t="str">
        <f ca="1" t="shared" ref="P5:P68" si="3">"Brand "&amp;ROUND($G5,0)&amp;"/100; Audience "&amp;ROUND($H5,0)&amp;"/100; Style "&amp;ROUND($I5,0)&amp;"/100; Personality "&amp;ROUND($J5,0)&amp;"/100. Campaign Fit "&amp;ROUND($M5,0)&amp;"/100."</f>
        <v>Brand 80/100; Audience 83/100; Style 80/100; Personality 85/100. Campaign Fit 81/100.</v>
      </c>
    </row>
    <row r="6" spans="1:16">
      <c r="A6" t="str">
        <f>Campaign_Profile!$B$5</f>
        <v>CAMP-A</v>
      </c>
      <c r="B6" t="str">
        <f>Campaign_Profile!$B$6</f>
        <v>BRAND-A</v>
      </c>
      <c r="C6" t="str">
        <f>KOL_Database!$A$6</f>
        <v>KOL-02</v>
      </c>
      <c r="D6" t="str">
        <f>KOL_Database!$B$6</f>
        <v>Rifqi Pratama</v>
      </c>
      <c r="E6" t="str">
        <f>KOL_Database!$D$6</f>
        <v>TikTok</v>
      </c>
      <c r="F6" t="str">
        <f>KOL_Database!$E$6</f>
        <v>Tech</v>
      </c>
      <c r="G6">
        <f ca="1">IFERROR(INDEX(Matching_Engine!$AY$6:$AY$95,MATCH($B6&amp;"|"&amp;$C6,Matching_Engine!$AZ$6:$AZ$95,0)),0)</f>
        <v>93</v>
      </c>
      <c r="H6">
        <f ca="1">IFERROR(INDEX(Matching_Engine!$S$6:$S$95,MATCH($B6&amp;"|"&amp;$C6,Matching_Engine!$AZ$6:$AZ$95,0)),0)</f>
        <v>91</v>
      </c>
      <c r="I6">
        <f>IFERROR(INDEX(Matching_Engine!$W$6:$W$95,MATCH($B6&amp;"|"&amp;$C6,Matching_Engine!$AZ$6:$AZ$95,0)),0)</f>
        <v>100</v>
      </c>
      <c r="J6">
        <f>IFERROR(INDEX(Matching_Engine!$Y$6:$Y$95,MATCH($B6&amp;"|"&amp;$C6,Matching_Engine!$AZ$6:$AZ$95,0)),0)</f>
        <v>95</v>
      </c>
      <c r="K6">
        <f>IFERROR(INDEX(Matching_Engine!$Z$6:$Z$95,MATCH($B6&amp;"|"&amp;$C6,Matching_Engine!$AZ$6:$AZ$95,0)),0)</f>
        <v>100</v>
      </c>
      <c r="L6">
        <f>IFERROR(INDEX(Matching_Engine!$AB$6:$AB$95,MATCH($B6&amp;"|"&amp;$C6,Matching_Engine!$AZ$6:$AZ$95,0)),0)</f>
        <v>100</v>
      </c>
      <c r="M6">
        <f ca="1" t="shared" si="0"/>
        <v>96.1</v>
      </c>
      <c r="N6">
        <f ca="1" t="shared" si="1"/>
        <v>93.9</v>
      </c>
      <c r="O6" t="str">
        <f ca="1" t="shared" si="2"/>
        <v>Excellent Match</v>
      </c>
      <c r="P6" t="str">
        <f ca="1" t="shared" si="3"/>
        <v>Brand 93/100; Audience 91/100; Style 100/100; Personality 95/100. Campaign Fit 96/100.</v>
      </c>
    </row>
    <row r="7" spans="1:16">
      <c r="A7" t="str">
        <f>Campaign_Profile!$B$5</f>
        <v>CAMP-A</v>
      </c>
      <c r="B7" t="str">
        <f>Campaign_Profile!$B$6</f>
        <v>BRAND-A</v>
      </c>
      <c r="C7" t="str">
        <f>KOL_Database!$A$7</f>
        <v>KOL-03</v>
      </c>
      <c r="D7" t="str">
        <f>KOL_Database!$B$7</f>
        <v>Salsa Aulia</v>
      </c>
      <c r="E7" t="str">
        <f>KOL_Database!$D$7</f>
        <v>Instagram</v>
      </c>
      <c r="F7" t="str">
        <f>KOL_Database!$E$7</f>
        <v>Beauty</v>
      </c>
      <c r="G7">
        <f ca="1">IFERROR(INDEX(Matching_Engine!$AY$6:$AY$95,MATCH($B7&amp;"|"&amp;$C7,Matching_Engine!$AZ$6:$AZ$95,0)),0)</f>
        <v>48</v>
      </c>
      <c r="H7">
        <f ca="1">IFERROR(INDEX(Matching_Engine!$S$6:$S$95,MATCH($B7&amp;"|"&amp;$C7,Matching_Engine!$AZ$6:$AZ$95,0)),0)</f>
        <v>58</v>
      </c>
      <c r="I7">
        <f>IFERROR(INDEX(Matching_Engine!$W$6:$W$95,MATCH($B7&amp;"|"&amp;$C7,Matching_Engine!$AZ$6:$AZ$95,0)),0)</f>
        <v>80</v>
      </c>
      <c r="J7">
        <f>IFERROR(INDEX(Matching_Engine!$Y$6:$Y$95,MATCH($B7&amp;"|"&amp;$C7,Matching_Engine!$AZ$6:$AZ$95,0)),0)</f>
        <v>85</v>
      </c>
      <c r="K7">
        <f>IFERROR(INDEX(Matching_Engine!$Z$6:$Z$95,MATCH($B7&amp;"|"&amp;$C7,Matching_Engine!$AZ$6:$AZ$95,0)),0)</f>
        <v>90</v>
      </c>
      <c r="L7">
        <f>IFERROR(INDEX(Matching_Engine!$AB$6:$AB$95,MATCH($B7&amp;"|"&amp;$C7,Matching_Engine!$AZ$6:$AZ$95,0)),0)</f>
        <v>70</v>
      </c>
      <c r="M7">
        <f ca="1" t="shared" si="0"/>
        <v>73.2</v>
      </c>
      <c r="N7">
        <f ca="1" t="shared" si="1"/>
        <v>55.6</v>
      </c>
      <c r="O7" t="str">
        <f ca="1" t="shared" si="2"/>
        <v>Good Match</v>
      </c>
      <c r="P7" t="str">
        <f ca="1" t="shared" si="3"/>
        <v>Brand 48/100; Audience 58/100; Style 80/100; Personality 85/100. Campaign Fit 73/100.</v>
      </c>
    </row>
    <row r="8" spans="1:16">
      <c r="A8" t="str">
        <f>Campaign_Profile!$B$5</f>
        <v>CAMP-A</v>
      </c>
      <c r="B8" t="str">
        <f>Campaign_Profile!$B$6</f>
        <v>BRAND-A</v>
      </c>
      <c r="C8" t="str">
        <f>KOL_Database!$A$8</f>
        <v>KOL-04</v>
      </c>
      <c r="D8" t="str">
        <f>KOL_Database!$B$8</f>
        <v>Nadia Puspa</v>
      </c>
      <c r="E8" t="str">
        <f>KOL_Database!$D$8</f>
        <v>TikTok</v>
      </c>
      <c r="F8" t="str">
        <f>KOL_Database!$E$8</f>
        <v>Beauty</v>
      </c>
      <c r="G8">
        <f ca="1">IFERROR(INDEX(Matching_Engine!$AY$6:$AY$95,MATCH($B8&amp;"|"&amp;$C8,Matching_Engine!$AZ$6:$AZ$95,0)),0)</f>
        <v>46</v>
      </c>
      <c r="H8">
        <f ca="1">IFERROR(INDEX(Matching_Engine!$S$6:$S$95,MATCH($B8&amp;"|"&amp;$C8,Matching_Engine!$AZ$6:$AZ$95,0)),0)</f>
        <v>49</v>
      </c>
      <c r="I8">
        <f>IFERROR(INDEX(Matching_Engine!$W$6:$W$95,MATCH($B8&amp;"|"&amp;$C8,Matching_Engine!$AZ$6:$AZ$95,0)),0)</f>
        <v>80</v>
      </c>
      <c r="J8">
        <f>IFERROR(INDEX(Matching_Engine!$Y$6:$Y$95,MATCH($B8&amp;"|"&amp;$C8,Matching_Engine!$AZ$6:$AZ$95,0)),0)</f>
        <v>95</v>
      </c>
      <c r="K8">
        <f>IFERROR(INDEX(Matching_Engine!$Z$6:$Z$95,MATCH($B8&amp;"|"&amp;$C8,Matching_Engine!$AZ$6:$AZ$95,0)),0)</f>
        <v>95</v>
      </c>
      <c r="L8">
        <f>IFERROR(INDEX(Matching_Engine!$AB$6:$AB$95,MATCH($B8&amp;"|"&amp;$C8,Matching_Engine!$AZ$6:$AZ$95,0)),0)</f>
        <v>95</v>
      </c>
      <c r="M8">
        <f ca="1" t="shared" si="0"/>
        <v>76.7</v>
      </c>
      <c r="N8">
        <f ca="1" t="shared" si="1"/>
        <v>55.2</v>
      </c>
      <c r="O8" t="str">
        <f ca="1" t="shared" si="2"/>
        <v>Good Match</v>
      </c>
      <c r="P8" t="str">
        <f ca="1" t="shared" si="3"/>
        <v>Brand 46/100; Audience 49/100; Style 80/100; Personality 95/100. Campaign Fit 77/100.</v>
      </c>
    </row>
    <row r="9" spans="1:16">
      <c r="A9" t="str">
        <f>Campaign_Profile!$B$5</f>
        <v>CAMP-A</v>
      </c>
      <c r="B9" t="str">
        <f>Campaign_Profile!$B$6</f>
        <v>BRAND-A</v>
      </c>
      <c r="C9" t="str">
        <f>KOL_Database!$A$9</f>
        <v>KOL-05</v>
      </c>
      <c r="D9" t="str">
        <f>KOL_Database!$B$9</f>
        <v>Bimo Saputra</v>
      </c>
      <c r="E9" t="str">
        <f>KOL_Database!$D$9</f>
        <v>TikTok</v>
      </c>
      <c r="F9" t="str">
        <f>KOL_Database!$E$9</f>
        <v>Food</v>
      </c>
      <c r="G9">
        <f ca="1">IFERROR(INDEX(Matching_Engine!$AY$6:$AY$95,MATCH($B9&amp;"|"&amp;$C9,Matching_Engine!$AZ$6:$AZ$95,0)),0)</f>
        <v>45</v>
      </c>
      <c r="H9">
        <f ca="1">IFERROR(INDEX(Matching_Engine!$S$6:$S$95,MATCH($B9&amp;"|"&amp;$C9,Matching_Engine!$AZ$6:$AZ$95,0)),0)</f>
        <v>54</v>
      </c>
      <c r="I9">
        <f>IFERROR(INDEX(Matching_Engine!$W$6:$W$95,MATCH($B9&amp;"|"&amp;$C9,Matching_Engine!$AZ$6:$AZ$95,0)),0)</f>
        <v>80</v>
      </c>
      <c r="J9">
        <f>IFERROR(INDEX(Matching_Engine!$Y$6:$Y$95,MATCH($B9&amp;"|"&amp;$C9,Matching_Engine!$AZ$6:$AZ$95,0)),0)</f>
        <v>50</v>
      </c>
      <c r="K9">
        <f>IFERROR(INDEX(Matching_Engine!$Z$6:$Z$95,MATCH($B9&amp;"|"&amp;$C9,Matching_Engine!$AZ$6:$AZ$95,0)),0)</f>
        <v>90</v>
      </c>
      <c r="L9">
        <f>IFERROR(INDEX(Matching_Engine!$AB$6:$AB$95,MATCH($B9&amp;"|"&amp;$C9,Matching_Engine!$AZ$6:$AZ$95,0)),0)</f>
        <v>70</v>
      </c>
      <c r="M9">
        <f ca="1" t="shared" si="0"/>
        <v>63.2</v>
      </c>
      <c r="N9">
        <f ca="1" t="shared" si="1"/>
        <v>50.5</v>
      </c>
      <c r="O9" t="str">
        <f ca="1" t="shared" si="2"/>
        <v>Weak Match</v>
      </c>
      <c r="P9" t="str">
        <f ca="1" t="shared" si="3"/>
        <v>Brand 45/100; Audience 54/100; Style 80/100; Personality 50/100. Campaign Fit 63/100.</v>
      </c>
    </row>
    <row r="10" spans="1:16">
      <c r="A10" t="str">
        <f>Campaign_Profile!$B$5</f>
        <v>CAMP-A</v>
      </c>
      <c r="B10" t="str">
        <f>Campaign_Profile!$B$6</f>
        <v>BRAND-A</v>
      </c>
      <c r="C10" t="str">
        <f>KOL_Database!$A$10</f>
        <v>KOL-06</v>
      </c>
      <c r="D10" t="str">
        <f>KOL_Database!$B$10</f>
        <v>Ayu Lestari</v>
      </c>
      <c r="E10" t="str">
        <f>KOL_Database!$D$10</f>
        <v>Instagram</v>
      </c>
      <c r="F10" t="str">
        <f>KOL_Database!$E$10</f>
        <v>Food</v>
      </c>
      <c r="G10">
        <f ca="1">IFERROR(INDEX(Matching_Engine!$AY$6:$AY$95,MATCH($B10&amp;"|"&amp;$C10,Matching_Engine!$AZ$6:$AZ$95,0)),0)</f>
        <v>44</v>
      </c>
      <c r="H10">
        <f ca="1">IFERROR(INDEX(Matching_Engine!$S$6:$S$95,MATCH($B10&amp;"|"&amp;$C10,Matching_Engine!$AZ$6:$AZ$95,0)),0)</f>
        <v>50</v>
      </c>
      <c r="I10">
        <f>IFERROR(INDEX(Matching_Engine!$W$6:$W$95,MATCH($B10&amp;"|"&amp;$C10,Matching_Engine!$AZ$6:$AZ$95,0)),0)</f>
        <v>80</v>
      </c>
      <c r="J10">
        <f>IFERROR(INDEX(Matching_Engine!$Y$6:$Y$95,MATCH($B10&amp;"|"&amp;$C10,Matching_Engine!$AZ$6:$AZ$95,0)),0)</f>
        <v>50</v>
      </c>
      <c r="K10">
        <f>IFERROR(INDEX(Matching_Engine!$Z$6:$Z$95,MATCH($B10&amp;"|"&amp;$C10,Matching_Engine!$AZ$6:$AZ$95,0)),0)</f>
        <v>95</v>
      </c>
      <c r="L10">
        <f>IFERROR(INDEX(Matching_Engine!$AB$6:$AB$95,MATCH($B10&amp;"|"&amp;$C10,Matching_Engine!$AZ$6:$AZ$95,0)),0)</f>
        <v>95</v>
      </c>
      <c r="M10">
        <f ca="1" t="shared" si="0"/>
        <v>65.8</v>
      </c>
      <c r="N10">
        <f ca="1" t="shared" si="1"/>
        <v>50.5</v>
      </c>
      <c r="O10" t="str">
        <f ca="1" t="shared" si="2"/>
        <v>Weak Match</v>
      </c>
      <c r="P10" t="str">
        <f ca="1" t="shared" si="3"/>
        <v>Brand 44/100; Audience 50/100; Style 80/100; Personality 50/100. Campaign Fit 66/100.</v>
      </c>
    </row>
    <row r="11" spans="1:16">
      <c r="A11" t="str">
        <f>Campaign_Profile!$B$5</f>
        <v>CAMP-A</v>
      </c>
      <c r="B11" t="str">
        <f>Campaign_Profile!$B$6</f>
        <v>BRAND-A</v>
      </c>
      <c r="C11" t="str">
        <f>KOL_Database!$A$11</f>
        <v>KOL-07</v>
      </c>
      <c r="D11" t="str">
        <f>KOL_Database!$B$11</f>
        <v>Fajar Ramadhan</v>
      </c>
      <c r="E11" t="str">
        <f>KOL_Database!$D$11</f>
        <v>Instagram</v>
      </c>
      <c r="F11" t="str">
        <f>KOL_Database!$E$11</f>
        <v>Finance</v>
      </c>
      <c r="G11">
        <f ca="1">IFERROR(INDEX(Matching_Engine!$AY$6:$AY$95,MATCH($B11&amp;"|"&amp;$C11,Matching_Engine!$AZ$6:$AZ$95,0)),0)</f>
        <v>87</v>
      </c>
      <c r="H11">
        <f ca="1">IFERROR(INDEX(Matching_Engine!$S$6:$S$95,MATCH($B11&amp;"|"&amp;$C11,Matching_Engine!$AZ$6:$AZ$95,0)),0)</f>
        <v>100</v>
      </c>
      <c r="I11">
        <f>IFERROR(INDEX(Matching_Engine!$W$6:$W$95,MATCH($B11&amp;"|"&amp;$C11,Matching_Engine!$AZ$6:$AZ$95,0)),0)</f>
        <v>100</v>
      </c>
      <c r="J11">
        <f>IFERROR(INDEX(Matching_Engine!$Y$6:$Y$95,MATCH($B11&amp;"|"&amp;$C11,Matching_Engine!$AZ$6:$AZ$95,0)),0)</f>
        <v>70</v>
      </c>
      <c r="K11">
        <f>IFERROR(INDEX(Matching_Engine!$Z$6:$Z$95,MATCH($B11&amp;"|"&amp;$C11,Matching_Engine!$AZ$6:$AZ$95,0)),0)</f>
        <v>100</v>
      </c>
      <c r="L11">
        <f>IFERROR(INDEX(Matching_Engine!$AB$6:$AB$95,MATCH($B11&amp;"|"&amp;$C11,Matching_Engine!$AZ$6:$AZ$95,0)),0)</f>
        <v>100</v>
      </c>
      <c r="M11">
        <f ca="1" t="shared" si="0"/>
        <v>92.5</v>
      </c>
      <c r="N11">
        <f ca="1" t="shared" si="1"/>
        <v>88.7</v>
      </c>
      <c r="O11" t="str">
        <f ca="1" t="shared" si="2"/>
        <v>Excellent Match</v>
      </c>
      <c r="P11" t="str">
        <f ca="1" t="shared" si="3"/>
        <v>Brand 87/100; Audience 100/100; Style 100/100; Personality 70/100. Campaign Fit 93/100.</v>
      </c>
    </row>
    <row r="12" spans="1:16">
      <c r="A12" t="str">
        <f>Campaign_Profile!$B$5</f>
        <v>CAMP-A</v>
      </c>
      <c r="B12" t="str">
        <f>Campaign_Profile!$B$6</f>
        <v>BRAND-A</v>
      </c>
      <c r="C12" t="str">
        <f>KOL_Database!$A$12</f>
        <v>KOL-08</v>
      </c>
      <c r="D12" t="str">
        <f>KOL_Database!$B$12</f>
        <v>Tania Wijaya</v>
      </c>
      <c r="E12" t="str">
        <f>KOL_Database!$D$12</f>
        <v>TikTok</v>
      </c>
      <c r="F12" t="str">
        <f>KOL_Database!$E$12</f>
        <v>Finance</v>
      </c>
      <c r="G12" t="str">
        <f ca="1">IFERROR(INDEX(Matching_Engine!$AY$6:$AY$95,MATCH($B12&amp;"|"&amp;$C12,Matching_Engine!$AZ$6:$AZ$95,0)),0)</f>
        <v/>
      </c>
      <c r="H12">
        <f ca="1">IFERROR(INDEX(Matching_Engine!$S$6:$S$95,MATCH($B12&amp;"|"&amp;$C12,Matching_Engine!$AZ$6:$AZ$95,0)),0)</f>
        <v>92</v>
      </c>
      <c r="I12">
        <f>IFERROR(INDEX(Matching_Engine!$W$6:$W$95,MATCH($B12&amp;"|"&amp;$C12,Matching_Engine!$AZ$6:$AZ$95,0)),0)</f>
        <v>100</v>
      </c>
      <c r="J12">
        <f>IFERROR(INDEX(Matching_Engine!$Y$6:$Y$95,MATCH($B12&amp;"|"&amp;$C12,Matching_Engine!$AZ$6:$AZ$95,0)),0)</f>
        <v>95</v>
      </c>
      <c r="K12">
        <f>IFERROR(INDEX(Matching_Engine!$Z$6:$Z$95,MATCH($B12&amp;"|"&amp;$C12,Matching_Engine!$AZ$6:$AZ$95,0)),0)</f>
        <v>100</v>
      </c>
      <c r="L12">
        <f>IFERROR(INDEX(Matching_Engine!$AB$6:$AB$95,MATCH($B12&amp;"|"&amp;$C12,Matching_Engine!$AZ$6:$AZ$95,0)),0)</f>
        <v>100</v>
      </c>
      <c r="M12">
        <f ca="1" t="shared" si="0"/>
        <v>96.4</v>
      </c>
      <c r="N12" t="e">
        <f ca="1" t="shared" si="1"/>
        <v>#VALUE!</v>
      </c>
      <c r="O12" t="e">
        <f ca="1" t="shared" si="2"/>
        <v>#VALUE!</v>
      </c>
      <c r="P12" t="e">
        <f ca="1" t="shared" si="3"/>
        <v>#VALUE!</v>
      </c>
    </row>
    <row r="13" spans="1:16">
      <c r="A13" t="str">
        <f>Campaign_Profile!$B$5</f>
        <v>CAMP-A</v>
      </c>
      <c r="B13" t="str">
        <f>Campaign_Profile!$B$6</f>
        <v>BRAND-A</v>
      </c>
      <c r="C13" t="str">
        <f>KOL_Database!$A$13</f>
        <v>KOL-09</v>
      </c>
      <c r="D13" t="str">
        <f>KOL_Database!$B$13</f>
        <v>Gilang Prakoso</v>
      </c>
      <c r="E13" t="str">
        <f>KOL_Database!$D$13</f>
        <v>TikTok</v>
      </c>
      <c r="F13" t="str">
        <f>KOL_Database!$E$13</f>
        <v>Education</v>
      </c>
      <c r="G13">
        <f ca="1">IFERROR(INDEX(Matching_Engine!$AY$6:$AY$95,MATCH($B13&amp;"|"&amp;$C13,Matching_Engine!$AZ$6:$AZ$95,0)),0)</f>
        <v>81</v>
      </c>
      <c r="H13">
        <f ca="1">IFERROR(INDEX(Matching_Engine!$S$6:$S$95,MATCH($B13&amp;"|"&amp;$C13,Matching_Engine!$AZ$6:$AZ$95,0)),0)</f>
        <v>83</v>
      </c>
      <c r="I13">
        <f>IFERROR(INDEX(Matching_Engine!$W$6:$W$95,MATCH($B13&amp;"|"&amp;$C13,Matching_Engine!$AZ$6:$AZ$95,0)),0)</f>
        <v>100</v>
      </c>
      <c r="J13">
        <f>IFERROR(INDEX(Matching_Engine!$Y$6:$Y$95,MATCH($B13&amp;"|"&amp;$C13,Matching_Engine!$AZ$6:$AZ$95,0)),0)</f>
        <v>95</v>
      </c>
      <c r="K13">
        <f>IFERROR(INDEX(Matching_Engine!$Z$6:$Z$95,MATCH($B13&amp;"|"&amp;$C13,Matching_Engine!$AZ$6:$AZ$95,0)),0)</f>
        <v>100</v>
      </c>
      <c r="L13">
        <f>IFERROR(INDEX(Matching_Engine!$AB$6:$AB$95,MATCH($B13&amp;"|"&amp;$C13,Matching_Engine!$AZ$6:$AZ$95,0)),0)</f>
        <v>100</v>
      </c>
      <c r="M13">
        <f ca="1" t="shared" si="0"/>
        <v>93.7</v>
      </c>
      <c r="N13">
        <f ca="1" t="shared" si="1"/>
        <v>84.8</v>
      </c>
      <c r="O13" t="str">
        <f ca="1" t="shared" si="2"/>
        <v>Strong Match</v>
      </c>
      <c r="P13" t="str">
        <f ca="1" t="shared" si="3"/>
        <v>Brand 81/100; Audience 83/100; Style 100/100; Personality 95/100. Campaign Fit 94/100.</v>
      </c>
    </row>
    <row r="14" spans="1:16">
      <c r="A14" t="str">
        <f>Campaign_Profile!$B$5</f>
        <v>CAMP-A</v>
      </c>
      <c r="B14" t="str">
        <f>Campaign_Profile!$B$6</f>
        <v>BRAND-A</v>
      </c>
      <c r="C14" t="str">
        <f>KOL_Database!$A$14</f>
        <v>KOL-10</v>
      </c>
      <c r="D14" t="str">
        <f>KOL_Database!$B$14</f>
        <v>Mira Handayani</v>
      </c>
      <c r="E14" t="str">
        <f>KOL_Database!$D$14</f>
        <v>Instagram</v>
      </c>
      <c r="F14" t="str">
        <f>KOL_Database!$E$14</f>
        <v>Education</v>
      </c>
      <c r="G14">
        <f ca="1">IFERROR(INDEX(Matching_Engine!$AY$6:$AY$95,MATCH($B14&amp;"|"&amp;$C14,Matching_Engine!$AZ$6:$AZ$95,0)),0)</f>
        <v>74</v>
      </c>
      <c r="H14">
        <f ca="1">IFERROR(INDEX(Matching_Engine!$S$6:$S$95,MATCH($B14&amp;"|"&amp;$C14,Matching_Engine!$AZ$6:$AZ$95,0)),0)</f>
        <v>74</v>
      </c>
      <c r="I14">
        <f>IFERROR(INDEX(Matching_Engine!$W$6:$W$95,MATCH($B14&amp;"|"&amp;$C14,Matching_Engine!$AZ$6:$AZ$95,0)),0)</f>
        <v>80</v>
      </c>
      <c r="J14">
        <f>IFERROR(INDEX(Matching_Engine!$Y$6:$Y$95,MATCH($B14&amp;"|"&amp;$C14,Matching_Engine!$AZ$6:$AZ$95,0)),0)</f>
        <v>95</v>
      </c>
      <c r="K14">
        <f>IFERROR(INDEX(Matching_Engine!$Z$6:$Z$95,MATCH($B14&amp;"|"&amp;$C14,Matching_Engine!$AZ$6:$AZ$95,0)),0)</f>
        <v>95</v>
      </c>
      <c r="L14">
        <f>IFERROR(INDEX(Matching_Engine!$AB$6:$AB$95,MATCH($B14&amp;"|"&amp;$C14,Matching_Engine!$AZ$6:$AZ$95,0)),0)</f>
        <v>95</v>
      </c>
      <c r="M14">
        <f ca="1" t="shared" si="0"/>
        <v>84.2</v>
      </c>
      <c r="N14">
        <f ca="1" t="shared" si="1"/>
        <v>77.1</v>
      </c>
      <c r="O14" t="str">
        <f ca="1" t="shared" si="2"/>
        <v>Strong Match</v>
      </c>
      <c r="P14" t="str">
        <f ca="1" t="shared" si="3"/>
        <v>Brand 74/100; Audience 74/100; Style 80/100; Personality 95/100. Campaign Fit 84/100.</v>
      </c>
    </row>
    <row r="15" spans="1:16">
      <c r="A15" t="str">
        <f>Campaign_Profile!$B$5</f>
        <v>CAMP-A</v>
      </c>
      <c r="B15" t="str">
        <f>Campaign_Profile!$B$6</f>
        <v>BRAND-A</v>
      </c>
      <c r="C15" t="str">
        <f>KOL_Database!$A$15</f>
        <v>KOL-11</v>
      </c>
      <c r="D15" t="str">
        <f>KOL_Database!$B$15</f>
        <v>Dimas Anggara</v>
      </c>
      <c r="E15" t="str">
        <f>KOL_Database!$D$15</f>
        <v>Instagram</v>
      </c>
      <c r="F15" t="str">
        <f>KOL_Database!$E$15</f>
        <v>Fitness</v>
      </c>
      <c r="G15" t="str">
        <f ca="1">IFERROR(INDEX(Matching_Engine!$AY$6:$AY$95,MATCH($B15&amp;"|"&amp;$C15,Matching_Engine!$AZ$6:$AZ$95,0)),0)</f>
        <v/>
      </c>
      <c r="H15">
        <f ca="1">IFERROR(INDEX(Matching_Engine!$S$6:$S$95,MATCH($B15&amp;"|"&amp;$C15,Matching_Engine!$AZ$6:$AZ$95,0)),0)</f>
        <v>58</v>
      </c>
      <c r="I15">
        <f>IFERROR(INDEX(Matching_Engine!$W$6:$W$95,MATCH($B15&amp;"|"&amp;$C15,Matching_Engine!$AZ$6:$AZ$95,0)),0)</f>
        <v>80</v>
      </c>
      <c r="J15">
        <f>IFERROR(INDEX(Matching_Engine!$Y$6:$Y$95,MATCH($B15&amp;"|"&amp;$C15,Matching_Engine!$AZ$6:$AZ$95,0)),0)</f>
        <v>70</v>
      </c>
      <c r="K15">
        <f>IFERROR(INDEX(Matching_Engine!$Z$6:$Z$95,MATCH($B15&amp;"|"&amp;$C15,Matching_Engine!$AZ$6:$AZ$95,0)),0)</f>
        <v>85</v>
      </c>
      <c r="L15">
        <f>IFERROR(INDEX(Matching_Engine!$AB$6:$AB$95,MATCH($B15&amp;"|"&amp;$C15,Matching_Engine!$AZ$6:$AZ$95,0)),0)</f>
        <v>80</v>
      </c>
      <c r="M15">
        <f ca="1" t="shared" si="0"/>
        <v>70.9</v>
      </c>
      <c r="N15" t="e">
        <f ca="1" t="shared" si="1"/>
        <v>#VALUE!</v>
      </c>
      <c r="O15" t="e">
        <f ca="1" t="shared" si="2"/>
        <v>#VALUE!</v>
      </c>
      <c r="P15" t="e">
        <f ca="1" t="shared" si="3"/>
        <v>#VALUE!</v>
      </c>
    </row>
    <row r="16" spans="1:16">
      <c r="A16" t="str">
        <f>Campaign_Profile!$B$5</f>
        <v>CAMP-A</v>
      </c>
      <c r="B16" t="str">
        <f>Campaign_Profile!$B$6</f>
        <v>BRAND-A</v>
      </c>
      <c r="C16" t="str">
        <f>KOL_Database!$A$16</f>
        <v>KOL-12</v>
      </c>
      <c r="D16" t="str">
        <f>KOL_Database!$B$16</f>
        <v>Rani Kusuma</v>
      </c>
      <c r="E16" t="str">
        <f>KOL_Database!$D$16</f>
        <v>TikTok</v>
      </c>
      <c r="F16" t="str">
        <f>KOL_Database!$E$16</f>
        <v>Fitness</v>
      </c>
      <c r="G16">
        <f ca="1">IFERROR(INDEX(Matching_Engine!$AY$6:$AY$95,MATCH($B16&amp;"|"&amp;$C16,Matching_Engine!$AZ$6:$AZ$95,0)),0)</f>
        <v>48</v>
      </c>
      <c r="H16">
        <f ca="1">IFERROR(INDEX(Matching_Engine!$S$6:$S$95,MATCH($B16&amp;"|"&amp;$C16,Matching_Engine!$AZ$6:$AZ$95,0)),0)</f>
        <v>49</v>
      </c>
      <c r="I16">
        <f>IFERROR(INDEX(Matching_Engine!$W$6:$W$95,MATCH($B16&amp;"|"&amp;$C16,Matching_Engine!$AZ$6:$AZ$95,0)),0)</f>
        <v>80</v>
      </c>
      <c r="J16">
        <f>IFERROR(INDEX(Matching_Engine!$Y$6:$Y$95,MATCH($B16&amp;"|"&amp;$C16,Matching_Engine!$AZ$6:$AZ$95,0)),0)</f>
        <v>70</v>
      </c>
      <c r="K16">
        <f>IFERROR(INDEX(Matching_Engine!$Z$6:$Z$95,MATCH($B16&amp;"|"&amp;$C16,Matching_Engine!$AZ$6:$AZ$95,0)),0)</f>
        <v>95</v>
      </c>
      <c r="L16">
        <f>IFERROR(INDEX(Matching_Engine!$AB$6:$AB$95,MATCH($B16&amp;"|"&amp;$C16,Matching_Engine!$AZ$6:$AZ$95,0)),0)</f>
        <v>95</v>
      </c>
      <c r="M16">
        <f ca="1" t="shared" si="0"/>
        <v>70.5</v>
      </c>
      <c r="N16">
        <f ca="1" t="shared" si="1"/>
        <v>54.8</v>
      </c>
      <c r="O16" t="str">
        <f ca="1" t="shared" si="2"/>
        <v>Weak Match</v>
      </c>
      <c r="P16" t="str">
        <f ca="1" t="shared" si="3"/>
        <v>Brand 48/100; Audience 49/100; Style 80/100; Personality 70/100. Campaign Fit 71/100.</v>
      </c>
    </row>
    <row r="17" spans="1:16">
      <c r="A17" t="str">
        <f>Campaign_Profile!$B$5</f>
        <v>CAMP-A</v>
      </c>
      <c r="B17" t="str">
        <f>Campaign_Profile!$B$6</f>
        <v>BRAND-A</v>
      </c>
      <c r="C17" t="str">
        <f>KOL_Database!$A$17</f>
        <v>KOL-13</v>
      </c>
      <c r="D17" t="str">
        <f>KOL_Database!$B$17</f>
        <v>Kevin Halim</v>
      </c>
      <c r="E17" t="str">
        <f>KOL_Database!$D$17</f>
        <v>Instagram</v>
      </c>
      <c r="F17" t="str">
        <f>KOL_Database!$E$17</f>
        <v>Fashion</v>
      </c>
      <c r="G17">
        <f ca="1">IFERROR(INDEX(Matching_Engine!$AY$6:$AY$95,MATCH($B17&amp;"|"&amp;$C17,Matching_Engine!$AZ$6:$AZ$95,0)),0)</f>
        <v>45</v>
      </c>
      <c r="H17">
        <f ca="1">IFERROR(INDEX(Matching_Engine!$S$6:$S$95,MATCH($B17&amp;"|"&amp;$C17,Matching_Engine!$AZ$6:$AZ$95,0)),0)</f>
        <v>58</v>
      </c>
      <c r="I17">
        <f>IFERROR(INDEX(Matching_Engine!$W$6:$W$95,MATCH($B17&amp;"|"&amp;$C17,Matching_Engine!$AZ$6:$AZ$95,0)),0)</f>
        <v>45</v>
      </c>
      <c r="J17">
        <f>IFERROR(INDEX(Matching_Engine!$Y$6:$Y$95,MATCH($B17&amp;"|"&amp;$C17,Matching_Engine!$AZ$6:$AZ$95,0)),0)</f>
        <v>95</v>
      </c>
      <c r="K17">
        <f>IFERROR(INDEX(Matching_Engine!$Z$6:$Z$95,MATCH($B17&amp;"|"&amp;$C17,Matching_Engine!$AZ$6:$AZ$95,0)),0)</f>
        <v>50</v>
      </c>
      <c r="L17">
        <f>IFERROR(INDEX(Matching_Engine!$AB$6:$AB$95,MATCH($B17&amp;"|"&amp;$C17,Matching_Engine!$AZ$6:$AZ$95,0)),0)</f>
        <v>45</v>
      </c>
      <c r="M17">
        <f ca="1" t="shared" si="0"/>
        <v>61.4</v>
      </c>
      <c r="N17">
        <f ca="1" t="shared" si="1"/>
        <v>49.9</v>
      </c>
      <c r="O17" t="str">
        <f ca="1" t="shared" si="2"/>
        <v>Weak Match</v>
      </c>
      <c r="P17" t="str">
        <f ca="1" t="shared" si="3"/>
        <v>Brand 45/100; Audience 58/100; Style 45/100; Personality 95/100. Campaign Fit 61/100.</v>
      </c>
    </row>
    <row r="18" spans="1:16">
      <c r="A18" t="str">
        <f>Campaign_Profile!$B$5</f>
        <v>CAMP-A</v>
      </c>
      <c r="B18" t="str">
        <f>Campaign_Profile!$B$6</f>
        <v>BRAND-A</v>
      </c>
      <c r="C18" t="str">
        <f>KOL_Database!$A$18</f>
        <v>KOL-14</v>
      </c>
      <c r="D18" t="str">
        <f>KOL_Database!$B$18</f>
        <v>Zahra Amelia</v>
      </c>
      <c r="E18" t="str">
        <f>KOL_Database!$D$18</f>
        <v>Instagram</v>
      </c>
      <c r="F18" t="str">
        <f>KOL_Database!$E$18</f>
        <v>Fashion</v>
      </c>
      <c r="G18" t="str">
        <f ca="1">IFERROR(INDEX(Matching_Engine!$AY$6:$AY$95,MATCH($B18&amp;"|"&amp;$C18,Matching_Engine!$AZ$6:$AZ$95,0)),0)</f>
        <v/>
      </c>
      <c r="H18">
        <f ca="1">IFERROR(INDEX(Matching_Engine!$S$6:$S$95,MATCH($B18&amp;"|"&amp;$C18,Matching_Engine!$AZ$6:$AZ$95,0)),0)</f>
        <v>49</v>
      </c>
      <c r="I18">
        <f>IFERROR(INDEX(Matching_Engine!$W$6:$W$95,MATCH($B18&amp;"|"&amp;$C18,Matching_Engine!$AZ$6:$AZ$95,0)),0)</f>
        <v>45</v>
      </c>
      <c r="J18">
        <f>IFERROR(INDEX(Matching_Engine!$Y$6:$Y$95,MATCH($B18&amp;"|"&amp;$C18,Matching_Engine!$AZ$6:$AZ$95,0)),0)</f>
        <v>60</v>
      </c>
      <c r="K18">
        <f>IFERROR(INDEX(Matching_Engine!$Z$6:$Z$95,MATCH($B18&amp;"|"&amp;$C18,Matching_Engine!$AZ$6:$AZ$95,0)),0)</f>
        <v>50</v>
      </c>
      <c r="L18">
        <f>IFERROR(INDEX(Matching_Engine!$AB$6:$AB$95,MATCH($B18&amp;"|"&amp;$C18,Matching_Engine!$AZ$6:$AZ$95,0)),0)</f>
        <v>45</v>
      </c>
      <c r="M18">
        <f ca="1" t="shared" si="0"/>
        <v>50</v>
      </c>
      <c r="N18" t="e">
        <f ca="1" t="shared" si="1"/>
        <v>#VALUE!</v>
      </c>
      <c r="O18" t="e">
        <f ca="1" t="shared" si="2"/>
        <v>#VALUE!</v>
      </c>
      <c r="P18" t="e">
        <f ca="1" t="shared" si="3"/>
        <v>#VALUE!</v>
      </c>
    </row>
    <row r="19" spans="1:16">
      <c r="A19" t="str">
        <f>Campaign_Profile!$B$5</f>
        <v>CAMP-A</v>
      </c>
      <c r="B19" t="str">
        <f>Campaign_Profile!$B$6</f>
        <v>BRAND-A</v>
      </c>
      <c r="C19" t="str">
        <f>KOL_Database!$A$19</f>
        <v>KOL-15</v>
      </c>
      <c r="D19" t="str">
        <f>KOL_Database!$B$19</f>
        <v>Andini Rahma</v>
      </c>
      <c r="E19" t="str">
        <f>KOL_Database!$D$19</f>
        <v>Instagram</v>
      </c>
      <c r="F19" t="str">
        <f>KOL_Database!$E$19</f>
        <v>Lifestyle</v>
      </c>
      <c r="G19">
        <f ca="1">IFERROR(INDEX(Matching_Engine!$AY$6:$AY$95,MATCH($B19&amp;"|"&amp;$C19,Matching_Engine!$AZ$6:$AZ$95,0)),0)</f>
        <v>48</v>
      </c>
      <c r="H19">
        <f ca="1">IFERROR(INDEX(Matching_Engine!$S$6:$S$95,MATCH($B19&amp;"|"&amp;$C19,Matching_Engine!$AZ$6:$AZ$95,0)),0)</f>
        <v>58</v>
      </c>
      <c r="I19">
        <f>IFERROR(INDEX(Matching_Engine!$W$6:$W$95,MATCH($B19&amp;"|"&amp;$C19,Matching_Engine!$AZ$6:$AZ$95,0)),0)</f>
        <v>45</v>
      </c>
      <c r="J19">
        <f>IFERROR(INDEX(Matching_Engine!$Y$6:$Y$95,MATCH($B19&amp;"|"&amp;$C19,Matching_Engine!$AZ$6:$AZ$95,0)),0)</f>
        <v>50</v>
      </c>
      <c r="K19">
        <f>IFERROR(INDEX(Matching_Engine!$Z$6:$Z$95,MATCH($B19&amp;"|"&amp;$C19,Matching_Engine!$AZ$6:$AZ$95,0)),0)</f>
        <v>55</v>
      </c>
      <c r="L19">
        <f>IFERROR(INDEX(Matching_Engine!$AB$6:$AB$95,MATCH($B19&amp;"|"&amp;$C19,Matching_Engine!$AZ$6:$AZ$95,0)),0)</f>
        <v>50</v>
      </c>
      <c r="M19">
        <f ca="1" t="shared" si="0"/>
        <v>50.9</v>
      </c>
      <c r="N19">
        <f ca="1" t="shared" si="1"/>
        <v>48.9</v>
      </c>
      <c r="O19" t="str">
        <f ca="1" t="shared" si="2"/>
        <v>Weak Match</v>
      </c>
      <c r="P19" t="str">
        <f ca="1" t="shared" si="3"/>
        <v>Brand 48/100; Audience 58/100; Style 45/100; Personality 50/100. Campaign Fit 51/100.</v>
      </c>
    </row>
    <row r="20" spans="1:16">
      <c r="A20" t="str">
        <f>Campaign_Profile!$B$5</f>
        <v>CAMP-A</v>
      </c>
      <c r="B20" t="str">
        <f>Campaign_Profile!$B$6</f>
        <v>BRAND-A</v>
      </c>
      <c r="C20" t="str">
        <f>KOL_Database!$A$20</f>
        <v>KOL-16</v>
      </c>
      <c r="D20" t="str">
        <f>KOL_Database!$B$20</f>
        <v>Yoga Pratama</v>
      </c>
      <c r="E20" t="str">
        <f>KOL_Database!$D$20</f>
        <v>TikTok</v>
      </c>
      <c r="F20" t="str">
        <f>KOL_Database!$E$20</f>
        <v>Lifestyle</v>
      </c>
      <c r="G20">
        <f ca="1">IFERROR(INDEX(Matching_Engine!$AY$6:$AY$95,MATCH($B20&amp;"|"&amp;$C20,Matching_Engine!$AZ$6:$AZ$95,0)),0)</f>
        <v>67</v>
      </c>
      <c r="H20">
        <f ca="1">IFERROR(INDEX(Matching_Engine!$S$6:$S$95,MATCH($B20&amp;"|"&amp;$C20,Matching_Engine!$AZ$6:$AZ$95,0)),0)</f>
        <v>83</v>
      </c>
      <c r="I20">
        <f>IFERROR(INDEX(Matching_Engine!$W$6:$W$95,MATCH($B20&amp;"|"&amp;$C20,Matching_Engine!$AZ$6:$AZ$95,0)),0)</f>
        <v>45</v>
      </c>
      <c r="J20">
        <f>IFERROR(INDEX(Matching_Engine!$Y$6:$Y$95,MATCH($B20&amp;"|"&amp;$C20,Matching_Engine!$AZ$6:$AZ$95,0)),0)</f>
        <v>70</v>
      </c>
      <c r="K20">
        <f>IFERROR(INDEX(Matching_Engine!$Z$6:$Z$95,MATCH($B20&amp;"|"&amp;$C20,Matching_Engine!$AZ$6:$AZ$95,0)),0)</f>
        <v>65</v>
      </c>
      <c r="L20">
        <f>IFERROR(INDEX(Matching_Engine!$AB$6:$AB$95,MATCH($B20&amp;"|"&amp;$C20,Matching_Engine!$AZ$6:$AZ$95,0)),0)</f>
        <v>60</v>
      </c>
      <c r="M20">
        <f ca="1" t="shared" si="0"/>
        <v>64.9</v>
      </c>
      <c r="N20">
        <f ca="1" t="shared" si="1"/>
        <v>66.4</v>
      </c>
      <c r="O20" t="str">
        <f ca="1" t="shared" si="2"/>
        <v>Good Match</v>
      </c>
      <c r="P20" t="str">
        <f ca="1" t="shared" si="3"/>
        <v>Brand 67/100; Audience 83/100; Style 45/100; Personality 70/100. Campaign Fit 65/100.</v>
      </c>
    </row>
    <row r="21" spans="1:16">
      <c r="A21" t="str">
        <f>Campaign_Profile!$B$5</f>
        <v>CAMP-A</v>
      </c>
      <c r="B21" t="str">
        <f>Campaign_Profile!$B$6</f>
        <v>BRAND-A</v>
      </c>
      <c r="C21" t="str">
        <f>KOL_Database!$A$21</f>
        <v>KOL-17</v>
      </c>
      <c r="D21" t="str">
        <f>KOL_Database!$B$21</f>
        <v>Sinta Maharani</v>
      </c>
      <c r="E21" t="str">
        <f>KOL_Database!$D$21</f>
        <v>Instagram</v>
      </c>
      <c r="F21" t="str">
        <f>KOL_Database!$E$21</f>
        <v>Travel</v>
      </c>
      <c r="G21">
        <f ca="1">IFERROR(INDEX(Matching_Engine!$AY$6:$AY$95,MATCH($B21&amp;"|"&amp;$C21,Matching_Engine!$AZ$6:$AZ$95,0)),0)</f>
        <v>42</v>
      </c>
      <c r="H21">
        <f ca="1">IFERROR(INDEX(Matching_Engine!$S$6:$S$95,MATCH($B21&amp;"|"&amp;$C21,Matching_Engine!$AZ$6:$AZ$95,0)),0)</f>
        <v>49</v>
      </c>
      <c r="I21">
        <f>IFERROR(INDEX(Matching_Engine!$W$6:$W$95,MATCH($B21&amp;"|"&amp;$C21,Matching_Engine!$AZ$6:$AZ$95,0)),0)</f>
        <v>45</v>
      </c>
      <c r="J21">
        <f>IFERROR(INDEX(Matching_Engine!$Y$6:$Y$95,MATCH($B21&amp;"|"&amp;$C21,Matching_Engine!$AZ$6:$AZ$95,0)),0)</f>
        <v>60</v>
      </c>
      <c r="K21">
        <f>IFERROR(INDEX(Matching_Engine!$Z$6:$Z$95,MATCH($B21&amp;"|"&amp;$C21,Matching_Engine!$AZ$6:$AZ$95,0)),0)</f>
        <v>50</v>
      </c>
      <c r="L21">
        <f>IFERROR(INDEX(Matching_Engine!$AB$6:$AB$95,MATCH($B21&amp;"|"&amp;$C21,Matching_Engine!$AZ$6:$AZ$95,0)),0)</f>
        <v>45</v>
      </c>
      <c r="M21">
        <f ca="1" t="shared" si="0"/>
        <v>50</v>
      </c>
      <c r="N21">
        <f ca="1" t="shared" si="1"/>
        <v>44.4</v>
      </c>
      <c r="O21" t="str">
        <f ca="1" t="shared" si="2"/>
        <v>Weak Match</v>
      </c>
      <c r="P21" t="str">
        <f ca="1" t="shared" si="3"/>
        <v>Brand 42/100; Audience 49/100; Style 45/100; Personality 60/100. Campaign Fit 50/100.</v>
      </c>
    </row>
    <row r="22" spans="1:16">
      <c r="A22" t="str">
        <f>Campaign_Profile!$B$5</f>
        <v>CAMP-A</v>
      </c>
      <c r="B22" t="str">
        <f>Campaign_Profile!$B$6</f>
        <v>BRAND-A</v>
      </c>
      <c r="C22" t="str">
        <f>KOL_Database!$A$22</f>
        <v>KOL-18</v>
      </c>
      <c r="D22" t="str">
        <f>KOL_Database!$B$22</f>
        <v>Reza Fadillah</v>
      </c>
      <c r="E22" t="str">
        <f>KOL_Database!$D$22</f>
        <v>TikTok</v>
      </c>
      <c r="F22" t="str">
        <f>KOL_Database!$E$22</f>
        <v>Travel</v>
      </c>
      <c r="G22">
        <f ca="1">IFERROR(INDEX(Matching_Engine!$AY$6:$AY$95,MATCH($B22&amp;"|"&amp;$C22,Matching_Engine!$AZ$6:$AZ$95,0)),0)</f>
        <v>48</v>
      </c>
      <c r="H22">
        <f ca="1">IFERROR(INDEX(Matching_Engine!$S$6:$S$95,MATCH($B22&amp;"|"&amp;$C22,Matching_Engine!$AZ$6:$AZ$95,0)),0)</f>
        <v>57</v>
      </c>
      <c r="I22">
        <f>IFERROR(INDEX(Matching_Engine!$W$6:$W$95,MATCH($B22&amp;"|"&amp;$C22,Matching_Engine!$AZ$6:$AZ$95,0)),0)</f>
        <v>45</v>
      </c>
      <c r="J22">
        <f>IFERROR(INDEX(Matching_Engine!$Y$6:$Y$95,MATCH($B22&amp;"|"&amp;$C22,Matching_Engine!$AZ$6:$AZ$95,0)),0)</f>
        <v>40</v>
      </c>
      <c r="K22">
        <f>IFERROR(INDEX(Matching_Engine!$Z$6:$Z$95,MATCH($B22&amp;"|"&amp;$C22,Matching_Engine!$AZ$6:$AZ$95,0)),0)</f>
        <v>55</v>
      </c>
      <c r="L22">
        <f>IFERROR(INDEX(Matching_Engine!$AB$6:$AB$95,MATCH($B22&amp;"|"&amp;$C22,Matching_Engine!$AZ$6:$AZ$95,0)),0)</f>
        <v>50</v>
      </c>
      <c r="M22">
        <f ca="1" t="shared" si="0"/>
        <v>48.1</v>
      </c>
      <c r="N22">
        <f ca="1" t="shared" si="1"/>
        <v>48</v>
      </c>
      <c r="O22" t="str">
        <f ca="1" t="shared" si="2"/>
        <v>Weak Match</v>
      </c>
      <c r="P22" t="str">
        <f ca="1" t="shared" si="3"/>
        <v>Brand 48/100; Audience 57/100; Style 45/100; Personality 40/100. Campaign Fit 48/100.</v>
      </c>
    </row>
    <row r="23" spans="1:16">
      <c r="A23" t="str">
        <f>Campaign_Profile!$B$5</f>
        <v>CAMP-A</v>
      </c>
      <c r="B23" t="str">
        <f>Campaign_Profile!$B$6</f>
        <v>BRAND-A</v>
      </c>
      <c r="C23" t="str">
        <f>KOL_Database!$A$23</f>
        <v>KOL-19</v>
      </c>
      <c r="D23" t="str">
        <f>KOL_Database!$B$23</f>
        <v>Putri Amanda</v>
      </c>
      <c r="E23" t="str">
        <f>KOL_Database!$D$23</f>
        <v>Instagram</v>
      </c>
      <c r="F23" t="str">
        <f>KOL_Database!$E$23</f>
        <v>Parenting</v>
      </c>
      <c r="G23">
        <f ca="1">IFERROR(INDEX(Matching_Engine!$AY$6:$AY$95,MATCH($B23&amp;"|"&amp;$C23,Matching_Engine!$AZ$6:$AZ$95,0)),0)</f>
        <v>41</v>
      </c>
      <c r="H23">
        <f ca="1">IFERROR(INDEX(Matching_Engine!$S$6:$S$95,MATCH($B23&amp;"|"&amp;$C23,Matching_Engine!$AZ$6:$AZ$95,0)),0)</f>
        <v>49</v>
      </c>
      <c r="I23">
        <f>IFERROR(INDEX(Matching_Engine!$W$6:$W$95,MATCH($B23&amp;"|"&amp;$C23,Matching_Engine!$AZ$6:$AZ$95,0)),0)</f>
        <v>45</v>
      </c>
      <c r="J23">
        <f>IFERROR(INDEX(Matching_Engine!$Y$6:$Y$95,MATCH($B23&amp;"|"&amp;$C23,Matching_Engine!$AZ$6:$AZ$95,0)),0)</f>
        <v>50</v>
      </c>
      <c r="K23">
        <f>IFERROR(INDEX(Matching_Engine!$Z$6:$Z$95,MATCH($B23&amp;"|"&amp;$C23,Matching_Engine!$AZ$6:$AZ$95,0)),0)</f>
        <v>65</v>
      </c>
      <c r="L23">
        <f>IFERROR(INDEX(Matching_Engine!$AB$6:$AB$95,MATCH($B23&amp;"|"&amp;$C23,Matching_Engine!$AZ$6:$AZ$95,0)),0)</f>
        <v>60</v>
      </c>
      <c r="M23">
        <f ca="1" t="shared" si="0"/>
        <v>49.7</v>
      </c>
      <c r="N23">
        <f ca="1" t="shared" si="1"/>
        <v>43.6</v>
      </c>
      <c r="O23" t="str">
        <f ca="1" t="shared" si="2"/>
        <v>Weak Match</v>
      </c>
      <c r="P23" t="str">
        <f ca="1" t="shared" si="3"/>
        <v>Brand 41/100; Audience 49/100; Style 45/100; Personality 50/100. Campaign Fit 50/100.</v>
      </c>
    </row>
    <row r="24" spans="1:16">
      <c r="A24" t="str">
        <f>Campaign_Profile!$B$5</f>
        <v>CAMP-A</v>
      </c>
      <c r="B24" t="str">
        <f>Campaign_Profile!$B$6</f>
        <v>BRAND-A</v>
      </c>
      <c r="C24" t="str">
        <f>KOL_Database!$A$24</f>
        <v>KOL-20</v>
      </c>
      <c r="D24" t="str">
        <f>KOL_Database!$B$24</f>
        <v>Hendra Wijoyo</v>
      </c>
      <c r="E24" t="str">
        <f>KOL_Database!$D$24</f>
        <v>TikTok</v>
      </c>
      <c r="F24" t="str">
        <f>KOL_Database!$E$24</f>
        <v>Parenting</v>
      </c>
      <c r="G24">
        <f ca="1">IFERROR(INDEX(Matching_Engine!$AY$6:$AY$95,MATCH($B24&amp;"|"&amp;$C24,Matching_Engine!$AZ$6:$AZ$95,0)),0)</f>
        <v>45</v>
      </c>
      <c r="H24">
        <f ca="1">IFERROR(INDEX(Matching_Engine!$S$6:$S$95,MATCH($B24&amp;"|"&amp;$C24,Matching_Engine!$AZ$6:$AZ$95,0)),0)</f>
        <v>57</v>
      </c>
      <c r="I24">
        <f>IFERROR(INDEX(Matching_Engine!$W$6:$W$95,MATCH($B24&amp;"|"&amp;$C24,Matching_Engine!$AZ$6:$AZ$95,0)),0)</f>
        <v>45</v>
      </c>
      <c r="J24">
        <f>IFERROR(INDEX(Matching_Engine!$Y$6:$Y$95,MATCH($B24&amp;"|"&amp;$C24,Matching_Engine!$AZ$6:$AZ$95,0)),0)</f>
        <v>30</v>
      </c>
      <c r="K24">
        <f>IFERROR(INDEX(Matching_Engine!$Z$6:$Z$95,MATCH($B24&amp;"|"&amp;$C24,Matching_Engine!$AZ$6:$AZ$95,0)),0)</f>
        <v>40</v>
      </c>
      <c r="L24">
        <f>IFERROR(INDEX(Matching_Engine!$AB$6:$AB$95,MATCH($B24&amp;"|"&amp;$C24,Matching_Engine!$AZ$6:$AZ$95,0)),0)</f>
        <v>40</v>
      </c>
      <c r="M24">
        <f ca="1" t="shared" si="0"/>
        <v>44.1</v>
      </c>
      <c r="N24">
        <f ca="1" t="shared" si="1"/>
        <v>44.7</v>
      </c>
      <c r="O24" t="str">
        <f ca="1" t="shared" si="2"/>
        <v>Weak Match</v>
      </c>
      <c r="P24" t="str">
        <f ca="1" t="shared" si="3"/>
        <v>Brand 45/100; Audience 57/100; Style 45/100; Personality 30/100. Campaign Fit 44/100.</v>
      </c>
    </row>
    <row r="25" spans="1:16">
      <c r="A25" t="str">
        <f>Campaign_Profile!$B$5</f>
        <v>CAMP-A</v>
      </c>
      <c r="B25" t="str">
        <f>Campaign_Profile!$B$6</f>
        <v>BRAND-A</v>
      </c>
      <c r="C25" t="str">
        <f>KOL_Database!$A$25</f>
        <v>KOL-21</v>
      </c>
      <c r="D25" t="str">
        <f>KOL_Database!$B$25</f>
        <v>Bagas Setiawan</v>
      </c>
      <c r="E25" t="str">
        <f>KOL_Database!$D$25</f>
        <v>TikTok</v>
      </c>
      <c r="F25" t="str">
        <f>KOL_Database!$E$25</f>
        <v>Entertainment</v>
      </c>
      <c r="G25" t="str">
        <f ca="1">IFERROR(INDEX(Matching_Engine!$AY$6:$AY$95,MATCH($B25&amp;"|"&amp;$C25,Matching_Engine!$AZ$6:$AZ$95,0)),0)</f>
        <v/>
      </c>
      <c r="H25">
        <f ca="1">IFERROR(INDEX(Matching_Engine!$S$6:$S$95,MATCH($B25&amp;"|"&amp;$C25,Matching_Engine!$AZ$6:$AZ$95,0)),0)</f>
        <v>49</v>
      </c>
      <c r="I25">
        <f>IFERROR(INDEX(Matching_Engine!$W$6:$W$95,MATCH($B25&amp;"|"&amp;$C25,Matching_Engine!$AZ$6:$AZ$95,0)),0)</f>
        <v>45</v>
      </c>
      <c r="J25">
        <f>IFERROR(INDEX(Matching_Engine!$Y$6:$Y$95,MATCH($B25&amp;"|"&amp;$C25,Matching_Engine!$AZ$6:$AZ$95,0)),0)</f>
        <v>30</v>
      </c>
      <c r="K25">
        <f>IFERROR(INDEX(Matching_Engine!$Z$6:$Z$95,MATCH($B25&amp;"|"&amp;$C25,Matching_Engine!$AZ$6:$AZ$95,0)),0)</f>
        <v>30</v>
      </c>
      <c r="L25">
        <f>IFERROR(INDEX(Matching_Engine!$AB$6:$AB$95,MATCH($B25&amp;"|"&amp;$C25,Matching_Engine!$AZ$6:$AZ$95,0)),0)</f>
        <v>30</v>
      </c>
      <c r="M25">
        <f ca="1" t="shared" si="0"/>
        <v>40.2</v>
      </c>
      <c r="N25" t="e">
        <f ca="1" t="shared" si="1"/>
        <v>#VALUE!</v>
      </c>
      <c r="O25" t="e">
        <f ca="1" t="shared" si="2"/>
        <v>#VALUE!</v>
      </c>
      <c r="P25" t="e">
        <f ca="1" t="shared" si="3"/>
        <v>#VALUE!</v>
      </c>
    </row>
    <row r="26" spans="1:16">
      <c r="A26" t="str">
        <f>Campaign_Profile!$B$5</f>
        <v>CAMP-A</v>
      </c>
      <c r="B26" t="str">
        <f>Campaign_Profile!$B$6</f>
        <v>BRAND-A</v>
      </c>
      <c r="C26" t="str">
        <f>KOL_Database!$A$26</f>
        <v>KOL-22</v>
      </c>
      <c r="D26" t="str">
        <f>KOL_Database!$B$26</f>
        <v>Nabila Kirana</v>
      </c>
      <c r="E26" t="str">
        <f>KOL_Database!$D$26</f>
        <v>Instagram</v>
      </c>
      <c r="F26" t="str">
        <f>KOL_Database!$E$26</f>
        <v>Entertainment</v>
      </c>
      <c r="G26" t="str">
        <f ca="1">IFERROR(INDEX(Matching_Engine!$AY$6:$AY$95,MATCH($B26&amp;"|"&amp;$C26,Matching_Engine!$AZ$6:$AZ$95,0)),0)</f>
        <v/>
      </c>
      <c r="H26">
        <f ca="1">IFERROR(INDEX(Matching_Engine!$S$6:$S$95,MATCH($B26&amp;"|"&amp;$C26,Matching_Engine!$AZ$6:$AZ$95,0)),0)</f>
        <v>54</v>
      </c>
      <c r="I26">
        <f>IFERROR(INDEX(Matching_Engine!$W$6:$W$95,MATCH($B26&amp;"|"&amp;$C26,Matching_Engine!$AZ$6:$AZ$95,0)),0)</f>
        <v>45</v>
      </c>
      <c r="J26">
        <f>IFERROR(INDEX(Matching_Engine!$Y$6:$Y$95,MATCH($B26&amp;"|"&amp;$C26,Matching_Engine!$AZ$6:$AZ$95,0)),0)</f>
        <v>95</v>
      </c>
      <c r="K26">
        <f>IFERROR(INDEX(Matching_Engine!$Z$6:$Z$95,MATCH($B26&amp;"|"&amp;$C26,Matching_Engine!$AZ$6:$AZ$95,0)),0)</f>
        <v>50</v>
      </c>
      <c r="L26">
        <f>IFERROR(INDEX(Matching_Engine!$AB$6:$AB$95,MATCH($B26&amp;"|"&amp;$C26,Matching_Engine!$AZ$6:$AZ$95,0)),0)</f>
        <v>45</v>
      </c>
      <c r="M26">
        <f ca="1" t="shared" si="0"/>
        <v>60.2</v>
      </c>
      <c r="N26" t="e">
        <f ca="1" t="shared" si="1"/>
        <v>#VALUE!</v>
      </c>
      <c r="O26" t="e">
        <f ca="1" t="shared" si="2"/>
        <v>#VALUE!</v>
      </c>
      <c r="P26" t="e">
        <f ca="1" t="shared" si="3"/>
        <v>#VALUE!</v>
      </c>
    </row>
    <row r="27" spans="1:16">
      <c r="A27" t="str">
        <f>Campaign_Profile!$B$5</f>
        <v>CAMP-A</v>
      </c>
      <c r="B27" t="str">
        <f>Campaign_Profile!$B$6</f>
        <v>BRAND-A</v>
      </c>
      <c r="C27" t="str">
        <f>KOL_Database!$A$27</f>
        <v>KOL-23</v>
      </c>
      <c r="D27" t="str">
        <f>KOL_Database!$B$27</f>
        <v>Arya Mahendra</v>
      </c>
      <c r="E27" t="str">
        <f>KOL_Database!$D$27</f>
        <v>TikTok</v>
      </c>
      <c r="F27" t="str">
        <f>KOL_Database!$E$27</f>
        <v>Gaming</v>
      </c>
      <c r="G27">
        <f ca="1">IFERROR(INDEX(Matching_Engine!$AY$6:$AY$95,MATCH($B27&amp;"|"&amp;$C27,Matching_Engine!$AZ$6:$AZ$95,0)),0)</f>
        <v>57</v>
      </c>
      <c r="H27">
        <f ca="1">IFERROR(INDEX(Matching_Engine!$S$6:$S$95,MATCH($B27&amp;"|"&amp;$C27,Matching_Engine!$AZ$6:$AZ$95,0)),0)</f>
        <v>57</v>
      </c>
      <c r="I27">
        <f>IFERROR(INDEX(Matching_Engine!$W$6:$W$95,MATCH($B27&amp;"|"&amp;$C27,Matching_Engine!$AZ$6:$AZ$95,0)),0)</f>
        <v>45</v>
      </c>
      <c r="J27">
        <f>IFERROR(INDEX(Matching_Engine!$Y$6:$Y$95,MATCH($B27&amp;"|"&amp;$C27,Matching_Engine!$AZ$6:$AZ$95,0)),0)</f>
        <v>45</v>
      </c>
      <c r="K27">
        <f>IFERROR(INDEX(Matching_Engine!$Z$6:$Z$95,MATCH($B27&amp;"|"&amp;$C27,Matching_Engine!$AZ$6:$AZ$95,0)),0)</f>
        <v>40</v>
      </c>
      <c r="L27">
        <f>IFERROR(INDEX(Matching_Engine!$AB$6:$AB$95,MATCH($B27&amp;"|"&amp;$C27,Matching_Engine!$AZ$6:$AZ$95,0)),0)</f>
        <v>40</v>
      </c>
      <c r="M27">
        <f ca="1" t="shared" si="0"/>
        <v>47.9</v>
      </c>
      <c r="N27">
        <f ca="1" t="shared" si="1"/>
        <v>54.3</v>
      </c>
      <c r="O27" t="str">
        <f ca="1" t="shared" si="2"/>
        <v>Weak Match</v>
      </c>
      <c r="P27" t="str">
        <f ca="1" t="shared" si="3"/>
        <v>Brand 57/100; Audience 57/100; Style 45/100; Personality 45/100. Campaign Fit 48/100.</v>
      </c>
    </row>
    <row r="28" spans="1:16">
      <c r="A28" t="str">
        <f>Campaign_Profile!$B$5</f>
        <v>CAMP-A</v>
      </c>
      <c r="B28" t="str">
        <f>Campaign_Profile!$B$6</f>
        <v>BRAND-A</v>
      </c>
      <c r="C28" t="str">
        <f>KOL_Database!$A$28</f>
        <v>KOL-24</v>
      </c>
      <c r="D28" t="str">
        <f>KOL_Database!$B$28</f>
        <v>Rio Saputra</v>
      </c>
      <c r="E28" t="str">
        <f>KOL_Database!$D$28</f>
        <v>Instagram</v>
      </c>
      <c r="F28" t="str">
        <f>KOL_Database!$E$28</f>
        <v>Gaming</v>
      </c>
      <c r="G28">
        <f ca="1">IFERROR(INDEX(Matching_Engine!$AY$6:$AY$95,MATCH($B28&amp;"|"&amp;$C28,Matching_Engine!$AZ$6:$AZ$95,0)),0)</f>
        <v>66</v>
      </c>
      <c r="H28">
        <f ca="1">IFERROR(INDEX(Matching_Engine!$S$6:$S$95,MATCH($B28&amp;"|"&amp;$C28,Matching_Engine!$AZ$6:$AZ$95,0)),0)</f>
        <v>68</v>
      </c>
      <c r="I28">
        <f>IFERROR(INDEX(Matching_Engine!$W$6:$W$95,MATCH($B28&amp;"|"&amp;$C28,Matching_Engine!$AZ$6:$AZ$95,0)),0)</f>
        <v>80</v>
      </c>
      <c r="J28">
        <f>IFERROR(INDEX(Matching_Engine!$Y$6:$Y$95,MATCH($B28&amp;"|"&amp;$C28,Matching_Engine!$AZ$6:$AZ$95,0)),0)</f>
        <v>100</v>
      </c>
      <c r="K28">
        <f>IFERROR(INDEX(Matching_Engine!$Z$6:$Z$95,MATCH($B28&amp;"|"&amp;$C28,Matching_Engine!$AZ$6:$AZ$95,0)),0)</f>
        <v>85</v>
      </c>
      <c r="L28">
        <f>IFERROR(INDEX(Matching_Engine!$AB$6:$AB$95,MATCH($B28&amp;"|"&amp;$C28,Matching_Engine!$AZ$6:$AZ$95,0)),0)</f>
        <v>80</v>
      </c>
      <c r="M28">
        <f ca="1" t="shared" si="0"/>
        <v>81.4</v>
      </c>
      <c r="N28">
        <f ca="1" t="shared" si="1"/>
        <v>70.6</v>
      </c>
      <c r="O28" t="str">
        <f ca="1" t="shared" si="2"/>
        <v>Strong Match</v>
      </c>
      <c r="P28" t="str">
        <f ca="1" t="shared" si="3"/>
        <v>Brand 66/100; Audience 68/100; Style 80/100; Personality 100/100. Campaign Fit 81/100.</v>
      </c>
    </row>
    <row r="29" spans="1:16">
      <c r="A29" t="str">
        <f>Campaign_Profile!$B$5</f>
        <v>CAMP-A</v>
      </c>
      <c r="B29" t="str">
        <f>Campaign_Profile!$B$6</f>
        <v>BRAND-A</v>
      </c>
      <c r="C29" t="str">
        <f>KOL_Database!$A$29</f>
        <v>KOL-25</v>
      </c>
      <c r="D29" t="str">
        <f>KOL_Database!$B$29</f>
        <v>Denny Kurniawan</v>
      </c>
      <c r="E29" t="str">
        <f>KOL_Database!$D$29</f>
        <v>TikTok</v>
      </c>
      <c r="F29" t="str">
        <f>KOL_Database!$E$29</f>
        <v>Automotive</v>
      </c>
      <c r="G29">
        <f ca="1">IFERROR(INDEX(Matching_Engine!$AY$6:$AY$95,MATCH($B29&amp;"|"&amp;$C29,Matching_Engine!$AZ$6:$AZ$95,0)),0)</f>
        <v>54</v>
      </c>
      <c r="H29">
        <f ca="1">IFERROR(INDEX(Matching_Engine!$S$6:$S$95,MATCH($B29&amp;"|"&amp;$C29,Matching_Engine!$AZ$6:$AZ$95,0)),0)</f>
        <v>57</v>
      </c>
      <c r="I29">
        <f>IFERROR(INDEX(Matching_Engine!$W$6:$W$95,MATCH($B29&amp;"|"&amp;$C29,Matching_Engine!$AZ$6:$AZ$95,0)),0)</f>
        <v>45</v>
      </c>
      <c r="J29">
        <f>IFERROR(INDEX(Matching_Engine!$Y$6:$Y$95,MATCH($B29&amp;"|"&amp;$C29,Matching_Engine!$AZ$6:$AZ$95,0)),0)</f>
        <v>40</v>
      </c>
      <c r="K29">
        <f>IFERROR(INDEX(Matching_Engine!$Z$6:$Z$95,MATCH($B29&amp;"|"&amp;$C29,Matching_Engine!$AZ$6:$AZ$95,0)),0)</f>
        <v>55</v>
      </c>
      <c r="L29">
        <f>IFERROR(INDEX(Matching_Engine!$AB$6:$AB$95,MATCH($B29&amp;"|"&amp;$C29,Matching_Engine!$AZ$6:$AZ$95,0)),0)</f>
        <v>50</v>
      </c>
      <c r="M29">
        <f ca="1" t="shared" si="0"/>
        <v>48.1</v>
      </c>
      <c r="N29">
        <f ca="1" t="shared" si="1"/>
        <v>52.2</v>
      </c>
      <c r="O29" t="str">
        <f ca="1" t="shared" si="2"/>
        <v>Weak Match</v>
      </c>
      <c r="P29" t="str">
        <f ca="1" t="shared" si="3"/>
        <v>Brand 54/100; Audience 57/100; Style 45/100; Personality 40/100. Campaign Fit 48/100.</v>
      </c>
    </row>
    <row r="30" spans="1:16">
      <c r="A30" t="str">
        <f>Campaign_Profile!$B$5</f>
        <v>CAMP-A</v>
      </c>
      <c r="B30" t="str">
        <f>Campaign_Profile!$B$6</f>
        <v>BRAND-A</v>
      </c>
      <c r="C30" t="str">
        <f>KOL_Database!$A$30</f>
        <v>KOL-26</v>
      </c>
      <c r="D30" t="str">
        <f>KOL_Database!$B$30</f>
        <v>Wisnu Adi</v>
      </c>
      <c r="E30" t="str">
        <f>KOL_Database!$D$30</f>
        <v>Instagram</v>
      </c>
      <c r="F30" t="str">
        <f>KOL_Database!$E$30</f>
        <v>Automotive</v>
      </c>
      <c r="G30" t="str">
        <f ca="1">IFERROR(INDEX(Matching_Engine!$AY$6:$AY$95,MATCH($B30&amp;"|"&amp;$C30,Matching_Engine!$AZ$6:$AZ$95,0)),0)</f>
        <v/>
      </c>
      <c r="H30">
        <f ca="1">IFERROR(INDEX(Matching_Engine!$S$6:$S$95,MATCH($B30&amp;"|"&amp;$C30,Matching_Engine!$AZ$6:$AZ$95,0)),0)</f>
        <v>83</v>
      </c>
      <c r="I30">
        <f>IFERROR(INDEX(Matching_Engine!$W$6:$W$95,MATCH($B30&amp;"|"&amp;$C30,Matching_Engine!$AZ$6:$AZ$95,0)),0)</f>
        <v>80</v>
      </c>
      <c r="J30">
        <f>IFERROR(INDEX(Matching_Engine!$Y$6:$Y$95,MATCH($B30&amp;"|"&amp;$C30,Matching_Engine!$AZ$6:$AZ$95,0)),0)</f>
        <v>70</v>
      </c>
      <c r="K30">
        <f>IFERROR(INDEX(Matching_Engine!$Z$6:$Z$95,MATCH($B30&amp;"|"&amp;$C30,Matching_Engine!$AZ$6:$AZ$95,0)),0)</f>
        <v>90</v>
      </c>
      <c r="L30">
        <f>IFERROR(INDEX(Matching_Engine!$AB$6:$AB$95,MATCH($B30&amp;"|"&amp;$C30,Matching_Engine!$AZ$6:$AZ$95,0)),0)</f>
        <v>70</v>
      </c>
      <c r="M30">
        <f ca="1" t="shared" si="0"/>
        <v>76.9</v>
      </c>
      <c r="N30" t="e">
        <f ca="1" t="shared" si="1"/>
        <v>#VALUE!</v>
      </c>
      <c r="O30" t="e">
        <f ca="1" t="shared" si="2"/>
        <v>#VALUE!</v>
      </c>
      <c r="P30" t="e">
        <f ca="1" t="shared" si="3"/>
        <v>#VALUE!</v>
      </c>
    </row>
    <row r="31" spans="1:16">
      <c r="A31" t="str">
        <f>Campaign_Profile!$B$5</f>
        <v>CAMP-A</v>
      </c>
      <c r="B31" t="str">
        <f>Campaign_Profile!$B$6</f>
        <v>BRAND-A</v>
      </c>
      <c r="C31" t="str">
        <f>KOL_Database!$A$31</f>
        <v>KOL-27</v>
      </c>
      <c r="D31" t="str">
        <f>KOL_Database!$B$31</f>
        <v>Laras Ayu</v>
      </c>
      <c r="E31" t="str">
        <f>KOL_Database!$D$31</f>
        <v>Instagram</v>
      </c>
      <c r="F31" t="str">
        <f>KOL_Database!$E$31</f>
        <v>Home &amp; Living</v>
      </c>
      <c r="G31">
        <f ca="1">IFERROR(INDEX(Matching_Engine!$AY$6:$AY$95,MATCH($B31&amp;"|"&amp;$C31,Matching_Engine!$AZ$6:$AZ$95,0)),0)</f>
        <v>42</v>
      </c>
      <c r="H31">
        <f ca="1">IFERROR(INDEX(Matching_Engine!$S$6:$S$95,MATCH($B31&amp;"|"&amp;$C31,Matching_Engine!$AZ$6:$AZ$95,0)),0)</f>
        <v>49</v>
      </c>
      <c r="I31">
        <f>IFERROR(INDEX(Matching_Engine!$W$6:$W$95,MATCH($B31&amp;"|"&amp;$C31,Matching_Engine!$AZ$6:$AZ$95,0)),0)</f>
        <v>45</v>
      </c>
      <c r="J31">
        <f>IFERROR(INDEX(Matching_Engine!$Y$6:$Y$95,MATCH($B31&amp;"|"&amp;$C31,Matching_Engine!$AZ$6:$AZ$95,0)),0)</f>
        <v>60</v>
      </c>
      <c r="K31">
        <f>IFERROR(INDEX(Matching_Engine!$Z$6:$Z$95,MATCH($B31&amp;"|"&amp;$C31,Matching_Engine!$AZ$6:$AZ$95,0)),0)</f>
        <v>50</v>
      </c>
      <c r="L31">
        <f>IFERROR(INDEX(Matching_Engine!$AB$6:$AB$95,MATCH($B31&amp;"|"&amp;$C31,Matching_Engine!$AZ$6:$AZ$95,0)),0)</f>
        <v>45</v>
      </c>
      <c r="M31">
        <f ca="1" t="shared" si="0"/>
        <v>50</v>
      </c>
      <c r="N31">
        <f ca="1" t="shared" si="1"/>
        <v>44.4</v>
      </c>
      <c r="O31" t="str">
        <f ca="1" t="shared" si="2"/>
        <v>Weak Match</v>
      </c>
      <c r="P31" t="str">
        <f ca="1" t="shared" si="3"/>
        <v>Brand 42/100; Audience 49/100; Style 45/100; Personality 60/100. Campaign Fit 50/100.</v>
      </c>
    </row>
    <row r="32" spans="1:16">
      <c r="A32" t="str">
        <f>Campaign_Profile!$B$5</f>
        <v>CAMP-A</v>
      </c>
      <c r="B32" t="str">
        <f>Campaign_Profile!$B$6</f>
        <v>BRAND-A</v>
      </c>
      <c r="C32" t="str">
        <f>KOL_Database!$A$32</f>
        <v>KOL-28</v>
      </c>
      <c r="D32" t="str">
        <f>KOL_Database!$B$32</f>
        <v>Tiara Nisrina</v>
      </c>
      <c r="E32" t="str">
        <f>KOL_Database!$D$32</f>
        <v>TikTok</v>
      </c>
      <c r="F32" t="str">
        <f>KOL_Database!$E$32</f>
        <v>Home &amp; Living</v>
      </c>
      <c r="G32">
        <f ca="1">IFERROR(INDEX(Matching_Engine!$AY$6:$AY$95,MATCH($B32&amp;"|"&amp;$C32,Matching_Engine!$AZ$6:$AZ$95,0)),0)</f>
        <v>55</v>
      </c>
      <c r="H32">
        <f ca="1">IFERROR(INDEX(Matching_Engine!$S$6:$S$95,MATCH($B32&amp;"|"&amp;$C32,Matching_Engine!$AZ$6:$AZ$95,0)),0)</f>
        <v>66</v>
      </c>
      <c r="I32">
        <f>IFERROR(INDEX(Matching_Engine!$W$6:$W$95,MATCH($B32&amp;"|"&amp;$C32,Matching_Engine!$AZ$6:$AZ$95,0)),0)</f>
        <v>80</v>
      </c>
      <c r="J32">
        <f>IFERROR(INDEX(Matching_Engine!$Y$6:$Y$95,MATCH($B32&amp;"|"&amp;$C32,Matching_Engine!$AZ$6:$AZ$95,0)),0)</f>
        <v>50</v>
      </c>
      <c r="K32">
        <f>IFERROR(INDEX(Matching_Engine!$Z$6:$Z$95,MATCH($B32&amp;"|"&amp;$C32,Matching_Engine!$AZ$6:$AZ$95,0)),0)</f>
        <v>95</v>
      </c>
      <c r="L32">
        <f>IFERROR(INDEX(Matching_Engine!$AB$6:$AB$95,MATCH($B32&amp;"|"&amp;$C32,Matching_Engine!$AZ$6:$AZ$95,0)),0)</f>
        <v>95</v>
      </c>
      <c r="M32">
        <f ca="1" t="shared" si="0"/>
        <v>70.6</v>
      </c>
      <c r="N32">
        <f ca="1" t="shared" si="1"/>
        <v>59.7</v>
      </c>
      <c r="O32" t="str">
        <f ca="1" t="shared" si="2"/>
        <v>Good Match</v>
      </c>
      <c r="P32" t="str">
        <f ca="1" t="shared" si="3"/>
        <v>Brand 55/100; Audience 66/100; Style 80/100; Personality 50/100. Campaign Fit 71/100.</v>
      </c>
    </row>
    <row r="33" spans="1:16">
      <c r="A33" t="str">
        <f>Campaign_Profile!$B$5</f>
        <v>CAMP-A</v>
      </c>
      <c r="B33" t="str">
        <f>Campaign_Profile!$B$6</f>
        <v>BRAND-A</v>
      </c>
      <c r="C33" t="str">
        <f>KOL_Database!$A$33</f>
        <v>KOL-29</v>
      </c>
      <c r="D33" t="str">
        <f>KOL_Database!$B$33</f>
        <v>Sekar Ayu</v>
      </c>
      <c r="E33" t="str">
        <f>KOL_Database!$D$33</f>
        <v>TikTok</v>
      </c>
      <c r="F33" t="str">
        <f>KOL_Database!$E$33</f>
        <v>Beauty</v>
      </c>
      <c r="G33">
        <f ca="1">IFERROR(INDEX(Matching_Engine!$AY$6:$AY$95,MATCH($B33&amp;"|"&amp;$C33,Matching_Engine!$AZ$6:$AZ$95,0)),0)</f>
        <v>47</v>
      </c>
      <c r="H33">
        <f ca="1">IFERROR(INDEX(Matching_Engine!$S$6:$S$95,MATCH($B33&amp;"|"&amp;$C33,Matching_Engine!$AZ$6:$AZ$95,0)),0)</f>
        <v>49</v>
      </c>
      <c r="I33">
        <f>IFERROR(INDEX(Matching_Engine!$W$6:$W$95,MATCH($B33&amp;"|"&amp;$C33,Matching_Engine!$AZ$6:$AZ$95,0)),0)</f>
        <v>80</v>
      </c>
      <c r="J33">
        <f>IFERROR(INDEX(Matching_Engine!$Y$6:$Y$95,MATCH($B33&amp;"|"&amp;$C33,Matching_Engine!$AZ$6:$AZ$95,0)),0)</f>
        <v>50</v>
      </c>
      <c r="K33">
        <f>IFERROR(INDEX(Matching_Engine!$Z$6:$Z$95,MATCH($B33&amp;"|"&amp;$C33,Matching_Engine!$AZ$6:$AZ$95,0)),0)</f>
        <v>90</v>
      </c>
      <c r="L33">
        <f>IFERROR(INDEX(Matching_Engine!$AB$6:$AB$95,MATCH($B33&amp;"|"&amp;$C33,Matching_Engine!$AZ$6:$AZ$95,0)),0)</f>
        <v>70</v>
      </c>
      <c r="M33">
        <f ca="1" t="shared" si="0"/>
        <v>61.7</v>
      </c>
      <c r="N33">
        <f ca="1" t="shared" si="1"/>
        <v>51.4</v>
      </c>
      <c r="O33" t="str">
        <f ca="1" t="shared" si="2"/>
        <v>Weak Match</v>
      </c>
      <c r="P33" t="str">
        <f ca="1" t="shared" si="3"/>
        <v>Brand 47/100; Audience 49/100; Style 80/100; Personality 50/100. Campaign Fit 62/100.</v>
      </c>
    </row>
    <row r="34" spans="1:16">
      <c r="A34" t="str">
        <f>Campaign_Profile!$B$5</f>
        <v>CAMP-A</v>
      </c>
      <c r="B34" t="str">
        <f>Campaign_Profile!$B$6</f>
        <v>BRAND-A</v>
      </c>
      <c r="C34" t="str">
        <f>KOL_Database!$A$34</f>
        <v>KOL-30</v>
      </c>
      <c r="D34" t="str">
        <f>KOL_Database!$B$34</f>
        <v>Ibnu Faisal</v>
      </c>
      <c r="E34" t="str">
        <f>KOL_Database!$D$34</f>
        <v>Instagram</v>
      </c>
      <c r="F34" t="str">
        <f>KOL_Database!$E$34</f>
        <v>Finance</v>
      </c>
      <c r="G34">
        <f ca="1">IFERROR(INDEX(Matching_Engine!$AY$6:$AY$95,MATCH($B34&amp;"|"&amp;$C34,Matching_Engine!$AZ$6:$AZ$95,0)),0)</f>
        <v>82</v>
      </c>
      <c r="H34">
        <f ca="1">IFERROR(INDEX(Matching_Engine!$S$6:$S$95,MATCH($B34&amp;"|"&amp;$C34,Matching_Engine!$AZ$6:$AZ$95,0)),0)</f>
        <v>99</v>
      </c>
      <c r="I34">
        <f>IFERROR(INDEX(Matching_Engine!$W$6:$W$95,MATCH($B34&amp;"|"&amp;$C34,Matching_Engine!$AZ$6:$AZ$95,0)),0)</f>
        <v>80</v>
      </c>
      <c r="J34">
        <f>IFERROR(INDEX(Matching_Engine!$Y$6:$Y$95,MATCH($B34&amp;"|"&amp;$C34,Matching_Engine!$AZ$6:$AZ$95,0)),0)</f>
        <v>70</v>
      </c>
      <c r="K34">
        <f>IFERROR(INDEX(Matching_Engine!$Z$6:$Z$95,MATCH($B34&amp;"|"&amp;$C34,Matching_Engine!$AZ$6:$AZ$95,0)),0)</f>
        <v>80</v>
      </c>
      <c r="L34">
        <f>IFERROR(INDEX(Matching_Engine!$AB$6:$AB$95,MATCH($B34&amp;"|"&amp;$C34,Matching_Engine!$AZ$6:$AZ$95,0)),0)</f>
        <v>75</v>
      </c>
      <c r="M34">
        <f ca="1" t="shared" si="0"/>
        <v>82.5</v>
      </c>
      <c r="N34">
        <f ca="1" t="shared" si="1"/>
        <v>82.2</v>
      </c>
      <c r="O34" t="str">
        <f ca="1" t="shared" si="2"/>
        <v>Strong Match</v>
      </c>
      <c r="P34" t="str">
        <f ca="1" t="shared" si="3"/>
        <v>Brand 82/100; Audience 99/100; Style 80/100; Personality 70/100. Campaign Fit 83/100.</v>
      </c>
    </row>
    <row r="35" spans="1:16">
      <c r="A35" t="str">
        <f>Campaign_Profile!$C$5</f>
        <v>CAMP-B</v>
      </c>
      <c r="B35" t="str">
        <f>Campaign_Profile!$C$6</f>
        <v>BRAND-B</v>
      </c>
      <c r="C35" t="str">
        <f>KOL_Database!$A$5</f>
        <v>KOL-01</v>
      </c>
      <c r="D35" t="str">
        <f>KOL_Database!$B$5</f>
        <v>Ardi Nugraha</v>
      </c>
      <c r="E35" t="str">
        <f>KOL_Database!$D$5</f>
        <v>Instagram</v>
      </c>
      <c r="F35" t="str">
        <f>KOL_Database!$E$5</f>
        <v>Tech</v>
      </c>
      <c r="G35" t="str">
        <f ca="1">IFERROR(INDEX(Matching_Engine!$AY$6:$AY$95,MATCH($B35&amp;"|"&amp;$C35,Matching_Engine!$AZ$6:$AZ$95,0)),0)</f>
        <v/>
      </c>
      <c r="H35">
        <f ca="1">IFERROR(INDEX(Matching_Engine!$S$6:$S$95,MATCH($B35&amp;"|"&amp;$C35,Matching_Engine!$AZ$6:$AZ$95,0)),0)</f>
        <v>60</v>
      </c>
      <c r="I35">
        <f>IFERROR(INDEX(Matching_Engine!$W$6:$W$95,MATCH($B35&amp;"|"&amp;$C35,Matching_Engine!$AZ$6:$AZ$95,0)),0)</f>
        <v>100</v>
      </c>
      <c r="J35">
        <f>IFERROR(INDEX(Matching_Engine!$Y$6:$Y$95,MATCH($B35&amp;"|"&amp;$C35,Matching_Engine!$AZ$6:$AZ$95,0)),0)</f>
        <v>95</v>
      </c>
      <c r="K35">
        <f>IFERROR(INDEX(Matching_Engine!$Z$6:$Z$95,MATCH($B35&amp;"|"&amp;$C35,Matching_Engine!$AZ$6:$AZ$95,0)),0)</f>
        <v>70</v>
      </c>
      <c r="L35">
        <f>IFERROR(INDEX(Matching_Engine!$AB$6:$AB$95,MATCH($B35&amp;"|"&amp;$C35,Matching_Engine!$AZ$6:$AZ$95,0)),0)</f>
        <v>65</v>
      </c>
      <c r="M35">
        <f ca="1" t="shared" si="0"/>
        <v>81.5</v>
      </c>
      <c r="N35" t="e">
        <f ca="1" t="shared" si="1"/>
        <v>#VALUE!</v>
      </c>
      <c r="O35" t="e">
        <f ca="1" t="shared" si="2"/>
        <v>#VALUE!</v>
      </c>
      <c r="P35" t="e">
        <f ca="1" t="shared" si="3"/>
        <v>#VALUE!</v>
      </c>
    </row>
    <row r="36" spans="1:16">
      <c r="A36" t="str">
        <f>Campaign_Profile!$C$5</f>
        <v>CAMP-B</v>
      </c>
      <c r="B36" t="str">
        <f>Campaign_Profile!$C$6</f>
        <v>BRAND-B</v>
      </c>
      <c r="C36" t="str">
        <f>KOL_Database!$A$6</f>
        <v>KOL-02</v>
      </c>
      <c r="D36" t="str">
        <f>KOL_Database!$B$6</f>
        <v>Rifqi Pratama</v>
      </c>
      <c r="E36" t="str">
        <f>KOL_Database!$D$6</f>
        <v>TikTok</v>
      </c>
      <c r="F36" t="str">
        <f>KOL_Database!$E$6</f>
        <v>Tech</v>
      </c>
      <c r="G36">
        <f ca="1">IFERROR(INDEX(Matching_Engine!$AY$6:$AY$95,MATCH($B36&amp;"|"&amp;$C36,Matching_Engine!$AZ$6:$AZ$95,0)),0)</f>
        <v>45</v>
      </c>
      <c r="H36">
        <f ca="1">IFERROR(INDEX(Matching_Engine!$S$6:$S$95,MATCH($B36&amp;"|"&amp;$C36,Matching_Engine!$AZ$6:$AZ$95,0)),0)</f>
        <v>53</v>
      </c>
      <c r="I36">
        <f>IFERROR(INDEX(Matching_Engine!$W$6:$W$95,MATCH($B36&amp;"|"&amp;$C36,Matching_Engine!$AZ$6:$AZ$95,0)),0)</f>
        <v>80</v>
      </c>
      <c r="J36">
        <f>IFERROR(INDEX(Matching_Engine!$Y$6:$Y$95,MATCH($B36&amp;"|"&amp;$C36,Matching_Engine!$AZ$6:$AZ$95,0)),0)</f>
        <v>55</v>
      </c>
      <c r="K36">
        <f>IFERROR(INDEX(Matching_Engine!$Z$6:$Z$95,MATCH($B36&amp;"|"&amp;$C36,Matching_Engine!$AZ$6:$AZ$95,0)),0)</f>
        <v>65</v>
      </c>
      <c r="L36">
        <f>IFERROR(INDEX(Matching_Engine!$AB$6:$AB$95,MATCH($B36&amp;"|"&amp;$C36,Matching_Engine!$AZ$6:$AZ$95,0)),0)</f>
        <v>55</v>
      </c>
      <c r="M36">
        <f ca="1" t="shared" si="0"/>
        <v>61.9</v>
      </c>
      <c r="N36">
        <f ca="1" t="shared" si="1"/>
        <v>50.1</v>
      </c>
      <c r="O36" t="str">
        <f ca="1" t="shared" si="2"/>
        <v>Weak Match</v>
      </c>
      <c r="P36" t="str">
        <f ca="1" t="shared" si="3"/>
        <v>Brand 45/100; Audience 53/100; Style 80/100; Personality 55/100. Campaign Fit 62/100.</v>
      </c>
    </row>
    <row r="37" spans="1:16">
      <c r="A37" t="str">
        <f>Campaign_Profile!$C$5</f>
        <v>CAMP-B</v>
      </c>
      <c r="B37" t="str">
        <f>Campaign_Profile!$C$6</f>
        <v>BRAND-B</v>
      </c>
      <c r="C37" t="str">
        <f>KOL_Database!$A$7</f>
        <v>KOL-03</v>
      </c>
      <c r="D37" t="str">
        <f>KOL_Database!$B$7</f>
        <v>Salsa Aulia</v>
      </c>
      <c r="E37" t="str">
        <f>KOL_Database!$D$7</f>
        <v>Instagram</v>
      </c>
      <c r="F37" t="str">
        <f>KOL_Database!$E$7</f>
        <v>Beauty</v>
      </c>
      <c r="G37" t="str">
        <f ca="1">IFERROR(INDEX(Matching_Engine!$AY$6:$AY$95,MATCH($B37&amp;"|"&amp;$C37,Matching_Engine!$AZ$6:$AZ$95,0)),0)</f>
        <v/>
      </c>
      <c r="H37">
        <f ca="1">IFERROR(INDEX(Matching_Engine!$S$6:$S$95,MATCH($B37&amp;"|"&amp;$C37,Matching_Engine!$AZ$6:$AZ$95,0)),0)</f>
        <v>95</v>
      </c>
      <c r="I37">
        <f>IFERROR(INDEX(Matching_Engine!$W$6:$W$95,MATCH($B37&amp;"|"&amp;$C37,Matching_Engine!$AZ$6:$AZ$95,0)),0)</f>
        <v>100</v>
      </c>
      <c r="J37">
        <f>IFERROR(INDEX(Matching_Engine!$Y$6:$Y$95,MATCH($B37&amp;"|"&amp;$C37,Matching_Engine!$AZ$6:$AZ$95,0)),0)</f>
        <v>95</v>
      </c>
      <c r="K37">
        <f>IFERROR(INDEX(Matching_Engine!$Z$6:$Z$95,MATCH($B37&amp;"|"&amp;$C37,Matching_Engine!$AZ$6:$AZ$95,0)),0)</f>
        <v>70</v>
      </c>
      <c r="L37">
        <f>IFERROR(INDEX(Matching_Engine!$AB$6:$AB$95,MATCH($B37&amp;"|"&amp;$C37,Matching_Engine!$AZ$6:$AZ$95,0)),0)</f>
        <v>65</v>
      </c>
      <c r="M37">
        <f ca="1" t="shared" si="0"/>
        <v>92</v>
      </c>
      <c r="N37" t="e">
        <f ca="1" t="shared" si="1"/>
        <v>#VALUE!</v>
      </c>
      <c r="O37" t="e">
        <f ca="1" t="shared" si="2"/>
        <v>#VALUE!</v>
      </c>
      <c r="P37" t="e">
        <f ca="1" t="shared" si="3"/>
        <v>#VALUE!</v>
      </c>
    </row>
    <row r="38" spans="1:16">
      <c r="A38" t="str">
        <f>Campaign_Profile!$C$5</f>
        <v>CAMP-B</v>
      </c>
      <c r="B38" t="str">
        <f>Campaign_Profile!$C$6</f>
        <v>BRAND-B</v>
      </c>
      <c r="C38" t="str">
        <f>KOL_Database!$A$8</f>
        <v>KOL-04</v>
      </c>
      <c r="D38" t="str">
        <f>KOL_Database!$B$8</f>
        <v>Nadia Puspa</v>
      </c>
      <c r="E38" t="str">
        <f>KOL_Database!$D$8</f>
        <v>TikTok</v>
      </c>
      <c r="F38" t="str">
        <f>KOL_Database!$E$8</f>
        <v>Beauty</v>
      </c>
      <c r="G38" t="str">
        <f ca="1">IFERROR(INDEX(Matching_Engine!$AY$6:$AY$95,MATCH($B38&amp;"|"&amp;$C38,Matching_Engine!$AZ$6:$AZ$95,0)),0)</f>
        <v/>
      </c>
      <c r="H38">
        <f ca="1">IFERROR(INDEX(Matching_Engine!$S$6:$S$95,MATCH($B38&amp;"|"&amp;$C38,Matching_Engine!$AZ$6:$AZ$95,0)),0)</f>
        <v>90</v>
      </c>
      <c r="I38">
        <f>IFERROR(INDEX(Matching_Engine!$W$6:$W$95,MATCH($B38&amp;"|"&amp;$C38,Matching_Engine!$AZ$6:$AZ$95,0)),0)</f>
        <v>80</v>
      </c>
      <c r="J38">
        <f>IFERROR(INDEX(Matching_Engine!$Y$6:$Y$95,MATCH($B38&amp;"|"&amp;$C38,Matching_Engine!$AZ$6:$AZ$95,0)),0)</f>
        <v>65</v>
      </c>
      <c r="K38">
        <f>IFERROR(INDEX(Matching_Engine!$Z$6:$Z$95,MATCH($B38&amp;"|"&amp;$C38,Matching_Engine!$AZ$6:$AZ$95,0)),0)</f>
        <v>65</v>
      </c>
      <c r="L38">
        <f>IFERROR(INDEX(Matching_Engine!$AB$6:$AB$95,MATCH($B38&amp;"|"&amp;$C38,Matching_Engine!$AZ$6:$AZ$95,0)),0)</f>
        <v>70</v>
      </c>
      <c r="M38">
        <f ca="1" t="shared" si="0"/>
        <v>77.8</v>
      </c>
      <c r="N38" t="e">
        <f ca="1" t="shared" si="1"/>
        <v>#VALUE!</v>
      </c>
      <c r="O38" t="e">
        <f ca="1" t="shared" si="2"/>
        <v>#VALUE!</v>
      </c>
      <c r="P38" t="e">
        <f ca="1" t="shared" si="3"/>
        <v>#VALUE!</v>
      </c>
    </row>
    <row r="39" spans="1:16">
      <c r="A39" t="str">
        <f>Campaign_Profile!$C$5</f>
        <v>CAMP-B</v>
      </c>
      <c r="B39" t="str">
        <f>Campaign_Profile!$C$6</f>
        <v>BRAND-B</v>
      </c>
      <c r="C39" t="str">
        <f>KOL_Database!$A$9</f>
        <v>KOL-05</v>
      </c>
      <c r="D39" t="str">
        <f>KOL_Database!$B$9</f>
        <v>Bimo Saputra</v>
      </c>
      <c r="E39" t="str">
        <f>KOL_Database!$D$9</f>
        <v>TikTok</v>
      </c>
      <c r="F39" t="str">
        <f>KOL_Database!$E$9</f>
        <v>Food</v>
      </c>
      <c r="G39" t="str">
        <f ca="1">IFERROR(INDEX(Matching_Engine!$AY$6:$AY$95,MATCH($B39&amp;"|"&amp;$C39,Matching_Engine!$AZ$6:$AZ$95,0)),0)</f>
        <v/>
      </c>
      <c r="H39">
        <f ca="1">IFERROR(INDEX(Matching_Engine!$S$6:$S$95,MATCH($B39&amp;"|"&amp;$C39,Matching_Engine!$AZ$6:$AZ$95,0)),0)</f>
        <v>72</v>
      </c>
      <c r="I39">
        <f>IFERROR(INDEX(Matching_Engine!$W$6:$W$95,MATCH($B39&amp;"|"&amp;$C39,Matching_Engine!$AZ$6:$AZ$95,0)),0)</f>
        <v>100</v>
      </c>
      <c r="J39">
        <f>IFERROR(INDEX(Matching_Engine!$Y$6:$Y$95,MATCH($B39&amp;"|"&amp;$C39,Matching_Engine!$AZ$6:$AZ$95,0)),0)</f>
        <v>35</v>
      </c>
      <c r="K39">
        <f>IFERROR(INDEX(Matching_Engine!$Z$6:$Z$95,MATCH($B39&amp;"|"&amp;$C39,Matching_Engine!$AZ$6:$AZ$95,0)),0)</f>
        <v>70</v>
      </c>
      <c r="L39">
        <f>IFERROR(INDEX(Matching_Engine!$AB$6:$AB$95,MATCH($B39&amp;"|"&amp;$C39,Matching_Engine!$AZ$6:$AZ$95,0)),0)</f>
        <v>65</v>
      </c>
      <c r="M39">
        <f ca="1" t="shared" si="0"/>
        <v>70.1</v>
      </c>
      <c r="N39" t="e">
        <f ca="1" t="shared" si="1"/>
        <v>#VALUE!</v>
      </c>
      <c r="O39" t="e">
        <f ca="1" t="shared" si="2"/>
        <v>#VALUE!</v>
      </c>
      <c r="P39" t="e">
        <f ca="1" t="shared" si="3"/>
        <v>#VALUE!</v>
      </c>
    </row>
    <row r="40" spans="1:16">
      <c r="A40" t="str">
        <f>Campaign_Profile!$C$5</f>
        <v>CAMP-B</v>
      </c>
      <c r="B40" t="str">
        <f>Campaign_Profile!$C$6</f>
        <v>BRAND-B</v>
      </c>
      <c r="C40" t="str">
        <f>KOL_Database!$A$10</f>
        <v>KOL-06</v>
      </c>
      <c r="D40" t="str">
        <f>KOL_Database!$B$10</f>
        <v>Ayu Lestari</v>
      </c>
      <c r="E40" t="str">
        <f>KOL_Database!$D$10</f>
        <v>Instagram</v>
      </c>
      <c r="F40" t="str">
        <f>KOL_Database!$E$10</f>
        <v>Food</v>
      </c>
      <c r="G40">
        <f ca="1">IFERROR(INDEX(Matching_Engine!$AY$6:$AY$95,MATCH($B40&amp;"|"&amp;$C40,Matching_Engine!$AZ$6:$AZ$95,0)),0)</f>
        <v>56</v>
      </c>
      <c r="H40">
        <f ca="1">IFERROR(INDEX(Matching_Engine!$S$6:$S$95,MATCH($B40&amp;"|"&amp;$C40,Matching_Engine!$AZ$6:$AZ$95,0)),0)</f>
        <v>69</v>
      </c>
      <c r="I40">
        <f>IFERROR(INDEX(Matching_Engine!$W$6:$W$95,MATCH($B40&amp;"|"&amp;$C40,Matching_Engine!$AZ$6:$AZ$95,0)),0)</f>
        <v>80</v>
      </c>
      <c r="J40">
        <f>IFERROR(INDEX(Matching_Engine!$Y$6:$Y$95,MATCH($B40&amp;"|"&amp;$C40,Matching_Engine!$AZ$6:$AZ$95,0)),0)</f>
        <v>35</v>
      </c>
      <c r="K40">
        <f>IFERROR(INDEX(Matching_Engine!$Z$6:$Z$95,MATCH($B40&amp;"|"&amp;$C40,Matching_Engine!$AZ$6:$AZ$95,0)),0)</f>
        <v>65</v>
      </c>
      <c r="L40">
        <f>IFERROR(INDEX(Matching_Engine!$AB$6:$AB$95,MATCH($B40&amp;"|"&amp;$C40,Matching_Engine!$AZ$6:$AZ$95,0)),0)</f>
        <v>70</v>
      </c>
      <c r="M40">
        <f ca="1" t="shared" si="0"/>
        <v>64</v>
      </c>
      <c r="N40">
        <f ca="1" t="shared" si="1"/>
        <v>58.4</v>
      </c>
      <c r="O40" t="str">
        <f ca="1" t="shared" si="2"/>
        <v>Good Match</v>
      </c>
      <c r="P40" t="str">
        <f ca="1" t="shared" si="3"/>
        <v>Brand 56/100; Audience 69/100; Style 80/100; Personality 35/100. Campaign Fit 64/100.</v>
      </c>
    </row>
    <row r="41" spans="1:16">
      <c r="A41" t="str">
        <f>Campaign_Profile!$C$5</f>
        <v>CAMP-B</v>
      </c>
      <c r="B41" t="str">
        <f>Campaign_Profile!$C$6</f>
        <v>BRAND-B</v>
      </c>
      <c r="C41" t="str">
        <f>KOL_Database!$A$11</f>
        <v>KOL-07</v>
      </c>
      <c r="D41" t="str">
        <f>KOL_Database!$B$11</f>
        <v>Fajar Ramadhan</v>
      </c>
      <c r="E41" t="str">
        <f>KOL_Database!$D$11</f>
        <v>Instagram</v>
      </c>
      <c r="F41" t="str">
        <f>KOL_Database!$E$11</f>
        <v>Finance</v>
      </c>
      <c r="G41" t="str">
        <f ca="1">IFERROR(INDEX(Matching_Engine!$AY$6:$AY$95,MATCH($B41&amp;"|"&amp;$C41,Matching_Engine!$AZ$6:$AZ$95,0)),0)</f>
        <v/>
      </c>
      <c r="H41">
        <f ca="1">IFERROR(INDEX(Matching_Engine!$S$6:$S$95,MATCH($B41&amp;"|"&amp;$C41,Matching_Engine!$AZ$6:$AZ$95,0)),0)</f>
        <v>55</v>
      </c>
      <c r="I41">
        <f>IFERROR(INDEX(Matching_Engine!$W$6:$W$95,MATCH($B41&amp;"|"&amp;$C41,Matching_Engine!$AZ$6:$AZ$95,0)),0)</f>
        <v>80</v>
      </c>
      <c r="J41">
        <f>IFERROR(INDEX(Matching_Engine!$Y$6:$Y$95,MATCH($B41&amp;"|"&amp;$C41,Matching_Engine!$AZ$6:$AZ$95,0)),0)</f>
        <v>85</v>
      </c>
      <c r="K41">
        <f>IFERROR(INDEX(Matching_Engine!$Z$6:$Z$95,MATCH($B41&amp;"|"&amp;$C41,Matching_Engine!$AZ$6:$AZ$95,0)),0)</f>
        <v>65</v>
      </c>
      <c r="L41">
        <f>IFERROR(INDEX(Matching_Engine!$AB$6:$AB$95,MATCH($B41&amp;"|"&amp;$C41,Matching_Engine!$AZ$6:$AZ$95,0)),0)</f>
        <v>55</v>
      </c>
      <c r="M41">
        <f ca="1" t="shared" si="0"/>
        <v>70</v>
      </c>
      <c r="N41" t="e">
        <f ca="1" t="shared" si="1"/>
        <v>#VALUE!</v>
      </c>
      <c r="O41" t="e">
        <f ca="1" t="shared" si="2"/>
        <v>#VALUE!</v>
      </c>
      <c r="P41" t="e">
        <f ca="1" t="shared" si="3"/>
        <v>#VALUE!</v>
      </c>
    </row>
    <row r="42" spans="1:16">
      <c r="A42" t="str">
        <f>Campaign_Profile!$C$5</f>
        <v>CAMP-B</v>
      </c>
      <c r="B42" t="str">
        <f>Campaign_Profile!$C$6</f>
        <v>BRAND-B</v>
      </c>
      <c r="C42" t="str">
        <f>KOL_Database!$A$12</f>
        <v>KOL-08</v>
      </c>
      <c r="D42" t="str">
        <f>KOL_Database!$B$12</f>
        <v>Tania Wijaya</v>
      </c>
      <c r="E42" t="str">
        <f>KOL_Database!$D$12</f>
        <v>TikTok</v>
      </c>
      <c r="F42" t="str">
        <f>KOL_Database!$E$12</f>
        <v>Finance</v>
      </c>
      <c r="G42" t="str">
        <f ca="1">IFERROR(INDEX(Matching_Engine!$AY$6:$AY$95,MATCH($B42&amp;"|"&amp;$C42,Matching_Engine!$AZ$6:$AZ$95,0)),0)</f>
        <v/>
      </c>
      <c r="H42">
        <f ca="1">IFERROR(INDEX(Matching_Engine!$S$6:$S$95,MATCH($B42&amp;"|"&amp;$C42,Matching_Engine!$AZ$6:$AZ$95,0)),0)</f>
        <v>79</v>
      </c>
      <c r="I42">
        <f>IFERROR(INDEX(Matching_Engine!$W$6:$W$95,MATCH($B42&amp;"|"&amp;$C42,Matching_Engine!$AZ$6:$AZ$95,0)),0)</f>
        <v>80</v>
      </c>
      <c r="J42">
        <f>IFERROR(INDEX(Matching_Engine!$Y$6:$Y$95,MATCH($B42&amp;"|"&amp;$C42,Matching_Engine!$AZ$6:$AZ$95,0)),0)</f>
        <v>55</v>
      </c>
      <c r="K42">
        <f>IFERROR(INDEX(Matching_Engine!$Z$6:$Z$95,MATCH($B42&amp;"|"&amp;$C42,Matching_Engine!$AZ$6:$AZ$95,0)),0)</f>
        <v>65</v>
      </c>
      <c r="L42">
        <f>IFERROR(INDEX(Matching_Engine!$AB$6:$AB$95,MATCH($B42&amp;"|"&amp;$C42,Matching_Engine!$AZ$6:$AZ$95,0)),0)</f>
        <v>55</v>
      </c>
      <c r="M42">
        <f ca="1" t="shared" si="0"/>
        <v>69.7</v>
      </c>
      <c r="N42" t="e">
        <f ca="1" t="shared" si="1"/>
        <v>#VALUE!</v>
      </c>
      <c r="O42" t="e">
        <f ca="1" t="shared" si="2"/>
        <v>#VALUE!</v>
      </c>
      <c r="P42" t="e">
        <f ca="1" t="shared" si="3"/>
        <v>#VALUE!</v>
      </c>
    </row>
    <row r="43" spans="1:16">
      <c r="A43" t="str">
        <f>Campaign_Profile!$C$5</f>
        <v>CAMP-B</v>
      </c>
      <c r="B43" t="str">
        <f>Campaign_Profile!$C$6</f>
        <v>BRAND-B</v>
      </c>
      <c r="C43" t="str">
        <f>KOL_Database!$A$13</f>
        <v>KOL-09</v>
      </c>
      <c r="D43" t="str">
        <f>KOL_Database!$B$13</f>
        <v>Gilang Prakoso</v>
      </c>
      <c r="E43" t="str">
        <f>KOL_Database!$D$13</f>
        <v>TikTok</v>
      </c>
      <c r="F43" t="str">
        <f>KOL_Database!$E$13</f>
        <v>Education</v>
      </c>
      <c r="G43" t="str">
        <f ca="1">IFERROR(INDEX(Matching_Engine!$AY$6:$AY$95,MATCH($B43&amp;"|"&amp;$C43,Matching_Engine!$AZ$6:$AZ$95,0)),0)</f>
        <v/>
      </c>
      <c r="H43">
        <f ca="1">IFERROR(INDEX(Matching_Engine!$S$6:$S$95,MATCH($B43&amp;"|"&amp;$C43,Matching_Engine!$AZ$6:$AZ$95,0)),0)</f>
        <v>63</v>
      </c>
      <c r="I43">
        <f>IFERROR(INDEX(Matching_Engine!$W$6:$W$95,MATCH($B43&amp;"|"&amp;$C43,Matching_Engine!$AZ$6:$AZ$95,0)),0)</f>
        <v>80</v>
      </c>
      <c r="J43">
        <f>IFERROR(INDEX(Matching_Engine!$Y$6:$Y$95,MATCH($B43&amp;"|"&amp;$C43,Matching_Engine!$AZ$6:$AZ$95,0)),0)</f>
        <v>55</v>
      </c>
      <c r="K43">
        <f>IFERROR(INDEX(Matching_Engine!$Z$6:$Z$95,MATCH($B43&amp;"|"&amp;$C43,Matching_Engine!$AZ$6:$AZ$95,0)),0)</f>
        <v>65</v>
      </c>
      <c r="L43">
        <f>IFERROR(INDEX(Matching_Engine!$AB$6:$AB$95,MATCH($B43&amp;"|"&amp;$C43,Matching_Engine!$AZ$6:$AZ$95,0)),0)</f>
        <v>55</v>
      </c>
      <c r="M43">
        <f ca="1" t="shared" si="0"/>
        <v>64.9</v>
      </c>
      <c r="N43" t="e">
        <f ca="1" t="shared" si="1"/>
        <v>#VALUE!</v>
      </c>
      <c r="O43" t="e">
        <f ca="1" t="shared" si="2"/>
        <v>#VALUE!</v>
      </c>
      <c r="P43" t="e">
        <f ca="1" t="shared" si="3"/>
        <v>#VALUE!</v>
      </c>
    </row>
    <row r="44" spans="1:16">
      <c r="A44" t="str">
        <f>Campaign_Profile!$C$5</f>
        <v>CAMP-B</v>
      </c>
      <c r="B44" t="str">
        <f>Campaign_Profile!$C$6</f>
        <v>BRAND-B</v>
      </c>
      <c r="C44" t="str">
        <f>KOL_Database!$A$14</f>
        <v>KOL-10</v>
      </c>
      <c r="D44" t="str">
        <f>KOL_Database!$B$14</f>
        <v>Mira Handayani</v>
      </c>
      <c r="E44" t="str">
        <f>KOL_Database!$D$14</f>
        <v>Instagram</v>
      </c>
      <c r="F44" t="str">
        <f>KOL_Database!$E$14</f>
        <v>Education</v>
      </c>
      <c r="G44">
        <f ca="1">IFERROR(INDEX(Matching_Engine!$AY$6:$AY$95,MATCH($B44&amp;"|"&amp;$C44,Matching_Engine!$AZ$6:$AZ$95,0)),0)</f>
        <v>50</v>
      </c>
      <c r="H44">
        <f ca="1">IFERROR(INDEX(Matching_Engine!$S$6:$S$95,MATCH($B44&amp;"|"&amp;$C44,Matching_Engine!$AZ$6:$AZ$95,0)),0)</f>
        <v>69</v>
      </c>
      <c r="I44">
        <f>IFERROR(INDEX(Matching_Engine!$W$6:$W$95,MATCH($B44&amp;"|"&amp;$C44,Matching_Engine!$AZ$6:$AZ$95,0)),0)</f>
        <v>80</v>
      </c>
      <c r="J44">
        <f>IFERROR(INDEX(Matching_Engine!$Y$6:$Y$95,MATCH($B44&amp;"|"&amp;$C44,Matching_Engine!$AZ$6:$AZ$95,0)),0)</f>
        <v>55</v>
      </c>
      <c r="K44">
        <f>IFERROR(INDEX(Matching_Engine!$Z$6:$Z$95,MATCH($B44&amp;"|"&amp;$C44,Matching_Engine!$AZ$6:$AZ$95,0)),0)</f>
        <v>65</v>
      </c>
      <c r="L44">
        <f>IFERROR(INDEX(Matching_Engine!$AB$6:$AB$95,MATCH($B44&amp;"|"&amp;$C44,Matching_Engine!$AZ$6:$AZ$95,0)),0)</f>
        <v>70</v>
      </c>
      <c r="M44">
        <f ca="1" t="shared" si="0"/>
        <v>69</v>
      </c>
      <c r="N44">
        <f ca="1" t="shared" si="1"/>
        <v>55.7</v>
      </c>
      <c r="O44" t="str">
        <f ca="1" t="shared" si="2"/>
        <v>Good Match</v>
      </c>
      <c r="P44" t="str">
        <f ca="1" t="shared" si="3"/>
        <v>Brand 50/100; Audience 69/100; Style 80/100; Personality 55/100. Campaign Fit 69/100.</v>
      </c>
    </row>
    <row r="45" spans="1:16">
      <c r="A45" t="str">
        <f>Campaign_Profile!$C$5</f>
        <v>CAMP-B</v>
      </c>
      <c r="B45" t="str">
        <f>Campaign_Profile!$C$6</f>
        <v>BRAND-B</v>
      </c>
      <c r="C45" t="str">
        <f>KOL_Database!$A$15</f>
        <v>KOL-11</v>
      </c>
      <c r="D45" t="str">
        <f>KOL_Database!$B$15</f>
        <v>Dimas Anggara</v>
      </c>
      <c r="E45" t="str">
        <f>KOL_Database!$D$15</f>
        <v>Instagram</v>
      </c>
      <c r="F45" t="str">
        <f>KOL_Database!$E$15</f>
        <v>Fitness</v>
      </c>
      <c r="G45" t="str">
        <f ca="1">IFERROR(INDEX(Matching_Engine!$AY$6:$AY$95,MATCH($B45&amp;"|"&amp;$C45,Matching_Engine!$AZ$6:$AZ$95,0)),0)</f>
        <v/>
      </c>
      <c r="H45">
        <f ca="1">IFERROR(INDEX(Matching_Engine!$S$6:$S$95,MATCH($B45&amp;"|"&amp;$C45,Matching_Engine!$AZ$6:$AZ$95,0)),0)</f>
        <v>69</v>
      </c>
      <c r="I45">
        <f>IFERROR(INDEX(Matching_Engine!$W$6:$W$95,MATCH($B45&amp;"|"&amp;$C45,Matching_Engine!$AZ$6:$AZ$95,0)),0)</f>
        <v>80</v>
      </c>
      <c r="J45">
        <f>IFERROR(INDEX(Matching_Engine!$Y$6:$Y$95,MATCH($B45&amp;"|"&amp;$C45,Matching_Engine!$AZ$6:$AZ$95,0)),0)</f>
        <v>85</v>
      </c>
      <c r="K45">
        <f>IFERROR(INDEX(Matching_Engine!$Z$6:$Z$95,MATCH($B45&amp;"|"&amp;$C45,Matching_Engine!$AZ$6:$AZ$95,0)),0)</f>
        <v>60</v>
      </c>
      <c r="L45">
        <f>IFERROR(INDEX(Matching_Engine!$AB$6:$AB$95,MATCH($B45&amp;"|"&amp;$C45,Matching_Engine!$AZ$6:$AZ$95,0)),0)</f>
        <v>75</v>
      </c>
      <c r="M45">
        <f ca="1" t="shared" si="0"/>
        <v>77.2</v>
      </c>
      <c r="N45" t="e">
        <f ca="1" t="shared" si="1"/>
        <v>#VALUE!</v>
      </c>
      <c r="O45" t="e">
        <f ca="1" t="shared" si="2"/>
        <v>#VALUE!</v>
      </c>
      <c r="P45" t="e">
        <f ca="1" t="shared" si="3"/>
        <v>#VALUE!</v>
      </c>
    </row>
    <row r="46" spans="1:16">
      <c r="A46" t="str">
        <f>Campaign_Profile!$C$5</f>
        <v>CAMP-B</v>
      </c>
      <c r="B46" t="str">
        <f>Campaign_Profile!$C$6</f>
        <v>BRAND-B</v>
      </c>
      <c r="C46" t="str">
        <f>KOL_Database!$A$16</f>
        <v>KOL-12</v>
      </c>
      <c r="D46" t="str">
        <f>KOL_Database!$B$16</f>
        <v>Rani Kusuma</v>
      </c>
      <c r="E46" t="str">
        <f>KOL_Database!$D$16</f>
        <v>TikTok</v>
      </c>
      <c r="F46" t="str">
        <f>KOL_Database!$E$16</f>
        <v>Fitness</v>
      </c>
      <c r="G46" t="str">
        <f ca="1">IFERROR(INDEX(Matching_Engine!$AY$6:$AY$95,MATCH($B46&amp;"|"&amp;$C46,Matching_Engine!$AZ$6:$AZ$95,0)),0)</f>
        <v/>
      </c>
      <c r="H46">
        <f ca="1">IFERROR(INDEX(Matching_Engine!$S$6:$S$95,MATCH($B46&amp;"|"&amp;$C46,Matching_Engine!$AZ$6:$AZ$95,0)),0)</f>
        <v>74</v>
      </c>
      <c r="I46">
        <f>IFERROR(INDEX(Matching_Engine!$W$6:$W$95,MATCH($B46&amp;"|"&amp;$C46,Matching_Engine!$AZ$6:$AZ$95,0)),0)</f>
        <v>80</v>
      </c>
      <c r="J46">
        <f>IFERROR(INDEX(Matching_Engine!$Y$6:$Y$95,MATCH($B46&amp;"|"&amp;$C46,Matching_Engine!$AZ$6:$AZ$95,0)),0)</f>
        <v>65</v>
      </c>
      <c r="K46">
        <f>IFERROR(INDEX(Matching_Engine!$Z$6:$Z$95,MATCH($B46&amp;"|"&amp;$C46,Matching_Engine!$AZ$6:$AZ$95,0)),0)</f>
        <v>65</v>
      </c>
      <c r="L46">
        <f>IFERROR(INDEX(Matching_Engine!$AB$6:$AB$95,MATCH($B46&amp;"|"&amp;$C46,Matching_Engine!$AZ$6:$AZ$95,0)),0)</f>
        <v>70</v>
      </c>
      <c r="M46">
        <f ca="1" t="shared" si="0"/>
        <v>73</v>
      </c>
      <c r="N46" t="e">
        <f ca="1" t="shared" si="1"/>
        <v>#VALUE!</v>
      </c>
      <c r="O46" t="e">
        <f ca="1" t="shared" si="2"/>
        <v>#VALUE!</v>
      </c>
      <c r="P46" t="e">
        <f ca="1" t="shared" si="3"/>
        <v>#VALUE!</v>
      </c>
    </row>
    <row r="47" spans="1:16">
      <c r="A47" t="str">
        <f>Campaign_Profile!$C$5</f>
        <v>CAMP-B</v>
      </c>
      <c r="B47" t="str">
        <f>Campaign_Profile!$C$6</f>
        <v>BRAND-B</v>
      </c>
      <c r="C47" t="str">
        <f>KOL_Database!$A$17</f>
        <v>KOL-13</v>
      </c>
      <c r="D47" t="str">
        <f>KOL_Database!$B$17</f>
        <v>Kevin Halim</v>
      </c>
      <c r="E47" t="str">
        <f>KOL_Database!$D$17</f>
        <v>Instagram</v>
      </c>
      <c r="F47" t="str">
        <f>KOL_Database!$E$17</f>
        <v>Fashion</v>
      </c>
      <c r="G47">
        <f ca="1">IFERROR(INDEX(Matching_Engine!$AY$6:$AY$95,MATCH($B47&amp;"|"&amp;$C47,Matching_Engine!$AZ$6:$AZ$95,0)),0)</f>
        <v>69</v>
      </c>
      <c r="H47">
        <f ca="1">IFERROR(INDEX(Matching_Engine!$S$6:$S$95,MATCH($B47&amp;"|"&amp;$C47,Matching_Engine!$AZ$6:$AZ$95,0)),0)</f>
        <v>76</v>
      </c>
      <c r="I47">
        <f>IFERROR(INDEX(Matching_Engine!$W$6:$W$95,MATCH($B47&amp;"|"&amp;$C47,Matching_Engine!$AZ$6:$AZ$95,0)),0)</f>
        <v>45</v>
      </c>
      <c r="J47">
        <f>IFERROR(INDEX(Matching_Engine!$Y$6:$Y$95,MATCH($B47&amp;"|"&amp;$C47,Matching_Engine!$AZ$6:$AZ$95,0)),0)</f>
        <v>65</v>
      </c>
      <c r="K47">
        <f>IFERROR(INDEX(Matching_Engine!$Z$6:$Z$95,MATCH($B47&amp;"|"&amp;$C47,Matching_Engine!$AZ$6:$AZ$95,0)),0)</f>
        <v>95</v>
      </c>
      <c r="L47">
        <f>IFERROR(INDEX(Matching_Engine!$AB$6:$AB$95,MATCH($B47&amp;"|"&amp;$C47,Matching_Engine!$AZ$6:$AZ$95,0)),0)</f>
        <v>100</v>
      </c>
      <c r="M47">
        <f ca="1" t="shared" si="0"/>
        <v>67.6</v>
      </c>
      <c r="N47">
        <f ca="1" t="shared" si="1"/>
        <v>68.6</v>
      </c>
      <c r="O47" t="str">
        <f ca="1" t="shared" si="2"/>
        <v>Good Match</v>
      </c>
      <c r="P47" t="str">
        <f ca="1" t="shared" si="3"/>
        <v>Brand 69/100; Audience 76/100; Style 45/100; Personality 65/100. Campaign Fit 68/100.</v>
      </c>
    </row>
    <row r="48" spans="1:16">
      <c r="A48" t="str">
        <f>Campaign_Profile!$C$5</f>
        <v>CAMP-B</v>
      </c>
      <c r="B48" t="str">
        <f>Campaign_Profile!$C$6</f>
        <v>BRAND-B</v>
      </c>
      <c r="C48" t="str">
        <f>KOL_Database!$A$18</f>
        <v>KOL-14</v>
      </c>
      <c r="D48" t="str">
        <f>KOL_Database!$B$18</f>
        <v>Zahra Amelia</v>
      </c>
      <c r="E48" t="str">
        <f>KOL_Database!$D$18</f>
        <v>Instagram</v>
      </c>
      <c r="F48" t="str">
        <f>KOL_Database!$E$18</f>
        <v>Fashion</v>
      </c>
      <c r="G48" t="str">
        <f ca="1">IFERROR(INDEX(Matching_Engine!$AY$6:$AY$95,MATCH($B48&amp;"|"&amp;$C48,Matching_Engine!$AZ$6:$AZ$95,0)),0)</f>
        <v/>
      </c>
      <c r="H48">
        <f ca="1">IFERROR(INDEX(Matching_Engine!$S$6:$S$95,MATCH($B48&amp;"|"&amp;$C48,Matching_Engine!$AZ$6:$AZ$95,0)),0)</f>
        <v>90</v>
      </c>
      <c r="I48">
        <f>IFERROR(INDEX(Matching_Engine!$W$6:$W$95,MATCH($B48&amp;"|"&amp;$C48,Matching_Engine!$AZ$6:$AZ$95,0)),0)</f>
        <v>45</v>
      </c>
      <c r="J48">
        <f>IFERROR(INDEX(Matching_Engine!$Y$6:$Y$95,MATCH($B48&amp;"|"&amp;$C48,Matching_Engine!$AZ$6:$AZ$95,0)),0)</f>
        <v>100</v>
      </c>
      <c r="K48">
        <f>IFERROR(INDEX(Matching_Engine!$Z$6:$Z$95,MATCH($B48&amp;"|"&amp;$C48,Matching_Engine!$AZ$6:$AZ$95,0)),0)</f>
        <v>95</v>
      </c>
      <c r="L48">
        <f>IFERROR(INDEX(Matching_Engine!$AB$6:$AB$95,MATCH($B48&amp;"|"&amp;$C48,Matching_Engine!$AZ$6:$AZ$95,0)),0)</f>
        <v>100</v>
      </c>
      <c r="M48">
        <f ca="1" t="shared" si="0"/>
        <v>80.5</v>
      </c>
      <c r="N48" t="e">
        <f ca="1" t="shared" si="1"/>
        <v>#VALUE!</v>
      </c>
      <c r="O48" t="e">
        <f ca="1" t="shared" si="2"/>
        <v>#VALUE!</v>
      </c>
      <c r="P48" t="e">
        <f ca="1" t="shared" si="3"/>
        <v>#VALUE!</v>
      </c>
    </row>
    <row r="49" spans="1:16">
      <c r="A49" t="str">
        <f>Campaign_Profile!$C$5</f>
        <v>CAMP-B</v>
      </c>
      <c r="B49" t="str">
        <f>Campaign_Profile!$C$6</f>
        <v>BRAND-B</v>
      </c>
      <c r="C49" t="str">
        <f>KOL_Database!$A$19</f>
        <v>KOL-15</v>
      </c>
      <c r="D49" t="str">
        <f>KOL_Database!$B$19</f>
        <v>Andini Rahma</v>
      </c>
      <c r="E49" t="str">
        <f>KOL_Database!$D$19</f>
        <v>Instagram</v>
      </c>
      <c r="F49" t="str">
        <f>KOL_Database!$E$19</f>
        <v>Lifestyle</v>
      </c>
      <c r="G49">
        <f ca="1">IFERROR(INDEX(Matching_Engine!$AY$6:$AY$95,MATCH($B49&amp;"|"&amp;$C49,Matching_Engine!$AZ$6:$AZ$95,0)),0)</f>
        <v>71</v>
      </c>
      <c r="H49">
        <f ca="1">IFERROR(INDEX(Matching_Engine!$S$6:$S$95,MATCH($B49&amp;"|"&amp;$C49,Matching_Engine!$AZ$6:$AZ$95,0)),0)</f>
        <v>90</v>
      </c>
      <c r="I49">
        <f>IFERROR(INDEX(Matching_Engine!$W$6:$W$95,MATCH($B49&amp;"|"&amp;$C49,Matching_Engine!$AZ$6:$AZ$95,0)),0)</f>
        <v>45</v>
      </c>
      <c r="J49">
        <f>IFERROR(INDEX(Matching_Engine!$Y$6:$Y$95,MATCH($B49&amp;"|"&amp;$C49,Matching_Engine!$AZ$6:$AZ$95,0)),0)</f>
        <v>35</v>
      </c>
      <c r="K49">
        <f>IFERROR(INDEX(Matching_Engine!$Z$6:$Z$95,MATCH($B49&amp;"|"&amp;$C49,Matching_Engine!$AZ$6:$AZ$95,0)),0)</f>
        <v>75</v>
      </c>
      <c r="L49">
        <f>IFERROR(INDEX(Matching_Engine!$AB$6:$AB$95,MATCH($B49&amp;"|"&amp;$C49,Matching_Engine!$AZ$6:$AZ$95,0)),0)</f>
        <v>85</v>
      </c>
      <c r="M49">
        <f ca="1" t="shared" si="0"/>
        <v>62</v>
      </c>
      <c r="N49">
        <f ca="1" t="shared" si="1"/>
        <v>68.3</v>
      </c>
      <c r="O49" t="str">
        <f ca="1" t="shared" si="2"/>
        <v>Good Match</v>
      </c>
      <c r="P49" t="str">
        <f ca="1" t="shared" si="3"/>
        <v>Brand 71/100; Audience 90/100; Style 45/100; Personality 35/100. Campaign Fit 62/100.</v>
      </c>
    </row>
    <row r="50" spans="1:16">
      <c r="A50" t="str">
        <f>Campaign_Profile!$C$5</f>
        <v>CAMP-B</v>
      </c>
      <c r="B50" t="str">
        <f>Campaign_Profile!$C$6</f>
        <v>BRAND-B</v>
      </c>
      <c r="C50" t="str">
        <f>KOL_Database!$A$20</f>
        <v>KOL-16</v>
      </c>
      <c r="D50" t="str">
        <f>KOL_Database!$B$20</f>
        <v>Yoga Pratama</v>
      </c>
      <c r="E50" t="str">
        <f>KOL_Database!$D$20</f>
        <v>TikTok</v>
      </c>
      <c r="F50" t="str">
        <f>KOL_Database!$E$20</f>
        <v>Lifestyle</v>
      </c>
      <c r="G50" t="str">
        <f ca="1">IFERROR(INDEX(Matching_Engine!$AY$6:$AY$95,MATCH($B50&amp;"|"&amp;$C50,Matching_Engine!$AZ$6:$AZ$95,0)),0)</f>
        <v/>
      </c>
      <c r="H50">
        <f ca="1">IFERROR(INDEX(Matching_Engine!$S$6:$S$95,MATCH($B50&amp;"|"&amp;$C50,Matching_Engine!$AZ$6:$AZ$95,0)),0)</f>
        <v>63</v>
      </c>
      <c r="I50">
        <f>IFERROR(INDEX(Matching_Engine!$W$6:$W$95,MATCH($B50&amp;"|"&amp;$C50,Matching_Engine!$AZ$6:$AZ$95,0)),0)</f>
        <v>45</v>
      </c>
      <c r="J50">
        <f>IFERROR(INDEX(Matching_Engine!$Y$6:$Y$95,MATCH($B50&amp;"|"&amp;$C50,Matching_Engine!$AZ$6:$AZ$95,0)),0)</f>
        <v>65</v>
      </c>
      <c r="K50">
        <f>IFERROR(INDEX(Matching_Engine!$Z$6:$Z$95,MATCH($B50&amp;"|"&amp;$C50,Matching_Engine!$AZ$6:$AZ$95,0)),0)</f>
        <v>85</v>
      </c>
      <c r="L50">
        <f>IFERROR(INDEX(Matching_Engine!$AB$6:$AB$95,MATCH($B50&amp;"|"&amp;$C50,Matching_Engine!$AZ$6:$AZ$95,0)),0)</f>
        <v>70</v>
      </c>
      <c r="M50">
        <f ca="1" t="shared" si="0"/>
        <v>59.2</v>
      </c>
      <c r="N50" t="e">
        <f ca="1" t="shared" si="1"/>
        <v>#VALUE!</v>
      </c>
      <c r="O50" t="e">
        <f ca="1" t="shared" si="2"/>
        <v>#VALUE!</v>
      </c>
      <c r="P50" t="e">
        <f ca="1" t="shared" si="3"/>
        <v>#VALUE!</v>
      </c>
    </row>
    <row r="51" spans="1:16">
      <c r="A51" t="str">
        <f>Campaign_Profile!$C$5</f>
        <v>CAMP-B</v>
      </c>
      <c r="B51" t="str">
        <f>Campaign_Profile!$C$6</f>
        <v>BRAND-B</v>
      </c>
      <c r="C51" t="str">
        <f>KOL_Database!$A$21</f>
        <v>KOL-17</v>
      </c>
      <c r="D51" t="str">
        <f>KOL_Database!$B$21</f>
        <v>Sinta Maharani</v>
      </c>
      <c r="E51" t="str">
        <f>KOL_Database!$D$21</f>
        <v>Instagram</v>
      </c>
      <c r="F51" t="str">
        <f>KOL_Database!$E$21</f>
        <v>Travel</v>
      </c>
      <c r="G51" t="str">
        <f ca="1">IFERROR(INDEX(Matching_Engine!$AY$6:$AY$95,MATCH($B51&amp;"|"&amp;$C51,Matching_Engine!$AZ$6:$AZ$95,0)),0)</f>
        <v/>
      </c>
      <c r="H51">
        <f ca="1">IFERROR(INDEX(Matching_Engine!$S$6:$S$95,MATCH($B51&amp;"|"&amp;$C51,Matching_Engine!$AZ$6:$AZ$95,0)),0)</f>
        <v>79</v>
      </c>
      <c r="I51">
        <f>IFERROR(INDEX(Matching_Engine!$W$6:$W$95,MATCH($B51&amp;"|"&amp;$C51,Matching_Engine!$AZ$6:$AZ$95,0)),0)</f>
        <v>45</v>
      </c>
      <c r="J51">
        <f>IFERROR(INDEX(Matching_Engine!$Y$6:$Y$95,MATCH($B51&amp;"|"&amp;$C51,Matching_Engine!$AZ$6:$AZ$95,0)),0)</f>
        <v>100</v>
      </c>
      <c r="K51">
        <f>IFERROR(INDEX(Matching_Engine!$Z$6:$Z$95,MATCH($B51&amp;"|"&amp;$C51,Matching_Engine!$AZ$6:$AZ$95,0)),0)</f>
        <v>95</v>
      </c>
      <c r="L51">
        <f>IFERROR(INDEX(Matching_Engine!$AB$6:$AB$95,MATCH($B51&amp;"|"&amp;$C51,Matching_Engine!$AZ$6:$AZ$95,0)),0)</f>
        <v>100</v>
      </c>
      <c r="M51">
        <f ca="1" t="shared" si="0"/>
        <v>77.2</v>
      </c>
      <c r="N51" t="e">
        <f ca="1" t="shared" si="1"/>
        <v>#VALUE!</v>
      </c>
      <c r="O51" t="e">
        <f ca="1" t="shared" si="2"/>
        <v>#VALUE!</v>
      </c>
      <c r="P51" t="e">
        <f ca="1" t="shared" si="3"/>
        <v>#VALUE!</v>
      </c>
    </row>
    <row r="52" spans="1:16">
      <c r="A52" t="str">
        <f>Campaign_Profile!$C$5</f>
        <v>CAMP-B</v>
      </c>
      <c r="B52" t="str">
        <f>Campaign_Profile!$C$6</f>
        <v>BRAND-B</v>
      </c>
      <c r="C52" t="str">
        <f>KOL_Database!$A$22</f>
        <v>KOL-18</v>
      </c>
      <c r="D52" t="str">
        <f>KOL_Database!$B$22</f>
        <v>Reza Fadillah</v>
      </c>
      <c r="E52" t="str">
        <f>KOL_Database!$D$22</f>
        <v>TikTok</v>
      </c>
      <c r="F52" t="str">
        <f>KOL_Database!$E$22</f>
        <v>Travel</v>
      </c>
      <c r="G52">
        <f ca="1">IFERROR(INDEX(Matching_Engine!$AY$6:$AY$95,MATCH($B52&amp;"|"&amp;$C52,Matching_Engine!$AZ$6:$AZ$95,0)),0)</f>
        <v>56</v>
      </c>
      <c r="H52">
        <f ca="1">IFERROR(INDEX(Matching_Engine!$S$6:$S$95,MATCH($B52&amp;"|"&amp;$C52,Matching_Engine!$AZ$6:$AZ$95,0)),0)</f>
        <v>66</v>
      </c>
      <c r="I52">
        <f>IFERROR(INDEX(Matching_Engine!$W$6:$W$95,MATCH($B52&amp;"|"&amp;$C52,Matching_Engine!$AZ$6:$AZ$95,0)),0)</f>
        <v>45</v>
      </c>
      <c r="J52">
        <f>IFERROR(INDEX(Matching_Engine!$Y$6:$Y$95,MATCH($B52&amp;"|"&amp;$C52,Matching_Engine!$AZ$6:$AZ$95,0)),0)</f>
        <v>25</v>
      </c>
      <c r="K52">
        <f>IFERROR(INDEX(Matching_Engine!$Z$6:$Z$95,MATCH($B52&amp;"|"&amp;$C52,Matching_Engine!$AZ$6:$AZ$95,0)),0)</f>
        <v>75</v>
      </c>
      <c r="L52">
        <f>IFERROR(INDEX(Matching_Engine!$AB$6:$AB$95,MATCH($B52&amp;"|"&amp;$C52,Matching_Engine!$AZ$6:$AZ$95,0)),0)</f>
        <v>85</v>
      </c>
      <c r="M52">
        <f ca="1" t="shared" si="0"/>
        <v>52.3</v>
      </c>
      <c r="N52">
        <f ca="1" t="shared" si="1"/>
        <v>54.9</v>
      </c>
      <c r="O52" t="str">
        <f ca="1" t="shared" si="2"/>
        <v>Weak Match</v>
      </c>
      <c r="P52" t="str">
        <f ca="1" t="shared" si="3"/>
        <v>Brand 56/100; Audience 66/100; Style 45/100; Personality 25/100. Campaign Fit 52/100.</v>
      </c>
    </row>
    <row r="53" spans="1:16">
      <c r="A53" t="str">
        <f>Campaign_Profile!$C$5</f>
        <v>CAMP-B</v>
      </c>
      <c r="B53" t="str">
        <f>Campaign_Profile!$C$6</f>
        <v>BRAND-B</v>
      </c>
      <c r="C53" t="str">
        <f>KOL_Database!$A$23</f>
        <v>KOL-19</v>
      </c>
      <c r="D53" t="str">
        <f>KOL_Database!$B$23</f>
        <v>Putri Amanda</v>
      </c>
      <c r="E53" t="str">
        <f>KOL_Database!$D$23</f>
        <v>Instagram</v>
      </c>
      <c r="F53" t="str">
        <f>KOL_Database!$E$23</f>
        <v>Parenting</v>
      </c>
      <c r="G53" t="str">
        <f ca="1">IFERROR(INDEX(Matching_Engine!$AY$6:$AY$95,MATCH($B53&amp;"|"&amp;$C53,Matching_Engine!$AZ$6:$AZ$95,0)),0)</f>
        <v/>
      </c>
      <c r="H53">
        <f ca="1">IFERROR(INDEX(Matching_Engine!$S$6:$S$95,MATCH($B53&amp;"|"&amp;$C53,Matching_Engine!$AZ$6:$AZ$95,0)),0)</f>
        <v>74</v>
      </c>
      <c r="I53">
        <f>IFERROR(INDEX(Matching_Engine!$W$6:$W$95,MATCH($B53&amp;"|"&amp;$C53,Matching_Engine!$AZ$6:$AZ$95,0)),0)</f>
        <v>45</v>
      </c>
      <c r="J53">
        <f>IFERROR(INDEX(Matching_Engine!$Y$6:$Y$95,MATCH($B53&amp;"|"&amp;$C53,Matching_Engine!$AZ$6:$AZ$95,0)),0)</f>
        <v>35</v>
      </c>
      <c r="K53">
        <f>IFERROR(INDEX(Matching_Engine!$Z$6:$Z$95,MATCH($B53&amp;"|"&amp;$C53,Matching_Engine!$AZ$6:$AZ$95,0)),0)</f>
        <v>85</v>
      </c>
      <c r="L53">
        <f>IFERROR(INDEX(Matching_Engine!$AB$6:$AB$95,MATCH($B53&amp;"|"&amp;$C53,Matching_Engine!$AZ$6:$AZ$95,0)),0)</f>
        <v>70</v>
      </c>
      <c r="M53">
        <f ca="1" t="shared" si="0"/>
        <v>55</v>
      </c>
      <c r="N53" t="e">
        <f ca="1" t="shared" si="1"/>
        <v>#VALUE!</v>
      </c>
      <c r="O53" t="e">
        <f ca="1" t="shared" si="2"/>
        <v>#VALUE!</v>
      </c>
      <c r="P53" t="e">
        <f ca="1" t="shared" si="3"/>
        <v>#VALUE!</v>
      </c>
    </row>
    <row r="54" spans="1:16">
      <c r="A54" t="str">
        <f>Campaign_Profile!$C$5</f>
        <v>CAMP-B</v>
      </c>
      <c r="B54" t="str">
        <f>Campaign_Profile!$C$6</f>
        <v>BRAND-B</v>
      </c>
      <c r="C54" t="str">
        <f>KOL_Database!$A$24</f>
        <v>KOL-20</v>
      </c>
      <c r="D54" t="str">
        <f>KOL_Database!$B$24</f>
        <v>Hendra Wijoyo</v>
      </c>
      <c r="E54" t="str">
        <f>KOL_Database!$D$24</f>
        <v>TikTok</v>
      </c>
      <c r="F54" t="str">
        <f>KOL_Database!$E$24</f>
        <v>Parenting</v>
      </c>
      <c r="G54">
        <f ca="1">IFERROR(INDEX(Matching_Engine!$AY$6:$AY$95,MATCH($B54&amp;"|"&amp;$C54,Matching_Engine!$AZ$6:$AZ$95,0)),0)</f>
        <v>52</v>
      </c>
      <c r="H54">
        <f ca="1">IFERROR(INDEX(Matching_Engine!$S$6:$S$95,MATCH($B54&amp;"|"&amp;$C54,Matching_Engine!$AZ$6:$AZ$95,0)),0)</f>
        <v>58</v>
      </c>
      <c r="I54">
        <f>IFERROR(INDEX(Matching_Engine!$W$6:$W$95,MATCH($B54&amp;"|"&amp;$C54,Matching_Engine!$AZ$6:$AZ$95,0)),0)</f>
        <v>45</v>
      </c>
      <c r="J54">
        <f>IFERROR(INDEX(Matching_Engine!$Y$6:$Y$95,MATCH($B54&amp;"|"&amp;$C54,Matching_Engine!$AZ$6:$AZ$95,0)),0)</f>
        <v>20</v>
      </c>
      <c r="K54">
        <f>IFERROR(INDEX(Matching_Engine!$Z$6:$Z$95,MATCH($B54&amp;"|"&amp;$C54,Matching_Engine!$AZ$6:$AZ$95,0)),0)</f>
        <v>60</v>
      </c>
      <c r="L54">
        <f>IFERROR(INDEX(Matching_Engine!$AB$6:$AB$95,MATCH($B54&amp;"|"&amp;$C54,Matching_Engine!$AZ$6:$AZ$95,0)),0)</f>
        <v>70</v>
      </c>
      <c r="M54">
        <f ca="1" t="shared" si="0"/>
        <v>46.4</v>
      </c>
      <c r="N54">
        <f ca="1" t="shared" si="1"/>
        <v>50.3</v>
      </c>
      <c r="O54" t="str">
        <f ca="1" t="shared" si="2"/>
        <v>Weak Match</v>
      </c>
      <c r="P54" t="str">
        <f ca="1" t="shared" si="3"/>
        <v>Brand 52/100; Audience 58/100; Style 45/100; Personality 20/100. Campaign Fit 46/100.</v>
      </c>
    </row>
    <row r="55" spans="1:16">
      <c r="A55" t="str">
        <f>Campaign_Profile!$C$5</f>
        <v>CAMP-B</v>
      </c>
      <c r="B55" t="str">
        <f>Campaign_Profile!$C$6</f>
        <v>BRAND-B</v>
      </c>
      <c r="C55" t="str">
        <f>KOL_Database!$A$25</f>
        <v>KOL-21</v>
      </c>
      <c r="D55" t="str">
        <f>KOL_Database!$B$25</f>
        <v>Bagas Setiawan</v>
      </c>
      <c r="E55" t="str">
        <f>KOL_Database!$D$25</f>
        <v>TikTok</v>
      </c>
      <c r="F55" t="str">
        <f>KOL_Database!$E$25</f>
        <v>Entertainment</v>
      </c>
      <c r="G55" t="str">
        <f ca="1">IFERROR(INDEX(Matching_Engine!$AY$6:$AY$95,MATCH($B55&amp;"|"&amp;$C55,Matching_Engine!$AZ$6:$AZ$95,0)),0)</f>
        <v/>
      </c>
      <c r="H55">
        <f ca="1">IFERROR(INDEX(Matching_Engine!$S$6:$S$95,MATCH($B55&amp;"|"&amp;$C55,Matching_Engine!$AZ$6:$AZ$95,0)),0)</f>
        <v>69</v>
      </c>
      <c r="I55">
        <f>IFERROR(INDEX(Matching_Engine!$W$6:$W$95,MATCH($B55&amp;"|"&amp;$C55,Matching_Engine!$AZ$6:$AZ$95,0)),0)</f>
        <v>45</v>
      </c>
      <c r="J55">
        <f>IFERROR(INDEX(Matching_Engine!$Y$6:$Y$95,MATCH($B55&amp;"|"&amp;$C55,Matching_Engine!$AZ$6:$AZ$95,0)),0)</f>
        <v>20</v>
      </c>
      <c r="K55">
        <f>IFERROR(INDEX(Matching_Engine!$Z$6:$Z$95,MATCH($B55&amp;"|"&amp;$C55,Matching_Engine!$AZ$6:$AZ$95,0)),0)</f>
        <v>35</v>
      </c>
      <c r="L55">
        <f>IFERROR(INDEX(Matching_Engine!$AB$6:$AB$95,MATCH($B55&amp;"|"&amp;$C55,Matching_Engine!$AZ$6:$AZ$95,0)),0)</f>
        <v>55</v>
      </c>
      <c r="M55">
        <f ca="1" t="shared" si="0"/>
        <v>47.5</v>
      </c>
      <c r="N55" t="e">
        <f ca="1" t="shared" si="1"/>
        <v>#VALUE!</v>
      </c>
      <c r="O55" t="e">
        <f ca="1" t="shared" si="2"/>
        <v>#VALUE!</v>
      </c>
      <c r="P55" t="e">
        <f ca="1" t="shared" si="3"/>
        <v>#VALUE!</v>
      </c>
    </row>
    <row r="56" spans="1:16">
      <c r="A56" t="str">
        <f>Campaign_Profile!$C$5</f>
        <v>CAMP-B</v>
      </c>
      <c r="B56" t="str">
        <f>Campaign_Profile!$C$6</f>
        <v>BRAND-B</v>
      </c>
      <c r="C56" t="str">
        <f>KOL_Database!$A$26</f>
        <v>KOL-22</v>
      </c>
      <c r="D56" t="str">
        <f>KOL_Database!$B$26</f>
        <v>Nabila Kirana</v>
      </c>
      <c r="E56" t="str">
        <f>KOL_Database!$D$26</f>
        <v>Instagram</v>
      </c>
      <c r="F56" t="str">
        <f>KOL_Database!$E$26</f>
        <v>Entertainment</v>
      </c>
      <c r="G56" t="str">
        <f ca="1">IFERROR(INDEX(Matching_Engine!$AY$6:$AY$95,MATCH($B56&amp;"|"&amp;$C56,Matching_Engine!$AZ$6:$AZ$95,0)),0)</f>
        <v/>
      </c>
      <c r="H56">
        <f ca="1">IFERROR(INDEX(Matching_Engine!$S$6:$S$95,MATCH($B56&amp;"|"&amp;$C56,Matching_Engine!$AZ$6:$AZ$95,0)),0)</f>
        <v>90</v>
      </c>
      <c r="I56">
        <f>IFERROR(INDEX(Matching_Engine!$W$6:$W$95,MATCH($B56&amp;"|"&amp;$C56,Matching_Engine!$AZ$6:$AZ$95,0)),0)</f>
        <v>45</v>
      </c>
      <c r="J56">
        <f>IFERROR(INDEX(Matching_Engine!$Y$6:$Y$95,MATCH($B56&amp;"|"&amp;$C56,Matching_Engine!$AZ$6:$AZ$95,0)),0)</f>
        <v>65</v>
      </c>
      <c r="K56">
        <f>IFERROR(INDEX(Matching_Engine!$Z$6:$Z$95,MATCH($B56&amp;"|"&amp;$C56,Matching_Engine!$AZ$6:$AZ$95,0)),0)</f>
        <v>95</v>
      </c>
      <c r="L56">
        <f>IFERROR(INDEX(Matching_Engine!$AB$6:$AB$95,MATCH($B56&amp;"|"&amp;$C56,Matching_Engine!$AZ$6:$AZ$95,0)),0)</f>
        <v>100</v>
      </c>
      <c r="M56">
        <f ca="1" t="shared" si="0"/>
        <v>71.8</v>
      </c>
      <c r="N56" t="e">
        <f ca="1" t="shared" si="1"/>
        <v>#VALUE!</v>
      </c>
      <c r="O56" t="e">
        <f ca="1" t="shared" si="2"/>
        <v>#VALUE!</v>
      </c>
      <c r="P56" t="e">
        <f ca="1" t="shared" si="3"/>
        <v>#VALUE!</v>
      </c>
    </row>
    <row r="57" spans="1:16">
      <c r="A57" t="str">
        <f>Campaign_Profile!$C$5</f>
        <v>CAMP-B</v>
      </c>
      <c r="B57" t="str">
        <f>Campaign_Profile!$C$6</f>
        <v>BRAND-B</v>
      </c>
      <c r="C57" t="str">
        <f>KOL_Database!$A$27</f>
        <v>KOL-23</v>
      </c>
      <c r="D57" t="str">
        <f>KOL_Database!$B$27</f>
        <v>Arya Mahendra</v>
      </c>
      <c r="E57" t="str">
        <f>KOL_Database!$D$27</f>
        <v>TikTok</v>
      </c>
      <c r="F57" t="str">
        <f>KOL_Database!$E$27</f>
        <v>Gaming</v>
      </c>
      <c r="G57" t="str">
        <f ca="1">IFERROR(INDEX(Matching_Engine!$AY$6:$AY$95,MATCH($B57&amp;"|"&amp;$C57,Matching_Engine!$AZ$6:$AZ$95,0)),0)</f>
        <v/>
      </c>
      <c r="H57">
        <f ca="1">IFERROR(INDEX(Matching_Engine!$S$6:$S$95,MATCH($B57&amp;"|"&amp;$C57,Matching_Engine!$AZ$6:$AZ$95,0)),0)</f>
        <v>61</v>
      </c>
      <c r="I57">
        <f>IFERROR(INDEX(Matching_Engine!$W$6:$W$95,MATCH($B57&amp;"|"&amp;$C57,Matching_Engine!$AZ$6:$AZ$95,0)),0)</f>
        <v>45</v>
      </c>
      <c r="J57">
        <f>IFERROR(INDEX(Matching_Engine!$Y$6:$Y$95,MATCH($B57&amp;"|"&amp;$C57,Matching_Engine!$AZ$6:$AZ$95,0)),0)</f>
        <v>30</v>
      </c>
      <c r="K57">
        <f>IFERROR(INDEX(Matching_Engine!$Z$6:$Z$95,MATCH($B57&amp;"|"&amp;$C57,Matching_Engine!$AZ$6:$AZ$95,0)),0)</f>
        <v>60</v>
      </c>
      <c r="L57">
        <f>IFERROR(INDEX(Matching_Engine!$AB$6:$AB$95,MATCH($B57&amp;"|"&amp;$C57,Matching_Engine!$AZ$6:$AZ$95,0)),0)</f>
        <v>70</v>
      </c>
      <c r="M57">
        <f ca="1" t="shared" si="0"/>
        <v>49.8</v>
      </c>
      <c r="N57" t="e">
        <f ca="1" t="shared" si="1"/>
        <v>#VALUE!</v>
      </c>
      <c r="O57" t="e">
        <f ca="1" t="shared" si="2"/>
        <v>#VALUE!</v>
      </c>
      <c r="P57" t="e">
        <f ca="1" t="shared" si="3"/>
        <v>#VALUE!</v>
      </c>
    </row>
    <row r="58" spans="1:16">
      <c r="A58" t="str">
        <f>Campaign_Profile!$C$5</f>
        <v>CAMP-B</v>
      </c>
      <c r="B58" t="str">
        <f>Campaign_Profile!$C$6</f>
        <v>BRAND-B</v>
      </c>
      <c r="C58" t="str">
        <f>KOL_Database!$A$28</f>
        <v>KOL-24</v>
      </c>
      <c r="D58" t="str">
        <f>KOL_Database!$B$28</f>
        <v>Rio Saputra</v>
      </c>
      <c r="E58" t="str">
        <f>KOL_Database!$D$28</f>
        <v>Instagram</v>
      </c>
      <c r="F58" t="str">
        <f>KOL_Database!$E$28</f>
        <v>Gaming</v>
      </c>
      <c r="G58">
        <f ca="1">IFERROR(INDEX(Matching_Engine!$AY$6:$AY$95,MATCH($B58&amp;"|"&amp;$C58,Matching_Engine!$AZ$6:$AZ$95,0)),0)</f>
        <v>49</v>
      </c>
      <c r="H58">
        <f ca="1">IFERROR(INDEX(Matching_Engine!$S$6:$S$95,MATCH($B58&amp;"|"&amp;$C58,Matching_Engine!$AZ$6:$AZ$95,0)),0)</f>
        <v>61</v>
      </c>
      <c r="I58">
        <f>IFERROR(INDEX(Matching_Engine!$W$6:$W$95,MATCH($B58&amp;"|"&amp;$C58,Matching_Engine!$AZ$6:$AZ$95,0)),0)</f>
        <v>80</v>
      </c>
      <c r="J58">
        <f>IFERROR(INDEX(Matching_Engine!$Y$6:$Y$95,MATCH($B58&amp;"|"&amp;$C58,Matching_Engine!$AZ$6:$AZ$95,0)),0)</f>
        <v>50</v>
      </c>
      <c r="K58">
        <f>IFERROR(INDEX(Matching_Engine!$Z$6:$Z$95,MATCH($B58&amp;"|"&amp;$C58,Matching_Engine!$AZ$6:$AZ$95,0)),0)</f>
        <v>60</v>
      </c>
      <c r="L58">
        <f>IFERROR(INDEX(Matching_Engine!$AB$6:$AB$95,MATCH($B58&amp;"|"&amp;$C58,Matching_Engine!$AZ$6:$AZ$95,0)),0)</f>
        <v>75</v>
      </c>
      <c r="M58">
        <f ca="1" t="shared" si="0"/>
        <v>66.1</v>
      </c>
      <c r="N58">
        <f ca="1" t="shared" si="1"/>
        <v>54.1</v>
      </c>
      <c r="O58" t="str">
        <f ca="1" t="shared" si="2"/>
        <v>Weak Match</v>
      </c>
      <c r="P58" t="str">
        <f ca="1" t="shared" si="3"/>
        <v>Brand 49/100; Audience 61/100; Style 80/100; Personality 50/100. Campaign Fit 66/100.</v>
      </c>
    </row>
    <row r="59" spans="1:16">
      <c r="A59" t="str">
        <f>Campaign_Profile!$C$5</f>
        <v>CAMP-B</v>
      </c>
      <c r="B59" t="str">
        <f>Campaign_Profile!$C$6</f>
        <v>BRAND-B</v>
      </c>
      <c r="C59" t="str">
        <f>KOL_Database!$A$29</f>
        <v>KOL-25</v>
      </c>
      <c r="D59" t="str">
        <f>KOL_Database!$B$29</f>
        <v>Denny Kurniawan</v>
      </c>
      <c r="E59" t="str">
        <f>KOL_Database!$D$29</f>
        <v>TikTok</v>
      </c>
      <c r="F59" t="str">
        <f>KOL_Database!$E$29</f>
        <v>Automotive</v>
      </c>
      <c r="G59" t="str">
        <f ca="1">IFERROR(INDEX(Matching_Engine!$AY$6:$AY$95,MATCH($B59&amp;"|"&amp;$C59,Matching_Engine!$AZ$6:$AZ$95,0)),0)</f>
        <v/>
      </c>
      <c r="H59">
        <f ca="1">IFERROR(INDEX(Matching_Engine!$S$6:$S$95,MATCH($B59&amp;"|"&amp;$C59,Matching_Engine!$AZ$6:$AZ$95,0)),0)</f>
        <v>56</v>
      </c>
      <c r="I59">
        <f>IFERROR(INDEX(Matching_Engine!$W$6:$W$95,MATCH($B59&amp;"|"&amp;$C59,Matching_Engine!$AZ$6:$AZ$95,0)),0)</f>
        <v>45</v>
      </c>
      <c r="J59">
        <f>IFERROR(INDEX(Matching_Engine!$Y$6:$Y$95,MATCH($B59&amp;"|"&amp;$C59,Matching_Engine!$AZ$6:$AZ$95,0)),0)</f>
        <v>25</v>
      </c>
      <c r="K59">
        <f>IFERROR(INDEX(Matching_Engine!$Z$6:$Z$95,MATCH($B59&amp;"|"&amp;$C59,Matching_Engine!$AZ$6:$AZ$95,0)),0)</f>
        <v>75</v>
      </c>
      <c r="L59">
        <f>IFERROR(INDEX(Matching_Engine!$AB$6:$AB$95,MATCH($B59&amp;"|"&amp;$C59,Matching_Engine!$AZ$6:$AZ$95,0)),0)</f>
        <v>85</v>
      </c>
      <c r="M59">
        <f ca="1" t="shared" si="0"/>
        <v>49.3</v>
      </c>
      <c r="N59" t="e">
        <f ca="1" t="shared" si="1"/>
        <v>#VALUE!</v>
      </c>
      <c r="O59" t="e">
        <f ca="1" t="shared" si="2"/>
        <v>#VALUE!</v>
      </c>
      <c r="P59" t="e">
        <f ca="1" t="shared" si="3"/>
        <v>#VALUE!</v>
      </c>
    </row>
    <row r="60" spans="1:16">
      <c r="A60" t="str">
        <f>Campaign_Profile!$C$5</f>
        <v>CAMP-B</v>
      </c>
      <c r="B60" t="str">
        <f>Campaign_Profile!$C$6</f>
        <v>BRAND-B</v>
      </c>
      <c r="C60" t="str">
        <f>KOL_Database!$A$30</f>
        <v>KOL-26</v>
      </c>
      <c r="D60" t="str">
        <f>KOL_Database!$B$30</f>
        <v>Wisnu Adi</v>
      </c>
      <c r="E60" t="str">
        <f>KOL_Database!$D$30</f>
        <v>Instagram</v>
      </c>
      <c r="F60" t="str">
        <f>KOL_Database!$E$30</f>
        <v>Automotive</v>
      </c>
      <c r="G60" t="str">
        <f ca="1">IFERROR(INDEX(Matching_Engine!$AY$6:$AY$95,MATCH($B60&amp;"|"&amp;$C60,Matching_Engine!$AZ$6:$AZ$95,0)),0)</f>
        <v/>
      </c>
      <c r="H60">
        <f ca="1">IFERROR(INDEX(Matching_Engine!$S$6:$S$95,MATCH($B60&amp;"|"&amp;$C60,Matching_Engine!$AZ$6:$AZ$95,0)),0)</f>
        <v>54</v>
      </c>
      <c r="I60">
        <f>IFERROR(INDEX(Matching_Engine!$W$6:$W$95,MATCH($B60&amp;"|"&amp;$C60,Matching_Engine!$AZ$6:$AZ$95,0)),0)</f>
        <v>100</v>
      </c>
      <c r="J60">
        <f>IFERROR(INDEX(Matching_Engine!$Y$6:$Y$95,MATCH($B60&amp;"|"&amp;$C60,Matching_Engine!$AZ$6:$AZ$95,0)),0)</f>
        <v>85</v>
      </c>
      <c r="K60">
        <f>IFERROR(INDEX(Matching_Engine!$Z$6:$Z$95,MATCH($B60&amp;"|"&amp;$C60,Matching_Engine!$AZ$6:$AZ$95,0)),0)</f>
        <v>70</v>
      </c>
      <c r="L60">
        <f>IFERROR(INDEX(Matching_Engine!$AB$6:$AB$95,MATCH($B60&amp;"|"&amp;$C60,Matching_Engine!$AZ$6:$AZ$95,0)),0)</f>
        <v>65</v>
      </c>
      <c r="M60">
        <f ca="1" t="shared" si="0"/>
        <v>77.2</v>
      </c>
      <c r="N60" t="e">
        <f ca="1" t="shared" si="1"/>
        <v>#VALUE!</v>
      </c>
      <c r="O60" t="e">
        <f ca="1" t="shared" si="2"/>
        <v>#VALUE!</v>
      </c>
      <c r="P60" t="e">
        <f ca="1" t="shared" si="3"/>
        <v>#VALUE!</v>
      </c>
    </row>
    <row r="61" spans="1:16">
      <c r="A61" t="str">
        <f>Campaign_Profile!$C$5</f>
        <v>CAMP-B</v>
      </c>
      <c r="B61" t="str">
        <f>Campaign_Profile!$C$6</f>
        <v>BRAND-B</v>
      </c>
      <c r="C61" t="str">
        <f>KOL_Database!$A$31</f>
        <v>KOL-27</v>
      </c>
      <c r="D61" t="str">
        <f>KOL_Database!$B$31</f>
        <v>Laras Ayu</v>
      </c>
      <c r="E61" t="str">
        <f>KOL_Database!$D$31</f>
        <v>Instagram</v>
      </c>
      <c r="F61" t="str">
        <f>KOL_Database!$E$31</f>
        <v>Home &amp; Living</v>
      </c>
      <c r="G61">
        <f ca="1">IFERROR(INDEX(Matching_Engine!$AY$6:$AY$95,MATCH($B61&amp;"|"&amp;$C61,Matching_Engine!$AZ$6:$AZ$95,0)),0)</f>
        <v>62</v>
      </c>
      <c r="H61">
        <f ca="1">IFERROR(INDEX(Matching_Engine!$S$6:$S$95,MATCH($B61&amp;"|"&amp;$C61,Matching_Engine!$AZ$6:$AZ$95,0)),0)</f>
        <v>79</v>
      </c>
      <c r="I61">
        <f>IFERROR(INDEX(Matching_Engine!$W$6:$W$95,MATCH($B61&amp;"|"&amp;$C61,Matching_Engine!$AZ$6:$AZ$95,0)),0)</f>
        <v>45</v>
      </c>
      <c r="J61">
        <f>IFERROR(INDEX(Matching_Engine!$Y$6:$Y$95,MATCH($B61&amp;"|"&amp;$C61,Matching_Engine!$AZ$6:$AZ$95,0)),0)</f>
        <v>100</v>
      </c>
      <c r="K61">
        <f>IFERROR(INDEX(Matching_Engine!$Z$6:$Z$95,MATCH($B61&amp;"|"&amp;$C61,Matching_Engine!$AZ$6:$AZ$95,0)),0)</f>
        <v>95</v>
      </c>
      <c r="L61">
        <f>IFERROR(INDEX(Matching_Engine!$AB$6:$AB$95,MATCH($B61&amp;"|"&amp;$C61,Matching_Engine!$AZ$6:$AZ$95,0)),0)</f>
        <v>100</v>
      </c>
      <c r="M61">
        <f ca="1" t="shared" si="0"/>
        <v>77.2</v>
      </c>
      <c r="N61">
        <f ca="1" t="shared" si="1"/>
        <v>66.6</v>
      </c>
      <c r="O61" t="str">
        <f ca="1" t="shared" si="2"/>
        <v>Good Match</v>
      </c>
      <c r="P61" t="str">
        <f ca="1" t="shared" si="3"/>
        <v>Brand 62/100; Audience 79/100; Style 45/100; Personality 100/100. Campaign Fit 77/100.</v>
      </c>
    </row>
    <row r="62" spans="1:16">
      <c r="A62" t="str">
        <f>Campaign_Profile!$C$5</f>
        <v>CAMP-B</v>
      </c>
      <c r="B62" t="str">
        <f>Campaign_Profile!$C$6</f>
        <v>BRAND-B</v>
      </c>
      <c r="C62" t="str">
        <f>KOL_Database!$A$32</f>
        <v>KOL-28</v>
      </c>
      <c r="D62" t="str">
        <f>KOL_Database!$B$32</f>
        <v>Tiara Nisrina</v>
      </c>
      <c r="E62" t="str">
        <f>KOL_Database!$D$32</f>
        <v>TikTok</v>
      </c>
      <c r="F62" t="str">
        <f>KOL_Database!$E$32</f>
        <v>Home &amp; Living</v>
      </c>
      <c r="G62" t="str">
        <f ca="1">IFERROR(INDEX(Matching_Engine!$AY$6:$AY$95,MATCH($B62&amp;"|"&amp;$C62,Matching_Engine!$AZ$6:$AZ$95,0)),0)</f>
        <v/>
      </c>
      <c r="H62">
        <f ca="1">IFERROR(INDEX(Matching_Engine!$S$6:$S$95,MATCH($B62&amp;"|"&amp;$C62,Matching_Engine!$AZ$6:$AZ$95,0)),0)</f>
        <v>79</v>
      </c>
      <c r="I62">
        <f>IFERROR(INDEX(Matching_Engine!$W$6:$W$95,MATCH($B62&amp;"|"&amp;$C62,Matching_Engine!$AZ$6:$AZ$95,0)),0)</f>
        <v>80</v>
      </c>
      <c r="J62">
        <f>IFERROR(INDEX(Matching_Engine!$Y$6:$Y$95,MATCH($B62&amp;"|"&amp;$C62,Matching_Engine!$AZ$6:$AZ$95,0)),0)</f>
        <v>35</v>
      </c>
      <c r="K62">
        <f>IFERROR(INDEX(Matching_Engine!$Z$6:$Z$95,MATCH($B62&amp;"|"&amp;$C62,Matching_Engine!$AZ$6:$AZ$95,0)),0)</f>
        <v>65</v>
      </c>
      <c r="L62">
        <f>IFERROR(INDEX(Matching_Engine!$AB$6:$AB$95,MATCH($B62&amp;"|"&amp;$C62,Matching_Engine!$AZ$6:$AZ$95,0)),0)</f>
        <v>70</v>
      </c>
      <c r="M62">
        <f ca="1" t="shared" si="0"/>
        <v>67</v>
      </c>
      <c r="N62" t="e">
        <f ca="1" t="shared" si="1"/>
        <v>#VALUE!</v>
      </c>
      <c r="O62" t="e">
        <f ca="1" t="shared" si="2"/>
        <v>#VALUE!</v>
      </c>
      <c r="P62" t="e">
        <f ca="1" t="shared" si="3"/>
        <v>#VALUE!</v>
      </c>
    </row>
    <row r="63" spans="1:16">
      <c r="A63" t="str">
        <f>Campaign_Profile!$C$5</f>
        <v>CAMP-B</v>
      </c>
      <c r="B63" t="str">
        <f>Campaign_Profile!$C$6</f>
        <v>BRAND-B</v>
      </c>
      <c r="C63" t="str">
        <f>KOL_Database!$A$33</f>
        <v>KOL-29</v>
      </c>
      <c r="D63" t="str">
        <f>KOL_Database!$B$33</f>
        <v>Sekar Ayu</v>
      </c>
      <c r="E63" t="str">
        <f>KOL_Database!$D$33</f>
        <v>TikTok</v>
      </c>
      <c r="F63" t="str">
        <f>KOL_Database!$E$33</f>
        <v>Beauty</v>
      </c>
      <c r="G63">
        <f ca="1">IFERROR(INDEX(Matching_Engine!$AY$6:$AY$95,MATCH($B63&amp;"|"&amp;$C63,Matching_Engine!$AZ$6:$AZ$95,0)),0)</f>
        <v>91</v>
      </c>
      <c r="H63">
        <f ca="1">IFERROR(INDEX(Matching_Engine!$S$6:$S$95,MATCH($B63&amp;"|"&amp;$C63,Matching_Engine!$AZ$6:$AZ$95,0)),0)</f>
        <v>90</v>
      </c>
      <c r="I63">
        <f>IFERROR(INDEX(Matching_Engine!$W$6:$W$95,MATCH($B63&amp;"|"&amp;$C63,Matching_Engine!$AZ$6:$AZ$95,0)),0)</f>
        <v>100</v>
      </c>
      <c r="J63">
        <f>IFERROR(INDEX(Matching_Engine!$Y$6:$Y$95,MATCH($B63&amp;"|"&amp;$C63,Matching_Engine!$AZ$6:$AZ$95,0)),0)</f>
        <v>35</v>
      </c>
      <c r="K63">
        <f>IFERROR(INDEX(Matching_Engine!$Z$6:$Z$95,MATCH($B63&amp;"|"&amp;$C63,Matching_Engine!$AZ$6:$AZ$95,0)),0)</f>
        <v>70</v>
      </c>
      <c r="L63">
        <f>IFERROR(INDEX(Matching_Engine!$AB$6:$AB$95,MATCH($B63&amp;"|"&amp;$C63,Matching_Engine!$AZ$6:$AZ$95,0)),0)</f>
        <v>65</v>
      </c>
      <c r="M63">
        <f ca="1" t="shared" si="0"/>
        <v>75.5</v>
      </c>
      <c r="N63">
        <f ca="1" t="shared" si="1"/>
        <v>86.4</v>
      </c>
      <c r="O63" t="str">
        <f ca="1" t="shared" si="2"/>
        <v>Excellent Match</v>
      </c>
      <c r="P63" t="str">
        <f ca="1" t="shared" si="3"/>
        <v>Brand 91/100; Audience 90/100; Style 100/100; Personality 35/100. Campaign Fit 76/100.</v>
      </c>
    </row>
    <row r="64" spans="1:16">
      <c r="A64" t="str">
        <f>Campaign_Profile!$C$5</f>
        <v>CAMP-B</v>
      </c>
      <c r="B64" t="str">
        <f>Campaign_Profile!$C$6</f>
        <v>BRAND-B</v>
      </c>
      <c r="C64" t="str">
        <f>KOL_Database!$A$34</f>
        <v>KOL-30</v>
      </c>
      <c r="D64" t="str">
        <f>KOL_Database!$B$34</f>
        <v>Ibnu Faisal</v>
      </c>
      <c r="E64" t="str">
        <f>KOL_Database!$D$34</f>
        <v>Instagram</v>
      </c>
      <c r="F64" t="str">
        <f>KOL_Database!$E$34</f>
        <v>Finance</v>
      </c>
      <c r="G64" t="str">
        <f ca="1">IFERROR(INDEX(Matching_Engine!$AY$6:$AY$95,MATCH($B64&amp;"|"&amp;$C64,Matching_Engine!$AZ$6:$AZ$95,0)),0)</f>
        <v/>
      </c>
      <c r="H64">
        <f ca="1">IFERROR(INDEX(Matching_Engine!$S$6:$S$95,MATCH($B64&amp;"|"&amp;$C64,Matching_Engine!$AZ$6:$AZ$95,0)),0)</f>
        <v>50</v>
      </c>
      <c r="I64">
        <f>IFERROR(INDEX(Matching_Engine!$W$6:$W$95,MATCH($B64&amp;"|"&amp;$C64,Matching_Engine!$AZ$6:$AZ$95,0)),0)</f>
        <v>80</v>
      </c>
      <c r="J64">
        <f>IFERROR(INDEX(Matching_Engine!$Y$6:$Y$95,MATCH($B64&amp;"|"&amp;$C64,Matching_Engine!$AZ$6:$AZ$95,0)),0)</f>
        <v>85</v>
      </c>
      <c r="K64">
        <f>IFERROR(INDEX(Matching_Engine!$Z$6:$Z$95,MATCH($B64&amp;"|"&amp;$C64,Matching_Engine!$AZ$6:$AZ$95,0)),0)</f>
        <v>60</v>
      </c>
      <c r="L64">
        <f>IFERROR(INDEX(Matching_Engine!$AB$6:$AB$95,MATCH($B64&amp;"|"&amp;$C64,Matching_Engine!$AZ$6:$AZ$95,0)),0)</f>
        <v>50</v>
      </c>
      <c r="M64">
        <f ca="1" t="shared" si="0"/>
        <v>67.8</v>
      </c>
      <c r="N64" t="e">
        <f ca="1" t="shared" si="1"/>
        <v>#VALUE!</v>
      </c>
      <c r="O64" t="e">
        <f ca="1" t="shared" si="2"/>
        <v>#VALUE!</v>
      </c>
      <c r="P64" t="e">
        <f ca="1" t="shared" si="3"/>
        <v>#VALUE!</v>
      </c>
    </row>
    <row r="65" spans="1:16">
      <c r="A65" t="str">
        <f>Campaign_Profile!$D$5</f>
        <v>CAMP-C</v>
      </c>
      <c r="B65" t="str">
        <f>Campaign_Profile!$D$6</f>
        <v>BRAND-C</v>
      </c>
      <c r="C65" t="str">
        <f>KOL_Database!$A$5</f>
        <v>KOL-01</v>
      </c>
      <c r="D65" t="str">
        <f>KOL_Database!$B$5</f>
        <v>Ardi Nugraha</v>
      </c>
      <c r="E65" t="str">
        <f>KOL_Database!$D$5</f>
        <v>Instagram</v>
      </c>
      <c r="F65" t="str">
        <f>KOL_Database!$E$5</f>
        <v>Tech</v>
      </c>
      <c r="G65" t="str">
        <f ca="1">IFERROR(INDEX(Matching_Engine!$AY$6:$AY$95,MATCH($B65&amp;"|"&amp;$C65,Matching_Engine!$AZ$6:$AZ$95,0)),0)</f>
        <v/>
      </c>
      <c r="H65">
        <f ca="1">IFERROR(INDEX(Matching_Engine!$S$6:$S$95,MATCH($B65&amp;"|"&amp;$C65,Matching_Engine!$AZ$6:$AZ$95,0)),0)</f>
        <v>67</v>
      </c>
      <c r="I65">
        <f>IFERROR(INDEX(Matching_Engine!$W$6:$W$95,MATCH($B65&amp;"|"&amp;$C65,Matching_Engine!$AZ$6:$AZ$95,0)),0)</f>
        <v>45</v>
      </c>
      <c r="J65">
        <f>IFERROR(INDEX(Matching_Engine!$Y$6:$Y$95,MATCH($B65&amp;"|"&amp;$C65,Matching_Engine!$AZ$6:$AZ$95,0)),0)</f>
        <v>60</v>
      </c>
      <c r="K65">
        <f>IFERROR(INDEX(Matching_Engine!$Z$6:$Z$95,MATCH($B65&amp;"|"&amp;$C65,Matching_Engine!$AZ$6:$AZ$95,0)),0)</f>
        <v>65</v>
      </c>
      <c r="L65">
        <f>IFERROR(INDEX(Matching_Engine!$AB$6:$AB$95,MATCH($B65&amp;"|"&amp;$C65,Matching_Engine!$AZ$6:$AZ$95,0)),0)</f>
        <v>60</v>
      </c>
      <c r="M65">
        <f ca="1" t="shared" si="0"/>
        <v>57.6</v>
      </c>
      <c r="N65" t="e">
        <f ca="1" t="shared" si="1"/>
        <v>#VALUE!</v>
      </c>
      <c r="O65" t="e">
        <f ca="1" t="shared" si="2"/>
        <v>#VALUE!</v>
      </c>
      <c r="P65" t="e">
        <f ca="1" t="shared" si="3"/>
        <v>#VALUE!</v>
      </c>
    </row>
    <row r="66" spans="1:16">
      <c r="A66" t="str">
        <f>Campaign_Profile!$D$5</f>
        <v>CAMP-C</v>
      </c>
      <c r="B66" t="str">
        <f>Campaign_Profile!$D$6</f>
        <v>BRAND-C</v>
      </c>
      <c r="C66" t="str">
        <f>KOL_Database!$A$6</f>
        <v>KOL-02</v>
      </c>
      <c r="D66" t="str">
        <f>KOL_Database!$B$6</f>
        <v>Rifqi Pratama</v>
      </c>
      <c r="E66" t="str">
        <f>KOL_Database!$D$6</f>
        <v>TikTok</v>
      </c>
      <c r="F66" t="str">
        <f>KOL_Database!$E$6</f>
        <v>Tech</v>
      </c>
      <c r="G66">
        <f ca="1">IFERROR(INDEX(Matching_Engine!$AY$6:$AY$95,MATCH($B66&amp;"|"&amp;$C66,Matching_Engine!$AZ$6:$AZ$95,0)),0)</f>
        <v>47</v>
      </c>
      <c r="H66">
        <f ca="1">IFERROR(INDEX(Matching_Engine!$S$6:$S$95,MATCH($B66&amp;"|"&amp;$C66,Matching_Engine!$AZ$6:$AZ$95,0)),0)</f>
        <v>64</v>
      </c>
      <c r="I66">
        <f>IFERROR(INDEX(Matching_Engine!$W$6:$W$95,MATCH($B66&amp;"|"&amp;$C66,Matching_Engine!$AZ$6:$AZ$95,0)),0)</f>
        <v>45</v>
      </c>
      <c r="J66">
        <f>IFERROR(INDEX(Matching_Engine!$Y$6:$Y$95,MATCH($B66&amp;"|"&amp;$C66,Matching_Engine!$AZ$6:$AZ$95,0)),0)</f>
        <v>60</v>
      </c>
      <c r="K66">
        <f>IFERROR(INDEX(Matching_Engine!$Z$6:$Z$95,MATCH($B66&amp;"|"&amp;$C66,Matching_Engine!$AZ$6:$AZ$95,0)),0)</f>
        <v>60</v>
      </c>
      <c r="L66">
        <f>IFERROR(INDEX(Matching_Engine!$AB$6:$AB$95,MATCH($B66&amp;"|"&amp;$C66,Matching_Engine!$AZ$6:$AZ$95,0)),0)</f>
        <v>60</v>
      </c>
      <c r="M66">
        <f ca="1" t="shared" si="0"/>
        <v>56.7</v>
      </c>
      <c r="N66">
        <f ca="1" t="shared" si="1"/>
        <v>49.9</v>
      </c>
      <c r="O66" t="str">
        <f ca="1" t="shared" si="2"/>
        <v>Weak Match</v>
      </c>
      <c r="P66" t="str">
        <f ca="1" t="shared" si="3"/>
        <v>Brand 47/100; Audience 64/100; Style 45/100; Personality 60/100. Campaign Fit 57/100.</v>
      </c>
    </row>
    <row r="67" spans="1:16">
      <c r="A67" t="str">
        <f>Campaign_Profile!$D$5</f>
        <v>CAMP-C</v>
      </c>
      <c r="B67" t="str">
        <f>Campaign_Profile!$D$6</f>
        <v>BRAND-C</v>
      </c>
      <c r="C67" t="str">
        <f>KOL_Database!$A$7</f>
        <v>KOL-03</v>
      </c>
      <c r="D67" t="str">
        <f>KOL_Database!$B$7</f>
        <v>Salsa Aulia</v>
      </c>
      <c r="E67" t="str">
        <f>KOL_Database!$D$7</f>
        <v>Instagram</v>
      </c>
      <c r="F67" t="str">
        <f>KOL_Database!$E$7</f>
        <v>Beauty</v>
      </c>
      <c r="G67" t="str">
        <f ca="1">IFERROR(INDEX(Matching_Engine!$AY$6:$AY$95,MATCH($B67&amp;"|"&amp;$C67,Matching_Engine!$AZ$6:$AZ$95,0)),0)</f>
        <v/>
      </c>
      <c r="H67">
        <f ca="1">IFERROR(INDEX(Matching_Engine!$S$6:$S$95,MATCH($B67&amp;"|"&amp;$C67,Matching_Engine!$AZ$6:$AZ$95,0)),0)</f>
        <v>63</v>
      </c>
      <c r="I67">
        <f>IFERROR(INDEX(Matching_Engine!$W$6:$W$95,MATCH($B67&amp;"|"&amp;$C67,Matching_Engine!$AZ$6:$AZ$95,0)),0)</f>
        <v>45</v>
      </c>
      <c r="J67">
        <f>IFERROR(INDEX(Matching_Engine!$Y$6:$Y$95,MATCH($B67&amp;"|"&amp;$C67,Matching_Engine!$AZ$6:$AZ$95,0)),0)</f>
        <v>60</v>
      </c>
      <c r="K67">
        <f>IFERROR(INDEX(Matching_Engine!$Z$6:$Z$95,MATCH($B67&amp;"|"&amp;$C67,Matching_Engine!$AZ$6:$AZ$95,0)),0)</f>
        <v>65</v>
      </c>
      <c r="L67">
        <f>IFERROR(INDEX(Matching_Engine!$AB$6:$AB$95,MATCH($B67&amp;"|"&amp;$C67,Matching_Engine!$AZ$6:$AZ$95,0)),0)</f>
        <v>60</v>
      </c>
      <c r="M67">
        <f ca="1" t="shared" si="0"/>
        <v>56.4</v>
      </c>
      <c r="N67" t="e">
        <f ca="1" t="shared" si="1"/>
        <v>#VALUE!</v>
      </c>
      <c r="O67" t="e">
        <f ca="1" t="shared" si="2"/>
        <v>#VALUE!</v>
      </c>
      <c r="P67" t="e">
        <f ca="1" t="shared" si="3"/>
        <v>#VALUE!</v>
      </c>
    </row>
    <row r="68" spans="1:16">
      <c r="A68" t="str">
        <f>Campaign_Profile!$D$5</f>
        <v>CAMP-C</v>
      </c>
      <c r="B68" t="str">
        <f>Campaign_Profile!$D$6</f>
        <v>BRAND-C</v>
      </c>
      <c r="C68" t="str">
        <f>KOL_Database!$A$8</f>
        <v>KOL-04</v>
      </c>
      <c r="D68" t="str">
        <f>KOL_Database!$B$8</f>
        <v>Nadia Puspa</v>
      </c>
      <c r="E68" t="str">
        <f>KOL_Database!$D$8</f>
        <v>TikTok</v>
      </c>
      <c r="F68" t="str">
        <f>KOL_Database!$E$8</f>
        <v>Beauty</v>
      </c>
      <c r="G68" t="str">
        <f ca="1">IFERROR(INDEX(Matching_Engine!$AY$6:$AY$95,MATCH($B68&amp;"|"&amp;$C68,Matching_Engine!$AZ$6:$AZ$95,0)),0)</f>
        <v/>
      </c>
      <c r="H68">
        <f ca="1">IFERROR(INDEX(Matching_Engine!$S$6:$S$95,MATCH($B68&amp;"|"&amp;$C68,Matching_Engine!$AZ$6:$AZ$95,0)),0)</f>
        <v>64</v>
      </c>
      <c r="I68">
        <f>IFERROR(INDEX(Matching_Engine!$W$6:$W$95,MATCH($B68&amp;"|"&amp;$C68,Matching_Engine!$AZ$6:$AZ$95,0)),0)</f>
        <v>45</v>
      </c>
      <c r="J68">
        <f>IFERROR(INDEX(Matching_Engine!$Y$6:$Y$95,MATCH($B68&amp;"|"&amp;$C68,Matching_Engine!$AZ$6:$AZ$95,0)),0)</f>
        <v>60</v>
      </c>
      <c r="K68">
        <f>IFERROR(INDEX(Matching_Engine!$Z$6:$Z$95,MATCH($B68&amp;"|"&amp;$C68,Matching_Engine!$AZ$6:$AZ$95,0)),0)</f>
        <v>70</v>
      </c>
      <c r="L68">
        <f>IFERROR(INDEX(Matching_Engine!$AB$6:$AB$95,MATCH($B68&amp;"|"&amp;$C68,Matching_Engine!$AZ$6:$AZ$95,0)),0)</f>
        <v>55</v>
      </c>
      <c r="M68">
        <f ca="1" t="shared" si="0"/>
        <v>56</v>
      </c>
      <c r="N68" t="e">
        <f ca="1" t="shared" si="1"/>
        <v>#VALUE!</v>
      </c>
      <c r="O68" t="e">
        <f ca="1" t="shared" si="2"/>
        <v>#VALUE!</v>
      </c>
      <c r="P68" t="e">
        <f ca="1" t="shared" si="3"/>
        <v>#VALUE!</v>
      </c>
    </row>
    <row r="69" spans="1:16">
      <c r="A69" t="str">
        <f>Campaign_Profile!$D$5</f>
        <v>CAMP-C</v>
      </c>
      <c r="B69" t="str">
        <f>Campaign_Profile!$D$6</f>
        <v>BRAND-C</v>
      </c>
      <c r="C69" t="str">
        <f>KOL_Database!$A$9</f>
        <v>KOL-05</v>
      </c>
      <c r="D69" t="str">
        <f>KOL_Database!$B$9</f>
        <v>Bimo Saputra</v>
      </c>
      <c r="E69" t="str">
        <f>KOL_Database!$D$9</f>
        <v>TikTok</v>
      </c>
      <c r="F69" t="str">
        <f>KOL_Database!$E$9</f>
        <v>Food</v>
      </c>
      <c r="G69" t="str">
        <f ca="1">IFERROR(INDEX(Matching_Engine!$AY$6:$AY$95,MATCH($B69&amp;"|"&amp;$C69,Matching_Engine!$AZ$6:$AZ$95,0)),0)</f>
        <v/>
      </c>
      <c r="H69">
        <f ca="1">IFERROR(INDEX(Matching_Engine!$S$6:$S$95,MATCH($B69&amp;"|"&amp;$C69,Matching_Engine!$AZ$6:$AZ$95,0)),0)</f>
        <v>91</v>
      </c>
      <c r="I69">
        <f>IFERROR(INDEX(Matching_Engine!$W$6:$W$95,MATCH($B69&amp;"|"&amp;$C69,Matching_Engine!$AZ$6:$AZ$95,0)),0)</f>
        <v>45</v>
      </c>
      <c r="J69">
        <f>IFERROR(INDEX(Matching_Engine!$Y$6:$Y$95,MATCH($B69&amp;"|"&amp;$C69,Matching_Engine!$AZ$6:$AZ$95,0)),0)</f>
        <v>100</v>
      </c>
      <c r="K69">
        <f>IFERROR(INDEX(Matching_Engine!$Z$6:$Z$95,MATCH($B69&amp;"|"&amp;$C69,Matching_Engine!$AZ$6:$AZ$95,0)),0)</f>
        <v>65</v>
      </c>
      <c r="L69">
        <f>IFERROR(INDEX(Matching_Engine!$AB$6:$AB$95,MATCH($B69&amp;"|"&amp;$C69,Matching_Engine!$AZ$6:$AZ$95,0)),0)</f>
        <v>60</v>
      </c>
      <c r="M69">
        <f ca="1" t="shared" ref="M69:M94" si="4">ROUND($H69*0.3+$I69*0.3+$J69*0.25+$L69*0.15,1)</f>
        <v>74.8</v>
      </c>
      <c r="N69" t="e">
        <f ca="1" t="shared" ref="N69:N94" si="5">ROUND($G69*0.7+$M69*0.3,1)</f>
        <v>#VALUE!</v>
      </c>
      <c r="O69" t="e">
        <f ca="1" t="shared" ref="O69:O94" si="6">IF($N69&gt;=85,"Excellent Match",IF($N69&gt;=70,"Strong Match",IF($N69&gt;=55,"Good Match","Weak Match")))</f>
        <v>#VALUE!</v>
      </c>
      <c r="P69" t="e">
        <f ca="1" t="shared" ref="P69:P94" si="7">"Brand "&amp;ROUND($G69,0)&amp;"/100; Audience "&amp;ROUND($H69,0)&amp;"/100; Style "&amp;ROUND($I69,0)&amp;"/100; Personality "&amp;ROUND($J69,0)&amp;"/100. Campaign Fit "&amp;ROUND($M69,0)&amp;"/100."</f>
        <v>#VALUE!</v>
      </c>
    </row>
    <row r="70" spans="1:16">
      <c r="A70" t="str">
        <f>Campaign_Profile!$D$5</f>
        <v>CAMP-C</v>
      </c>
      <c r="B70" t="str">
        <f>Campaign_Profile!$D$6</f>
        <v>BRAND-C</v>
      </c>
      <c r="C70" t="str">
        <f>KOL_Database!$A$10</f>
        <v>KOL-06</v>
      </c>
      <c r="D70" t="str">
        <f>KOL_Database!$B$10</f>
        <v>Ayu Lestari</v>
      </c>
      <c r="E70" t="str">
        <f>KOL_Database!$D$10</f>
        <v>Instagram</v>
      </c>
      <c r="F70" t="str">
        <f>KOL_Database!$E$10</f>
        <v>Food</v>
      </c>
      <c r="G70">
        <f ca="1">IFERROR(INDEX(Matching_Engine!$AY$6:$AY$95,MATCH($B70&amp;"|"&amp;$C70,Matching_Engine!$AZ$6:$AZ$95,0)),0)</f>
        <v>74</v>
      </c>
      <c r="H70">
        <f ca="1">IFERROR(INDEX(Matching_Engine!$S$6:$S$95,MATCH($B70&amp;"|"&amp;$C70,Matching_Engine!$AZ$6:$AZ$95,0)),0)</f>
        <v>76</v>
      </c>
      <c r="I70">
        <f>IFERROR(INDEX(Matching_Engine!$W$6:$W$95,MATCH($B70&amp;"|"&amp;$C70,Matching_Engine!$AZ$6:$AZ$95,0)),0)</f>
        <v>45</v>
      </c>
      <c r="J70">
        <f>IFERROR(INDEX(Matching_Engine!$Y$6:$Y$95,MATCH($B70&amp;"|"&amp;$C70,Matching_Engine!$AZ$6:$AZ$95,0)),0)</f>
        <v>100</v>
      </c>
      <c r="K70">
        <f>IFERROR(INDEX(Matching_Engine!$Z$6:$Z$95,MATCH($B70&amp;"|"&amp;$C70,Matching_Engine!$AZ$6:$AZ$95,0)),0)</f>
        <v>70</v>
      </c>
      <c r="L70">
        <f>IFERROR(INDEX(Matching_Engine!$AB$6:$AB$95,MATCH($B70&amp;"|"&amp;$C70,Matching_Engine!$AZ$6:$AZ$95,0)),0)</f>
        <v>55</v>
      </c>
      <c r="M70">
        <f ca="1" t="shared" si="4"/>
        <v>69.6</v>
      </c>
      <c r="N70">
        <f ca="1" t="shared" si="5"/>
        <v>72.7</v>
      </c>
      <c r="O70" t="str">
        <f ca="1" t="shared" si="6"/>
        <v>Strong Match</v>
      </c>
      <c r="P70" t="str">
        <f ca="1" t="shared" si="7"/>
        <v>Brand 74/100; Audience 76/100; Style 45/100; Personality 100/100. Campaign Fit 70/100.</v>
      </c>
    </row>
    <row r="71" spans="1:16">
      <c r="A71" t="str">
        <f>Campaign_Profile!$D$5</f>
        <v>CAMP-C</v>
      </c>
      <c r="B71" t="str">
        <f>Campaign_Profile!$D$6</f>
        <v>BRAND-C</v>
      </c>
      <c r="C71" t="str">
        <f>KOL_Database!$A$11</f>
        <v>KOL-07</v>
      </c>
      <c r="D71" t="str">
        <f>KOL_Database!$B$11</f>
        <v>Fajar Ramadhan</v>
      </c>
      <c r="E71" t="str">
        <f>KOL_Database!$D$11</f>
        <v>Instagram</v>
      </c>
      <c r="F71" t="str">
        <f>KOL_Database!$E$11</f>
        <v>Finance</v>
      </c>
      <c r="G71" t="str">
        <f ca="1">IFERROR(INDEX(Matching_Engine!$AY$6:$AY$95,MATCH($B71&amp;"|"&amp;$C71,Matching_Engine!$AZ$6:$AZ$95,0)),0)</f>
        <v/>
      </c>
      <c r="H71">
        <f ca="1">IFERROR(INDEX(Matching_Engine!$S$6:$S$95,MATCH($B71&amp;"|"&amp;$C71,Matching_Engine!$AZ$6:$AZ$95,0)),0)</f>
        <v>68</v>
      </c>
      <c r="I71">
        <f>IFERROR(INDEX(Matching_Engine!$W$6:$W$95,MATCH($B71&amp;"|"&amp;$C71,Matching_Engine!$AZ$6:$AZ$95,0)),0)</f>
        <v>45</v>
      </c>
      <c r="J71">
        <f>IFERROR(INDEX(Matching_Engine!$Y$6:$Y$95,MATCH($B71&amp;"|"&amp;$C71,Matching_Engine!$AZ$6:$AZ$95,0)),0)</f>
        <v>45</v>
      </c>
      <c r="K71">
        <f>IFERROR(INDEX(Matching_Engine!$Z$6:$Z$95,MATCH($B71&amp;"|"&amp;$C71,Matching_Engine!$AZ$6:$AZ$95,0)),0)</f>
        <v>60</v>
      </c>
      <c r="L71">
        <f>IFERROR(INDEX(Matching_Engine!$AB$6:$AB$95,MATCH($B71&amp;"|"&amp;$C71,Matching_Engine!$AZ$6:$AZ$95,0)),0)</f>
        <v>60</v>
      </c>
      <c r="M71">
        <f ca="1" t="shared" si="4"/>
        <v>54.2</v>
      </c>
      <c r="N71" t="e">
        <f ca="1" t="shared" si="5"/>
        <v>#VALUE!</v>
      </c>
      <c r="O71" t="e">
        <f ca="1" t="shared" si="6"/>
        <v>#VALUE!</v>
      </c>
      <c r="P71" t="e">
        <f ca="1" t="shared" si="7"/>
        <v>#VALUE!</v>
      </c>
    </row>
    <row r="72" spans="1:16">
      <c r="A72" t="str">
        <f>Campaign_Profile!$D$5</f>
        <v>CAMP-C</v>
      </c>
      <c r="B72" t="str">
        <f>Campaign_Profile!$D$6</f>
        <v>BRAND-C</v>
      </c>
      <c r="C72" t="str">
        <f>KOL_Database!$A$12</f>
        <v>KOL-08</v>
      </c>
      <c r="D72" t="str">
        <f>KOL_Database!$B$12</f>
        <v>Tania Wijaya</v>
      </c>
      <c r="E72" t="str">
        <f>KOL_Database!$D$12</f>
        <v>TikTok</v>
      </c>
      <c r="F72" t="str">
        <f>KOL_Database!$E$12</f>
        <v>Finance</v>
      </c>
      <c r="G72">
        <f ca="1">IFERROR(INDEX(Matching_Engine!$AY$6:$AY$95,MATCH($B72&amp;"|"&amp;$C72,Matching_Engine!$AZ$6:$AZ$95,0)),0)</f>
        <v>47</v>
      </c>
      <c r="H72">
        <f ca="1">IFERROR(INDEX(Matching_Engine!$S$6:$S$95,MATCH($B72&amp;"|"&amp;$C72,Matching_Engine!$AZ$6:$AZ$95,0)),0)</f>
        <v>66</v>
      </c>
      <c r="I72">
        <f>IFERROR(INDEX(Matching_Engine!$W$6:$W$95,MATCH($B72&amp;"|"&amp;$C72,Matching_Engine!$AZ$6:$AZ$95,0)),0)</f>
        <v>45</v>
      </c>
      <c r="J72">
        <f>IFERROR(INDEX(Matching_Engine!$Y$6:$Y$95,MATCH($B72&amp;"|"&amp;$C72,Matching_Engine!$AZ$6:$AZ$95,0)),0)</f>
        <v>60</v>
      </c>
      <c r="K72">
        <f>IFERROR(INDEX(Matching_Engine!$Z$6:$Z$95,MATCH($B72&amp;"|"&amp;$C72,Matching_Engine!$AZ$6:$AZ$95,0)),0)</f>
        <v>60</v>
      </c>
      <c r="L72">
        <f>IFERROR(INDEX(Matching_Engine!$AB$6:$AB$95,MATCH($B72&amp;"|"&amp;$C72,Matching_Engine!$AZ$6:$AZ$95,0)),0)</f>
        <v>60</v>
      </c>
      <c r="M72">
        <f ca="1" t="shared" si="4"/>
        <v>57.3</v>
      </c>
      <c r="N72">
        <f ca="1" t="shared" si="5"/>
        <v>50.1</v>
      </c>
      <c r="O72" t="str">
        <f ca="1" t="shared" si="6"/>
        <v>Weak Match</v>
      </c>
      <c r="P72" t="str">
        <f ca="1" t="shared" si="7"/>
        <v>Brand 47/100; Audience 66/100; Style 45/100; Personality 60/100. Campaign Fit 57/100.</v>
      </c>
    </row>
    <row r="73" spans="1:16">
      <c r="A73" t="str">
        <f>Campaign_Profile!$D$5</f>
        <v>CAMP-C</v>
      </c>
      <c r="B73" t="str">
        <f>Campaign_Profile!$D$6</f>
        <v>BRAND-C</v>
      </c>
      <c r="C73" t="str">
        <f>KOL_Database!$A$13</f>
        <v>KOL-09</v>
      </c>
      <c r="D73" t="str">
        <f>KOL_Database!$B$13</f>
        <v>Gilang Prakoso</v>
      </c>
      <c r="E73" t="str">
        <f>KOL_Database!$D$13</f>
        <v>TikTok</v>
      </c>
      <c r="F73" t="str">
        <f>KOL_Database!$E$13</f>
        <v>Education</v>
      </c>
      <c r="G73" t="str">
        <f ca="1">IFERROR(INDEX(Matching_Engine!$AY$6:$AY$95,MATCH($B73&amp;"|"&amp;$C73,Matching_Engine!$AZ$6:$AZ$95,0)),0)</f>
        <v/>
      </c>
      <c r="H73">
        <f ca="1">IFERROR(INDEX(Matching_Engine!$S$6:$S$95,MATCH($B73&amp;"|"&amp;$C73,Matching_Engine!$AZ$6:$AZ$95,0)),0)</f>
        <v>71</v>
      </c>
      <c r="I73">
        <f>IFERROR(INDEX(Matching_Engine!$W$6:$W$95,MATCH($B73&amp;"|"&amp;$C73,Matching_Engine!$AZ$6:$AZ$95,0)),0)</f>
        <v>45</v>
      </c>
      <c r="J73">
        <f>IFERROR(INDEX(Matching_Engine!$Y$6:$Y$95,MATCH($B73&amp;"|"&amp;$C73,Matching_Engine!$AZ$6:$AZ$95,0)),0)</f>
        <v>60</v>
      </c>
      <c r="K73">
        <f>IFERROR(INDEX(Matching_Engine!$Z$6:$Z$95,MATCH($B73&amp;"|"&amp;$C73,Matching_Engine!$AZ$6:$AZ$95,0)),0)</f>
        <v>60</v>
      </c>
      <c r="L73">
        <f>IFERROR(INDEX(Matching_Engine!$AB$6:$AB$95,MATCH($B73&amp;"|"&amp;$C73,Matching_Engine!$AZ$6:$AZ$95,0)),0)</f>
        <v>60</v>
      </c>
      <c r="M73">
        <f ca="1" t="shared" si="4"/>
        <v>58.8</v>
      </c>
      <c r="N73" t="e">
        <f ca="1" t="shared" si="5"/>
        <v>#VALUE!</v>
      </c>
      <c r="O73" t="e">
        <f ca="1" t="shared" si="6"/>
        <v>#VALUE!</v>
      </c>
      <c r="P73" t="e">
        <f ca="1" t="shared" si="7"/>
        <v>#VALUE!</v>
      </c>
    </row>
    <row r="74" spans="1:16">
      <c r="A74" t="str">
        <f>Campaign_Profile!$D$5</f>
        <v>CAMP-C</v>
      </c>
      <c r="B74" t="str">
        <f>Campaign_Profile!$D$6</f>
        <v>BRAND-C</v>
      </c>
      <c r="C74" t="str">
        <f>KOL_Database!$A$14</f>
        <v>KOL-10</v>
      </c>
      <c r="D74" t="str">
        <f>KOL_Database!$B$14</f>
        <v>Mira Handayani</v>
      </c>
      <c r="E74" t="str">
        <f>KOL_Database!$D$14</f>
        <v>Instagram</v>
      </c>
      <c r="F74" t="str">
        <f>KOL_Database!$E$14</f>
        <v>Education</v>
      </c>
      <c r="G74">
        <f ca="1">IFERROR(INDEX(Matching_Engine!$AY$6:$AY$95,MATCH($B74&amp;"|"&amp;$C74,Matching_Engine!$AZ$6:$AZ$95,0)),0)</f>
        <v>56</v>
      </c>
      <c r="H74">
        <f ca="1">IFERROR(INDEX(Matching_Engine!$S$6:$S$95,MATCH($B74&amp;"|"&amp;$C74,Matching_Engine!$AZ$6:$AZ$95,0)),0)</f>
        <v>78</v>
      </c>
      <c r="I74">
        <f>IFERROR(INDEX(Matching_Engine!$W$6:$W$95,MATCH($B74&amp;"|"&amp;$C74,Matching_Engine!$AZ$6:$AZ$95,0)),0)</f>
        <v>45</v>
      </c>
      <c r="J74">
        <f>IFERROR(INDEX(Matching_Engine!$Y$6:$Y$95,MATCH($B74&amp;"|"&amp;$C74,Matching_Engine!$AZ$6:$AZ$95,0)),0)</f>
        <v>60</v>
      </c>
      <c r="K74">
        <f>IFERROR(INDEX(Matching_Engine!$Z$6:$Z$95,MATCH($B74&amp;"|"&amp;$C74,Matching_Engine!$AZ$6:$AZ$95,0)),0)</f>
        <v>70</v>
      </c>
      <c r="L74">
        <f>IFERROR(INDEX(Matching_Engine!$AB$6:$AB$95,MATCH($B74&amp;"|"&amp;$C74,Matching_Engine!$AZ$6:$AZ$95,0)),0)</f>
        <v>55</v>
      </c>
      <c r="M74">
        <f ca="1" t="shared" si="4"/>
        <v>60.2</v>
      </c>
      <c r="N74">
        <f ca="1" t="shared" si="5"/>
        <v>57.3</v>
      </c>
      <c r="O74" t="str">
        <f ca="1" t="shared" si="6"/>
        <v>Good Match</v>
      </c>
      <c r="P74" t="str">
        <f ca="1" t="shared" si="7"/>
        <v>Brand 56/100; Audience 78/100; Style 45/100; Personality 60/100. Campaign Fit 60/100.</v>
      </c>
    </row>
    <row r="75" spans="1:16">
      <c r="A75" t="str">
        <f>Campaign_Profile!$D$5</f>
        <v>CAMP-C</v>
      </c>
      <c r="B75" t="str">
        <f>Campaign_Profile!$D$6</f>
        <v>BRAND-C</v>
      </c>
      <c r="C75" t="str">
        <f>KOL_Database!$A$15</f>
        <v>KOL-11</v>
      </c>
      <c r="D75" t="str">
        <f>KOL_Database!$B$15</f>
        <v>Dimas Anggara</v>
      </c>
      <c r="E75" t="str">
        <f>KOL_Database!$D$15</f>
        <v>Instagram</v>
      </c>
      <c r="F75" t="str">
        <f>KOL_Database!$E$15</f>
        <v>Fitness</v>
      </c>
      <c r="G75" t="str">
        <f ca="1">IFERROR(INDEX(Matching_Engine!$AY$6:$AY$95,MATCH($B75&amp;"|"&amp;$C75,Matching_Engine!$AZ$6:$AZ$95,0)),0)</f>
        <v/>
      </c>
      <c r="H75">
        <f ca="1">IFERROR(INDEX(Matching_Engine!$S$6:$S$95,MATCH($B75&amp;"|"&amp;$C75,Matching_Engine!$AZ$6:$AZ$95,0)),0)</f>
        <v>74</v>
      </c>
      <c r="I75">
        <f>IFERROR(INDEX(Matching_Engine!$W$6:$W$95,MATCH($B75&amp;"|"&amp;$C75,Matching_Engine!$AZ$6:$AZ$95,0)),0)</f>
        <v>45</v>
      </c>
      <c r="J75">
        <f>IFERROR(INDEX(Matching_Engine!$Y$6:$Y$95,MATCH($B75&amp;"|"&amp;$C75,Matching_Engine!$AZ$6:$AZ$95,0)),0)</f>
        <v>45</v>
      </c>
      <c r="K75">
        <f>IFERROR(INDEX(Matching_Engine!$Z$6:$Z$95,MATCH($B75&amp;"|"&amp;$C75,Matching_Engine!$AZ$6:$AZ$95,0)),0)</f>
        <v>55</v>
      </c>
      <c r="L75">
        <f>IFERROR(INDEX(Matching_Engine!$AB$6:$AB$95,MATCH($B75&amp;"|"&amp;$C75,Matching_Engine!$AZ$6:$AZ$95,0)),0)</f>
        <v>45</v>
      </c>
      <c r="M75">
        <f ca="1" t="shared" si="4"/>
        <v>53.7</v>
      </c>
      <c r="N75" t="e">
        <f ca="1" t="shared" si="5"/>
        <v>#VALUE!</v>
      </c>
      <c r="O75" t="e">
        <f ca="1" t="shared" si="6"/>
        <v>#VALUE!</v>
      </c>
      <c r="P75" t="e">
        <f ca="1" t="shared" si="7"/>
        <v>#VALUE!</v>
      </c>
    </row>
    <row r="76" spans="1:16">
      <c r="A76" t="str">
        <f>Campaign_Profile!$D$5</f>
        <v>CAMP-C</v>
      </c>
      <c r="B76" t="str">
        <f>Campaign_Profile!$D$6</f>
        <v>BRAND-C</v>
      </c>
      <c r="C76" t="str">
        <f>KOL_Database!$A$16</f>
        <v>KOL-12</v>
      </c>
      <c r="D76" t="str">
        <f>KOL_Database!$B$16</f>
        <v>Rani Kusuma</v>
      </c>
      <c r="E76" t="str">
        <f>KOL_Database!$D$16</f>
        <v>TikTok</v>
      </c>
      <c r="F76" t="str">
        <f>KOL_Database!$E$16</f>
        <v>Fitness</v>
      </c>
      <c r="G76" t="str">
        <f ca="1">IFERROR(INDEX(Matching_Engine!$AY$6:$AY$95,MATCH($B76&amp;"|"&amp;$C76,Matching_Engine!$AZ$6:$AZ$95,0)),0)</f>
        <v/>
      </c>
      <c r="H76">
        <f ca="1">IFERROR(INDEX(Matching_Engine!$S$6:$S$95,MATCH($B76&amp;"|"&amp;$C76,Matching_Engine!$AZ$6:$AZ$95,0)),0)</f>
        <v>72</v>
      </c>
      <c r="I76">
        <f>IFERROR(INDEX(Matching_Engine!$W$6:$W$95,MATCH($B76&amp;"|"&amp;$C76,Matching_Engine!$AZ$6:$AZ$95,0)),0)</f>
        <v>45</v>
      </c>
      <c r="J76">
        <f>IFERROR(INDEX(Matching_Engine!$Y$6:$Y$95,MATCH($B76&amp;"|"&amp;$C76,Matching_Engine!$AZ$6:$AZ$95,0)),0)</f>
        <v>65</v>
      </c>
      <c r="K76">
        <f>IFERROR(INDEX(Matching_Engine!$Z$6:$Z$95,MATCH($B76&amp;"|"&amp;$C76,Matching_Engine!$AZ$6:$AZ$95,0)),0)</f>
        <v>70</v>
      </c>
      <c r="L76">
        <f>IFERROR(INDEX(Matching_Engine!$AB$6:$AB$95,MATCH($B76&amp;"|"&amp;$C76,Matching_Engine!$AZ$6:$AZ$95,0)),0)</f>
        <v>55</v>
      </c>
      <c r="M76">
        <f ca="1" t="shared" si="4"/>
        <v>59.6</v>
      </c>
      <c r="N76" t="e">
        <f ca="1" t="shared" si="5"/>
        <v>#VALUE!</v>
      </c>
      <c r="O76" t="e">
        <f ca="1" t="shared" si="6"/>
        <v>#VALUE!</v>
      </c>
      <c r="P76" t="e">
        <f ca="1" t="shared" si="7"/>
        <v>#VALUE!</v>
      </c>
    </row>
    <row r="77" spans="1:16">
      <c r="A77" t="str">
        <f>Campaign_Profile!$D$5</f>
        <v>CAMP-C</v>
      </c>
      <c r="B77" t="str">
        <f>Campaign_Profile!$D$6</f>
        <v>BRAND-C</v>
      </c>
      <c r="C77" t="str">
        <f>KOL_Database!$A$17</f>
        <v>KOL-13</v>
      </c>
      <c r="D77" t="str">
        <f>KOL_Database!$B$17</f>
        <v>Kevin Halim</v>
      </c>
      <c r="E77" t="str">
        <f>KOL_Database!$D$17</f>
        <v>Instagram</v>
      </c>
      <c r="F77" t="str">
        <f>KOL_Database!$E$17</f>
        <v>Fashion</v>
      </c>
      <c r="G77" t="str">
        <f ca="1">IFERROR(INDEX(Matching_Engine!$AY$6:$AY$95,MATCH($B77&amp;"|"&amp;$C77,Matching_Engine!$AZ$6:$AZ$95,0)),0)</f>
        <v/>
      </c>
      <c r="H77">
        <f ca="1">IFERROR(INDEX(Matching_Engine!$S$6:$S$95,MATCH($B77&amp;"|"&amp;$C77,Matching_Engine!$AZ$6:$AZ$95,0)),0)</f>
        <v>67</v>
      </c>
      <c r="I77">
        <f>IFERROR(INDEX(Matching_Engine!$W$6:$W$95,MATCH($B77&amp;"|"&amp;$C77,Matching_Engine!$AZ$6:$AZ$95,0)),0)</f>
        <v>45</v>
      </c>
      <c r="J77">
        <f>IFERROR(INDEX(Matching_Engine!$Y$6:$Y$95,MATCH($B77&amp;"|"&amp;$C77,Matching_Engine!$AZ$6:$AZ$95,0)),0)</f>
        <v>60</v>
      </c>
      <c r="K77">
        <f>IFERROR(INDEX(Matching_Engine!$Z$6:$Z$95,MATCH($B77&amp;"|"&amp;$C77,Matching_Engine!$AZ$6:$AZ$95,0)),0)</f>
        <v>65</v>
      </c>
      <c r="L77">
        <f>IFERROR(INDEX(Matching_Engine!$AB$6:$AB$95,MATCH($B77&amp;"|"&amp;$C77,Matching_Engine!$AZ$6:$AZ$95,0)),0)</f>
        <v>70</v>
      </c>
      <c r="M77">
        <f ca="1" t="shared" si="4"/>
        <v>59.1</v>
      </c>
      <c r="N77" t="e">
        <f ca="1" t="shared" si="5"/>
        <v>#VALUE!</v>
      </c>
      <c r="O77" t="e">
        <f ca="1" t="shared" si="6"/>
        <v>#VALUE!</v>
      </c>
      <c r="P77" t="e">
        <f ca="1" t="shared" si="7"/>
        <v>#VALUE!</v>
      </c>
    </row>
    <row r="78" spans="1:16">
      <c r="A78" t="str">
        <f>Campaign_Profile!$D$5</f>
        <v>CAMP-C</v>
      </c>
      <c r="B78" t="str">
        <f>Campaign_Profile!$D$6</f>
        <v>BRAND-C</v>
      </c>
      <c r="C78" t="str">
        <f>KOL_Database!$A$18</f>
        <v>KOL-14</v>
      </c>
      <c r="D78" t="str">
        <f>KOL_Database!$B$18</f>
        <v>Zahra Amelia</v>
      </c>
      <c r="E78" t="str">
        <f>KOL_Database!$D$18</f>
        <v>Instagram</v>
      </c>
      <c r="F78" t="str">
        <f>KOL_Database!$E$18</f>
        <v>Fashion</v>
      </c>
      <c r="G78" t="str">
        <f ca="1">IFERROR(INDEX(Matching_Engine!$AY$6:$AY$95,MATCH($B78&amp;"|"&amp;$C78,Matching_Engine!$AZ$6:$AZ$95,0)),0)</f>
        <v/>
      </c>
      <c r="H78">
        <f ca="1">IFERROR(INDEX(Matching_Engine!$S$6:$S$95,MATCH($B78&amp;"|"&amp;$C78,Matching_Engine!$AZ$6:$AZ$95,0)),0)</f>
        <v>69</v>
      </c>
      <c r="I78">
        <f>IFERROR(INDEX(Matching_Engine!$W$6:$W$95,MATCH($B78&amp;"|"&amp;$C78,Matching_Engine!$AZ$6:$AZ$95,0)),0)</f>
        <v>45</v>
      </c>
      <c r="J78">
        <f>IFERROR(INDEX(Matching_Engine!$Y$6:$Y$95,MATCH($B78&amp;"|"&amp;$C78,Matching_Engine!$AZ$6:$AZ$95,0)),0)</f>
        <v>35</v>
      </c>
      <c r="K78">
        <f>IFERROR(INDEX(Matching_Engine!$Z$6:$Z$95,MATCH($B78&amp;"|"&amp;$C78,Matching_Engine!$AZ$6:$AZ$95,0)),0)</f>
        <v>65</v>
      </c>
      <c r="L78">
        <f>IFERROR(INDEX(Matching_Engine!$AB$6:$AB$95,MATCH($B78&amp;"|"&amp;$C78,Matching_Engine!$AZ$6:$AZ$95,0)),0)</f>
        <v>70</v>
      </c>
      <c r="M78">
        <f ca="1" t="shared" si="4"/>
        <v>53.5</v>
      </c>
      <c r="N78" t="e">
        <f ca="1" t="shared" si="5"/>
        <v>#VALUE!</v>
      </c>
      <c r="O78" t="e">
        <f ca="1" t="shared" si="6"/>
        <v>#VALUE!</v>
      </c>
      <c r="P78" t="e">
        <f ca="1" t="shared" si="7"/>
        <v>#VALUE!</v>
      </c>
    </row>
    <row r="79" spans="1:16">
      <c r="A79" t="str">
        <f>Campaign_Profile!$D$5</f>
        <v>CAMP-C</v>
      </c>
      <c r="B79" t="str">
        <f>Campaign_Profile!$D$6</f>
        <v>BRAND-C</v>
      </c>
      <c r="C79" t="str">
        <f>KOL_Database!$A$19</f>
        <v>KOL-15</v>
      </c>
      <c r="D79" t="str">
        <f>KOL_Database!$B$19</f>
        <v>Andini Rahma</v>
      </c>
      <c r="E79" t="str">
        <f>KOL_Database!$D$19</f>
        <v>Instagram</v>
      </c>
      <c r="F79" t="str">
        <f>KOL_Database!$E$19</f>
        <v>Lifestyle</v>
      </c>
      <c r="G79">
        <f ca="1">IFERROR(INDEX(Matching_Engine!$AY$6:$AY$95,MATCH($B79&amp;"|"&amp;$C79,Matching_Engine!$AZ$6:$AZ$95,0)),0)</f>
        <v>72</v>
      </c>
      <c r="H79">
        <f ca="1">IFERROR(INDEX(Matching_Engine!$S$6:$S$95,MATCH($B79&amp;"|"&amp;$C79,Matching_Engine!$AZ$6:$AZ$95,0)),0)</f>
        <v>76</v>
      </c>
      <c r="I79">
        <f>IFERROR(INDEX(Matching_Engine!$W$6:$W$95,MATCH($B79&amp;"|"&amp;$C79,Matching_Engine!$AZ$6:$AZ$95,0)),0)</f>
        <v>80</v>
      </c>
      <c r="J79">
        <f>IFERROR(INDEX(Matching_Engine!$Y$6:$Y$95,MATCH($B79&amp;"|"&amp;$C79,Matching_Engine!$AZ$6:$AZ$95,0)),0)</f>
        <v>100</v>
      </c>
      <c r="K79">
        <f>IFERROR(INDEX(Matching_Engine!$Z$6:$Z$95,MATCH($B79&amp;"|"&amp;$C79,Matching_Engine!$AZ$6:$AZ$95,0)),0)</f>
        <v>90</v>
      </c>
      <c r="L79">
        <f>IFERROR(INDEX(Matching_Engine!$AB$6:$AB$95,MATCH($B79&amp;"|"&amp;$C79,Matching_Engine!$AZ$6:$AZ$95,0)),0)</f>
        <v>90</v>
      </c>
      <c r="M79">
        <f ca="1" t="shared" si="4"/>
        <v>85.3</v>
      </c>
      <c r="N79">
        <f ca="1" t="shared" si="5"/>
        <v>76</v>
      </c>
      <c r="O79" t="str">
        <f ca="1" t="shared" si="6"/>
        <v>Strong Match</v>
      </c>
      <c r="P79" t="str">
        <f ca="1" t="shared" si="7"/>
        <v>Brand 72/100; Audience 76/100; Style 80/100; Personality 100/100. Campaign Fit 85/100.</v>
      </c>
    </row>
    <row r="80" spans="1:16">
      <c r="A80" t="str">
        <f>Campaign_Profile!$D$5</f>
        <v>CAMP-C</v>
      </c>
      <c r="B80" t="str">
        <f>Campaign_Profile!$D$6</f>
        <v>BRAND-C</v>
      </c>
      <c r="C80" t="str">
        <f>KOL_Database!$A$20</f>
        <v>KOL-16</v>
      </c>
      <c r="D80" t="str">
        <f>KOL_Database!$B$20</f>
        <v>Yoga Pratama</v>
      </c>
      <c r="E80" t="str">
        <f>KOL_Database!$D$20</f>
        <v>TikTok</v>
      </c>
      <c r="F80" t="str">
        <f>KOL_Database!$E$20</f>
        <v>Lifestyle</v>
      </c>
      <c r="G80" t="str">
        <f ca="1">IFERROR(INDEX(Matching_Engine!$AY$6:$AY$95,MATCH($B80&amp;"|"&amp;$C80,Matching_Engine!$AZ$6:$AZ$95,0)),0)</f>
        <v/>
      </c>
      <c r="H80">
        <f ca="1">IFERROR(INDEX(Matching_Engine!$S$6:$S$95,MATCH($B80&amp;"|"&amp;$C80,Matching_Engine!$AZ$6:$AZ$95,0)),0)</f>
        <v>70</v>
      </c>
      <c r="I80">
        <f>IFERROR(INDEX(Matching_Engine!$W$6:$W$95,MATCH($B80&amp;"|"&amp;$C80,Matching_Engine!$AZ$6:$AZ$95,0)),0)</f>
        <v>100</v>
      </c>
      <c r="J80">
        <f>IFERROR(INDEX(Matching_Engine!$Y$6:$Y$95,MATCH($B80&amp;"|"&amp;$C80,Matching_Engine!$AZ$6:$AZ$95,0)),0)</f>
        <v>65</v>
      </c>
      <c r="K80">
        <f>IFERROR(INDEX(Matching_Engine!$Z$6:$Z$95,MATCH($B80&amp;"|"&amp;$C80,Matching_Engine!$AZ$6:$AZ$95,0)),0)</f>
        <v>95</v>
      </c>
      <c r="L80">
        <f>IFERROR(INDEX(Matching_Engine!$AB$6:$AB$95,MATCH($B80&amp;"|"&amp;$C80,Matching_Engine!$AZ$6:$AZ$95,0)),0)</f>
        <v>100</v>
      </c>
      <c r="M80">
        <f ca="1" t="shared" si="4"/>
        <v>82.3</v>
      </c>
      <c r="N80" t="e">
        <f ca="1" t="shared" si="5"/>
        <v>#VALUE!</v>
      </c>
      <c r="O80" t="e">
        <f ca="1" t="shared" si="6"/>
        <v>#VALUE!</v>
      </c>
      <c r="P80" t="e">
        <f ca="1" t="shared" si="7"/>
        <v>#VALUE!</v>
      </c>
    </row>
    <row r="81" spans="1:16">
      <c r="A81" t="str">
        <f>Campaign_Profile!$D$5</f>
        <v>CAMP-C</v>
      </c>
      <c r="B81" t="str">
        <f>Campaign_Profile!$D$6</f>
        <v>BRAND-C</v>
      </c>
      <c r="C81" t="str">
        <f>KOL_Database!$A$21</f>
        <v>KOL-17</v>
      </c>
      <c r="D81" t="str">
        <f>KOL_Database!$B$21</f>
        <v>Sinta Maharani</v>
      </c>
      <c r="E81" t="str">
        <f>KOL_Database!$D$21</f>
        <v>Instagram</v>
      </c>
      <c r="F81" t="str">
        <f>KOL_Database!$E$21</f>
        <v>Travel</v>
      </c>
      <c r="G81" t="str">
        <f ca="1">IFERROR(INDEX(Matching_Engine!$AY$6:$AY$95,MATCH($B81&amp;"|"&amp;$C81,Matching_Engine!$AZ$6:$AZ$95,0)),0)</f>
        <v/>
      </c>
      <c r="H81">
        <f ca="1">IFERROR(INDEX(Matching_Engine!$S$6:$S$95,MATCH($B81&amp;"|"&amp;$C81,Matching_Engine!$AZ$6:$AZ$95,0)),0)</f>
        <v>86</v>
      </c>
      <c r="I81">
        <f>IFERROR(INDEX(Matching_Engine!$W$6:$W$95,MATCH($B81&amp;"|"&amp;$C81,Matching_Engine!$AZ$6:$AZ$95,0)),0)</f>
        <v>45</v>
      </c>
      <c r="J81">
        <f>IFERROR(INDEX(Matching_Engine!$Y$6:$Y$95,MATCH($B81&amp;"|"&amp;$C81,Matching_Engine!$AZ$6:$AZ$95,0)),0)</f>
        <v>35</v>
      </c>
      <c r="K81">
        <f>IFERROR(INDEX(Matching_Engine!$Z$6:$Z$95,MATCH($B81&amp;"|"&amp;$C81,Matching_Engine!$AZ$6:$AZ$95,0)),0)</f>
        <v>65</v>
      </c>
      <c r="L81">
        <f>IFERROR(INDEX(Matching_Engine!$AB$6:$AB$95,MATCH($B81&amp;"|"&amp;$C81,Matching_Engine!$AZ$6:$AZ$95,0)),0)</f>
        <v>70</v>
      </c>
      <c r="M81">
        <f ca="1" t="shared" si="4"/>
        <v>58.6</v>
      </c>
      <c r="N81" t="e">
        <f ca="1" t="shared" si="5"/>
        <v>#VALUE!</v>
      </c>
      <c r="O81" t="e">
        <f ca="1" t="shared" si="6"/>
        <v>#VALUE!</v>
      </c>
      <c r="P81" t="e">
        <f ca="1" t="shared" si="7"/>
        <v>#VALUE!</v>
      </c>
    </row>
    <row r="82" spans="1:16">
      <c r="A82" t="str">
        <f>Campaign_Profile!$D$5</f>
        <v>CAMP-C</v>
      </c>
      <c r="B82" t="str">
        <f>Campaign_Profile!$D$6</f>
        <v>BRAND-C</v>
      </c>
      <c r="C82" t="str">
        <f>KOL_Database!$A$22</f>
        <v>KOL-18</v>
      </c>
      <c r="D82" t="str">
        <f>KOL_Database!$B$22</f>
        <v>Reza Fadillah</v>
      </c>
      <c r="E82" t="str">
        <f>KOL_Database!$D$22</f>
        <v>TikTok</v>
      </c>
      <c r="F82" t="str">
        <f>KOL_Database!$E$22</f>
        <v>Travel</v>
      </c>
      <c r="G82">
        <f ca="1">IFERROR(INDEX(Matching_Engine!$AY$6:$AY$95,MATCH($B82&amp;"|"&amp;$C82,Matching_Engine!$AZ$6:$AZ$95,0)),0)</f>
        <v>78</v>
      </c>
      <c r="H82">
        <f ca="1">IFERROR(INDEX(Matching_Engine!$S$6:$S$95,MATCH($B82&amp;"|"&amp;$C82,Matching_Engine!$AZ$6:$AZ$95,0)),0)</f>
        <v>85</v>
      </c>
      <c r="I82">
        <f>IFERROR(INDEX(Matching_Engine!$W$6:$W$95,MATCH($B82&amp;"|"&amp;$C82,Matching_Engine!$AZ$6:$AZ$95,0)),0)</f>
        <v>80</v>
      </c>
      <c r="J82">
        <f>IFERROR(INDEX(Matching_Engine!$Y$6:$Y$95,MATCH($B82&amp;"|"&amp;$C82,Matching_Engine!$AZ$6:$AZ$95,0)),0)</f>
        <v>95</v>
      </c>
      <c r="K82">
        <f>IFERROR(INDEX(Matching_Engine!$Z$6:$Z$95,MATCH($B82&amp;"|"&amp;$C82,Matching_Engine!$AZ$6:$AZ$95,0)),0)</f>
        <v>90</v>
      </c>
      <c r="L82">
        <f>IFERROR(INDEX(Matching_Engine!$AB$6:$AB$95,MATCH($B82&amp;"|"&amp;$C82,Matching_Engine!$AZ$6:$AZ$95,0)),0)</f>
        <v>90</v>
      </c>
      <c r="M82">
        <f ca="1" t="shared" si="4"/>
        <v>86.8</v>
      </c>
      <c r="N82">
        <f ca="1" t="shared" si="5"/>
        <v>80.6</v>
      </c>
      <c r="O82" t="str">
        <f ca="1" t="shared" si="6"/>
        <v>Strong Match</v>
      </c>
      <c r="P82" t="str">
        <f ca="1" t="shared" si="7"/>
        <v>Brand 78/100; Audience 85/100; Style 80/100; Personality 95/100. Campaign Fit 87/100.</v>
      </c>
    </row>
    <row r="83" spans="1:16">
      <c r="A83" t="str">
        <f>Campaign_Profile!$D$5</f>
        <v>CAMP-C</v>
      </c>
      <c r="B83" t="str">
        <f>Campaign_Profile!$D$6</f>
        <v>BRAND-C</v>
      </c>
      <c r="C83" t="str">
        <f>KOL_Database!$A$23</f>
        <v>KOL-19</v>
      </c>
      <c r="D83" t="str">
        <f>KOL_Database!$B$23</f>
        <v>Putri Amanda</v>
      </c>
      <c r="E83" t="str">
        <f>KOL_Database!$D$23</f>
        <v>Instagram</v>
      </c>
      <c r="F83" t="str">
        <f>KOL_Database!$E$23</f>
        <v>Parenting</v>
      </c>
      <c r="G83" t="str">
        <f ca="1">IFERROR(INDEX(Matching_Engine!$AY$6:$AY$95,MATCH($B83&amp;"|"&amp;$C83,Matching_Engine!$AZ$6:$AZ$95,0)),0)</f>
        <v/>
      </c>
      <c r="H83">
        <f ca="1">IFERROR(INDEX(Matching_Engine!$S$6:$S$95,MATCH($B83&amp;"|"&amp;$C83,Matching_Engine!$AZ$6:$AZ$95,0)),0)</f>
        <v>74</v>
      </c>
      <c r="I83">
        <f>IFERROR(INDEX(Matching_Engine!$W$6:$W$95,MATCH($B83&amp;"|"&amp;$C83,Matching_Engine!$AZ$6:$AZ$95,0)),0)</f>
        <v>100</v>
      </c>
      <c r="J83">
        <f>IFERROR(INDEX(Matching_Engine!$Y$6:$Y$95,MATCH($B83&amp;"|"&amp;$C83,Matching_Engine!$AZ$6:$AZ$95,0)),0)</f>
        <v>100</v>
      </c>
      <c r="K83">
        <f>IFERROR(INDEX(Matching_Engine!$Z$6:$Z$95,MATCH($B83&amp;"|"&amp;$C83,Matching_Engine!$AZ$6:$AZ$95,0)),0)</f>
        <v>95</v>
      </c>
      <c r="L83">
        <f>IFERROR(INDEX(Matching_Engine!$AB$6:$AB$95,MATCH($B83&amp;"|"&amp;$C83,Matching_Engine!$AZ$6:$AZ$95,0)),0)</f>
        <v>100</v>
      </c>
      <c r="M83">
        <f ca="1" t="shared" si="4"/>
        <v>92.2</v>
      </c>
      <c r="N83" t="e">
        <f ca="1" t="shared" si="5"/>
        <v>#VALUE!</v>
      </c>
      <c r="O83" t="e">
        <f ca="1" t="shared" si="6"/>
        <v>#VALUE!</v>
      </c>
      <c r="P83" t="e">
        <f ca="1" t="shared" si="7"/>
        <v>#VALUE!</v>
      </c>
    </row>
    <row r="84" spans="1:16">
      <c r="A84" t="str">
        <f>Campaign_Profile!$D$5</f>
        <v>CAMP-C</v>
      </c>
      <c r="B84" t="str">
        <f>Campaign_Profile!$D$6</f>
        <v>BRAND-C</v>
      </c>
      <c r="C84" t="str">
        <f>KOL_Database!$A$24</f>
        <v>KOL-20</v>
      </c>
      <c r="D84" t="str">
        <f>KOL_Database!$B$24</f>
        <v>Hendra Wijoyo</v>
      </c>
      <c r="E84" t="str">
        <f>KOL_Database!$D$24</f>
        <v>TikTok</v>
      </c>
      <c r="F84" t="str">
        <f>KOL_Database!$E$24</f>
        <v>Parenting</v>
      </c>
      <c r="G84">
        <f ca="1">IFERROR(INDEX(Matching_Engine!$AY$6:$AY$95,MATCH($B84&amp;"|"&amp;$C84,Matching_Engine!$AZ$6:$AZ$95,0)),0)</f>
        <v>67</v>
      </c>
      <c r="H84">
        <f ca="1">IFERROR(INDEX(Matching_Engine!$S$6:$S$95,MATCH($B84&amp;"|"&amp;$C84,Matching_Engine!$AZ$6:$AZ$95,0)),0)</f>
        <v>84</v>
      </c>
      <c r="I84">
        <f>IFERROR(INDEX(Matching_Engine!$W$6:$W$95,MATCH($B84&amp;"|"&amp;$C84,Matching_Engine!$AZ$6:$AZ$95,0)),0)</f>
        <v>45</v>
      </c>
      <c r="J84">
        <f>IFERROR(INDEX(Matching_Engine!$Y$6:$Y$95,MATCH($B84&amp;"|"&amp;$C84,Matching_Engine!$AZ$6:$AZ$95,0)),0)</f>
        <v>70</v>
      </c>
      <c r="K84">
        <f>IFERROR(INDEX(Matching_Engine!$Z$6:$Z$95,MATCH($B84&amp;"|"&amp;$C84,Matching_Engine!$AZ$6:$AZ$95,0)),0)</f>
        <v>70</v>
      </c>
      <c r="L84">
        <f>IFERROR(INDEX(Matching_Engine!$AB$6:$AB$95,MATCH($B84&amp;"|"&amp;$C84,Matching_Engine!$AZ$6:$AZ$95,0)),0)</f>
        <v>70</v>
      </c>
      <c r="M84">
        <f ca="1" t="shared" si="4"/>
        <v>66.7</v>
      </c>
      <c r="N84">
        <f ca="1" t="shared" si="5"/>
        <v>66.9</v>
      </c>
      <c r="O84" t="str">
        <f ca="1" t="shared" si="6"/>
        <v>Good Match</v>
      </c>
      <c r="P84" t="str">
        <f ca="1" t="shared" si="7"/>
        <v>Brand 67/100; Audience 84/100; Style 45/100; Personality 70/100. Campaign Fit 67/100.</v>
      </c>
    </row>
    <row r="85" spans="1:16">
      <c r="A85" t="str">
        <f>Campaign_Profile!$D$5</f>
        <v>CAMP-C</v>
      </c>
      <c r="B85" t="str">
        <f>Campaign_Profile!$D$6</f>
        <v>BRAND-C</v>
      </c>
      <c r="C85" t="str">
        <f>KOL_Database!$A$25</f>
        <v>KOL-21</v>
      </c>
      <c r="D85" t="str">
        <f>KOL_Database!$B$25</f>
        <v>Bagas Setiawan</v>
      </c>
      <c r="E85" t="str">
        <f>KOL_Database!$D$25</f>
        <v>TikTok</v>
      </c>
      <c r="F85" t="str">
        <f>KOL_Database!$E$25</f>
        <v>Entertainment</v>
      </c>
      <c r="G85" t="str">
        <f ca="1">IFERROR(INDEX(Matching_Engine!$AY$6:$AY$95,MATCH($B85&amp;"|"&amp;$C85,Matching_Engine!$AZ$6:$AZ$95,0)),0)</f>
        <v/>
      </c>
      <c r="H85">
        <f ca="1">IFERROR(INDEX(Matching_Engine!$S$6:$S$95,MATCH($B85&amp;"|"&amp;$C85,Matching_Engine!$AZ$6:$AZ$95,0)),0)</f>
        <v>75</v>
      </c>
      <c r="I85">
        <f>IFERROR(INDEX(Matching_Engine!$W$6:$W$95,MATCH($B85&amp;"|"&amp;$C85,Matching_Engine!$AZ$6:$AZ$95,0)),0)</f>
        <v>45</v>
      </c>
      <c r="J85">
        <f>IFERROR(INDEX(Matching_Engine!$Y$6:$Y$95,MATCH($B85&amp;"|"&amp;$C85,Matching_Engine!$AZ$6:$AZ$95,0)),0)</f>
        <v>70</v>
      </c>
      <c r="K85">
        <f>IFERROR(INDEX(Matching_Engine!$Z$6:$Z$95,MATCH($B85&amp;"|"&amp;$C85,Matching_Engine!$AZ$6:$AZ$95,0)),0)</f>
        <v>60</v>
      </c>
      <c r="L85">
        <f>IFERROR(INDEX(Matching_Engine!$AB$6:$AB$95,MATCH($B85&amp;"|"&amp;$C85,Matching_Engine!$AZ$6:$AZ$95,0)),0)</f>
        <v>60</v>
      </c>
      <c r="M85">
        <f ca="1" t="shared" si="4"/>
        <v>62.5</v>
      </c>
      <c r="N85" t="e">
        <f ca="1" t="shared" si="5"/>
        <v>#VALUE!</v>
      </c>
      <c r="O85" t="e">
        <f ca="1" t="shared" si="6"/>
        <v>#VALUE!</v>
      </c>
      <c r="P85" t="e">
        <f ca="1" t="shared" si="7"/>
        <v>#VALUE!</v>
      </c>
    </row>
    <row r="86" spans="1:16">
      <c r="A86" t="str">
        <f>Campaign_Profile!$D$5</f>
        <v>CAMP-C</v>
      </c>
      <c r="B86" t="str">
        <f>Campaign_Profile!$D$6</f>
        <v>BRAND-C</v>
      </c>
      <c r="C86" t="str">
        <f>KOL_Database!$A$26</f>
        <v>KOL-22</v>
      </c>
      <c r="D86" t="str">
        <f>KOL_Database!$B$26</f>
        <v>Nabila Kirana</v>
      </c>
      <c r="E86" t="str">
        <f>KOL_Database!$D$26</f>
        <v>Instagram</v>
      </c>
      <c r="F86" t="str">
        <f>KOL_Database!$E$26</f>
        <v>Entertainment</v>
      </c>
      <c r="G86" t="str">
        <f ca="1">IFERROR(INDEX(Matching_Engine!$AY$6:$AY$95,MATCH($B86&amp;"|"&amp;$C86,Matching_Engine!$AZ$6:$AZ$95,0)),0)</f>
        <v/>
      </c>
      <c r="H86">
        <f ca="1">IFERROR(INDEX(Matching_Engine!$S$6:$S$95,MATCH($B86&amp;"|"&amp;$C86,Matching_Engine!$AZ$6:$AZ$95,0)),0)</f>
        <v>68</v>
      </c>
      <c r="I86">
        <f>IFERROR(INDEX(Matching_Engine!$W$6:$W$95,MATCH($B86&amp;"|"&amp;$C86,Matching_Engine!$AZ$6:$AZ$95,0)),0)</f>
        <v>45</v>
      </c>
      <c r="J86">
        <f>IFERROR(INDEX(Matching_Engine!$Y$6:$Y$95,MATCH($B86&amp;"|"&amp;$C86,Matching_Engine!$AZ$6:$AZ$95,0)),0)</f>
        <v>60</v>
      </c>
      <c r="K86">
        <f>IFERROR(INDEX(Matching_Engine!$Z$6:$Z$95,MATCH($B86&amp;"|"&amp;$C86,Matching_Engine!$AZ$6:$AZ$95,0)),0)</f>
        <v>65</v>
      </c>
      <c r="L86">
        <f>IFERROR(INDEX(Matching_Engine!$AB$6:$AB$95,MATCH($B86&amp;"|"&amp;$C86,Matching_Engine!$AZ$6:$AZ$95,0)),0)</f>
        <v>70</v>
      </c>
      <c r="M86">
        <f ca="1" t="shared" si="4"/>
        <v>59.4</v>
      </c>
      <c r="N86" t="e">
        <f ca="1" t="shared" si="5"/>
        <v>#VALUE!</v>
      </c>
      <c r="O86" t="e">
        <f ca="1" t="shared" si="6"/>
        <v>#VALUE!</v>
      </c>
      <c r="P86" t="e">
        <f ca="1" t="shared" si="7"/>
        <v>#VALUE!</v>
      </c>
    </row>
    <row r="87" spans="1:16">
      <c r="A87" t="str">
        <f>Campaign_Profile!$D$5</f>
        <v>CAMP-C</v>
      </c>
      <c r="B87" t="str">
        <f>Campaign_Profile!$D$6</f>
        <v>BRAND-C</v>
      </c>
      <c r="C87" t="str">
        <f>KOL_Database!$A$27</f>
        <v>KOL-23</v>
      </c>
      <c r="D87" t="str">
        <f>KOL_Database!$B$27</f>
        <v>Arya Mahendra</v>
      </c>
      <c r="E87" t="str">
        <f>KOL_Database!$D$27</f>
        <v>TikTok</v>
      </c>
      <c r="F87" t="str">
        <f>KOL_Database!$E$27</f>
        <v>Gaming</v>
      </c>
      <c r="G87" t="str">
        <f ca="1">IFERROR(INDEX(Matching_Engine!$AY$6:$AY$95,MATCH($B87&amp;"|"&amp;$C87,Matching_Engine!$AZ$6:$AZ$95,0)),0)</f>
        <v/>
      </c>
      <c r="H87">
        <f ca="1">IFERROR(INDEX(Matching_Engine!$S$6:$S$95,MATCH($B87&amp;"|"&amp;$C87,Matching_Engine!$AZ$6:$AZ$95,0)),0)</f>
        <v>66</v>
      </c>
      <c r="I87">
        <f>IFERROR(INDEX(Matching_Engine!$W$6:$W$95,MATCH($B87&amp;"|"&amp;$C87,Matching_Engine!$AZ$6:$AZ$95,0)),0)</f>
        <v>45</v>
      </c>
      <c r="J87">
        <f>IFERROR(INDEX(Matching_Engine!$Y$6:$Y$95,MATCH($B87&amp;"|"&amp;$C87,Matching_Engine!$AZ$6:$AZ$95,0)),0)</f>
        <v>75</v>
      </c>
      <c r="K87">
        <f>IFERROR(INDEX(Matching_Engine!$Z$6:$Z$95,MATCH($B87&amp;"|"&amp;$C87,Matching_Engine!$AZ$6:$AZ$95,0)),0)</f>
        <v>70</v>
      </c>
      <c r="L87">
        <f>IFERROR(INDEX(Matching_Engine!$AB$6:$AB$95,MATCH($B87&amp;"|"&amp;$C87,Matching_Engine!$AZ$6:$AZ$95,0)),0)</f>
        <v>70</v>
      </c>
      <c r="M87">
        <f ca="1" t="shared" si="4"/>
        <v>62.6</v>
      </c>
      <c r="N87" t="e">
        <f ca="1" t="shared" si="5"/>
        <v>#VALUE!</v>
      </c>
      <c r="O87" t="e">
        <f ca="1" t="shared" si="6"/>
        <v>#VALUE!</v>
      </c>
      <c r="P87" t="e">
        <f ca="1" t="shared" si="7"/>
        <v>#VALUE!</v>
      </c>
    </row>
    <row r="88" spans="1:16">
      <c r="A88" t="str">
        <f>Campaign_Profile!$D$5</f>
        <v>CAMP-C</v>
      </c>
      <c r="B88" t="str">
        <f>Campaign_Profile!$D$6</f>
        <v>BRAND-C</v>
      </c>
      <c r="C88" t="str">
        <f>KOL_Database!$A$28</f>
        <v>KOL-24</v>
      </c>
      <c r="D88" t="str">
        <f>KOL_Database!$B$28</f>
        <v>Rio Saputra</v>
      </c>
      <c r="E88" t="str">
        <f>KOL_Database!$D$28</f>
        <v>Instagram</v>
      </c>
      <c r="F88" t="str">
        <f>KOL_Database!$E$28</f>
        <v>Gaming</v>
      </c>
      <c r="G88">
        <f ca="1">IFERROR(INDEX(Matching_Engine!$AY$6:$AY$95,MATCH($B88&amp;"|"&amp;$C88,Matching_Engine!$AZ$6:$AZ$95,0)),0)</f>
        <v>50</v>
      </c>
      <c r="H88">
        <f ca="1">IFERROR(INDEX(Matching_Engine!$S$6:$S$95,MATCH($B88&amp;"|"&amp;$C88,Matching_Engine!$AZ$6:$AZ$95,0)),0)</f>
        <v>71</v>
      </c>
      <c r="I88">
        <f>IFERROR(INDEX(Matching_Engine!$W$6:$W$95,MATCH($B88&amp;"|"&amp;$C88,Matching_Engine!$AZ$6:$AZ$95,0)),0)</f>
        <v>45</v>
      </c>
      <c r="J88">
        <f>IFERROR(INDEX(Matching_Engine!$Y$6:$Y$95,MATCH($B88&amp;"|"&amp;$C88,Matching_Engine!$AZ$6:$AZ$95,0)),0)</f>
        <v>45</v>
      </c>
      <c r="K88">
        <f>IFERROR(INDEX(Matching_Engine!$Z$6:$Z$95,MATCH($B88&amp;"|"&amp;$C88,Matching_Engine!$AZ$6:$AZ$95,0)),0)</f>
        <v>55</v>
      </c>
      <c r="L88">
        <f>IFERROR(INDEX(Matching_Engine!$AB$6:$AB$95,MATCH($B88&amp;"|"&amp;$C88,Matching_Engine!$AZ$6:$AZ$95,0)),0)</f>
        <v>45</v>
      </c>
      <c r="M88">
        <f ca="1" t="shared" si="4"/>
        <v>52.8</v>
      </c>
      <c r="N88">
        <f ca="1" t="shared" si="5"/>
        <v>50.8</v>
      </c>
      <c r="O88" t="str">
        <f ca="1" t="shared" si="6"/>
        <v>Weak Match</v>
      </c>
      <c r="P88" t="str">
        <f ca="1" t="shared" si="7"/>
        <v>Brand 50/100; Audience 71/100; Style 45/100; Personality 45/100. Campaign Fit 53/100.</v>
      </c>
    </row>
    <row r="89" spans="1:16">
      <c r="A89" t="str">
        <f>Campaign_Profile!$D$5</f>
        <v>CAMP-C</v>
      </c>
      <c r="B89" t="str">
        <f>Campaign_Profile!$D$6</f>
        <v>BRAND-C</v>
      </c>
      <c r="C89" t="str">
        <f>KOL_Database!$A$29</f>
        <v>KOL-25</v>
      </c>
      <c r="D89" t="str">
        <f>KOL_Database!$B$29</f>
        <v>Denny Kurniawan</v>
      </c>
      <c r="E89" t="str">
        <f>KOL_Database!$D$29</f>
        <v>TikTok</v>
      </c>
      <c r="F89" t="str">
        <f>KOL_Database!$E$29</f>
        <v>Automotive</v>
      </c>
      <c r="G89" t="str">
        <f ca="1">IFERROR(INDEX(Matching_Engine!$AY$6:$AY$95,MATCH($B89&amp;"|"&amp;$C89,Matching_Engine!$AZ$6:$AZ$95,0)),0)</f>
        <v/>
      </c>
      <c r="H89">
        <f ca="1">IFERROR(INDEX(Matching_Engine!$S$6:$S$95,MATCH($B89&amp;"|"&amp;$C89,Matching_Engine!$AZ$6:$AZ$95,0)),0)</f>
        <v>77</v>
      </c>
      <c r="I89">
        <f>IFERROR(INDEX(Matching_Engine!$W$6:$W$95,MATCH($B89&amp;"|"&amp;$C89,Matching_Engine!$AZ$6:$AZ$95,0)),0)</f>
        <v>80</v>
      </c>
      <c r="J89">
        <f>IFERROR(INDEX(Matching_Engine!$Y$6:$Y$95,MATCH($B89&amp;"|"&amp;$C89,Matching_Engine!$AZ$6:$AZ$95,0)),0)</f>
        <v>95</v>
      </c>
      <c r="K89">
        <f>IFERROR(INDEX(Matching_Engine!$Z$6:$Z$95,MATCH($B89&amp;"|"&amp;$C89,Matching_Engine!$AZ$6:$AZ$95,0)),0)</f>
        <v>90</v>
      </c>
      <c r="L89">
        <f>IFERROR(INDEX(Matching_Engine!$AB$6:$AB$95,MATCH($B89&amp;"|"&amp;$C89,Matching_Engine!$AZ$6:$AZ$95,0)),0)</f>
        <v>90</v>
      </c>
      <c r="M89">
        <f ca="1" t="shared" si="4"/>
        <v>84.4</v>
      </c>
      <c r="N89" t="e">
        <f ca="1" t="shared" si="5"/>
        <v>#VALUE!</v>
      </c>
      <c r="O89" t="e">
        <f ca="1" t="shared" si="6"/>
        <v>#VALUE!</v>
      </c>
      <c r="P89" t="e">
        <f ca="1" t="shared" si="7"/>
        <v>#VALUE!</v>
      </c>
    </row>
    <row r="90" spans="1:16">
      <c r="A90" t="str">
        <f>Campaign_Profile!$D$5</f>
        <v>CAMP-C</v>
      </c>
      <c r="B90" t="str">
        <f>Campaign_Profile!$D$6</f>
        <v>BRAND-C</v>
      </c>
      <c r="C90" t="str">
        <f>KOL_Database!$A$30</f>
        <v>KOL-26</v>
      </c>
      <c r="D90" t="str">
        <f>KOL_Database!$B$30</f>
        <v>Wisnu Adi</v>
      </c>
      <c r="E90" t="str">
        <f>KOL_Database!$D$30</f>
        <v>Instagram</v>
      </c>
      <c r="F90" t="str">
        <f>KOL_Database!$E$30</f>
        <v>Automotive</v>
      </c>
      <c r="G90" t="str">
        <f ca="1">IFERROR(INDEX(Matching_Engine!$AY$6:$AY$95,MATCH($B90&amp;"|"&amp;$C90,Matching_Engine!$AZ$6:$AZ$95,0)),0)</f>
        <v/>
      </c>
      <c r="H90">
        <f ca="1">IFERROR(INDEX(Matching_Engine!$S$6:$S$95,MATCH($B90&amp;"|"&amp;$C90,Matching_Engine!$AZ$6:$AZ$95,0)),0)</f>
        <v>75</v>
      </c>
      <c r="I90">
        <f>IFERROR(INDEX(Matching_Engine!$W$6:$W$95,MATCH($B90&amp;"|"&amp;$C90,Matching_Engine!$AZ$6:$AZ$95,0)),0)</f>
        <v>45</v>
      </c>
      <c r="J90">
        <f>IFERROR(INDEX(Matching_Engine!$Y$6:$Y$95,MATCH($B90&amp;"|"&amp;$C90,Matching_Engine!$AZ$6:$AZ$95,0)),0)</f>
        <v>45</v>
      </c>
      <c r="K90">
        <f>IFERROR(INDEX(Matching_Engine!$Z$6:$Z$95,MATCH($B90&amp;"|"&amp;$C90,Matching_Engine!$AZ$6:$AZ$95,0)),0)</f>
        <v>65</v>
      </c>
      <c r="L90">
        <f>IFERROR(INDEX(Matching_Engine!$AB$6:$AB$95,MATCH($B90&amp;"|"&amp;$C90,Matching_Engine!$AZ$6:$AZ$95,0)),0)</f>
        <v>60</v>
      </c>
      <c r="M90">
        <f ca="1" t="shared" si="4"/>
        <v>56.3</v>
      </c>
      <c r="N90" t="e">
        <f ca="1" t="shared" si="5"/>
        <v>#VALUE!</v>
      </c>
      <c r="O90" t="e">
        <f ca="1" t="shared" si="6"/>
        <v>#VALUE!</v>
      </c>
      <c r="P90" t="e">
        <f ca="1" t="shared" si="7"/>
        <v>#VALUE!</v>
      </c>
    </row>
    <row r="91" spans="1:16">
      <c r="A91" t="str">
        <f>Campaign_Profile!$D$5</f>
        <v>CAMP-C</v>
      </c>
      <c r="B91" t="str">
        <f>Campaign_Profile!$D$6</f>
        <v>BRAND-C</v>
      </c>
      <c r="C91" t="str">
        <f>KOL_Database!$A$31</f>
        <v>KOL-27</v>
      </c>
      <c r="D91" t="str">
        <f>KOL_Database!$B$31</f>
        <v>Laras Ayu</v>
      </c>
      <c r="E91" t="str">
        <f>KOL_Database!$D$31</f>
        <v>Instagram</v>
      </c>
      <c r="F91" t="str">
        <f>KOL_Database!$E$31</f>
        <v>Home &amp; Living</v>
      </c>
      <c r="G91">
        <f ca="1">IFERROR(INDEX(Matching_Engine!$AY$6:$AY$95,MATCH($B91&amp;"|"&amp;$C91,Matching_Engine!$AZ$6:$AZ$95,0)),0)</f>
        <v>59</v>
      </c>
      <c r="H91">
        <f ca="1">IFERROR(INDEX(Matching_Engine!$S$6:$S$95,MATCH($B91&amp;"|"&amp;$C91,Matching_Engine!$AZ$6:$AZ$95,0)),0)</f>
        <v>74</v>
      </c>
      <c r="I91">
        <f>IFERROR(INDEX(Matching_Engine!$W$6:$W$95,MATCH($B91&amp;"|"&amp;$C91,Matching_Engine!$AZ$6:$AZ$95,0)),0)</f>
        <v>45</v>
      </c>
      <c r="J91">
        <f>IFERROR(INDEX(Matching_Engine!$Y$6:$Y$95,MATCH($B91&amp;"|"&amp;$C91,Matching_Engine!$AZ$6:$AZ$95,0)),0)</f>
        <v>35</v>
      </c>
      <c r="K91">
        <f>IFERROR(INDEX(Matching_Engine!$Z$6:$Z$95,MATCH($B91&amp;"|"&amp;$C91,Matching_Engine!$AZ$6:$AZ$95,0)),0)</f>
        <v>65</v>
      </c>
      <c r="L91">
        <f>IFERROR(INDEX(Matching_Engine!$AB$6:$AB$95,MATCH($B91&amp;"|"&amp;$C91,Matching_Engine!$AZ$6:$AZ$95,0)),0)</f>
        <v>70</v>
      </c>
      <c r="M91">
        <f ca="1" t="shared" si="4"/>
        <v>55</v>
      </c>
      <c r="N91">
        <f ca="1" t="shared" si="5"/>
        <v>57.8</v>
      </c>
      <c r="O91" t="str">
        <f ca="1" t="shared" si="6"/>
        <v>Good Match</v>
      </c>
      <c r="P91" t="str">
        <f ca="1" t="shared" si="7"/>
        <v>Brand 59/100; Audience 74/100; Style 45/100; Personality 35/100. Campaign Fit 55/100.</v>
      </c>
    </row>
    <row r="92" spans="1:16">
      <c r="A92" t="str">
        <f>Campaign_Profile!$D$5</f>
        <v>CAMP-C</v>
      </c>
      <c r="B92" t="str">
        <f>Campaign_Profile!$D$6</f>
        <v>BRAND-C</v>
      </c>
      <c r="C92" t="str">
        <f>KOL_Database!$A$32</f>
        <v>KOL-28</v>
      </c>
      <c r="D92" t="str">
        <f>KOL_Database!$B$32</f>
        <v>Tiara Nisrina</v>
      </c>
      <c r="E92" t="str">
        <f>KOL_Database!$D$32</f>
        <v>TikTok</v>
      </c>
      <c r="F92" t="str">
        <f>KOL_Database!$E$32</f>
        <v>Home &amp; Living</v>
      </c>
      <c r="G92" t="str">
        <f ca="1">IFERROR(INDEX(Matching_Engine!$AY$6:$AY$95,MATCH($B92&amp;"|"&amp;$C92,Matching_Engine!$AZ$6:$AZ$95,0)),0)</f>
        <v/>
      </c>
      <c r="H92">
        <f ca="1">IFERROR(INDEX(Matching_Engine!$S$6:$S$95,MATCH($B92&amp;"|"&amp;$C92,Matching_Engine!$AZ$6:$AZ$95,0)),0)</f>
        <v>68</v>
      </c>
      <c r="I92">
        <f>IFERROR(INDEX(Matching_Engine!$W$6:$W$95,MATCH($B92&amp;"|"&amp;$C92,Matching_Engine!$AZ$6:$AZ$95,0)),0)</f>
        <v>45</v>
      </c>
      <c r="J92">
        <f>IFERROR(INDEX(Matching_Engine!$Y$6:$Y$95,MATCH($B92&amp;"|"&amp;$C92,Matching_Engine!$AZ$6:$AZ$95,0)),0)</f>
        <v>100</v>
      </c>
      <c r="K92">
        <f>IFERROR(INDEX(Matching_Engine!$Z$6:$Z$95,MATCH($B92&amp;"|"&amp;$C92,Matching_Engine!$AZ$6:$AZ$95,0)),0)</f>
        <v>70</v>
      </c>
      <c r="L92">
        <f>IFERROR(INDEX(Matching_Engine!$AB$6:$AB$95,MATCH($B92&amp;"|"&amp;$C92,Matching_Engine!$AZ$6:$AZ$95,0)),0)</f>
        <v>55</v>
      </c>
      <c r="M92">
        <f ca="1" t="shared" si="4"/>
        <v>67.2</v>
      </c>
      <c r="N92" t="e">
        <f ca="1" t="shared" si="5"/>
        <v>#VALUE!</v>
      </c>
      <c r="O92" t="e">
        <f ca="1" t="shared" si="6"/>
        <v>#VALUE!</v>
      </c>
      <c r="P92" t="e">
        <f ca="1" t="shared" si="7"/>
        <v>#VALUE!</v>
      </c>
    </row>
    <row r="93" spans="1:16">
      <c r="A93" t="str">
        <f>Campaign_Profile!$D$5</f>
        <v>CAMP-C</v>
      </c>
      <c r="B93" t="str">
        <f>Campaign_Profile!$D$6</f>
        <v>BRAND-C</v>
      </c>
      <c r="C93" t="str">
        <f>KOL_Database!$A$33</f>
        <v>KOL-29</v>
      </c>
      <c r="D93" t="str">
        <f>KOL_Database!$B$33</f>
        <v>Sekar Ayu</v>
      </c>
      <c r="E93" t="str">
        <f>KOL_Database!$D$33</f>
        <v>TikTok</v>
      </c>
      <c r="F93" t="str">
        <f>KOL_Database!$E$33</f>
        <v>Beauty</v>
      </c>
      <c r="G93">
        <f ca="1">IFERROR(INDEX(Matching_Engine!$AY$6:$AY$95,MATCH($B93&amp;"|"&amp;$C93,Matching_Engine!$AZ$6:$AZ$95,0)),0)</f>
        <v>57</v>
      </c>
      <c r="H93">
        <f ca="1">IFERROR(INDEX(Matching_Engine!$S$6:$S$95,MATCH($B93&amp;"|"&amp;$C93,Matching_Engine!$AZ$6:$AZ$95,0)),0)</f>
        <v>64</v>
      </c>
      <c r="I93">
        <f>IFERROR(INDEX(Matching_Engine!$W$6:$W$95,MATCH($B93&amp;"|"&amp;$C93,Matching_Engine!$AZ$6:$AZ$95,0)),0)</f>
        <v>45</v>
      </c>
      <c r="J93">
        <f>IFERROR(INDEX(Matching_Engine!$Y$6:$Y$95,MATCH($B93&amp;"|"&amp;$C93,Matching_Engine!$AZ$6:$AZ$95,0)),0)</f>
        <v>100</v>
      </c>
      <c r="K93">
        <f>IFERROR(INDEX(Matching_Engine!$Z$6:$Z$95,MATCH($B93&amp;"|"&amp;$C93,Matching_Engine!$AZ$6:$AZ$95,0)),0)</f>
        <v>65</v>
      </c>
      <c r="L93">
        <f>IFERROR(INDEX(Matching_Engine!$AB$6:$AB$95,MATCH($B93&amp;"|"&amp;$C93,Matching_Engine!$AZ$6:$AZ$95,0)),0)</f>
        <v>60</v>
      </c>
      <c r="M93">
        <f ca="1" t="shared" si="4"/>
        <v>66.7</v>
      </c>
      <c r="N93">
        <f ca="1" t="shared" si="5"/>
        <v>59.9</v>
      </c>
      <c r="O93" t="str">
        <f ca="1" t="shared" si="6"/>
        <v>Good Match</v>
      </c>
      <c r="P93" t="str">
        <f ca="1" t="shared" si="7"/>
        <v>Brand 57/100; Audience 64/100; Style 45/100; Personality 100/100. Campaign Fit 67/100.</v>
      </c>
    </row>
    <row r="94" spans="1:16">
      <c r="A94" t="str">
        <f>Campaign_Profile!$D$5</f>
        <v>CAMP-C</v>
      </c>
      <c r="B94" t="str">
        <f>Campaign_Profile!$D$6</f>
        <v>BRAND-C</v>
      </c>
      <c r="C94" t="str">
        <f>KOL_Database!$A$34</f>
        <v>KOL-30</v>
      </c>
      <c r="D94" t="str">
        <f>KOL_Database!$B$34</f>
        <v>Ibnu Faisal</v>
      </c>
      <c r="E94" t="str">
        <f>KOL_Database!$D$34</f>
        <v>Instagram</v>
      </c>
      <c r="F94" t="str">
        <f>KOL_Database!$E$34</f>
        <v>Finance</v>
      </c>
      <c r="G94" t="str">
        <f ca="1">IFERROR(INDEX(Matching_Engine!$AY$6:$AY$95,MATCH($B94&amp;"|"&amp;$C94,Matching_Engine!$AZ$6:$AZ$95,0)),0)</f>
        <v/>
      </c>
      <c r="H94">
        <f ca="1">IFERROR(INDEX(Matching_Engine!$S$6:$S$95,MATCH($B94&amp;"|"&amp;$C94,Matching_Engine!$AZ$6:$AZ$95,0)),0)</f>
        <v>68</v>
      </c>
      <c r="I94">
        <f>IFERROR(INDEX(Matching_Engine!$W$6:$W$95,MATCH($B94&amp;"|"&amp;$C94,Matching_Engine!$AZ$6:$AZ$95,0)),0)</f>
        <v>45</v>
      </c>
      <c r="J94">
        <f>IFERROR(INDEX(Matching_Engine!$Y$6:$Y$95,MATCH($B94&amp;"|"&amp;$C94,Matching_Engine!$AZ$6:$AZ$95,0)),0)</f>
        <v>45</v>
      </c>
      <c r="K94">
        <f>IFERROR(INDEX(Matching_Engine!$Z$6:$Z$95,MATCH($B94&amp;"|"&amp;$C94,Matching_Engine!$AZ$6:$AZ$95,0)),0)</f>
        <v>75</v>
      </c>
      <c r="L94">
        <f>IFERROR(INDEX(Matching_Engine!$AB$6:$AB$95,MATCH($B94&amp;"|"&amp;$C94,Matching_Engine!$AZ$6:$AZ$95,0)),0)</f>
        <v>75</v>
      </c>
      <c r="M94">
        <f ca="1" t="shared" si="4"/>
        <v>56.4</v>
      </c>
      <c r="N94" t="e">
        <f ca="1" t="shared" si="5"/>
        <v>#VALUE!</v>
      </c>
      <c r="O94" t="e">
        <f ca="1" t="shared" si="6"/>
        <v>#VALUE!</v>
      </c>
      <c r="P94" t="e">
        <f ca="1" t="shared" si="7"/>
        <v>#VALUE!</v>
      </c>
    </row>
  </sheetData>
  <autoFilter xmlns:etc="http://www.wps.cn/officeDocument/2017/etCustomData" ref="A4:P94" etc:filterBottomFollowUsedRange="0">
    <extLst/>
  </autoFilter>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4:P94"/>
  <sheetViews>
    <sheetView workbookViewId="0">
      <pane ySplit="4" topLeftCell="A5" activePane="bottomLeft" state="frozen"/>
      <selection/>
      <selection pane="bottomLeft" activeCell="A1" sqref="A1"/>
    </sheetView>
  </sheetViews>
  <sheetFormatPr defaultColWidth="9" defaultRowHeight="15"/>
  <cols>
    <col min="1" max="1" width="14" customWidth="1"/>
    <col min="2" max="2" width="12" customWidth="1"/>
    <col min="3" max="3" width="26" customWidth="1"/>
    <col min="4" max="4" width="12" customWidth="1"/>
    <col min="5" max="5" width="22" customWidth="1"/>
    <col min="6" max="6" width="14" customWidth="1"/>
    <col min="7" max="8" width="16" customWidth="1"/>
    <col min="9" max="9" width="15" customWidth="1"/>
    <col min="10" max="10" width="14" customWidth="1"/>
    <col min="11" max="11" width="18" customWidth="1"/>
    <col min="12" max="12" width="16" customWidth="1"/>
    <col min="13" max="13" width="18" customWidth="1"/>
    <col min="14" max="14" width="17" customWidth="1"/>
    <col min="15" max="16" width="20" customWidth="1"/>
  </cols>
  <sheetData>
    <row r="4" spans="1:16">
      <c r="A4" s="156" t="s">
        <v>378</v>
      </c>
      <c r="B4" s="156" t="s">
        <v>124</v>
      </c>
      <c r="C4" s="156" t="s">
        <v>426</v>
      </c>
      <c r="D4" s="156" t="s">
        <v>414</v>
      </c>
      <c r="E4" s="156" t="s">
        <v>415</v>
      </c>
      <c r="F4" s="156" t="s">
        <v>390</v>
      </c>
      <c r="G4" s="156" t="s">
        <v>416</v>
      </c>
      <c r="H4" s="156" t="s">
        <v>427</v>
      </c>
      <c r="I4" s="156" t="s">
        <v>428</v>
      </c>
      <c r="J4" s="156" t="s">
        <v>423</v>
      </c>
      <c r="K4" s="156" t="s">
        <v>424</v>
      </c>
      <c r="L4" s="156" t="s">
        <v>429</v>
      </c>
      <c r="M4" s="156" t="s">
        <v>61</v>
      </c>
      <c r="N4" s="156" t="s">
        <v>430</v>
      </c>
      <c r="O4" s="156" t="s">
        <v>431</v>
      </c>
      <c r="P4" s="156" t="s">
        <v>432</v>
      </c>
    </row>
    <row r="5" spans="1:16">
      <c r="A5" t="str">
        <f>Campaign_Match!$A$5</f>
        <v>CAMP-A</v>
      </c>
      <c r="B5" t="str">
        <f>Campaign_Match!$B$5</f>
        <v>BRAND-A</v>
      </c>
      <c r="C5" t="str">
        <f>Campaign_Profile!$B$7</f>
        <v>Tech Productivity Launch</v>
      </c>
      <c r="D5" t="str">
        <f>Campaign_Match!$C$5</f>
        <v>KOL-01</v>
      </c>
      <c r="E5" t="str">
        <f>Campaign_Match!$D$5</f>
        <v>Ardi Nugraha</v>
      </c>
      <c r="F5" t="str">
        <f>Campaign_Match!$E$5</f>
        <v>Instagram</v>
      </c>
      <c r="G5" t="str">
        <f>Campaign_Match!$F$5</f>
        <v>Tech</v>
      </c>
      <c r="H5">
        <f ca="1">Campaign_Match!$G$5</f>
        <v>80</v>
      </c>
      <c r="I5">
        <f ca="1">Campaign_Match!$M$5</f>
        <v>80.7</v>
      </c>
      <c r="J5">
        <f ca="1">Campaign_Match!$N$5</f>
        <v>80.2</v>
      </c>
      <c r="K5" t="str">
        <f ca="1">Campaign_Match!$O$5</f>
        <v>Strong Match</v>
      </c>
      <c r="L5">
        <f>Campaign_Match!$I$5</f>
        <v>80</v>
      </c>
      <c r="M5">
        <f>Campaign_Match!$J$5</f>
        <v>85</v>
      </c>
      <c r="N5">
        <f>Campaign_Match!$I$5</f>
        <v>80</v>
      </c>
      <c r="O5">
        <f>Campaign_Match!$J$5</f>
        <v>85</v>
      </c>
      <c r="P5" t="str">
        <f>Campaign_Profile!$B$8</f>
        <v>Awareness</v>
      </c>
    </row>
    <row r="6" spans="1:16">
      <c r="A6" t="str">
        <f>Campaign_Match!$A$6</f>
        <v>CAMP-A</v>
      </c>
      <c r="B6" t="str">
        <f>Campaign_Match!$B$6</f>
        <v>BRAND-A</v>
      </c>
      <c r="C6" t="str">
        <f>Campaign_Profile!$B$7</f>
        <v>Tech Productivity Launch</v>
      </c>
      <c r="D6" t="str">
        <f>Campaign_Match!$C$6</f>
        <v>KOL-02</v>
      </c>
      <c r="E6" t="str">
        <f>Campaign_Match!$D$6</f>
        <v>Rifqi Pratama</v>
      </c>
      <c r="F6" t="str">
        <f>Campaign_Match!$E$6</f>
        <v>TikTok</v>
      </c>
      <c r="G6" t="str">
        <f>Campaign_Match!$F$6</f>
        <v>Tech</v>
      </c>
      <c r="H6">
        <f ca="1">Campaign_Match!$G$6</f>
        <v>93</v>
      </c>
      <c r="I6">
        <f ca="1">Campaign_Match!$M$6</f>
        <v>96.1</v>
      </c>
      <c r="J6">
        <f ca="1">Campaign_Match!$N$6</f>
        <v>93.9</v>
      </c>
      <c r="K6" t="str">
        <f ca="1">Campaign_Match!$O$6</f>
        <v>Excellent Match</v>
      </c>
      <c r="L6">
        <f>Campaign_Match!$I$6</f>
        <v>100</v>
      </c>
      <c r="M6">
        <f>Campaign_Match!$J$6</f>
        <v>95</v>
      </c>
      <c r="N6">
        <f>Campaign_Match!$I$6</f>
        <v>100</v>
      </c>
      <c r="O6">
        <f>Campaign_Match!$J$6</f>
        <v>95</v>
      </c>
      <c r="P6" t="str">
        <f>Campaign_Profile!$B$8</f>
        <v>Awareness</v>
      </c>
    </row>
    <row r="7" spans="1:16">
      <c r="A7" t="str">
        <f>Campaign_Match!$A$7</f>
        <v>CAMP-A</v>
      </c>
      <c r="B7" t="str">
        <f>Campaign_Match!$B$7</f>
        <v>BRAND-A</v>
      </c>
      <c r="C7" t="str">
        <f>Campaign_Profile!$B$7</f>
        <v>Tech Productivity Launch</v>
      </c>
      <c r="D7" t="str">
        <f>Campaign_Match!$C$7</f>
        <v>KOL-03</v>
      </c>
      <c r="E7" t="str">
        <f>Campaign_Match!$D$7</f>
        <v>Salsa Aulia</v>
      </c>
      <c r="F7" t="str">
        <f>Campaign_Match!$E$7</f>
        <v>Instagram</v>
      </c>
      <c r="G7" t="str">
        <f>Campaign_Match!$F$7</f>
        <v>Beauty</v>
      </c>
      <c r="H7">
        <f ca="1">Campaign_Match!$G$7</f>
        <v>48</v>
      </c>
      <c r="I7">
        <f ca="1">Campaign_Match!$M$7</f>
        <v>73.2</v>
      </c>
      <c r="J7">
        <f ca="1">Campaign_Match!$N$7</f>
        <v>55.6</v>
      </c>
      <c r="K7" t="str">
        <f ca="1">Campaign_Match!$O$7</f>
        <v>Good Match</v>
      </c>
      <c r="L7">
        <f>Campaign_Match!$I$7</f>
        <v>80</v>
      </c>
      <c r="M7">
        <f>Campaign_Match!$J$7</f>
        <v>85</v>
      </c>
      <c r="N7">
        <f>Campaign_Match!$I$7</f>
        <v>80</v>
      </c>
      <c r="O7">
        <f>Campaign_Match!$J$7</f>
        <v>85</v>
      </c>
      <c r="P7" t="str">
        <f>Campaign_Profile!$B$8</f>
        <v>Awareness</v>
      </c>
    </row>
    <row r="8" spans="1:16">
      <c r="A8" t="str">
        <f>Campaign_Match!$A$8</f>
        <v>CAMP-A</v>
      </c>
      <c r="B8" t="str">
        <f>Campaign_Match!$B$8</f>
        <v>BRAND-A</v>
      </c>
      <c r="C8" t="str">
        <f>Campaign_Profile!$B$7</f>
        <v>Tech Productivity Launch</v>
      </c>
      <c r="D8" t="str">
        <f>Campaign_Match!$C$8</f>
        <v>KOL-04</v>
      </c>
      <c r="E8" t="str">
        <f>Campaign_Match!$D$8</f>
        <v>Nadia Puspa</v>
      </c>
      <c r="F8" t="str">
        <f>Campaign_Match!$E$8</f>
        <v>TikTok</v>
      </c>
      <c r="G8" t="str">
        <f>Campaign_Match!$F$8</f>
        <v>Beauty</v>
      </c>
      <c r="H8">
        <f ca="1">Campaign_Match!$G$8</f>
        <v>46</v>
      </c>
      <c r="I8">
        <f ca="1">Campaign_Match!$M$8</f>
        <v>76.7</v>
      </c>
      <c r="J8">
        <f ca="1">Campaign_Match!$N$8</f>
        <v>55.2</v>
      </c>
      <c r="K8" t="str">
        <f ca="1">Campaign_Match!$O$8</f>
        <v>Good Match</v>
      </c>
      <c r="L8">
        <f>Campaign_Match!$I$8</f>
        <v>80</v>
      </c>
      <c r="M8">
        <f>Campaign_Match!$J$8</f>
        <v>95</v>
      </c>
      <c r="N8">
        <f>Campaign_Match!$I$8</f>
        <v>80</v>
      </c>
      <c r="O8">
        <f>Campaign_Match!$J$8</f>
        <v>95</v>
      </c>
      <c r="P8" t="str">
        <f>Campaign_Profile!$B$8</f>
        <v>Awareness</v>
      </c>
    </row>
    <row r="9" spans="1:16">
      <c r="A9" t="str">
        <f>Campaign_Match!$A$9</f>
        <v>CAMP-A</v>
      </c>
      <c r="B9" t="str">
        <f>Campaign_Match!$B$9</f>
        <v>BRAND-A</v>
      </c>
      <c r="C9" t="str">
        <f>Campaign_Profile!$B$7</f>
        <v>Tech Productivity Launch</v>
      </c>
      <c r="D9" t="str">
        <f>Campaign_Match!$C$9</f>
        <v>KOL-05</v>
      </c>
      <c r="E9" t="str">
        <f>Campaign_Match!$D$9</f>
        <v>Bimo Saputra</v>
      </c>
      <c r="F9" t="str">
        <f>Campaign_Match!$E$9</f>
        <v>TikTok</v>
      </c>
      <c r="G9" t="str">
        <f>Campaign_Match!$F$9</f>
        <v>Food</v>
      </c>
      <c r="H9">
        <f ca="1">Campaign_Match!$G$9</f>
        <v>45</v>
      </c>
      <c r="I9">
        <f ca="1">Campaign_Match!$M$9</f>
        <v>63.2</v>
      </c>
      <c r="J9">
        <f ca="1">Campaign_Match!$N$9</f>
        <v>50.5</v>
      </c>
      <c r="K9" t="str">
        <f ca="1">Campaign_Match!$O$9</f>
        <v>Weak Match</v>
      </c>
      <c r="L9">
        <f>Campaign_Match!$I$9</f>
        <v>80</v>
      </c>
      <c r="M9">
        <f>Campaign_Match!$J$9</f>
        <v>50</v>
      </c>
      <c r="N9">
        <f>Campaign_Match!$I$9</f>
        <v>80</v>
      </c>
      <c r="O9">
        <f>Campaign_Match!$J$9</f>
        <v>50</v>
      </c>
      <c r="P9" t="str">
        <f>Campaign_Profile!$B$8</f>
        <v>Awareness</v>
      </c>
    </row>
    <row r="10" spans="1:16">
      <c r="A10" t="str">
        <f>Campaign_Match!$A$10</f>
        <v>CAMP-A</v>
      </c>
      <c r="B10" t="str">
        <f>Campaign_Match!$B$10</f>
        <v>BRAND-A</v>
      </c>
      <c r="C10" t="str">
        <f>Campaign_Profile!$B$7</f>
        <v>Tech Productivity Launch</v>
      </c>
      <c r="D10" t="str">
        <f>Campaign_Match!$C$10</f>
        <v>KOL-06</v>
      </c>
      <c r="E10" t="str">
        <f>Campaign_Match!$D$10</f>
        <v>Ayu Lestari</v>
      </c>
      <c r="F10" t="str">
        <f>Campaign_Match!$E$10</f>
        <v>Instagram</v>
      </c>
      <c r="G10" t="str">
        <f>Campaign_Match!$F$10</f>
        <v>Food</v>
      </c>
      <c r="H10">
        <f ca="1">Campaign_Match!$G$10</f>
        <v>44</v>
      </c>
      <c r="I10">
        <f ca="1">Campaign_Match!$M$10</f>
        <v>65.8</v>
      </c>
      <c r="J10">
        <f ca="1">Campaign_Match!$N$10</f>
        <v>50.5</v>
      </c>
      <c r="K10" t="str">
        <f ca="1">Campaign_Match!$O$10</f>
        <v>Weak Match</v>
      </c>
      <c r="L10">
        <f>Campaign_Match!$I$10</f>
        <v>80</v>
      </c>
      <c r="M10">
        <f>Campaign_Match!$J$10</f>
        <v>50</v>
      </c>
      <c r="N10">
        <f>Campaign_Match!$I$10</f>
        <v>80</v>
      </c>
      <c r="O10">
        <f>Campaign_Match!$J$10</f>
        <v>50</v>
      </c>
      <c r="P10" t="str">
        <f>Campaign_Profile!$B$8</f>
        <v>Awareness</v>
      </c>
    </row>
    <row r="11" spans="1:16">
      <c r="A11" t="str">
        <f>Campaign_Match!$A$11</f>
        <v>CAMP-A</v>
      </c>
      <c r="B11" t="str">
        <f>Campaign_Match!$B$11</f>
        <v>BRAND-A</v>
      </c>
      <c r="C11" t="str">
        <f>Campaign_Profile!$B$7</f>
        <v>Tech Productivity Launch</v>
      </c>
      <c r="D11" t="str">
        <f>Campaign_Match!$C$11</f>
        <v>KOL-07</v>
      </c>
      <c r="E11" t="str">
        <f>Campaign_Match!$D$11</f>
        <v>Fajar Ramadhan</v>
      </c>
      <c r="F11" t="str">
        <f>Campaign_Match!$E$11</f>
        <v>Instagram</v>
      </c>
      <c r="G11" t="str">
        <f>Campaign_Match!$F$11</f>
        <v>Finance</v>
      </c>
      <c r="H11">
        <f ca="1">Campaign_Match!$G$11</f>
        <v>87</v>
      </c>
      <c r="I11">
        <f ca="1">Campaign_Match!$M$11</f>
        <v>92.5</v>
      </c>
      <c r="J11">
        <f ca="1">Campaign_Match!$N$11</f>
        <v>88.7</v>
      </c>
      <c r="K11" t="str">
        <f ca="1">Campaign_Match!$O$11</f>
        <v>Excellent Match</v>
      </c>
      <c r="L11">
        <f>Campaign_Match!$I$11</f>
        <v>100</v>
      </c>
      <c r="M11">
        <f>Campaign_Match!$J$11</f>
        <v>70</v>
      </c>
      <c r="N11">
        <f>Campaign_Match!$I$11</f>
        <v>100</v>
      </c>
      <c r="O11">
        <f>Campaign_Match!$J$11</f>
        <v>70</v>
      </c>
      <c r="P11" t="str">
        <f>Campaign_Profile!$B$8</f>
        <v>Awareness</v>
      </c>
    </row>
    <row r="12" spans="1:16">
      <c r="A12" t="str">
        <f>Campaign_Match!$A$12</f>
        <v>CAMP-A</v>
      </c>
      <c r="B12" t="str">
        <f>Campaign_Match!$B$12</f>
        <v>BRAND-A</v>
      </c>
      <c r="C12" t="str">
        <f>Campaign_Profile!$B$7</f>
        <v>Tech Productivity Launch</v>
      </c>
      <c r="D12" t="str">
        <f>Campaign_Match!$C$12</f>
        <v>KOL-08</v>
      </c>
      <c r="E12" t="str">
        <f>Campaign_Match!$D$12</f>
        <v>Tania Wijaya</v>
      </c>
      <c r="F12" t="str">
        <f>Campaign_Match!$E$12</f>
        <v>TikTok</v>
      </c>
      <c r="G12" t="str">
        <f>Campaign_Match!$F$12</f>
        <v>Finance</v>
      </c>
      <c r="H12" t="str">
        <f ca="1">Campaign_Match!$G$12</f>
        <v/>
      </c>
      <c r="I12">
        <f ca="1">Campaign_Match!$M$12</f>
        <v>96.4</v>
      </c>
      <c r="J12" t="e">
        <f ca="1">Campaign_Match!$N$12</f>
        <v>#VALUE!</v>
      </c>
      <c r="K12" t="e">
        <f ca="1">Campaign_Match!$O$12</f>
        <v>#VALUE!</v>
      </c>
      <c r="L12">
        <f>Campaign_Match!$I$12</f>
        <v>100</v>
      </c>
      <c r="M12">
        <f>Campaign_Match!$J$12</f>
        <v>95</v>
      </c>
      <c r="N12">
        <f>Campaign_Match!$I$12</f>
        <v>100</v>
      </c>
      <c r="O12">
        <f>Campaign_Match!$J$12</f>
        <v>95</v>
      </c>
      <c r="P12" t="str">
        <f>Campaign_Profile!$B$8</f>
        <v>Awareness</v>
      </c>
    </row>
    <row r="13" spans="1:16">
      <c r="A13" t="str">
        <f>Campaign_Match!$A$13</f>
        <v>CAMP-A</v>
      </c>
      <c r="B13" t="str">
        <f>Campaign_Match!$B$13</f>
        <v>BRAND-A</v>
      </c>
      <c r="C13" t="str">
        <f>Campaign_Profile!$B$7</f>
        <v>Tech Productivity Launch</v>
      </c>
      <c r="D13" t="str">
        <f>Campaign_Match!$C$13</f>
        <v>KOL-09</v>
      </c>
      <c r="E13" t="str">
        <f>Campaign_Match!$D$13</f>
        <v>Gilang Prakoso</v>
      </c>
      <c r="F13" t="str">
        <f>Campaign_Match!$E$13</f>
        <v>TikTok</v>
      </c>
      <c r="G13" t="str">
        <f>Campaign_Match!$F$13</f>
        <v>Education</v>
      </c>
      <c r="H13">
        <f ca="1">Campaign_Match!$G$13</f>
        <v>81</v>
      </c>
      <c r="I13">
        <f ca="1">Campaign_Match!$M$13</f>
        <v>93.7</v>
      </c>
      <c r="J13">
        <f ca="1">Campaign_Match!$N$13</f>
        <v>84.8</v>
      </c>
      <c r="K13" t="str">
        <f ca="1">Campaign_Match!$O$13</f>
        <v>Strong Match</v>
      </c>
      <c r="L13">
        <f>Campaign_Match!$I$13</f>
        <v>100</v>
      </c>
      <c r="M13">
        <f>Campaign_Match!$J$13</f>
        <v>95</v>
      </c>
      <c r="N13">
        <f>Campaign_Match!$I$13</f>
        <v>100</v>
      </c>
      <c r="O13">
        <f>Campaign_Match!$J$13</f>
        <v>95</v>
      </c>
      <c r="P13" t="str">
        <f>Campaign_Profile!$B$8</f>
        <v>Awareness</v>
      </c>
    </row>
    <row r="14" spans="1:16">
      <c r="A14" t="str">
        <f>Campaign_Match!$A$14</f>
        <v>CAMP-A</v>
      </c>
      <c r="B14" t="str">
        <f>Campaign_Match!$B$14</f>
        <v>BRAND-A</v>
      </c>
      <c r="C14" t="str">
        <f>Campaign_Profile!$B$7</f>
        <v>Tech Productivity Launch</v>
      </c>
      <c r="D14" t="str">
        <f>Campaign_Match!$C$14</f>
        <v>KOL-10</v>
      </c>
      <c r="E14" t="str">
        <f>Campaign_Match!$D$14</f>
        <v>Mira Handayani</v>
      </c>
      <c r="F14" t="str">
        <f>Campaign_Match!$E$14</f>
        <v>Instagram</v>
      </c>
      <c r="G14" t="str">
        <f>Campaign_Match!$F$14</f>
        <v>Education</v>
      </c>
      <c r="H14">
        <f ca="1">Campaign_Match!$G$14</f>
        <v>74</v>
      </c>
      <c r="I14">
        <f ca="1">Campaign_Match!$M$14</f>
        <v>84.2</v>
      </c>
      <c r="J14">
        <f ca="1">Campaign_Match!$N$14</f>
        <v>77.1</v>
      </c>
      <c r="K14" t="str">
        <f ca="1">Campaign_Match!$O$14</f>
        <v>Strong Match</v>
      </c>
      <c r="L14">
        <f>Campaign_Match!$I$14</f>
        <v>80</v>
      </c>
      <c r="M14">
        <f>Campaign_Match!$J$14</f>
        <v>95</v>
      </c>
      <c r="N14">
        <f>Campaign_Match!$I$14</f>
        <v>80</v>
      </c>
      <c r="O14">
        <f>Campaign_Match!$J$14</f>
        <v>95</v>
      </c>
      <c r="P14" t="str">
        <f>Campaign_Profile!$B$8</f>
        <v>Awareness</v>
      </c>
    </row>
    <row r="15" spans="1:16">
      <c r="A15" t="str">
        <f>Campaign_Match!$A$15</f>
        <v>CAMP-A</v>
      </c>
      <c r="B15" t="str">
        <f>Campaign_Match!$B$15</f>
        <v>BRAND-A</v>
      </c>
      <c r="C15" t="str">
        <f>Campaign_Profile!$B$7</f>
        <v>Tech Productivity Launch</v>
      </c>
      <c r="D15" t="str">
        <f>Campaign_Match!$C$15</f>
        <v>KOL-11</v>
      </c>
      <c r="E15" t="str">
        <f>Campaign_Match!$D$15</f>
        <v>Dimas Anggara</v>
      </c>
      <c r="F15" t="str">
        <f>Campaign_Match!$E$15</f>
        <v>Instagram</v>
      </c>
      <c r="G15" t="str">
        <f>Campaign_Match!$F$15</f>
        <v>Fitness</v>
      </c>
      <c r="H15" t="str">
        <f ca="1">Campaign_Match!$G$15</f>
        <v/>
      </c>
      <c r="I15">
        <f ca="1">Campaign_Match!$M$15</f>
        <v>70.9</v>
      </c>
      <c r="J15" t="e">
        <f ca="1">Campaign_Match!$N$15</f>
        <v>#VALUE!</v>
      </c>
      <c r="K15" t="e">
        <f ca="1">Campaign_Match!$O$15</f>
        <v>#VALUE!</v>
      </c>
      <c r="L15">
        <f>Campaign_Match!$I$15</f>
        <v>80</v>
      </c>
      <c r="M15">
        <f>Campaign_Match!$J$15</f>
        <v>70</v>
      </c>
      <c r="N15">
        <f>Campaign_Match!$I$15</f>
        <v>80</v>
      </c>
      <c r="O15">
        <f>Campaign_Match!$J$15</f>
        <v>70</v>
      </c>
      <c r="P15" t="str">
        <f>Campaign_Profile!$B$8</f>
        <v>Awareness</v>
      </c>
    </row>
    <row r="16" spans="1:16">
      <c r="A16" t="str">
        <f>Campaign_Match!$A$16</f>
        <v>CAMP-A</v>
      </c>
      <c r="B16" t="str">
        <f>Campaign_Match!$B$16</f>
        <v>BRAND-A</v>
      </c>
      <c r="C16" t="str">
        <f>Campaign_Profile!$B$7</f>
        <v>Tech Productivity Launch</v>
      </c>
      <c r="D16" t="str">
        <f>Campaign_Match!$C$16</f>
        <v>KOL-12</v>
      </c>
      <c r="E16" t="str">
        <f>Campaign_Match!$D$16</f>
        <v>Rani Kusuma</v>
      </c>
      <c r="F16" t="str">
        <f>Campaign_Match!$E$16</f>
        <v>TikTok</v>
      </c>
      <c r="G16" t="str">
        <f>Campaign_Match!$F$16</f>
        <v>Fitness</v>
      </c>
      <c r="H16">
        <f ca="1">Campaign_Match!$G$16</f>
        <v>48</v>
      </c>
      <c r="I16">
        <f ca="1">Campaign_Match!$M$16</f>
        <v>70.5</v>
      </c>
      <c r="J16">
        <f ca="1">Campaign_Match!$N$16</f>
        <v>54.8</v>
      </c>
      <c r="K16" t="str">
        <f ca="1">Campaign_Match!$O$16</f>
        <v>Weak Match</v>
      </c>
      <c r="L16">
        <f>Campaign_Match!$I$16</f>
        <v>80</v>
      </c>
      <c r="M16">
        <f>Campaign_Match!$J$16</f>
        <v>70</v>
      </c>
      <c r="N16">
        <f>Campaign_Match!$I$16</f>
        <v>80</v>
      </c>
      <c r="O16">
        <f>Campaign_Match!$J$16</f>
        <v>70</v>
      </c>
      <c r="P16" t="str">
        <f>Campaign_Profile!$B$8</f>
        <v>Awareness</v>
      </c>
    </row>
    <row r="17" spans="1:16">
      <c r="A17" t="str">
        <f>Campaign_Match!$A$17</f>
        <v>CAMP-A</v>
      </c>
      <c r="B17" t="str">
        <f>Campaign_Match!$B$17</f>
        <v>BRAND-A</v>
      </c>
      <c r="C17" t="str">
        <f>Campaign_Profile!$B$7</f>
        <v>Tech Productivity Launch</v>
      </c>
      <c r="D17" t="str">
        <f>Campaign_Match!$C$17</f>
        <v>KOL-13</v>
      </c>
      <c r="E17" t="str">
        <f>Campaign_Match!$D$17</f>
        <v>Kevin Halim</v>
      </c>
      <c r="F17" t="str">
        <f>Campaign_Match!$E$17</f>
        <v>Instagram</v>
      </c>
      <c r="G17" t="str">
        <f>Campaign_Match!$F$17</f>
        <v>Fashion</v>
      </c>
      <c r="H17">
        <f ca="1">Campaign_Match!$G$17</f>
        <v>45</v>
      </c>
      <c r="I17">
        <f ca="1">Campaign_Match!$M$17</f>
        <v>61.4</v>
      </c>
      <c r="J17">
        <f ca="1">Campaign_Match!$N$17</f>
        <v>49.9</v>
      </c>
      <c r="K17" t="str">
        <f ca="1">Campaign_Match!$O$17</f>
        <v>Weak Match</v>
      </c>
      <c r="L17">
        <f>Campaign_Match!$I$17</f>
        <v>45</v>
      </c>
      <c r="M17">
        <f>Campaign_Match!$J$17</f>
        <v>95</v>
      </c>
      <c r="N17">
        <f>Campaign_Match!$I$17</f>
        <v>45</v>
      </c>
      <c r="O17">
        <f>Campaign_Match!$J$17</f>
        <v>95</v>
      </c>
      <c r="P17" t="str">
        <f>Campaign_Profile!$B$8</f>
        <v>Awareness</v>
      </c>
    </row>
    <row r="18" spans="1:16">
      <c r="A18" t="str">
        <f>Campaign_Match!$A$18</f>
        <v>CAMP-A</v>
      </c>
      <c r="B18" t="str">
        <f>Campaign_Match!$B$18</f>
        <v>BRAND-A</v>
      </c>
      <c r="C18" t="str">
        <f>Campaign_Profile!$B$7</f>
        <v>Tech Productivity Launch</v>
      </c>
      <c r="D18" t="str">
        <f>Campaign_Match!$C$18</f>
        <v>KOL-14</v>
      </c>
      <c r="E18" t="str">
        <f>Campaign_Match!$D$18</f>
        <v>Zahra Amelia</v>
      </c>
      <c r="F18" t="str">
        <f>Campaign_Match!$E$18</f>
        <v>Instagram</v>
      </c>
      <c r="G18" t="str">
        <f>Campaign_Match!$F$18</f>
        <v>Fashion</v>
      </c>
      <c r="H18" t="str">
        <f ca="1">Campaign_Match!$G$18</f>
        <v/>
      </c>
      <c r="I18">
        <f ca="1">Campaign_Match!$M$18</f>
        <v>50</v>
      </c>
      <c r="J18" t="e">
        <f ca="1">Campaign_Match!$N$18</f>
        <v>#VALUE!</v>
      </c>
      <c r="K18" t="e">
        <f ca="1">Campaign_Match!$O$18</f>
        <v>#VALUE!</v>
      </c>
      <c r="L18">
        <f>Campaign_Match!$I$18</f>
        <v>45</v>
      </c>
      <c r="M18">
        <f>Campaign_Match!$J$18</f>
        <v>60</v>
      </c>
      <c r="N18">
        <f>Campaign_Match!$I$18</f>
        <v>45</v>
      </c>
      <c r="O18">
        <f>Campaign_Match!$J$18</f>
        <v>60</v>
      </c>
      <c r="P18" t="str">
        <f>Campaign_Profile!$B$8</f>
        <v>Awareness</v>
      </c>
    </row>
    <row r="19" spans="1:16">
      <c r="A19" t="str">
        <f>Campaign_Match!$A$19</f>
        <v>CAMP-A</v>
      </c>
      <c r="B19" t="str">
        <f>Campaign_Match!$B$19</f>
        <v>BRAND-A</v>
      </c>
      <c r="C19" t="str">
        <f>Campaign_Profile!$B$7</f>
        <v>Tech Productivity Launch</v>
      </c>
      <c r="D19" t="str">
        <f>Campaign_Match!$C$19</f>
        <v>KOL-15</v>
      </c>
      <c r="E19" t="str">
        <f>Campaign_Match!$D$19</f>
        <v>Andini Rahma</v>
      </c>
      <c r="F19" t="str">
        <f>Campaign_Match!$E$19</f>
        <v>Instagram</v>
      </c>
      <c r="G19" t="str">
        <f>Campaign_Match!$F$19</f>
        <v>Lifestyle</v>
      </c>
      <c r="H19">
        <f ca="1">Campaign_Match!$G$19</f>
        <v>48</v>
      </c>
      <c r="I19">
        <f ca="1">Campaign_Match!$M$19</f>
        <v>50.9</v>
      </c>
      <c r="J19">
        <f ca="1">Campaign_Match!$N$19</f>
        <v>48.9</v>
      </c>
      <c r="K19" t="str">
        <f ca="1">Campaign_Match!$O$19</f>
        <v>Weak Match</v>
      </c>
      <c r="L19">
        <f>Campaign_Match!$I$19</f>
        <v>45</v>
      </c>
      <c r="M19">
        <f>Campaign_Match!$J$19</f>
        <v>50</v>
      </c>
      <c r="N19">
        <f>Campaign_Match!$I$19</f>
        <v>45</v>
      </c>
      <c r="O19">
        <f>Campaign_Match!$J$19</f>
        <v>50</v>
      </c>
      <c r="P19" t="str">
        <f>Campaign_Profile!$B$8</f>
        <v>Awareness</v>
      </c>
    </row>
    <row r="20" spans="1:16">
      <c r="A20" t="str">
        <f>Campaign_Match!$A$20</f>
        <v>CAMP-A</v>
      </c>
      <c r="B20" t="str">
        <f>Campaign_Match!$B$20</f>
        <v>BRAND-A</v>
      </c>
      <c r="C20" t="str">
        <f>Campaign_Profile!$B$7</f>
        <v>Tech Productivity Launch</v>
      </c>
      <c r="D20" t="str">
        <f>Campaign_Match!$C$20</f>
        <v>KOL-16</v>
      </c>
      <c r="E20" t="str">
        <f>Campaign_Match!$D$20</f>
        <v>Yoga Pratama</v>
      </c>
      <c r="F20" t="str">
        <f>Campaign_Match!$E$20</f>
        <v>TikTok</v>
      </c>
      <c r="G20" t="str">
        <f>Campaign_Match!$F$20</f>
        <v>Lifestyle</v>
      </c>
      <c r="H20">
        <f ca="1">Campaign_Match!$G$20</f>
        <v>67</v>
      </c>
      <c r="I20">
        <f ca="1">Campaign_Match!$M$20</f>
        <v>64.9</v>
      </c>
      <c r="J20">
        <f ca="1">Campaign_Match!$N$20</f>
        <v>66.4</v>
      </c>
      <c r="K20" t="str">
        <f ca="1">Campaign_Match!$O$20</f>
        <v>Good Match</v>
      </c>
      <c r="L20">
        <f>Campaign_Match!$I$20</f>
        <v>45</v>
      </c>
      <c r="M20">
        <f>Campaign_Match!$J$20</f>
        <v>70</v>
      </c>
      <c r="N20">
        <f>Campaign_Match!$I$20</f>
        <v>45</v>
      </c>
      <c r="O20">
        <f>Campaign_Match!$J$20</f>
        <v>70</v>
      </c>
      <c r="P20" t="str">
        <f>Campaign_Profile!$B$8</f>
        <v>Awareness</v>
      </c>
    </row>
    <row r="21" spans="1:16">
      <c r="A21" t="str">
        <f>Campaign_Match!$A$21</f>
        <v>CAMP-A</v>
      </c>
      <c r="B21" t="str">
        <f>Campaign_Match!$B$21</f>
        <v>BRAND-A</v>
      </c>
      <c r="C21" t="str">
        <f>Campaign_Profile!$B$7</f>
        <v>Tech Productivity Launch</v>
      </c>
      <c r="D21" t="str">
        <f>Campaign_Match!$C$21</f>
        <v>KOL-17</v>
      </c>
      <c r="E21" t="str">
        <f>Campaign_Match!$D$21</f>
        <v>Sinta Maharani</v>
      </c>
      <c r="F21" t="str">
        <f>Campaign_Match!$E$21</f>
        <v>Instagram</v>
      </c>
      <c r="G21" t="str">
        <f>Campaign_Match!$F$21</f>
        <v>Travel</v>
      </c>
      <c r="H21">
        <f ca="1">Campaign_Match!$G$21</f>
        <v>42</v>
      </c>
      <c r="I21">
        <f ca="1">Campaign_Match!$M$21</f>
        <v>50</v>
      </c>
      <c r="J21">
        <f ca="1">Campaign_Match!$N$21</f>
        <v>44.4</v>
      </c>
      <c r="K21" t="str">
        <f ca="1">Campaign_Match!$O$21</f>
        <v>Weak Match</v>
      </c>
      <c r="L21">
        <f>Campaign_Match!$I$21</f>
        <v>45</v>
      </c>
      <c r="M21">
        <f>Campaign_Match!$J$21</f>
        <v>60</v>
      </c>
      <c r="N21">
        <f>Campaign_Match!$I$21</f>
        <v>45</v>
      </c>
      <c r="O21">
        <f>Campaign_Match!$J$21</f>
        <v>60</v>
      </c>
      <c r="P21" t="str">
        <f>Campaign_Profile!$B$8</f>
        <v>Awareness</v>
      </c>
    </row>
    <row r="22" spans="1:16">
      <c r="A22" t="str">
        <f>Campaign_Match!$A$22</f>
        <v>CAMP-A</v>
      </c>
      <c r="B22" t="str">
        <f>Campaign_Match!$B$22</f>
        <v>BRAND-A</v>
      </c>
      <c r="C22" t="str">
        <f>Campaign_Profile!$B$7</f>
        <v>Tech Productivity Launch</v>
      </c>
      <c r="D22" t="str">
        <f>Campaign_Match!$C$22</f>
        <v>KOL-18</v>
      </c>
      <c r="E22" t="str">
        <f>Campaign_Match!$D$22</f>
        <v>Reza Fadillah</v>
      </c>
      <c r="F22" t="str">
        <f>Campaign_Match!$E$22</f>
        <v>TikTok</v>
      </c>
      <c r="G22" t="str">
        <f>Campaign_Match!$F$22</f>
        <v>Travel</v>
      </c>
      <c r="H22">
        <f ca="1">Campaign_Match!$G$22</f>
        <v>48</v>
      </c>
      <c r="I22">
        <f ca="1">Campaign_Match!$M$22</f>
        <v>48.1</v>
      </c>
      <c r="J22">
        <f ca="1">Campaign_Match!$N$22</f>
        <v>48</v>
      </c>
      <c r="K22" t="str">
        <f ca="1">Campaign_Match!$O$22</f>
        <v>Weak Match</v>
      </c>
      <c r="L22">
        <f>Campaign_Match!$I$22</f>
        <v>45</v>
      </c>
      <c r="M22">
        <f>Campaign_Match!$J$22</f>
        <v>40</v>
      </c>
      <c r="N22">
        <f>Campaign_Match!$I$22</f>
        <v>45</v>
      </c>
      <c r="O22">
        <f>Campaign_Match!$J$22</f>
        <v>40</v>
      </c>
      <c r="P22" t="str">
        <f>Campaign_Profile!$B$8</f>
        <v>Awareness</v>
      </c>
    </row>
    <row r="23" spans="1:16">
      <c r="A23" t="str">
        <f>Campaign_Match!$A$23</f>
        <v>CAMP-A</v>
      </c>
      <c r="B23" t="str">
        <f>Campaign_Match!$B$23</f>
        <v>BRAND-A</v>
      </c>
      <c r="C23" t="str">
        <f>Campaign_Profile!$B$7</f>
        <v>Tech Productivity Launch</v>
      </c>
      <c r="D23" t="str">
        <f>Campaign_Match!$C$23</f>
        <v>KOL-19</v>
      </c>
      <c r="E23" t="str">
        <f>Campaign_Match!$D$23</f>
        <v>Putri Amanda</v>
      </c>
      <c r="F23" t="str">
        <f>Campaign_Match!$E$23</f>
        <v>Instagram</v>
      </c>
      <c r="G23" t="str">
        <f>Campaign_Match!$F$23</f>
        <v>Parenting</v>
      </c>
      <c r="H23">
        <f ca="1">Campaign_Match!$G$23</f>
        <v>41</v>
      </c>
      <c r="I23">
        <f ca="1">Campaign_Match!$M$23</f>
        <v>49.7</v>
      </c>
      <c r="J23">
        <f ca="1">Campaign_Match!$N$23</f>
        <v>43.6</v>
      </c>
      <c r="K23" t="str">
        <f ca="1">Campaign_Match!$O$23</f>
        <v>Weak Match</v>
      </c>
      <c r="L23">
        <f>Campaign_Match!$I$23</f>
        <v>45</v>
      </c>
      <c r="M23">
        <f>Campaign_Match!$J$23</f>
        <v>50</v>
      </c>
      <c r="N23">
        <f>Campaign_Match!$I$23</f>
        <v>45</v>
      </c>
      <c r="O23">
        <f>Campaign_Match!$J$23</f>
        <v>50</v>
      </c>
      <c r="P23" t="str">
        <f>Campaign_Profile!$B$8</f>
        <v>Awareness</v>
      </c>
    </row>
    <row r="24" spans="1:16">
      <c r="A24" t="str">
        <f>Campaign_Match!$A$24</f>
        <v>CAMP-A</v>
      </c>
      <c r="B24" t="str">
        <f>Campaign_Match!$B$24</f>
        <v>BRAND-A</v>
      </c>
      <c r="C24" t="str">
        <f>Campaign_Profile!$B$7</f>
        <v>Tech Productivity Launch</v>
      </c>
      <c r="D24" t="str">
        <f>Campaign_Match!$C$24</f>
        <v>KOL-20</v>
      </c>
      <c r="E24" t="str">
        <f>Campaign_Match!$D$24</f>
        <v>Hendra Wijoyo</v>
      </c>
      <c r="F24" t="str">
        <f>Campaign_Match!$E$24</f>
        <v>TikTok</v>
      </c>
      <c r="G24" t="str">
        <f>Campaign_Match!$F$24</f>
        <v>Parenting</v>
      </c>
      <c r="H24">
        <f ca="1">Campaign_Match!$G$24</f>
        <v>45</v>
      </c>
      <c r="I24">
        <f ca="1">Campaign_Match!$M$24</f>
        <v>44.1</v>
      </c>
      <c r="J24">
        <f ca="1">Campaign_Match!$N$24</f>
        <v>44.7</v>
      </c>
      <c r="K24" t="str">
        <f ca="1">Campaign_Match!$O$24</f>
        <v>Weak Match</v>
      </c>
      <c r="L24">
        <f>Campaign_Match!$I$24</f>
        <v>45</v>
      </c>
      <c r="M24">
        <f>Campaign_Match!$J$24</f>
        <v>30</v>
      </c>
      <c r="N24">
        <f>Campaign_Match!$I$24</f>
        <v>45</v>
      </c>
      <c r="O24">
        <f>Campaign_Match!$J$24</f>
        <v>30</v>
      </c>
      <c r="P24" t="str">
        <f>Campaign_Profile!$B$8</f>
        <v>Awareness</v>
      </c>
    </row>
    <row r="25" spans="1:16">
      <c r="A25" t="str">
        <f>Campaign_Match!$A$25</f>
        <v>CAMP-A</v>
      </c>
      <c r="B25" t="str">
        <f>Campaign_Match!$B$25</f>
        <v>BRAND-A</v>
      </c>
      <c r="C25" t="str">
        <f>Campaign_Profile!$B$7</f>
        <v>Tech Productivity Launch</v>
      </c>
      <c r="D25" t="str">
        <f>Campaign_Match!$C$25</f>
        <v>KOL-21</v>
      </c>
      <c r="E25" t="str">
        <f>Campaign_Match!$D$25</f>
        <v>Bagas Setiawan</v>
      </c>
      <c r="F25" t="str">
        <f>Campaign_Match!$E$25</f>
        <v>TikTok</v>
      </c>
      <c r="G25" t="str">
        <f>Campaign_Match!$F$25</f>
        <v>Entertainment</v>
      </c>
      <c r="H25" t="str">
        <f ca="1">Campaign_Match!$G$25</f>
        <v/>
      </c>
      <c r="I25">
        <f ca="1">Campaign_Match!$M$25</f>
        <v>40.2</v>
      </c>
      <c r="J25" t="e">
        <f ca="1">Campaign_Match!$N$25</f>
        <v>#VALUE!</v>
      </c>
      <c r="K25" t="e">
        <f ca="1">Campaign_Match!$O$25</f>
        <v>#VALUE!</v>
      </c>
      <c r="L25">
        <f>Campaign_Match!$I$25</f>
        <v>45</v>
      </c>
      <c r="M25">
        <f>Campaign_Match!$J$25</f>
        <v>30</v>
      </c>
      <c r="N25">
        <f>Campaign_Match!$I$25</f>
        <v>45</v>
      </c>
      <c r="O25">
        <f>Campaign_Match!$J$25</f>
        <v>30</v>
      </c>
      <c r="P25" t="str">
        <f>Campaign_Profile!$B$8</f>
        <v>Awareness</v>
      </c>
    </row>
    <row r="26" spans="1:16">
      <c r="A26" t="str">
        <f>Campaign_Match!$A$26</f>
        <v>CAMP-A</v>
      </c>
      <c r="B26" t="str">
        <f>Campaign_Match!$B$26</f>
        <v>BRAND-A</v>
      </c>
      <c r="C26" t="str">
        <f>Campaign_Profile!$B$7</f>
        <v>Tech Productivity Launch</v>
      </c>
      <c r="D26" t="str">
        <f>Campaign_Match!$C$26</f>
        <v>KOL-22</v>
      </c>
      <c r="E26" t="str">
        <f>Campaign_Match!$D$26</f>
        <v>Nabila Kirana</v>
      </c>
      <c r="F26" t="str">
        <f>Campaign_Match!$E$26</f>
        <v>Instagram</v>
      </c>
      <c r="G26" t="str">
        <f>Campaign_Match!$F$26</f>
        <v>Entertainment</v>
      </c>
      <c r="H26" t="str">
        <f ca="1">Campaign_Match!$G$26</f>
        <v/>
      </c>
      <c r="I26">
        <f ca="1">Campaign_Match!$M$26</f>
        <v>60.2</v>
      </c>
      <c r="J26" t="e">
        <f ca="1">Campaign_Match!$N$26</f>
        <v>#VALUE!</v>
      </c>
      <c r="K26" t="e">
        <f ca="1">Campaign_Match!$O$26</f>
        <v>#VALUE!</v>
      </c>
      <c r="L26">
        <f>Campaign_Match!$I$26</f>
        <v>45</v>
      </c>
      <c r="M26">
        <f>Campaign_Match!$J$26</f>
        <v>95</v>
      </c>
      <c r="N26">
        <f>Campaign_Match!$I$26</f>
        <v>45</v>
      </c>
      <c r="O26">
        <f>Campaign_Match!$J$26</f>
        <v>95</v>
      </c>
      <c r="P26" t="str">
        <f>Campaign_Profile!$B$8</f>
        <v>Awareness</v>
      </c>
    </row>
    <row r="27" spans="1:16">
      <c r="A27" t="str">
        <f>Campaign_Match!$A$27</f>
        <v>CAMP-A</v>
      </c>
      <c r="B27" t="str">
        <f>Campaign_Match!$B$27</f>
        <v>BRAND-A</v>
      </c>
      <c r="C27" t="str">
        <f>Campaign_Profile!$B$7</f>
        <v>Tech Productivity Launch</v>
      </c>
      <c r="D27" t="str">
        <f>Campaign_Match!$C$27</f>
        <v>KOL-23</v>
      </c>
      <c r="E27" t="str">
        <f>Campaign_Match!$D$27</f>
        <v>Arya Mahendra</v>
      </c>
      <c r="F27" t="str">
        <f>Campaign_Match!$E$27</f>
        <v>TikTok</v>
      </c>
      <c r="G27" t="str">
        <f>Campaign_Match!$F$27</f>
        <v>Gaming</v>
      </c>
      <c r="H27">
        <f ca="1">Campaign_Match!$G$27</f>
        <v>57</v>
      </c>
      <c r="I27">
        <f ca="1">Campaign_Match!$M$27</f>
        <v>47.9</v>
      </c>
      <c r="J27">
        <f ca="1">Campaign_Match!$N$27</f>
        <v>54.3</v>
      </c>
      <c r="K27" t="str">
        <f ca="1">Campaign_Match!$O$27</f>
        <v>Weak Match</v>
      </c>
      <c r="L27">
        <f>Campaign_Match!$I$27</f>
        <v>45</v>
      </c>
      <c r="M27">
        <f>Campaign_Match!$J$27</f>
        <v>45</v>
      </c>
      <c r="N27">
        <f>Campaign_Match!$I$27</f>
        <v>45</v>
      </c>
      <c r="O27">
        <f>Campaign_Match!$J$27</f>
        <v>45</v>
      </c>
      <c r="P27" t="str">
        <f>Campaign_Profile!$B$8</f>
        <v>Awareness</v>
      </c>
    </row>
    <row r="28" spans="1:16">
      <c r="A28" t="str">
        <f>Campaign_Match!$A$28</f>
        <v>CAMP-A</v>
      </c>
      <c r="B28" t="str">
        <f>Campaign_Match!$B$28</f>
        <v>BRAND-A</v>
      </c>
      <c r="C28" t="str">
        <f>Campaign_Profile!$B$7</f>
        <v>Tech Productivity Launch</v>
      </c>
      <c r="D28" t="str">
        <f>Campaign_Match!$C$28</f>
        <v>KOL-24</v>
      </c>
      <c r="E28" t="str">
        <f>Campaign_Match!$D$28</f>
        <v>Rio Saputra</v>
      </c>
      <c r="F28" t="str">
        <f>Campaign_Match!$E$28</f>
        <v>Instagram</v>
      </c>
      <c r="G28" t="str">
        <f>Campaign_Match!$F$28</f>
        <v>Gaming</v>
      </c>
      <c r="H28">
        <f ca="1">Campaign_Match!$G$28</f>
        <v>66</v>
      </c>
      <c r="I28">
        <f ca="1">Campaign_Match!$M$28</f>
        <v>81.4</v>
      </c>
      <c r="J28">
        <f ca="1">Campaign_Match!$N$28</f>
        <v>70.6</v>
      </c>
      <c r="K28" t="str">
        <f ca="1">Campaign_Match!$O$28</f>
        <v>Strong Match</v>
      </c>
      <c r="L28">
        <f>Campaign_Match!$I$28</f>
        <v>80</v>
      </c>
      <c r="M28">
        <f>Campaign_Match!$J$28</f>
        <v>100</v>
      </c>
      <c r="N28">
        <f>Campaign_Match!$I$28</f>
        <v>80</v>
      </c>
      <c r="O28">
        <f>Campaign_Match!$J$28</f>
        <v>100</v>
      </c>
      <c r="P28" t="str">
        <f>Campaign_Profile!$B$8</f>
        <v>Awareness</v>
      </c>
    </row>
    <row r="29" spans="1:16">
      <c r="A29" t="str">
        <f>Campaign_Match!$A$29</f>
        <v>CAMP-A</v>
      </c>
      <c r="B29" t="str">
        <f>Campaign_Match!$B$29</f>
        <v>BRAND-A</v>
      </c>
      <c r="C29" t="str">
        <f>Campaign_Profile!$B$7</f>
        <v>Tech Productivity Launch</v>
      </c>
      <c r="D29" t="str">
        <f>Campaign_Match!$C$29</f>
        <v>KOL-25</v>
      </c>
      <c r="E29" t="str">
        <f>Campaign_Match!$D$29</f>
        <v>Denny Kurniawan</v>
      </c>
      <c r="F29" t="str">
        <f>Campaign_Match!$E$29</f>
        <v>TikTok</v>
      </c>
      <c r="G29" t="str">
        <f>Campaign_Match!$F$29</f>
        <v>Automotive</v>
      </c>
      <c r="H29">
        <f ca="1">Campaign_Match!$G$29</f>
        <v>54</v>
      </c>
      <c r="I29">
        <f ca="1">Campaign_Match!$M$29</f>
        <v>48.1</v>
      </c>
      <c r="J29">
        <f ca="1">Campaign_Match!$N$29</f>
        <v>52.2</v>
      </c>
      <c r="K29" t="str">
        <f ca="1">Campaign_Match!$O$29</f>
        <v>Weak Match</v>
      </c>
      <c r="L29">
        <f>Campaign_Match!$I$29</f>
        <v>45</v>
      </c>
      <c r="M29">
        <f>Campaign_Match!$J$29</f>
        <v>40</v>
      </c>
      <c r="N29">
        <f>Campaign_Match!$I$29</f>
        <v>45</v>
      </c>
      <c r="O29">
        <f>Campaign_Match!$J$29</f>
        <v>40</v>
      </c>
      <c r="P29" t="str">
        <f>Campaign_Profile!$B$8</f>
        <v>Awareness</v>
      </c>
    </row>
    <row r="30" spans="1:16">
      <c r="A30" t="str">
        <f>Campaign_Match!$A$30</f>
        <v>CAMP-A</v>
      </c>
      <c r="B30" t="str">
        <f>Campaign_Match!$B$30</f>
        <v>BRAND-A</v>
      </c>
      <c r="C30" t="str">
        <f>Campaign_Profile!$B$7</f>
        <v>Tech Productivity Launch</v>
      </c>
      <c r="D30" t="str">
        <f>Campaign_Match!$C$30</f>
        <v>KOL-26</v>
      </c>
      <c r="E30" t="str">
        <f>Campaign_Match!$D$30</f>
        <v>Wisnu Adi</v>
      </c>
      <c r="F30" t="str">
        <f>Campaign_Match!$E$30</f>
        <v>Instagram</v>
      </c>
      <c r="G30" t="str">
        <f>Campaign_Match!$F$30</f>
        <v>Automotive</v>
      </c>
      <c r="H30" t="str">
        <f ca="1">Campaign_Match!$G$30</f>
        <v/>
      </c>
      <c r="I30">
        <f ca="1">Campaign_Match!$M$30</f>
        <v>76.9</v>
      </c>
      <c r="J30" t="e">
        <f ca="1">Campaign_Match!$N$30</f>
        <v>#VALUE!</v>
      </c>
      <c r="K30" t="e">
        <f ca="1">Campaign_Match!$O$30</f>
        <v>#VALUE!</v>
      </c>
      <c r="L30">
        <f>Campaign_Match!$I$30</f>
        <v>80</v>
      </c>
      <c r="M30">
        <f>Campaign_Match!$J$30</f>
        <v>70</v>
      </c>
      <c r="N30">
        <f>Campaign_Match!$I$30</f>
        <v>80</v>
      </c>
      <c r="O30">
        <f>Campaign_Match!$J$30</f>
        <v>70</v>
      </c>
      <c r="P30" t="str">
        <f>Campaign_Profile!$B$8</f>
        <v>Awareness</v>
      </c>
    </row>
    <row r="31" spans="1:16">
      <c r="A31" t="str">
        <f>Campaign_Match!$A$31</f>
        <v>CAMP-A</v>
      </c>
      <c r="B31" t="str">
        <f>Campaign_Match!$B$31</f>
        <v>BRAND-A</v>
      </c>
      <c r="C31" t="str">
        <f>Campaign_Profile!$B$7</f>
        <v>Tech Productivity Launch</v>
      </c>
      <c r="D31" t="str">
        <f>Campaign_Match!$C$31</f>
        <v>KOL-27</v>
      </c>
      <c r="E31" t="str">
        <f>Campaign_Match!$D$31</f>
        <v>Laras Ayu</v>
      </c>
      <c r="F31" t="str">
        <f>Campaign_Match!$E$31</f>
        <v>Instagram</v>
      </c>
      <c r="G31" t="str">
        <f>Campaign_Match!$F$31</f>
        <v>Home &amp; Living</v>
      </c>
      <c r="H31">
        <f ca="1">Campaign_Match!$G$31</f>
        <v>42</v>
      </c>
      <c r="I31">
        <f ca="1">Campaign_Match!$M$31</f>
        <v>50</v>
      </c>
      <c r="J31">
        <f ca="1">Campaign_Match!$N$31</f>
        <v>44.4</v>
      </c>
      <c r="K31" t="str">
        <f ca="1">Campaign_Match!$O$31</f>
        <v>Weak Match</v>
      </c>
      <c r="L31">
        <f>Campaign_Match!$I$31</f>
        <v>45</v>
      </c>
      <c r="M31">
        <f>Campaign_Match!$J$31</f>
        <v>60</v>
      </c>
      <c r="N31">
        <f>Campaign_Match!$I$31</f>
        <v>45</v>
      </c>
      <c r="O31">
        <f>Campaign_Match!$J$31</f>
        <v>60</v>
      </c>
      <c r="P31" t="str">
        <f>Campaign_Profile!$B$8</f>
        <v>Awareness</v>
      </c>
    </row>
    <row r="32" spans="1:16">
      <c r="A32" t="str">
        <f>Campaign_Match!$A$32</f>
        <v>CAMP-A</v>
      </c>
      <c r="B32" t="str">
        <f>Campaign_Match!$B$32</f>
        <v>BRAND-A</v>
      </c>
      <c r="C32" t="str">
        <f>Campaign_Profile!$B$7</f>
        <v>Tech Productivity Launch</v>
      </c>
      <c r="D32" t="str">
        <f>Campaign_Match!$C$32</f>
        <v>KOL-28</v>
      </c>
      <c r="E32" t="str">
        <f>Campaign_Match!$D$32</f>
        <v>Tiara Nisrina</v>
      </c>
      <c r="F32" t="str">
        <f>Campaign_Match!$E$32</f>
        <v>TikTok</v>
      </c>
      <c r="G32" t="str">
        <f>Campaign_Match!$F$32</f>
        <v>Home &amp; Living</v>
      </c>
      <c r="H32">
        <f ca="1">Campaign_Match!$G$32</f>
        <v>55</v>
      </c>
      <c r="I32">
        <f ca="1">Campaign_Match!$M$32</f>
        <v>70.6</v>
      </c>
      <c r="J32">
        <f ca="1">Campaign_Match!$N$32</f>
        <v>59.7</v>
      </c>
      <c r="K32" t="str">
        <f ca="1">Campaign_Match!$O$32</f>
        <v>Good Match</v>
      </c>
      <c r="L32">
        <f>Campaign_Match!$I$32</f>
        <v>80</v>
      </c>
      <c r="M32">
        <f>Campaign_Match!$J$32</f>
        <v>50</v>
      </c>
      <c r="N32">
        <f>Campaign_Match!$I$32</f>
        <v>80</v>
      </c>
      <c r="O32">
        <f>Campaign_Match!$J$32</f>
        <v>50</v>
      </c>
      <c r="P32" t="str">
        <f>Campaign_Profile!$B$8</f>
        <v>Awareness</v>
      </c>
    </row>
    <row r="33" spans="1:16">
      <c r="A33" t="str">
        <f>Campaign_Match!$A$33</f>
        <v>CAMP-A</v>
      </c>
      <c r="B33" t="str">
        <f>Campaign_Match!$B$33</f>
        <v>BRAND-A</v>
      </c>
      <c r="C33" t="str">
        <f>Campaign_Profile!$B$7</f>
        <v>Tech Productivity Launch</v>
      </c>
      <c r="D33" t="str">
        <f>Campaign_Match!$C$33</f>
        <v>KOL-29</v>
      </c>
      <c r="E33" t="str">
        <f>Campaign_Match!$D$33</f>
        <v>Sekar Ayu</v>
      </c>
      <c r="F33" t="str">
        <f>Campaign_Match!$E$33</f>
        <v>TikTok</v>
      </c>
      <c r="G33" t="str">
        <f>Campaign_Match!$F$33</f>
        <v>Beauty</v>
      </c>
      <c r="H33">
        <f ca="1">Campaign_Match!$G$33</f>
        <v>47</v>
      </c>
      <c r="I33">
        <f ca="1">Campaign_Match!$M$33</f>
        <v>61.7</v>
      </c>
      <c r="J33">
        <f ca="1">Campaign_Match!$N$33</f>
        <v>51.4</v>
      </c>
      <c r="K33" t="str">
        <f ca="1">Campaign_Match!$O$33</f>
        <v>Weak Match</v>
      </c>
      <c r="L33">
        <f>Campaign_Match!$I$33</f>
        <v>80</v>
      </c>
      <c r="M33">
        <f>Campaign_Match!$J$33</f>
        <v>50</v>
      </c>
      <c r="N33">
        <f>Campaign_Match!$I$33</f>
        <v>80</v>
      </c>
      <c r="O33">
        <f>Campaign_Match!$J$33</f>
        <v>50</v>
      </c>
      <c r="P33" t="str">
        <f>Campaign_Profile!$B$8</f>
        <v>Awareness</v>
      </c>
    </row>
    <row r="34" spans="1:16">
      <c r="A34" t="str">
        <f>Campaign_Match!$A$34</f>
        <v>CAMP-A</v>
      </c>
      <c r="B34" t="str">
        <f>Campaign_Match!$B$34</f>
        <v>BRAND-A</v>
      </c>
      <c r="C34" t="str">
        <f>Campaign_Profile!$B$7</f>
        <v>Tech Productivity Launch</v>
      </c>
      <c r="D34" t="str">
        <f>Campaign_Match!$C$34</f>
        <v>KOL-30</v>
      </c>
      <c r="E34" t="str">
        <f>Campaign_Match!$D$34</f>
        <v>Ibnu Faisal</v>
      </c>
      <c r="F34" t="str">
        <f>Campaign_Match!$E$34</f>
        <v>Instagram</v>
      </c>
      <c r="G34" t="str">
        <f>Campaign_Match!$F$34</f>
        <v>Finance</v>
      </c>
      <c r="H34">
        <f ca="1">Campaign_Match!$G$34</f>
        <v>82</v>
      </c>
      <c r="I34">
        <f ca="1">Campaign_Match!$M$34</f>
        <v>82.5</v>
      </c>
      <c r="J34">
        <f ca="1">Campaign_Match!$N$34</f>
        <v>82.2</v>
      </c>
      <c r="K34" t="str">
        <f ca="1">Campaign_Match!$O$34</f>
        <v>Strong Match</v>
      </c>
      <c r="L34">
        <f>Campaign_Match!$I$34</f>
        <v>80</v>
      </c>
      <c r="M34">
        <f>Campaign_Match!$J$34</f>
        <v>70</v>
      </c>
      <c r="N34">
        <f>Campaign_Match!$I$34</f>
        <v>80</v>
      </c>
      <c r="O34">
        <f>Campaign_Match!$J$34</f>
        <v>70</v>
      </c>
      <c r="P34" t="str">
        <f>Campaign_Profile!$B$8</f>
        <v>Awareness</v>
      </c>
    </row>
    <row r="35" spans="1:16">
      <c r="A35" t="str">
        <f>Campaign_Match!$A$35</f>
        <v>CAMP-B</v>
      </c>
      <c r="B35" t="str">
        <f>Campaign_Match!$B$35</f>
        <v>BRAND-B</v>
      </c>
      <c r="C35" t="str">
        <f>Campaign_Profile!$C$7</f>
        <v>Glow Up Routine</v>
      </c>
      <c r="D35" t="str">
        <f>Campaign_Match!$C$35</f>
        <v>KOL-01</v>
      </c>
      <c r="E35" t="str">
        <f>Campaign_Match!$D$35</f>
        <v>Ardi Nugraha</v>
      </c>
      <c r="F35" t="str">
        <f>Campaign_Match!$E$35</f>
        <v>Instagram</v>
      </c>
      <c r="G35" t="str">
        <f>Campaign_Match!$F$35</f>
        <v>Tech</v>
      </c>
      <c r="H35" t="str">
        <f ca="1">Campaign_Match!$G$35</f>
        <v/>
      </c>
      <c r="I35">
        <f ca="1">Campaign_Match!$M$35</f>
        <v>81.5</v>
      </c>
      <c r="J35" t="e">
        <f ca="1">Campaign_Match!$N$35</f>
        <v>#VALUE!</v>
      </c>
      <c r="K35" t="e">
        <f ca="1">Campaign_Match!$O$35</f>
        <v>#VALUE!</v>
      </c>
      <c r="L35">
        <f>Campaign_Match!$I$35</f>
        <v>100</v>
      </c>
      <c r="M35">
        <f>Campaign_Match!$J$35</f>
        <v>95</v>
      </c>
      <c r="N35">
        <f>Campaign_Match!$I$35</f>
        <v>100</v>
      </c>
      <c r="O35">
        <f>Campaign_Match!$J$35</f>
        <v>95</v>
      </c>
      <c r="P35" t="str">
        <f>Campaign_Profile!$C$8</f>
        <v>Engagement</v>
      </c>
    </row>
    <row r="36" spans="1:16">
      <c r="A36" t="str">
        <f>Campaign_Match!$A$36</f>
        <v>CAMP-B</v>
      </c>
      <c r="B36" t="str">
        <f>Campaign_Match!$B$36</f>
        <v>BRAND-B</v>
      </c>
      <c r="C36" t="str">
        <f>Campaign_Profile!$C$7</f>
        <v>Glow Up Routine</v>
      </c>
      <c r="D36" t="str">
        <f>Campaign_Match!$C$36</f>
        <v>KOL-02</v>
      </c>
      <c r="E36" t="str">
        <f>Campaign_Match!$D$36</f>
        <v>Rifqi Pratama</v>
      </c>
      <c r="F36" t="str">
        <f>Campaign_Match!$E$36</f>
        <v>TikTok</v>
      </c>
      <c r="G36" t="str">
        <f>Campaign_Match!$F$36</f>
        <v>Tech</v>
      </c>
      <c r="H36">
        <f ca="1">Campaign_Match!$G$36</f>
        <v>45</v>
      </c>
      <c r="I36">
        <f ca="1">Campaign_Match!$M$36</f>
        <v>61.9</v>
      </c>
      <c r="J36">
        <f ca="1">Campaign_Match!$N$36</f>
        <v>50.1</v>
      </c>
      <c r="K36" t="str">
        <f ca="1">Campaign_Match!$O$36</f>
        <v>Weak Match</v>
      </c>
      <c r="L36">
        <f>Campaign_Match!$I$36</f>
        <v>80</v>
      </c>
      <c r="M36">
        <f>Campaign_Match!$J$36</f>
        <v>55</v>
      </c>
      <c r="N36">
        <f>Campaign_Match!$I$36</f>
        <v>80</v>
      </c>
      <c r="O36">
        <f>Campaign_Match!$J$36</f>
        <v>55</v>
      </c>
      <c r="P36" t="str">
        <f>Campaign_Profile!$C$8</f>
        <v>Engagement</v>
      </c>
    </row>
    <row r="37" spans="1:16">
      <c r="A37" t="str">
        <f>Campaign_Match!$A$37</f>
        <v>CAMP-B</v>
      </c>
      <c r="B37" t="str">
        <f>Campaign_Match!$B$37</f>
        <v>BRAND-B</v>
      </c>
      <c r="C37" t="str">
        <f>Campaign_Profile!$C$7</f>
        <v>Glow Up Routine</v>
      </c>
      <c r="D37" t="str">
        <f>Campaign_Match!$C$37</f>
        <v>KOL-03</v>
      </c>
      <c r="E37" t="str">
        <f>Campaign_Match!$D$37</f>
        <v>Salsa Aulia</v>
      </c>
      <c r="F37" t="str">
        <f>Campaign_Match!$E$37</f>
        <v>Instagram</v>
      </c>
      <c r="G37" t="str">
        <f>Campaign_Match!$F$37</f>
        <v>Beauty</v>
      </c>
      <c r="H37" t="str">
        <f ca="1">Campaign_Match!$G$37</f>
        <v/>
      </c>
      <c r="I37">
        <f ca="1">Campaign_Match!$M$37</f>
        <v>92</v>
      </c>
      <c r="J37" t="e">
        <f ca="1">Campaign_Match!$N$37</f>
        <v>#VALUE!</v>
      </c>
      <c r="K37" t="e">
        <f ca="1">Campaign_Match!$O$37</f>
        <v>#VALUE!</v>
      </c>
      <c r="L37">
        <f>Campaign_Match!$I$37</f>
        <v>100</v>
      </c>
      <c r="M37">
        <f>Campaign_Match!$J$37</f>
        <v>95</v>
      </c>
      <c r="N37">
        <f>Campaign_Match!$I$37</f>
        <v>100</v>
      </c>
      <c r="O37">
        <f>Campaign_Match!$J$37</f>
        <v>95</v>
      </c>
      <c r="P37" t="str">
        <f>Campaign_Profile!$C$8</f>
        <v>Engagement</v>
      </c>
    </row>
    <row r="38" spans="1:16">
      <c r="A38" t="str">
        <f>Campaign_Match!$A$38</f>
        <v>CAMP-B</v>
      </c>
      <c r="B38" t="str">
        <f>Campaign_Match!$B$38</f>
        <v>BRAND-B</v>
      </c>
      <c r="C38" t="str">
        <f>Campaign_Profile!$C$7</f>
        <v>Glow Up Routine</v>
      </c>
      <c r="D38" t="str">
        <f>Campaign_Match!$C$38</f>
        <v>KOL-04</v>
      </c>
      <c r="E38" t="str">
        <f>Campaign_Match!$D$38</f>
        <v>Nadia Puspa</v>
      </c>
      <c r="F38" t="str">
        <f>Campaign_Match!$E$38</f>
        <v>TikTok</v>
      </c>
      <c r="G38" t="str">
        <f>Campaign_Match!$F$38</f>
        <v>Beauty</v>
      </c>
      <c r="H38" t="str">
        <f ca="1">Campaign_Match!$G$38</f>
        <v/>
      </c>
      <c r="I38">
        <f ca="1">Campaign_Match!$M$38</f>
        <v>77.8</v>
      </c>
      <c r="J38" t="e">
        <f ca="1">Campaign_Match!$N$38</f>
        <v>#VALUE!</v>
      </c>
      <c r="K38" t="e">
        <f ca="1">Campaign_Match!$O$38</f>
        <v>#VALUE!</v>
      </c>
      <c r="L38">
        <f>Campaign_Match!$I$38</f>
        <v>80</v>
      </c>
      <c r="M38">
        <f>Campaign_Match!$J$38</f>
        <v>65</v>
      </c>
      <c r="N38">
        <f>Campaign_Match!$I$38</f>
        <v>80</v>
      </c>
      <c r="O38">
        <f>Campaign_Match!$J$38</f>
        <v>65</v>
      </c>
      <c r="P38" t="str">
        <f>Campaign_Profile!$C$8</f>
        <v>Engagement</v>
      </c>
    </row>
    <row r="39" spans="1:16">
      <c r="A39" t="str">
        <f>Campaign_Match!$A$39</f>
        <v>CAMP-B</v>
      </c>
      <c r="B39" t="str">
        <f>Campaign_Match!$B$39</f>
        <v>BRAND-B</v>
      </c>
      <c r="C39" t="str">
        <f>Campaign_Profile!$C$7</f>
        <v>Glow Up Routine</v>
      </c>
      <c r="D39" t="str">
        <f>Campaign_Match!$C$39</f>
        <v>KOL-05</v>
      </c>
      <c r="E39" t="str">
        <f>Campaign_Match!$D$39</f>
        <v>Bimo Saputra</v>
      </c>
      <c r="F39" t="str">
        <f>Campaign_Match!$E$39</f>
        <v>TikTok</v>
      </c>
      <c r="G39" t="str">
        <f>Campaign_Match!$F$39</f>
        <v>Food</v>
      </c>
      <c r="H39" t="str">
        <f ca="1">Campaign_Match!$G$39</f>
        <v/>
      </c>
      <c r="I39">
        <f ca="1">Campaign_Match!$M$39</f>
        <v>70.1</v>
      </c>
      <c r="J39" t="e">
        <f ca="1">Campaign_Match!$N$39</f>
        <v>#VALUE!</v>
      </c>
      <c r="K39" t="e">
        <f ca="1">Campaign_Match!$O$39</f>
        <v>#VALUE!</v>
      </c>
      <c r="L39">
        <f>Campaign_Match!$I$39</f>
        <v>100</v>
      </c>
      <c r="M39">
        <f>Campaign_Match!$J$39</f>
        <v>35</v>
      </c>
      <c r="N39">
        <f>Campaign_Match!$I$39</f>
        <v>100</v>
      </c>
      <c r="O39">
        <f>Campaign_Match!$J$39</f>
        <v>35</v>
      </c>
      <c r="P39" t="str">
        <f>Campaign_Profile!$C$8</f>
        <v>Engagement</v>
      </c>
    </row>
    <row r="40" spans="1:16">
      <c r="A40" t="str">
        <f>Campaign_Match!$A$40</f>
        <v>CAMP-B</v>
      </c>
      <c r="B40" t="str">
        <f>Campaign_Match!$B$40</f>
        <v>BRAND-B</v>
      </c>
      <c r="C40" t="str">
        <f>Campaign_Profile!$C$7</f>
        <v>Glow Up Routine</v>
      </c>
      <c r="D40" t="str">
        <f>Campaign_Match!$C$40</f>
        <v>KOL-06</v>
      </c>
      <c r="E40" t="str">
        <f>Campaign_Match!$D$40</f>
        <v>Ayu Lestari</v>
      </c>
      <c r="F40" t="str">
        <f>Campaign_Match!$E$40</f>
        <v>Instagram</v>
      </c>
      <c r="G40" t="str">
        <f>Campaign_Match!$F$40</f>
        <v>Food</v>
      </c>
      <c r="H40">
        <f ca="1">Campaign_Match!$G$40</f>
        <v>56</v>
      </c>
      <c r="I40">
        <f ca="1">Campaign_Match!$M$40</f>
        <v>64</v>
      </c>
      <c r="J40">
        <f ca="1">Campaign_Match!$N$40</f>
        <v>58.4</v>
      </c>
      <c r="K40" t="str">
        <f ca="1">Campaign_Match!$O$40</f>
        <v>Good Match</v>
      </c>
      <c r="L40">
        <f>Campaign_Match!$I$40</f>
        <v>80</v>
      </c>
      <c r="M40">
        <f>Campaign_Match!$J$40</f>
        <v>35</v>
      </c>
      <c r="N40">
        <f>Campaign_Match!$I$40</f>
        <v>80</v>
      </c>
      <c r="O40">
        <f>Campaign_Match!$J$40</f>
        <v>35</v>
      </c>
      <c r="P40" t="str">
        <f>Campaign_Profile!$C$8</f>
        <v>Engagement</v>
      </c>
    </row>
    <row r="41" spans="1:16">
      <c r="A41" t="str">
        <f>Campaign_Match!$A$41</f>
        <v>CAMP-B</v>
      </c>
      <c r="B41" t="str">
        <f>Campaign_Match!$B$41</f>
        <v>BRAND-B</v>
      </c>
      <c r="C41" t="str">
        <f>Campaign_Profile!$C$7</f>
        <v>Glow Up Routine</v>
      </c>
      <c r="D41" t="str">
        <f>Campaign_Match!$C$41</f>
        <v>KOL-07</v>
      </c>
      <c r="E41" t="str">
        <f>Campaign_Match!$D$41</f>
        <v>Fajar Ramadhan</v>
      </c>
      <c r="F41" t="str">
        <f>Campaign_Match!$E$41</f>
        <v>Instagram</v>
      </c>
      <c r="G41" t="str">
        <f>Campaign_Match!$F$41</f>
        <v>Finance</v>
      </c>
      <c r="H41" t="str">
        <f ca="1">Campaign_Match!$G$41</f>
        <v/>
      </c>
      <c r="I41">
        <f ca="1">Campaign_Match!$M$41</f>
        <v>70</v>
      </c>
      <c r="J41" t="e">
        <f ca="1">Campaign_Match!$N$41</f>
        <v>#VALUE!</v>
      </c>
      <c r="K41" t="e">
        <f ca="1">Campaign_Match!$O$41</f>
        <v>#VALUE!</v>
      </c>
      <c r="L41">
        <f>Campaign_Match!$I$41</f>
        <v>80</v>
      </c>
      <c r="M41">
        <f>Campaign_Match!$J$41</f>
        <v>85</v>
      </c>
      <c r="N41">
        <f>Campaign_Match!$I$41</f>
        <v>80</v>
      </c>
      <c r="O41">
        <f>Campaign_Match!$J$41</f>
        <v>85</v>
      </c>
      <c r="P41" t="str">
        <f>Campaign_Profile!$C$8</f>
        <v>Engagement</v>
      </c>
    </row>
    <row r="42" spans="1:16">
      <c r="A42" t="str">
        <f>Campaign_Match!$A$42</f>
        <v>CAMP-B</v>
      </c>
      <c r="B42" t="str">
        <f>Campaign_Match!$B$42</f>
        <v>BRAND-B</v>
      </c>
      <c r="C42" t="str">
        <f>Campaign_Profile!$C$7</f>
        <v>Glow Up Routine</v>
      </c>
      <c r="D42" t="str">
        <f>Campaign_Match!$C$42</f>
        <v>KOL-08</v>
      </c>
      <c r="E42" t="str">
        <f>Campaign_Match!$D$42</f>
        <v>Tania Wijaya</v>
      </c>
      <c r="F42" t="str">
        <f>Campaign_Match!$E$42</f>
        <v>TikTok</v>
      </c>
      <c r="G42" t="str">
        <f>Campaign_Match!$F$42</f>
        <v>Finance</v>
      </c>
      <c r="H42" t="str">
        <f ca="1">Campaign_Match!$G$42</f>
        <v/>
      </c>
      <c r="I42">
        <f ca="1">Campaign_Match!$M$42</f>
        <v>69.7</v>
      </c>
      <c r="J42" t="e">
        <f ca="1">Campaign_Match!$N$42</f>
        <v>#VALUE!</v>
      </c>
      <c r="K42" t="e">
        <f ca="1">Campaign_Match!$O$42</f>
        <v>#VALUE!</v>
      </c>
      <c r="L42">
        <f>Campaign_Match!$I$42</f>
        <v>80</v>
      </c>
      <c r="M42">
        <f>Campaign_Match!$J$42</f>
        <v>55</v>
      </c>
      <c r="N42">
        <f>Campaign_Match!$I$42</f>
        <v>80</v>
      </c>
      <c r="O42">
        <f>Campaign_Match!$J$42</f>
        <v>55</v>
      </c>
      <c r="P42" t="str">
        <f>Campaign_Profile!$C$8</f>
        <v>Engagement</v>
      </c>
    </row>
    <row r="43" spans="1:16">
      <c r="A43" t="str">
        <f>Campaign_Match!$A$43</f>
        <v>CAMP-B</v>
      </c>
      <c r="B43" t="str">
        <f>Campaign_Match!$B$43</f>
        <v>BRAND-B</v>
      </c>
      <c r="C43" t="str">
        <f>Campaign_Profile!$C$7</f>
        <v>Glow Up Routine</v>
      </c>
      <c r="D43" t="str">
        <f>Campaign_Match!$C$43</f>
        <v>KOL-09</v>
      </c>
      <c r="E43" t="str">
        <f>Campaign_Match!$D$43</f>
        <v>Gilang Prakoso</v>
      </c>
      <c r="F43" t="str">
        <f>Campaign_Match!$E$43</f>
        <v>TikTok</v>
      </c>
      <c r="G43" t="str">
        <f>Campaign_Match!$F$43</f>
        <v>Education</v>
      </c>
      <c r="H43" t="str">
        <f ca="1">Campaign_Match!$G$43</f>
        <v/>
      </c>
      <c r="I43">
        <f ca="1">Campaign_Match!$M$43</f>
        <v>64.9</v>
      </c>
      <c r="J43" t="e">
        <f ca="1">Campaign_Match!$N$43</f>
        <v>#VALUE!</v>
      </c>
      <c r="K43" t="e">
        <f ca="1">Campaign_Match!$O$43</f>
        <v>#VALUE!</v>
      </c>
      <c r="L43">
        <f>Campaign_Match!$I$43</f>
        <v>80</v>
      </c>
      <c r="M43">
        <f>Campaign_Match!$J$43</f>
        <v>55</v>
      </c>
      <c r="N43">
        <f>Campaign_Match!$I$43</f>
        <v>80</v>
      </c>
      <c r="O43">
        <f>Campaign_Match!$J$43</f>
        <v>55</v>
      </c>
      <c r="P43" t="str">
        <f>Campaign_Profile!$C$8</f>
        <v>Engagement</v>
      </c>
    </row>
    <row r="44" spans="1:16">
      <c r="A44" t="str">
        <f>Campaign_Match!$A$44</f>
        <v>CAMP-B</v>
      </c>
      <c r="B44" t="str">
        <f>Campaign_Match!$B$44</f>
        <v>BRAND-B</v>
      </c>
      <c r="C44" t="str">
        <f>Campaign_Profile!$C$7</f>
        <v>Glow Up Routine</v>
      </c>
      <c r="D44" t="str">
        <f>Campaign_Match!$C$44</f>
        <v>KOL-10</v>
      </c>
      <c r="E44" t="str">
        <f>Campaign_Match!$D$44</f>
        <v>Mira Handayani</v>
      </c>
      <c r="F44" t="str">
        <f>Campaign_Match!$E$44</f>
        <v>Instagram</v>
      </c>
      <c r="G44" t="str">
        <f>Campaign_Match!$F$44</f>
        <v>Education</v>
      </c>
      <c r="H44">
        <f ca="1">Campaign_Match!$G$44</f>
        <v>50</v>
      </c>
      <c r="I44">
        <f ca="1">Campaign_Match!$M$44</f>
        <v>69</v>
      </c>
      <c r="J44">
        <f ca="1">Campaign_Match!$N$44</f>
        <v>55.7</v>
      </c>
      <c r="K44" t="str">
        <f ca="1">Campaign_Match!$O$44</f>
        <v>Good Match</v>
      </c>
      <c r="L44">
        <f>Campaign_Match!$I$44</f>
        <v>80</v>
      </c>
      <c r="M44">
        <f>Campaign_Match!$J$44</f>
        <v>55</v>
      </c>
      <c r="N44">
        <f>Campaign_Match!$I$44</f>
        <v>80</v>
      </c>
      <c r="O44">
        <f>Campaign_Match!$J$44</f>
        <v>55</v>
      </c>
      <c r="P44" t="str">
        <f>Campaign_Profile!$C$8</f>
        <v>Engagement</v>
      </c>
    </row>
    <row r="45" spans="1:16">
      <c r="A45" t="str">
        <f>Campaign_Match!$A$45</f>
        <v>CAMP-B</v>
      </c>
      <c r="B45" t="str">
        <f>Campaign_Match!$B$45</f>
        <v>BRAND-B</v>
      </c>
      <c r="C45" t="str">
        <f>Campaign_Profile!$C$7</f>
        <v>Glow Up Routine</v>
      </c>
      <c r="D45" t="str">
        <f>Campaign_Match!$C$45</f>
        <v>KOL-11</v>
      </c>
      <c r="E45" t="str">
        <f>Campaign_Match!$D$45</f>
        <v>Dimas Anggara</v>
      </c>
      <c r="F45" t="str">
        <f>Campaign_Match!$E$45</f>
        <v>Instagram</v>
      </c>
      <c r="G45" t="str">
        <f>Campaign_Match!$F$45</f>
        <v>Fitness</v>
      </c>
      <c r="H45" t="str">
        <f ca="1">Campaign_Match!$G$45</f>
        <v/>
      </c>
      <c r="I45">
        <f ca="1">Campaign_Match!$M$45</f>
        <v>77.2</v>
      </c>
      <c r="J45" t="e">
        <f ca="1">Campaign_Match!$N$45</f>
        <v>#VALUE!</v>
      </c>
      <c r="K45" t="e">
        <f ca="1">Campaign_Match!$O$45</f>
        <v>#VALUE!</v>
      </c>
      <c r="L45">
        <f>Campaign_Match!$I$45</f>
        <v>80</v>
      </c>
      <c r="M45">
        <f>Campaign_Match!$J$45</f>
        <v>85</v>
      </c>
      <c r="N45">
        <f>Campaign_Match!$I$45</f>
        <v>80</v>
      </c>
      <c r="O45">
        <f>Campaign_Match!$J$45</f>
        <v>85</v>
      </c>
      <c r="P45" t="str">
        <f>Campaign_Profile!$C$8</f>
        <v>Engagement</v>
      </c>
    </row>
    <row r="46" spans="1:16">
      <c r="A46" t="str">
        <f>Campaign_Match!$A$46</f>
        <v>CAMP-B</v>
      </c>
      <c r="B46" t="str">
        <f>Campaign_Match!$B$46</f>
        <v>BRAND-B</v>
      </c>
      <c r="C46" t="str">
        <f>Campaign_Profile!$C$7</f>
        <v>Glow Up Routine</v>
      </c>
      <c r="D46" t="str">
        <f>Campaign_Match!$C$46</f>
        <v>KOL-12</v>
      </c>
      <c r="E46" t="str">
        <f>Campaign_Match!$D$46</f>
        <v>Rani Kusuma</v>
      </c>
      <c r="F46" t="str">
        <f>Campaign_Match!$E$46</f>
        <v>TikTok</v>
      </c>
      <c r="G46" t="str">
        <f>Campaign_Match!$F$46</f>
        <v>Fitness</v>
      </c>
      <c r="H46" t="str">
        <f ca="1">Campaign_Match!$G$46</f>
        <v/>
      </c>
      <c r="I46">
        <f ca="1">Campaign_Match!$M$46</f>
        <v>73</v>
      </c>
      <c r="J46" t="e">
        <f ca="1">Campaign_Match!$N$46</f>
        <v>#VALUE!</v>
      </c>
      <c r="K46" t="e">
        <f ca="1">Campaign_Match!$O$46</f>
        <v>#VALUE!</v>
      </c>
      <c r="L46">
        <f>Campaign_Match!$I$46</f>
        <v>80</v>
      </c>
      <c r="M46">
        <f>Campaign_Match!$J$46</f>
        <v>65</v>
      </c>
      <c r="N46">
        <f>Campaign_Match!$I$46</f>
        <v>80</v>
      </c>
      <c r="O46">
        <f>Campaign_Match!$J$46</f>
        <v>65</v>
      </c>
      <c r="P46" t="str">
        <f>Campaign_Profile!$C$8</f>
        <v>Engagement</v>
      </c>
    </row>
    <row r="47" spans="1:16">
      <c r="A47" t="str">
        <f>Campaign_Match!$A$47</f>
        <v>CAMP-B</v>
      </c>
      <c r="B47" t="str">
        <f>Campaign_Match!$B$47</f>
        <v>BRAND-B</v>
      </c>
      <c r="C47" t="str">
        <f>Campaign_Profile!$C$7</f>
        <v>Glow Up Routine</v>
      </c>
      <c r="D47" t="str">
        <f>Campaign_Match!$C$47</f>
        <v>KOL-13</v>
      </c>
      <c r="E47" t="str">
        <f>Campaign_Match!$D$47</f>
        <v>Kevin Halim</v>
      </c>
      <c r="F47" t="str">
        <f>Campaign_Match!$E$47</f>
        <v>Instagram</v>
      </c>
      <c r="G47" t="str">
        <f>Campaign_Match!$F$47</f>
        <v>Fashion</v>
      </c>
      <c r="H47">
        <f ca="1">Campaign_Match!$G$47</f>
        <v>69</v>
      </c>
      <c r="I47">
        <f ca="1">Campaign_Match!$M$47</f>
        <v>67.6</v>
      </c>
      <c r="J47">
        <f ca="1">Campaign_Match!$N$47</f>
        <v>68.6</v>
      </c>
      <c r="K47" t="str">
        <f ca="1">Campaign_Match!$O$47</f>
        <v>Good Match</v>
      </c>
      <c r="L47">
        <f>Campaign_Match!$I$47</f>
        <v>45</v>
      </c>
      <c r="M47">
        <f>Campaign_Match!$J$47</f>
        <v>65</v>
      </c>
      <c r="N47">
        <f>Campaign_Match!$I$47</f>
        <v>45</v>
      </c>
      <c r="O47">
        <f>Campaign_Match!$J$47</f>
        <v>65</v>
      </c>
      <c r="P47" t="str">
        <f>Campaign_Profile!$C$8</f>
        <v>Engagement</v>
      </c>
    </row>
    <row r="48" spans="1:16">
      <c r="A48" t="str">
        <f>Campaign_Match!$A$48</f>
        <v>CAMP-B</v>
      </c>
      <c r="B48" t="str">
        <f>Campaign_Match!$B$48</f>
        <v>BRAND-B</v>
      </c>
      <c r="C48" t="str">
        <f>Campaign_Profile!$C$7</f>
        <v>Glow Up Routine</v>
      </c>
      <c r="D48" t="str">
        <f>Campaign_Match!$C$48</f>
        <v>KOL-14</v>
      </c>
      <c r="E48" t="str">
        <f>Campaign_Match!$D$48</f>
        <v>Zahra Amelia</v>
      </c>
      <c r="F48" t="str">
        <f>Campaign_Match!$E$48</f>
        <v>Instagram</v>
      </c>
      <c r="G48" t="str">
        <f>Campaign_Match!$F$48</f>
        <v>Fashion</v>
      </c>
      <c r="H48" t="str">
        <f ca="1">Campaign_Match!$G$48</f>
        <v/>
      </c>
      <c r="I48">
        <f ca="1">Campaign_Match!$M$48</f>
        <v>80.5</v>
      </c>
      <c r="J48" t="e">
        <f ca="1">Campaign_Match!$N$48</f>
        <v>#VALUE!</v>
      </c>
      <c r="K48" t="e">
        <f ca="1">Campaign_Match!$O$48</f>
        <v>#VALUE!</v>
      </c>
      <c r="L48">
        <f>Campaign_Match!$I$48</f>
        <v>45</v>
      </c>
      <c r="M48">
        <f>Campaign_Match!$J$48</f>
        <v>100</v>
      </c>
      <c r="N48">
        <f>Campaign_Match!$I$48</f>
        <v>45</v>
      </c>
      <c r="O48">
        <f>Campaign_Match!$J$48</f>
        <v>100</v>
      </c>
      <c r="P48" t="str">
        <f>Campaign_Profile!$C$8</f>
        <v>Engagement</v>
      </c>
    </row>
    <row r="49" spans="1:16">
      <c r="A49" t="str">
        <f>Campaign_Match!$A$49</f>
        <v>CAMP-B</v>
      </c>
      <c r="B49" t="str">
        <f>Campaign_Match!$B$49</f>
        <v>BRAND-B</v>
      </c>
      <c r="C49" t="str">
        <f>Campaign_Profile!$C$7</f>
        <v>Glow Up Routine</v>
      </c>
      <c r="D49" t="str">
        <f>Campaign_Match!$C$49</f>
        <v>KOL-15</v>
      </c>
      <c r="E49" t="str">
        <f>Campaign_Match!$D$49</f>
        <v>Andini Rahma</v>
      </c>
      <c r="F49" t="str">
        <f>Campaign_Match!$E$49</f>
        <v>Instagram</v>
      </c>
      <c r="G49" t="str">
        <f>Campaign_Match!$F$49</f>
        <v>Lifestyle</v>
      </c>
      <c r="H49">
        <f ca="1">Campaign_Match!$G$49</f>
        <v>71</v>
      </c>
      <c r="I49">
        <f ca="1">Campaign_Match!$M$49</f>
        <v>62</v>
      </c>
      <c r="J49">
        <f ca="1">Campaign_Match!$N$49</f>
        <v>68.3</v>
      </c>
      <c r="K49" t="str">
        <f ca="1">Campaign_Match!$O$49</f>
        <v>Good Match</v>
      </c>
      <c r="L49">
        <f>Campaign_Match!$I$49</f>
        <v>45</v>
      </c>
      <c r="M49">
        <f>Campaign_Match!$J$49</f>
        <v>35</v>
      </c>
      <c r="N49">
        <f>Campaign_Match!$I$49</f>
        <v>45</v>
      </c>
      <c r="O49">
        <f>Campaign_Match!$J$49</f>
        <v>35</v>
      </c>
      <c r="P49" t="str">
        <f>Campaign_Profile!$C$8</f>
        <v>Engagement</v>
      </c>
    </row>
    <row r="50" spans="1:16">
      <c r="A50" t="str">
        <f>Campaign_Match!$A$50</f>
        <v>CAMP-B</v>
      </c>
      <c r="B50" t="str">
        <f>Campaign_Match!$B$50</f>
        <v>BRAND-B</v>
      </c>
      <c r="C50" t="str">
        <f>Campaign_Profile!$C$7</f>
        <v>Glow Up Routine</v>
      </c>
      <c r="D50" t="str">
        <f>Campaign_Match!$C$50</f>
        <v>KOL-16</v>
      </c>
      <c r="E50" t="str">
        <f>Campaign_Match!$D$50</f>
        <v>Yoga Pratama</v>
      </c>
      <c r="F50" t="str">
        <f>Campaign_Match!$E$50</f>
        <v>TikTok</v>
      </c>
      <c r="G50" t="str">
        <f>Campaign_Match!$F$50</f>
        <v>Lifestyle</v>
      </c>
      <c r="H50" t="str">
        <f ca="1">Campaign_Match!$G$50</f>
        <v/>
      </c>
      <c r="I50">
        <f ca="1">Campaign_Match!$M$50</f>
        <v>59.2</v>
      </c>
      <c r="J50" t="e">
        <f ca="1">Campaign_Match!$N$50</f>
        <v>#VALUE!</v>
      </c>
      <c r="K50" t="e">
        <f ca="1">Campaign_Match!$O$50</f>
        <v>#VALUE!</v>
      </c>
      <c r="L50">
        <f>Campaign_Match!$I$50</f>
        <v>45</v>
      </c>
      <c r="M50">
        <f>Campaign_Match!$J$50</f>
        <v>65</v>
      </c>
      <c r="N50">
        <f>Campaign_Match!$I$50</f>
        <v>45</v>
      </c>
      <c r="O50">
        <f>Campaign_Match!$J$50</f>
        <v>65</v>
      </c>
      <c r="P50" t="str">
        <f>Campaign_Profile!$C$8</f>
        <v>Engagement</v>
      </c>
    </row>
    <row r="51" spans="1:16">
      <c r="A51" t="str">
        <f>Campaign_Match!$A$51</f>
        <v>CAMP-B</v>
      </c>
      <c r="B51" t="str">
        <f>Campaign_Match!$B$51</f>
        <v>BRAND-B</v>
      </c>
      <c r="C51" t="str">
        <f>Campaign_Profile!$C$7</f>
        <v>Glow Up Routine</v>
      </c>
      <c r="D51" t="str">
        <f>Campaign_Match!$C$51</f>
        <v>KOL-17</v>
      </c>
      <c r="E51" t="str">
        <f>Campaign_Match!$D$51</f>
        <v>Sinta Maharani</v>
      </c>
      <c r="F51" t="str">
        <f>Campaign_Match!$E$51</f>
        <v>Instagram</v>
      </c>
      <c r="G51" t="str">
        <f>Campaign_Match!$F$51</f>
        <v>Travel</v>
      </c>
      <c r="H51" t="str">
        <f ca="1">Campaign_Match!$G$51</f>
        <v/>
      </c>
      <c r="I51">
        <f ca="1">Campaign_Match!$M$51</f>
        <v>77.2</v>
      </c>
      <c r="J51" t="e">
        <f ca="1">Campaign_Match!$N$51</f>
        <v>#VALUE!</v>
      </c>
      <c r="K51" t="e">
        <f ca="1">Campaign_Match!$O$51</f>
        <v>#VALUE!</v>
      </c>
      <c r="L51">
        <f>Campaign_Match!$I$51</f>
        <v>45</v>
      </c>
      <c r="M51">
        <f>Campaign_Match!$J$51</f>
        <v>100</v>
      </c>
      <c r="N51">
        <f>Campaign_Match!$I$51</f>
        <v>45</v>
      </c>
      <c r="O51">
        <f>Campaign_Match!$J$51</f>
        <v>100</v>
      </c>
      <c r="P51" t="str">
        <f>Campaign_Profile!$C$8</f>
        <v>Engagement</v>
      </c>
    </row>
    <row r="52" spans="1:16">
      <c r="A52" t="str">
        <f>Campaign_Match!$A$52</f>
        <v>CAMP-B</v>
      </c>
      <c r="B52" t="str">
        <f>Campaign_Match!$B$52</f>
        <v>BRAND-B</v>
      </c>
      <c r="C52" t="str">
        <f>Campaign_Profile!$C$7</f>
        <v>Glow Up Routine</v>
      </c>
      <c r="D52" t="str">
        <f>Campaign_Match!$C$52</f>
        <v>KOL-18</v>
      </c>
      <c r="E52" t="str">
        <f>Campaign_Match!$D$52</f>
        <v>Reza Fadillah</v>
      </c>
      <c r="F52" t="str">
        <f>Campaign_Match!$E$52</f>
        <v>TikTok</v>
      </c>
      <c r="G52" t="str">
        <f>Campaign_Match!$F$52</f>
        <v>Travel</v>
      </c>
      <c r="H52">
        <f ca="1">Campaign_Match!$G$52</f>
        <v>56</v>
      </c>
      <c r="I52">
        <f ca="1">Campaign_Match!$M$52</f>
        <v>52.3</v>
      </c>
      <c r="J52">
        <f ca="1">Campaign_Match!$N$52</f>
        <v>54.9</v>
      </c>
      <c r="K52" t="str">
        <f ca="1">Campaign_Match!$O$52</f>
        <v>Weak Match</v>
      </c>
      <c r="L52">
        <f>Campaign_Match!$I$52</f>
        <v>45</v>
      </c>
      <c r="M52">
        <f>Campaign_Match!$J$52</f>
        <v>25</v>
      </c>
      <c r="N52">
        <f>Campaign_Match!$I$52</f>
        <v>45</v>
      </c>
      <c r="O52">
        <f>Campaign_Match!$J$52</f>
        <v>25</v>
      </c>
      <c r="P52" t="str">
        <f>Campaign_Profile!$C$8</f>
        <v>Engagement</v>
      </c>
    </row>
    <row r="53" spans="1:16">
      <c r="A53" t="str">
        <f>Campaign_Match!$A$53</f>
        <v>CAMP-B</v>
      </c>
      <c r="B53" t="str">
        <f>Campaign_Match!$B$53</f>
        <v>BRAND-B</v>
      </c>
      <c r="C53" t="str">
        <f>Campaign_Profile!$C$7</f>
        <v>Glow Up Routine</v>
      </c>
      <c r="D53" t="str">
        <f>Campaign_Match!$C$53</f>
        <v>KOL-19</v>
      </c>
      <c r="E53" t="str">
        <f>Campaign_Match!$D$53</f>
        <v>Putri Amanda</v>
      </c>
      <c r="F53" t="str">
        <f>Campaign_Match!$E$53</f>
        <v>Instagram</v>
      </c>
      <c r="G53" t="str">
        <f>Campaign_Match!$F$53</f>
        <v>Parenting</v>
      </c>
      <c r="H53" t="str">
        <f ca="1">Campaign_Match!$G$53</f>
        <v/>
      </c>
      <c r="I53">
        <f ca="1">Campaign_Match!$M$53</f>
        <v>55</v>
      </c>
      <c r="J53" t="e">
        <f ca="1">Campaign_Match!$N$53</f>
        <v>#VALUE!</v>
      </c>
      <c r="K53" t="e">
        <f ca="1">Campaign_Match!$O$53</f>
        <v>#VALUE!</v>
      </c>
      <c r="L53">
        <f>Campaign_Match!$I$53</f>
        <v>45</v>
      </c>
      <c r="M53">
        <f>Campaign_Match!$J$53</f>
        <v>35</v>
      </c>
      <c r="N53">
        <f>Campaign_Match!$I$53</f>
        <v>45</v>
      </c>
      <c r="O53">
        <f>Campaign_Match!$J$53</f>
        <v>35</v>
      </c>
      <c r="P53" t="str">
        <f>Campaign_Profile!$C$8</f>
        <v>Engagement</v>
      </c>
    </row>
    <row r="54" spans="1:16">
      <c r="A54" t="str">
        <f>Campaign_Match!$A$54</f>
        <v>CAMP-B</v>
      </c>
      <c r="B54" t="str">
        <f>Campaign_Match!$B$54</f>
        <v>BRAND-B</v>
      </c>
      <c r="C54" t="str">
        <f>Campaign_Profile!$C$7</f>
        <v>Glow Up Routine</v>
      </c>
      <c r="D54" t="str">
        <f>Campaign_Match!$C$54</f>
        <v>KOL-20</v>
      </c>
      <c r="E54" t="str">
        <f>Campaign_Match!$D$54</f>
        <v>Hendra Wijoyo</v>
      </c>
      <c r="F54" t="str">
        <f>Campaign_Match!$E$54</f>
        <v>TikTok</v>
      </c>
      <c r="G54" t="str">
        <f>Campaign_Match!$F$54</f>
        <v>Parenting</v>
      </c>
      <c r="H54">
        <f ca="1">Campaign_Match!$G$54</f>
        <v>52</v>
      </c>
      <c r="I54">
        <f ca="1">Campaign_Match!$M$54</f>
        <v>46.4</v>
      </c>
      <c r="J54">
        <f ca="1">Campaign_Match!$N$54</f>
        <v>50.3</v>
      </c>
      <c r="K54" t="str">
        <f ca="1">Campaign_Match!$O$54</f>
        <v>Weak Match</v>
      </c>
      <c r="L54">
        <f>Campaign_Match!$I$54</f>
        <v>45</v>
      </c>
      <c r="M54">
        <f>Campaign_Match!$J$54</f>
        <v>20</v>
      </c>
      <c r="N54">
        <f>Campaign_Match!$I$54</f>
        <v>45</v>
      </c>
      <c r="O54">
        <f>Campaign_Match!$J$54</f>
        <v>20</v>
      </c>
      <c r="P54" t="str">
        <f>Campaign_Profile!$C$8</f>
        <v>Engagement</v>
      </c>
    </row>
    <row r="55" spans="1:16">
      <c r="A55" t="str">
        <f>Campaign_Match!$A$55</f>
        <v>CAMP-B</v>
      </c>
      <c r="B55" t="str">
        <f>Campaign_Match!$B$55</f>
        <v>BRAND-B</v>
      </c>
      <c r="C55" t="str">
        <f>Campaign_Profile!$C$7</f>
        <v>Glow Up Routine</v>
      </c>
      <c r="D55" t="str">
        <f>Campaign_Match!$C$55</f>
        <v>KOL-21</v>
      </c>
      <c r="E55" t="str">
        <f>Campaign_Match!$D$55</f>
        <v>Bagas Setiawan</v>
      </c>
      <c r="F55" t="str">
        <f>Campaign_Match!$E$55</f>
        <v>TikTok</v>
      </c>
      <c r="G55" t="str">
        <f>Campaign_Match!$F$55</f>
        <v>Entertainment</v>
      </c>
      <c r="H55" t="str">
        <f ca="1">Campaign_Match!$G$55</f>
        <v/>
      </c>
      <c r="I55">
        <f ca="1">Campaign_Match!$M$55</f>
        <v>47.5</v>
      </c>
      <c r="J55" t="e">
        <f ca="1">Campaign_Match!$N$55</f>
        <v>#VALUE!</v>
      </c>
      <c r="K55" t="e">
        <f ca="1">Campaign_Match!$O$55</f>
        <v>#VALUE!</v>
      </c>
      <c r="L55">
        <f>Campaign_Match!$I$55</f>
        <v>45</v>
      </c>
      <c r="M55">
        <f>Campaign_Match!$J$55</f>
        <v>20</v>
      </c>
      <c r="N55">
        <f>Campaign_Match!$I$55</f>
        <v>45</v>
      </c>
      <c r="O55">
        <f>Campaign_Match!$J$55</f>
        <v>20</v>
      </c>
      <c r="P55" t="str">
        <f>Campaign_Profile!$C$8</f>
        <v>Engagement</v>
      </c>
    </row>
    <row r="56" spans="1:16">
      <c r="A56" t="str">
        <f>Campaign_Match!$A$56</f>
        <v>CAMP-B</v>
      </c>
      <c r="B56" t="str">
        <f>Campaign_Match!$B$56</f>
        <v>BRAND-B</v>
      </c>
      <c r="C56" t="str">
        <f>Campaign_Profile!$C$7</f>
        <v>Glow Up Routine</v>
      </c>
      <c r="D56" t="str">
        <f>Campaign_Match!$C$56</f>
        <v>KOL-22</v>
      </c>
      <c r="E56" t="str">
        <f>Campaign_Match!$D$56</f>
        <v>Nabila Kirana</v>
      </c>
      <c r="F56" t="str">
        <f>Campaign_Match!$E$56</f>
        <v>Instagram</v>
      </c>
      <c r="G56" t="str">
        <f>Campaign_Match!$F$56</f>
        <v>Entertainment</v>
      </c>
      <c r="H56" t="str">
        <f ca="1">Campaign_Match!$G$56</f>
        <v/>
      </c>
      <c r="I56">
        <f ca="1">Campaign_Match!$M$56</f>
        <v>71.8</v>
      </c>
      <c r="J56" t="e">
        <f ca="1">Campaign_Match!$N$56</f>
        <v>#VALUE!</v>
      </c>
      <c r="K56" t="e">
        <f ca="1">Campaign_Match!$O$56</f>
        <v>#VALUE!</v>
      </c>
      <c r="L56">
        <f>Campaign_Match!$I$56</f>
        <v>45</v>
      </c>
      <c r="M56">
        <f>Campaign_Match!$J$56</f>
        <v>65</v>
      </c>
      <c r="N56">
        <f>Campaign_Match!$I$56</f>
        <v>45</v>
      </c>
      <c r="O56">
        <f>Campaign_Match!$J$56</f>
        <v>65</v>
      </c>
      <c r="P56" t="str">
        <f>Campaign_Profile!$C$8</f>
        <v>Engagement</v>
      </c>
    </row>
    <row r="57" spans="1:16">
      <c r="A57" t="str">
        <f>Campaign_Match!$A$57</f>
        <v>CAMP-B</v>
      </c>
      <c r="B57" t="str">
        <f>Campaign_Match!$B$57</f>
        <v>BRAND-B</v>
      </c>
      <c r="C57" t="str">
        <f>Campaign_Profile!$C$7</f>
        <v>Glow Up Routine</v>
      </c>
      <c r="D57" t="str">
        <f>Campaign_Match!$C$57</f>
        <v>KOL-23</v>
      </c>
      <c r="E57" t="str">
        <f>Campaign_Match!$D$57</f>
        <v>Arya Mahendra</v>
      </c>
      <c r="F57" t="str">
        <f>Campaign_Match!$E$57</f>
        <v>TikTok</v>
      </c>
      <c r="G57" t="str">
        <f>Campaign_Match!$F$57</f>
        <v>Gaming</v>
      </c>
      <c r="H57" t="str">
        <f ca="1">Campaign_Match!$G$57</f>
        <v/>
      </c>
      <c r="I57">
        <f ca="1">Campaign_Match!$M$57</f>
        <v>49.8</v>
      </c>
      <c r="J57" t="e">
        <f ca="1">Campaign_Match!$N$57</f>
        <v>#VALUE!</v>
      </c>
      <c r="K57" t="e">
        <f ca="1">Campaign_Match!$O$57</f>
        <v>#VALUE!</v>
      </c>
      <c r="L57">
        <f>Campaign_Match!$I$57</f>
        <v>45</v>
      </c>
      <c r="M57">
        <f>Campaign_Match!$J$57</f>
        <v>30</v>
      </c>
      <c r="N57">
        <f>Campaign_Match!$I$57</f>
        <v>45</v>
      </c>
      <c r="O57">
        <f>Campaign_Match!$J$57</f>
        <v>30</v>
      </c>
      <c r="P57" t="str">
        <f>Campaign_Profile!$C$8</f>
        <v>Engagement</v>
      </c>
    </row>
    <row r="58" spans="1:16">
      <c r="A58" t="str">
        <f>Campaign_Match!$A$58</f>
        <v>CAMP-B</v>
      </c>
      <c r="B58" t="str">
        <f>Campaign_Match!$B$58</f>
        <v>BRAND-B</v>
      </c>
      <c r="C58" t="str">
        <f>Campaign_Profile!$C$7</f>
        <v>Glow Up Routine</v>
      </c>
      <c r="D58" t="str">
        <f>Campaign_Match!$C$58</f>
        <v>KOL-24</v>
      </c>
      <c r="E58" t="str">
        <f>Campaign_Match!$D$58</f>
        <v>Rio Saputra</v>
      </c>
      <c r="F58" t="str">
        <f>Campaign_Match!$E$58</f>
        <v>Instagram</v>
      </c>
      <c r="G58" t="str">
        <f>Campaign_Match!$F$58</f>
        <v>Gaming</v>
      </c>
      <c r="H58">
        <f ca="1">Campaign_Match!$G$58</f>
        <v>49</v>
      </c>
      <c r="I58">
        <f ca="1">Campaign_Match!$M$58</f>
        <v>66.1</v>
      </c>
      <c r="J58">
        <f ca="1">Campaign_Match!$N$58</f>
        <v>54.1</v>
      </c>
      <c r="K58" t="str">
        <f ca="1">Campaign_Match!$O$58</f>
        <v>Weak Match</v>
      </c>
      <c r="L58">
        <f>Campaign_Match!$I$58</f>
        <v>80</v>
      </c>
      <c r="M58">
        <f>Campaign_Match!$J$58</f>
        <v>50</v>
      </c>
      <c r="N58">
        <f>Campaign_Match!$I$58</f>
        <v>80</v>
      </c>
      <c r="O58">
        <f>Campaign_Match!$J$58</f>
        <v>50</v>
      </c>
      <c r="P58" t="str">
        <f>Campaign_Profile!$C$8</f>
        <v>Engagement</v>
      </c>
    </row>
    <row r="59" spans="1:16">
      <c r="A59" t="str">
        <f>Campaign_Match!$A$59</f>
        <v>CAMP-B</v>
      </c>
      <c r="B59" t="str">
        <f>Campaign_Match!$B$59</f>
        <v>BRAND-B</v>
      </c>
      <c r="C59" t="str">
        <f>Campaign_Profile!$C$7</f>
        <v>Glow Up Routine</v>
      </c>
      <c r="D59" t="str">
        <f>Campaign_Match!$C$59</f>
        <v>KOL-25</v>
      </c>
      <c r="E59" t="str">
        <f>Campaign_Match!$D$59</f>
        <v>Denny Kurniawan</v>
      </c>
      <c r="F59" t="str">
        <f>Campaign_Match!$E$59</f>
        <v>TikTok</v>
      </c>
      <c r="G59" t="str">
        <f>Campaign_Match!$F$59</f>
        <v>Automotive</v>
      </c>
      <c r="H59" t="str">
        <f ca="1">Campaign_Match!$G$59</f>
        <v/>
      </c>
      <c r="I59">
        <f ca="1">Campaign_Match!$M$59</f>
        <v>49.3</v>
      </c>
      <c r="J59" t="e">
        <f ca="1">Campaign_Match!$N$59</f>
        <v>#VALUE!</v>
      </c>
      <c r="K59" t="e">
        <f ca="1">Campaign_Match!$O$59</f>
        <v>#VALUE!</v>
      </c>
      <c r="L59">
        <f>Campaign_Match!$I$59</f>
        <v>45</v>
      </c>
      <c r="M59">
        <f>Campaign_Match!$J$59</f>
        <v>25</v>
      </c>
      <c r="N59">
        <f>Campaign_Match!$I$59</f>
        <v>45</v>
      </c>
      <c r="O59">
        <f>Campaign_Match!$J$59</f>
        <v>25</v>
      </c>
      <c r="P59" t="str">
        <f>Campaign_Profile!$C$8</f>
        <v>Engagement</v>
      </c>
    </row>
    <row r="60" spans="1:16">
      <c r="A60" t="str">
        <f>Campaign_Match!$A$60</f>
        <v>CAMP-B</v>
      </c>
      <c r="B60" t="str">
        <f>Campaign_Match!$B$60</f>
        <v>BRAND-B</v>
      </c>
      <c r="C60" t="str">
        <f>Campaign_Profile!$C$7</f>
        <v>Glow Up Routine</v>
      </c>
      <c r="D60" t="str">
        <f>Campaign_Match!$C$60</f>
        <v>KOL-26</v>
      </c>
      <c r="E60" t="str">
        <f>Campaign_Match!$D$60</f>
        <v>Wisnu Adi</v>
      </c>
      <c r="F60" t="str">
        <f>Campaign_Match!$E$60</f>
        <v>Instagram</v>
      </c>
      <c r="G60" t="str">
        <f>Campaign_Match!$F$60</f>
        <v>Automotive</v>
      </c>
      <c r="H60" t="str">
        <f ca="1">Campaign_Match!$G$60</f>
        <v/>
      </c>
      <c r="I60">
        <f ca="1">Campaign_Match!$M$60</f>
        <v>77.2</v>
      </c>
      <c r="J60" t="e">
        <f ca="1">Campaign_Match!$N$60</f>
        <v>#VALUE!</v>
      </c>
      <c r="K60" t="e">
        <f ca="1">Campaign_Match!$O$60</f>
        <v>#VALUE!</v>
      </c>
      <c r="L60">
        <f>Campaign_Match!$I$60</f>
        <v>100</v>
      </c>
      <c r="M60">
        <f>Campaign_Match!$J$60</f>
        <v>85</v>
      </c>
      <c r="N60">
        <f>Campaign_Match!$I$60</f>
        <v>100</v>
      </c>
      <c r="O60">
        <f>Campaign_Match!$J$60</f>
        <v>85</v>
      </c>
      <c r="P60" t="str">
        <f>Campaign_Profile!$C$8</f>
        <v>Engagement</v>
      </c>
    </row>
    <row r="61" spans="1:16">
      <c r="A61" t="str">
        <f>Campaign_Match!$A$61</f>
        <v>CAMP-B</v>
      </c>
      <c r="B61" t="str">
        <f>Campaign_Match!$B$61</f>
        <v>BRAND-B</v>
      </c>
      <c r="C61" t="str">
        <f>Campaign_Profile!$C$7</f>
        <v>Glow Up Routine</v>
      </c>
      <c r="D61" t="str">
        <f>Campaign_Match!$C$61</f>
        <v>KOL-27</v>
      </c>
      <c r="E61" t="str">
        <f>Campaign_Match!$D$61</f>
        <v>Laras Ayu</v>
      </c>
      <c r="F61" t="str">
        <f>Campaign_Match!$E$61</f>
        <v>Instagram</v>
      </c>
      <c r="G61" t="str">
        <f>Campaign_Match!$F$61</f>
        <v>Home &amp; Living</v>
      </c>
      <c r="H61">
        <f ca="1">Campaign_Match!$G$61</f>
        <v>62</v>
      </c>
      <c r="I61">
        <f ca="1">Campaign_Match!$M$61</f>
        <v>77.2</v>
      </c>
      <c r="J61">
        <f ca="1">Campaign_Match!$N$61</f>
        <v>66.6</v>
      </c>
      <c r="K61" t="str">
        <f ca="1">Campaign_Match!$O$61</f>
        <v>Good Match</v>
      </c>
      <c r="L61">
        <f>Campaign_Match!$I$61</f>
        <v>45</v>
      </c>
      <c r="M61">
        <f>Campaign_Match!$J$61</f>
        <v>100</v>
      </c>
      <c r="N61">
        <f>Campaign_Match!$I$61</f>
        <v>45</v>
      </c>
      <c r="O61">
        <f>Campaign_Match!$J$61</f>
        <v>100</v>
      </c>
      <c r="P61" t="str">
        <f>Campaign_Profile!$C$8</f>
        <v>Engagement</v>
      </c>
    </row>
    <row r="62" spans="1:16">
      <c r="A62" t="str">
        <f>Campaign_Match!$A$62</f>
        <v>CAMP-B</v>
      </c>
      <c r="B62" t="str">
        <f>Campaign_Match!$B$62</f>
        <v>BRAND-B</v>
      </c>
      <c r="C62" t="str">
        <f>Campaign_Profile!$C$7</f>
        <v>Glow Up Routine</v>
      </c>
      <c r="D62" t="str">
        <f>Campaign_Match!$C$62</f>
        <v>KOL-28</v>
      </c>
      <c r="E62" t="str">
        <f>Campaign_Match!$D$62</f>
        <v>Tiara Nisrina</v>
      </c>
      <c r="F62" t="str">
        <f>Campaign_Match!$E$62</f>
        <v>TikTok</v>
      </c>
      <c r="G62" t="str">
        <f>Campaign_Match!$F$62</f>
        <v>Home &amp; Living</v>
      </c>
      <c r="H62" t="str">
        <f ca="1">Campaign_Match!$G$62</f>
        <v/>
      </c>
      <c r="I62">
        <f ca="1">Campaign_Match!$M$62</f>
        <v>67</v>
      </c>
      <c r="J62" t="e">
        <f ca="1">Campaign_Match!$N$62</f>
        <v>#VALUE!</v>
      </c>
      <c r="K62" t="e">
        <f ca="1">Campaign_Match!$O$62</f>
        <v>#VALUE!</v>
      </c>
      <c r="L62">
        <f>Campaign_Match!$I$62</f>
        <v>80</v>
      </c>
      <c r="M62">
        <f>Campaign_Match!$J$62</f>
        <v>35</v>
      </c>
      <c r="N62">
        <f>Campaign_Match!$I$62</f>
        <v>80</v>
      </c>
      <c r="O62">
        <f>Campaign_Match!$J$62</f>
        <v>35</v>
      </c>
      <c r="P62" t="str">
        <f>Campaign_Profile!$C$8</f>
        <v>Engagement</v>
      </c>
    </row>
    <row r="63" spans="1:16">
      <c r="A63" t="str">
        <f>Campaign_Match!$A$63</f>
        <v>CAMP-B</v>
      </c>
      <c r="B63" t="str">
        <f>Campaign_Match!$B$63</f>
        <v>BRAND-B</v>
      </c>
      <c r="C63" t="str">
        <f>Campaign_Profile!$C$7</f>
        <v>Glow Up Routine</v>
      </c>
      <c r="D63" t="str">
        <f>Campaign_Match!$C$63</f>
        <v>KOL-29</v>
      </c>
      <c r="E63" t="str">
        <f>Campaign_Match!$D$63</f>
        <v>Sekar Ayu</v>
      </c>
      <c r="F63" t="str">
        <f>Campaign_Match!$E$63</f>
        <v>TikTok</v>
      </c>
      <c r="G63" t="str">
        <f>Campaign_Match!$F$63</f>
        <v>Beauty</v>
      </c>
      <c r="H63">
        <f ca="1">Campaign_Match!$G$63</f>
        <v>91</v>
      </c>
      <c r="I63">
        <f ca="1">Campaign_Match!$M$63</f>
        <v>75.5</v>
      </c>
      <c r="J63">
        <f ca="1">Campaign_Match!$N$63</f>
        <v>86.4</v>
      </c>
      <c r="K63" t="str">
        <f ca="1">Campaign_Match!$O$63</f>
        <v>Excellent Match</v>
      </c>
      <c r="L63">
        <f>Campaign_Match!$I$63</f>
        <v>100</v>
      </c>
      <c r="M63">
        <f>Campaign_Match!$J$63</f>
        <v>35</v>
      </c>
      <c r="N63">
        <f>Campaign_Match!$I$63</f>
        <v>100</v>
      </c>
      <c r="O63">
        <f>Campaign_Match!$J$63</f>
        <v>35</v>
      </c>
      <c r="P63" t="str">
        <f>Campaign_Profile!$C$8</f>
        <v>Engagement</v>
      </c>
    </row>
    <row r="64" spans="1:16">
      <c r="A64" t="str">
        <f>Campaign_Match!$A$64</f>
        <v>CAMP-B</v>
      </c>
      <c r="B64" t="str">
        <f>Campaign_Match!$B$64</f>
        <v>BRAND-B</v>
      </c>
      <c r="C64" t="str">
        <f>Campaign_Profile!$C$7</f>
        <v>Glow Up Routine</v>
      </c>
      <c r="D64" t="str">
        <f>Campaign_Match!$C$64</f>
        <v>KOL-30</v>
      </c>
      <c r="E64" t="str">
        <f>Campaign_Match!$D$64</f>
        <v>Ibnu Faisal</v>
      </c>
      <c r="F64" t="str">
        <f>Campaign_Match!$E$64</f>
        <v>Instagram</v>
      </c>
      <c r="G64" t="str">
        <f>Campaign_Match!$F$64</f>
        <v>Finance</v>
      </c>
      <c r="H64" t="str">
        <f ca="1">Campaign_Match!$G$64</f>
        <v/>
      </c>
      <c r="I64">
        <f ca="1">Campaign_Match!$M$64</f>
        <v>67.8</v>
      </c>
      <c r="J64" t="e">
        <f ca="1">Campaign_Match!$N$64</f>
        <v>#VALUE!</v>
      </c>
      <c r="K64" t="e">
        <f ca="1">Campaign_Match!$O$64</f>
        <v>#VALUE!</v>
      </c>
      <c r="L64">
        <f>Campaign_Match!$I$64</f>
        <v>80</v>
      </c>
      <c r="M64">
        <f>Campaign_Match!$J$64</f>
        <v>85</v>
      </c>
      <c r="N64">
        <f>Campaign_Match!$I$64</f>
        <v>80</v>
      </c>
      <c r="O64">
        <f>Campaign_Match!$J$64</f>
        <v>85</v>
      </c>
      <c r="P64" t="str">
        <f>Campaign_Profile!$C$8</f>
        <v>Engagement</v>
      </c>
    </row>
    <row r="65" spans="1:16">
      <c r="A65" t="str">
        <f>Campaign_Match!$A$65</f>
        <v>CAMP-C</v>
      </c>
      <c r="B65" t="str">
        <f>Campaign_Match!$B$65</f>
        <v>BRAND-C</v>
      </c>
      <c r="C65" t="str">
        <f>Campaign_Profile!$D$7</f>
        <v>Everyday Meal Moment</v>
      </c>
      <c r="D65" t="str">
        <f>Campaign_Match!$C$65</f>
        <v>KOL-01</v>
      </c>
      <c r="E65" t="str">
        <f>Campaign_Match!$D$65</f>
        <v>Ardi Nugraha</v>
      </c>
      <c r="F65" t="str">
        <f>Campaign_Match!$E$65</f>
        <v>Instagram</v>
      </c>
      <c r="G65" t="str">
        <f>Campaign_Match!$F$65</f>
        <v>Tech</v>
      </c>
      <c r="H65" t="str">
        <f ca="1">Campaign_Match!$G$65</f>
        <v/>
      </c>
      <c r="I65">
        <f ca="1">Campaign_Match!$M$65</f>
        <v>57.6</v>
      </c>
      <c r="J65" t="e">
        <f ca="1">Campaign_Match!$N$65</f>
        <v>#VALUE!</v>
      </c>
      <c r="K65" t="e">
        <f ca="1">Campaign_Match!$O$65</f>
        <v>#VALUE!</v>
      </c>
      <c r="L65">
        <f>Campaign_Match!$I$65</f>
        <v>45</v>
      </c>
      <c r="M65">
        <f>Campaign_Match!$J$65</f>
        <v>60</v>
      </c>
      <c r="N65">
        <f>Campaign_Match!$I$65</f>
        <v>45</v>
      </c>
      <c r="O65">
        <f>Campaign_Match!$J$65</f>
        <v>60</v>
      </c>
      <c r="P65" t="str">
        <f>Campaign_Profile!$D$8</f>
        <v>Conversion</v>
      </c>
    </row>
    <row r="66" spans="1:16">
      <c r="A66" t="str">
        <f>Campaign_Match!$A$66</f>
        <v>CAMP-C</v>
      </c>
      <c r="B66" t="str">
        <f>Campaign_Match!$B$66</f>
        <v>BRAND-C</v>
      </c>
      <c r="C66" t="str">
        <f>Campaign_Profile!$D$7</f>
        <v>Everyday Meal Moment</v>
      </c>
      <c r="D66" t="str">
        <f>Campaign_Match!$C$66</f>
        <v>KOL-02</v>
      </c>
      <c r="E66" t="str">
        <f>Campaign_Match!$D$66</f>
        <v>Rifqi Pratama</v>
      </c>
      <c r="F66" t="str">
        <f>Campaign_Match!$E$66</f>
        <v>TikTok</v>
      </c>
      <c r="G66" t="str">
        <f>Campaign_Match!$F$66</f>
        <v>Tech</v>
      </c>
      <c r="H66">
        <f ca="1">Campaign_Match!$G$66</f>
        <v>47</v>
      </c>
      <c r="I66">
        <f ca="1">Campaign_Match!$M$66</f>
        <v>56.7</v>
      </c>
      <c r="J66">
        <f ca="1">Campaign_Match!$N$66</f>
        <v>49.9</v>
      </c>
      <c r="K66" t="str">
        <f ca="1">Campaign_Match!$O$66</f>
        <v>Weak Match</v>
      </c>
      <c r="L66">
        <f>Campaign_Match!$I$66</f>
        <v>45</v>
      </c>
      <c r="M66">
        <f>Campaign_Match!$J$66</f>
        <v>60</v>
      </c>
      <c r="N66">
        <f>Campaign_Match!$I$66</f>
        <v>45</v>
      </c>
      <c r="O66">
        <f>Campaign_Match!$J$66</f>
        <v>60</v>
      </c>
      <c r="P66" t="str">
        <f>Campaign_Profile!$D$8</f>
        <v>Conversion</v>
      </c>
    </row>
    <row r="67" spans="1:16">
      <c r="A67" t="str">
        <f>Campaign_Match!$A$67</f>
        <v>CAMP-C</v>
      </c>
      <c r="B67" t="str">
        <f>Campaign_Match!$B$67</f>
        <v>BRAND-C</v>
      </c>
      <c r="C67" t="str">
        <f>Campaign_Profile!$D$7</f>
        <v>Everyday Meal Moment</v>
      </c>
      <c r="D67" t="str">
        <f>Campaign_Match!$C$67</f>
        <v>KOL-03</v>
      </c>
      <c r="E67" t="str">
        <f>Campaign_Match!$D$67</f>
        <v>Salsa Aulia</v>
      </c>
      <c r="F67" t="str">
        <f>Campaign_Match!$E$67</f>
        <v>Instagram</v>
      </c>
      <c r="G67" t="str">
        <f>Campaign_Match!$F$67</f>
        <v>Beauty</v>
      </c>
      <c r="H67" t="str">
        <f ca="1">Campaign_Match!$G$67</f>
        <v/>
      </c>
      <c r="I67">
        <f ca="1">Campaign_Match!$M$67</f>
        <v>56.4</v>
      </c>
      <c r="J67" t="e">
        <f ca="1">Campaign_Match!$N$67</f>
        <v>#VALUE!</v>
      </c>
      <c r="K67" t="e">
        <f ca="1">Campaign_Match!$O$67</f>
        <v>#VALUE!</v>
      </c>
      <c r="L67">
        <f>Campaign_Match!$I$67</f>
        <v>45</v>
      </c>
      <c r="M67">
        <f>Campaign_Match!$J$67</f>
        <v>60</v>
      </c>
      <c r="N67">
        <f>Campaign_Match!$I$67</f>
        <v>45</v>
      </c>
      <c r="O67">
        <f>Campaign_Match!$J$67</f>
        <v>60</v>
      </c>
      <c r="P67" t="str">
        <f>Campaign_Profile!$D$8</f>
        <v>Conversion</v>
      </c>
    </row>
    <row r="68" spans="1:16">
      <c r="A68" t="str">
        <f>Campaign_Match!$A$68</f>
        <v>CAMP-C</v>
      </c>
      <c r="B68" t="str">
        <f>Campaign_Match!$B$68</f>
        <v>BRAND-C</v>
      </c>
      <c r="C68" t="str">
        <f>Campaign_Profile!$D$7</f>
        <v>Everyday Meal Moment</v>
      </c>
      <c r="D68" t="str">
        <f>Campaign_Match!$C$68</f>
        <v>KOL-04</v>
      </c>
      <c r="E68" t="str">
        <f>Campaign_Match!$D$68</f>
        <v>Nadia Puspa</v>
      </c>
      <c r="F68" t="str">
        <f>Campaign_Match!$E$68</f>
        <v>TikTok</v>
      </c>
      <c r="G68" t="str">
        <f>Campaign_Match!$F$68</f>
        <v>Beauty</v>
      </c>
      <c r="H68" t="str">
        <f ca="1">Campaign_Match!$G$68</f>
        <v/>
      </c>
      <c r="I68">
        <f ca="1">Campaign_Match!$M$68</f>
        <v>56</v>
      </c>
      <c r="J68" t="e">
        <f ca="1">Campaign_Match!$N$68</f>
        <v>#VALUE!</v>
      </c>
      <c r="K68" t="e">
        <f ca="1">Campaign_Match!$O$68</f>
        <v>#VALUE!</v>
      </c>
      <c r="L68">
        <f>Campaign_Match!$I$68</f>
        <v>45</v>
      </c>
      <c r="M68">
        <f>Campaign_Match!$J$68</f>
        <v>60</v>
      </c>
      <c r="N68">
        <f>Campaign_Match!$I$68</f>
        <v>45</v>
      </c>
      <c r="O68">
        <f>Campaign_Match!$J$68</f>
        <v>60</v>
      </c>
      <c r="P68" t="str">
        <f>Campaign_Profile!$D$8</f>
        <v>Conversion</v>
      </c>
    </row>
    <row r="69" spans="1:16">
      <c r="A69" t="str">
        <f>Campaign_Match!$A$69</f>
        <v>CAMP-C</v>
      </c>
      <c r="B69" t="str">
        <f>Campaign_Match!$B$69</f>
        <v>BRAND-C</v>
      </c>
      <c r="C69" t="str">
        <f>Campaign_Profile!$D$7</f>
        <v>Everyday Meal Moment</v>
      </c>
      <c r="D69" t="str">
        <f>Campaign_Match!$C$69</f>
        <v>KOL-05</v>
      </c>
      <c r="E69" t="str">
        <f>Campaign_Match!$D$69</f>
        <v>Bimo Saputra</v>
      </c>
      <c r="F69" t="str">
        <f>Campaign_Match!$E$69</f>
        <v>TikTok</v>
      </c>
      <c r="G69" t="str">
        <f>Campaign_Match!$F$69</f>
        <v>Food</v>
      </c>
      <c r="H69" t="str">
        <f ca="1">Campaign_Match!$G$69</f>
        <v/>
      </c>
      <c r="I69">
        <f ca="1">Campaign_Match!$M$69</f>
        <v>74.8</v>
      </c>
      <c r="J69" t="e">
        <f ca="1">Campaign_Match!$N$69</f>
        <v>#VALUE!</v>
      </c>
      <c r="K69" t="e">
        <f ca="1">Campaign_Match!$O$69</f>
        <v>#VALUE!</v>
      </c>
      <c r="L69">
        <f>Campaign_Match!$I$69</f>
        <v>45</v>
      </c>
      <c r="M69">
        <f>Campaign_Match!$J$69</f>
        <v>100</v>
      </c>
      <c r="N69">
        <f>Campaign_Match!$I$69</f>
        <v>45</v>
      </c>
      <c r="O69">
        <f>Campaign_Match!$J$69</f>
        <v>100</v>
      </c>
      <c r="P69" t="str">
        <f>Campaign_Profile!$D$8</f>
        <v>Conversion</v>
      </c>
    </row>
    <row r="70" spans="1:16">
      <c r="A70" t="str">
        <f>Campaign_Match!$A$70</f>
        <v>CAMP-C</v>
      </c>
      <c r="B70" t="str">
        <f>Campaign_Match!$B$70</f>
        <v>BRAND-C</v>
      </c>
      <c r="C70" t="str">
        <f>Campaign_Profile!$D$7</f>
        <v>Everyday Meal Moment</v>
      </c>
      <c r="D70" t="str">
        <f>Campaign_Match!$C$70</f>
        <v>KOL-06</v>
      </c>
      <c r="E70" t="str">
        <f>Campaign_Match!$D$70</f>
        <v>Ayu Lestari</v>
      </c>
      <c r="F70" t="str">
        <f>Campaign_Match!$E$70</f>
        <v>Instagram</v>
      </c>
      <c r="G70" t="str">
        <f>Campaign_Match!$F$70</f>
        <v>Food</v>
      </c>
      <c r="H70">
        <f ca="1">Campaign_Match!$G$70</f>
        <v>74</v>
      </c>
      <c r="I70">
        <f ca="1">Campaign_Match!$M$70</f>
        <v>69.6</v>
      </c>
      <c r="J70">
        <f ca="1">Campaign_Match!$N$70</f>
        <v>72.7</v>
      </c>
      <c r="K70" t="str">
        <f ca="1">Campaign_Match!$O$70</f>
        <v>Strong Match</v>
      </c>
      <c r="L70">
        <f>Campaign_Match!$I$70</f>
        <v>45</v>
      </c>
      <c r="M70">
        <f>Campaign_Match!$J$70</f>
        <v>100</v>
      </c>
      <c r="N70">
        <f>Campaign_Match!$I$70</f>
        <v>45</v>
      </c>
      <c r="O70">
        <f>Campaign_Match!$J$70</f>
        <v>100</v>
      </c>
      <c r="P70" t="str">
        <f>Campaign_Profile!$D$8</f>
        <v>Conversion</v>
      </c>
    </row>
    <row r="71" spans="1:16">
      <c r="A71" t="str">
        <f>Campaign_Match!$A$71</f>
        <v>CAMP-C</v>
      </c>
      <c r="B71" t="str">
        <f>Campaign_Match!$B$71</f>
        <v>BRAND-C</v>
      </c>
      <c r="C71" t="str">
        <f>Campaign_Profile!$D$7</f>
        <v>Everyday Meal Moment</v>
      </c>
      <c r="D71" t="str">
        <f>Campaign_Match!$C$71</f>
        <v>KOL-07</v>
      </c>
      <c r="E71" t="str">
        <f>Campaign_Match!$D$71</f>
        <v>Fajar Ramadhan</v>
      </c>
      <c r="F71" t="str">
        <f>Campaign_Match!$E$71</f>
        <v>Instagram</v>
      </c>
      <c r="G71" t="str">
        <f>Campaign_Match!$F$71</f>
        <v>Finance</v>
      </c>
      <c r="H71" t="str">
        <f ca="1">Campaign_Match!$G$71</f>
        <v/>
      </c>
      <c r="I71">
        <f ca="1">Campaign_Match!$M$71</f>
        <v>54.2</v>
      </c>
      <c r="J71" t="e">
        <f ca="1">Campaign_Match!$N$71</f>
        <v>#VALUE!</v>
      </c>
      <c r="K71" t="e">
        <f ca="1">Campaign_Match!$O$71</f>
        <v>#VALUE!</v>
      </c>
      <c r="L71">
        <f>Campaign_Match!$I$71</f>
        <v>45</v>
      </c>
      <c r="M71">
        <f>Campaign_Match!$J$71</f>
        <v>45</v>
      </c>
      <c r="N71">
        <f>Campaign_Match!$I$71</f>
        <v>45</v>
      </c>
      <c r="O71">
        <f>Campaign_Match!$J$71</f>
        <v>45</v>
      </c>
      <c r="P71" t="str">
        <f>Campaign_Profile!$D$8</f>
        <v>Conversion</v>
      </c>
    </row>
    <row r="72" spans="1:16">
      <c r="A72" t="str">
        <f>Campaign_Match!$A$72</f>
        <v>CAMP-C</v>
      </c>
      <c r="B72" t="str">
        <f>Campaign_Match!$B$72</f>
        <v>BRAND-C</v>
      </c>
      <c r="C72" t="str">
        <f>Campaign_Profile!$D$7</f>
        <v>Everyday Meal Moment</v>
      </c>
      <c r="D72" t="str">
        <f>Campaign_Match!$C$72</f>
        <v>KOL-08</v>
      </c>
      <c r="E72" t="str">
        <f>Campaign_Match!$D$72</f>
        <v>Tania Wijaya</v>
      </c>
      <c r="F72" t="str">
        <f>Campaign_Match!$E$72</f>
        <v>TikTok</v>
      </c>
      <c r="G72" t="str">
        <f>Campaign_Match!$F$72</f>
        <v>Finance</v>
      </c>
      <c r="H72">
        <f ca="1">Campaign_Match!$G$72</f>
        <v>47</v>
      </c>
      <c r="I72">
        <f ca="1">Campaign_Match!$M$72</f>
        <v>57.3</v>
      </c>
      <c r="J72">
        <f ca="1">Campaign_Match!$N$72</f>
        <v>50.1</v>
      </c>
      <c r="K72" t="str">
        <f ca="1">Campaign_Match!$O$72</f>
        <v>Weak Match</v>
      </c>
      <c r="L72">
        <f>Campaign_Match!$I$72</f>
        <v>45</v>
      </c>
      <c r="M72">
        <f>Campaign_Match!$J$72</f>
        <v>60</v>
      </c>
      <c r="N72">
        <f>Campaign_Match!$I$72</f>
        <v>45</v>
      </c>
      <c r="O72">
        <f>Campaign_Match!$J$72</f>
        <v>60</v>
      </c>
      <c r="P72" t="str">
        <f>Campaign_Profile!$D$8</f>
        <v>Conversion</v>
      </c>
    </row>
    <row r="73" spans="1:16">
      <c r="A73" t="str">
        <f>Campaign_Match!$A$73</f>
        <v>CAMP-C</v>
      </c>
      <c r="B73" t="str">
        <f>Campaign_Match!$B$73</f>
        <v>BRAND-C</v>
      </c>
      <c r="C73" t="str">
        <f>Campaign_Profile!$D$7</f>
        <v>Everyday Meal Moment</v>
      </c>
      <c r="D73" t="str">
        <f>Campaign_Match!$C$73</f>
        <v>KOL-09</v>
      </c>
      <c r="E73" t="str">
        <f>Campaign_Match!$D$73</f>
        <v>Gilang Prakoso</v>
      </c>
      <c r="F73" t="str">
        <f>Campaign_Match!$E$73</f>
        <v>TikTok</v>
      </c>
      <c r="G73" t="str">
        <f>Campaign_Match!$F$73</f>
        <v>Education</v>
      </c>
      <c r="H73" t="str">
        <f ca="1">Campaign_Match!$G$73</f>
        <v/>
      </c>
      <c r="I73">
        <f ca="1">Campaign_Match!$M$73</f>
        <v>58.8</v>
      </c>
      <c r="J73" t="e">
        <f ca="1">Campaign_Match!$N$73</f>
        <v>#VALUE!</v>
      </c>
      <c r="K73" t="e">
        <f ca="1">Campaign_Match!$O$73</f>
        <v>#VALUE!</v>
      </c>
      <c r="L73">
        <f>Campaign_Match!$I$73</f>
        <v>45</v>
      </c>
      <c r="M73">
        <f>Campaign_Match!$J$73</f>
        <v>60</v>
      </c>
      <c r="N73">
        <f>Campaign_Match!$I$73</f>
        <v>45</v>
      </c>
      <c r="O73">
        <f>Campaign_Match!$J$73</f>
        <v>60</v>
      </c>
      <c r="P73" t="str">
        <f>Campaign_Profile!$D$8</f>
        <v>Conversion</v>
      </c>
    </row>
    <row r="74" spans="1:16">
      <c r="A74" t="str">
        <f>Campaign_Match!$A$74</f>
        <v>CAMP-C</v>
      </c>
      <c r="B74" t="str">
        <f>Campaign_Match!$B$74</f>
        <v>BRAND-C</v>
      </c>
      <c r="C74" t="str">
        <f>Campaign_Profile!$D$7</f>
        <v>Everyday Meal Moment</v>
      </c>
      <c r="D74" t="str">
        <f>Campaign_Match!$C$74</f>
        <v>KOL-10</v>
      </c>
      <c r="E74" t="str">
        <f>Campaign_Match!$D$74</f>
        <v>Mira Handayani</v>
      </c>
      <c r="F74" t="str">
        <f>Campaign_Match!$E$74</f>
        <v>Instagram</v>
      </c>
      <c r="G74" t="str">
        <f>Campaign_Match!$F$74</f>
        <v>Education</v>
      </c>
      <c r="H74">
        <f ca="1">Campaign_Match!$G$74</f>
        <v>56</v>
      </c>
      <c r="I74">
        <f ca="1">Campaign_Match!$M$74</f>
        <v>60.2</v>
      </c>
      <c r="J74">
        <f ca="1">Campaign_Match!$N$74</f>
        <v>57.3</v>
      </c>
      <c r="K74" t="str">
        <f ca="1">Campaign_Match!$O$74</f>
        <v>Good Match</v>
      </c>
      <c r="L74">
        <f>Campaign_Match!$I$74</f>
        <v>45</v>
      </c>
      <c r="M74">
        <f>Campaign_Match!$J$74</f>
        <v>60</v>
      </c>
      <c r="N74">
        <f>Campaign_Match!$I$74</f>
        <v>45</v>
      </c>
      <c r="O74">
        <f>Campaign_Match!$J$74</f>
        <v>60</v>
      </c>
      <c r="P74" t="str">
        <f>Campaign_Profile!$D$8</f>
        <v>Conversion</v>
      </c>
    </row>
    <row r="75" spans="1:16">
      <c r="A75" t="str">
        <f>Campaign_Match!$A$75</f>
        <v>CAMP-C</v>
      </c>
      <c r="B75" t="str">
        <f>Campaign_Match!$B$75</f>
        <v>BRAND-C</v>
      </c>
      <c r="C75" t="str">
        <f>Campaign_Profile!$D$7</f>
        <v>Everyday Meal Moment</v>
      </c>
      <c r="D75" t="str">
        <f>Campaign_Match!$C$75</f>
        <v>KOL-11</v>
      </c>
      <c r="E75" t="str">
        <f>Campaign_Match!$D$75</f>
        <v>Dimas Anggara</v>
      </c>
      <c r="F75" t="str">
        <f>Campaign_Match!$E$75</f>
        <v>Instagram</v>
      </c>
      <c r="G75" t="str">
        <f>Campaign_Match!$F$75</f>
        <v>Fitness</v>
      </c>
      <c r="H75" t="str">
        <f ca="1">Campaign_Match!$G$75</f>
        <v/>
      </c>
      <c r="I75">
        <f ca="1">Campaign_Match!$M$75</f>
        <v>53.7</v>
      </c>
      <c r="J75" t="e">
        <f ca="1">Campaign_Match!$N$75</f>
        <v>#VALUE!</v>
      </c>
      <c r="K75" t="e">
        <f ca="1">Campaign_Match!$O$75</f>
        <v>#VALUE!</v>
      </c>
      <c r="L75">
        <f>Campaign_Match!$I$75</f>
        <v>45</v>
      </c>
      <c r="M75">
        <f>Campaign_Match!$J$75</f>
        <v>45</v>
      </c>
      <c r="N75">
        <f>Campaign_Match!$I$75</f>
        <v>45</v>
      </c>
      <c r="O75">
        <f>Campaign_Match!$J$75</f>
        <v>45</v>
      </c>
      <c r="P75" t="str">
        <f>Campaign_Profile!$D$8</f>
        <v>Conversion</v>
      </c>
    </row>
    <row r="76" spans="1:16">
      <c r="A76" t="str">
        <f>Campaign_Match!$A$76</f>
        <v>CAMP-C</v>
      </c>
      <c r="B76" t="str">
        <f>Campaign_Match!$B$76</f>
        <v>BRAND-C</v>
      </c>
      <c r="C76" t="str">
        <f>Campaign_Profile!$D$7</f>
        <v>Everyday Meal Moment</v>
      </c>
      <c r="D76" t="str">
        <f>Campaign_Match!$C$76</f>
        <v>KOL-12</v>
      </c>
      <c r="E76" t="str">
        <f>Campaign_Match!$D$76</f>
        <v>Rani Kusuma</v>
      </c>
      <c r="F76" t="str">
        <f>Campaign_Match!$E$76</f>
        <v>TikTok</v>
      </c>
      <c r="G76" t="str">
        <f>Campaign_Match!$F$76</f>
        <v>Fitness</v>
      </c>
      <c r="H76" t="str">
        <f ca="1">Campaign_Match!$G$76</f>
        <v/>
      </c>
      <c r="I76">
        <f ca="1">Campaign_Match!$M$76</f>
        <v>59.6</v>
      </c>
      <c r="J76" t="e">
        <f ca="1">Campaign_Match!$N$76</f>
        <v>#VALUE!</v>
      </c>
      <c r="K76" t="e">
        <f ca="1">Campaign_Match!$O$76</f>
        <v>#VALUE!</v>
      </c>
      <c r="L76">
        <f>Campaign_Match!$I$76</f>
        <v>45</v>
      </c>
      <c r="M76">
        <f>Campaign_Match!$J$76</f>
        <v>65</v>
      </c>
      <c r="N76">
        <f>Campaign_Match!$I$76</f>
        <v>45</v>
      </c>
      <c r="O76">
        <f>Campaign_Match!$J$76</f>
        <v>65</v>
      </c>
      <c r="P76" t="str">
        <f>Campaign_Profile!$D$8</f>
        <v>Conversion</v>
      </c>
    </row>
    <row r="77" spans="1:16">
      <c r="A77" t="str">
        <f>Campaign_Match!$A$77</f>
        <v>CAMP-C</v>
      </c>
      <c r="B77" t="str">
        <f>Campaign_Match!$B$77</f>
        <v>BRAND-C</v>
      </c>
      <c r="C77" t="str">
        <f>Campaign_Profile!$D$7</f>
        <v>Everyday Meal Moment</v>
      </c>
      <c r="D77" t="str">
        <f>Campaign_Match!$C$77</f>
        <v>KOL-13</v>
      </c>
      <c r="E77" t="str">
        <f>Campaign_Match!$D$77</f>
        <v>Kevin Halim</v>
      </c>
      <c r="F77" t="str">
        <f>Campaign_Match!$E$77</f>
        <v>Instagram</v>
      </c>
      <c r="G77" t="str">
        <f>Campaign_Match!$F$77</f>
        <v>Fashion</v>
      </c>
      <c r="H77" t="str">
        <f ca="1">Campaign_Match!$G$77</f>
        <v/>
      </c>
      <c r="I77">
        <f ca="1">Campaign_Match!$M$77</f>
        <v>59.1</v>
      </c>
      <c r="J77" t="e">
        <f ca="1">Campaign_Match!$N$77</f>
        <v>#VALUE!</v>
      </c>
      <c r="K77" t="e">
        <f ca="1">Campaign_Match!$O$77</f>
        <v>#VALUE!</v>
      </c>
      <c r="L77">
        <f>Campaign_Match!$I$77</f>
        <v>45</v>
      </c>
      <c r="M77">
        <f>Campaign_Match!$J$77</f>
        <v>60</v>
      </c>
      <c r="N77">
        <f>Campaign_Match!$I$77</f>
        <v>45</v>
      </c>
      <c r="O77">
        <f>Campaign_Match!$J$77</f>
        <v>60</v>
      </c>
      <c r="P77" t="str">
        <f>Campaign_Profile!$D$8</f>
        <v>Conversion</v>
      </c>
    </row>
    <row r="78" spans="1:16">
      <c r="A78" t="str">
        <f>Campaign_Match!$A$78</f>
        <v>CAMP-C</v>
      </c>
      <c r="B78" t="str">
        <f>Campaign_Match!$B$78</f>
        <v>BRAND-C</v>
      </c>
      <c r="C78" t="str">
        <f>Campaign_Profile!$D$7</f>
        <v>Everyday Meal Moment</v>
      </c>
      <c r="D78" t="str">
        <f>Campaign_Match!$C$78</f>
        <v>KOL-14</v>
      </c>
      <c r="E78" t="str">
        <f>Campaign_Match!$D$78</f>
        <v>Zahra Amelia</v>
      </c>
      <c r="F78" t="str">
        <f>Campaign_Match!$E$78</f>
        <v>Instagram</v>
      </c>
      <c r="G78" t="str">
        <f>Campaign_Match!$F$78</f>
        <v>Fashion</v>
      </c>
      <c r="H78" t="str">
        <f ca="1">Campaign_Match!$G$78</f>
        <v/>
      </c>
      <c r="I78">
        <f ca="1">Campaign_Match!$M$78</f>
        <v>53.5</v>
      </c>
      <c r="J78" t="e">
        <f ca="1">Campaign_Match!$N$78</f>
        <v>#VALUE!</v>
      </c>
      <c r="K78" t="e">
        <f ca="1">Campaign_Match!$O$78</f>
        <v>#VALUE!</v>
      </c>
      <c r="L78">
        <f>Campaign_Match!$I$78</f>
        <v>45</v>
      </c>
      <c r="M78">
        <f>Campaign_Match!$J$78</f>
        <v>35</v>
      </c>
      <c r="N78">
        <f>Campaign_Match!$I$78</f>
        <v>45</v>
      </c>
      <c r="O78">
        <f>Campaign_Match!$J$78</f>
        <v>35</v>
      </c>
      <c r="P78" t="str">
        <f>Campaign_Profile!$D$8</f>
        <v>Conversion</v>
      </c>
    </row>
    <row r="79" spans="1:16">
      <c r="A79" t="str">
        <f>Campaign_Match!$A$79</f>
        <v>CAMP-C</v>
      </c>
      <c r="B79" t="str">
        <f>Campaign_Match!$B$79</f>
        <v>BRAND-C</v>
      </c>
      <c r="C79" t="str">
        <f>Campaign_Profile!$D$7</f>
        <v>Everyday Meal Moment</v>
      </c>
      <c r="D79" t="str">
        <f>Campaign_Match!$C$79</f>
        <v>KOL-15</v>
      </c>
      <c r="E79" t="str">
        <f>Campaign_Match!$D$79</f>
        <v>Andini Rahma</v>
      </c>
      <c r="F79" t="str">
        <f>Campaign_Match!$E$79</f>
        <v>Instagram</v>
      </c>
      <c r="G79" t="str">
        <f>Campaign_Match!$F$79</f>
        <v>Lifestyle</v>
      </c>
      <c r="H79">
        <f ca="1">Campaign_Match!$G$79</f>
        <v>72</v>
      </c>
      <c r="I79">
        <f ca="1">Campaign_Match!$M$79</f>
        <v>85.3</v>
      </c>
      <c r="J79">
        <f ca="1">Campaign_Match!$N$79</f>
        <v>76</v>
      </c>
      <c r="K79" t="str">
        <f ca="1">Campaign_Match!$O$79</f>
        <v>Strong Match</v>
      </c>
      <c r="L79">
        <f>Campaign_Match!$I$79</f>
        <v>80</v>
      </c>
      <c r="M79">
        <f>Campaign_Match!$J$79</f>
        <v>100</v>
      </c>
      <c r="N79">
        <f>Campaign_Match!$I$79</f>
        <v>80</v>
      </c>
      <c r="O79">
        <f>Campaign_Match!$J$79</f>
        <v>100</v>
      </c>
      <c r="P79" t="str">
        <f>Campaign_Profile!$D$8</f>
        <v>Conversion</v>
      </c>
    </row>
    <row r="80" spans="1:16">
      <c r="A80" t="str">
        <f>Campaign_Match!$A$80</f>
        <v>CAMP-C</v>
      </c>
      <c r="B80" t="str">
        <f>Campaign_Match!$B$80</f>
        <v>BRAND-C</v>
      </c>
      <c r="C80" t="str">
        <f>Campaign_Profile!$D$7</f>
        <v>Everyday Meal Moment</v>
      </c>
      <c r="D80" t="str">
        <f>Campaign_Match!$C$80</f>
        <v>KOL-16</v>
      </c>
      <c r="E80" t="str">
        <f>Campaign_Match!$D$80</f>
        <v>Yoga Pratama</v>
      </c>
      <c r="F80" t="str">
        <f>Campaign_Match!$E$80</f>
        <v>TikTok</v>
      </c>
      <c r="G80" t="str">
        <f>Campaign_Match!$F$80</f>
        <v>Lifestyle</v>
      </c>
      <c r="H80" t="str">
        <f ca="1">Campaign_Match!$G$80</f>
        <v/>
      </c>
      <c r="I80">
        <f ca="1">Campaign_Match!$M$80</f>
        <v>82.3</v>
      </c>
      <c r="J80" t="e">
        <f ca="1">Campaign_Match!$N$80</f>
        <v>#VALUE!</v>
      </c>
      <c r="K80" t="e">
        <f ca="1">Campaign_Match!$O$80</f>
        <v>#VALUE!</v>
      </c>
      <c r="L80">
        <f>Campaign_Match!$I$80</f>
        <v>100</v>
      </c>
      <c r="M80">
        <f>Campaign_Match!$J$80</f>
        <v>65</v>
      </c>
      <c r="N80">
        <f>Campaign_Match!$I$80</f>
        <v>100</v>
      </c>
      <c r="O80">
        <f>Campaign_Match!$J$80</f>
        <v>65</v>
      </c>
      <c r="P80" t="str">
        <f>Campaign_Profile!$D$8</f>
        <v>Conversion</v>
      </c>
    </row>
    <row r="81" spans="1:16">
      <c r="A81" t="str">
        <f>Campaign_Match!$A$81</f>
        <v>CAMP-C</v>
      </c>
      <c r="B81" t="str">
        <f>Campaign_Match!$B$81</f>
        <v>BRAND-C</v>
      </c>
      <c r="C81" t="str">
        <f>Campaign_Profile!$D$7</f>
        <v>Everyday Meal Moment</v>
      </c>
      <c r="D81" t="str">
        <f>Campaign_Match!$C$81</f>
        <v>KOL-17</v>
      </c>
      <c r="E81" t="str">
        <f>Campaign_Match!$D$81</f>
        <v>Sinta Maharani</v>
      </c>
      <c r="F81" t="str">
        <f>Campaign_Match!$E$81</f>
        <v>Instagram</v>
      </c>
      <c r="G81" t="str">
        <f>Campaign_Match!$F$81</f>
        <v>Travel</v>
      </c>
      <c r="H81" t="str">
        <f ca="1">Campaign_Match!$G$81</f>
        <v/>
      </c>
      <c r="I81">
        <f ca="1">Campaign_Match!$M$81</f>
        <v>58.6</v>
      </c>
      <c r="J81" t="e">
        <f ca="1">Campaign_Match!$N$81</f>
        <v>#VALUE!</v>
      </c>
      <c r="K81" t="e">
        <f ca="1">Campaign_Match!$O$81</f>
        <v>#VALUE!</v>
      </c>
      <c r="L81">
        <f>Campaign_Match!$I$81</f>
        <v>45</v>
      </c>
      <c r="M81">
        <f>Campaign_Match!$J$81</f>
        <v>35</v>
      </c>
      <c r="N81">
        <f>Campaign_Match!$I$81</f>
        <v>45</v>
      </c>
      <c r="O81">
        <f>Campaign_Match!$J$81</f>
        <v>35</v>
      </c>
      <c r="P81" t="str">
        <f>Campaign_Profile!$D$8</f>
        <v>Conversion</v>
      </c>
    </row>
    <row r="82" spans="1:16">
      <c r="A82" t="str">
        <f>Campaign_Match!$A$82</f>
        <v>CAMP-C</v>
      </c>
      <c r="B82" t="str">
        <f>Campaign_Match!$B$82</f>
        <v>BRAND-C</v>
      </c>
      <c r="C82" t="str">
        <f>Campaign_Profile!$D$7</f>
        <v>Everyday Meal Moment</v>
      </c>
      <c r="D82" t="str">
        <f>Campaign_Match!$C$82</f>
        <v>KOL-18</v>
      </c>
      <c r="E82" t="str">
        <f>Campaign_Match!$D$82</f>
        <v>Reza Fadillah</v>
      </c>
      <c r="F82" t="str">
        <f>Campaign_Match!$E$82</f>
        <v>TikTok</v>
      </c>
      <c r="G82" t="str">
        <f>Campaign_Match!$F$82</f>
        <v>Travel</v>
      </c>
      <c r="H82">
        <f ca="1">Campaign_Match!$G$82</f>
        <v>78</v>
      </c>
      <c r="I82">
        <f ca="1">Campaign_Match!$M$82</f>
        <v>86.8</v>
      </c>
      <c r="J82">
        <f ca="1">Campaign_Match!$N$82</f>
        <v>80.6</v>
      </c>
      <c r="K82" t="str">
        <f ca="1">Campaign_Match!$O$82</f>
        <v>Strong Match</v>
      </c>
      <c r="L82">
        <f>Campaign_Match!$I$82</f>
        <v>80</v>
      </c>
      <c r="M82">
        <f>Campaign_Match!$J$82</f>
        <v>95</v>
      </c>
      <c r="N82">
        <f>Campaign_Match!$I$82</f>
        <v>80</v>
      </c>
      <c r="O82">
        <f>Campaign_Match!$J$82</f>
        <v>95</v>
      </c>
      <c r="P82" t="str">
        <f>Campaign_Profile!$D$8</f>
        <v>Conversion</v>
      </c>
    </row>
    <row r="83" spans="1:16">
      <c r="A83" t="str">
        <f>Campaign_Match!$A$83</f>
        <v>CAMP-C</v>
      </c>
      <c r="B83" t="str">
        <f>Campaign_Match!$B$83</f>
        <v>BRAND-C</v>
      </c>
      <c r="C83" t="str">
        <f>Campaign_Profile!$D$7</f>
        <v>Everyday Meal Moment</v>
      </c>
      <c r="D83" t="str">
        <f>Campaign_Match!$C$83</f>
        <v>KOL-19</v>
      </c>
      <c r="E83" t="str">
        <f>Campaign_Match!$D$83</f>
        <v>Putri Amanda</v>
      </c>
      <c r="F83" t="str">
        <f>Campaign_Match!$E$83</f>
        <v>Instagram</v>
      </c>
      <c r="G83" t="str">
        <f>Campaign_Match!$F$83</f>
        <v>Parenting</v>
      </c>
      <c r="H83" t="str">
        <f ca="1">Campaign_Match!$G$83</f>
        <v/>
      </c>
      <c r="I83">
        <f ca="1">Campaign_Match!$M$83</f>
        <v>92.2</v>
      </c>
      <c r="J83" t="e">
        <f ca="1">Campaign_Match!$N$83</f>
        <v>#VALUE!</v>
      </c>
      <c r="K83" t="e">
        <f ca="1">Campaign_Match!$O$83</f>
        <v>#VALUE!</v>
      </c>
      <c r="L83">
        <f>Campaign_Match!$I$83</f>
        <v>100</v>
      </c>
      <c r="M83">
        <f>Campaign_Match!$J$83</f>
        <v>100</v>
      </c>
      <c r="N83">
        <f>Campaign_Match!$I$83</f>
        <v>100</v>
      </c>
      <c r="O83">
        <f>Campaign_Match!$J$83</f>
        <v>100</v>
      </c>
      <c r="P83" t="str">
        <f>Campaign_Profile!$D$8</f>
        <v>Conversion</v>
      </c>
    </row>
    <row r="84" spans="1:16">
      <c r="A84" t="str">
        <f>Campaign_Match!$A$84</f>
        <v>CAMP-C</v>
      </c>
      <c r="B84" t="str">
        <f>Campaign_Match!$B$84</f>
        <v>BRAND-C</v>
      </c>
      <c r="C84" t="str">
        <f>Campaign_Profile!$D$7</f>
        <v>Everyday Meal Moment</v>
      </c>
      <c r="D84" t="str">
        <f>Campaign_Match!$C$84</f>
        <v>KOL-20</v>
      </c>
      <c r="E84" t="str">
        <f>Campaign_Match!$D$84</f>
        <v>Hendra Wijoyo</v>
      </c>
      <c r="F84" t="str">
        <f>Campaign_Match!$E$84</f>
        <v>TikTok</v>
      </c>
      <c r="G84" t="str">
        <f>Campaign_Match!$F$84</f>
        <v>Parenting</v>
      </c>
      <c r="H84">
        <f ca="1">Campaign_Match!$G$84</f>
        <v>67</v>
      </c>
      <c r="I84">
        <f ca="1">Campaign_Match!$M$84</f>
        <v>66.7</v>
      </c>
      <c r="J84">
        <f ca="1">Campaign_Match!$N$84</f>
        <v>66.9</v>
      </c>
      <c r="K84" t="str">
        <f ca="1">Campaign_Match!$O$84</f>
        <v>Good Match</v>
      </c>
      <c r="L84">
        <f>Campaign_Match!$I$84</f>
        <v>45</v>
      </c>
      <c r="M84">
        <f>Campaign_Match!$J$84</f>
        <v>70</v>
      </c>
      <c r="N84">
        <f>Campaign_Match!$I$84</f>
        <v>45</v>
      </c>
      <c r="O84">
        <f>Campaign_Match!$J$84</f>
        <v>70</v>
      </c>
      <c r="P84" t="str">
        <f>Campaign_Profile!$D$8</f>
        <v>Conversion</v>
      </c>
    </row>
    <row r="85" spans="1:16">
      <c r="A85" t="str">
        <f>Campaign_Match!$A$85</f>
        <v>CAMP-C</v>
      </c>
      <c r="B85" t="str">
        <f>Campaign_Match!$B$85</f>
        <v>BRAND-C</v>
      </c>
      <c r="C85" t="str">
        <f>Campaign_Profile!$D$7</f>
        <v>Everyday Meal Moment</v>
      </c>
      <c r="D85" t="str">
        <f>Campaign_Match!$C$85</f>
        <v>KOL-21</v>
      </c>
      <c r="E85" t="str">
        <f>Campaign_Match!$D$85</f>
        <v>Bagas Setiawan</v>
      </c>
      <c r="F85" t="str">
        <f>Campaign_Match!$E$85</f>
        <v>TikTok</v>
      </c>
      <c r="G85" t="str">
        <f>Campaign_Match!$F$85</f>
        <v>Entertainment</v>
      </c>
      <c r="H85" t="str">
        <f ca="1">Campaign_Match!$G$85</f>
        <v/>
      </c>
      <c r="I85">
        <f ca="1">Campaign_Match!$M$85</f>
        <v>62.5</v>
      </c>
      <c r="J85" t="e">
        <f ca="1">Campaign_Match!$N$85</f>
        <v>#VALUE!</v>
      </c>
      <c r="K85" t="e">
        <f ca="1">Campaign_Match!$O$85</f>
        <v>#VALUE!</v>
      </c>
      <c r="L85">
        <f>Campaign_Match!$I$85</f>
        <v>45</v>
      </c>
      <c r="M85">
        <f>Campaign_Match!$J$85</f>
        <v>70</v>
      </c>
      <c r="N85">
        <f>Campaign_Match!$I$85</f>
        <v>45</v>
      </c>
      <c r="O85">
        <f>Campaign_Match!$J$85</f>
        <v>70</v>
      </c>
      <c r="P85" t="str">
        <f>Campaign_Profile!$D$8</f>
        <v>Conversion</v>
      </c>
    </row>
    <row r="86" spans="1:16">
      <c r="A86" t="str">
        <f>Campaign_Match!$A$86</f>
        <v>CAMP-C</v>
      </c>
      <c r="B86" t="str">
        <f>Campaign_Match!$B$86</f>
        <v>BRAND-C</v>
      </c>
      <c r="C86" t="str">
        <f>Campaign_Profile!$D$7</f>
        <v>Everyday Meal Moment</v>
      </c>
      <c r="D86" t="str">
        <f>Campaign_Match!$C$86</f>
        <v>KOL-22</v>
      </c>
      <c r="E86" t="str">
        <f>Campaign_Match!$D$86</f>
        <v>Nabila Kirana</v>
      </c>
      <c r="F86" t="str">
        <f>Campaign_Match!$E$86</f>
        <v>Instagram</v>
      </c>
      <c r="G86" t="str">
        <f>Campaign_Match!$F$86</f>
        <v>Entertainment</v>
      </c>
      <c r="H86" t="str">
        <f ca="1">Campaign_Match!$G$86</f>
        <v/>
      </c>
      <c r="I86">
        <f ca="1">Campaign_Match!$M$86</f>
        <v>59.4</v>
      </c>
      <c r="J86" t="e">
        <f ca="1">Campaign_Match!$N$86</f>
        <v>#VALUE!</v>
      </c>
      <c r="K86" t="e">
        <f ca="1">Campaign_Match!$O$86</f>
        <v>#VALUE!</v>
      </c>
      <c r="L86">
        <f>Campaign_Match!$I$86</f>
        <v>45</v>
      </c>
      <c r="M86">
        <f>Campaign_Match!$J$86</f>
        <v>60</v>
      </c>
      <c r="N86">
        <f>Campaign_Match!$I$86</f>
        <v>45</v>
      </c>
      <c r="O86">
        <f>Campaign_Match!$J$86</f>
        <v>60</v>
      </c>
      <c r="P86" t="str">
        <f>Campaign_Profile!$D$8</f>
        <v>Conversion</v>
      </c>
    </row>
    <row r="87" spans="1:16">
      <c r="A87" t="str">
        <f>Campaign_Match!$A$87</f>
        <v>CAMP-C</v>
      </c>
      <c r="B87" t="str">
        <f>Campaign_Match!$B$87</f>
        <v>BRAND-C</v>
      </c>
      <c r="C87" t="str">
        <f>Campaign_Profile!$D$7</f>
        <v>Everyday Meal Moment</v>
      </c>
      <c r="D87" t="str">
        <f>Campaign_Match!$C$87</f>
        <v>KOL-23</v>
      </c>
      <c r="E87" t="str">
        <f>Campaign_Match!$D$87</f>
        <v>Arya Mahendra</v>
      </c>
      <c r="F87" t="str">
        <f>Campaign_Match!$E$87</f>
        <v>TikTok</v>
      </c>
      <c r="G87" t="str">
        <f>Campaign_Match!$F$87</f>
        <v>Gaming</v>
      </c>
      <c r="H87" t="str">
        <f ca="1">Campaign_Match!$G$87</f>
        <v/>
      </c>
      <c r="I87">
        <f ca="1">Campaign_Match!$M$87</f>
        <v>62.6</v>
      </c>
      <c r="J87" t="e">
        <f ca="1">Campaign_Match!$N$87</f>
        <v>#VALUE!</v>
      </c>
      <c r="K87" t="e">
        <f ca="1">Campaign_Match!$O$87</f>
        <v>#VALUE!</v>
      </c>
      <c r="L87">
        <f>Campaign_Match!$I$87</f>
        <v>45</v>
      </c>
      <c r="M87">
        <f>Campaign_Match!$J$87</f>
        <v>75</v>
      </c>
      <c r="N87">
        <f>Campaign_Match!$I$87</f>
        <v>45</v>
      </c>
      <c r="O87">
        <f>Campaign_Match!$J$87</f>
        <v>75</v>
      </c>
      <c r="P87" t="str">
        <f>Campaign_Profile!$D$8</f>
        <v>Conversion</v>
      </c>
    </row>
    <row r="88" spans="1:16">
      <c r="A88" t="str">
        <f>Campaign_Match!$A$88</f>
        <v>CAMP-C</v>
      </c>
      <c r="B88" t="str">
        <f>Campaign_Match!$B$88</f>
        <v>BRAND-C</v>
      </c>
      <c r="C88" t="str">
        <f>Campaign_Profile!$D$7</f>
        <v>Everyday Meal Moment</v>
      </c>
      <c r="D88" t="str">
        <f>Campaign_Match!$C$88</f>
        <v>KOL-24</v>
      </c>
      <c r="E88" t="str">
        <f>Campaign_Match!$D$88</f>
        <v>Rio Saputra</v>
      </c>
      <c r="F88" t="str">
        <f>Campaign_Match!$E$88</f>
        <v>Instagram</v>
      </c>
      <c r="G88" t="str">
        <f>Campaign_Match!$F$88</f>
        <v>Gaming</v>
      </c>
      <c r="H88">
        <f ca="1">Campaign_Match!$G$88</f>
        <v>50</v>
      </c>
      <c r="I88">
        <f ca="1">Campaign_Match!$M$88</f>
        <v>52.8</v>
      </c>
      <c r="J88">
        <f ca="1">Campaign_Match!$N$88</f>
        <v>50.8</v>
      </c>
      <c r="K88" t="str">
        <f ca="1">Campaign_Match!$O$88</f>
        <v>Weak Match</v>
      </c>
      <c r="L88">
        <f>Campaign_Match!$I$88</f>
        <v>45</v>
      </c>
      <c r="M88">
        <f>Campaign_Match!$J$88</f>
        <v>45</v>
      </c>
      <c r="N88">
        <f>Campaign_Match!$I$88</f>
        <v>45</v>
      </c>
      <c r="O88">
        <f>Campaign_Match!$J$88</f>
        <v>45</v>
      </c>
      <c r="P88" t="str">
        <f>Campaign_Profile!$D$8</f>
        <v>Conversion</v>
      </c>
    </row>
    <row r="89" spans="1:16">
      <c r="A89" t="str">
        <f>Campaign_Match!$A$89</f>
        <v>CAMP-C</v>
      </c>
      <c r="B89" t="str">
        <f>Campaign_Match!$B$89</f>
        <v>BRAND-C</v>
      </c>
      <c r="C89" t="str">
        <f>Campaign_Profile!$D$7</f>
        <v>Everyday Meal Moment</v>
      </c>
      <c r="D89" t="str">
        <f>Campaign_Match!$C$89</f>
        <v>KOL-25</v>
      </c>
      <c r="E89" t="str">
        <f>Campaign_Match!$D$89</f>
        <v>Denny Kurniawan</v>
      </c>
      <c r="F89" t="str">
        <f>Campaign_Match!$E$89</f>
        <v>TikTok</v>
      </c>
      <c r="G89" t="str">
        <f>Campaign_Match!$F$89</f>
        <v>Automotive</v>
      </c>
      <c r="H89" t="str">
        <f ca="1">Campaign_Match!$G$89</f>
        <v/>
      </c>
      <c r="I89">
        <f ca="1">Campaign_Match!$M$89</f>
        <v>84.4</v>
      </c>
      <c r="J89" t="e">
        <f ca="1">Campaign_Match!$N$89</f>
        <v>#VALUE!</v>
      </c>
      <c r="K89" t="e">
        <f ca="1">Campaign_Match!$O$89</f>
        <v>#VALUE!</v>
      </c>
      <c r="L89">
        <f>Campaign_Match!$I$89</f>
        <v>80</v>
      </c>
      <c r="M89">
        <f>Campaign_Match!$J$89</f>
        <v>95</v>
      </c>
      <c r="N89">
        <f>Campaign_Match!$I$89</f>
        <v>80</v>
      </c>
      <c r="O89">
        <f>Campaign_Match!$J$89</f>
        <v>95</v>
      </c>
      <c r="P89" t="str">
        <f>Campaign_Profile!$D$8</f>
        <v>Conversion</v>
      </c>
    </row>
    <row r="90" spans="1:16">
      <c r="A90" t="str">
        <f>Campaign_Match!$A$90</f>
        <v>CAMP-C</v>
      </c>
      <c r="B90" t="str">
        <f>Campaign_Match!$B$90</f>
        <v>BRAND-C</v>
      </c>
      <c r="C90" t="str">
        <f>Campaign_Profile!$D$7</f>
        <v>Everyday Meal Moment</v>
      </c>
      <c r="D90" t="str">
        <f>Campaign_Match!$C$90</f>
        <v>KOL-26</v>
      </c>
      <c r="E90" t="str">
        <f>Campaign_Match!$D$90</f>
        <v>Wisnu Adi</v>
      </c>
      <c r="F90" t="str">
        <f>Campaign_Match!$E$90</f>
        <v>Instagram</v>
      </c>
      <c r="G90" t="str">
        <f>Campaign_Match!$F$90</f>
        <v>Automotive</v>
      </c>
      <c r="H90" t="str">
        <f ca="1">Campaign_Match!$G$90</f>
        <v/>
      </c>
      <c r="I90">
        <f ca="1">Campaign_Match!$M$90</f>
        <v>56.3</v>
      </c>
      <c r="J90" t="e">
        <f ca="1">Campaign_Match!$N$90</f>
        <v>#VALUE!</v>
      </c>
      <c r="K90" t="e">
        <f ca="1">Campaign_Match!$O$90</f>
        <v>#VALUE!</v>
      </c>
      <c r="L90">
        <f>Campaign_Match!$I$90</f>
        <v>45</v>
      </c>
      <c r="M90">
        <f>Campaign_Match!$J$90</f>
        <v>45</v>
      </c>
      <c r="N90">
        <f>Campaign_Match!$I$90</f>
        <v>45</v>
      </c>
      <c r="O90">
        <f>Campaign_Match!$J$90</f>
        <v>45</v>
      </c>
      <c r="P90" t="str">
        <f>Campaign_Profile!$D$8</f>
        <v>Conversion</v>
      </c>
    </row>
    <row r="91" spans="1:16">
      <c r="A91" t="str">
        <f>Campaign_Match!$A$91</f>
        <v>CAMP-C</v>
      </c>
      <c r="B91" t="str">
        <f>Campaign_Match!$B$91</f>
        <v>BRAND-C</v>
      </c>
      <c r="C91" t="str">
        <f>Campaign_Profile!$D$7</f>
        <v>Everyday Meal Moment</v>
      </c>
      <c r="D91" t="str">
        <f>Campaign_Match!$C$91</f>
        <v>KOL-27</v>
      </c>
      <c r="E91" t="str">
        <f>Campaign_Match!$D$91</f>
        <v>Laras Ayu</v>
      </c>
      <c r="F91" t="str">
        <f>Campaign_Match!$E$91</f>
        <v>Instagram</v>
      </c>
      <c r="G91" t="str">
        <f>Campaign_Match!$F$91</f>
        <v>Home &amp; Living</v>
      </c>
      <c r="H91">
        <f ca="1">Campaign_Match!$G$91</f>
        <v>59</v>
      </c>
      <c r="I91">
        <f ca="1">Campaign_Match!$M$91</f>
        <v>55</v>
      </c>
      <c r="J91">
        <f ca="1">Campaign_Match!$N$91</f>
        <v>57.8</v>
      </c>
      <c r="K91" t="str">
        <f ca="1">Campaign_Match!$O$91</f>
        <v>Good Match</v>
      </c>
      <c r="L91">
        <f>Campaign_Match!$I$91</f>
        <v>45</v>
      </c>
      <c r="M91">
        <f>Campaign_Match!$J$91</f>
        <v>35</v>
      </c>
      <c r="N91">
        <f>Campaign_Match!$I$91</f>
        <v>45</v>
      </c>
      <c r="O91">
        <f>Campaign_Match!$J$91</f>
        <v>35</v>
      </c>
      <c r="P91" t="str">
        <f>Campaign_Profile!$D$8</f>
        <v>Conversion</v>
      </c>
    </row>
    <row r="92" spans="1:16">
      <c r="A92" t="str">
        <f>Campaign_Match!$A$92</f>
        <v>CAMP-C</v>
      </c>
      <c r="B92" t="str">
        <f>Campaign_Match!$B$92</f>
        <v>BRAND-C</v>
      </c>
      <c r="C92" t="str">
        <f>Campaign_Profile!$D$7</f>
        <v>Everyday Meal Moment</v>
      </c>
      <c r="D92" t="str">
        <f>Campaign_Match!$C$92</f>
        <v>KOL-28</v>
      </c>
      <c r="E92" t="str">
        <f>Campaign_Match!$D$92</f>
        <v>Tiara Nisrina</v>
      </c>
      <c r="F92" t="str">
        <f>Campaign_Match!$E$92</f>
        <v>TikTok</v>
      </c>
      <c r="G92" t="str">
        <f>Campaign_Match!$F$92</f>
        <v>Home &amp; Living</v>
      </c>
      <c r="H92" t="str">
        <f ca="1">Campaign_Match!$G$92</f>
        <v/>
      </c>
      <c r="I92">
        <f ca="1">Campaign_Match!$M$92</f>
        <v>67.2</v>
      </c>
      <c r="J92" t="e">
        <f ca="1">Campaign_Match!$N$92</f>
        <v>#VALUE!</v>
      </c>
      <c r="K92" t="e">
        <f ca="1">Campaign_Match!$O$92</f>
        <v>#VALUE!</v>
      </c>
      <c r="L92">
        <f>Campaign_Match!$I$92</f>
        <v>45</v>
      </c>
      <c r="M92">
        <f>Campaign_Match!$J$92</f>
        <v>100</v>
      </c>
      <c r="N92">
        <f>Campaign_Match!$I$92</f>
        <v>45</v>
      </c>
      <c r="O92">
        <f>Campaign_Match!$J$92</f>
        <v>100</v>
      </c>
      <c r="P92" t="str">
        <f>Campaign_Profile!$D$8</f>
        <v>Conversion</v>
      </c>
    </row>
    <row r="93" spans="1:16">
      <c r="A93" t="str">
        <f>Campaign_Match!$A$93</f>
        <v>CAMP-C</v>
      </c>
      <c r="B93" t="str">
        <f>Campaign_Match!$B$93</f>
        <v>BRAND-C</v>
      </c>
      <c r="C93" t="str">
        <f>Campaign_Profile!$D$7</f>
        <v>Everyday Meal Moment</v>
      </c>
      <c r="D93" t="str">
        <f>Campaign_Match!$C$93</f>
        <v>KOL-29</v>
      </c>
      <c r="E93" t="str">
        <f>Campaign_Match!$D$93</f>
        <v>Sekar Ayu</v>
      </c>
      <c r="F93" t="str">
        <f>Campaign_Match!$E$93</f>
        <v>TikTok</v>
      </c>
      <c r="G93" t="str">
        <f>Campaign_Match!$F$93</f>
        <v>Beauty</v>
      </c>
      <c r="H93">
        <f ca="1">Campaign_Match!$G$93</f>
        <v>57</v>
      </c>
      <c r="I93">
        <f ca="1">Campaign_Match!$M$93</f>
        <v>66.7</v>
      </c>
      <c r="J93">
        <f ca="1">Campaign_Match!$N$93</f>
        <v>59.9</v>
      </c>
      <c r="K93" t="str">
        <f ca="1">Campaign_Match!$O$93</f>
        <v>Good Match</v>
      </c>
      <c r="L93">
        <f>Campaign_Match!$I$93</f>
        <v>45</v>
      </c>
      <c r="M93">
        <f>Campaign_Match!$J$93</f>
        <v>100</v>
      </c>
      <c r="N93">
        <f>Campaign_Match!$I$93</f>
        <v>45</v>
      </c>
      <c r="O93">
        <f>Campaign_Match!$J$93</f>
        <v>100</v>
      </c>
      <c r="P93" t="str">
        <f>Campaign_Profile!$D$8</f>
        <v>Conversion</v>
      </c>
    </row>
    <row r="94" spans="1:16">
      <c r="A94" t="str">
        <f>Campaign_Match!$A$94</f>
        <v>CAMP-C</v>
      </c>
      <c r="B94" t="str">
        <f>Campaign_Match!$B$94</f>
        <v>BRAND-C</v>
      </c>
      <c r="C94" t="str">
        <f>Campaign_Profile!$D$7</f>
        <v>Everyday Meal Moment</v>
      </c>
      <c r="D94" t="str">
        <f>Campaign_Match!$C$94</f>
        <v>KOL-30</v>
      </c>
      <c r="E94" t="str">
        <f>Campaign_Match!$D$94</f>
        <v>Ibnu Faisal</v>
      </c>
      <c r="F94" t="str">
        <f>Campaign_Match!$E$94</f>
        <v>Instagram</v>
      </c>
      <c r="G94" t="str">
        <f>Campaign_Match!$F$94</f>
        <v>Finance</v>
      </c>
      <c r="H94" t="str">
        <f ca="1">Campaign_Match!$G$94</f>
        <v/>
      </c>
      <c r="I94">
        <f ca="1">Campaign_Match!$M$94</f>
        <v>56.4</v>
      </c>
      <c r="J94" t="e">
        <f ca="1">Campaign_Match!$N$94</f>
        <v>#VALUE!</v>
      </c>
      <c r="K94" t="e">
        <f ca="1">Campaign_Match!$O$94</f>
        <v>#VALUE!</v>
      </c>
      <c r="L94">
        <f>Campaign_Match!$I$94</f>
        <v>45</v>
      </c>
      <c r="M94">
        <f>Campaign_Match!$J$94</f>
        <v>45</v>
      </c>
      <c r="N94">
        <f>Campaign_Match!$I$94</f>
        <v>45</v>
      </c>
      <c r="O94">
        <f>Campaign_Match!$J$94</f>
        <v>45</v>
      </c>
      <c r="P94" t="str">
        <f>Campaign_Profile!$D$8</f>
        <v>Conversion</v>
      </c>
    </row>
  </sheetData>
  <autoFilter xmlns:etc="http://www.wps.cn/officeDocument/2017/etCustomData" ref="A4:P94" etc:filterBottomFollowUsedRange="0">
    <extLst/>
  </autoFilter>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F34"/>
  <sheetViews>
    <sheetView workbookViewId="0">
      <pane xSplit="3" ySplit="4" topLeftCell="D5" activePane="bottomRight" state="frozen"/>
      <selection/>
      <selection pane="topRight"/>
      <selection pane="bottomLeft"/>
      <selection pane="bottomRight" activeCell="A1" sqref="A1:BF1"/>
    </sheetView>
  </sheetViews>
  <sheetFormatPr defaultColWidth="9" defaultRowHeight="15"/>
  <cols>
    <col min="1" max="1" width="10" customWidth="1"/>
    <col min="2" max="2" width="18" customWidth="1"/>
    <col min="3" max="3" width="22" customWidth="1"/>
    <col min="4" max="5" width="11" customWidth="1"/>
    <col min="6" max="6" width="15" customWidth="1"/>
    <col min="7" max="7" width="10" customWidth="1"/>
    <col min="8" max="8" width="11" customWidth="1"/>
    <col min="9" max="9" width="15" customWidth="1"/>
    <col min="10" max="10" width="12" customWidth="1"/>
    <col min="11" max="11" width="20" customWidth="1"/>
    <col min="12" max="12" width="16" customWidth="1"/>
    <col min="13" max="13" width="15" customWidth="1"/>
    <col min="14" max="15" width="17" customWidth="1"/>
    <col min="16" max="16" width="20" customWidth="1"/>
    <col min="17" max="17" width="18" customWidth="1"/>
    <col min="18" max="18" width="19" customWidth="1"/>
    <col min="19" max="19" width="20" customWidth="1"/>
    <col min="20" max="20" width="17" customWidth="1"/>
    <col min="21" max="21" width="16" customWidth="1"/>
    <col min="22" max="27" width="20" customWidth="1"/>
    <col min="28" max="28" width="11" customWidth="1"/>
    <col min="29" max="29" width="10" customWidth="1"/>
    <col min="30" max="30" width="19" customWidth="1"/>
    <col min="31" max="31" width="18" customWidth="1"/>
    <col min="32" max="32" width="16" customWidth="1"/>
    <col min="33" max="33" width="34" customWidth="1"/>
    <col min="34" max="34" width="18" customWidth="1"/>
    <col min="35" max="35" width="30" customWidth="1"/>
    <col min="36" max="36" width="16" customWidth="1"/>
    <col min="37" max="37" width="20" customWidth="1"/>
    <col min="38" max="38" width="30" customWidth="1"/>
    <col min="39" max="40" width="18" customWidth="1"/>
    <col min="41" max="43" width="10" customWidth="1"/>
    <col min="44" max="44" width="18" customWidth="1"/>
    <col min="45" max="45" width="16" customWidth="1"/>
    <col min="46" max="47" width="20" customWidth="1"/>
    <col min="48" max="48" width="12" customWidth="1"/>
    <col min="49" max="49" width="19" customWidth="1"/>
    <col min="50" max="50" width="10" customWidth="1"/>
    <col min="51" max="52" width="19" customWidth="1"/>
    <col min="53" max="53" width="13" customWidth="1"/>
    <col min="54" max="54" width="15" customWidth="1"/>
    <col min="55" max="55" width="20" customWidth="1"/>
    <col min="56" max="56" width="18" customWidth="1"/>
    <col min="57" max="57" width="20" customWidth="1"/>
    <col min="58" max="58" width="14" customWidth="1"/>
  </cols>
  <sheetData>
    <row r="1" ht="24" customHeight="1" spans="1:58">
      <c r="A1" s="38" t="s">
        <v>433</v>
      </c>
    </row>
    <row r="2" ht="30" customHeight="1" spans="1:58">
      <c r="A2" s="39" t="s">
        <v>434</v>
      </c>
    </row>
    <row r="3" spans="1:58">
      <c r="A3" s="137" t="s">
        <v>435</v>
      </c>
      <c r="B3" s="138"/>
      <c r="C3" s="138"/>
      <c r="D3" s="138"/>
      <c r="E3" s="138"/>
      <c r="F3" s="138"/>
      <c r="G3" s="138"/>
      <c r="H3" s="138"/>
      <c r="I3" s="139"/>
      <c r="J3" s="137" t="s">
        <v>436</v>
      </c>
      <c r="K3" s="138"/>
      <c r="L3" s="138"/>
      <c r="M3" s="138"/>
      <c r="N3" s="138"/>
      <c r="O3" s="138"/>
      <c r="P3" s="138"/>
      <c r="Q3" s="138"/>
      <c r="R3" s="138"/>
      <c r="S3" s="138"/>
      <c r="T3" s="138"/>
      <c r="U3" s="138"/>
      <c r="V3" s="139"/>
      <c r="W3" s="137" t="s">
        <v>437</v>
      </c>
      <c r="X3" s="138"/>
      <c r="Y3" s="138"/>
      <c r="Z3" s="138"/>
      <c r="AA3" s="138"/>
      <c r="AB3" s="138"/>
      <c r="AC3" s="138"/>
      <c r="AD3" s="138"/>
      <c r="AE3" s="138"/>
      <c r="AF3" s="138"/>
      <c r="AG3" s="138"/>
      <c r="AH3" s="139"/>
      <c r="AI3" s="137" t="s">
        <v>438</v>
      </c>
      <c r="AJ3" s="138"/>
      <c r="AK3" s="138"/>
      <c r="AL3" s="138"/>
      <c r="AM3" s="139"/>
      <c r="AN3" s="137" t="s">
        <v>439</v>
      </c>
      <c r="AO3" s="138"/>
      <c r="AP3" s="138"/>
      <c r="AQ3" s="138"/>
      <c r="AR3" s="138"/>
      <c r="AS3" s="139"/>
      <c r="AT3" s="137" t="s">
        <v>440</v>
      </c>
      <c r="AU3" s="138"/>
      <c r="AV3" s="139"/>
      <c r="AW3" s="137" t="s">
        <v>441</v>
      </c>
      <c r="AX3" s="138"/>
      <c r="AY3" s="138"/>
      <c r="AZ3" s="139"/>
      <c r="BA3" s="137" t="s">
        <v>442</v>
      </c>
      <c r="BB3" s="139"/>
      <c r="BC3" s="137" t="s">
        <v>443</v>
      </c>
      <c r="BD3" s="138"/>
      <c r="BE3" s="138"/>
      <c r="BF3" s="139"/>
    </row>
    <row r="4" spans="1:58">
      <c r="A4" t="s">
        <v>414</v>
      </c>
      <c r="B4" t="s">
        <v>444</v>
      </c>
      <c r="C4" t="s">
        <v>445</v>
      </c>
      <c r="D4" t="s">
        <v>390</v>
      </c>
      <c r="E4" t="s">
        <v>416</v>
      </c>
      <c r="F4" t="s">
        <v>446</v>
      </c>
      <c r="G4" t="s">
        <v>447</v>
      </c>
      <c r="H4" t="s">
        <v>448</v>
      </c>
      <c r="I4" t="s">
        <v>449</v>
      </c>
      <c r="J4" t="s">
        <v>450</v>
      </c>
      <c r="K4" t="s">
        <v>451</v>
      </c>
      <c r="L4" t="s">
        <v>452</v>
      </c>
      <c r="M4" t="s">
        <v>453</v>
      </c>
      <c r="N4" t="s">
        <v>454</v>
      </c>
      <c r="O4" t="s">
        <v>455</v>
      </c>
      <c r="P4" t="s">
        <v>456</v>
      </c>
      <c r="Q4" t="s">
        <v>457</v>
      </c>
      <c r="R4" t="s">
        <v>458</v>
      </c>
      <c r="S4" t="s">
        <v>459</v>
      </c>
      <c r="T4" t="s">
        <v>460</v>
      </c>
      <c r="U4" t="s">
        <v>461</v>
      </c>
      <c r="V4" t="s">
        <v>462</v>
      </c>
      <c r="W4" t="s">
        <v>463</v>
      </c>
      <c r="X4" t="s">
        <v>464</v>
      </c>
      <c r="Y4" t="s">
        <v>465</v>
      </c>
      <c r="Z4" t="s">
        <v>466</v>
      </c>
      <c r="AA4" t="s">
        <v>467</v>
      </c>
      <c r="AB4" t="s">
        <v>468</v>
      </c>
      <c r="AC4" t="s">
        <v>469</v>
      </c>
      <c r="AD4" t="s">
        <v>470</v>
      </c>
      <c r="AE4" t="s">
        <v>471</v>
      </c>
      <c r="AF4" t="s">
        <v>472</v>
      </c>
      <c r="AG4" t="s">
        <v>190</v>
      </c>
      <c r="AH4" t="s">
        <v>473</v>
      </c>
      <c r="AI4" t="s">
        <v>474</v>
      </c>
      <c r="AJ4" t="s">
        <v>399</v>
      </c>
      <c r="AK4" t="s">
        <v>401</v>
      </c>
      <c r="AL4" t="s">
        <v>475</v>
      </c>
      <c r="AM4" t="s">
        <v>476</v>
      </c>
      <c r="AN4" t="s">
        <v>477</v>
      </c>
      <c r="AO4" t="s">
        <v>478</v>
      </c>
      <c r="AP4" t="s">
        <v>479</v>
      </c>
      <c r="AQ4" t="s">
        <v>480</v>
      </c>
      <c r="AR4" t="s">
        <v>481</v>
      </c>
      <c r="AS4" t="s">
        <v>482</v>
      </c>
      <c r="AT4" t="s">
        <v>483</v>
      </c>
      <c r="AU4" t="s">
        <v>484</v>
      </c>
      <c r="AV4" t="s">
        <v>485</v>
      </c>
      <c r="AW4" t="s">
        <v>486</v>
      </c>
      <c r="AX4" t="s">
        <v>487</v>
      </c>
      <c r="AY4" t="s">
        <v>488</v>
      </c>
      <c r="AZ4" t="s">
        <v>489</v>
      </c>
      <c r="BA4" t="s">
        <v>490</v>
      </c>
      <c r="BB4" t="s">
        <v>491</v>
      </c>
      <c r="BC4" t="s">
        <v>492</v>
      </c>
      <c r="BD4" t="s">
        <v>493</v>
      </c>
      <c r="BE4" t="s">
        <v>494</v>
      </c>
      <c r="BF4" t="s">
        <v>495</v>
      </c>
    </row>
    <row r="5" spans="1:58">
      <c r="A5" s="148" t="s">
        <v>496</v>
      </c>
      <c r="B5" s="148" t="s">
        <v>497</v>
      </c>
      <c r="C5" s="148" t="s">
        <v>498</v>
      </c>
      <c r="D5" s="148" t="s">
        <v>391</v>
      </c>
      <c r="E5" s="148" t="s">
        <v>243</v>
      </c>
      <c r="F5" s="148" t="s">
        <v>499</v>
      </c>
      <c r="G5" s="148" t="str">
        <f>IFERROR(INDEX(Lookup_Lists!$A$96:$A$100,MATCH(KOL_Database!$J$5,Lookup_Lists!$B$96:$B$100,1)),"")</f>
        <v>Macro</v>
      </c>
      <c r="H5" s="148" t="s">
        <v>295</v>
      </c>
      <c r="I5" s="148" t="s">
        <v>188</v>
      </c>
      <c r="J5" s="149">
        <v>128000</v>
      </c>
      <c r="K5" s="150">
        <v>3.8</v>
      </c>
      <c r="L5" s="149">
        <v>46223</v>
      </c>
      <c r="M5" s="149">
        <v>37645</v>
      </c>
      <c r="N5" s="150">
        <v>2.7</v>
      </c>
      <c r="O5" s="150">
        <v>6.7</v>
      </c>
      <c r="P5" s="151">
        <v>73</v>
      </c>
      <c r="Q5" s="151">
        <v>66</v>
      </c>
      <c r="R5" s="151">
        <v>83</v>
      </c>
      <c r="S5" s="151">
        <v>75</v>
      </c>
      <c r="T5" s="152">
        <v>1.65</v>
      </c>
      <c r="U5" s="152">
        <v>3.46</v>
      </c>
      <c r="V5" s="151">
        <v>84</v>
      </c>
      <c r="W5" s="151">
        <v>5</v>
      </c>
      <c r="X5" s="151">
        <v>23</v>
      </c>
      <c r="Y5" s="151">
        <v>42</v>
      </c>
      <c r="Z5" s="151">
        <v>20</v>
      </c>
      <c r="AA5" s="151">
        <v>10</v>
      </c>
      <c r="AB5" s="151">
        <v>20</v>
      </c>
      <c r="AC5" s="151">
        <v>80</v>
      </c>
      <c r="AD5" s="148" t="s">
        <v>179</v>
      </c>
      <c r="AE5" s="148" t="s">
        <v>183</v>
      </c>
      <c r="AF5" s="148" t="s">
        <v>188</v>
      </c>
      <c r="AG5" s="148" t="s">
        <v>500</v>
      </c>
      <c r="AH5" s="148" t="s">
        <v>501</v>
      </c>
      <c r="AI5" s="148" t="s">
        <v>396</v>
      </c>
      <c r="AJ5" s="148" t="s">
        <v>266</v>
      </c>
      <c r="AK5" s="148" t="s">
        <v>274</v>
      </c>
      <c r="AL5" s="148" t="s">
        <v>502</v>
      </c>
      <c r="AM5" s="151">
        <v>86</v>
      </c>
      <c r="AN5" s="149">
        <v>3677000</v>
      </c>
      <c r="AO5" s="153">
        <f>IF(OR(KOL_Database!$AN$5="",KOL_Database!$AN$5=0,KOL_Database!$L$5="",KOL_Database!$L$5=0),"",ROUND(KOL_Database!$AN$5/KOL_Database!$L$5,2))</f>
        <v>79.55</v>
      </c>
      <c r="AP5" s="149">
        <f>IF(OR(KOL_Database!$AN$5="",KOL_Database!$AN$5=0,KOL_Database!$L$5="",KOL_Database!$L$5=0,KOL_Database!$K$5="",KOL_Database!$K$5=0),"",ROUND(KOL_Database!$AN$5/(KOL_Database!$L$5*KOL_Database!$K$5/100),0))</f>
        <v>2093</v>
      </c>
      <c r="AQ5" s="149">
        <f>IF(OR(KOL_Database!$AN$5="",KOL_Database!$AN$5=0,KOL_Database!$J$5="",KOL_Database!$J$5=0),"",ROUND(KOL_Database!$AN$5/KOL_Database!$J$5*1000,0))</f>
        <v>28727</v>
      </c>
      <c r="AR5" s="149">
        <f>IF(OR(KOL_Database!$L$5="",KOL_Database!$J$5=""),"",ROUND(KOL_Database!$L$5*Lookup_Lists!$D$147+KOL_Database!$J$5*Lookup_Lists!$D$148,0))</f>
        <v>68516</v>
      </c>
      <c r="AS5" s="152">
        <f>IF(OR(KOL_Database!$AN$5="",KOL_Database!$AN$5=0,KOL_Database!$AR$5=""),"",ROUND(KOL_Database!$AR$5*KOL_Database!$K$5/100*Lookup_Lists!$D$146/KOL_Database!$AN$5,2))</f>
        <v>6.37</v>
      </c>
      <c r="AT5" s="151">
        <v>90</v>
      </c>
      <c r="AU5" s="151">
        <v>56</v>
      </c>
      <c r="AV5" s="148" t="s">
        <v>503</v>
      </c>
      <c r="AW5" s="148" t="s">
        <v>291</v>
      </c>
      <c r="AX5" s="148" t="s">
        <v>291</v>
      </c>
      <c r="AY5" s="148" t="s">
        <v>291</v>
      </c>
      <c r="AZ5" s="148" t="s">
        <v>291</v>
      </c>
      <c r="BA5" s="154">
        <v>46171.7083333333</v>
      </c>
      <c r="BB5" s="154">
        <v>46234.7083333333</v>
      </c>
      <c r="BC5" s="155">
        <f>IF(OR(KOL_Database!$J$5="",KOL_Database!$J$5=0,KOL_Database!$L$5=""),"",ROUND(KOL_Database!$L$5/KOL_Database!$J$5,3))</f>
        <v>0.361</v>
      </c>
      <c r="BD5" s="151">
        <f>IF(OR(KOL_Database!$AP$5="",KOL_Database!$AP$5=0,Lookup_Lists!$D$149=0),"",MIN(100,ROUND(Lookup_Lists!$D$149/KOL_Database!$AP$5*100,0)))</f>
        <v>70</v>
      </c>
      <c r="BE5" s="151">
        <f>ROUND((IF(KOL_Database!$J$5="",0,1)+IF(KOL_Database!$K$5="",0,1)+IF(KOL_Database!$L$5="",0,1)+IF(KOL_Database!$M$5="",0,1)+IF(KOL_Database!$N$5="",0,1)+IF(KOL_Database!$O$5="",0,1)+IF(KOL_Database!$P$5="",0,1)+IF(KOL_Database!$R$5="",0,1)+IF(KOL_Database!$S$5="",0,1)+IF(KOL_Database!$AE$5="",0,1)+IF(KOL_Database!$AF$5="",0,1)+IF(KOL_Database!$AN$5="",0,1))/12*100,0)</f>
        <v>100</v>
      </c>
      <c r="BF5" s="148" t="str">
        <f>IF(KOL_Database!$BE$5&gt;=Lookup_Lists!$D$159,"Live",IF(KOL_Database!$BE$5&gt;=Lookup_Lists!$D$160,"Calculated","Estimated"))</f>
        <v>Live</v>
      </c>
    </row>
    <row r="6" spans="1:58">
      <c r="A6" s="148" t="s">
        <v>504</v>
      </c>
      <c r="B6" s="148" t="s">
        <v>505</v>
      </c>
      <c r="C6" s="148" t="s">
        <v>506</v>
      </c>
      <c r="D6" s="148" t="s">
        <v>392</v>
      </c>
      <c r="E6" s="148" t="s">
        <v>243</v>
      </c>
      <c r="F6" s="148" t="s">
        <v>145</v>
      </c>
      <c r="G6" s="148" t="str">
        <f>IFERROR(INDEX(Lookup_Lists!$A$96:$A$100,MATCH(KOL_Database!$J$6,Lookup_Lists!$B$96:$B$100,1)),"")</f>
        <v>Mid-tier</v>
      </c>
      <c r="H6" s="148" t="s">
        <v>291</v>
      </c>
      <c r="I6" s="148" t="s">
        <v>507</v>
      </c>
      <c r="J6" s="149">
        <v>86000</v>
      </c>
      <c r="K6" s="150">
        <v>6.2</v>
      </c>
      <c r="L6" s="149">
        <v>87604</v>
      </c>
      <c r="M6" s="149">
        <v>64637</v>
      </c>
      <c r="N6" s="150">
        <v>4.9</v>
      </c>
      <c r="O6" s="150">
        <v>10.8</v>
      </c>
      <c r="P6" s="151">
        <v>56</v>
      </c>
      <c r="Q6" s="151">
        <v>92</v>
      </c>
      <c r="R6" s="151">
        <v>75</v>
      </c>
      <c r="S6" s="151">
        <v>89</v>
      </c>
      <c r="T6" s="152">
        <v>1.15</v>
      </c>
      <c r="U6" s="152">
        <v>2.52</v>
      </c>
      <c r="V6" s="151">
        <v>69</v>
      </c>
      <c r="W6" s="151">
        <v>10</v>
      </c>
      <c r="X6" s="151">
        <v>35</v>
      </c>
      <c r="Y6" s="151">
        <v>32</v>
      </c>
      <c r="Z6" s="151">
        <v>15</v>
      </c>
      <c r="AA6" s="151">
        <v>8</v>
      </c>
      <c r="AB6" s="151">
        <v>26</v>
      </c>
      <c r="AC6" s="151">
        <v>74</v>
      </c>
      <c r="AD6" s="148" t="s">
        <v>179</v>
      </c>
      <c r="AE6" s="148" t="s">
        <v>508</v>
      </c>
      <c r="AF6" s="148" t="s">
        <v>507</v>
      </c>
      <c r="AG6" s="148" t="s">
        <v>509</v>
      </c>
      <c r="AH6" s="148" t="s">
        <v>510</v>
      </c>
      <c r="AI6" s="148" t="s">
        <v>511</v>
      </c>
      <c r="AJ6" s="148" t="s">
        <v>231</v>
      </c>
      <c r="AK6" s="148" t="s">
        <v>231</v>
      </c>
      <c r="AL6" s="148" t="s">
        <v>512</v>
      </c>
      <c r="AM6" s="151">
        <v>77</v>
      </c>
      <c r="AN6" s="149">
        <v>4738000</v>
      </c>
      <c r="AO6" s="153">
        <f>IF(OR(KOL_Database!$AN$6="",KOL_Database!$AN$6=0,KOL_Database!$L$6="",KOL_Database!$L$6=0),"",ROUND(KOL_Database!$AN$6/KOL_Database!$L$6,2))</f>
        <v>54.08</v>
      </c>
      <c r="AP6" s="149">
        <f>IF(OR(KOL_Database!$AN$6="",KOL_Database!$AN$6=0,KOL_Database!$L$6="",KOL_Database!$L$6=0,KOL_Database!$K$6="",KOL_Database!$K$6=0),"",ROUND(KOL_Database!$AN$6/(KOL_Database!$L$6*KOL_Database!$K$6/100),0))</f>
        <v>872</v>
      </c>
      <c r="AQ6" s="149">
        <f>IF(OR(KOL_Database!$AN$6="",KOL_Database!$AN$6=0,KOL_Database!$J$6="",KOL_Database!$J$6=0),"",ROUND(KOL_Database!$AN$6/KOL_Database!$J$6*1000,0))</f>
        <v>55093</v>
      </c>
      <c r="AR6" s="149">
        <f>IF(OR(KOL_Database!$L$6="",KOL_Database!$J$6=""),"",ROUND(KOL_Database!$L$6*Lookup_Lists!$D$147+KOL_Database!$J$6*Lookup_Lists!$D$148,0))</f>
        <v>111065</v>
      </c>
      <c r="AS6" s="152">
        <f>IF(OR(KOL_Database!$AN$6="",KOL_Database!$AN$6=0,KOL_Database!$AR$6=""),"",ROUND(KOL_Database!$AR$6*KOL_Database!$K$6/100*Lookup_Lists!$D$146/KOL_Database!$AN$6,2))</f>
        <v>13.08</v>
      </c>
      <c r="AT6" s="151">
        <v>82</v>
      </c>
      <c r="AU6" s="151">
        <v>40</v>
      </c>
      <c r="AV6" s="148" t="s">
        <v>503</v>
      </c>
      <c r="AW6" s="148" t="s">
        <v>291</v>
      </c>
      <c r="AX6" s="148" t="s">
        <v>291</v>
      </c>
      <c r="AY6" s="148" t="s">
        <v>291</v>
      </c>
      <c r="AZ6" s="148" t="s">
        <v>291</v>
      </c>
      <c r="BA6" s="154">
        <v>46069.7083333333</v>
      </c>
      <c r="BB6" s="154">
        <v>46248.7083333333</v>
      </c>
      <c r="BC6" s="155">
        <f>IF(OR(KOL_Database!$J$6="",KOL_Database!$J$6=0,KOL_Database!$L$6=""),"",ROUND(KOL_Database!$L$6/KOL_Database!$J$6,3))</f>
        <v>1.019</v>
      </c>
      <c r="BD6" s="151">
        <f>IF(OR(KOL_Database!$AP$6="",KOL_Database!$AP$6=0,Lookup_Lists!$D$149=0),"",MIN(100,ROUND(Lookup_Lists!$D$149/KOL_Database!$AP$6*100,0)))</f>
        <v>100</v>
      </c>
      <c r="BE6" s="151">
        <f>ROUND((IF(KOL_Database!$J$6="",0,1)+IF(KOL_Database!$K$6="",0,1)+IF(KOL_Database!$L$6="",0,1)+IF(KOL_Database!$M$6="",0,1)+IF(KOL_Database!$N$6="",0,1)+IF(KOL_Database!$O$6="",0,1)+IF(KOL_Database!$P$6="",0,1)+IF(KOL_Database!$R$6="",0,1)+IF(KOL_Database!$S$6="",0,1)+IF(KOL_Database!$AE$6="",0,1)+IF(KOL_Database!$AF$6="",0,1)+IF(KOL_Database!$AN$6="",0,1))/12*100,0)</f>
        <v>100</v>
      </c>
      <c r="BF6" s="148" t="str">
        <f>IF(KOL_Database!$BE$6&gt;=Lookup_Lists!$D$159,"Live",IF(KOL_Database!$BE$6&gt;=Lookup_Lists!$D$160,"Calculated","Estimated"))</f>
        <v>Live</v>
      </c>
    </row>
    <row r="7" spans="1:58">
      <c r="A7" s="148" t="s">
        <v>513</v>
      </c>
      <c r="B7" s="148" t="s">
        <v>514</v>
      </c>
      <c r="C7" s="148" t="s">
        <v>515</v>
      </c>
      <c r="D7" s="148" t="s">
        <v>391</v>
      </c>
      <c r="E7" s="148" t="s">
        <v>244</v>
      </c>
      <c r="F7" s="148" t="s">
        <v>146</v>
      </c>
      <c r="G7" s="148" t="str">
        <f>IFERROR(INDEX(Lookup_Lists!$A$96:$A$100,MATCH(KOL_Database!$J$7,Lookup_Lists!$B$96:$B$100,1)),"")</f>
        <v>Macro</v>
      </c>
      <c r="H7" s="148" t="s">
        <v>295</v>
      </c>
      <c r="I7" s="148" t="s">
        <v>188</v>
      </c>
      <c r="J7" s="149">
        <v>240000</v>
      </c>
      <c r="K7" s="150">
        <v>4.4</v>
      </c>
      <c r="L7" s="149">
        <v>71261</v>
      </c>
      <c r="M7" s="149">
        <v>54519</v>
      </c>
      <c r="N7" s="150">
        <v>2.7</v>
      </c>
      <c r="O7" s="150">
        <v>8.5</v>
      </c>
      <c r="P7" s="151">
        <v>74</v>
      </c>
      <c r="Q7" s="151">
        <v>68</v>
      </c>
      <c r="R7" s="151">
        <v>77</v>
      </c>
      <c r="S7" s="151">
        <v>84</v>
      </c>
      <c r="T7" s="152">
        <v>1.34</v>
      </c>
      <c r="U7" s="152">
        <v>2.94</v>
      </c>
      <c r="V7" s="151">
        <v>74</v>
      </c>
      <c r="W7" s="151">
        <v>7</v>
      </c>
      <c r="X7" s="151">
        <v>39</v>
      </c>
      <c r="Y7" s="151">
        <v>35</v>
      </c>
      <c r="Z7" s="151">
        <v>14</v>
      </c>
      <c r="AA7" s="151">
        <v>5</v>
      </c>
      <c r="AB7" s="151">
        <v>86</v>
      </c>
      <c r="AC7" s="151">
        <v>14</v>
      </c>
      <c r="AD7" s="148" t="s">
        <v>179</v>
      </c>
      <c r="AE7" s="148" t="s">
        <v>183</v>
      </c>
      <c r="AF7" s="148" t="s">
        <v>188</v>
      </c>
      <c r="AG7" s="148" t="s">
        <v>516</v>
      </c>
      <c r="AH7" s="148" t="s">
        <v>501</v>
      </c>
      <c r="AI7" s="148" t="s">
        <v>517</v>
      </c>
      <c r="AJ7" s="148" t="s">
        <v>266</v>
      </c>
      <c r="AK7" s="148" t="s">
        <v>274</v>
      </c>
      <c r="AL7" s="148" t="s">
        <v>518</v>
      </c>
      <c r="AM7" s="151">
        <v>81</v>
      </c>
      <c r="AN7" s="149">
        <v>6906000</v>
      </c>
      <c r="AO7" s="153">
        <f>IF(OR(KOL_Database!$AN$7="",KOL_Database!$AN$7=0,KOL_Database!$L$7="",KOL_Database!$L$7=0),"",ROUND(KOL_Database!$AN$7/KOL_Database!$L$7,2))</f>
        <v>96.91</v>
      </c>
      <c r="AP7" s="149">
        <f>IF(OR(KOL_Database!$AN$7="",KOL_Database!$AN$7=0,KOL_Database!$L$7="",KOL_Database!$L$7=0,KOL_Database!$K$7="",KOL_Database!$K$7=0),"",ROUND(KOL_Database!$AN$7/(KOL_Database!$L$7*KOL_Database!$K$7/100),0))</f>
        <v>2203</v>
      </c>
      <c r="AQ7" s="149">
        <f>IF(OR(KOL_Database!$AN$7="",KOL_Database!$AN$7=0,KOL_Database!$J$7="",KOL_Database!$J$7=0),"",ROUND(KOL_Database!$AN$7/KOL_Database!$J$7*1000,0))</f>
        <v>28775</v>
      </c>
      <c r="AR7" s="149">
        <f>IF(OR(KOL_Database!$L$7="",KOL_Database!$J$7=""),"",ROUND(KOL_Database!$L$7*Lookup_Lists!$D$147+KOL_Database!$J$7*Lookup_Lists!$D$148,0))</f>
        <v>110750</v>
      </c>
      <c r="AS7" s="152">
        <f>IF(OR(KOL_Database!$AN$7="",KOL_Database!$AN$7=0,KOL_Database!$AR$7=""),"",ROUND(KOL_Database!$AR$7*KOL_Database!$K$7/100*Lookup_Lists!$D$146/KOL_Database!$AN$7,2))</f>
        <v>6.35</v>
      </c>
      <c r="AT7" s="151">
        <v>85</v>
      </c>
      <c r="AU7" s="151">
        <v>45</v>
      </c>
      <c r="AV7" s="148" t="s">
        <v>503</v>
      </c>
      <c r="AW7" s="148" t="s">
        <v>295</v>
      </c>
      <c r="AX7" s="148" t="s">
        <v>291</v>
      </c>
      <c r="AY7" s="148" t="s">
        <v>291</v>
      </c>
      <c r="AZ7" s="148" t="s">
        <v>291</v>
      </c>
      <c r="BA7" s="154">
        <v>46088.7083333333</v>
      </c>
      <c r="BB7" s="154">
        <v>46238.7083333333</v>
      </c>
      <c r="BC7" s="155">
        <f>IF(OR(KOL_Database!$J$7="",KOL_Database!$J$7=0,KOL_Database!$L$7=""),"",ROUND(KOL_Database!$L$7/KOL_Database!$J$7,3))</f>
        <v>0.297</v>
      </c>
      <c r="BD7" s="151">
        <f>IF(OR(KOL_Database!$AP$7="",KOL_Database!$AP$7=0,Lookup_Lists!$D$149=0),"",MIN(100,ROUND(Lookup_Lists!$D$149/KOL_Database!$AP$7*100,0)))</f>
        <v>67</v>
      </c>
      <c r="BE7" s="151">
        <f>ROUND((IF(KOL_Database!$J$7="",0,1)+IF(KOL_Database!$K$7="",0,1)+IF(KOL_Database!$L$7="",0,1)+IF(KOL_Database!$M$7="",0,1)+IF(KOL_Database!$N$7="",0,1)+IF(KOL_Database!$O$7="",0,1)+IF(KOL_Database!$P$7="",0,1)+IF(KOL_Database!$R$7="",0,1)+IF(KOL_Database!$S$7="",0,1)+IF(KOL_Database!$AE$7="",0,1)+IF(KOL_Database!$AF$7="",0,1)+IF(KOL_Database!$AN$7="",0,1))/12*100,0)</f>
        <v>100</v>
      </c>
      <c r="BF7" s="148" t="str">
        <f>IF(KOL_Database!$BE$7&gt;=Lookup_Lists!$D$159,"Live",IF(KOL_Database!$BE$7&gt;=Lookup_Lists!$D$160,"Calculated","Estimated"))</f>
        <v>Live</v>
      </c>
    </row>
    <row r="8" spans="1:58">
      <c r="A8" s="148" t="s">
        <v>519</v>
      </c>
      <c r="B8" s="148" t="s">
        <v>520</v>
      </c>
      <c r="C8" s="148" t="s">
        <v>521</v>
      </c>
      <c r="D8" s="148" t="s">
        <v>392</v>
      </c>
      <c r="E8" s="148" t="s">
        <v>244</v>
      </c>
      <c r="F8" s="148" t="s">
        <v>522</v>
      </c>
      <c r="G8" s="148" t="str">
        <f>IFERROR(INDEX(Lookup_Lists!$A$96:$A$100,MATCH(KOL_Database!$J$8,Lookup_Lists!$B$96:$B$100,1)),"")</f>
        <v>Macro</v>
      </c>
      <c r="H8" s="148" t="s">
        <v>295</v>
      </c>
      <c r="I8" s="148" t="s">
        <v>523</v>
      </c>
      <c r="J8" s="149">
        <v>512000</v>
      </c>
      <c r="K8" s="150">
        <v>7.1</v>
      </c>
      <c r="L8" s="149">
        <v>663796</v>
      </c>
      <c r="M8" s="149">
        <v>524778</v>
      </c>
      <c r="N8" s="150">
        <v>7</v>
      </c>
      <c r="O8" s="150">
        <v>19.3</v>
      </c>
      <c r="P8" s="151">
        <v>85</v>
      </c>
      <c r="Q8" s="151">
        <v>78</v>
      </c>
      <c r="R8" s="151">
        <v>82</v>
      </c>
      <c r="S8" s="151">
        <v>85</v>
      </c>
      <c r="T8" s="152">
        <v>1.63</v>
      </c>
      <c r="U8" s="152">
        <v>3.35</v>
      </c>
      <c r="V8" s="151">
        <v>81</v>
      </c>
      <c r="W8" s="151">
        <v>12</v>
      </c>
      <c r="X8" s="151">
        <v>44</v>
      </c>
      <c r="Y8" s="151">
        <v>30</v>
      </c>
      <c r="Z8" s="151">
        <v>10</v>
      </c>
      <c r="AA8" s="151">
        <v>4</v>
      </c>
      <c r="AB8" s="151">
        <v>81</v>
      </c>
      <c r="AC8" s="151">
        <v>19</v>
      </c>
      <c r="AD8" s="148" t="s">
        <v>179</v>
      </c>
      <c r="AE8" s="148" t="s">
        <v>524</v>
      </c>
      <c r="AF8" s="148" t="s">
        <v>523</v>
      </c>
      <c r="AG8" s="148" t="s">
        <v>525</v>
      </c>
      <c r="AH8" s="148" t="s">
        <v>501</v>
      </c>
      <c r="AI8" s="148" t="s">
        <v>526</v>
      </c>
      <c r="AJ8" s="148" t="s">
        <v>400</v>
      </c>
      <c r="AK8" s="148" t="s">
        <v>402</v>
      </c>
      <c r="AL8" s="148" t="s">
        <v>527</v>
      </c>
      <c r="AM8" s="151">
        <v>85</v>
      </c>
      <c r="AN8" s="149">
        <v>14504000</v>
      </c>
      <c r="AO8" s="153">
        <f>IF(OR(KOL_Database!$AN$8="",KOL_Database!$AN$8=0,KOL_Database!$L$8="",KOL_Database!$L$8=0),"",ROUND(KOL_Database!$AN$8/KOL_Database!$L$8,2))</f>
        <v>21.85</v>
      </c>
      <c r="AP8" s="149">
        <f>IF(OR(KOL_Database!$AN$8="",KOL_Database!$AN$8=0,KOL_Database!$L$8="",KOL_Database!$L$8=0,KOL_Database!$K$8="",KOL_Database!$K$8=0),"",ROUND(KOL_Database!$AN$8/(KOL_Database!$L$8*KOL_Database!$K$8/100),0))</f>
        <v>308</v>
      </c>
      <c r="AQ8" s="149">
        <f>IF(OR(KOL_Database!$AN$8="",KOL_Database!$AN$8=0,KOL_Database!$J$8="",KOL_Database!$J$8=0),"",ROUND(KOL_Database!$AN$8/KOL_Database!$J$8*1000,0))</f>
        <v>28328</v>
      </c>
      <c r="AR8" s="149">
        <f>IF(OR(KOL_Database!$L$8="",KOL_Database!$J$8=""),"",ROUND(KOL_Database!$L$8*Lookup_Lists!$D$147+KOL_Database!$J$8*Lookup_Lists!$D$148,0))</f>
        <v>824805</v>
      </c>
      <c r="AS8" s="152">
        <f>IF(OR(KOL_Database!$AN$8="",KOL_Database!$AN$8=0,KOL_Database!$AR$8=""),"",ROUND(KOL_Database!$AR$8*KOL_Database!$K$8/100*Lookup_Lists!$D$146/KOL_Database!$AN$8,2))</f>
        <v>36.34</v>
      </c>
      <c r="AT8" s="151">
        <v>89</v>
      </c>
      <c r="AU8" s="151">
        <v>78</v>
      </c>
      <c r="AV8" s="148" t="s">
        <v>510</v>
      </c>
      <c r="AW8" s="148" t="s">
        <v>291</v>
      </c>
      <c r="AX8" s="148" t="s">
        <v>291</v>
      </c>
      <c r="AY8" s="148" t="s">
        <v>295</v>
      </c>
      <c r="AZ8" s="148" t="s">
        <v>291</v>
      </c>
      <c r="BA8" s="154">
        <v>46098.7083333333</v>
      </c>
      <c r="BB8" s="154">
        <v>46253.7083333333</v>
      </c>
      <c r="BC8" s="155">
        <f>IF(OR(KOL_Database!$J$8="",KOL_Database!$J$8=0,KOL_Database!$L$8=""),"",ROUND(KOL_Database!$L$8/KOL_Database!$J$8,3))</f>
        <v>1.296</v>
      </c>
      <c r="BD8" s="151">
        <f>IF(OR(KOL_Database!$AP$8="",KOL_Database!$AP$8=0,Lookup_Lists!$D$149=0),"",MIN(100,ROUND(Lookup_Lists!$D$149/KOL_Database!$AP$8*100,0)))</f>
        <v>100</v>
      </c>
      <c r="BE8" s="151">
        <f>ROUND((IF(KOL_Database!$J$8="",0,1)+IF(KOL_Database!$K$8="",0,1)+IF(KOL_Database!$L$8="",0,1)+IF(KOL_Database!$M$8="",0,1)+IF(KOL_Database!$N$8="",0,1)+IF(KOL_Database!$O$8="",0,1)+IF(KOL_Database!$P$8="",0,1)+IF(KOL_Database!$R$8="",0,1)+IF(KOL_Database!$S$8="",0,1)+IF(KOL_Database!$AE$8="",0,1)+IF(KOL_Database!$AF$8="",0,1)+IF(KOL_Database!$AN$8="",0,1))/12*100,0)</f>
        <v>100</v>
      </c>
      <c r="BF8" s="148" t="str">
        <f>IF(KOL_Database!$BE$8&gt;=Lookup_Lists!$D$159,"Live",IF(KOL_Database!$BE$8&gt;=Lookup_Lists!$D$160,"Calculated","Estimated"))</f>
        <v>Live</v>
      </c>
    </row>
    <row r="9" spans="1:58">
      <c r="A9" s="148" t="s">
        <v>528</v>
      </c>
      <c r="B9" s="148" t="s">
        <v>529</v>
      </c>
      <c r="C9" s="148" t="s">
        <v>530</v>
      </c>
      <c r="D9" s="148" t="s">
        <v>392</v>
      </c>
      <c r="E9" s="148" t="s">
        <v>245</v>
      </c>
      <c r="F9" s="148" t="s">
        <v>249</v>
      </c>
      <c r="G9" s="148" t="str">
        <f>IFERROR(INDEX(Lookup_Lists!$A$96:$A$100,MATCH(KOL_Database!$J$9,Lookup_Lists!$B$96:$B$100,1)),"")</f>
        <v>Macro</v>
      </c>
      <c r="H9" s="148" t="s">
        <v>295</v>
      </c>
      <c r="I9" s="148" t="s">
        <v>188</v>
      </c>
      <c r="J9" s="149">
        <v>375000</v>
      </c>
      <c r="K9" s="150">
        <v>8.4</v>
      </c>
      <c r="L9" s="149">
        <v>360494</v>
      </c>
      <c r="M9" s="149">
        <v>255180</v>
      </c>
      <c r="N9" s="150">
        <v>3.6</v>
      </c>
      <c r="O9" s="150">
        <v>9.5</v>
      </c>
      <c r="P9" s="151">
        <v>75</v>
      </c>
      <c r="Q9" s="151">
        <v>67</v>
      </c>
      <c r="R9" s="151">
        <v>70</v>
      </c>
      <c r="S9" s="151">
        <v>83</v>
      </c>
      <c r="T9" s="152">
        <v>1.1</v>
      </c>
      <c r="U9" s="152">
        <v>2.04</v>
      </c>
      <c r="V9" s="151">
        <v>61</v>
      </c>
      <c r="W9" s="151">
        <v>7</v>
      </c>
      <c r="X9" s="151">
        <v>40</v>
      </c>
      <c r="Y9" s="151">
        <v>35</v>
      </c>
      <c r="Z9" s="151">
        <v>13</v>
      </c>
      <c r="AA9" s="151">
        <v>5</v>
      </c>
      <c r="AB9" s="151">
        <v>48</v>
      </c>
      <c r="AC9" s="151">
        <v>52</v>
      </c>
      <c r="AD9" s="148" t="s">
        <v>179</v>
      </c>
      <c r="AE9" s="148" t="s">
        <v>184</v>
      </c>
      <c r="AF9" s="148" t="s">
        <v>188</v>
      </c>
      <c r="AG9" s="148" t="s">
        <v>531</v>
      </c>
      <c r="AH9" s="148" t="s">
        <v>501</v>
      </c>
      <c r="AI9" s="148" t="s">
        <v>532</v>
      </c>
      <c r="AJ9" s="148" t="s">
        <v>266</v>
      </c>
      <c r="AK9" s="148" t="s">
        <v>275</v>
      </c>
      <c r="AL9" s="148" t="s">
        <v>533</v>
      </c>
      <c r="AM9" s="151">
        <v>72</v>
      </c>
      <c r="AN9" s="149">
        <v>11482000</v>
      </c>
      <c r="AO9" s="153">
        <f>IF(OR(KOL_Database!$AN$9="",KOL_Database!$AN$9=0,KOL_Database!$L$9="",KOL_Database!$L$9=0),"",ROUND(KOL_Database!$AN$9/KOL_Database!$L$9,2))</f>
        <v>31.85</v>
      </c>
      <c r="AP9" s="149">
        <f>IF(OR(KOL_Database!$AN$9="",KOL_Database!$AN$9=0,KOL_Database!$L$9="",KOL_Database!$L$9=0,KOL_Database!$K$9="",KOL_Database!$K$9=0),"",ROUND(KOL_Database!$AN$9/(KOL_Database!$L$9*KOL_Database!$K$9/100),0))</f>
        <v>379</v>
      </c>
      <c r="AQ9" s="149">
        <f>IF(OR(KOL_Database!$AN$9="",KOL_Database!$AN$9=0,KOL_Database!$J$9="",KOL_Database!$J$9=0),"",ROUND(KOL_Database!$AN$9/KOL_Database!$J$9*1000,0))</f>
        <v>30619</v>
      </c>
      <c r="AR9" s="149">
        <f>IF(OR(KOL_Database!$L$9="",KOL_Database!$J$9=""),"",ROUND(KOL_Database!$L$9*Lookup_Lists!$D$147+KOL_Database!$J$9*Lookup_Lists!$D$148,0))</f>
        <v>459568</v>
      </c>
      <c r="AS9" s="152">
        <f>IF(OR(KOL_Database!$AN$9="",KOL_Database!$AN$9=0,KOL_Database!$AR$9=""),"",ROUND(KOL_Database!$AR$9*KOL_Database!$K$9/100*Lookup_Lists!$D$146/KOL_Database!$AN$9,2))</f>
        <v>30.26</v>
      </c>
      <c r="AT9" s="151">
        <v>78</v>
      </c>
      <c r="AU9" s="151">
        <v>30</v>
      </c>
      <c r="AV9" s="148" t="s">
        <v>534</v>
      </c>
      <c r="AW9" s="148" t="s">
        <v>291</v>
      </c>
      <c r="AX9" s="148" t="s">
        <v>291</v>
      </c>
      <c r="AY9" s="148" t="s">
        <v>291</v>
      </c>
      <c r="AZ9" s="148" t="s">
        <v>291</v>
      </c>
      <c r="BA9" s="154">
        <v>46157.7083333333</v>
      </c>
      <c r="BB9" s="154">
        <v>46260.7083333333</v>
      </c>
      <c r="BC9" s="155">
        <f>IF(OR(KOL_Database!$J$9="",KOL_Database!$J$9=0,KOL_Database!$L$9=""),"",ROUND(KOL_Database!$L$9/KOL_Database!$J$9,3))</f>
        <v>0.961</v>
      </c>
      <c r="BD9" s="151">
        <f>IF(OR(KOL_Database!$AP$9="",KOL_Database!$AP$9=0,Lookup_Lists!$D$149=0),"",MIN(100,ROUND(Lookup_Lists!$D$149/KOL_Database!$AP$9*100,0)))</f>
        <v>100</v>
      </c>
      <c r="BE9" s="151">
        <f>ROUND((IF(KOL_Database!$J$9="",0,1)+IF(KOL_Database!$K$9="",0,1)+IF(KOL_Database!$L$9="",0,1)+IF(KOL_Database!$M$9="",0,1)+IF(KOL_Database!$N$9="",0,1)+IF(KOL_Database!$O$9="",0,1)+IF(KOL_Database!$P$9="",0,1)+IF(KOL_Database!$R$9="",0,1)+IF(KOL_Database!$S$9="",0,1)+IF(KOL_Database!$AE$9="",0,1)+IF(KOL_Database!$AF$9="",0,1)+IF(KOL_Database!$AN$9="",0,1))/12*100,0)</f>
        <v>100</v>
      </c>
      <c r="BF9" s="148" t="str">
        <f>IF(KOL_Database!$BE$9&gt;=Lookup_Lists!$D$159,"Live",IF(KOL_Database!$BE$9&gt;=Lookup_Lists!$D$160,"Calculated","Estimated"))</f>
        <v>Live</v>
      </c>
    </row>
    <row r="10" spans="1:58">
      <c r="A10" s="148" t="s">
        <v>535</v>
      </c>
      <c r="B10" s="148" t="s">
        <v>536</v>
      </c>
      <c r="C10" s="148" t="s">
        <v>537</v>
      </c>
      <c r="D10" s="148" t="s">
        <v>391</v>
      </c>
      <c r="E10" s="148" t="s">
        <v>245</v>
      </c>
      <c r="F10" s="148" t="s">
        <v>538</v>
      </c>
      <c r="G10" s="148" t="str">
        <f>IFERROR(INDEX(Lookup_Lists!$A$96:$A$100,MATCH(KOL_Database!$J$10,Lookup_Lists!$B$96:$B$100,1)),"")</f>
        <v>Mid-tier</v>
      </c>
      <c r="H10" s="148" t="s">
        <v>291</v>
      </c>
      <c r="I10" s="148" t="s">
        <v>539</v>
      </c>
      <c r="J10" s="149">
        <v>64000</v>
      </c>
      <c r="K10" s="150">
        <v>5.2</v>
      </c>
      <c r="L10" s="149">
        <v>19195</v>
      </c>
      <c r="M10" s="149">
        <v>14121</v>
      </c>
      <c r="N10" s="150">
        <v>6</v>
      </c>
      <c r="O10" s="150">
        <v>18.5</v>
      </c>
      <c r="P10" s="151">
        <v>63</v>
      </c>
      <c r="Q10" s="151">
        <v>58</v>
      </c>
      <c r="R10" s="151">
        <v>73</v>
      </c>
      <c r="S10" s="151">
        <v>67</v>
      </c>
      <c r="T10" s="152">
        <v>0.96</v>
      </c>
      <c r="U10" s="152">
        <v>1.97</v>
      </c>
      <c r="V10" s="151">
        <v>61</v>
      </c>
      <c r="W10" s="151">
        <v>1</v>
      </c>
      <c r="X10" s="151">
        <v>22</v>
      </c>
      <c r="Y10" s="151">
        <v>46</v>
      </c>
      <c r="Z10" s="151">
        <v>18</v>
      </c>
      <c r="AA10" s="151">
        <v>13</v>
      </c>
      <c r="AB10" s="151">
        <v>86</v>
      </c>
      <c r="AC10" s="151">
        <v>14</v>
      </c>
      <c r="AD10" s="148" t="s">
        <v>179</v>
      </c>
      <c r="AE10" s="148"/>
      <c r="AF10" s="148" t="s">
        <v>539</v>
      </c>
      <c r="AG10" s="148" t="s">
        <v>540</v>
      </c>
      <c r="AH10" s="148" t="s">
        <v>510</v>
      </c>
      <c r="AI10" s="148" t="s">
        <v>541</v>
      </c>
      <c r="AJ10" s="148" t="s">
        <v>400</v>
      </c>
      <c r="AK10" s="148" t="s">
        <v>275</v>
      </c>
      <c r="AL10" s="148" t="s">
        <v>542</v>
      </c>
      <c r="AM10" s="151">
        <v>72</v>
      </c>
      <c r="AN10" s="149">
        <v>2638000</v>
      </c>
      <c r="AO10" s="153">
        <f>IF(OR(KOL_Database!$AN$10="",KOL_Database!$AN$10=0,KOL_Database!$L$10="",KOL_Database!$L$10=0),"",ROUND(KOL_Database!$AN$10/KOL_Database!$L$10,2))</f>
        <v>137.43</v>
      </c>
      <c r="AP10" s="149">
        <f>IF(OR(KOL_Database!$AN$10="",KOL_Database!$AN$10=0,KOL_Database!$L$10="",KOL_Database!$L$10=0,KOL_Database!$K$10="",KOL_Database!$K$10=0),"",ROUND(KOL_Database!$AN$10/(KOL_Database!$L$10*KOL_Database!$K$10/100),0))</f>
        <v>2643</v>
      </c>
      <c r="AQ10" s="149">
        <f>IF(OR(KOL_Database!$AN$10="",KOL_Database!$AN$10=0,KOL_Database!$J$10="",KOL_Database!$J$10=0),"",ROUND(KOL_Database!$AN$10/KOL_Database!$J$10*1000,0))</f>
        <v>41219</v>
      </c>
      <c r="AR10" s="149">
        <f>IF(OR(KOL_Database!$L$10="",KOL_Database!$J$10=""),"",ROUND(KOL_Database!$L$10*Lookup_Lists!$D$147+KOL_Database!$J$10*Lookup_Lists!$D$148,0))</f>
        <v>29754</v>
      </c>
      <c r="AS10" s="152">
        <f>IF(OR(KOL_Database!$AN$10="",KOL_Database!$AN$10=0,KOL_Database!$AR$10=""),"",ROUND(KOL_Database!$AR$10*KOL_Database!$K$10/100*Lookup_Lists!$D$146/KOL_Database!$AN$10,2))</f>
        <v>5.28</v>
      </c>
      <c r="AT10" s="151">
        <v>79</v>
      </c>
      <c r="AU10" s="151">
        <v>29</v>
      </c>
      <c r="AV10" s="148" t="s">
        <v>534</v>
      </c>
      <c r="AW10" s="148" t="s">
        <v>291</v>
      </c>
      <c r="AX10" s="148" t="s">
        <v>291</v>
      </c>
      <c r="AY10" s="148" t="s">
        <v>291</v>
      </c>
      <c r="AZ10" s="148" t="s">
        <v>291</v>
      </c>
      <c r="BA10" s="154">
        <v>46053.7083333333</v>
      </c>
      <c r="BB10" s="154">
        <v>46266.7083333333</v>
      </c>
      <c r="BC10" s="155">
        <f>IF(OR(KOL_Database!$J$10="",KOL_Database!$J$10=0,KOL_Database!$L$10=""),"",ROUND(KOL_Database!$L$10/KOL_Database!$J$10,3))</f>
        <v>0.3</v>
      </c>
      <c r="BD10" s="151">
        <f>IF(OR(KOL_Database!$AP$10="",KOL_Database!$AP$10=0,Lookup_Lists!$D$149=0),"",MIN(100,ROUND(Lookup_Lists!$D$149/KOL_Database!$AP$10*100,0)))</f>
        <v>56</v>
      </c>
      <c r="BE10" s="151">
        <f>ROUND((IF(KOL_Database!$J$10="",0,1)+IF(KOL_Database!$K$10="",0,1)+IF(KOL_Database!$L$10="",0,1)+IF(KOL_Database!$M$10="",0,1)+IF(KOL_Database!$N$10="",0,1)+IF(KOL_Database!$O$10="",0,1)+IF(KOL_Database!$P$10="",0,1)+IF(KOL_Database!$R$10="",0,1)+IF(KOL_Database!$S$10="",0,1)+IF(KOL_Database!$AE$10="",0,1)+IF(KOL_Database!$AF$10="",0,1)+IF(KOL_Database!$AN$10="",0,1))/12*100,0)</f>
        <v>92</v>
      </c>
      <c r="BF10" s="148" t="str">
        <f>IF(KOL_Database!$BE$10&gt;=Lookup_Lists!$D$159,"Live",IF(KOL_Database!$BE$10&gt;=Lookup_Lists!$D$160,"Calculated","Estimated"))</f>
        <v>Calculated</v>
      </c>
    </row>
    <row r="11" spans="1:58">
      <c r="A11" s="148" t="s">
        <v>543</v>
      </c>
      <c r="B11" s="148" t="s">
        <v>544</v>
      </c>
      <c r="C11" s="148" t="s">
        <v>545</v>
      </c>
      <c r="D11" s="148" t="s">
        <v>391</v>
      </c>
      <c r="E11" s="148" t="s">
        <v>546</v>
      </c>
      <c r="F11" s="148" t="s">
        <v>547</v>
      </c>
      <c r="G11" s="148" t="str">
        <f>IFERROR(INDEX(Lookup_Lists!$A$96:$A$100,MATCH(KOL_Database!$J$11,Lookup_Lists!$B$96:$B$100,1)),"")</f>
        <v>Macro</v>
      </c>
      <c r="H11" s="148" t="s">
        <v>295</v>
      </c>
      <c r="I11" s="148" t="s">
        <v>188</v>
      </c>
      <c r="J11" s="149">
        <v>152000</v>
      </c>
      <c r="K11" s="150">
        <v>3.2</v>
      </c>
      <c r="L11" s="149">
        <v>53466</v>
      </c>
      <c r="M11" s="149">
        <v>43843</v>
      </c>
      <c r="N11" s="150">
        <v>3.2</v>
      </c>
      <c r="O11" s="150">
        <v>8.1</v>
      </c>
      <c r="P11" s="151">
        <v>83</v>
      </c>
      <c r="Q11" s="151">
        <v>85</v>
      </c>
      <c r="R11" s="151">
        <v>86</v>
      </c>
      <c r="S11" s="151">
        <v>73</v>
      </c>
      <c r="T11" s="152">
        <v>2.08</v>
      </c>
      <c r="U11" s="152">
        <v>3.82</v>
      </c>
      <c r="V11" s="151">
        <v>88</v>
      </c>
      <c r="W11" s="151">
        <v>6</v>
      </c>
      <c r="X11" s="151">
        <v>23</v>
      </c>
      <c r="Y11" s="151">
        <v>41</v>
      </c>
      <c r="Z11" s="151">
        <v>20</v>
      </c>
      <c r="AA11" s="151">
        <v>10</v>
      </c>
      <c r="AB11" s="151">
        <v>21</v>
      </c>
      <c r="AC11" s="151">
        <v>79</v>
      </c>
      <c r="AD11" s="148" t="s">
        <v>179</v>
      </c>
      <c r="AE11" s="148" t="s">
        <v>183</v>
      </c>
      <c r="AF11" s="148" t="s">
        <v>188</v>
      </c>
      <c r="AG11" s="148" t="s">
        <v>548</v>
      </c>
      <c r="AH11" s="148" t="s">
        <v>510</v>
      </c>
      <c r="AI11" s="148" t="s">
        <v>549</v>
      </c>
      <c r="AJ11" s="148" t="s">
        <v>231</v>
      </c>
      <c r="AK11" s="148" t="s">
        <v>550</v>
      </c>
      <c r="AL11" s="148" t="s">
        <v>551</v>
      </c>
      <c r="AM11" s="151">
        <v>89</v>
      </c>
      <c r="AN11" s="149">
        <v>5065000</v>
      </c>
      <c r="AO11" s="153">
        <f>IF(OR(KOL_Database!$AN$11="",KOL_Database!$AN$11=0,KOL_Database!$L$11="",KOL_Database!$L$11=0),"",ROUND(KOL_Database!$AN$11/KOL_Database!$L$11,2))</f>
        <v>94.73</v>
      </c>
      <c r="AP11" s="149">
        <f>IF(OR(KOL_Database!$AN$11="",KOL_Database!$AN$11=0,KOL_Database!$L$11="",KOL_Database!$L$11=0,KOL_Database!$K$11="",KOL_Database!$K$11=0),"",ROUND(KOL_Database!$AN$11/(KOL_Database!$L$11*KOL_Database!$K$11/100),0))</f>
        <v>2960</v>
      </c>
      <c r="AQ11" s="149">
        <f>IF(OR(KOL_Database!$AN$11="",KOL_Database!$AN$11=0,KOL_Database!$J$11="",KOL_Database!$J$11=0),"",ROUND(KOL_Database!$AN$11/KOL_Database!$J$11*1000,0))</f>
        <v>33322</v>
      </c>
      <c r="AR11" s="149">
        <f>IF(OR(KOL_Database!$L$11="",KOL_Database!$J$11=""),"",ROUND(KOL_Database!$L$11*Lookup_Lists!$D$147+KOL_Database!$J$11*Lookup_Lists!$D$148,0))</f>
        <v>79726</v>
      </c>
      <c r="AS11" s="152">
        <f>IF(OR(KOL_Database!$AN$11="",KOL_Database!$AN$11=0,KOL_Database!$AR$11=""),"",ROUND(KOL_Database!$AR$11*KOL_Database!$K$11/100*Lookup_Lists!$D$146/KOL_Database!$AN$11,2))</f>
        <v>4.53</v>
      </c>
      <c r="AT11" s="151">
        <v>93</v>
      </c>
      <c r="AU11" s="151">
        <v>60</v>
      </c>
      <c r="AV11" s="148" t="s">
        <v>503</v>
      </c>
      <c r="AW11" s="148" t="s">
        <v>291</v>
      </c>
      <c r="AX11" s="148" t="s">
        <v>291</v>
      </c>
      <c r="AY11" s="148" t="s">
        <v>291</v>
      </c>
      <c r="AZ11" s="148" t="s">
        <v>291</v>
      </c>
      <c r="BA11" s="154">
        <v>46225.7083333333</v>
      </c>
      <c r="BB11" s="154">
        <v>46236.7083333333</v>
      </c>
      <c r="BC11" s="155">
        <f>IF(OR(KOL_Database!$J$11="",KOL_Database!$J$11=0,KOL_Database!$L$11=""),"",ROUND(KOL_Database!$L$11/KOL_Database!$J$11,3))</f>
        <v>0.352</v>
      </c>
      <c r="BD11" s="151">
        <f>IF(OR(KOL_Database!$AP$11="",KOL_Database!$AP$11=0,Lookup_Lists!$D$149=0),"",MIN(100,ROUND(Lookup_Lists!$D$149/KOL_Database!$AP$11*100,0)))</f>
        <v>50</v>
      </c>
      <c r="BE11" s="151">
        <f>ROUND((IF(KOL_Database!$J$11="",0,1)+IF(KOL_Database!$K$11="",0,1)+IF(KOL_Database!$L$11="",0,1)+IF(KOL_Database!$M$11="",0,1)+IF(KOL_Database!$N$11="",0,1)+IF(KOL_Database!$O$11="",0,1)+IF(KOL_Database!$P$11="",0,1)+IF(KOL_Database!$R$11="",0,1)+IF(KOL_Database!$S$11="",0,1)+IF(KOL_Database!$AE$11="",0,1)+IF(KOL_Database!$AF$11="",0,1)+IF(KOL_Database!$AN$11="",0,1))/12*100,0)</f>
        <v>100</v>
      </c>
      <c r="BF11" s="148" t="str">
        <f>IF(KOL_Database!$BE$11&gt;=Lookup_Lists!$D$159,"Live",IF(KOL_Database!$BE$11&gt;=Lookup_Lists!$D$160,"Calculated","Estimated"))</f>
        <v>Live</v>
      </c>
    </row>
    <row r="12" spans="1:58">
      <c r="A12" s="148" t="s">
        <v>552</v>
      </c>
      <c r="B12" s="148" t="s">
        <v>553</v>
      </c>
      <c r="C12" s="148" t="s">
        <v>554</v>
      </c>
      <c r="D12" s="148" t="s">
        <v>392</v>
      </c>
      <c r="E12" s="148" t="s">
        <v>546</v>
      </c>
      <c r="F12" s="148" t="s">
        <v>555</v>
      </c>
      <c r="G12" s="148" t="str">
        <f>IFERROR(INDEX(Lookup_Lists!$A$96:$A$100,MATCH(KOL_Database!$J$12,Lookup_Lists!$B$96:$B$100,1)),"")</f>
        <v>Mid-tier</v>
      </c>
      <c r="H12" s="148" t="s">
        <v>291</v>
      </c>
      <c r="I12" s="148" t="s">
        <v>188</v>
      </c>
      <c r="J12" s="149">
        <v>98000</v>
      </c>
      <c r="K12" s="150">
        <v>5.6</v>
      </c>
      <c r="L12" s="149">
        <v>66537</v>
      </c>
      <c r="M12" s="149">
        <v>43248</v>
      </c>
      <c r="N12" s="150">
        <v>3.8</v>
      </c>
      <c r="O12" s="150">
        <v>12.9</v>
      </c>
      <c r="P12" s="151">
        <v>77</v>
      </c>
      <c r="Q12" s="151">
        <v>67</v>
      </c>
      <c r="R12" s="151">
        <v>64</v>
      </c>
      <c r="S12" s="151">
        <v>94</v>
      </c>
      <c r="T12" s="152">
        <v>0.4</v>
      </c>
      <c r="U12" s="152">
        <v>0.87</v>
      </c>
      <c r="V12" s="151">
        <v>50</v>
      </c>
      <c r="W12" s="151">
        <v>9</v>
      </c>
      <c r="X12" s="151">
        <v>37</v>
      </c>
      <c r="Y12" s="151">
        <v>33</v>
      </c>
      <c r="Z12" s="151">
        <v>14</v>
      </c>
      <c r="AA12" s="151">
        <v>7</v>
      </c>
      <c r="AB12" s="151">
        <v>68</v>
      </c>
      <c r="AC12" s="151">
        <v>32</v>
      </c>
      <c r="AD12" s="148" t="s">
        <v>179</v>
      </c>
      <c r="AE12" s="148" t="s">
        <v>183</v>
      </c>
      <c r="AF12" s="148" t="s">
        <v>188</v>
      </c>
      <c r="AG12" s="148" t="s">
        <v>556</v>
      </c>
      <c r="AH12" s="148" t="s">
        <v>510</v>
      </c>
      <c r="AI12" s="148" t="s">
        <v>557</v>
      </c>
      <c r="AJ12" s="148" t="s">
        <v>231</v>
      </c>
      <c r="AK12" s="148" t="s">
        <v>231</v>
      </c>
      <c r="AL12" s="148" t="s">
        <v>558</v>
      </c>
      <c r="AM12" s="151">
        <v>63</v>
      </c>
      <c r="AN12" s="149">
        <v>3492000</v>
      </c>
      <c r="AO12" s="153">
        <f>IF(OR(KOL_Database!$AN$12="",KOL_Database!$AN$12=0,KOL_Database!$L$12="",KOL_Database!$L$12=0),"",ROUND(KOL_Database!$AN$12/KOL_Database!$L$12,2))</f>
        <v>52.48</v>
      </c>
      <c r="AP12" s="149">
        <f>IF(OR(KOL_Database!$AN$12="",KOL_Database!$AN$12=0,KOL_Database!$L$12="",KOL_Database!$L$12=0,KOL_Database!$K$12="",KOL_Database!$K$12=0),"",ROUND(KOL_Database!$AN$12/(KOL_Database!$L$12*KOL_Database!$K$12/100),0))</f>
        <v>937</v>
      </c>
      <c r="AQ12" s="149">
        <f>IF(OR(KOL_Database!$AN$12="",KOL_Database!$AN$12=0,KOL_Database!$J$12="",KOL_Database!$J$12=0),"",ROUND(KOL_Database!$AN$12/KOL_Database!$J$12*1000,0))</f>
        <v>35633</v>
      </c>
      <c r="AR12" s="149">
        <f>IF(OR(KOL_Database!$L$12="",KOL_Database!$J$12=""),"",ROUND(KOL_Database!$L$12*Lookup_Lists!$D$147+KOL_Database!$J$12*Lookup_Lists!$D$148,0))</f>
        <v>88278</v>
      </c>
      <c r="AS12" s="152">
        <f>IF(OR(KOL_Database!$AN$12="",KOL_Database!$AN$12=0,KOL_Database!$AR$12=""),"",ROUND(KOL_Database!$AR$12*KOL_Database!$K$12/100*Lookup_Lists!$D$146/KOL_Database!$AN$12,2))</f>
        <v>12.74</v>
      </c>
      <c r="AT12" s="151">
        <v>72</v>
      </c>
      <c r="AU12" s="151">
        <v>14</v>
      </c>
      <c r="AV12" s="148" t="s">
        <v>534</v>
      </c>
      <c r="AW12" s="148" t="s">
        <v>291</v>
      </c>
      <c r="AX12" s="148" t="s">
        <v>291</v>
      </c>
      <c r="AY12" s="148" t="s">
        <v>291</v>
      </c>
      <c r="AZ12" s="148" t="s">
        <v>291</v>
      </c>
      <c r="BA12" s="154">
        <v>46121.7083333333</v>
      </c>
      <c r="BB12" s="154">
        <v>46265.7083333333</v>
      </c>
      <c r="BC12" s="155">
        <f>IF(OR(KOL_Database!$J$12="",KOL_Database!$J$12=0,KOL_Database!$L$12=""),"",ROUND(KOL_Database!$L$12/KOL_Database!$J$12,3))</f>
        <v>0.679</v>
      </c>
      <c r="BD12" s="151">
        <f>IF(OR(KOL_Database!$AP$12="",KOL_Database!$AP$12=0,Lookup_Lists!$D$149=0),"",MIN(100,ROUND(Lookup_Lists!$D$149/KOL_Database!$AP$12*100,0)))</f>
        <v>100</v>
      </c>
      <c r="BE12" s="151">
        <f>ROUND((IF(KOL_Database!$J$12="",0,1)+IF(KOL_Database!$K$12="",0,1)+IF(KOL_Database!$L$12="",0,1)+IF(KOL_Database!$M$12="",0,1)+IF(KOL_Database!$N$12="",0,1)+IF(KOL_Database!$O$12="",0,1)+IF(KOL_Database!$P$12="",0,1)+IF(KOL_Database!$R$12="",0,1)+IF(KOL_Database!$S$12="",0,1)+IF(KOL_Database!$AE$12="",0,1)+IF(KOL_Database!$AF$12="",0,1)+IF(KOL_Database!$AN$12="",0,1))/12*100,0)</f>
        <v>100</v>
      </c>
      <c r="BF12" s="148" t="str">
        <f>IF(KOL_Database!$BE$12&gt;=Lookup_Lists!$D$159,"Live",IF(KOL_Database!$BE$12&gt;=Lookup_Lists!$D$160,"Calculated","Estimated"))</f>
        <v>Live</v>
      </c>
    </row>
    <row r="13" spans="1:58">
      <c r="A13" s="148" t="s">
        <v>559</v>
      </c>
      <c r="B13" s="148" t="s">
        <v>560</v>
      </c>
      <c r="C13" s="148" t="s">
        <v>561</v>
      </c>
      <c r="D13" s="148" t="s">
        <v>392</v>
      </c>
      <c r="E13" s="148" t="s">
        <v>562</v>
      </c>
      <c r="F13" s="148" t="s">
        <v>563</v>
      </c>
      <c r="G13" s="148" t="str">
        <f>IFERROR(INDEX(Lookup_Lists!$A$96:$A$100,MATCH(KOL_Database!$J$13,Lookup_Lists!$B$96:$B$100,1)),"")</f>
        <v>Macro</v>
      </c>
      <c r="H13" s="148" t="s">
        <v>295</v>
      </c>
      <c r="I13" s="148" t="s">
        <v>564</v>
      </c>
      <c r="J13" s="149">
        <v>210000</v>
      </c>
      <c r="K13" s="150">
        <v>6.8</v>
      </c>
      <c r="L13" s="149">
        <v>310647</v>
      </c>
      <c r="M13" s="149">
        <v>254639</v>
      </c>
      <c r="N13" s="150">
        <v>7.3</v>
      </c>
      <c r="O13" s="150">
        <v>24.7</v>
      </c>
      <c r="P13" s="151">
        <v>85</v>
      </c>
      <c r="Q13" s="151">
        <v>83</v>
      </c>
      <c r="R13" s="151">
        <v>86</v>
      </c>
      <c r="S13" s="151">
        <v>91</v>
      </c>
      <c r="T13" s="152">
        <v>2.11</v>
      </c>
      <c r="U13" s="152">
        <v>3.81</v>
      </c>
      <c r="V13" s="151">
        <v>86</v>
      </c>
      <c r="W13" s="151">
        <v>12</v>
      </c>
      <c r="X13" s="151">
        <v>44</v>
      </c>
      <c r="Y13" s="151">
        <v>30</v>
      </c>
      <c r="Z13" s="151">
        <v>10</v>
      </c>
      <c r="AA13" s="151">
        <v>4</v>
      </c>
      <c r="AB13" s="151">
        <v>52</v>
      </c>
      <c r="AC13" s="151">
        <v>48</v>
      </c>
      <c r="AD13" s="148" t="s">
        <v>179</v>
      </c>
      <c r="AE13" s="148" t="s">
        <v>565</v>
      </c>
      <c r="AF13" s="148" t="s">
        <v>564</v>
      </c>
      <c r="AG13" s="148" t="s">
        <v>566</v>
      </c>
      <c r="AH13" s="148" t="s">
        <v>534</v>
      </c>
      <c r="AI13" s="148" t="s">
        <v>567</v>
      </c>
      <c r="AJ13" s="148" t="s">
        <v>231</v>
      </c>
      <c r="AK13" s="148" t="s">
        <v>231</v>
      </c>
      <c r="AL13" s="148" t="s">
        <v>568</v>
      </c>
      <c r="AM13" s="151">
        <v>89</v>
      </c>
      <c r="AN13" s="149">
        <v>4653000</v>
      </c>
      <c r="AO13" s="153">
        <f>IF(OR(KOL_Database!$AN$13="",KOL_Database!$AN$13=0,KOL_Database!$L$13="",KOL_Database!$L$13=0),"",ROUND(KOL_Database!$AN$13/KOL_Database!$L$13,2))</f>
        <v>14.98</v>
      </c>
      <c r="AP13" s="149">
        <f>IF(OR(KOL_Database!$AN$13="",KOL_Database!$AN$13=0,KOL_Database!$L$13="",KOL_Database!$L$13=0,KOL_Database!$K$13="",KOL_Database!$K$13=0),"",ROUND(KOL_Database!$AN$13/(KOL_Database!$L$13*KOL_Database!$K$13/100),0))</f>
        <v>220</v>
      </c>
      <c r="AQ13" s="149">
        <f>IF(OR(KOL_Database!$AN$13="",KOL_Database!$AN$13=0,KOL_Database!$J$13="",KOL_Database!$J$13=0),"",ROUND(KOL_Database!$AN$13/KOL_Database!$J$13*1000,0))</f>
        <v>22157</v>
      </c>
      <c r="AR13" s="149">
        <f>IF(OR(KOL_Database!$L$13="",KOL_Database!$J$13=""),"",ROUND(KOL_Database!$L$13*Lookup_Lists!$D$147+KOL_Database!$J$13*Lookup_Lists!$D$148,0))</f>
        <v>382444</v>
      </c>
      <c r="AS13" s="152">
        <f>IF(OR(KOL_Database!$AN$13="",KOL_Database!$AN$13=0,KOL_Database!$AR$13=""),"",ROUND(KOL_Database!$AR$13*KOL_Database!$K$13/100*Lookup_Lists!$D$146/KOL_Database!$AN$13,2))</f>
        <v>50.3</v>
      </c>
      <c r="AT13" s="151">
        <v>92</v>
      </c>
      <c r="AU13" s="151">
        <v>61</v>
      </c>
      <c r="AV13" s="148" t="s">
        <v>503</v>
      </c>
      <c r="AW13" s="148" t="s">
        <v>291</v>
      </c>
      <c r="AX13" s="148" t="s">
        <v>291</v>
      </c>
      <c r="AY13" s="148" t="s">
        <v>291</v>
      </c>
      <c r="AZ13" s="148" t="s">
        <v>291</v>
      </c>
      <c r="BA13" s="154">
        <v>46177.7083333333</v>
      </c>
      <c r="BB13" s="154">
        <v>46272.7083333333</v>
      </c>
      <c r="BC13" s="155">
        <f>IF(OR(KOL_Database!$J$13="",KOL_Database!$J$13=0,KOL_Database!$L$13=""),"",ROUND(KOL_Database!$L$13/KOL_Database!$J$13,3))</f>
        <v>1.479</v>
      </c>
      <c r="BD13" s="151">
        <f>IF(OR(KOL_Database!$AP$13="",KOL_Database!$AP$13=0,Lookup_Lists!$D$149=0),"",MIN(100,ROUND(Lookup_Lists!$D$149/KOL_Database!$AP$13*100,0)))</f>
        <v>100</v>
      </c>
      <c r="BE13" s="151">
        <f>ROUND((IF(KOL_Database!$J$13="",0,1)+IF(KOL_Database!$K$13="",0,1)+IF(KOL_Database!$L$13="",0,1)+IF(KOL_Database!$M$13="",0,1)+IF(KOL_Database!$N$13="",0,1)+IF(KOL_Database!$O$13="",0,1)+IF(KOL_Database!$P$13="",0,1)+IF(KOL_Database!$R$13="",0,1)+IF(KOL_Database!$S$13="",0,1)+IF(KOL_Database!$AE$13="",0,1)+IF(KOL_Database!$AF$13="",0,1)+IF(KOL_Database!$AN$13="",0,1))/12*100,0)</f>
        <v>100</v>
      </c>
      <c r="BF13" s="148" t="str">
        <f>IF(KOL_Database!$BE$13&gt;=Lookup_Lists!$D$159,"Live",IF(KOL_Database!$BE$13&gt;=Lookup_Lists!$D$160,"Calculated","Estimated"))</f>
        <v>Live</v>
      </c>
    </row>
    <row r="14" spans="1:58">
      <c r="A14" s="148" t="s">
        <v>569</v>
      </c>
      <c r="B14" s="148" t="s">
        <v>570</v>
      </c>
      <c r="C14" s="148" t="s">
        <v>571</v>
      </c>
      <c r="D14" s="148" t="s">
        <v>391</v>
      </c>
      <c r="E14" s="148" t="s">
        <v>562</v>
      </c>
      <c r="F14" s="148" t="s">
        <v>572</v>
      </c>
      <c r="G14" s="148" t="str">
        <f>IFERROR(INDEX(Lookup_Lists!$A$96:$A$100,MATCH(KOL_Database!$J$14,Lookup_Lists!$B$96:$B$100,1)),"")</f>
        <v>Micro</v>
      </c>
      <c r="H14" s="148" t="s">
        <v>291</v>
      </c>
      <c r="I14" s="148" t="s">
        <v>507</v>
      </c>
      <c r="J14" s="149">
        <v>42000</v>
      </c>
      <c r="K14" s="150">
        <v>4.9</v>
      </c>
      <c r="L14" s="149">
        <v>11783</v>
      </c>
      <c r="M14" s="149"/>
      <c r="N14" s="150">
        <v>1.6</v>
      </c>
      <c r="O14" s="150">
        <v>4.7</v>
      </c>
      <c r="P14" s="151">
        <v>94</v>
      </c>
      <c r="Q14" s="151">
        <v>85</v>
      </c>
      <c r="R14" s="151">
        <v>75</v>
      </c>
      <c r="S14" s="151">
        <v>64</v>
      </c>
      <c r="T14" s="152">
        <v>1.29</v>
      </c>
      <c r="U14" s="152">
        <v>2.15</v>
      </c>
      <c r="V14" s="151">
        <v>69</v>
      </c>
      <c r="W14" s="151">
        <v>6</v>
      </c>
      <c r="X14" s="151">
        <v>41</v>
      </c>
      <c r="Y14" s="151">
        <v>36</v>
      </c>
      <c r="Z14" s="151">
        <v>13</v>
      </c>
      <c r="AA14" s="151">
        <v>4</v>
      </c>
      <c r="AB14" s="151">
        <v>70</v>
      </c>
      <c r="AC14" s="151">
        <v>30</v>
      </c>
      <c r="AD14" s="148" t="s">
        <v>179</v>
      </c>
      <c r="AE14" s="148" t="s">
        <v>508</v>
      </c>
      <c r="AF14" s="148" t="s">
        <v>507</v>
      </c>
      <c r="AG14" s="148" t="s">
        <v>573</v>
      </c>
      <c r="AH14" s="148" t="s">
        <v>534</v>
      </c>
      <c r="AI14" s="148" t="s">
        <v>574</v>
      </c>
      <c r="AJ14" s="148" t="s">
        <v>400</v>
      </c>
      <c r="AK14" s="148" t="s">
        <v>231</v>
      </c>
      <c r="AL14" s="148" t="s">
        <v>575</v>
      </c>
      <c r="AM14" s="151">
        <v>73</v>
      </c>
      <c r="AN14" s="149">
        <v>1427000</v>
      </c>
      <c r="AO14" s="153">
        <f>IF(OR(KOL_Database!$AN$14="",KOL_Database!$AN$14=0,KOL_Database!$L$14="",KOL_Database!$L$14=0),"",ROUND(KOL_Database!$AN$14/KOL_Database!$L$14,2))</f>
        <v>121.11</v>
      </c>
      <c r="AP14" s="149">
        <f>IF(OR(KOL_Database!$AN$14="",KOL_Database!$AN$14=0,KOL_Database!$L$14="",KOL_Database!$L$14=0,KOL_Database!$K$14="",KOL_Database!$K$14=0),"",ROUND(KOL_Database!$AN$14/(KOL_Database!$L$14*KOL_Database!$K$14/100),0))</f>
        <v>2472</v>
      </c>
      <c r="AQ14" s="149">
        <f>IF(OR(KOL_Database!$AN$14="",KOL_Database!$AN$14=0,KOL_Database!$J$14="",KOL_Database!$J$14=0),"",ROUND(KOL_Database!$AN$14/KOL_Database!$J$14*1000,0))</f>
        <v>33976</v>
      </c>
      <c r="AR14" s="149">
        <f>IF(OR(KOL_Database!$L$14="",KOL_Database!$J$14=""),"",ROUND(KOL_Database!$L$14*Lookup_Lists!$D$147+KOL_Database!$J$14*Lookup_Lists!$D$148,0))</f>
        <v>18590</v>
      </c>
      <c r="AS14" s="152">
        <f>IF(OR(KOL_Database!$AN$14="",KOL_Database!$AN$14=0,KOL_Database!$AR$14=""),"",ROUND(KOL_Database!$AR$14*KOL_Database!$K$14/100*Lookup_Lists!$D$146/KOL_Database!$AN$14,2))</f>
        <v>5.75</v>
      </c>
      <c r="AT14" s="151">
        <v>83</v>
      </c>
      <c r="AU14" s="151">
        <v>32</v>
      </c>
      <c r="AV14" s="148" t="s">
        <v>503</v>
      </c>
      <c r="AW14" s="148" t="s">
        <v>291</v>
      </c>
      <c r="AX14" s="148" t="s">
        <v>291</v>
      </c>
      <c r="AY14" s="148" t="s">
        <v>291</v>
      </c>
      <c r="AZ14" s="148" t="s">
        <v>291</v>
      </c>
      <c r="BA14" s="154">
        <v>46093.7083333333</v>
      </c>
      <c r="BB14" s="154">
        <v>46239.7083333333</v>
      </c>
      <c r="BC14" s="155">
        <f>IF(OR(KOL_Database!$J$14="",KOL_Database!$J$14=0,KOL_Database!$L$14=""),"",ROUND(KOL_Database!$L$14/KOL_Database!$J$14,3))</f>
        <v>0.281</v>
      </c>
      <c r="BD14" s="151">
        <f>IF(OR(KOL_Database!$AP$14="",KOL_Database!$AP$14=0,Lookup_Lists!$D$149=0),"",MIN(100,ROUND(Lookup_Lists!$D$149/KOL_Database!$AP$14*100,0)))</f>
        <v>60</v>
      </c>
      <c r="BE14" s="151">
        <f>ROUND((IF(KOL_Database!$J$14="",0,1)+IF(KOL_Database!$K$14="",0,1)+IF(KOL_Database!$L$14="",0,1)+IF(KOL_Database!$M$14="",0,1)+IF(KOL_Database!$N$14="",0,1)+IF(KOL_Database!$O$14="",0,1)+IF(KOL_Database!$P$14="",0,1)+IF(KOL_Database!$R$14="",0,1)+IF(KOL_Database!$S$14="",0,1)+IF(KOL_Database!$AE$14="",0,1)+IF(KOL_Database!$AF$14="",0,1)+IF(KOL_Database!$AN$14="",0,1))/12*100,0)</f>
        <v>92</v>
      </c>
      <c r="BF14" s="148" t="str">
        <f>IF(KOL_Database!$BE$14&gt;=Lookup_Lists!$D$159,"Live",IF(KOL_Database!$BE$14&gt;=Lookup_Lists!$D$160,"Calculated","Estimated"))</f>
        <v>Calculated</v>
      </c>
    </row>
    <row r="15" spans="1:58">
      <c r="A15" s="148" t="s">
        <v>576</v>
      </c>
      <c r="B15" s="148" t="s">
        <v>577</v>
      </c>
      <c r="C15" s="148" t="s">
        <v>578</v>
      </c>
      <c r="D15" s="148" t="s">
        <v>391</v>
      </c>
      <c r="E15" s="148" t="s">
        <v>579</v>
      </c>
      <c r="F15" s="148" t="s">
        <v>580</v>
      </c>
      <c r="G15" s="148" t="str">
        <f>IFERROR(INDEX(Lookup_Lists!$A$96:$A$100,MATCH(KOL_Database!$J$15,Lookup_Lists!$B$96:$B$100,1)),"")</f>
        <v>Macro</v>
      </c>
      <c r="H15" s="148" t="s">
        <v>295</v>
      </c>
      <c r="I15" s="148" t="s">
        <v>188</v>
      </c>
      <c r="J15" s="149">
        <v>178000</v>
      </c>
      <c r="K15" s="150">
        <v>3.9</v>
      </c>
      <c r="L15" s="149">
        <v>34767</v>
      </c>
      <c r="M15" s="149">
        <v>22194</v>
      </c>
      <c r="N15" s="150">
        <v>2</v>
      </c>
      <c r="O15" s="150">
        <v>6.1</v>
      </c>
      <c r="P15" s="151">
        <v>87</v>
      </c>
      <c r="Q15" s="151">
        <v>79</v>
      </c>
      <c r="R15" s="151">
        <v>61</v>
      </c>
      <c r="S15" s="151">
        <v>77</v>
      </c>
      <c r="T15" s="152">
        <v>0.31</v>
      </c>
      <c r="U15" s="152">
        <v>0.95</v>
      </c>
      <c r="V15" s="151">
        <v>48</v>
      </c>
      <c r="W15" s="151">
        <v>1</v>
      </c>
      <c r="X15" s="151">
        <v>24</v>
      </c>
      <c r="Y15" s="151">
        <v>50</v>
      </c>
      <c r="Z15" s="151">
        <v>20</v>
      </c>
      <c r="AA15" s="151">
        <v>5</v>
      </c>
      <c r="AB15" s="151">
        <v>28</v>
      </c>
      <c r="AC15" s="151">
        <v>72</v>
      </c>
      <c r="AD15" s="148" t="s">
        <v>179</v>
      </c>
      <c r="AE15" s="148" t="s">
        <v>183</v>
      </c>
      <c r="AF15" s="148" t="s">
        <v>188</v>
      </c>
      <c r="AG15" s="148" t="s">
        <v>581</v>
      </c>
      <c r="AH15" s="148" t="s">
        <v>510</v>
      </c>
      <c r="AI15" s="148" t="s">
        <v>582</v>
      </c>
      <c r="AJ15" s="148" t="s">
        <v>583</v>
      </c>
      <c r="AK15" s="148" t="s">
        <v>550</v>
      </c>
      <c r="AL15" s="148" t="s">
        <v>584</v>
      </c>
      <c r="AM15" s="151">
        <v>63</v>
      </c>
      <c r="AN15" s="149">
        <v>7793000</v>
      </c>
      <c r="AO15" s="153">
        <f>IF(OR(KOL_Database!$AN$15="",KOL_Database!$AN$15=0,KOL_Database!$L$15="",KOL_Database!$L$15=0),"",ROUND(KOL_Database!$AN$15/KOL_Database!$L$15,2))</f>
        <v>224.15</v>
      </c>
      <c r="AP15" s="149">
        <f>IF(OR(KOL_Database!$AN$15="",KOL_Database!$AN$15=0,KOL_Database!$L$15="",KOL_Database!$L$15=0,KOL_Database!$K$15="",KOL_Database!$K$15=0),"",ROUND(KOL_Database!$AN$15/(KOL_Database!$L$15*KOL_Database!$K$15/100),0))</f>
        <v>5747</v>
      </c>
      <c r="AQ15" s="149">
        <f>IF(OR(KOL_Database!$AN$15="",KOL_Database!$AN$15=0,KOL_Database!$J$15="",KOL_Database!$J$15=0),"",ROUND(KOL_Database!$AN$15/KOL_Database!$J$15*1000,0))</f>
        <v>43781</v>
      </c>
      <c r="AR15" s="149">
        <f>IF(OR(KOL_Database!$L$15="",KOL_Database!$J$15=""),"",ROUND(KOL_Database!$L$15*Lookup_Lists!$D$147+KOL_Database!$J$15*Lookup_Lists!$D$148,0))</f>
        <v>61342</v>
      </c>
      <c r="AS15" s="152">
        <f>IF(OR(KOL_Database!$AN$15="",KOL_Database!$AN$15=0,KOL_Database!$AR$15=""),"",ROUND(KOL_Database!$AR$15*KOL_Database!$K$15/100*Lookup_Lists!$D$146/KOL_Database!$AN$15,2))</f>
        <v>2.76</v>
      </c>
      <c r="AT15" s="151">
        <v>71</v>
      </c>
      <c r="AU15" s="151">
        <v>15</v>
      </c>
      <c r="AV15" s="148" t="s">
        <v>534</v>
      </c>
      <c r="AW15" s="148" t="s">
        <v>291</v>
      </c>
      <c r="AX15" s="148" t="s">
        <v>291</v>
      </c>
      <c r="AY15" s="148" t="s">
        <v>291</v>
      </c>
      <c r="AZ15" s="148" t="s">
        <v>291</v>
      </c>
      <c r="BA15" s="154">
        <v>46092.7083333333</v>
      </c>
      <c r="BB15" s="154">
        <v>46252.7083333333</v>
      </c>
      <c r="BC15" s="155">
        <f>IF(OR(KOL_Database!$J$15="",KOL_Database!$J$15=0,KOL_Database!$L$15=""),"",ROUND(KOL_Database!$L$15/KOL_Database!$J$15,3))</f>
        <v>0.195</v>
      </c>
      <c r="BD15" s="151">
        <f>IF(OR(KOL_Database!$AP$15="",KOL_Database!$AP$15=0,Lookup_Lists!$D$149=0),"",MIN(100,ROUND(Lookup_Lists!$D$149/KOL_Database!$AP$15*100,0)))</f>
        <v>26</v>
      </c>
      <c r="BE15" s="151">
        <f>ROUND((IF(KOL_Database!$J$15="",0,1)+IF(KOL_Database!$K$15="",0,1)+IF(KOL_Database!$L$15="",0,1)+IF(KOL_Database!$M$15="",0,1)+IF(KOL_Database!$N$15="",0,1)+IF(KOL_Database!$O$15="",0,1)+IF(KOL_Database!$P$15="",0,1)+IF(KOL_Database!$R$15="",0,1)+IF(KOL_Database!$S$15="",0,1)+IF(KOL_Database!$AE$15="",0,1)+IF(KOL_Database!$AF$15="",0,1)+IF(KOL_Database!$AN$15="",0,1))/12*100,0)</f>
        <v>100</v>
      </c>
      <c r="BF15" s="148" t="str">
        <f>IF(KOL_Database!$BE$15&gt;=Lookup_Lists!$D$159,"Live",IF(KOL_Database!$BE$15&gt;=Lookup_Lists!$D$160,"Calculated","Estimated"))</f>
        <v>Live</v>
      </c>
    </row>
    <row r="16" spans="1:58">
      <c r="A16" s="148" t="s">
        <v>585</v>
      </c>
      <c r="B16" s="148" t="s">
        <v>586</v>
      </c>
      <c r="C16" s="148" t="s">
        <v>587</v>
      </c>
      <c r="D16" s="148" t="s">
        <v>392</v>
      </c>
      <c r="E16" s="148" t="s">
        <v>579</v>
      </c>
      <c r="F16" s="148" t="s">
        <v>588</v>
      </c>
      <c r="G16" s="148" t="str">
        <f>IFERROR(INDEX(Lookup_Lists!$A$96:$A$100,MATCH(KOL_Database!$J$16,Lookup_Lists!$B$96:$B$100,1)),"")</f>
        <v>Macro</v>
      </c>
      <c r="H16" s="148" t="s">
        <v>291</v>
      </c>
      <c r="I16" s="148" t="s">
        <v>589</v>
      </c>
      <c r="J16" s="149">
        <v>305000</v>
      </c>
      <c r="K16" s="150">
        <v>6.5</v>
      </c>
      <c r="L16" s="149">
        <v>343139</v>
      </c>
      <c r="M16" s="149">
        <v>266395</v>
      </c>
      <c r="N16" s="150">
        <v>2.7</v>
      </c>
      <c r="O16" s="150">
        <v>8.5</v>
      </c>
      <c r="P16" s="151">
        <v>86</v>
      </c>
      <c r="Q16" s="151">
        <v>88</v>
      </c>
      <c r="R16" s="151">
        <v>80</v>
      </c>
      <c r="S16" s="151">
        <v>75</v>
      </c>
      <c r="T16" s="152">
        <v>1.71</v>
      </c>
      <c r="U16" s="152">
        <v>3.13</v>
      </c>
      <c r="V16" s="151">
        <v>79</v>
      </c>
      <c r="W16" s="151">
        <v>5</v>
      </c>
      <c r="X16" s="151">
        <v>42</v>
      </c>
      <c r="Y16" s="151">
        <v>37</v>
      </c>
      <c r="Z16" s="151">
        <v>13</v>
      </c>
      <c r="AA16" s="151">
        <v>3</v>
      </c>
      <c r="AB16" s="151">
        <v>79</v>
      </c>
      <c r="AC16" s="151">
        <v>21</v>
      </c>
      <c r="AD16" s="148" t="s">
        <v>179</v>
      </c>
      <c r="AE16" s="148" t="s">
        <v>590</v>
      </c>
      <c r="AF16" s="148" t="s">
        <v>589</v>
      </c>
      <c r="AG16" s="148" t="s">
        <v>591</v>
      </c>
      <c r="AH16" s="148" t="s">
        <v>510</v>
      </c>
      <c r="AI16" s="148" t="s">
        <v>582</v>
      </c>
      <c r="AJ16" s="148" t="s">
        <v>400</v>
      </c>
      <c r="AK16" s="148" t="s">
        <v>592</v>
      </c>
      <c r="AL16" s="148" t="s">
        <v>593</v>
      </c>
      <c r="AM16" s="151">
        <v>82</v>
      </c>
      <c r="AN16" s="149">
        <v>11000000</v>
      </c>
      <c r="AO16" s="153">
        <f>IF(OR(KOL_Database!$AN$16="",KOL_Database!$AN$16=0,KOL_Database!$L$16="",KOL_Database!$L$16=0),"",ROUND(KOL_Database!$AN$16/KOL_Database!$L$16,2))</f>
        <v>32.06</v>
      </c>
      <c r="AP16" s="149">
        <f>IF(OR(KOL_Database!$AN$16="",KOL_Database!$AN$16=0,KOL_Database!$L$16="",KOL_Database!$L$16=0,KOL_Database!$K$16="",KOL_Database!$K$16=0),"",ROUND(KOL_Database!$AN$16/(KOL_Database!$L$16*KOL_Database!$K$16/100),0))</f>
        <v>493</v>
      </c>
      <c r="AQ16" s="149">
        <f>IF(OR(KOL_Database!$AN$16="",KOL_Database!$AN$16=0,KOL_Database!$J$16="",KOL_Database!$J$16=0),"",ROUND(KOL_Database!$AN$16/KOL_Database!$J$16*1000,0))</f>
        <v>36066</v>
      </c>
      <c r="AR16" s="149">
        <f>IF(OR(KOL_Database!$L$16="",KOL_Database!$J$16=""),"",ROUND(KOL_Database!$L$16*Lookup_Lists!$D$147+KOL_Database!$J$16*Lookup_Lists!$D$148,0))</f>
        <v>431210</v>
      </c>
      <c r="AS16" s="152">
        <f>IF(OR(KOL_Database!$AN$16="",KOL_Database!$AN$16=0,KOL_Database!$AR$16=""),"",ROUND(KOL_Database!$AR$16*KOL_Database!$K$16/100*Lookup_Lists!$D$146/KOL_Database!$AN$16,2))</f>
        <v>22.93</v>
      </c>
      <c r="AT16" s="151">
        <v>88</v>
      </c>
      <c r="AU16" s="151">
        <v>49</v>
      </c>
      <c r="AV16" s="148" t="s">
        <v>503</v>
      </c>
      <c r="AW16" s="148" t="s">
        <v>291</v>
      </c>
      <c r="AX16" s="148" t="s">
        <v>291</v>
      </c>
      <c r="AY16" s="148" t="s">
        <v>291</v>
      </c>
      <c r="AZ16" s="148" t="s">
        <v>291</v>
      </c>
      <c r="BA16" s="154">
        <v>46096.7083333333</v>
      </c>
      <c r="BB16" s="154">
        <v>46253.7083333333</v>
      </c>
      <c r="BC16" s="155">
        <f>IF(OR(KOL_Database!$J$16="",KOL_Database!$J$16=0,KOL_Database!$L$16=""),"",ROUND(KOL_Database!$L$16/KOL_Database!$J$16,3))</f>
        <v>1.125</v>
      </c>
      <c r="BD16" s="151">
        <f>IF(OR(KOL_Database!$AP$16="",KOL_Database!$AP$16=0,Lookup_Lists!$D$149=0),"",MIN(100,ROUND(Lookup_Lists!$D$149/KOL_Database!$AP$16*100,0)))</f>
        <v>100</v>
      </c>
      <c r="BE16" s="151">
        <f>ROUND((IF(KOL_Database!$J$16="",0,1)+IF(KOL_Database!$K$16="",0,1)+IF(KOL_Database!$L$16="",0,1)+IF(KOL_Database!$M$16="",0,1)+IF(KOL_Database!$N$16="",0,1)+IF(KOL_Database!$O$16="",0,1)+IF(KOL_Database!$P$16="",0,1)+IF(KOL_Database!$R$16="",0,1)+IF(KOL_Database!$S$16="",0,1)+IF(KOL_Database!$AE$16="",0,1)+IF(KOL_Database!$AF$16="",0,1)+IF(KOL_Database!$AN$16="",0,1))/12*100,0)</f>
        <v>100</v>
      </c>
      <c r="BF16" s="148" t="str">
        <f>IF(KOL_Database!$BE$16&gt;=Lookup_Lists!$D$159,"Live",IF(KOL_Database!$BE$16&gt;=Lookup_Lists!$D$160,"Calculated","Estimated"))</f>
        <v>Live</v>
      </c>
    </row>
    <row r="17" spans="1:58">
      <c r="A17" s="148" t="s">
        <v>594</v>
      </c>
      <c r="B17" s="148" t="s">
        <v>595</v>
      </c>
      <c r="C17" s="148" t="s">
        <v>596</v>
      </c>
      <c r="D17" s="148" t="s">
        <v>391</v>
      </c>
      <c r="E17" s="148" t="s">
        <v>597</v>
      </c>
      <c r="F17" s="148" t="s">
        <v>598</v>
      </c>
      <c r="G17" s="148" t="str">
        <f>IFERROR(INDEX(Lookup_Lists!$A$96:$A$100,MATCH(KOL_Database!$J$17,Lookup_Lists!$B$96:$B$100,1)),"")</f>
        <v>Mid-tier</v>
      </c>
      <c r="H17" s="148" t="s">
        <v>291</v>
      </c>
      <c r="I17" s="148" t="s">
        <v>188</v>
      </c>
      <c r="J17" s="149">
        <v>96000</v>
      </c>
      <c r="K17" s="150">
        <v>3.4</v>
      </c>
      <c r="L17" s="149">
        <v>33575</v>
      </c>
      <c r="M17" s="149">
        <v>27597</v>
      </c>
      <c r="N17" s="150">
        <v>5.5</v>
      </c>
      <c r="O17" s="150">
        <v>16.4</v>
      </c>
      <c r="P17" s="151">
        <v>64</v>
      </c>
      <c r="Q17" s="151">
        <v>64</v>
      </c>
      <c r="R17" s="151">
        <v>86</v>
      </c>
      <c r="S17" s="151">
        <v>69</v>
      </c>
      <c r="T17" s="152">
        <v>1.76</v>
      </c>
      <c r="U17" s="152">
        <v>3.33</v>
      </c>
      <c r="V17" s="151">
        <v>81</v>
      </c>
      <c r="W17" s="151">
        <v>12</v>
      </c>
      <c r="X17" s="151">
        <v>44</v>
      </c>
      <c r="Y17" s="151">
        <v>30</v>
      </c>
      <c r="Z17" s="151">
        <v>10</v>
      </c>
      <c r="AA17" s="151">
        <v>4</v>
      </c>
      <c r="AB17" s="151">
        <v>33</v>
      </c>
      <c r="AC17" s="151">
        <v>67</v>
      </c>
      <c r="AD17" s="148" t="s">
        <v>179</v>
      </c>
      <c r="AE17" s="148" t="s">
        <v>183</v>
      </c>
      <c r="AF17" s="148" t="s">
        <v>188</v>
      </c>
      <c r="AG17" s="148" t="s">
        <v>599</v>
      </c>
      <c r="AH17" s="148" t="s">
        <v>501</v>
      </c>
      <c r="AI17" s="148" t="s">
        <v>600</v>
      </c>
      <c r="AJ17" s="148" t="s">
        <v>601</v>
      </c>
      <c r="AK17" s="148" t="s">
        <v>402</v>
      </c>
      <c r="AL17" s="148" t="s">
        <v>602</v>
      </c>
      <c r="AM17" s="151">
        <v>85</v>
      </c>
      <c r="AN17" s="149">
        <v>5595000</v>
      </c>
      <c r="AO17" s="153">
        <f>IF(OR(KOL_Database!$AN$17="",KOL_Database!$AN$17=0,KOL_Database!$L$17="",KOL_Database!$L$17=0),"",ROUND(KOL_Database!$AN$17/KOL_Database!$L$17,2))</f>
        <v>166.64</v>
      </c>
      <c r="AP17" s="149">
        <f>IF(OR(KOL_Database!$AN$17="",KOL_Database!$AN$17=0,KOL_Database!$L$17="",KOL_Database!$L$17=0,KOL_Database!$K$17="",KOL_Database!$K$17=0),"",ROUND(KOL_Database!$AN$17/(KOL_Database!$L$17*KOL_Database!$K$17/100),0))</f>
        <v>4901</v>
      </c>
      <c r="AQ17" s="149">
        <f>IF(OR(KOL_Database!$AN$17="",KOL_Database!$AN$17=0,KOL_Database!$J$17="",KOL_Database!$J$17=0),"",ROUND(KOL_Database!$AN$17/KOL_Database!$J$17*1000,0))</f>
        <v>58281</v>
      </c>
      <c r="AR17" s="149">
        <f>IF(OR(KOL_Database!$L$17="",KOL_Database!$J$17=""),"",ROUND(KOL_Database!$L$17*Lookup_Lists!$D$147+KOL_Database!$J$17*Lookup_Lists!$D$148,0))</f>
        <v>50131</v>
      </c>
      <c r="AS17" s="152">
        <f>IF(OR(KOL_Database!$AN$17="",KOL_Database!$AN$17=0,KOL_Database!$AR$17=""),"",ROUND(KOL_Database!$AR$17*KOL_Database!$K$17/100*Lookup_Lists!$D$146/KOL_Database!$AN$17,2))</f>
        <v>2.74</v>
      </c>
      <c r="AT17" s="151">
        <v>89</v>
      </c>
      <c r="AU17" s="151">
        <v>54</v>
      </c>
      <c r="AV17" s="148" t="s">
        <v>503</v>
      </c>
      <c r="AW17" s="148" t="s">
        <v>291</v>
      </c>
      <c r="AX17" s="148" t="s">
        <v>291</v>
      </c>
      <c r="AY17" s="148" t="s">
        <v>291</v>
      </c>
      <c r="AZ17" s="148" t="s">
        <v>291</v>
      </c>
      <c r="BA17" s="154">
        <v>46164.7083333333</v>
      </c>
      <c r="BB17" s="154">
        <v>46255.7083333333</v>
      </c>
      <c r="BC17" s="155">
        <f>IF(OR(KOL_Database!$J$17="",KOL_Database!$J$17=0,KOL_Database!$L$17=""),"",ROUND(KOL_Database!$L$17/KOL_Database!$J$17,3))</f>
        <v>0.35</v>
      </c>
      <c r="BD17" s="151">
        <f>IF(OR(KOL_Database!$AP$17="",KOL_Database!$AP$17=0,Lookup_Lists!$D$149=0),"",MIN(100,ROUND(Lookup_Lists!$D$149/KOL_Database!$AP$17*100,0)))</f>
        <v>30</v>
      </c>
      <c r="BE17" s="151">
        <f>ROUND((IF(KOL_Database!$J$17="",0,1)+IF(KOL_Database!$K$17="",0,1)+IF(KOL_Database!$L$17="",0,1)+IF(KOL_Database!$M$17="",0,1)+IF(KOL_Database!$N$17="",0,1)+IF(KOL_Database!$O$17="",0,1)+IF(KOL_Database!$P$17="",0,1)+IF(KOL_Database!$R$17="",0,1)+IF(KOL_Database!$S$17="",0,1)+IF(KOL_Database!$AE$17="",0,1)+IF(KOL_Database!$AF$17="",0,1)+IF(KOL_Database!$AN$17="",0,1))/12*100,0)</f>
        <v>100</v>
      </c>
      <c r="BF17" s="148" t="str">
        <f>IF(KOL_Database!$BE$17&gt;=Lookup_Lists!$D$159,"Live",IF(KOL_Database!$BE$17&gt;=Lookup_Lists!$D$160,"Calculated","Estimated"))</f>
        <v>Live</v>
      </c>
    </row>
    <row r="18" spans="1:58">
      <c r="A18" s="148" t="s">
        <v>603</v>
      </c>
      <c r="B18" s="148" t="s">
        <v>604</v>
      </c>
      <c r="C18" s="148" t="s">
        <v>605</v>
      </c>
      <c r="D18" s="148" t="s">
        <v>391</v>
      </c>
      <c r="E18" s="148" t="s">
        <v>597</v>
      </c>
      <c r="F18" s="148" t="s">
        <v>606</v>
      </c>
      <c r="G18" s="148" t="str">
        <f>IFERROR(INDEX(Lookup_Lists!$A$96:$A$100,MATCH(KOL_Database!$J$18,Lookup_Lists!$B$96:$B$100,1)),"")</f>
        <v>Macro</v>
      </c>
      <c r="H18" s="148" t="s">
        <v>295</v>
      </c>
      <c r="I18" s="148" t="s">
        <v>507</v>
      </c>
      <c r="J18" s="149">
        <v>268000</v>
      </c>
      <c r="K18" s="150">
        <v>4.7</v>
      </c>
      <c r="L18" s="149">
        <v>60835</v>
      </c>
      <c r="M18" s="149">
        <v>38966</v>
      </c>
      <c r="N18" s="150">
        <v>4.7</v>
      </c>
      <c r="O18" s="150">
        <v>13.5</v>
      </c>
      <c r="P18" s="151">
        <v>93</v>
      </c>
      <c r="Q18" s="151">
        <v>92</v>
      </c>
      <c r="R18" s="151">
        <v>62</v>
      </c>
      <c r="S18" s="151">
        <v>68</v>
      </c>
      <c r="T18" s="152">
        <v>0.6</v>
      </c>
      <c r="U18" s="152">
        <v>0.98</v>
      </c>
      <c r="V18" s="151">
        <v>49</v>
      </c>
      <c r="W18" s="151">
        <v>9</v>
      </c>
      <c r="X18" s="151">
        <v>36</v>
      </c>
      <c r="Y18" s="151">
        <v>32</v>
      </c>
      <c r="Z18" s="151">
        <v>15</v>
      </c>
      <c r="AA18" s="151">
        <v>8</v>
      </c>
      <c r="AB18" s="151">
        <v>76</v>
      </c>
      <c r="AC18" s="151">
        <v>24</v>
      </c>
      <c r="AD18" s="148" t="s">
        <v>179</v>
      </c>
      <c r="AE18" s="148" t="s">
        <v>508</v>
      </c>
      <c r="AF18" s="148" t="s">
        <v>507</v>
      </c>
      <c r="AG18" s="148" t="s">
        <v>607</v>
      </c>
      <c r="AH18" s="148" t="s">
        <v>501</v>
      </c>
      <c r="AI18" s="148" t="s">
        <v>608</v>
      </c>
      <c r="AJ18" s="148" t="s">
        <v>601</v>
      </c>
      <c r="AK18" s="148" t="s">
        <v>206</v>
      </c>
      <c r="AL18" s="148" t="s">
        <v>609</v>
      </c>
      <c r="AM18" s="151">
        <v>63</v>
      </c>
      <c r="AN18" s="149">
        <v>9178000</v>
      </c>
      <c r="AO18" s="153">
        <f>IF(OR(KOL_Database!$AN$18="",KOL_Database!$AN$18=0,KOL_Database!$L$18="",KOL_Database!$L$18=0),"",ROUND(KOL_Database!$AN$18/KOL_Database!$L$18,2))</f>
        <v>150.87</v>
      </c>
      <c r="AP18" s="149">
        <f>IF(OR(KOL_Database!$AN$18="",KOL_Database!$AN$18=0,KOL_Database!$L$18="",KOL_Database!$L$18=0,KOL_Database!$K$18="",KOL_Database!$K$18=0),"",ROUND(KOL_Database!$AN$18/(KOL_Database!$L$18*KOL_Database!$K$18/100),0))</f>
        <v>3210</v>
      </c>
      <c r="AQ18" s="149">
        <f>IF(OR(KOL_Database!$AN$18="",KOL_Database!$AN$18=0,KOL_Database!$J$18="",KOL_Database!$J$18=0),"",ROUND(KOL_Database!$AN$18/KOL_Database!$J$18*1000,0))</f>
        <v>34246</v>
      </c>
      <c r="AR18" s="149">
        <f>IF(OR(KOL_Database!$L$18="",KOL_Database!$J$18=""),"",ROUND(KOL_Database!$L$18*Lookup_Lists!$D$147+KOL_Database!$J$18*Lookup_Lists!$D$148,0))</f>
        <v>102120</v>
      </c>
      <c r="AS18" s="152">
        <f>IF(OR(KOL_Database!$AN$18="",KOL_Database!$AN$18=0,KOL_Database!$AR$18=""),"",ROUND(KOL_Database!$AR$18*KOL_Database!$K$18/100*Lookup_Lists!$D$146/KOL_Database!$AN$18,2))</f>
        <v>4.71</v>
      </c>
      <c r="AT18" s="151">
        <v>72</v>
      </c>
      <c r="AU18" s="151">
        <v>15</v>
      </c>
      <c r="AV18" s="148" t="s">
        <v>534</v>
      </c>
      <c r="AW18" s="148" t="s">
        <v>291</v>
      </c>
      <c r="AX18" s="148" t="s">
        <v>291</v>
      </c>
      <c r="AY18" s="148" t="s">
        <v>291</v>
      </c>
      <c r="AZ18" s="148" t="s">
        <v>291</v>
      </c>
      <c r="BA18" s="154">
        <v>46091.7083333333</v>
      </c>
      <c r="BB18" s="154">
        <v>46257.7083333333</v>
      </c>
      <c r="BC18" s="155">
        <f>IF(OR(KOL_Database!$J$18="",KOL_Database!$J$18=0,KOL_Database!$L$18=""),"",ROUND(KOL_Database!$L$18/KOL_Database!$J$18,3))</f>
        <v>0.227</v>
      </c>
      <c r="BD18" s="151">
        <f>IF(OR(KOL_Database!$AP$18="",KOL_Database!$AP$18=0,Lookup_Lists!$D$149=0),"",MIN(100,ROUND(Lookup_Lists!$D$149/KOL_Database!$AP$18*100,0)))</f>
        <v>46</v>
      </c>
      <c r="BE18" s="151">
        <f>ROUND((IF(KOL_Database!$J$18="",0,1)+IF(KOL_Database!$K$18="",0,1)+IF(KOL_Database!$L$18="",0,1)+IF(KOL_Database!$M$18="",0,1)+IF(KOL_Database!$N$18="",0,1)+IF(KOL_Database!$O$18="",0,1)+IF(KOL_Database!$P$18="",0,1)+IF(KOL_Database!$R$18="",0,1)+IF(KOL_Database!$S$18="",0,1)+IF(KOL_Database!$AE$18="",0,1)+IF(KOL_Database!$AF$18="",0,1)+IF(KOL_Database!$AN$18="",0,1))/12*100,0)</f>
        <v>100</v>
      </c>
      <c r="BF18" s="148" t="str">
        <f>IF(KOL_Database!$BE$18&gt;=Lookup_Lists!$D$159,"Live",IF(KOL_Database!$BE$18&gt;=Lookup_Lists!$D$160,"Calculated","Estimated"))</f>
        <v>Live</v>
      </c>
    </row>
    <row r="19" spans="1:58">
      <c r="A19" s="148" t="s">
        <v>610</v>
      </c>
      <c r="B19" s="148" t="s">
        <v>611</v>
      </c>
      <c r="C19" s="148" t="s">
        <v>612</v>
      </c>
      <c r="D19" s="148" t="s">
        <v>391</v>
      </c>
      <c r="E19" s="148" t="s">
        <v>613</v>
      </c>
      <c r="F19" s="148" t="s">
        <v>614</v>
      </c>
      <c r="G19" s="148" t="str">
        <f>IFERROR(INDEX(Lookup_Lists!$A$96:$A$100,MATCH(KOL_Database!$J$19,Lookup_Lists!$B$96:$B$100,1)),"")</f>
        <v>Mid-tier</v>
      </c>
      <c r="H19" s="148" t="s">
        <v>291</v>
      </c>
      <c r="I19" s="148" t="s">
        <v>188</v>
      </c>
      <c r="J19" s="149">
        <v>58000</v>
      </c>
      <c r="K19" s="150">
        <v>5.8</v>
      </c>
      <c r="L19" s="149">
        <v>19817</v>
      </c>
      <c r="M19" s="149"/>
      <c r="N19" s="150">
        <v>0.8</v>
      </c>
      <c r="O19" s="150">
        <v>2.2</v>
      </c>
      <c r="P19" s="151">
        <v>54</v>
      </c>
      <c r="Q19" s="151">
        <v>49</v>
      </c>
      <c r="R19" s="151">
        <v>79</v>
      </c>
      <c r="S19" s="151">
        <v>75</v>
      </c>
      <c r="T19" s="152">
        <v>1.78</v>
      </c>
      <c r="U19" s="152">
        <v>2.87</v>
      </c>
      <c r="V19" s="151">
        <v>77</v>
      </c>
      <c r="W19" s="151">
        <v>6</v>
      </c>
      <c r="X19" s="151">
        <v>41</v>
      </c>
      <c r="Y19" s="151">
        <v>36</v>
      </c>
      <c r="Z19" s="151">
        <v>13</v>
      </c>
      <c r="AA19" s="151">
        <v>4</v>
      </c>
      <c r="AB19" s="151">
        <v>78</v>
      </c>
      <c r="AC19" s="151">
        <v>22</v>
      </c>
      <c r="AD19" s="148" t="s">
        <v>179</v>
      </c>
      <c r="AE19" s="148" t="s">
        <v>183</v>
      </c>
      <c r="AF19" s="148" t="s">
        <v>188</v>
      </c>
      <c r="AG19" s="148" t="s">
        <v>615</v>
      </c>
      <c r="AH19" s="148" t="s">
        <v>501</v>
      </c>
      <c r="AI19" s="148" t="s">
        <v>616</v>
      </c>
      <c r="AJ19" s="148" t="s">
        <v>617</v>
      </c>
      <c r="AK19" s="148" t="s">
        <v>275</v>
      </c>
      <c r="AL19" s="148" t="s">
        <v>618</v>
      </c>
      <c r="AM19" s="151">
        <v>81</v>
      </c>
      <c r="AN19" s="149"/>
      <c r="AO19" s="153" t="str">
        <f>IF(OR(KOL_Database!$AN$19="",KOL_Database!$AN$19=0,KOL_Database!$L$19="",KOL_Database!$L$19=0),"",ROUND(KOL_Database!$AN$19/KOL_Database!$L$19,2))</f>
        <v/>
      </c>
      <c r="AP19" s="149" t="str">
        <f>IF(OR(KOL_Database!$AN$19="",KOL_Database!$AN$19=0,KOL_Database!$L$19="",KOL_Database!$L$19=0,KOL_Database!$K$19="",KOL_Database!$K$19=0),"",ROUND(KOL_Database!$AN$19/(KOL_Database!$L$19*KOL_Database!$K$19/100),0))</f>
        <v/>
      </c>
      <c r="AQ19" s="149" t="str">
        <f>IF(OR(KOL_Database!$AN$19="",KOL_Database!$AN$19=0,KOL_Database!$J$19="",KOL_Database!$J$19=0),"",ROUND(KOL_Database!$AN$19/KOL_Database!$J$19*1000,0))</f>
        <v/>
      </c>
      <c r="AR19" s="149">
        <f>IF(OR(KOL_Database!$L$19="",KOL_Database!$J$19=""),"",ROUND(KOL_Database!$L$19*Lookup_Lists!$D$147+KOL_Database!$J$19*Lookup_Lists!$D$148,0))</f>
        <v>29750</v>
      </c>
      <c r="AS19" s="152" t="str">
        <f>IF(OR(KOL_Database!$AN$19="",KOL_Database!$AN$19=0,KOL_Database!$AR$19=""),"",ROUND(KOL_Database!$AR$19*KOL_Database!$K$19/100*Lookup_Lists!$D$146/KOL_Database!$AN$19,2))</f>
        <v/>
      </c>
      <c r="AT19" s="151">
        <v>87</v>
      </c>
      <c r="AU19" s="151">
        <v>47</v>
      </c>
      <c r="AV19" s="148" t="s">
        <v>503</v>
      </c>
      <c r="AW19" s="148" t="s">
        <v>291</v>
      </c>
      <c r="AX19" s="148" t="s">
        <v>291</v>
      </c>
      <c r="AY19" s="148" t="s">
        <v>291</v>
      </c>
      <c r="AZ19" s="148" t="s">
        <v>291</v>
      </c>
      <c r="BA19" s="154">
        <v>46192.7083333333</v>
      </c>
      <c r="BB19" s="154">
        <v>46241.7083333333</v>
      </c>
      <c r="BC19" s="155">
        <f>IF(OR(KOL_Database!$J$19="",KOL_Database!$J$19=0,KOL_Database!$L$19=""),"",ROUND(KOL_Database!$L$19/KOL_Database!$J$19,3))</f>
        <v>0.342</v>
      </c>
      <c r="BD19" s="151" t="str">
        <f>IF(OR(KOL_Database!$AP$19="",KOL_Database!$AP$19=0,Lookup_Lists!$D$149=0),"",MIN(100,ROUND(Lookup_Lists!$D$149/KOL_Database!$AP$19*100,0)))</f>
        <v/>
      </c>
      <c r="BE19" s="151">
        <f>ROUND((IF(KOL_Database!$J$19="",0,1)+IF(KOL_Database!$K$19="",0,1)+IF(KOL_Database!$L$19="",0,1)+IF(KOL_Database!$M$19="",0,1)+IF(KOL_Database!$N$19="",0,1)+IF(KOL_Database!$O$19="",0,1)+IF(KOL_Database!$P$19="",0,1)+IF(KOL_Database!$R$19="",0,1)+IF(KOL_Database!$S$19="",0,1)+IF(KOL_Database!$AE$19="",0,1)+IF(KOL_Database!$AF$19="",0,1)+IF(KOL_Database!$AN$19="",0,1))/12*100,0)</f>
        <v>83</v>
      </c>
      <c r="BF19" s="148" t="str">
        <f>IF(KOL_Database!$BE$19&gt;=Lookup_Lists!$D$159,"Live",IF(KOL_Database!$BE$19&gt;=Lookup_Lists!$D$160,"Calculated","Estimated"))</f>
        <v>Estimated</v>
      </c>
    </row>
    <row r="20" spans="1:58">
      <c r="A20" s="148" t="s">
        <v>619</v>
      </c>
      <c r="B20" s="148" t="s">
        <v>620</v>
      </c>
      <c r="C20" s="148" t="s">
        <v>621</v>
      </c>
      <c r="D20" s="148" t="s">
        <v>392</v>
      </c>
      <c r="E20" s="148" t="s">
        <v>613</v>
      </c>
      <c r="F20" s="148" t="s">
        <v>622</v>
      </c>
      <c r="G20" s="148" t="str">
        <f>IFERROR(INDEX(Lookup_Lists!$A$96:$A$100,MATCH(KOL_Database!$J$20,Lookup_Lists!$B$96:$B$100,1)),"")</f>
        <v>Macro</v>
      </c>
      <c r="H20" s="148" t="s">
        <v>291</v>
      </c>
      <c r="I20" s="148" t="s">
        <v>539</v>
      </c>
      <c r="J20" s="149">
        <v>143000</v>
      </c>
      <c r="K20" s="150">
        <v>7.3</v>
      </c>
      <c r="L20" s="149">
        <v>128922</v>
      </c>
      <c r="M20" s="149">
        <v>93520</v>
      </c>
      <c r="N20" s="150">
        <v>1.6</v>
      </c>
      <c r="O20" s="150">
        <v>4.7</v>
      </c>
      <c r="P20" s="151">
        <v>69</v>
      </c>
      <c r="Q20" s="151">
        <v>58</v>
      </c>
      <c r="R20" s="151">
        <v>72</v>
      </c>
      <c r="S20" s="151">
        <v>75</v>
      </c>
      <c r="T20" s="152">
        <v>1.11</v>
      </c>
      <c r="U20" s="152">
        <v>1.8</v>
      </c>
      <c r="V20" s="151">
        <v>65</v>
      </c>
      <c r="W20" s="151">
        <v>10</v>
      </c>
      <c r="X20" s="151">
        <v>35</v>
      </c>
      <c r="Y20" s="151">
        <v>32</v>
      </c>
      <c r="Z20" s="151">
        <v>15</v>
      </c>
      <c r="AA20" s="151">
        <v>8</v>
      </c>
      <c r="AB20" s="151">
        <v>50</v>
      </c>
      <c r="AC20" s="151">
        <v>50</v>
      </c>
      <c r="AD20" s="148" t="s">
        <v>179</v>
      </c>
      <c r="AE20" s="148" t="s">
        <v>623</v>
      </c>
      <c r="AF20" s="148" t="s">
        <v>539</v>
      </c>
      <c r="AG20" s="148" t="s">
        <v>624</v>
      </c>
      <c r="AH20" s="148" t="s">
        <v>510</v>
      </c>
      <c r="AI20" s="148" t="s">
        <v>625</v>
      </c>
      <c r="AJ20" s="148" t="s">
        <v>233</v>
      </c>
      <c r="AK20" s="148" t="s">
        <v>592</v>
      </c>
      <c r="AL20" s="148" t="s">
        <v>626</v>
      </c>
      <c r="AM20" s="151">
        <v>70</v>
      </c>
      <c r="AN20" s="149">
        <v>7434000</v>
      </c>
      <c r="AO20" s="153">
        <f>IF(OR(KOL_Database!$AN$20="",KOL_Database!$AN$20=0,KOL_Database!$L$20="",KOL_Database!$L$20=0),"",ROUND(KOL_Database!$AN$20/KOL_Database!$L$20,2))</f>
        <v>57.66</v>
      </c>
      <c r="AP20" s="149">
        <f>IF(OR(KOL_Database!$AN$20="",KOL_Database!$AN$20=0,KOL_Database!$L$20="",KOL_Database!$L$20=0,KOL_Database!$K$20="",KOL_Database!$K$20=0),"",ROUND(KOL_Database!$AN$20/(KOL_Database!$L$20*KOL_Database!$K$20/100),0))</f>
        <v>790</v>
      </c>
      <c r="AQ20" s="149">
        <f>IF(OR(KOL_Database!$AN$20="",KOL_Database!$AN$20=0,KOL_Database!$J$20="",KOL_Database!$J$20=0),"",ROUND(KOL_Database!$AN$20/KOL_Database!$J$20*1000,0))</f>
        <v>51986</v>
      </c>
      <c r="AR20" s="149">
        <f>IF(OR(KOL_Database!$L$20="",KOL_Database!$J$20=""),"",ROUND(KOL_Database!$L$20*Lookup_Lists!$D$147+KOL_Database!$J$20*Lookup_Lists!$D$148,0))</f>
        <v>165420</v>
      </c>
      <c r="AS20" s="152">
        <f>IF(OR(KOL_Database!$AN$20="",KOL_Database!$AN$20=0,KOL_Database!$AR$20=""),"",ROUND(KOL_Database!$AR$20*KOL_Database!$K$20/100*Lookup_Lists!$D$146/KOL_Database!$AN$20,2))</f>
        <v>14.62</v>
      </c>
      <c r="AT20" s="151">
        <v>80</v>
      </c>
      <c r="AU20" s="151">
        <v>27</v>
      </c>
      <c r="AV20" s="148" t="s">
        <v>534</v>
      </c>
      <c r="AW20" s="148" t="s">
        <v>291</v>
      </c>
      <c r="AX20" s="148" t="s">
        <v>291</v>
      </c>
      <c r="AY20" s="148" t="s">
        <v>291</v>
      </c>
      <c r="AZ20" s="148" t="s">
        <v>291</v>
      </c>
      <c r="BA20" s="154">
        <v>46208.7083333333</v>
      </c>
      <c r="BB20" s="154">
        <v>46258.7083333333</v>
      </c>
      <c r="BC20" s="155">
        <f>IF(OR(KOL_Database!$J$20="",KOL_Database!$J$20=0,KOL_Database!$L$20=""),"",ROUND(KOL_Database!$L$20/KOL_Database!$J$20,3))</f>
        <v>0.902</v>
      </c>
      <c r="BD20" s="151">
        <f>IF(OR(KOL_Database!$AP$20="",KOL_Database!$AP$20=0,Lookup_Lists!$D$149=0),"",MIN(100,ROUND(Lookup_Lists!$D$149/KOL_Database!$AP$20*100,0)))</f>
        <v>100</v>
      </c>
      <c r="BE20" s="151">
        <f>ROUND((IF(KOL_Database!$J$20="",0,1)+IF(KOL_Database!$K$20="",0,1)+IF(KOL_Database!$L$20="",0,1)+IF(KOL_Database!$M$20="",0,1)+IF(KOL_Database!$N$20="",0,1)+IF(KOL_Database!$O$20="",0,1)+IF(KOL_Database!$P$20="",0,1)+IF(KOL_Database!$R$20="",0,1)+IF(KOL_Database!$S$20="",0,1)+IF(KOL_Database!$AE$20="",0,1)+IF(KOL_Database!$AF$20="",0,1)+IF(KOL_Database!$AN$20="",0,1))/12*100,0)</f>
        <v>100</v>
      </c>
      <c r="BF20" s="148" t="str">
        <f>IF(KOL_Database!$BE$20&gt;=Lookup_Lists!$D$159,"Live",IF(KOL_Database!$BE$20&gt;=Lookup_Lists!$D$160,"Calculated","Estimated"))</f>
        <v>Live</v>
      </c>
    </row>
    <row r="21" spans="1:58">
      <c r="A21" s="148" t="s">
        <v>627</v>
      </c>
      <c r="B21" s="148" t="s">
        <v>628</v>
      </c>
      <c r="C21" s="148" t="s">
        <v>629</v>
      </c>
      <c r="D21" s="148" t="s">
        <v>391</v>
      </c>
      <c r="E21" s="148" t="s">
        <v>630</v>
      </c>
      <c r="F21" s="148" t="s">
        <v>631</v>
      </c>
      <c r="G21" s="148" t="str">
        <f>IFERROR(INDEX(Lookup_Lists!$A$96:$A$100,MATCH(KOL_Database!$J$21,Lookup_Lists!$B$96:$B$100,1)),"")</f>
        <v>Macro</v>
      </c>
      <c r="H21" s="148" t="s">
        <v>295</v>
      </c>
      <c r="I21" s="148" t="s">
        <v>632</v>
      </c>
      <c r="J21" s="149">
        <v>187000</v>
      </c>
      <c r="K21" s="150">
        <v>4.1</v>
      </c>
      <c r="L21" s="149">
        <v>63792</v>
      </c>
      <c r="M21" s="149">
        <v>49777</v>
      </c>
      <c r="N21" s="150">
        <v>3.8</v>
      </c>
      <c r="O21" s="150">
        <v>10.1</v>
      </c>
      <c r="P21" s="151">
        <v>60</v>
      </c>
      <c r="Q21" s="151">
        <v>55</v>
      </c>
      <c r="R21" s="151">
        <v>79</v>
      </c>
      <c r="S21" s="151">
        <v>65</v>
      </c>
      <c r="T21" s="152">
        <v>1.33</v>
      </c>
      <c r="U21" s="152">
        <v>2.67</v>
      </c>
      <c r="V21" s="151">
        <v>70</v>
      </c>
      <c r="W21" s="151">
        <v>6</v>
      </c>
      <c r="X21" s="151">
        <v>23</v>
      </c>
      <c r="Y21" s="151">
        <v>41</v>
      </c>
      <c r="Z21" s="151">
        <v>20</v>
      </c>
      <c r="AA21" s="151">
        <v>10</v>
      </c>
      <c r="AB21" s="151">
        <v>67</v>
      </c>
      <c r="AC21" s="151">
        <v>33</v>
      </c>
      <c r="AD21" s="148" t="s">
        <v>179</v>
      </c>
      <c r="AE21" s="148" t="s">
        <v>632</v>
      </c>
      <c r="AF21" s="148" t="s">
        <v>632</v>
      </c>
      <c r="AG21" s="148" t="s">
        <v>633</v>
      </c>
      <c r="AH21" s="148" t="s">
        <v>510</v>
      </c>
      <c r="AI21" s="148" t="s">
        <v>634</v>
      </c>
      <c r="AJ21" s="148" t="s">
        <v>601</v>
      </c>
      <c r="AK21" s="148" t="s">
        <v>206</v>
      </c>
      <c r="AL21" s="148" t="s">
        <v>635</v>
      </c>
      <c r="AM21" s="151">
        <v>78</v>
      </c>
      <c r="AN21" s="149">
        <v>7207000</v>
      </c>
      <c r="AO21" s="153">
        <f>IF(OR(KOL_Database!$AN$21="",KOL_Database!$AN$21=0,KOL_Database!$L$21="",KOL_Database!$L$21=0),"",ROUND(KOL_Database!$AN$21/KOL_Database!$L$21,2))</f>
        <v>112.98</v>
      </c>
      <c r="AP21" s="149">
        <f>IF(OR(KOL_Database!$AN$21="",KOL_Database!$AN$21=0,KOL_Database!$L$21="",KOL_Database!$L$21=0,KOL_Database!$K$21="",KOL_Database!$K$21=0),"",ROUND(KOL_Database!$AN$21/(KOL_Database!$L$21*KOL_Database!$K$21/100),0))</f>
        <v>2756</v>
      </c>
      <c r="AQ21" s="149">
        <f>IF(OR(KOL_Database!$AN$21="",KOL_Database!$AN$21=0,KOL_Database!$J$21="",KOL_Database!$J$21=0),"",ROUND(KOL_Database!$AN$21/KOL_Database!$J$21*1000,0))</f>
        <v>38540</v>
      </c>
      <c r="AR21" s="149">
        <f>IF(OR(KOL_Database!$L$21="",KOL_Database!$J$21=""),"",ROUND(KOL_Database!$L$21*Lookup_Lists!$D$147+KOL_Database!$J$21*Lookup_Lists!$D$148,0))</f>
        <v>95801</v>
      </c>
      <c r="AS21" s="152">
        <f>IF(OR(KOL_Database!$AN$21="",KOL_Database!$AN$21=0,KOL_Database!$AR$21=""),"",ROUND(KOL_Database!$AR$21*KOL_Database!$K$21/100*Lookup_Lists!$D$146/KOL_Database!$AN$21,2))</f>
        <v>4.91</v>
      </c>
      <c r="AT21" s="151">
        <v>83</v>
      </c>
      <c r="AU21" s="151">
        <v>41</v>
      </c>
      <c r="AV21" s="148" t="s">
        <v>503</v>
      </c>
      <c r="AW21" s="148" t="s">
        <v>291</v>
      </c>
      <c r="AX21" s="148" t="s">
        <v>291</v>
      </c>
      <c r="AY21" s="148" t="s">
        <v>291</v>
      </c>
      <c r="AZ21" s="148" t="s">
        <v>291</v>
      </c>
      <c r="BA21" s="154">
        <v>46212.7083333333</v>
      </c>
      <c r="BB21" s="154">
        <v>46254.7083333333</v>
      </c>
      <c r="BC21" s="155">
        <f>IF(OR(KOL_Database!$J$21="",KOL_Database!$J$21=0,KOL_Database!$L$21=""),"",ROUND(KOL_Database!$L$21/KOL_Database!$J$21,3))</f>
        <v>0.341</v>
      </c>
      <c r="BD21" s="151">
        <f>IF(OR(KOL_Database!$AP$21="",KOL_Database!$AP$21=0,Lookup_Lists!$D$149=0),"",MIN(100,ROUND(Lookup_Lists!$D$149/KOL_Database!$AP$21*100,0)))</f>
        <v>53</v>
      </c>
      <c r="BE21" s="151">
        <f>ROUND((IF(KOL_Database!$J$21="",0,1)+IF(KOL_Database!$K$21="",0,1)+IF(KOL_Database!$L$21="",0,1)+IF(KOL_Database!$M$21="",0,1)+IF(KOL_Database!$N$21="",0,1)+IF(KOL_Database!$O$21="",0,1)+IF(KOL_Database!$P$21="",0,1)+IF(KOL_Database!$R$21="",0,1)+IF(KOL_Database!$S$21="",0,1)+IF(KOL_Database!$AE$21="",0,1)+IF(KOL_Database!$AF$21="",0,1)+IF(KOL_Database!$AN$21="",0,1))/12*100,0)</f>
        <v>100</v>
      </c>
      <c r="BF21" s="148" t="str">
        <f>IF(KOL_Database!$BE$21&gt;=Lookup_Lists!$D$159,"Live",IF(KOL_Database!$BE$21&gt;=Lookup_Lists!$D$160,"Calculated","Estimated"))</f>
        <v>Live</v>
      </c>
    </row>
    <row r="22" spans="1:58">
      <c r="A22" s="148" t="s">
        <v>636</v>
      </c>
      <c r="B22" s="148" t="s">
        <v>637</v>
      </c>
      <c r="C22" s="148" t="s">
        <v>638</v>
      </c>
      <c r="D22" s="148" t="s">
        <v>392</v>
      </c>
      <c r="E22" s="148" t="s">
        <v>630</v>
      </c>
      <c r="F22" s="148" t="s">
        <v>639</v>
      </c>
      <c r="G22" s="148" t="str">
        <f>IFERROR(INDEX(Lookup_Lists!$A$96:$A$100,MATCH(KOL_Database!$J$22,Lookup_Lists!$B$96:$B$100,1)),"")</f>
        <v>Mid-tier</v>
      </c>
      <c r="H22" s="148" t="s">
        <v>291</v>
      </c>
      <c r="I22" s="148" t="s">
        <v>523</v>
      </c>
      <c r="J22" s="149">
        <v>72000</v>
      </c>
      <c r="K22" s="150">
        <v>6.9</v>
      </c>
      <c r="L22" s="149">
        <v>78906</v>
      </c>
      <c r="M22" s="149">
        <v>60692</v>
      </c>
      <c r="N22" s="150">
        <v>1.8</v>
      </c>
      <c r="O22" s="150"/>
      <c r="P22" s="151">
        <v>79</v>
      </c>
      <c r="Q22" s="151">
        <v>74</v>
      </c>
      <c r="R22" s="151">
        <v>82</v>
      </c>
      <c r="S22" s="151">
        <v>75</v>
      </c>
      <c r="T22" s="152">
        <v>1.34</v>
      </c>
      <c r="U22" s="152">
        <v>3.01</v>
      </c>
      <c r="V22" s="151">
        <v>76</v>
      </c>
      <c r="W22" s="151">
        <v>8</v>
      </c>
      <c r="X22" s="151">
        <v>38</v>
      </c>
      <c r="Y22" s="151">
        <v>34</v>
      </c>
      <c r="Z22" s="151">
        <v>14</v>
      </c>
      <c r="AA22" s="151">
        <v>6</v>
      </c>
      <c r="AB22" s="151">
        <v>45</v>
      </c>
      <c r="AC22" s="151">
        <v>55</v>
      </c>
      <c r="AD22" s="148" t="s">
        <v>179</v>
      </c>
      <c r="AE22" s="148" t="s">
        <v>524</v>
      </c>
      <c r="AF22" s="148" t="s">
        <v>523</v>
      </c>
      <c r="AG22" s="148" t="s">
        <v>640</v>
      </c>
      <c r="AH22" s="148" t="s">
        <v>510</v>
      </c>
      <c r="AI22" s="148" t="s">
        <v>641</v>
      </c>
      <c r="AJ22" s="148" t="s">
        <v>617</v>
      </c>
      <c r="AK22" s="148" t="s">
        <v>642</v>
      </c>
      <c r="AL22" s="148" t="s">
        <v>643</v>
      </c>
      <c r="AM22" s="151">
        <v>81</v>
      </c>
      <c r="AN22" s="149">
        <v>3178000</v>
      </c>
      <c r="AO22" s="153">
        <f>IF(OR(KOL_Database!$AN$22="",KOL_Database!$AN$22=0,KOL_Database!$L$22="",KOL_Database!$L$22=0),"",ROUND(KOL_Database!$AN$22/KOL_Database!$L$22,2))</f>
        <v>40.28</v>
      </c>
      <c r="AP22" s="149">
        <f>IF(OR(KOL_Database!$AN$22="",KOL_Database!$AN$22=0,KOL_Database!$L$22="",KOL_Database!$L$22=0,KOL_Database!$K$22="",KOL_Database!$K$22=0),"",ROUND(KOL_Database!$AN$22/(KOL_Database!$L$22*KOL_Database!$K$22/100),0))</f>
        <v>584</v>
      </c>
      <c r="AQ22" s="149">
        <f>IF(OR(KOL_Database!$AN$22="",KOL_Database!$AN$22=0,KOL_Database!$J$22="",KOL_Database!$J$22=0),"",ROUND(KOL_Database!$AN$22/KOL_Database!$J$22*1000,0))</f>
        <v>44139</v>
      </c>
      <c r="AR22" s="149">
        <f>IF(OR(KOL_Database!$L$22="",KOL_Database!$J$22=""),"",ROUND(KOL_Database!$L$22*Lookup_Lists!$D$147+KOL_Database!$J$22*Lookup_Lists!$D$148,0))</f>
        <v>99382</v>
      </c>
      <c r="AS22" s="152">
        <f>IF(OR(KOL_Database!$AN$22="",KOL_Database!$AN$22=0,KOL_Database!$AR$22=""),"",ROUND(KOL_Database!$AR$22*KOL_Database!$K$22/100*Lookup_Lists!$D$146/KOL_Database!$AN$22,2))</f>
        <v>19.42</v>
      </c>
      <c r="AT22" s="151">
        <v>86</v>
      </c>
      <c r="AU22" s="151">
        <v>47</v>
      </c>
      <c r="AV22" s="148" t="s">
        <v>503</v>
      </c>
      <c r="AW22" s="148" t="s">
        <v>291</v>
      </c>
      <c r="AX22" s="148" t="s">
        <v>291</v>
      </c>
      <c r="AY22" s="148" t="s">
        <v>291</v>
      </c>
      <c r="AZ22" s="148" t="s">
        <v>291</v>
      </c>
      <c r="BA22" s="154">
        <v>46042.7083333333</v>
      </c>
      <c r="BB22" s="154">
        <v>46262.7083333333</v>
      </c>
      <c r="BC22" s="155">
        <f>IF(OR(KOL_Database!$J$22="",KOL_Database!$J$22=0,KOL_Database!$L$22=""),"",ROUND(KOL_Database!$L$22/KOL_Database!$J$22,3))</f>
        <v>1.096</v>
      </c>
      <c r="BD22" s="151">
        <f>IF(OR(KOL_Database!$AP$22="",KOL_Database!$AP$22=0,Lookup_Lists!$D$149=0),"",MIN(100,ROUND(Lookup_Lists!$D$149/KOL_Database!$AP$22*100,0)))</f>
        <v>100</v>
      </c>
      <c r="BE22" s="151">
        <f>ROUND((IF(KOL_Database!$J$22="",0,1)+IF(KOL_Database!$K$22="",0,1)+IF(KOL_Database!$L$22="",0,1)+IF(KOL_Database!$M$22="",0,1)+IF(KOL_Database!$N$22="",0,1)+IF(KOL_Database!$O$22="",0,1)+IF(KOL_Database!$P$22="",0,1)+IF(KOL_Database!$R$22="",0,1)+IF(KOL_Database!$S$22="",0,1)+IF(KOL_Database!$AE$22="",0,1)+IF(KOL_Database!$AF$22="",0,1)+IF(KOL_Database!$AN$22="",0,1))/12*100,0)</f>
        <v>92</v>
      </c>
      <c r="BF22" s="148" t="str">
        <f>IF(KOL_Database!$BE$22&gt;=Lookup_Lists!$D$159,"Live",IF(KOL_Database!$BE$22&gt;=Lookup_Lists!$D$160,"Calculated","Estimated"))</f>
        <v>Calculated</v>
      </c>
    </row>
    <row r="23" spans="1:58">
      <c r="A23" s="148" t="s">
        <v>644</v>
      </c>
      <c r="B23" s="148" t="s">
        <v>645</v>
      </c>
      <c r="C23" s="148" t="s">
        <v>646</v>
      </c>
      <c r="D23" s="148" t="s">
        <v>391</v>
      </c>
      <c r="E23" s="148" t="s">
        <v>647</v>
      </c>
      <c r="F23" s="148" t="s">
        <v>648</v>
      </c>
      <c r="G23" s="148" t="str">
        <f>IFERROR(INDEX(Lookup_Lists!$A$96:$A$100,MATCH(KOL_Database!$J$23,Lookup_Lists!$B$96:$B$100,1)),"")</f>
        <v>Macro</v>
      </c>
      <c r="H23" s="148" t="s">
        <v>295</v>
      </c>
      <c r="I23" s="148" t="s">
        <v>649</v>
      </c>
      <c r="J23" s="149">
        <v>134000</v>
      </c>
      <c r="K23" s="150">
        <v>4.6</v>
      </c>
      <c r="L23" s="149">
        <v>45915</v>
      </c>
      <c r="M23" s="149">
        <v>35162</v>
      </c>
      <c r="N23" s="150">
        <v>0.7</v>
      </c>
      <c r="O23" s="150">
        <v>1.5</v>
      </c>
      <c r="P23" s="151">
        <v>52</v>
      </c>
      <c r="Q23" s="151">
        <v>47</v>
      </c>
      <c r="R23" s="151">
        <v>79</v>
      </c>
      <c r="S23" s="151">
        <v>66</v>
      </c>
      <c r="T23" s="152">
        <v>1.66</v>
      </c>
      <c r="U23" s="152">
        <v>2.96</v>
      </c>
      <c r="V23" s="151">
        <v>75</v>
      </c>
      <c r="W23" s="151">
        <v>1</v>
      </c>
      <c r="X23" s="151">
        <v>24</v>
      </c>
      <c r="Y23" s="151">
        <v>48</v>
      </c>
      <c r="Z23" s="151">
        <v>20</v>
      </c>
      <c r="AA23" s="151">
        <v>7</v>
      </c>
      <c r="AB23" s="151">
        <v>75</v>
      </c>
      <c r="AC23" s="151">
        <v>25</v>
      </c>
      <c r="AD23" s="148" t="s">
        <v>179</v>
      </c>
      <c r="AE23" s="148" t="s">
        <v>508</v>
      </c>
      <c r="AF23" s="148" t="s">
        <v>649</v>
      </c>
      <c r="AG23" s="148" t="s">
        <v>650</v>
      </c>
      <c r="AH23" s="148" t="s">
        <v>501</v>
      </c>
      <c r="AI23" s="148" t="s">
        <v>651</v>
      </c>
      <c r="AJ23" s="148" t="s">
        <v>233</v>
      </c>
      <c r="AK23" s="148" t="s">
        <v>275</v>
      </c>
      <c r="AL23" s="148" t="s">
        <v>652</v>
      </c>
      <c r="AM23" s="151">
        <v>81</v>
      </c>
      <c r="AN23" s="149">
        <v>4242000</v>
      </c>
      <c r="AO23" s="153">
        <f>IF(OR(KOL_Database!$AN$23="",KOL_Database!$AN$23=0,KOL_Database!$L$23="",KOL_Database!$L$23=0),"",ROUND(KOL_Database!$AN$23/KOL_Database!$L$23,2))</f>
        <v>92.39</v>
      </c>
      <c r="AP23" s="149">
        <f>IF(OR(KOL_Database!$AN$23="",KOL_Database!$AN$23=0,KOL_Database!$L$23="",KOL_Database!$L$23=0,KOL_Database!$K$23="",KOL_Database!$K$23=0),"",ROUND(KOL_Database!$AN$23/(KOL_Database!$L$23*KOL_Database!$K$23/100),0))</f>
        <v>2008</v>
      </c>
      <c r="AQ23" s="149">
        <f>IF(OR(KOL_Database!$AN$23="",KOL_Database!$AN$23=0,KOL_Database!$J$23="",KOL_Database!$J$23=0),"",ROUND(KOL_Database!$AN$23/KOL_Database!$J$23*1000,0))</f>
        <v>31657</v>
      </c>
      <c r="AR23" s="149">
        <f>IF(OR(KOL_Database!$L$23="",KOL_Database!$J$23=""),"",ROUND(KOL_Database!$L$23*Lookup_Lists!$D$147+KOL_Database!$J$23*Lookup_Lists!$D$148,0))</f>
        <v>68882</v>
      </c>
      <c r="AS23" s="152">
        <f>IF(OR(KOL_Database!$AN$23="",KOL_Database!$AN$23=0,KOL_Database!$AR$23=""),"",ROUND(KOL_Database!$AR$23*KOL_Database!$K$23/100*Lookup_Lists!$D$146/KOL_Database!$AN$23,2))</f>
        <v>6.72</v>
      </c>
      <c r="AT23" s="151">
        <v>86</v>
      </c>
      <c r="AU23" s="151">
        <v>48</v>
      </c>
      <c r="AV23" s="148" t="s">
        <v>503</v>
      </c>
      <c r="AW23" s="148" t="s">
        <v>291</v>
      </c>
      <c r="AX23" s="148" t="s">
        <v>291</v>
      </c>
      <c r="AY23" s="148" t="s">
        <v>291</v>
      </c>
      <c r="AZ23" s="148" t="s">
        <v>291</v>
      </c>
      <c r="BA23" s="154">
        <v>46079.7083333333</v>
      </c>
      <c r="BB23" s="154">
        <v>46255.7083333333</v>
      </c>
      <c r="BC23" s="155">
        <f>IF(OR(KOL_Database!$J$23="",KOL_Database!$J$23=0,KOL_Database!$L$23=""),"",ROUND(KOL_Database!$L$23/KOL_Database!$J$23,3))</f>
        <v>0.343</v>
      </c>
      <c r="BD23" s="151">
        <f>IF(OR(KOL_Database!$AP$23="",KOL_Database!$AP$23=0,Lookup_Lists!$D$149=0),"",MIN(100,ROUND(Lookup_Lists!$D$149/KOL_Database!$AP$23*100,0)))</f>
        <v>73</v>
      </c>
      <c r="BE23" s="151">
        <f>ROUND((IF(KOL_Database!$J$23="",0,1)+IF(KOL_Database!$K$23="",0,1)+IF(KOL_Database!$L$23="",0,1)+IF(KOL_Database!$M$23="",0,1)+IF(KOL_Database!$N$23="",0,1)+IF(KOL_Database!$O$23="",0,1)+IF(KOL_Database!$P$23="",0,1)+IF(KOL_Database!$R$23="",0,1)+IF(KOL_Database!$S$23="",0,1)+IF(KOL_Database!$AE$23="",0,1)+IF(KOL_Database!$AF$23="",0,1)+IF(KOL_Database!$AN$23="",0,1))/12*100,0)</f>
        <v>100</v>
      </c>
      <c r="BF23" s="148" t="str">
        <f>IF(KOL_Database!$BE$23&gt;=Lookup_Lists!$D$159,"Live",IF(KOL_Database!$BE$23&gt;=Lookup_Lists!$D$160,"Calculated","Estimated"))</f>
        <v>Live</v>
      </c>
    </row>
    <row r="24" spans="1:58">
      <c r="A24" s="148" t="s">
        <v>653</v>
      </c>
      <c r="B24" s="148" t="s">
        <v>654</v>
      </c>
      <c r="C24" s="148" t="s">
        <v>655</v>
      </c>
      <c r="D24" s="148" t="s">
        <v>392</v>
      </c>
      <c r="E24" s="148" t="s">
        <v>647</v>
      </c>
      <c r="F24" s="148" t="s">
        <v>656</v>
      </c>
      <c r="G24" s="148" t="str">
        <f>IFERROR(INDEX(Lookup_Lists!$A$96:$A$100,MATCH(KOL_Database!$J$24,Lookup_Lists!$B$96:$B$100,1)),"")</f>
        <v>Mid-tier</v>
      </c>
      <c r="H24" s="148" t="s">
        <v>291</v>
      </c>
      <c r="I24" s="148" t="s">
        <v>657</v>
      </c>
      <c r="J24" s="149">
        <v>89000</v>
      </c>
      <c r="K24" s="150">
        <v>5.4</v>
      </c>
      <c r="L24" s="149">
        <v>124509</v>
      </c>
      <c r="M24" s="149">
        <v>101100</v>
      </c>
      <c r="N24" s="150">
        <v>0.5</v>
      </c>
      <c r="O24" s="150">
        <v>1.7</v>
      </c>
      <c r="P24" s="151">
        <v>55</v>
      </c>
      <c r="Q24" s="151">
        <v>47</v>
      </c>
      <c r="R24" s="151">
        <v>85</v>
      </c>
      <c r="S24" s="151">
        <v>95</v>
      </c>
      <c r="T24" s="152">
        <v>1.74</v>
      </c>
      <c r="U24" s="152">
        <v>3.68</v>
      </c>
      <c r="V24" s="151">
        <v>86</v>
      </c>
      <c r="W24" s="151">
        <v>4</v>
      </c>
      <c r="X24" s="151">
        <v>15</v>
      </c>
      <c r="Y24" s="151">
        <v>36</v>
      </c>
      <c r="Z24" s="151">
        <v>29</v>
      </c>
      <c r="AA24" s="151">
        <v>16</v>
      </c>
      <c r="AB24" s="151">
        <v>53</v>
      </c>
      <c r="AC24" s="151">
        <v>47</v>
      </c>
      <c r="AD24" s="148" t="s">
        <v>179</v>
      </c>
      <c r="AE24" s="148" t="s">
        <v>508</v>
      </c>
      <c r="AF24" s="148" t="s">
        <v>657</v>
      </c>
      <c r="AG24" s="148" t="s">
        <v>658</v>
      </c>
      <c r="AH24" s="148" t="s">
        <v>510</v>
      </c>
      <c r="AI24" s="148" t="s">
        <v>659</v>
      </c>
      <c r="AJ24" s="148" t="s">
        <v>660</v>
      </c>
      <c r="AK24" s="148" t="s">
        <v>661</v>
      </c>
      <c r="AL24" s="148" t="s">
        <v>662</v>
      </c>
      <c r="AM24" s="151">
        <v>88</v>
      </c>
      <c r="AN24" s="149">
        <v>2239000</v>
      </c>
      <c r="AO24" s="153">
        <f>IF(OR(KOL_Database!$AN$24="",KOL_Database!$AN$24=0,KOL_Database!$L$24="",KOL_Database!$L$24=0),"",ROUND(KOL_Database!$AN$24/KOL_Database!$L$24,2))</f>
        <v>17.98</v>
      </c>
      <c r="AP24" s="149">
        <f>IF(OR(KOL_Database!$AN$24="",KOL_Database!$AN$24=0,KOL_Database!$L$24="",KOL_Database!$L$24=0,KOL_Database!$K$24="",KOL_Database!$K$24=0),"",ROUND(KOL_Database!$AN$24/(KOL_Database!$L$24*KOL_Database!$K$24/100),0))</f>
        <v>333</v>
      </c>
      <c r="AQ24" s="149">
        <f>IF(OR(KOL_Database!$AN$24="",KOL_Database!$AN$24=0,KOL_Database!$J$24="",KOL_Database!$J$24=0),"",ROUND(KOL_Database!$AN$24/KOL_Database!$J$24*1000,0))</f>
        <v>25157</v>
      </c>
      <c r="AR24" s="149">
        <f>IF(OR(KOL_Database!$L$24="",KOL_Database!$J$24=""),"",ROUND(KOL_Database!$L$24*Lookup_Lists!$D$147+KOL_Database!$J$24*Lookup_Lists!$D$148,0))</f>
        <v>153865</v>
      </c>
      <c r="AS24" s="152">
        <f>IF(OR(KOL_Database!$AN$24="",KOL_Database!$AN$24=0,KOL_Database!$AR$24=""),"",ROUND(KOL_Database!$AR$24*KOL_Database!$K$24/100*Lookup_Lists!$D$146/KOL_Database!$AN$24,2))</f>
        <v>33.4</v>
      </c>
      <c r="AT24" s="151">
        <v>92</v>
      </c>
      <c r="AU24" s="151">
        <v>58</v>
      </c>
      <c r="AV24" s="148" t="s">
        <v>503</v>
      </c>
      <c r="AW24" s="148" t="s">
        <v>291</v>
      </c>
      <c r="AX24" s="148" t="s">
        <v>291</v>
      </c>
      <c r="AY24" s="148" t="s">
        <v>291</v>
      </c>
      <c r="AZ24" s="148" t="s">
        <v>291</v>
      </c>
      <c r="BA24" s="154">
        <v>46166.7083333333</v>
      </c>
      <c r="BB24" s="154">
        <v>46241.7083333333</v>
      </c>
      <c r="BC24" s="155">
        <f>IF(OR(KOL_Database!$J$24="",KOL_Database!$J$24=0,KOL_Database!$L$24=""),"",ROUND(KOL_Database!$L$24/KOL_Database!$J$24,3))</f>
        <v>1.399</v>
      </c>
      <c r="BD24" s="151">
        <f>IF(OR(KOL_Database!$AP$24="",KOL_Database!$AP$24=0,Lookup_Lists!$D$149=0),"",MIN(100,ROUND(Lookup_Lists!$D$149/KOL_Database!$AP$24*100,0)))</f>
        <v>100</v>
      </c>
      <c r="BE24" s="151">
        <f>ROUND((IF(KOL_Database!$J$24="",0,1)+IF(KOL_Database!$K$24="",0,1)+IF(KOL_Database!$L$24="",0,1)+IF(KOL_Database!$M$24="",0,1)+IF(KOL_Database!$N$24="",0,1)+IF(KOL_Database!$O$24="",0,1)+IF(KOL_Database!$P$24="",0,1)+IF(KOL_Database!$R$24="",0,1)+IF(KOL_Database!$S$24="",0,1)+IF(KOL_Database!$AE$24="",0,1)+IF(KOL_Database!$AF$24="",0,1)+IF(KOL_Database!$AN$24="",0,1))/12*100,0)</f>
        <v>100</v>
      </c>
      <c r="BF24" s="148" t="str">
        <f>IF(KOL_Database!$BE$24&gt;=Lookup_Lists!$D$159,"Live",IF(KOL_Database!$BE$24&gt;=Lookup_Lists!$D$160,"Calculated","Estimated"))</f>
        <v>Live</v>
      </c>
    </row>
    <row r="25" spans="1:58">
      <c r="A25" s="148" t="s">
        <v>663</v>
      </c>
      <c r="B25" s="148" t="s">
        <v>664</v>
      </c>
      <c r="C25" s="148" t="s">
        <v>665</v>
      </c>
      <c r="D25" s="148" t="s">
        <v>392</v>
      </c>
      <c r="E25" s="148" t="s">
        <v>666</v>
      </c>
      <c r="F25" s="148" t="s">
        <v>667</v>
      </c>
      <c r="G25" s="148" t="str">
        <f>IFERROR(INDEX(Lookup_Lists!$A$96:$A$100,MATCH(KOL_Database!$J$25,Lookup_Lists!$B$96:$B$100,1)),"")</f>
        <v>Mega</v>
      </c>
      <c r="H25" s="148" t="s">
        <v>295</v>
      </c>
      <c r="I25" s="148" t="s">
        <v>188</v>
      </c>
      <c r="J25" s="149">
        <v>1240000</v>
      </c>
      <c r="K25" s="150">
        <v>9.2</v>
      </c>
      <c r="L25" s="149">
        <v>1287497</v>
      </c>
      <c r="M25" s="149">
        <v>977803</v>
      </c>
      <c r="N25" s="150">
        <v>2.2</v>
      </c>
      <c r="O25" s="150">
        <v>6.7</v>
      </c>
      <c r="P25" s="151">
        <v>63</v>
      </c>
      <c r="Q25" s="151">
        <v>52</v>
      </c>
      <c r="R25" s="151">
        <v>76</v>
      </c>
      <c r="S25" s="151">
        <v>83</v>
      </c>
      <c r="T25" s="152">
        <v>1.43</v>
      </c>
      <c r="U25" s="152">
        <v>2.34</v>
      </c>
      <c r="V25" s="151">
        <v>66</v>
      </c>
      <c r="W25" s="151">
        <v>12</v>
      </c>
      <c r="X25" s="151">
        <v>44</v>
      </c>
      <c r="Y25" s="151">
        <v>30</v>
      </c>
      <c r="Z25" s="151">
        <v>10</v>
      </c>
      <c r="AA25" s="151">
        <v>4</v>
      </c>
      <c r="AB25" s="151">
        <v>46</v>
      </c>
      <c r="AC25" s="151">
        <v>54</v>
      </c>
      <c r="AD25" s="148" t="s">
        <v>179</v>
      </c>
      <c r="AE25" s="148" t="s">
        <v>184</v>
      </c>
      <c r="AF25" s="148" t="s">
        <v>184</v>
      </c>
      <c r="AG25" s="148" t="s">
        <v>668</v>
      </c>
      <c r="AH25" s="148" t="s">
        <v>534</v>
      </c>
      <c r="AI25" s="148" t="s">
        <v>669</v>
      </c>
      <c r="AJ25" s="148" t="s">
        <v>667</v>
      </c>
      <c r="AK25" s="148" t="s">
        <v>661</v>
      </c>
      <c r="AL25" s="148" t="s">
        <v>670</v>
      </c>
      <c r="AM25" s="151">
        <v>75</v>
      </c>
      <c r="AN25" s="149">
        <v>65830000</v>
      </c>
      <c r="AO25" s="153">
        <f>IF(OR(KOL_Database!$AN$25="",KOL_Database!$AN$25=0,KOL_Database!$L$25="",KOL_Database!$L$25=0),"",ROUND(KOL_Database!$AN$25/KOL_Database!$L$25,2))</f>
        <v>51.13</v>
      </c>
      <c r="AP25" s="149">
        <f>IF(OR(KOL_Database!$AN$25="",KOL_Database!$AN$25=0,KOL_Database!$L$25="",KOL_Database!$L$25=0,KOL_Database!$K$25="",KOL_Database!$K$25=0),"",ROUND(KOL_Database!$AN$25/(KOL_Database!$L$25*KOL_Database!$K$25/100),0))</f>
        <v>556</v>
      </c>
      <c r="AQ25" s="149">
        <f>IF(OR(KOL_Database!$AN$25="",KOL_Database!$AN$25=0,KOL_Database!$J$25="",KOL_Database!$J$25=0),"",ROUND(KOL_Database!$AN$25/KOL_Database!$J$25*1000,0))</f>
        <v>53089</v>
      </c>
      <c r="AR25" s="149">
        <f>IF(OR(KOL_Database!$L$25="",KOL_Database!$J$25=""),"",ROUND(KOL_Database!$L$25*Lookup_Lists!$D$147+KOL_Database!$J$25*Lookup_Lists!$D$148,0))</f>
        <v>1629422</v>
      </c>
      <c r="AS25" s="152">
        <f>IF(OR(KOL_Database!$AN$25="",KOL_Database!$AN$25=0,KOL_Database!$AR$25=""),"",ROUND(KOL_Database!$AR$25*KOL_Database!$K$25/100*Lookup_Lists!$D$146/KOL_Database!$AN$25,2))</f>
        <v>20.49</v>
      </c>
      <c r="AT25" s="151">
        <v>62</v>
      </c>
      <c r="AU25" s="151">
        <v>88</v>
      </c>
      <c r="AV25" s="148" t="s">
        <v>510</v>
      </c>
      <c r="AW25" s="148" t="s">
        <v>291</v>
      </c>
      <c r="AX25" s="148" t="s">
        <v>291</v>
      </c>
      <c r="AY25" s="148" t="s">
        <v>291</v>
      </c>
      <c r="AZ25" s="148" t="s">
        <v>291</v>
      </c>
      <c r="BA25" s="154">
        <v>46071.7083333333</v>
      </c>
      <c r="BB25" s="154">
        <v>46236.7083333333</v>
      </c>
      <c r="BC25" s="155">
        <f>IF(OR(KOL_Database!$J$25="",KOL_Database!$J$25=0,KOL_Database!$L$25=""),"",ROUND(KOL_Database!$L$25/KOL_Database!$J$25,3))</f>
        <v>1.038</v>
      </c>
      <c r="BD25" s="151">
        <f>IF(OR(KOL_Database!$AP$25="",KOL_Database!$AP$25=0,Lookup_Lists!$D$149=0),"",MIN(100,ROUND(Lookup_Lists!$D$149/KOL_Database!$AP$25*100,0)))</f>
        <v>100</v>
      </c>
      <c r="BE25" s="151">
        <f>ROUND((IF(KOL_Database!$J$25="",0,1)+IF(KOL_Database!$K$25="",0,1)+IF(KOL_Database!$L$25="",0,1)+IF(KOL_Database!$M$25="",0,1)+IF(KOL_Database!$N$25="",0,1)+IF(KOL_Database!$O$25="",0,1)+IF(KOL_Database!$P$25="",0,1)+IF(KOL_Database!$R$25="",0,1)+IF(KOL_Database!$S$25="",0,1)+IF(KOL_Database!$AE$25="",0,1)+IF(KOL_Database!$AF$25="",0,1)+IF(KOL_Database!$AN$25="",0,1))/12*100,0)</f>
        <v>100</v>
      </c>
      <c r="BF25" s="148" t="str">
        <f>IF(KOL_Database!$BE$25&gt;=Lookup_Lists!$D$159,"Live",IF(KOL_Database!$BE$25&gt;=Lookup_Lists!$D$160,"Calculated","Estimated"))</f>
        <v>Live</v>
      </c>
    </row>
    <row r="26" spans="1:58">
      <c r="A26" s="148" t="s">
        <v>671</v>
      </c>
      <c r="B26" s="148" t="s">
        <v>672</v>
      </c>
      <c r="C26" s="148" t="s">
        <v>673</v>
      </c>
      <c r="D26" s="148" t="s">
        <v>391</v>
      </c>
      <c r="E26" s="148" t="s">
        <v>666</v>
      </c>
      <c r="F26" s="148" t="s">
        <v>674</v>
      </c>
      <c r="G26" s="148" t="str">
        <f>IFERROR(INDEX(Lookup_Lists!$A$96:$A$100,MATCH(KOL_Database!$J$26,Lookup_Lists!$B$96:$B$100,1)),"")</f>
        <v>Macro</v>
      </c>
      <c r="H26" s="148" t="s">
        <v>295</v>
      </c>
      <c r="I26" s="148" t="s">
        <v>188</v>
      </c>
      <c r="J26" s="149">
        <v>420000</v>
      </c>
      <c r="K26" s="150">
        <v>3.6</v>
      </c>
      <c r="L26" s="149">
        <v>129874</v>
      </c>
      <c r="M26" s="149">
        <v>96335</v>
      </c>
      <c r="N26" s="150">
        <v>2.4</v>
      </c>
      <c r="O26" s="150">
        <v>5.7</v>
      </c>
      <c r="P26" s="151">
        <v>74</v>
      </c>
      <c r="Q26" s="151">
        <v>69</v>
      </c>
      <c r="R26" s="151">
        <v>75</v>
      </c>
      <c r="S26" s="151">
        <v>74</v>
      </c>
      <c r="T26" s="152">
        <v>1.14</v>
      </c>
      <c r="U26" s="152">
        <v>2.58</v>
      </c>
      <c r="V26" s="151">
        <v>72</v>
      </c>
      <c r="W26" s="151">
        <v>11</v>
      </c>
      <c r="X26" s="151">
        <v>47</v>
      </c>
      <c r="Y26" s="151">
        <v>31</v>
      </c>
      <c r="Z26" s="151">
        <v>9</v>
      </c>
      <c r="AA26" s="151">
        <v>2</v>
      </c>
      <c r="AB26" s="151">
        <v>66</v>
      </c>
      <c r="AC26" s="151">
        <v>34</v>
      </c>
      <c r="AD26" s="148" t="s">
        <v>179</v>
      </c>
      <c r="AE26" s="148" t="s">
        <v>184</v>
      </c>
      <c r="AF26" s="148" t="s">
        <v>188</v>
      </c>
      <c r="AG26" s="148" t="s">
        <v>675</v>
      </c>
      <c r="AH26" s="148" t="s">
        <v>534</v>
      </c>
      <c r="AI26" s="148" t="s">
        <v>676</v>
      </c>
      <c r="AJ26" s="148" t="s">
        <v>601</v>
      </c>
      <c r="AK26" s="148" t="s">
        <v>402</v>
      </c>
      <c r="AL26" s="148" t="s">
        <v>677</v>
      </c>
      <c r="AM26" s="151">
        <v>78</v>
      </c>
      <c r="AN26" s="149">
        <v>16589000</v>
      </c>
      <c r="AO26" s="153">
        <f>IF(OR(KOL_Database!$AN$26="",KOL_Database!$AN$26=0,KOL_Database!$L$26="",KOL_Database!$L$26=0),"",ROUND(KOL_Database!$AN$26/KOL_Database!$L$26,2))</f>
        <v>127.73</v>
      </c>
      <c r="AP26" s="149">
        <f>IF(OR(KOL_Database!$AN$26="",KOL_Database!$AN$26=0,KOL_Database!$L$26="",KOL_Database!$L$26=0,KOL_Database!$K$26="",KOL_Database!$K$26=0),"",ROUND(KOL_Database!$AN$26/(KOL_Database!$L$26*KOL_Database!$K$26/100),0))</f>
        <v>3548</v>
      </c>
      <c r="AQ26" s="149">
        <f>IF(OR(KOL_Database!$AN$26="",KOL_Database!$AN$26=0,KOL_Database!$J$26="",KOL_Database!$J$26=0),"",ROUND(KOL_Database!$AN$26/KOL_Database!$J$26*1000,0))</f>
        <v>39498</v>
      </c>
      <c r="AR26" s="149">
        <f>IF(OR(KOL_Database!$L$26="",KOL_Database!$J$26=""),"",ROUND(KOL_Database!$L$26*Lookup_Lists!$D$147+KOL_Database!$J$26*Lookup_Lists!$D$148,0))</f>
        <v>199755</v>
      </c>
      <c r="AS26" s="152">
        <f>IF(OR(KOL_Database!$AN$26="",KOL_Database!$AN$26=0,KOL_Database!$AR$26=""),"",ROUND(KOL_Database!$AR$26*KOL_Database!$K$26/100*Lookup_Lists!$D$146/KOL_Database!$AN$26,2))</f>
        <v>3.9</v>
      </c>
      <c r="AT26" s="151">
        <v>55</v>
      </c>
      <c r="AU26" s="151">
        <v>40</v>
      </c>
      <c r="AV26" s="148" t="s">
        <v>501</v>
      </c>
      <c r="AW26" s="148" t="s">
        <v>291</v>
      </c>
      <c r="AX26" s="148" t="s">
        <v>291</v>
      </c>
      <c r="AY26" s="148" t="s">
        <v>291</v>
      </c>
      <c r="AZ26" s="148" t="s">
        <v>295</v>
      </c>
      <c r="BA26" s="154">
        <v>46113.7083333333</v>
      </c>
      <c r="BB26" s="154">
        <v>46271.7083333333</v>
      </c>
      <c r="BC26" s="155">
        <f>IF(OR(KOL_Database!$J$26="",KOL_Database!$J$26=0,KOL_Database!$L$26=""),"",ROUND(KOL_Database!$L$26/KOL_Database!$J$26,3))</f>
        <v>0.309</v>
      </c>
      <c r="BD26" s="151">
        <f>IF(OR(KOL_Database!$AP$26="",KOL_Database!$AP$26=0,Lookup_Lists!$D$149=0),"",MIN(100,ROUND(Lookup_Lists!$D$149/KOL_Database!$AP$26*100,0)))</f>
        <v>42</v>
      </c>
      <c r="BE26" s="151">
        <f>ROUND((IF(KOL_Database!$J$26="",0,1)+IF(KOL_Database!$K$26="",0,1)+IF(KOL_Database!$L$26="",0,1)+IF(KOL_Database!$M$26="",0,1)+IF(KOL_Database!$N$26="",0,1)+IF(KOL_Database!$O$26="",0,1)+IF(KOL_Database!$P$26="",0,1)+IF(KOL_Database!$R$26="",0,1)+IF(KOL_Database!$S$26="",0,1)+IF(KOL_Database!$AE$26="",0,1)+IF(KOL_Database!$AF$26="",0,1)+IF(KOL_Database!$AN$26="",0,1))/12*100,0)</f>
        <v>100</v>
      </c>
      <c r="BF26" s="148" t="str">
        <f>IF(KOL_Database!$BE$26&gt;=Lookup_Lists!$D$159,"Live",IF(KOL_Database!$BE$26&gt;=Lookup_Lists!$D$160,"Calculated","Estimated"))</f>
        <v>Live</v>
      </c>
    </row>
    <row r="27" spans="1:58">
      <c r="A27" s="148" t="s">
        <v>678</v>
      </c>
      <c r="B27" s="148" t="s">
        <v>679</v>
      </c>
      <c r="C27" s="148" t="s">
        <v>680</v>
      </c>
      <c r="D27" s="148" t="s">
        <v>392</v>
      </c>
      <c r="E27" s="148" t="s">
        <v>681</v>
      </c>
      <c r="F27" s="148" t="s">
        <v>682</v>
      </c>
      <c r="G27" s="148" t="str">
        <f>IFERROR(INDEX(Lookup_Lists!$A$96:$A$100,MATCH(KOL_Database!$J$27,Lookup_Lists!$B$96:$B$100,1)),"")</f>
        <v>Macro</v>
      </c>
      <c r="H27" s="148" t="s">
        <v>295</v>
      </c>
      <c r="I27" s="148" t="s">
        <v>523</v>
      </c>
      <c r="J27" s="149">
        <v>640000</v>
      </c>
      <c r="K27" s="150">
        <v>7.8</v>
      </c>
      <c r="L27" s="149">
        <v>579030</v>
      </c>
      <c r="M27" s="149">
        <v>417940</v>
      </c>
      <c r="N27" s="150">
        <v>3.2</v>
      </c>
      <c r="O27" s="150">
        <v>8.1</v>
      </c>
      <c r="P27" s="151">
        <v>93</v>
      </c>
      <c r="Q27" s="151">
        <v>48</v>
      </c>
      <c r="R27" s="151">
        <v>73</v>
      </c>
      <c r="S27" s="151">
        <v>80</v>
      </c>
      <c r="T27" s="152">
        <v>1.25</v>
      </c>
      <c r="U27" s="152">
        <v>2.27</v>
      </c>
      <c r="V27" s="151">
        <v>67</v>
      </c>
      <c r="W27" s="151">
        <v>13</v>
      </c>
      <c r="X27" s="151">
        <v>42</v>
      </c>
      <c r="Y27" s="151">
        <v>29</v>
      </c>
      <c r="Z27" s="151">
        <v>11</v>
      </c>
      <c r="AA27" s="151">
        <v>5</v>
      </c>
      <c r="AB27" s="151">
        <v>28</v>
      </c>
      <c r="AC27" s="151">
        <v>72</v>
      </c>
      <c r="AD27" s="148" t="s">
        <v>179</v>
      </c>
      <c r="AE27" s="148" t="s">
        <v>184</v>
      </c>
      <c r="AF27" s="148" t="s">
        <v>523</v>
      </c>
      <c r="AG27" s="148" t="s">
        <v>683</v>
      </c>
      <c r="AH27" s="148" t="s">
        <v>510</v>
      </c>
      <c r="AI27" s="148" t="s">
        <v>684</v>
      </c>
      <c r="AJ27" s="148" t="s">
        <v>660</v>
      </c>
      <c r="AK27" s="148" t="s">
        <v>660</v>
      </c>
      <c r="AL27" s="148" t="s">
        <v>685</v>
      </c>
      <c r="AM27" s="151">
        <v>75</v>
      </c>
      <c r="AN27" s="149">
        <v>29793000</v>
      </c>
      <c r="AO27" s="153">
        <f>IF(OR(KOL_Database!$AN$27="",KOL_Database!$AN$27=0,KOL_Database!$L$27="",KOL_Database!$L$27=0),"",ROUND(KOL_Database!$AN$27/KOL_Database!$L$27,2))</f>
        <v>51.45</v>
      </c>
      <c r="AP27" s="149">
        <f>IF(OR(KOL_Database!$AN$27="",KOL_Database!$AN$27=0,KOL_Database!$L$27="",KOL_Database!$L$27=0,KOL_Database!$K$27="",KOL_Database!$K$27=0),"",ROUND(KOL_Database!$AN$27/(KOL_Database!$L$27*KOL_Database!$K$27/100),0))</f>
        <v>660</v>
      </c>
      <c r="AQ27" s="149">
        <f>IF(OR(KOL_Database!$AN$27="",KOL_Database!$AN$27=0,KOL_Database!$J$27="",KOL_Database!$J$27=0),"",ROUND(KOL_Database!$AN$27/KOL_Database!$J$27*1000,0))</f>
        <v>46552</v>
      </c>
      <c r="AR27" s="149">
        <f>IF(OR(KOL_Database!$L$27="",KOL_Database!$J$27=""),"",ROUND(KOL_Database!$L$27*Lookup_Lists!$D$147+KOL_Database!$J$27*Lookup_Lists!$D$148,0))</f>
        <v>742685</v>
      </c>
      <c r="AS27" s="152">
        <f>IF(OR(KOL_Database!$AN$27="",KOL_Database!$AN$27=0,KOL_Database!$AR$27=""),"",ROUND(KOL_Database!$AR$27*KOL_Database!$K$27/100*Lookup_Lists!$D$146/KOL_Database!$AN$27,2))</f>
        <v>17.5</v>
      </c>
      <c r="AT27" s="151">
        <v>82</v>
      </c>
      <c r="AU27" s="151">
        <v>35</v>
      </c>
      <c r="AV27" s="148" t="s">
        <v>503</v>
      </c>
      <c r="AW27" s="148" t="s">
        <v>291</v>
      </c>
      <c r="AX27" s="148" t="s">
        <v>295</v>
      </c>
      <c r="AY27" s="148" t="s">
        <v>291</v>
      </c>
      <c r="AZ27" s="148" t="s">
        <v>291</v>
      </c>
      <c r="BA27" s="154">
        <v>46112.7083333333</v>
      </c>
      <c r="BB27" s="154">
        <v>46255.7083333333</v>
      </c>
      <c r="BC27" s="155">
        <f>IF(OR(KOL_Database!$J$27="",KOL_Database!$J$27=0,KOL_Database!$L$27=""),"",ROUND(KOL_Database!$L$27/KOL_Database!$J$27,3))</f>
        <v>0.905</v>
      </c>
      <c r="BD27" s="151">
        <f>IF(OR(KOL_Database!$AP$27="",KOL_Database!$AP$27=0,Lookup_Lists!$D$149=0),"",MIN(100,ROUND(Lookup_Lists!$D$149/KOL_Database!$AP$27*100,0)))</f>
        <v>100</v>
      </c>
      <c r="BE27" s="151">
        <f>ROUND((IF(KOL_Database!$J$27="",0,1)+IF(KOL_Database!$K$27="",0,1)+IF(KOL_Database!$L$27="",0,1)+IF(KOL_Database!$M$27="",0,1)+IF(KOL_Database!$N$27="",0,1)+IF(KOL_Database!$O$27="",0,1)+IF(KOL_Database!$P$27="",0,1)+IF(KOL_Database!$R$27="",0,1)+IF(KOL_Database!$S$27="",0,1)+IF(KOL_Database!$AE$27="",0,1)+IF(KOL_Database!$AF$27="",0,1)+IF(KOL_Database!$AN$27="",0,1))/12*100,0)</f>
        <v>100</v>
      </c>
      <c r="BF27" s="148" t="str">
        <f>IF(KOL_Database!$BE$27&gt;=Lookup_Lists!$D$159,"Live",IF(KOL_Database!$BE$27&gt;=Lookup_Lists!$D$160,"Calculated","Estimated"))</f>
        <v>Live</v>
      </c>
    </row>
    <row r="28" spans="1:58">
      <c r="A28" s="148" t="s">
        <v>686</v>
      </c>
      <c r="B28" s="148" t="s">
        <v>687</v>
      </c>
      <c r="C28" s="148" t="s">
        <v>688</v>
      </c>
      <c r="D28" s="148" t="s">
        <v>391</v>
      </c>
      <c r="E28" s="148" t="s">
        <v>681</v>
      </c>
      <c r="F28" s="148" t="s">
        <v>689</v>
      </c>
      <c r="G28" s="148" t="str">
        <f>IFERROR(INDEX(Lookup_Lists!$A$96:$A$100,MATCH(KOL_Database!$J$28,Lookup_Lists!$B$96:$B$100,1)),"")</f>
        <v>Mid-tier</v>
      </c>
      <c r="H28" s="148" t="s">
        <v>291</v>
      </c>
      <c r="I28" s="148" t="s">
        <v>690</v>
      </c>
      <c r="J28" s="149">
        <v>51000</v>
      </c>
      <c r="K28" s="150">
        <v>4.2</v>
      </c>
      <c r="L28" s="149">
        <v>15813</v>
      </c>
      <c r="M28" s="149">
        <v>11551</v>
      </c>
      <c r="N28" s="150">
        <v>3.5</v>
      </c>
      <c r="O28" s="150">
        <v>9.2</v>
      </c>
      <c r="P28" s="151">
        <v>62</v>
      </c>
      <c r="Q28" s="151">
        <v>58</v>
      </c>
      <c r="R28" s="151">
        <v>74</v>
      </c>
      <c r="S28" s="151">
        <v>74</v>
      </c>
      <c r="T28" s="152">
        <v>1.36</v>
      </c>
      <c r="U28" s="152">
        <v>2.4</v>
      </c>
      <c r="V28" s="151">
        <v>67</v>
      </c>
      <c r="W28" s="151">
        <v>8</v>
      </c>
      <c r="X28" s="151">
        <v>38</v>
      </c>
      <c r="Y28" s="151">
        <v>34</v>
      </c>
      <c r="Z28" s="151">
        <v>14</v>
      </c>
      <c r="AA28" s="151">
        <v>6</v>
      </c>
      <c r="AB28" s="151">
        <v>29</v>
      </c>
      <c r="AC28" s="151">
        <v>71</v>
      </c>
      <c r="AD28" s="148" t="s">
        <v>179</v>
      </c>
      <c r="AE28" s="148" t="s">
        <v>691</v>
      </c>
      <c r="AF28" s="148"/>
      <c r="AG28" s="148" t="s">
        <v>692</v>
      </c>
      <c r="AH28" s="148" t="s">
        <v>501</v>
      </c>
      <c r="AI28" s="148" t="s">
        <v>693</v>
      </c>
      <c r="AJ28" s="148" t="s">
        <v>583</v>
      </c>
      <c r="AK28" s="148" t="s">
        <v>694</v>
      </c>
      <c r="AL28" s="148" t="s">
        <v>695</v>
      </c>
      <c r="AM28" s="151">
        <v>76</v>
      </c>
      <c r="AN28" s="149">
        <v>2350000</v>
      </c>
      <c r="AO28" s="153">
        <f>IF(OR(KOL_Database!$AN$28="",KOL_Database!$AN$28=0,KOL_Database!$L$28="",KOL_Database!$L$28=0),"",ROUND(KOL_Database!$AN$28/KOL_Database!$L$28,2))</f>
        <v>148.61</v>
      </c>
      <c r="AP28" s="149">
        <f>IF(OR(KOL_Database!$AN$28="",KOL_Database!$AN$28=0,KOL_Database!$L$28="",KOL_Database!$L$28=0,KOL_Database!$K$28="",KOL_Database!$K$28=0),"",ROUND(KOL_Database!$AN$28/(KOL_Database!$L$28*KOL_Database!$K$28/100),0))</f>
        <v>3538</v>
      </c>
      <c r="AQ28" s="149">
        <f>IF(OR(KOL_Database!$AN$28="",KOL_Database!$AN$28=0,KOL_Database!$J$28="",KOL_Database!$J$28=0),"",ROUND(KOL_Database!$AN$28/KOL_Database!$J$28*1000,0))</f>
        <v>46078</v>
      </c>
      <c r="AR28" s="149">
        <f>IF(OR(KOL_Database!$L$28="",KOL_Database!$J$28=""),"",ROUND(KOL_Database!$L$28*Lookup_Lists!$D$147+KOL_Database!$J$28*Lookup_Lists!$D$148,0))</f>
        <v>24305</v>
      </c>
      <c r="AS28" s="152">
        <f>IF(OR(KOL_Database!$AN$28="",KOL_Database!$AN$28=0,KOL_Database!$AR$28=""),"",ROUND(KOL_Database!$AR$28*KOL_Database!$K$28/100*Lookup_Lists!$D$146/KOL_Database!$AN$28,2))</f>
        <v>3.91</v>
      </c>
      <c r="AT28" s="151">
        <v>82</v>
      </c>
      <c r="AU28" s="151">
        <v>38</v>
      </c>
      <c r="AV28" s="148" t="s">
        <v>503</v>
      </c>
      <c r="AW28" s="148" t="s">
        <v>291</v>
      </c>
      <c r="AX28" s="148" t="s">
        <v>291</v>
      </c>
      <c r="AY28" s="148" t="s">
        <v>291</v>
      </c>
      <c r="AZ28" s="148" t="s">
        <v>291</v>
      </c>
      <c r="BA28" s="154">
        <v>46169.7083333333</v>
      </c>
      <c r="BB28" s="154">
        <v>46270.7083333333</v>
      </c>
      <c r="BC28" s="155">
        <f>IF(OR(KOL_Database!$J$28="",KOL_Database!$J$28=0,KOL_Database!$L$28=""),"",ROUND(KOL_Database!$L$28/KOL_Database!$J$28,3))</f>
        <v>0.31</v>
      </c>
      <c r="BD28" s="151">
        <f>IF(OR(KOL_Database!$AP$28="",KOL_Database!$AP$28=0,Lookup_Lists!$D$149=0),"",MIN(100,ROUND(Lookup_Lists!$D$149/KOL_Database!$AP$28*100,0)))</f>
        <v>42</v>
      </c>
      <c r="BE28" s="151">
        <f>ROUND((IF(KOL_Database!$J$28="",0,1)+IF(KOL_Database!$K$28="",0,1)+IF(KOL_Database!$L$28="",0,1)+IF(KOL_Database!$M$28="",0,1)+IF(KOL_Database!$N$28="",0,1)+IF(KOL_Database!$O$28="",0,1)+IF(KOL_Database!$P$28="",0,1)+IF(KOL_Database!$R$28="",0,1)+IF(KOL_Database!$S$28="",0,1)+IF(KOL_Database!$AE$28="",0,1)+IF(KOL_Database!$AF$28="",0,1)+IF(KOL_Database!$AN$28="",0,1))/12*100,0)</f>
        <v>92</v>
      </c>
      <c r="BF28" s="148" t="str">
        <f>IF(KOL_Database!$BE$28&gt;=Lookup_Lists!$D$159,"Live",IF(KOL_Database!$BE$28&gt;=Lookup_Lists!$D$160,"Calculated","Estimated"))</f>
        <v>Calculated</v>
      </c>
    </row>
    <row r="29" spans="1:58">
      <c r="A29" s="148" t="s">
        <v>696</v>
      </c>
      <c r="B29" s="148" t="s">
        <v>697</v>
      </c>
      <c r="C29" s="148" t="s">
        <v>698</v>
      </c>
      <c r="D29" s="148" t="s">
        <v>392</v>
      </c>
      <c r="E29" s="148" t="s">
        <v>699</v>
      </c>
      <c r="F29" s="148" t="s">
        <v>700</v>
      </c>
      <c r="G29" s="148" t="str">
        <f>IFERROR(INDEX(Lookup_Lists!$A$96:$A$100,MATCH(KOL_Database!$J$29,Lookup_Lists!$B$96:$B$100,1)),"")</f>
        <v>Macro</v>
      </c>
      <c r="H29" s="148" t="s">
        <v>291</v>
      </c>
      <c r="I29" s="148" t="s">
        <v>657</v>
      </c>
      <c r="J29" s="149">
        <v>228000</v>
      </c>
      <c r="K29" s="150">
        <v>5.1</v>
      </c>
      <c r="L29" s="149">
        <v>238888</v>
      </c>
      <c r="M29" s="149">
        <v>174098</v>
      </c>
      <c r="N29" s="150">
        <v>7.3</v>
      </c>
      <c r="O29" s="150">
        <v>19.6</v>
      </c>
      <c r="P29" s="151">
        <v>64</v>
      </c>
      <c r="Q29" s="151">
        <v>58</v>
      </c>
      <c r="R29" s="151">
        <v>73</v>
      </c>
      <c r="S29" s="151">
        <v>79</v>
      </c>
      <c r="T29" s="152">
        <v>0.86</v>
      </c>
      <c r="U29" s="152">
        <v>1.86</v>
      </c>
      <c r="V29" s="151">
        <v>65</v>
      </c>
      <c r="W29" s="151">
        <v>6</v>
      </c>
      <c r="X29" s="151">
        <v>40</v>
      </c>
      <c r="Y29" s="151">
        <v>37</v>
      </c>
      <c r="Z29" s="151">
        <v>13</v>
      </c>
      <c r="AA29" s="151">
        <v>4</v>
      </c>
      <c r="AB29" s="151">
        <v>22</v>
      </c>
      <c r="AC29" s="151">
        <v>78</v>
      </c>
      <c r="AD29" s="148" t="s">
        <v>179</v>
      </c>
      <c r="AE29" s="148" t="s">
        <v>508</v>
      </c>
      <c r="AF29" s="148" t="s">
        <v>657</v>
      </c>
      <c r="AG29" s="148" t="s">
        <v>701</v>
      </c>
      <c r="AH29" s="148" t="s">
        <v>510</v>
      </c>
      <c r="AI29" s="148" t="s">
        <v>702</v>
      </c>
      <c r="AJ29" s="148" t="s">
        <v>617</v>
      </c>
      <c r="AK29" s="148" t="s">
        <v>642</v>
      </c>
      <c r="AL29" s="148" t="s">
        <v>703</v>
      </c>
      <c r="AM29" s="151">
        <v>70</v>
      </c>
      <c r="AN29" s="149">
        <v>11066000</v>
      </c>
      <c r="AO29" s="153">
        <f>IF(OR(KOL_Database!$AN$29="",KOL_Database!$AN$29=0,KOL_Database!$L$29="",KOL_Database!$L$29=0),"",ROUND(KOL_Database!$AN$29/KOL_Database!$L$29,2))</f>
        <v>46.32</v>
      </c>
      <c r="AP29" s="149">
        <f>IF(OR(KOL_Database!$AN$29="",KOL_Database!$AN$29=0,KOL_Database!$L$29="",KOL_Database!$L$29=0,KOL_Database!$K$29="",KOL_Database!$K$29=0),"",ROUND(KOL_Database!$AN$29/(KOL_Database!$L$29*KOL_Database!$K$29/100),0))</f>
        <v>908</v>
      </c>
      <c r="AQ29" s="149">
        <f>IF(OR(KOL_Database!$AN$29="",KOL_Database!$AN$29=0,KOL_Database!$J$29="",KOL_Database!$J$29=0),"",ROUND(KOL_Database!$AN$29/KOL_Database!$J$29*1000,0))</f>
        <v>48535</v>
      </c>
      <c r="AR29" s="149">
        <f>IF(OR(KOL_Database!$L$29="",KOL_Database!$J$29=""),"",ROUND(KOL_Database!$L$29*Lookup_Lists!$D$147+KOL_Database!$J$29*Lookup_Lists!$D$148,0))</f>
        <v>302081</v>
      </c>
      <c r="AS29" s="152">
        <f>IF(OR(KOL_Database!$AN$29="",KOL_Database!$AN$29=0,KOL_Database!$AR$29=""),"",ROUND(KOL_Database!$AR$29*KOL_Database!$K$29/100*Lookup_Lists!$D$146/KOL_Database!$AN$29,2))</f>
        <v>12.53</v>
      </c>
      <c r="AT29" s="151">
        <v>80</v>
      </c>
      <c r="AU29" s="151">
        <v>28</v>
      </c>
      <c r="AV29" s="148" t="s">
        <v>534</v>
      </c>
      <c r="AW29" s="148" t="s">
        <v>291</v>
      </c>
      <c r="AX29" s="148" t="s">
        <v>291</v>
      </c>
      <c r="AY29" s="148" t="s">
        <v>291</v>
      </c>
      <c r="AZ29" s="148" t="s">
        <v>291</v>
      </c>
      <c r="BA29" s="154">
        <v>46192.7083333333</v>
      </c>
      <c r="BB29" s="154">
        <v>46241.7083333333</v>
      </c>
      <c r="BC29" s="155">
        <f>IF(OR(KOL_Database!$J$29="",KOL_Database!$J$29=0,KOL_Database!$L$29=""),"",ROUND(KOL_Database!$L$29/KOL_Database!$J$29,3))</f>
        <v>1.048</v>
      </c>
      <c r="BD29" s="151">
        <f>IF(OR(KOL_Database!$AP$29="",KOL_Database!$AP$29=0,Lookup_Lists!$D$149=0),"",MIN(100,ROUND(Lookup_Lists!$D$149/KOL_Database!$AP$29*100,0)))</f>
        <v>100</v>
      </c>
      <c r="BE29" s="151">
        <f>ROUND((IF(KOL_Database!$J$29="",0,1)+IF(KOL_Database!$K$29="",0,1)+IF(KOL_Database!$L$29="",0,1)+IF(KOL_Database!$M$29="",0,1)+IF(KOL_Database!$N$29="",0,1)+IF(KOL_Database!$O$29="",0,1)+IF(KOL_Database!$P$29="",0,1)+IF(KOL_Database!$R$29="",0,1)+IF(KOL_Database!$S$29="",0,1)+IF(KOL_Database!$AE$29="",0,1)+IF(KOL_Database!$AF$29="",0,1)+IF(KOL_Database!$AN$29="",0,1))/12*100,0)</f>
        <v>100</v>
      </c>
      <c r="BF29" s="148" t="str">
        <f>IF(KOL_Database!$BE$29&gt;=Lookup_Lists!$D$159,"Live",IF(KOL_Database!$BE$29&gt;=Lookup_Lists!$D$160,"Calculated","Estimated"))</f>
        <v>Live</v>
      </c>
    </row>
    <row r="30" spans="1:58">
      <c r="A30" s="148" t="s">
        <v>704</v>
      </c>
      <c r="B30" s="148" t="s">
        <v>705</v>
      </c>
      <c r="C30" s="148" t="s">
        <v>706</v>
      </c>
      <c r="D30" s="148" t="s">
        <v>391</v>
      </c>
      <c r="E30" s="148" t="s">
        <v>699</v>
      </c>
      <c r="F30" s="148" t="s">
        <v>707</v>
      </c>
      <c r="G30" s="148" t="str">
        <f>IFERROR(INDEX(Lookup_Lists!$A$96:$A$100,MATCH(KOL_Database!$J$30,Lookup_Lists!$B$96:$B$100,1)),"")</f>
        <v>Mid-tier</v>
      </c>
      <c r="H30" s="148" t="s">
        <v>295</v>
      </c>
      <c r="I30" s="148" t="s">
        <v>188</v>
      </c>
      <c r="J30" s="149">
        <v>76000</v>
      </c>
      <c r="K30" s="150">
        <v>2.9</v>
      </c>
      <c r="L30" s="149">
        <v>16184</v>
      </c>
      <c r="M30" s="149">
        <v>10841</v>
      </c>
      <c r="N30" s="150">
        <v>3.7</v>
      </c>
      <c r="O30" s="150">
        <v>12.5</v>
      </c>
      <c r="P30" s="151">
        <v>48</v>
      </c>
      <c r="Q30" s="151">
        <v>51</v>
      </c>
      <c r="R30" s="151">
        <v>64</v>
      </c>
      <c r="S30" s="151">
        <v>74</v>
      </c>
      <c r="T30" s="152">
        <v>0.64</v>
      </c>
      <c r="U30" s="152">
        <v>0.93</v>
      </c>
      <c r="V30" s="151">
        <v>49</v>
      </c>
      <c r="W30" s="151">
        <v>1</v>
      </c>
      <c r="X30" s="151">
        <v>14</v>
      </c>
      <c r="Y30" s="151">
        <v>39</v>
      </c>
      <c r="Z30" s="151">
        <v>30</v>
      </c>
      <c r="AA30" s="151">
        <v>16</v>
      </c>
      <c r="AB30" s="151">
        <v>29</v>
      </c>
      <c r="AC30" s="151">
        <v>71</v>
      </c>
      <c r="AD30" s="148" t="s">
        <v>179</v>
      </c>
      <c r="AE30" s="148" t="s">
        <v>183</v>
      </c>
      <c r="AF30" s="148" t="s">
        <v>188</v>
      </c>
      <c r="AG30" s="148" t="s">
        <v>708</v>
      </c>
      <c r="AH30" s="148" t="s">
        <v>501</v>
      </c>
      <c r="AI30" s="148" t="s">
        <v>709</v>
      </c>
      <c r="AJ30" s="148" t="s">
        <v>266</v>
      </c>
      <c r="AK30" s="148" t="s">
        <v>550</v>
      </c>
      <c r="AL30" s="148" t="s">
        <v>710</v>
      </c>
      <c r="AM30" s="151">
        <v>62</v>
      </c>
      <c r="AN30" s="149">
        <v>1930000</v>
      </c>
      <c r="AO30" s="153">
        <f>IF(OR(KOL_Database!$AN$30="",KOL_Database!$AN$30=0,KOL_Database!$L$30="",KOL_Database!$L$30=0),"",ROUND(KOL_Database!$AN$30/KOL_Database!$L$30,2))</f>
        <v>119.25</v>
      </c>
      <c r="AP30" s="149">
        <f>IF(OR(KOL_Database!$AN$30="",KOL_Database!$AN$30=0,KOL_Database!$L$30="",KOL_Database!$L$30=0,KOL_Database!$K$30="",KOL_Database!$K$30=0),"",ROUND(KOL_Database!$AN$30/(KOL_Database!$L$30*KOL_Database!$K$30/100),0))</f>
        <v>4112</v>
      </c>
      <c r="AQ30" s="149">
        <f>IF(OR(KOL_Database!$AN$30="",KOL_Database!$AN$30=0,KOL_Database!$J$30="",KOL_Database!$J$30=0),"",ROUND(KOL_Database!$AN$30/KOL_Database!$J$30*1000,0))</f>
        <v>25395</v>
      </c>
      <c r="AR30" s="149">
        <f>IF(OR(KOL_Database!$L$30="",KOL_Database!$J$30=""),"",ROUND(KOL_Database!$L$30*Lookup_Lists!$D$147+KOL_Database!$J$30*Lookup_Lists!$D$148,0))</f>
        <v>27732</v>
      </c>
      <c r="AS30" s="152">
        <f>IF(OR(KOL_Database!$AN$30="",KOL_Database!$AN$30=0,KOL_Database!$AR$30=""),"",ROUND(KOL_Database!$AR$30*KOL_Database!$K$30/100*Lookup_Lists!$D$146/KOL_Database!$AN$30,2))</f>
        <v>3.75</v>
      </c>
      <c r="AT30" s="151">
        <v>71</v>
      </c>
      <c r="AU30" s="151">
        <v>13</v>
      </c>
      <c r="AV30" s="148" t="s">
        <v>534</v>
      </c>
      <c r="AW30" s="148" t="s">
        <v>291</v>
      </c>
      <c r="AX30" s="148" t="s">
        <v>291</v>
      </c>
      <c r="AY30" s="148" t="s">
        <v>291</v>
      </c>
      <c r="AZ30" s="148" t="s">
        <v>291</v>
      </c>
      <c r="BA30" s="154">
        <v>46189.7083333333</v>
      </c>
      <c r="BB30" s="154">
        <v>46248.7083333333</v>
      </c>
      <c r="BC30" s="155">
        <f>IF(OR(KOL_Database!$J$30="",KOL_Database!$J$30=0,KOL_Database!$L$30=""),"",ROUND(KOL_Database!$L$30/KOL_Database!$J$30,3))</f>
        <v>0.213</v>
      </c>
      <c r="BD30" s="151">
        <f>IF(OR(KOL_Database!$AP$30="",KOL_Database!$AP$30=0,Lookup_Lists!$D$149=0),"",MIN(100,ROUND(Lookup_Lists!$D$149/KOL_Database!$AP$30*100,0)))</f>
        <v>36</v>
      </c>
      <c r="BE30" s="151">
        <f>ROUND((IF(KOL_Database!$J$30="",0,1)+IF(KOL_Database!$K$30="",0,1)+IF(KOL_Database!$L$30="",0,1)+IF(KOL_Database!$M$30="",0,1)+IF(KOL_Database!$N$30="",0,1)+IF(KOL_Database!$O$30="",0,1)+IF(KOL_Database!$P$30="",0,1)+IF(KOL_Database!$R$30="",0,1)+IF(KOL_Database!$S$30="",0,1)+IF(KOL_Database!$AE$30="",0,1)+IF(KOL_Database!$AF$30="",0,1)+IF(KOL_Database!$AN$30="",0,1))/12*100,0)</f>
        <v>100</v>
      </c>
      <c r="BF30" s="148" t="str">
        <f>IF(KOL_Database!$BE$30&gt;=Lookup_Lists!$D$159,"Live",IF(KOL_Database!$BE$30&gt;=Lookup_Lists!$D$160,"Calculated","Estimated"))</f>
        <v>Live</v>
      </c>
    </row>
    <row r="31" spans="1:58">
      <c r="A31" s="148" t="s">
        <v>711</v>
      </c>
      <c r="B31" s="148" t="s">
        <v>712</v>
      </c>
      <c r="C31" s="148" t="s">
        <v>713</v>
      </c>
      <c r="D31" s="148" t="s">
        <v>391</v>
      </c>
      <c r="E31" s="148" t="s">
        <v>714</v>
      </c>
      <c r="F31" s="148" t="s">
        <v>715</v>
      </c>
      <c r="G31" s="148" t="str">
        <f>IFERROR(INDEX(Lookup_Lists!$A$96:$A$100,MATCH(KOL_Database!$J$31,Lookup_Lists!$B$96:$B$100,1)),"")</f>
        <v>Micro</v>
      </c>
      <c r="H31" s="148" t="s">
        <v>291</v>
      </c>
      <c r="I31" s="148" t="s">
        <v>507</v>
      </c>
      <c r="J31" s="149">
        <v>46000</v>
      </c>
      <c r="K31" s="150">
        <v>4.4</v>
      </c>
      <c r="L31" s="149">
        <v>16691</v>
      </c>
      <c r="M31" s="149">
        <v>13958</v>
      </c>
      <c r="N31" s="150">
        <v>3.4</v>
      </c>
      <c r="O31" s="150">
        <v>8.9</v>
      </c>
      <c r="P31" s="151">
        <v>52</v>
      </c>
      <c r="Q31" s="151">
        <v>49</v>
      </c>
      <c r="R31" s="151">
        <v>88</v>
      </c>
      <c r="S31" s="151">
        <v>86</v>
      </c>
      <c r="T31" s="152">
        <v>1.91</v>
      </c>
      <c r="U31" s="152">
        <v>4.07</v>
      </c>
      <c r="V31" s="151">
        <v>88</v>
      </c>
      <c r="W31" s="151">
        <v>5</v>
      </c>
      <c r="X31" s="151">
        <v>23</v>
      </c>
      <c r="Y31" s="151">
        <v>42</v>
      </c>
      <c r="Z31" s="151">
        <v>20</v>
      </c>
      <c r="AA31" s="151">
        <v>10</v>
      </c>
      <c r="AB31" s="151">
        <v>74</v>
      </c>
      <c r="AC31" s="151">
        <v>26</v>
      </c>
      <c r="AD31" s="148" t="s">
        <v>179</v>
      </c>
      <c r="AE31" s="148" t="s">
        <v>508</v>
      </c>
      <c r="AF31" s="148" t="s">
        <v>507</v>
      </c>
      <c r="AG31" s="148" t="s">
        <v>716</v>
      </c>
      <c r="AH31" s="148" t="s">
        <v>501</v>
      </c>
      <c r="AI31" s="148" t="s">
        <v>717</v>
      </c>
      <c r="AJ31" s="148" t="s">
        <v>601</v>
      </c>
      <c r="AK31" s="148" t="s">
        <v>206</v>
      </c>
      <c r="AL31" s="148" t="s">
        <v>718</v>
      </c>
      <c r="AM31" s="151">
        <v>90</v>
      </c>
      <c r="AN31" s="149"/>
      <c r="AO31" s="153" t="str">
        <f>IF(OR(KOL_Database!$AN$31="",KOL_Database!$AN$31=0,KOL_Database!$L$31="",KOL_Database!$L$31=0),"",ROUND(KOL_Database!$AN$31/KOL_Database!$L$31,2))</f>
        <v/>
      </c>
      <c r="AP31" s="149" t="str">
        <f>IF(OR(KOL_Database!$AN$31="",KOL_Database!$AN$31=0,KOL_Database!$L$31="",KOL_Database!$L$31=0,KOL_Database!$K$31="",KOL_Database!$K$31=0),"",ROUND(KOL_Database!$AN$31/(KOL_Database!$L$31*KOL_Database!$K$31/100),0))</f>
        <v/>
      </c>
      <c r="AQ31" s="149" t="str">
        <f>IF(OR(KOL_Database!$AN$31="",KOL_Database!$AN$31=0,KOL_Database!$J$31="",KOL_Database!$J$31=0),"",ROUND(KOL_Database!$AN$31/KOL_Database!$J$31*1000,0))</f>
        <v/>
      </c>
      <c r="AR31" s="149">
        <f>IF(OR(KOL_Database!$L$31="",KOL_Database!$J$31=""),"",ROUND(KOL_Database!$L$31*Lookup_Lists!$D$147+KOL_Database!$J$31*Lookup_Lists!$D$148,0))</f>
        <v>24715</v>
      </c>
      <c r="AS31" s="152" t="str">
        <f>IF(OR(KOL_Database!$AN$31="",KOL_Database!$AN$31=0,KOL_Database!$AR$31=""),"",ROUND(KOL_Database!$AR$31*KOL_Database!$K$31/100*Lookup_Lists!$D$146/KOL_Database!$AN$31,2))</f>
        <v/>
      </c>
      <c r="AT31" s="151">
        <v>92</v>
      </c>
      <c r="AU31" s="151">
        <v>64</v>
      </c>
      <c r="AV31" s="148" t="s">
        <v>503</v>
      </c>
      <c r="AW31" s="148" t="s">
        <v>291</v>
      </c>
      <c r="AX31" s="148" t="s">
        <v>291</v>
      </c>
      <c r="AY31" s="148" t="s">
        <v>291</v>
      </c>
      <c r="AZ31" s="148" t="s">
        <v>291</v>
      </c>
      <c r="BA31" s="154">
        <v>46180.7083333333</v>
      </c>
      <c r="BB31" s="154">
        <v>46239.7083333333</v>
      </c>
      <c r="BC31" s="155">
        <f>IF(OR(KOL_Database!$J$31="",KOL_Database!$J$31=0,KOL_Database!$L$31=""),"",ROUND(KOL_Database!$L$31/KOL_Database!$J$31,3))</f>
        <v>0.363</v>
      </c>
      <c r="BD31" s="151" t="str">
        <f>IF(OR(KOL_Database!$AP$31="",KOL_Database!$AP$31=0,Lookup_Lists!$D$149=0),"",MIN(100,ROUND(Lookup_Lists!$D$149/KOL_Database!$AP$31*100,0)))</f>
        <v/>
      </c>
      <c r="BE31" s="151">
        <f>ROUND((IF(KOL_Database!$J$31="",0,1)+IF(KOL_Database!$K$31="",0,1)+IF(KOL_Database!$L$31="",0,1)+IF(KOL_Database!$M$31="",0,1)+IF(KOL_Database!$N$31="",0,1)+IF(KOL_Database!$O$31="",0,1)+IF(KOL_Database!$P$31="",0,1)+IF(KOL_Database!$R$31="",0,1)+IF(KOL_Database!$S$31="",0,1)+IF(KOL_Database!$AE$31="",0,1)+IF(KOL_Database!$AF$31="",0,1)+IF(KOL_Database!$AN$31="",0,1))/12*100,0)</f>
        <v>92</v>
      </c>
      <c r="BF31" s="148" t="str">
        <f>IF(KOL_Database!$BE$31&gt;=Lookup_Lists!$D$159,"Live",IF(KOL_Database!$BE$31&gt;=Lookup_Lists!$D$160,"Calculated","Estimated"))</f>
        <v>Calculated</v>
      </c>
    </row>
    <row r="32" spans="1:58">
      <c r="A32" s="148" t="s">
        <v>719</v>
      </c>
      <c r="B32" s="148" t="s">
        <v>720</v>
      </c>
      <c r="C32" s="148" t="s">
        <v>721</v>
      </c>
      <c r="D32" s="148" t="s">
        <v>392</v>
      </c>
      <c r="E32" s="148" t="s">
        <v>714</v>
      </c>
      <c r="F32" s="148" t="s">
        <v>722</v>
      </c>
      <c r="G32" s="148" t="str">
        <f>IFERROR(INDEX(Lookup_Lists!$A$96:$A$100,MATCH(KOL_Database!$J$32,Lookup_Lists!$B$96:$B$100,1)),"")</f>
        <v>Macro</v>
      </c>
      <c r="H32" s="148" t="s">
        <v>291</v>
      </c>
      <c r="I32" s="148" t="s">
        <v>188</v>
      </c>
      <c r="J32" s="149">
        <v>118000</v>
      </c>
      <c r="K32" s="150">
        <v>6.1</v>
      </c>
      <c r="L32" s="149">
        <v>134895</v>
      </c>
      <c r="M32" s="149">
        <v>105352</v>
      </c>
      <c r="N32" s="150">
        <v>4</v>
      </c>
      <c r="O32" s="150">
        <v>13.5</v>
      </c>
      <c r="P32" s="151">
        <v>77</v>
      </c>
      <c r="Q32" s="151">
        <v>75</v>
      </c>
      <c r="R32" s="151">
        <v>81</v>
      </c>
      <c r="S32" s="151">
        <v>75</v>
      </c>
      <c r="T32" s="152">
        <v>1.34</v>
      </c>
      <c r="U32" s="152">
        <v>2.68</v>
      </c>
      <c r="V32" s="151">
        <v>73</v>
      </c>
      <c r="W32" s="151">
        <v>8</v>
      </c>
      <c r="X32" s="151">
        <v>39</v>
      </c>
      <c r="Y32" s="151">
        <v>33</v>
      </c>
      <c r="Z32" s="151">
        <v>14</v>
      </c>
      <c r="AA32" s="151">
        <v>6</v>
      </c>
      <c r="AB32" s="151">
        <v>83</v>
      </c>
      <c r="AC32" s="151">
        <v>17</v>
      </c>
      <c r="AD32" s="148" t="s">
        <v>179</v>
      </c>
      <c r="AE32" s="148" t="s">
        <v>183</v>
      </c>
      <c r="AF32" s="148" t="s">
        <v>188</v>
      </c>
      <c r="AG32" s="148" t="s">
        <v>723</v>
      </c>
      <c r="AH32" s="148" t="s">
        <v>501</v>
      </c>
      <c r="AI32" s="148" t="s">
        <v>724</v>
      </c>
      <c r="AJ32" s="148" t="s">
        <v>400</v>
      </c>
      <c r="AK32" s="148" t="s">
        <v>275</v>
      </c>
      <c r="AL32" s="148" t="s">
        <v>725</v>
      </c>
      <c r="AM32" s="151">
        <v>78</v>
      </c>
      <c r="AN32" s="149">
        <v>4594000</v>
      </c>
      <c r="AO32" s="153">
        <f>IF(OR(KOL_Database!$AN$32="",KOL_Database!$AN$32=0,KOL_Database!$L$32="",KOL_Database!$L$32=0),"",ROUND(KOL_Database!$AN$32/KOL_Database!$L$32,2))</f>
        <v>34.06</v>
      </c>
      <c r="AP32" s="149">
        <f>IF(OR(KOL_Database!$AN$32="",KOL_Database!$AN$32=0,KOL_Database!$L$32="",KOL_Database!$L$32=0,KOL_Database!$K$32="",KOL_Database!$K$32=0),"",ROUND(KOL_Database!$AN$32/(KOL_Database!$L$32*KOL_Database!$K$32/100),0))</f>
        <v>558</v>
      </c>
      <c r="AQ32" s="149">
        <f>IF(OR(KOL_Database!$AN$32="",KOL_Database!$AN$32=0,KOL_Database!$J$32="",KOL_Database!$J$32=0),"",ROUND(KOL_Database!$AN$32/KOL_Database!$J$32*1000,0))</f>
        <v>38932</v>
      </c>
      <c r="AR32" s="149">
        <f>IF(OR(KOL_Database!$L$32="",KOL_Database!$J$32=""),"",ROUND(KOL_Database!$L$32*Lookup_Lists!$D$147+KOL_Database!$J$32*Lookup_Lists!$D$148,0))</f>
        <v>169289</v>
      </c>
      <c r="AS32" s="152">
        <f>IF(OR(KOL_Database!$AN$32="",KOL_Database!$AN$32=0,KOL_Database!$AR$32=""),"",ROUND(KOL_Database!$AR$32*KOL_Database!$K$32/100*Lookup_Lists!$D$146/KOL_Database!$AN$32,2))</f>
        <v>20.23</v>
      </c>
      <c r="AT32" s="151">
        <v>85</v>
      </c>
      <c r="AU32" s="151">
        <v>42</v>
      </c>
      <c r="AV32" s="148" t="s">
        <v>503</v>
      </c>
      <c r="AW32" s="148" t="s">
        <v>291</v>
      </c>
      <c r="AX32" s="148" t="s">
        <v>291</v>
      </c>
      <c r="AY32" s="148" t="s">
        <v>291</v>
      </c>
      <c r="AZ32" s="148" t="s">
        <v>291</v>
      </c>
      <c r="BA32" s="154">
        <v>46164.7083333333</v>
      </c>
      <c r="BB32" s="154">
        <v>46255.7083333333</v>
      </c>
      <c r="BC32" s="155">
        <f>IF(OR(KOL_Database!$J$32="",KOL_Database!$J$32=0,KOL_Database!$L$32=""),"",ROUND(KOL_Database!$L$32/KOL_Database!$J$32,3))</f>
        <v>1.143</v>
      </c>
      <c r="BD32" s="151">
        <f>IF(OR(KOL_Database!$AP$32="",KOL_Database!$AP$32=0,Lookup_Lists!$D$149=0),"",MIN(100,ROUND(Lookup_Lists!$D$149/KOL_Database!$AP$32*100,0)))</f>
        <v>100</v>
      </c>
      <c r="BE32" s="151">
        <f>ROUND((IF(KOL_Database!$J$32="",0,1)+IF(KOL_Database!$K$32="",0,1)+IF(KOL_Database!$L$32="",0,1)+IF(KOL_Database!$M$32="",0,1)+IF(KOL_Database!$N$32="",0,1)+IF(KOL_Database!$O$32="",0,1)+IF(KOL_Database!$P$32="",0,1)+IF(KOL_Database!$R$32="",0,1)+IF(KOL_Database!$S$32="",0,1)+IF(KOL_Database!$AE$32="",0,1)+IF(KOL_Database!$AF$32="",0,1)+IF(KOL_Database!$AN$32="",0,1))/12*100,0)</f>
        <v>100</v>
      </c>
      <c r="BF32" s="148" t="str">
        <f>IF(KOL_Database!$BE$32&gt;=Lookup_Lists!$D$159,"Live",IF(KOL_Database!$BE$32&gt;=Lookup_Lists!$D$160,"Calculated","Estimated"))</f>
        <v>Live</v>
      </c>
    </row>
    <row r="33" spans="1:58">
      <c r="A33" s="148" t="s">
        <v>726</v>
      </c>
      <c r="B33" s="148" t="s">
        <v>727</v>
      </c>
      <c r="C33" s="148" t="s">
        <v>728</v>
      </c>
      <c r="D33" s="148" t="s">
        <v>392</v>
      </c>
      <c r="E33" s="148" t="s">
        <v>244</v>
      </c>
      <c r="F33" s="148" t="s">
        <v>146</v>
      </c>
      <c r="G33" s="148" t="str">
        <f>IFERROR(INDEX(Lookup_Lists!$A$96:$A$100,MATCH(KOL_Database!$J$33,Lookup_Lists!$B$96:$B$100,1)),"")</f>
        <v>Micro</v>
      </c>
      <c r="H33" s="148" t="s">
        <v>291</v>
      </c>
      <c r="I33" s="148" t="s">
        <v>539</v>
      </c>
      <c r="J33" s="149">
        <v>27000</v>
      </c>
      <c r="K33" s="150">
        <v>8.9</v>
      </c>
      <c r="L33" s="149">
        <v>16833</v>
      </c>
      <c r="M33" s="149">
        <v>14812</v>
      </c>
      <c r="N33" s="150">
        <v>3.7</v>
      </c>
      <c r="O33" s="150">
        <v>9.7</v>
      </c>
      <c r="P33" s="151">
        <v>88</v>
      </c>
      <c r="Q33" s="151">
        <v>46</v>
      </c>
      <c r="R33" s="151">
        <v>91</v>
      </c>
      <c r="S33" s="151">
        <v>95</v>
      </c>
      <c r="T33" s="152">
        <v>0.32</v>
      </c>
      <c r="U33" s="152">
        <v>4.5</v>
      </c>
      <c r="V33" s="151">
        <v>92</v>
      </c>
      <c r="W33" s="151">
        <v>10</v>
      </c>
      <c r="X33" s="151">
        <v>35</v>
      </c>
      <c r="Y33" s="151">
        <v>32</v>
      </c>
      <c r="Z33" s="151">
        <v>15</v>
      </c>
      <c r="AA33" s="151">
        <v>8</v>
      </c>
      <c r="AB33" s="151">
        <v>74</v>
      </c>
      <c r="AC33" s="151">
        <v>26</v>
      </c>
      <c r="AD33" s="148" t="s">
        <v>179</v>
      </c>
      <c r="AE33" s="148" t="s">
        <v>623</v>
      </c>
      <c r="AF33" s="148" t="s">
        <v>539</v>
      </c>
      <c r="AG33" s="148" t="s">
        <v>729</v>
      </c>
      <c r="AH33" s="148" t="s">
        <v>501</v>
      </c>
      <c r="AI33" s="148" t="s">
        <v>517</v>
      </c>
      <c r="AJ33" s="148" t="s">
        <v>266</v>
      </c>
      <c r="AK33" s="148" t="s">
        <v>275</v>
      </c>
      <c r="AL33" s="148" t="s">
        <v>730</v>
      </c>
      <c r="AM33" s="151">
        <v>59</v>
      </c>
      <c r="AN33" s="149">
        <v>912000</v>
      </c>
      <c r="AO33" s="153">
        <f>IF(OR(KOL_Database!$AN$33="",KOL_Database!$AN$33=0,KOL_Database!$L$33="",KOL_Database!$L$33=0),"",ROUND(KOL_Database!$AN$33/KOL_Database!$L$33,2))</f>
        <v>54.18</v>
      </c>
      <c r="AP33" s="149">
        <f>IF(OR(KOL_Database!$AN$33="",KOL_Database!$AN$33=0,KOL_Database!$L$33="",KOL_Database!$L$33=0,KOL_Database!$K$33="",KOL_Database!$K$33=0),"",ROUND(KOL_Database!$AN$33/(KOL_Database!$L$33*KOL_Database!$K$33/100),0))</f>
        <v>609</v>
      </c>
      <c r="AQ33" s="149">
        <f>IF(OR(KOL_Database!$AN$33="",KOL_Database!$AN$33=0,KOL_Database!$J$33="",KOL_Database!$J$33=0),"",ROUND(KOL_Database!$AN$33/KOL_Database!$J$33*1000,0))</f>
        <v>33778</v>
      </c>
      <c r="AR33" s="149">
        <f>IF(OR(KOL_Database!$L$33="",KOL_Database!$J$33=""),"",ROUND(KOL_Database!$L$33*Lookup_Lists!$D$147+KOL_Database!$J$33*Lookup_Lists!$D$148,0))</f>
        <v>22598</v>
      </c>
      <c r="AS33" s="152">
        <f>IF(OR(KOL_Database!$AN$33="",KOL_Database!$AN$33=0,KOL_Database!$AR$33=""),"",ROUND(KOL_Database!$AR$33*KOL_Database!$K$33/100*Lookup_Lists!$D$146/KOL_Database!$AN$33,2))</f>
        <v>19.85</v>
      </c>
      <c r="AT33" s="151">
        <v>94</v>
      </c>
      <c r="AU33" s="151">
        <v>12</v>
      </c>
      <c r="AV33" s="148" t="s">
        <v>503</v>
      </c>
      <c r="AW33" s="148" t="s">
        <v>291</v>
      </c>
      <c r="AX33" s="148" t="s">
        <v>291</v>
      </c>
      <c r="AY33" s="148" t="s">
        <v>291</v>
      </c>
      <c r="AZ33" s="148" t="s">
        <v>291</v>
      </c>
      <c r="BA33" s="154">
        <v>46144.7083333333</v>
      </c>
      <c r="BB33" s="154">
        <v>46257.7083333333</v>
      </c>
      <c r="BC33" s="155">
        <f>IF(OR(KOL_Database!$J$33="",KOL_Database!$J$33=0,KOL_Database!$L$33=""),"",ROUND(KOL_Database!$L$33/KOL_Database!$J$33,3))</f>
        <v>0.623</v>
      </c>
      <c r="BD33" s="151">
        <f>IF(OR(KOL_Database!$AP$33="",KOL_Database!$AP$33=0,Lookup_Lists!$D$149=0),"",MIN(100,ROUND(Lookup_Lists!$D$149/KOL_Database!$AP$33*100,0)))</f>
        <v>100</v>
      </c>
      <c r="BE33" s="151">
        <f>ROUND((IF(KOL_Database!$J$33="",0,1)+IF(KOL_Database!$K$33="",0,1)+IF(KOL_Database!$L$33="",0,1)+IF(KOL_Database!$M$33="",0,1)+IF(KOL_Database!$N$33="",0,1)+IF(KOL_Database!$O$33="",0,1)+IF(KOL_Database!$P$33="",0,1)+IF(KOL_Database!$R$33="",0,1)+IF(KOL_Database!$S$33="",0,1)+IF(KOL_Database!$AE$33="",0,1)+IF(KOL_Database!$AF$33="",0,1)+IF(KOL_Database!$AN$33="",0,1))/12*100,0)</f>
        <v>100</v>
      </c>
      <c r="BF33" s="148" t="str">
        <f>IF(KOL_Database!$BE$33&gt;=Lookup_Lists!$D$159,"Live",IF(KOL_Database!$BE$33&gt;=Lookup_Lists!$D$160,"Calculated","Estimated"))</f>
        <v>Live</v>
      </c>
    </row>
    <row r="34" spans="1:58">
      <c r="A34" s="148" t="s">
        <v>731</v>
      </c>
      <c r="B34" s="148" t="s">
        <v>732</v>
      </c>
      <c r="C34" s="148" t="s">
        <v>733</v>
      </c>
      <c r="D34" s="148" t="s">
        <v>391</v>
      </c>
      <c r="E34" s="148" t="s">
        <v>546</v>
      </c>
      <c r="F34" s="148" t="s">
        <v>734</v>
      </c>
      <c r="G34" s="148" t="str">
        <f>IFERROR(INDEX(Lookup_Lists!$A$96:$A$100,MATCH(KOL_Database!$J$34,Lookup_Lists!$B$96:$B$100,1)),"")</f>
        <v>Macro</v>
      </c>
      <c r="H34" s="148" t="s">
        <v>295</v>
      </c>
      <c r="I34" s="148" t="s">
        <v>188</v>
      </c>
      <c r="J34" s="149">
        <v>355000</v>
      </c>
      <c r="K34" s="150">
        <v>2.6</v>
      </c>
      <c r="L34" s="149">
        <v>83349</v>
      </c>
      <c r="M34" s="149"/>
      <c r="N34" s="150">
        <v>2.1</v>
      </c>
      <c r="O34" s="150">
        <v>6.4</v>
      </c>
      <c r="P34" s="151">
        <v>53</v>
      </c>
      <c r="Q34" s="151">
        <v>88</v>
      </c>
      <c r="R34" s="151">
        <v>66</v>
      </c>
      <c r="S34" s="151">
        <v>71</v>
      </c>
      <c r="T34" s="152">
        <v>0.63</v>
      </c>
      <c r="U34" s="152">
        <v>1.3</v>
      </c>
      <c r="V34" s="151">
        <v>56</v>
      </c>
      <c r="W34" s="151">
        <v>4</v>
      </c>
      <c r="X34" s="151">
        <v>15</v>
      </c>
      <c r="Y34" s="151">
        <v>36</v>
      </c>
      <c r="Z34" s="151">
        <v>29</v>
      </c>
      <c r="AA34" s="151">
        <v>16</v>
      </c>
      <c r="AB34" s="151">
        <v>21</v>
      </c>
      <c r="AC34" s="151">
        <v>79</v>
      </c>
      <c r="AD34" s="148" t="s">
        <v>179</v>
      </c>
      <c r="AE34" s="148" t="s">
        <v>183</v>
      </c>
      <c r="AF34" s="148" t="s">
        <v>188</v>
      </c>
      <c r="AG34" s="148" t="s">
        <v>735</v>
      </c>
      <c r="AH34" s="148" t="s">
        <v>510</v>
      </c>
      <c r="AI34" s="148" t="s">
        <v>736</v>
      </c>
      <c r="AJ34" s="148" t="s">
        <v>737</v>
      </c>
      <c r="AK34" s="148" t="s">
        <v>550</v>
      </c>
      <c r="AL34" s="148" t="s">
        <v>738</v>
      </c>
      <c r="AM34" s="151">
        <v>67</v>
      </c>
      <c r="AN34" s="149">
        <v>19218000</v>
      </c>
      <c r="AO34" s="153">
        <f>IF(OR(KOL_Database!$AN$34="",KOL_Database!$AN$34=0,KOL_Database!$L$34="",KOL_Database!$L$34=0),"",ROUND(KOL_Database!$AN$34/KOL_Database!$L$34,2))</f>
        <v>230.57</v>
      </c>
      <c r="AP34" s="149">
        <f>IF(OR(KOL_Database!$AN$34="",KOL_Database!$AN$34=0,KOL_Database!$L$34="",KOL_Database!$L$34=0,KOL_Database!$K$34="",KOL_Database!$K$34=0),"",ROUND(KOL_Database!$AN$34/(KOL_Database!$L$34*KOL_Database!$K$34/100),0))</f>
        <v>8868</v>
      </c>
      <c r="AQ34" s="149">
        <f>IF(OR(KOL_Database!$AN$34="",KOL_Database!$AN$34=0,KOL_Database!$J$34="",KOL_Database!$J$34=0),"",ROUND(KOL_Database!$AN$34/KOL_Database!$J$34*1000,0))</f>
        <v>54135</v>
      </c>
      <c r="AR34" s="149">
        <f>IF(OR(KOL_Database!$L$34="",KOL_Database!$J$34=""),"",ROUND(KOL_Database!$L$34*Lookup_Lists!$D$147+KOL_Database!$J$34*Lookup_Lists!$D$148,0))</f>
        <v>138451</v>
      </c>
      <c r="AS34" s="152">
        <f>IF(OR(KOL_Database!$AN$34="",KOL_Database!$AN$34=0,KOL_Database!$AR$34=""),"",ROUND(KOL_Database!$AR$34*KOL_Database!$K$34/100*Lookup_Lists!$D$146/KOL_Database!$AN$34,2))</f>
        <v>1.69</v>
      </c>
      <c r="AT34" s="151">
        <v>75</v>
      </c>
      <c r="AU34" s="151">
        <v>21</v>
      </c>
      <c r="AV34" s="148" t="s">
        <v>534</v>
      </c>
      <c r="AW34" s="148" t="s">
        <v>291</v>
      </c>
      <c r="AX34" s="148" t="s">
        <v>291</v>
      </c>
      <c r="AY34" s="148" t="s">
        <v>291</v>
      </c>
      <c r="AZ34" s="148" t="s">
        <v>291</v>
      </c>
      <c r="BA34" s="154">
        <v>46179.7083333333</v>
      </c>
      <c r="BB34" s="154">
        <v>46235.7083333333</v>
      </c>
      <c r="BC34" s="155">
        <f>IF(OR(KOL_Database!$J$34="",KOL_Database!$J$34=0,KOL_Database!$L$34=""),"",ROUND(KOL_Database!$L$34/KOL_Database!$J$34,3))</f>
        <v>0.235</v>
      </c>
      <c r="BD34" s="151">
        <f>IF(OR(KOL_Database!$AP$34="",KOL_Database!$AP$34=0,Lookup_Lists!$D$149=0),"",MIN(100,ROUND(Lookup_Lists!$D$149/KOL_Database!$AP$34*100,0)))</f>
        <v>17</v>
      </c>
      <c r="BE34" s="151">
        <f>ROUND((IF(KOL_Database!$J$34="",0,1)+IF(KOL_Database!$K$34="",0,1)+IF(KOL_Database!$L$34="",0,1)+IF(KOL_Database!$M$34="",0,1)+IF(KOL_Database!$N$34="",0,1)+IF(KOL_Database!$O$34="",0,1)+IF(KOL_Database!$P$34="",0,1)+IF(KOL_Database!$R$34="",0,1)+IF(KOL_Database!$S$34="",0,1)+IF(KOL_Database!$AE$34="",0,1)+IF(KOL_Database!$AF$34="",0,1)+IF(KOL_Database!$AN$34="",0,1))/12*100,0)</f>
        <v>92</v>
      </c>
      <c r="BF34" s="148" t="str">
        <f>IF(KOL_Database!$BE$34&gt;=Lookup_Lists!$D$159,"Live",IF(KOL_Database!$BE$34&gt;=Lookup_Lists!$D$160,"Calculated","Estimated"))</f>
        <v>Calculated</v>
      </c>
    </row>
  </sheetData>
  <mergeCells count="11">
    <mergeCell ref="A1:BF1"/>
    <mergeCell ref="A2:BF2"/>
    <mergeCell ref="A3:I3"/>
    <mergeCell ref="J3:V3"/>
    <mergeCell ref="W3:AH3"/>
    <mergeCell ref="AI3:AM3"/>
    <mergeCell ref="AN3:AS3"/>
    <mergeCell ref="AT3:AV3"/>
    <mergeCell ref="AW3:AZ3"/>
    <mergeCell ref="BA3:BB3"/>
    <mergeCell ref="BC3:BF3"/>
  </mergeCells>
  <conditionalFormatting sqref="K5:K34">
    <cfRule type="colorScale" priority="1">
      <colorScale>
        <cfvo type="num" val="0"/>
        <cfvo type="num" val="5"/>
        <cfvo type="num" val="10"/>
        <color rgb="FFFEE2E2"/>
        <color rgb="FFFEF3C7"/>
        <color rgb="FFBBF7D0"/>
      </colorScale>
    </cfRule>
  </conditionalFormatting>
  <conditionalFormatting sqref="AV5:AV34">
    <cfRule type="containsText" dxfId="0" priority="2" operator="between" text="High">
      <formula>NOT(ISERROR(SEARCH("High",AV5)))</formula>
    </cfRule>
    <cfRule type="containsText" dxfId="1" priority="2" operator="between" text="Medium">
      <formula>NOT(ISERROR(SEARCH("Medium",AV5)))</formula>
    </cfRule>
  </conditionalFormatting>
  <conditionalFormatting sqref="BF5:BF34">
    <cfRule type="containsText" dxfId="2" priority="3" operator="between" text="Live">
      <formula>NOT(ISERROR(SEARCH("Live",BF5)))</formula>
    </cfRule>
    <cfRule type="containsText" dxfId="3" priority="3" operator="between" text="Estimated">
      <formula>NOT(ISERROR(SEARCH("Estimated",BF5)))</formula>
    </cfRule>
  </conditionalFormatting>
  <dataValidations count="11">
    <dataValidation type="list" allowBlank="1" sqref="D5:D9 D10:D34">
      <formula1>Lookup_Lists!$A$6:$A$7</formula1>
    </dataValidation>
    <dataValidation type="list" allowBlank="1" sqref="E5:E9 E10:E34">
      <formula1>Lookup_Lists!$C$6:$C$19</formula1>
    </dataValidation>
    <dataValidation type="list" allowBlank="1" sqref="F5:F9 F10:F34">
      <formula1>Lookup_Lists!$D$6:$D$47</formula1>
    </dataValidation>
    <dataValidation type="list" allowBlank="1" sqref="H5:H9 H10:H34 AW10:AZ34 AW5:AZ9">
      <formula1>Lookup_Lists!$V$6:$V$7</formula1>
    </dataValidation>
    <dataValidation type="list" allowBlank="1" sqref="I5:I9 I10:I34 AF5:AF9 AF10:AF34">
      <formula1>Lookup_Lists!$J$6:$J$17</formula1>
    </dataValidation>
    <dataValidation type="list" allowBlank="1" sqref="AD5:AD9 AD10:AD34">
      <formula1>Lookup_Lists!$H$6:$H$11</formula1>
    </dataValidation>
    <dataValidation type="list" allowBlank="1" sqref="AE5:AE9 AE10:AE34">
      <formula1>Lookup_Lists!$I$6:$I$15</formula1>
    </dataValidation>
    <dataValidation type="list" allowBlank="1" sqref="AH5:AH9 AH10:AH34">
      <formula1>Lookup_Lists!$T$6:$T$8</formula1>
    </dataValidation>
    <dataValidation type="list" allowBlank="1" sqref="AJ5:AJ9 AJ10:AJ34">
      <formula1>Lookup_Lists!$L$6:$L$15</formula1>
    </dataValidation>
    <dataValidation type="list" allowBlank="1" sqref="AK5:AK9 AK10:AK34">
      <formula1>Lookup_Lists!$M$6:$M$17</formula1>
    </dataValidation>
    <dataValidation type="list" allowBlank="1" sqref="AV5:AV9 AV10:AV34">
      <formula1>Lookup_Lists!$U$6:$U$9</formula1>
    </dataValidation>
  </dataValidations>
  <pageMargins left="0.7" right="0.7" top="0.75" bottom="0.75" header="0.3" footer="0.3"/>
  <pageSetup paperSize="1" orientation="portrait"/>
  <headerFooter/>
  <tableParts count="1">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G95"/>
  <sheetViews>
    <sheetView workbookViewId="0">
      <pane xSplit="4" ySplit="5" topLeftCell="E6" activePane="bottomRight" state="frozen"/>
      <selection/>
      <selection pane="topRight"/>
      <selection pane="bottomLeft"/>
      <selection pane="bottomRight" activeCell="A1" sqref="A1:BG1"/>
    </sheetView>
  </sheetViews>
  <sheetFormatPr defaultColWidth="9" defaultRowHeight="15"/>
  <cols>
    <col min="1" max="1" width="10" customWidth="1"/>
    <col min="6" max="7" width="10" customWidth="1"/>
    <col min="9" max="9" width="11" customWidth="1"/>
    <col min="10" max="10" width="21" customWidth="1"/>
    <col min="11" max="12" width="16" customWidth="1"/>
    <col min="13" max="13" width="15" customWidth="1"/>
    <col min="14" max="14" width="22" customWidth="1"/>
    <col min="15" max="15" width="17" customWidth="1"/>
    <col min="16" max="16" width="20" customWidth="1"/>
    <col min="17" max="20" width="22" customWidth="1"/>
    <col min="21" max="21" width="20" customWidth="1"/>
    <col min="22" max="22" width="13" customWidth="1"/>
    <col min="23" max="23" width="21" customWidth="1"/>
    <col min="24" max="24" width="22" customWidth="1"/>
    <col min="25" max="25" width="19" customWidth="1"/>
    <col min="26" max="26" width="22" customWidth="1"/>
    <col min="27" max="27" width="14" customWidth="1"/>
    <col min="28" max="31" width="22" customWidth="1"/>
    <col min="32" max="32" width="19" customWidth="1"/>
    <col min="33" max="33" width="17" customWidth="1"/>
    <col min="34" max="36" width="21" customWidth="1"/>
    <col min="37" max="37" width="19" customWidth="1"/>
    <col min="38" max="38" width="22" customWidth="1"/>
    <col min="39" max="39" width="11" customWidth="1"/>
    <col min="40" max="40" width="17" customWidth="1"/>
    <col min="41" max="41" width="14" customWidth="1"/>
    <col min="42" max="42" width="19" customWidth="1"/>
    <col min="43" max="43" width="13" customWidth="1"/>
    <col min="44" max="44" width="21" customWidth="1"/>
    <col min="45" max="45" width="12" customWidth="1"/>
    <col min="46" max="46" width="17" customWidth="1"/>
    <col min="47" max="47" width="19" customWidth="1"/>
    <col min="48" max="48" width="20" customWidth="1"/>
    <col min="49" max="49" width="40" customWidth="1"/>
    <col min="50" max="50" width="16" customWidth="1"/>
    <col min="51" max="51" width="22" customWidth="1"/>
    <col min="52" max="52" width="11" customWidth="1"/>
    <col min="53" max="57" width="22" customWidth="1"/>
    <col min="58" max="58" width="46" customWidth="1"/>
    <col min="59" max="59" width="40" customWidth="1"/>
  </cols>
  <sheetData>
    <row r="1" ht="24" customHeight="1" spans="1:59">
      <c r="A1" s="38" t="s">
        <v>739</v>
      </c>
    </row>
    <row r="2" ht="30" customHeight="1" spans="1:59">
      <c r="A2" s="39" t="s">
        <v>740</v>
      </c>
    </row>
    <row r="4" spans="1:59">
      <c r="A4" s="137" t="s">
        <v>741</v>
      </c>
      <c r="B4" s="138"/>
      <c r="C4" s="138"/>
      <c r="D4" s="138"/>
      <c r="E4" s="138"/>
      <c r="F4" s="138"/>
      <c r="G4" s="138"/>
      <c r="H4" s="138"/>
      <c r="I4" s="138"/>
      <c r="J4" s="139"/>
      <c r="K4" s="137" t="s">
        <v>742</v>
      </c>
      <c r="L4" s="138"/>
      <c r="M4" s="138"/>
      <c r="N4" s="139"/>
      <c r="O4" s="137" t="s">
        <v>743</v>
      </c>
      <c r="P4" s="138"/>
      <c r="Q4" s="138"/>
      <c r="R4" s="138"/>
      <c r="S4" s="139"/>
      <c r="T4" s="137" t="s">
        <v>744</v>
      </c>
      <c r="U4" s="138"/>
      <c r="V4" s="138"/>
      <c r="W4" s="138"/>
      <c r="X4" s="139"/>
      <c r="Y4" s="137" t="s">
        <v>745</v>
      </c>
      <c r="Z4" s="138"/>
      <c r="AA4" s="138"/>
      <c r="AB4" s="138"/>
      <c r="AC4" s="139"/>
      <c r="AD4" s="137" t="s">
        <v>746</v>
      </c>
      <c r="AE4" s="138"/>
      <c r="AF4" s="138"/>
      <c r="AG4" s="138"/>
      <c r="AH4" s="138"/>
      <c r="AI4" s="138"/>
      <c r="AJ4" s="139"/>
      <c r="AK4" s="137" t="s">
        <v>747</v>
      </c>
      <c r="AL4" s="138"/>
      <c r="AM4" s="138"/>
      <c r="AN4" s="138"/>
      <c r="AO4" s="139"/>
      <c r="AP4" s="137" t="s">
        <v>748</v>
      </c>
      <c r="AQ4" s="138"/>
      <c r="AR4" s="138"/>
      <c r="AS4" s="138"/>
      <c r="AT4" s="138"/>
      <c r="AU4" s="138"/>
      <c r="AV4" s="138"/>
      <c r="AW4" s="138"/>
      <c r="AX4" s="138"/>
      <c r="AY4" s="138"/>
      <c r="AZ4" s="139"/>
      <c r="BA4" s="137" t="s">
        <v>749</v>
      </c>
      <c r="BB4" s="138"/>
      <c r="BC4" s="138"/>
      <c r="BD4" s="138"/>
      <c r="BE4" s="138"/>
      <c r="BF4" s="138"/>
      <c r="BG4" s="139"/>
    </row>
    <row r="5" ht="46" customHeight="1" spans="1:59">
      <c r="A5" s="88" t="s">
        <v>124</v>
      </c>
      <c r="B5" s="88" t="s">
        <v>750</v>
      </c>
      <c r="C5" s="88" t="s">
        <v>414</v>
      </c>
      <c r="D5" s="88" t="s">
        <v>415</v>
      </c>
      <c r="E5" s="88" t="s">
        <v>445</v>
      </c>
      <c r="F5" s="88" t="s">
        <v>390</v>
      </c>
      <c r="G5" s="88" t="s">
        <v>416</v>
      </c>
      <c r="H5" s="88" t="s">
        <v>447</v>
      </c>
      <c r="I5" s="88" t="s">
        <v>450</v>
      </c>
      <c r="J5" s="88" t="s">
        <v>451</v>
      </c>
      <c r="K5" s="88" t="s">
        <v>751</v>
      </c>
      <c r="L5" s="88" t="s">
        <v>752</v>
      </c>
      <c r="M5" s="88" t="s">
        <v>753</v>
      </c>
      <c r="N5" s="88" t="s">
        <v>55</v>
      </c>
      <c r="O5" s="88" t="s">
        <v>754</v>
      </c>
      <c r="P5" s="88" t="s">
        <v>755</v>
      </c>
      <c r="Q5" s="88" t="s">
        <v>756</v>
      </c>
      <c r="R5" s="88" t="s">
        <v>757</v>
      </c>
      <c r="S5" s="88" t="s">
        <v>57</v>
      </c>
      <c r="T5" s="88" t="s">
        <v>758</v>
      </c>
      <c r="U5" s="88" t="s">
        <v>759</v>
      </c>
      <c r="V5" s="88" t="s">
        <v>760</v>
      </c>
      <c r="W5" s="88" t="s">
        <v>761</v>
      </c>
      <c r="X5" s="88" t="s">
        <v>59</v>
      </c>
      <c r="Y5" s="88" t="s">
        <v>762</v>
      </c>
      <c r="Z5" s="88" t="s">
        <v>763</v>
      </c>
      <c r="AA5" s="88" t="s">
        <v>764</v>
      </c>
      <c r="AB5" s="88" t="s">
        <v>765</v>
      </c>
      <c r="AC5" s="88" t="s">
        <v>61</v>
      </c>
      <c r="AD5" s="88" t="s">
        <v>766</v>
      </c>
      <c r="AE5" s="88" t="s">
        <v>767</v>
      </c>
      <c r="AF5" s="88" t="s">
        <v>456</v>
      </c>
      <c r="AG5" s="88" t="s">
        <v>457</v>
      </c>
      <c r="AH5" s="88" t="s">
        <v>768</v>
      </c>
      <c r="AI5" s="88" t="s">
        <v>769</v>
      </c>
      <c r="AJ5" s="88" t="s">
        <v>63</v>
      </c>
      <c r="AK5" s="88" t="s">
        <v>770</v>
      </c>
      <c r="AL5" s="88" t="s">
        <v>484</v>
      </c>
      <c r="AM5" s="88" t="s">
        <v>485</v>
      </c>
      <c r="AN5" s="88" t="s">
        <v>771</v>
      </c>
      <c r="AO5" s="88" t="s">
        <v>65</v>
      </c>
      <c r="AP5" s="88" t="s">
        <v>772</v>
      </c>
      <c r="AQ5" s="88" t="s">
        <v>424</v>
      </c>
      <c r="AR5" s="88" t="s">
        <v>494</v>
      </c>
      <c r="AS5" s="88" t="s">
        <v>773</v>
      </c>
      <c r="AT5" s="88" t="s">
        <v>774</v>
      </c>
      <c r="AU5" s="88" t="s">
        <v>775</v>
      </c>
      <c r="AV5" s="88" t="s">
        <v>776</v>
      </c>
      <c r="AW5" s="88" t="s">
        <v>777</v>
      </c>
      <c r="AX5" s="88" t="s">
        <v>778</v>
      </c>
      <c r="AY5" s="88" t="s">
        <v>779</v>
      </c>
      <c r="AZ5" s="88" t="s">
        <v>780</v>
      </c>
      <c r="BA5" s="88" t="s">
        <v>781</v>
      </c>
      <c r="BB5" s="88" t="s">
        <v>782</v>
      </c>
      <c r="BC5" s="88" t="s">
        <v>783</v>
      </c>
      <c r="BD5" s="88" t="s">
        <v>784</v>
      </c>
      <c r="BE5" s="88" t="s">
        <v>785</v>
      </c>
      <c r="BF5" s="88" t="s">
        <v>786</v>
      </c>
      <c r="BG5" s="88" t="s">
        <v>787</v>
      </c>
    </row>
    <row r="6" spans="1:59">
      <c r="A6" s="101" t="s">
        <v>113</v>
      </c>
      <c r="B6" s="89" t="str">
        <f>Brand_Profile!$D$9</f>
        <v>Nusatech Cloud</v>
      </c>
      <c r="C6" s="89" t="str">
        <f>KOL_Database!$A$5</f>
        <v>KOL-01</v>
      </c>
      <c r="D6" s="89" t="str">
        <f>KOL_Database!$B$5</f>
        <v>Ardi Nugraha</v>
      </c>
      <c r="E6" s="89" t="str">
        <f>KOL_Database!$C$5</f>
        <v>@ardidigital</v>
      </c>
      <c r="F6" s="89" t="str">
        <f>KOL_Database!$D$5</f>
        <v>Instagram</v>
      </c>
      <c r="G6" s="89" t="str">
        <f>KOL_Database!$E$5</f>
        <v>Tech</v>
      </c>
      <c r="H6" s="89" t="str">
        <f>KOL_Database!$G$5</f>
        <v>Macro</v>
      </c>
      <c r="I6" s="140">
        <f>KOL_Database!$J$5</f>
        <v>128000</v>
      </c>
      <c r="J6" s="141">
        <f>KOL_Database!$K$5</f>
        <v>3.8</v>
      </c>
      <c r="K6" s="142">
        <f>IFERROR(INDEX(Lookup_Lists!$B$170:$O$181,MATCH(Brand_Profile!$D$10,Lookup_Lists!$A$170:$A$181,0),MATCH(KOL_Database!$E$5,Lookup_Lists!$B$169:$O$169,0)),Lookup_Lists!$D$151)</f>
        <v>100</v>
      </c>
      <c r="L6" s="142">
        <f>IF(KOL_Database!$F$5="",Matching_Engine!$BC$6,IF(Brand_Profile!$D$12=KOL_Database!$F$5,100,IF(Matching_Engine!$BA$6=KOL_Database!$E$5,80,IF(Matching_Engine!$BC$6&gt;=80,60,IF(Matching_Engine!$BC$6&gt;=60,40,Lookup_Lists!$D$151)))))</f>
        <v>80</v>
      </c>
      <c r="M6" s="142">
        <f>ROUND((IF(Brand_Profile!$D$62=0,Lookup_Lists!$D$150,ROUND((IF(Brand_Profile!$D$57="",0,IF(ISNUMBER(SEARCH(Brand_Profile!$D$57,Matching_Engine!$BF$6)),1,0))+IF(Brand_Profile!$D$58="",0,IF(ISNUMBER(SEARCH(Brand_Profile!$D$58,Matching_Engine!$BF$6)),1,0))+IF(Brand_Profile!$D$59="",0,IF(ISNUMBER(SEARCH(Brand_Profile!$D$59,Matching_Engine!$BF$6)),1,0))+IF(Brand_Profile!$D$60="",0,IF(ISNUMBER(SEARCH(Brand_Profile!$D$60,Matching_Engine!$BF$6)),1,0))+IF(Brand_Profile!$D$61="",0,IF(ISNUMBER(SEARCH(Brand_Profile!$D$61,Matching_Engine!$BF$6)),1,0)))/Brand_Profile!$D$62*100,0))+IF(Brand_Profile!$D$74=0,Lookup_Lists!$D$150,ROUND((IF(Brand_Profile!$D$69="",0,IF(ISNUMBER(SEARCH(Brand_Profile!$D$69,Matching_Engine!$BF$6)),1,0))+IF(Brand_Profile!$D$70="",0,IF(ISNUMBER(SEARCH(Brand_Profile!$D$70,Matching_Engine!$BF$6)),1,0))+IF(Brand_Profile!$D$71="",0,IF(ISNUMBER(SEARCH(Brand_Profile!$D$71,Matching_Engine!$BF$6)),1,0))+IF(Brand_Profile!$D$72="",0,IF(ISNUMBER(SEARCH(Brand_Profile!$D$72,Matching_Engine!$BF$6)),1,0))+IF(Brand_Profile!$D$73="",0,IF(ISNUMBER(SEARCH(Brand_Profile!$D$73,Matching_Engine!$BF$6)),1,0)))/Brand_Profile!$D$74*100,0)))/2,0)</f>
        <v>60</v>
      </c>
      <c r="N6" s="142">
        <f>ROUND((Matching_Engine!$K$6*Lookup_Lists!$D$110+Matching_Engine!$L$6*Lookup_Lists!$D$111+Matching_Engine!$M$6*Lookup_Lists!$D$112)/(Lookup_Lists!$D$110+Lookup_Lists!$D$111+Lookup_Lists!$D$112),0)</f>
        <v>82</v>
      </c>
      <c r="O6" s="142">
        <f ca="1">IF(Brand_Profile!$D$16="",Lookup_Lists!$D$150,MIN(100,ROUND((IFERROR(INDEX(KOL_Database!$W$5:KOL_Database!$AA$5,1,MATCH(Brand_Profile!$D$16,Lookup_Lists!$F$6:$F$10,0)),0)+0.5*IFERROR(INDEX(KOL_Database!$W$5:KOL_Database!$AA$5,1,MATCH(Brand_Profile!$D$17,Lookup_Lists!$F$6:$F$10,0)),0))/Lookup_Lists!$D$142*100,0)))</f>
        <v>100</v>
      </c>
      <c r="P6" s="142">
        <f>IF(OR(Brand_Profile!$D$18="",Brand_Profile!$D$18="Any"),100,IF(Brand_Profile!$D$18="Female",MIN(100,ROUND(KOL_Database!$AB$5/Lookup_Lists!$D$143*100,0)),IF(Brand_Profile!$D$18="Male",MIN(100,ROUND(KOL_Database!$AC$5/Lookup_Lists!$D$143*100,0)),MAX(0,ROUND(100-ABS(KOL_Database!$AB$5-50)*2,0)))))</f>
        <v>100</v>
      </c>
      <c r="Q6" s="142">
        <f>ROUND((IF(Brand_Profile!$D$19="",100,IF(KOL_Database!$AD$5=Brand_Profile!$D$19,100,Lookup_Lists!$D$151))*Lookup_Lists!$D$118+IF(OR(Brand_Profile!$D$20="",Brand_Profile!$D$20="Nasional"),100,IF(KOL_Database!$AE$5="",Lookup_Lists!$D$150,IF(KOL_Database!$AE$5=Brand_Profile!$D$20,100,IF(KOL_Database!$AD$5=Brand_Profile!$D$19,40,Lookup_Lists!$D$151))))*Lookup_Lists!$D$119+IF(OR(Brand_Profile!$D$21="",Brand_Profile!$D$21="Nasional"),100,IF(KOL_Database!$AF$5="",Lookup_Lists!$D$150,IF(KOL_Database!$AF$5=Brand_Profile!$D$21,100,IF(KOL_Database!$AE$5=Brand_Profile!$D$20,60,Lookup_Lists!$D$151))))*Lookup_Lists!$D$120)/(Lookup_Lists!$D$118+Lookup_Lists!$D$119+Lookup_Lists!$D$120),0)</f>
        <v>100</v>
      </c>
      <c r="R6" s="142">
        <f>IF(Brand_Profile!$D$68=0,Lookup_Lists!$D$150,ROUND((IF(Brand_Profile!$D$63="",0,IF(ISNUMBER(SEARCH(Brand_Profile!$D$63,KOL_Database!$AG$5)),1,0))+IF(Brand_Profile!$D$64="",0,IF(ISNUMBER(SEARCH(Brand_Profile!$D$64,KOL_Database!$AG$5)),1,0))+IF(Brand_Profile!$D$65="",0,IF(ISNUMBER(SEARCH(Brand_Profile!$D$65,KOL_Database!$AG$5)),1,0))+IF(Brand_Profile!$D$66="",0,IF(ISNUMBER(SEARCH(Brand_Profile!$D$66,KOL_Database!$AG$5)),1,0))+IF(Brand_Profile!$D$67="",0,IF(ISNUMBER(SEARCH(Brand_Profile!$D$67,KOL_Database!$AG$5)),1,0)))/Brand_Profile!$D$68*100,0))</f>
        <v>60</v>
      </c>
      <c r="S6" s="142">
        <f ca="1">ROUND((Matching_Engine!$O$6*Brand_Profile!$D$96+Matching_Engine!$P$6*Brand_Profile!$D$97+Matching_Engine!$Q$6*Brand_Profile!$D$98+Matching_Engine!$R$6*Brand_Profile!$D$99)/MAX(1,Brand_Profile!$D$96+Brand_Profile!$D$97+Brand_Profile!$D$98+Brand_Profile!$D$99),0)</f>
        <v>83</v>
      </c>
      <c r="T6" s="142">
        <f>IF(Brand_Profile!$D$33="",Lookup_Lists!$D$150,Matching_Engine!$BD$6)</f>
        <v>100</v>
      </c>
      <c r="U6" s="142">
        <f>IF(Brand_Profile!$D$34="",Lookup_Lists!$D$150,IF(Brand_Profile!$D$34=KOL_Database!$F$5,100,IF(Matching_Engine!$BE$6=KOL_Database!$E$5,75,IF(Matching_Engine!$BD$6&gt;=80,Lookup_Lists!$D$150,IF(Matching_Engine!$BD$6&gt;=60,35,Lookup_Lists!$D$151)))))</f>
        <v>75</v>
      </c>
      <c r="V6" s="142">
        <f>IF(Brand_Profile!$D$86=0,Lookup_Lists!$D$150,ROUND((IF(Brand_Profile!$D$81="",0,IF(ISNUMBER(SEARCH(Brand_Profile!$D$81,Matching_Engine!$BG$6)),1,0))+IF(Brand_Profile!$D$82="",0,IF(ISNUMBER(SEARCH(Brand_Profile!$D$82,Matching_Engine!$BG$6)),1,0))+IF(Brand_Profile!$D$83="",0,IF(ISNUMBER(SEARCH(Brand_Profile!$D$83,Matching_Engine!$BG$6)),1,0))+IF(Brand_Profile!$D$84="",0,IF(ISNUMBER(SEARCH(Brand_Profile!$D$84,Matching_Engine!$BG$6)),1,0))+IF(Brand_Profile!$D$85="",0,IF(ISNUMBER(SEARCH(Brand_Profile!$D$85,Matching_Engine!$BG$6)),1,0)))/Brand_Profile!$D$86*100,0))</f>
        <v>60</v>
      </c>
      <c r="W6" s="142">
        <f>IF(Brand_Profile!$D$39="",Lookup_Lists!$D$150,IFERROR(INDEX(Lookup_Lists!$B$237:$K$246,MATCH(Brand_Profile!$D$39,Lookup_Lists!$A$237:$A$246,0),MATCH(KOL_Database!$AJ$5,Lookup_Lists!$B$236:$K$236,0)),45))</f>
        <v>80</v>
      </c>
      <c r="X6" s="142">
        <f>ROUND((Matching_Engine!$T$6*Lookup_Lists!$D$121+Matching_Engine!$U$6*Lookup_Lists!$D$122+Matching_Engine!$V$6*Lookup_Lists!$D$123+Matching_Engine!$W$6*Lookup_Lists!$D$124)/(Lookup_Lists!$D$121+Lookup_Lists!$D$122+Lookup_Lists!$D$123+Lookup_Lists!$D$124),0)</f>
        <v>79</v>
      </c>
      <c r="Y6" s="142">
        <f>MIN(100,MAX(IFERROR(INDEX(Lookup_Lists!$B$202:$M$211,MATCH(Brand_Profile!$D$25,Lookup_Lists!$A$202:$A$211,0),MATCH(KOL_Database!$AK$5,Lookup_Lists!$B$201:$M$201,0)),40),IF(KOL_Database!$AK$5=Brand_Profile!$D$41,95,0)))</f>
        <v>85</v>
      </c>
      <c r="Z6" s="142">
        <f>IFERROR(INDEX(Lookup_Lists!$B$215:$K$222,MATCH(Brand_Profile!$D$27,Lookup_Lists!$A$215:$A$222,0),MATCH(KOL_Database!$AJ$5,Lookup_Lists!$B$214:$K$214,0)),45)</f>
        <v>90</v>
      </c>
      <c r="AA6" s="142">
        <f>ROUND((IF(Brand_Profile!$D$80=0,Lookup_Lists!$D$150,ROUND((IF(Brand_Profile!$D$75="",0,IF(ISNUMBER(SEARCH(Brand_Profile!$D$75,KOL_Database!$AL$5)),1,0))+IF(Brand_Profile!$D$76="",0,IF(ISNUMBER(SEARCH(Brand_Profile!$D$76,KOL_Database!$AL$5)),1,0))+IF(Brand_Profile!$D$77="",0,IF(ISNUMBER(SEARCH(Brand_Profile!$D$77,KOL_Database!$AL$5)),1,0))+IF(Brand_Profile!$D$78="",0,IF(ISNUMBER(SEARCH(Brand_Profile!$D$78,KOL_Database!$AL$5)),1,0))+IF(Brand_Profile!$D$79="",0,IF(ISNUMBER(SEARCH(Brand_Profile!$D$79,KOL_Database!$AL$5)),1,0)))/Brand_Profile!$D$80*100,0))+IF(Brand_Profile!$D$92=0,Lookup_Lists!$D$150,ROUND((IF(Brand_Profile!$D$87="",0,IF(ISNUMBER(SEARCH(Brand_Profile!$D$87,KOL_Database!$AL$5)),1,0))+IF(Brand_Profile!$D$88="",0,IF(ISNUMBER(SEARCH(Brand_Profile!$D$88,KOL_Database!$AL$5)),1,0))+IF(Brand_Profile!$D$89="",0,IF(ISNUMBER(SEARCH(Brand_Profile!$D$89,KOL_Database!$AL$5)),1,0))+IF(Brand_Profile!$D$90="",0,IF(ISNUMBER(SEARCH(Brand_Profile!$D$90,KOL_Database!$AL$5)),1,0))+IF(Brand_Profile!$D$91="",0,IF(ISNUMBER(SEARCH(Brand_Profile!$D$91,KOL_Database!$AL$5)),1,0)))/Brand_Profile!$D$92*100,0)))/2,0)</f>
        <v>80</v>
      </c>
      <c r="AB6" s="142">
        <f>IFERROR(INDEX(Lookup_Lists!$B$226:$K$233,MATCH(Brand_Profile!$D$30,Lookup_Lists!$A$226:$A$233,0),MATCH(KOL_Database!$AJ$5,Lookup_Lists!$B$225:$K$225,0)),45)</f>
        <v>70</v>
      </c>
      <c r="AC6" s="142">
        <f>ROUND((Matching_Engine!$Y$6*Lookup_Lists!$D$125+Matching_Engine!$Z$6*Lookup_Lists!$D$126+Matching_Engine!$AA$6*Lookup_Lists!$D$127+Matching_Engine!$AB$6*Lookup_Lists!$D$128)/(Lookup_Lists!$D$125+Lookup_Lists!$D$126+Lookup_Lists!$D$127+Lookup_Lists!$D$128),0)</f>
        <v>83</v>
      </c>
      <c r="AD6" s="142">
        <f>IF(KOL_Database!$K$5="",0,MIN(100,ROUND(KOL_Database!$K$5/Lookup_Lists!$D$141*100,0)))</f>
        <v>63</v>
      </c>
      <c r="AE6" s="142">
        <f>IF(KOL_Database!$R$5="",0,MIN(100,MAX(0,KOL_Database!$R$5)))</f>
        <v>83</v>
      </c>
      <c r="AF6" s="142">
        <f>IF(KOL_Database!$P$5="",0,MIN(100,MAX(0,KOL_Database!$P$5)))</f>
        <v>73</v>
      </c>
      <c r="AG6" s="142">
        <f>IF(KOL_Database!$Q$5="",0,MIN(100,MAX(0,KOL_Database!$Q$5)))</f>
        <v>66</v>
      </c>
      <c r="AH6" s="142">
        <f>IF(OR(KOL_Database!$J$5="",KOL_Database!$J$5=0,KOL_Database!$L$5=""),0,MIN(100,ROUND(KOL_Database!$L$5/KOL_Database!$J$5/Lookup_Lists!$D$144*100,0)))</f>
        <v>72</v>
      </c>
      <c r="AI6" s="142">
        <f>IF(KOL_Database!$N$5="",0,MIN(100,MAX(0,ROUND((KOL_Database!$N$5+2)/(Lookup_Lists!$D$145+2)*100,0))))</f>
        <v>47</v>
      </c>
      <c r="AJ6" s="142">
        <f>ROUND((Matching_Engine!$AD$6*Lookup_Lists!$D$129+Matching_Engine!$AE$6*Lookup_Lists!$D$130+Matching_Engine!$AF$6*Lookup_Lists!$D$131+Matching_Engine!$AG$6*Lookup_Lists!$D$132+Matching_Engine!$AH$6*Lookup_Lists!$D$133+Matching_Engine!$AI$6*Lookup_Lists!$D$134)/(Lookup_Lists!$D$129+Lookup_Lists!$D$130+Lookup_Lists!$D$131+Lookup_Lists!$D$132+Lookup_Lists!$D$133+Lookup_Lists!$D$134),0)</f>
        <v>69</v>
      </c>
      <c r="AK6" s="142">
        <f>IF(KOL_Database!$AT$5="",0,MIN(100,MAX(0,KOL_Database!$AT$5)))</f>
        <v>90</v>
      </c>
      <c r="AL6" s="142">
        <f>IF(KOL_Database!$AU$5="",0,KOL_Database!$AU$5)</f>
        <v>56</v>
      </c>
      <c r="AM6" s="89" t="str">
        <f>IF(KOL_Database!$AV$5="","None",KOL_Database!$AV$5)</f>
        <v>None</v>
      </c>
      <c r="AN6" s="143">
        <f>IF(Matching_Engine!$AM$6="High",Lookup_Lists!$D$137,IF(Matching_Engine!$AM$6="Medium",Lookup_Lists!$D$138,IF(Matching_Engine!$AM$6="Low",Lookup_Lists!$D$139,Lookup_Lists!$D$140)))</f>
        <v>1</v>
      </c>
      <c r="AO6" s="142">
        <f>ROUND(MIN(100,MAX(0,(Matching_Engine!$AK$6*Lookup_Lists!$D$135+(100-Matching_Engine!$AL$6)*Lookup_Lists!$D$136)/(Lookup_Lists!$D$135+Lookup_Lists!$D$136)*Matching_Engine!$AN$6)),0)</f>
        <v>81</v>
      </c>
      <c r="AP6" s="13">
        <f ca="1">ROUND((Matching_Engine!$N$6*Lookup_Lists!$D$104+Matching_Engine!$S$6*Lookup_Lists!$D$105+Matching_Engine!$X$6*Lookup_Lists!$D$106+Matching_Engine!$AC$6*Lookup_Lists!$D$107+Matching_Engine!$AJ$6*Lookup_Lists!$D$108+Matching_Engine!$AO$6*Lookup_Lists!$D$109)/MAX(1,(Lookup_Lists!$D$104+Lookup_Lists!$D$105+Lookup_Lists!$D$106+Lookup_Lists!$D$107+Lookup_Lists!$D$108+Lookup_Lists!$D$109)),0)</f>
        <v>80</v>
      </c>
      <c r="AQ6" s="89" t="str">
        <f ca="1">IF(Matching_Engine!$AP$6&gt;=Lookup_Lists!$D$152,"Excellent Match",IF(Matching_Engine!$AP$6&gt;=Lookup_Lists!$D$153,"Strong Match",IF(Matching_Engine!$AP$6&gt;=Lookup_Lists!$D$154,"Good Match",IF(Matching_Engine!$AP$6&gt;=Lookup_Lists!$D$155,"Moderate Match","Low Match"))))</f>
        <v>Strong Match</v>
      </c>
      <c r="AR6" s="142">
        <f>KOL_Database!$BE$5</f>
        <v>100</v>
      </c>
      <c r="AS6" s="89" t="str">
        <f>IF(Matching_Engine!$AR$6&gt;=Lookup_Lists!$D$159,"High",IF(Matching_Engine!$AR$6&gt;=Lookup_Lists!$D$160,"Medium","Limited Data"))</f>
        <v>High</v>
      </c>
      <c r="AT6" s="142">
        <f>ROUND((Matching_Engine!$N$6+Matching_Engine!$X$6+Matching_Engine!$AC$6)/3,0)</f>
        <v>81</v>
      </c>
      <c r="AU6" s="142">
        <f>ROUND(((100-Matching_Engine!$AL$6)*Lookup_Lists!$D$162+IF(KOL_Database!$BD$5="",Lookup_Lists!$D$150,KOL_Database!$BD$5)*Lookup_Lists!$D$163+Matching_Engine!$AI$6*Lookup_Lists!$D$164+Matching_Engine!$AD$6*Lookup_Lists!$D$165)/(Lookup_Lists!$D$162+Lookup_Lists!$D$163+Lookup_Lists!$D$164+Lookup_Lists!$D$165),0)</f>
        <v>54</v>
      </c>
      <c r="AV6" s="89" t="str">
        <f ca="1">IF(Matching_Engine!$AW$6="","PASS","EXCLUDED")</f>
        <v>PASS</v>
      </c>
      <c r="AW6" s="89" t="str">
        <f ca="1">IF(ISERROR(SEARCH(KOL_Database!$D$5,Brand_Profile!$D$32)),"Platform not in Preferred Platform",IF(AND(Brand_Profile!$D$36&gt;0,KOL_Database!$J$5&lt;Brand_Profile!$D$36),"Followers below Preferred Follower Range",IF(AND(Brand_Profile!$D$37&gt;0,KOL_Database!$J$5&gt;Brand_Profile!$D$37),"Followers above Preferred Follower Range",IF(AND(Brand_Profile!$D$38&gt;0,IF(KOL_Database!$K$5="",0,KOL_Database!$K$5)&lt;Brand_Profile!$D$38),"Engagement Rate below Minimum Engagement Rate",IF(ISERROR(SEARCH(KOL_Database!$G$5,Brand_Profile!$D$35)),"Tier not in Preferred Tier",IF(AND(Brand_Profile!$D$43&gt;0,Matching_Engine!$AE$6&lt;Brand_Profile!$D$43),"Audience Quality below Minimum Audience Quality",IF(AND(Brand_Profile!$D$44&gt;0,Matching_Engine!$AK$6&lt;Brand_Profile!$D$44),"Brand Safety below Minimum Brand Safety",IF(AND(Brand_Profile!$D$47="Yes",KOL_Database!$AD$5&lt;&gt;Brand_Profile!$D$19),"Audience Country does not match Target Country",IF(AND(Brand_Profile!$D$46="Yes",KOL_Database!$E$5&lt;&gt;Brand_Profile!$D$33),"Category is not the Preferred Category",IF(AND(Brand_Profile!$D$48&gt;0,Matching_Engine!$AL$6&gt;Brand_Profile!$D$48),"Competitor Saturation above Max Competitor Saturation",IF(AND(Brand_Profile!$D$50="Yes",KOL_Database!$AW$5="Yes"),"Already Selected",IF(AND(Brand_Profile!$D$51="Yes",KOL_Database!$AX$5="Yes"),"Already in Cart",IF(AND(Brand_Profile!$D$52="Yes",KOL_Database!$AY$5="Yes"),"Existing Partner",IF(AND(Brand_Profile!$D$53="Yes",KOL_Database!$AZ$5="Yes"),"Excluded Creator",IF(AND(Brand_Profile!$D$49&gt;0,Matching_Engine!$AP$6&lt;Brand_Profile!$D$49),"Brand Match below Minimum Brand Match","")))))))))))))))</f>
        <v/>
      </c>
      <c r="AX6" s="89" t="str">
        <f ca="1">IF(Matching_Engine!$AV$6="EXCLUDED","Excluded",IF(Matching_Engine!$AP$6&gt;=Lookup_Lists!$D$156,"Highly Recommended",IF(Matching_Engine!$AP$6&gt;=Lookup_Lists!$D$157,"Recommended",IF(Matching_Engine!$AP$6&gt;=Lookup_Lists!$D$158,"Consider","Low Priority"))))</f>
        <v>Recommended</v>
      </c>
      <c r="AY6" s="142">
        <f ca="1">IF(Matching_Engine!$AV$6="PASS",Matching_Engine!$AP$6,"")</f>
        <v>80</v>
      </c>
      <c r="AZ6" s="89" t="str">
        <f>Matching_Engine!$A$6&amp;"|"&amp;Matching_Engine!$C$6</f>
        <v>BRAND-A|KOL-01</v>
      </c>
      <c r="BA6" s="89" t="str">
        <f>IFERROR(INDEX(Lookup_Lists!$B$51:$B$92,MATCH(Brand_Profile!$D$12,Lookup_Lists!$A$51:$A$92,0)),"")</f>
        <v>Tech</v>
      </c>
      <c r="BB6" s="89" t="str">
        <f>IFERROR(INDEX(Lookup_Lists!$B$51:$B$92,MATCH(KOL_Database!$F$5,Lookup_Lists!$A$51:$A$92,0)),"")</f>
        <v>Tech</v>
      </c>
      <c r="BC6" s="142">
        <f>IFERROR(INDEX(Lookup_Lists!$B$185:$O$198,MATCH(Matching_Engine!$BA$6,Lookup_Lists!$A$185:$A$198,0),MATCH(KOL_Database!$E$5,Lookup_Lists!$B$184:$O$184,0)),Lookup_Lists!$D$151)</f>
        <v>100</v>
      </c>
      <c r="BD6" s="142">
        <f>IFERROR(INDEX(Lookup_Lists!$B$185:$O$198,MATCH(Brand_Profile!$D$33,Lookup_Lists!$A$185:$A$198,0),MATCH(KOL_Database!$E$5,Lookup_Lists!$B$184:$O$184,0)),Lookup_Lists!$D$151)</f>
        <v>100</v>
      </c>
      <c r="BE6" s="89" t="str">
        <f>IFERROR(INDEX(Lookup_Lists!$B$51:$B$92,MATCH(Brand_Profile!$D$34,Lookup_Lists!$A$51:$A$92,0)),"")</f>
        <v>Tech</v>
      </c>
      <c r="BF6" s="89" t="str">
        <f>KOL_Database!$AI$5&amp;", "&amp;KOL_Database!$AG$5&amp;", "&amp;KOL_Database!$F$5&amp;", "&amp;KOL_Database!$E$5</f>
        <v>Technology, Productivity, Business, Technology, Productivity, Business, Gaming, Shopping, Gadget Review, Tech</v>
      </c>
      <c r="BG6" s="89" t="str">
        <f>KOL_Database!$AI$5&amp;", "&amp;KOL_Database!$AG$5</f>
        <v>Technology, Productivity, Business, Technology, Productivity, Business, Gaming, Shopping</v>
      </c>
    </row>
    <row r="7" spans="1:59">
      <c r="A7" s="101" t="s">
        <v>113</v>
      </c>
      <c r="B7" s="89" t="str">
        <f>Brand_Profile!$D$9</f>
        <v>Nusatech Cloud</v>
      </c>
      <c r="C7" s="89" t="str">
        <f>KOL_Database!$A$6</f>
        <v>KOL-02</v>
      </c>
      <c r="D7" s="89" t="str">
        <f>KOL_Database!$B$6</f>
        <v>Rifqi Pratama</v>
      </c>
      <c r="E7" s="89" t="str">
        <f>KOL_Database!$C$6</f>
        <v>@rifqi.codes</v>
      </c>
      <c r="F7" s="89" t="str">
        <f>KOL_Database!$D$6</f>
        <v>TikTok</v>
      </c>
      <c r="G7" s="89" t="str">
        <f>KOL_Database!$E$6</f>
        <v>Tech</v>
      </c>
      <c r="H7" s="89" t="str">
        <f>KOL_Database!$G$6</f>
        <v>Mid-tier</v>
      </c>
      <c r="I7" s="140">
        <f>KOL_Database!$J$6</f>
        <v>86000</v>
      </c>
      <c r="J7" s="141">
        <f>KOL_Database!$K$6</f>
        <v>6.2</v>
      </c>
      <c r="K7" s="142">
        <f>IFERROR(INDEX(Lookup_Lists!$B$170:$O$181,MATCH(Brand_Profile!$D$10,Lookup_Lists!$A$170:$A$181,0),MATCH(KOL_Database!$E$6,Lookup_Lists!$B$169:$O$169,0)),Lookup_Lists!$D$151)</f>
        <v>100</v>
      </c>
      <c r="L7" s="142">
        <f>IF(KOL_Database!$F$6="",Matching_Engine!$BC$7,IF(Brand_Profile!$D$12=KOL_Database!$F$6,100,IF(Matching_Engine!$BA$7=KOL_Database!$E$6,80,IF(Matching_Engine!$BC$7&gt;=80,60,IF(Matching_Engine!$BC$7&gt;=60,40,Lookup_Lists!$D$151)))))</f>
        <v>100</v>
      </c>
      <c r="M7" s="142">
        <f>ROUND((IF(Brand_Profile!$D$62=0,Lookup_Lists!$D$150,ROUND((IF(Brand_Profile!$D$57="",0,IF(ISNUMBER(SEARCH(Brand_Profile!$D$57,Matching_Engine!$BF$7)),1,0))+IF(Brand_Profile!$D$58="",0,IF(ISNUMBER(SEARCH(Brand_Profile!$D$58,Matching_Engine!$BF$7)),1,0))+IF(Brand_Profile!$D$59="",0,IF(ISNUMBER(SEARCH(Brand_Profile!$D$59,Matching_Engine!$BF$7)),1,0))+IF(Brand_Profile!$D$60="",0,IF(ISNUMBER(SEARCH(Brand_Profile!$D$60,Matching_Engine!$BF$7)),1,0))+IF(Brand_Profile!$D$61="",0,IF(ISNUMBER(SEARCH(Brand_Profile!$D$61,Matching_Engine!$BF$7)),1,0)))/Brand_Profile!$D$62*100,0))+IF(Brand_Profile!$D$74=0,Lookup_Lists!$D$150,ROUND((IF(Brand_Profile!$D$69="",0,IF(ISNUMBER(SEARCH(Brand_Profile!$D$69,Matching_Engine!$BF$7)),1,0))+IF(Brand_Profile!$D$70="",0,IF(ISNUMBER(SEARCH(Brand_Profile!$D$70,Matching_Engine!$BF$7)),1,0))+IF(Brand_Profile!$D$71="",0,IF(ISNUMBER(SEARCH(Brand_Profile!$D$71,Matching_Engine!$BF$7)),1,0))+IF(Brand_Profile!$D$72="",0,IF(ISNUMBER(SEARCH(Brand_Profile!$D$72,Matching_Engine!$BF$7)),1,0))+IF(Brand_Profile!$D$73="",0,IF(ISNUMBER(SEARCH(Brand_Profile!$D$73,Matching_Engine!$BF$7)),1,0)))/Brand_Profile!$D$74*100,0)))/2,0)</f>
        <v>100</v>
      </c>
      <c r="N7" s="142">
        <f>ROUND((Matching_Engine!$K$7*Lookup_Lists!$D$110+Matching_Engine!$L$7*Lookup_Lists!$D$111+Matching_Engine!$M$7*Lookup_Lists!$D$112)/(Lookup_Lists!$D$110+Lookup_Lists!$D$111+Lookup_Lists!$D$112),0)</f>
        <v>100</v>
      </c>
      <c r="O7" s="142">
        <f ca="1">IF(Brand_Profile!$D$16="",Lookup_Lists!$D$150,MIN(100,ROUND((IFERROR(INDEX(KOL_Database!$W$6:KOL_Database!$AA$6,1,MATCH(Brand_Profile!$D$16,Lookup_Lists!$F$6:$F$10,0)),0)+0.5*IFERROR(INDEX(KOL_Database!$W$6:KOL_Database!$AA$6,1,MATCH(Brand_Profile!$D$17,Lookup_Lists!$F$6:$F$10,0)),0))/Lookup_Lists!$D$142*100,0)))</f>
        <v>100</v>
      </c>
      <c r="P7" s="142">
        <f>IF(OR(Brand_Profile!$D$18="",Brand_Profile!$D$18="Any"),100,IF(Brand_Profile!$D$18="Female",MIN(100,ROUND(KOL_Database!$AB$6/Lookup_Lists!$D$143*100,0)),IF(Brand_Profile!$D$18="Male",MIN(100,ROUND(KOL_Database!$AC$6/Lookup_Lists!$D$143*100,0)),MAX(0,ROUND(100-ABS(KOL_Database!$AB$6-50)*2,0)))))</f>
        <v>100</v>
      </c>
      <c r="Q7" s="142">
        <f>ROUND((IF(Brand_Profile!$D$19="",100,IF(KOL_Database!$AD$6=Brand_Profile!$D$19,100,Lookup_Lists!$D$151))*Lookup_Lists!$D$118+IF(OR(Brand_Profile!$D$20="",Brand_Profile!$D$20="Nasional"),100,IF(KOL_Database!$AE$6="",Lookup_Lists!$D$150,IF(KOL_Database!$AE$6=Brand_Profile!$D$20,100,IF(KOL_Database!$AD$6=Brand_Profile!$D$19,40,Lookup_Lists!$D$151))))*Lookup_Lists!$D$119+IF(OR(Brand_Profile!$D$21="",Brand_Profile!$D$21="Nasional"),100,IF(KOL_Database!$AF$6="",Lookup_Lists!$D$150,IF(KOL_Database!$AF$6=Brand_Profile!$D$21,100,IF(KOL_Database!$AE$6=Brand_Profile!$D$20,60,Lookup_Lists!$D$151))))*Lookup_Lists!$D$120)/(Lookup_Lists!$D$118+Lookup_Lists!$D$119+Lookup_Lists!$D$120),0)</f>
        <v>65</v>
      </c>
      <c r="R7" s="142">
        <f>IF(Brand_Profile!$D$68=0,Lookup_Lists!$D$150,ROUND((IF(Brand_Profile!$D$63="",0,IF(ISNUMBER(SEARCH(Brand_Profile!$D$63,KOL_Database!$AG$6)),1,0))+IF(Brand_Profile!$D$64="",0,IF(ISNUMBER(SEARCH(Brand_Profile!$D$64,KOL_Database!$AG$6)),1,0))+IF(Brand_Profile!$D$65="",0,IF(ISNUMBER(SEARCH(Brand_Profile!$D$65,KOL_Database!$AG$6)),1,0))+IF(Brand_Profile!$D$66="",0,IF(ISNUMBER(SEARCH(Brand_Profile!$D$66,KOL_Database!$AG$6)),1,0))+IF(Brand_Profile!$D$67="",0,IF(ISNUMBER(SEARCH(Brand_Profile!$D$67,KOL_Database!$AG$6)),1,0)))/Brand_Profile!$D$68*100,0))</f>
        <v>100</v>
      </c>
      <c r="S7" s="142">
        <f ca="1">ROUND((Matching_Engine!$O$7*Brand_Profile!$D$96+Matching_Engine!$P$7*Brand_Profile!$D$97+Matching_Engine!$Q$7*Brand_Profile!$D$98+Matching_Engine!$R$7*Brand_Profile!$D$99)/MAX(1,Brand_Profile!$D$96+Brand_Profile!$D$97+Brand_Profile!$D$98+Brand_Profile!$D$99),0)</f>
        <v>91</v>
      </c>
      <c r="T7" s="142">
        <f>IF(Brand_Profile!$D$33="",Lookup_Lists!$D$150,Matching_Engine!$BD$7)</f>
        <v>100</v>
      </c>
      <c r="U7" s="142">
        <f>IF(Brand_Profile!$D$34="",Lookup_Lists!$D$150,IF(Brand_Profile!$D$34=KOL_Database!$F$6,100,IF(Matching_Engine!$BE$7=KOL_Database!$E$6,75,IF(Matching_Engine!$BD$7&gt;=80,Lookup_Lists!$D$150,IF(Matching_Engine!$BD$7&gt;=60,35,Lookup_Lists!$D$151)))))</f>
        <v>100</v>
      </c>
      <c r="V7" s="142">
        <f>IF(Brand_Profile!$D$86=0,Lookup_Lists!$D$150,ROUND((IF(Brand_Profile!$D$81="",0,IF(ISNUMBER(SEARCH(Brand_Profile!$D$81,Matching_Engine!$BG$7)),1,0))+IF(Brand_Profile!$D$82="",0,IF(ISNUMBER(SEARCH(Brand_Profile!$D$82,Matching_Engine!$BG$7)),1,0))+IF(Brand_Profile!$D$83="",0,IF(ISNUMBER(SEARCH(Brand_Profile!$D$83,Matching_Engine!$BG$7)),1,0))+IF(Brand_Profile!$D$84="",0,IF(ISNUMBER(SEARCH(Brand_Profile!$D$84,Matching_Engine!$BG$7)),1,0))+IF(Brand_Profile!$D$85="",0,IF(ISNUMBER(SEARCH(Brand_Profile!$D$85,Matching_Engine!$BG$7)),1,0)))/Brand_Profile!$D$86*100,0))</f>
        <v>100</v>
      </c>
      <c r="W7" s="142">
        <f>IF(Brand_Profile!$D$39="",Lookup_Lists!$D$150,IFERROR(INDEX(Lookup_Lists!$B$237:$K$246,MATCH(Brand_Profile!$D$39,Lookup_Lists!$A$237:$A$246,0),MATCH(KOL_Database!$AJ$6,Lookup_Lists!$B$236:$K$236,0)),45))</f>
        <v>100</v>
      </c>
      <c r="X7" s="142">
        <f>ROUND((Matching_Engine!$T$7*Lookup_Lists!$D$121+Matching_Engine!$U$7*Lookup_Lists!$D$122+Matching_Engine!$V$7*Lookup_Lists!$D$123+Matching_Engine!$W$7*Lookup_Lists!$D$124)/(Lookup_Lists!$D$121+Lookup_Lists!$D$122+Lookup_Lists!$D$123+Lookup_Lists!$D$124),0)</f>
        <v>100</v>
      </c>
      <c r="Y7" s="142">
        <f>MIN(100,MAX(IFERROR(INDEX(Lookup_Lists!$B$202:$M$211,MATCH(Brand_Profile!$D$25,Lookup_Lists!$A$202:$A$211,0),MATCH(KOL_Database!$AK$6,Lookup_Lists!$B$201:$M$201,0)),40),IF(KOL_Database!$AK$6=Brand_Profile!$D$41,95,0)))</f>
        <v>95</v>
      </c>
      <c r="Z7" s="142">
        <f>IFERROR(INDEX(Lookup_Lists!$B$215:$K$222,MATCH(Brand_Profile!$D$27,Lookup_Lists!$A$215:$A$222,0),MATCH(KOL_Database!$AJ$6,Lookup_Lists!$B$214:$K$214,0)),45)</f>
        <v>100</v>
      </c>
      <c r="AA7" s="142">
        <f>ROUND((IF(Brand_Profile!$D$80=0,Lookup_Lists!$D$150,ROUND((IF(Brand_Profile!$D$75="",0,IF(ISNUMBER(SEARCH(Brand_Profile!$D$75,KOL_Database!$AL$6)),1,0))+IF(Brand_Profile!$D$76="",0,IF(ISNUMBER(SEARCH(Brand_Profile!$D$76,KOL_Database!$AL$6)),1,0))+IF(Brand_Profile!$D$77="",0,IF(ISNUMBER(SEARCH(Brand_Profile!$D$77,KOL_Database!$AL$6)),1,0))+IF(Brand_Profile!$D$78="",0,IF(ISNUMBER(SEARCH(Brand_Profile!$D$78,KOL_Database!$AL$6)),1,0))+IF(Brand_Profile!$D$79="",0,IF(ISNUMBER(SEARCH(Brand_Profile!$D$79,KOL_Database!$AL$6)),1,0)))/Brand_Profile!$D$80*100,0))+IF(Brand_Profile!$D$92=0,Lookup_Lists!$D$150,ROUND((IF(Brand_Profile!$D$87="",0,IF(ISNUMBER(SEARCH(Brand_Profile!$D$87,KOL_Database!$AL$6)),1,0))+IF(Brand_Profile!$D$88="",0,IF(ISNUMBER(SEARCH(Brand_Profile!$D$88,KOL_Database!$AL$6)),1,0))+IF(Brand_Profile!$D$89="",0,IF(ISNUMBER(SEARCH(Brand_Profile!$D$89,KOL_Database!$AL$6)),1,0))+IF(Brand_Profile!$D$90="",0,IF(ISNUMBER(SEARCH(Brand_Profile!$D$90,KOL_Database!$AL$6)),1,0))+IF(Brand_Profile!$D$91="",0,IF(ISNUMBER(SEARCH(Brand_Profile!$D$91,KOL_Database!$AL$6)),1,0)))/Brand_Profile!$D$92*100,0)))/2,0)</f>
        <v>80</v>
      </c>
      <c r="AB7" s="142">
        <f>IFERROR(INDEX(Lookup_Lists!$B$226:$K$233,MATCH(Brand_Profile!$D$30,Lookup_Lists!$A$226:$A$233,0),MATCH(KOL_Database!$AJ$6,Lookup_Lists!$B$225:$K$225,0)),45)</f>
        <v>100</v>
      </c>
      <c r="AC7" s="142">
        <f>ROUND((Matching_Engine!$Y$7*Lookup_Lists!$D$125+Matching_Engine!$Z$7*Lookup_Lists!$D$126+Matching_Engine!$AA$7*Lookup_Lists!$D$127+Matching_Engine!$AB$7*Lookup_Lists!$D$128)/(Lookup_Lists!$D$125+Lookup_Lists!$D$126+Lookup_Lists!$D$127+Lookup_Lists!$D$128),0)</f>
        <v>93</v>
      </c>
      <c r="AD7" s="142">
        <f>IF(KOL_Database!$K$6="",0,MIN(100,ROUND(KOL_Database!$K$6/Lookup_Lists!$D$141*100,0)))</f>
        <v>100</v>
      </c>
      <c r="AE7" s="142">
        <f>IF(KOL_Database!$R$6="",0,MIN(100,MAX(0,KOL_Database!$R$6)))</f>
        <v>75</v>
      </c>
      <c r="AF7" s="142">
        <f>IF(KOL_Database!$P$6="",0,MIN(100,MAX(0,KOL_Database!$P$6)))</f>
        <v>56</v>
      </c>
      <c r="AG7" s="142">
        <f>IF(KOL_Database!$Q$6="",0,MIN(100,MAX(0,KOL_Database!$Q$6)))</f>
        <v>92</v>
      </c>
      <c r="AH7" s="142">
        <f>IF(OR(KOL_Database!$J$6="",KOL_Database!$J$6=0,KOL_Database!$L$6=""),0,MIN(100,ROUND(KOL_Database!$L$6/KOL_Database!$J$6/Lookup_Lists!$D$144*100,0)))</f>
        <v>100</v>
      </c>
      <c r="AI7" s="142">
        <f>IF(KOL_Database!$N$6="",0,MIN(100,MAX(0,ROUND((KOL_Database!$N$6+2)/(Lookup_Lists!$D$145+2)*100,0))))</f>
        <v>69</v>
      </c>
      <c r="AJ7" s="142">
        <f>ROUND((Matching_Engine!$AD$7*Lookup_Lists!$D$129+Matching_Engine!$AE$7*Lookup_Lists!$D$130+Matching_Engine!$AF$7*Lookup_Lists!$D$131+Matching_Engine!$AG$7*Lookup_Lists!$D$132+Matching_Engine!$AH$7*Lookup_Lists!$D$133+Matching_Engine!$AI$7*Lookup_Lists!$D$134)/(Lookup_Lists!$D$129+Lookup_Lists!$D$130+Lookup_Lists!$D$131+Lookup_Lists!$D$132+Lookup_Lists!$D$133+Lookup_Lists!$D$134),0)</f>
        <v>84</v>
      </c>
      <c r="AK7" s="142">
        <f>IF(KOL_Database!$AT$6="",0,MIN(100,MAX(0,KOL_Database!$AT$6)))</f>
        <v>82</v>
      </c>
      <c r="AL7" s="142">
        <f>IF(KOL_Database!$AU$6="",0,KOL_Database!$AU$6)</f>
        <v>40</v>
      </c>
      <c r="AM7" s="89" t="str">
        <f>IF(KOL_Database!$AV$6="","None",KOL_Database!$AV$6)</f>
        <v>None</v>
      </c>
      <c r="AN7" s="143">
        <f>IF(Matching_Engine!$AM$7="High",Lookup_Lists!$D$137,IF(Matching_Engine!$AM$7="Medium",Lookup_Lists!$D$138,IF(Matching_Engine!$AM$7="Low",Lookup_Lists!$D$139,Lookup_Lists!$D$140)))</f>
        <v>1</v>
      </c>
      <c r="AO7" s="142">
        <f>ROUND(MIN(100,MAX(0,(Matching_Engine!$AK$7*Lookup_Lists!$D$135+(100-Matching_Engine!$AL$7)*Lookup_Lists!$D$136)/(Lookup_Lists!$D$135+Lookup_Lists!$D$136)*Matching_Engine!$AN$7)),0)</f>
        <v>78</v>
      </c>
      <c r="AP7" s="13">
        <f ca="1">ROUND((Matching_Engine!$N$7*Lookup_Lists!$D$104+Matching_Engine!$S$7*Lookup_Lists!$D$105+Matching_Engine!$X$7*Lookup_Lists!$D$106+Matching_Engine!$AC$7*Lookup_Lists!$D$107+Matching_Engine!$AJ$7*Lookup_Lists!$D$108+Matching_Engine!$AO$7*Lookup_Lists!$D$109)/MAX(1,(Lookup_Lists!$D$104+Lookup_Lists!$D$105+Lookup_Lists!$D$106+Lookup_Lists!$D$107+Lookup_Lists!$D$108+Lookup_Lists!$D$109)),0)</f>
        <v>93</v>
      </c>
      <c r="AQ7" s="89" t="str">
        <f ca="1">IF(Matching_Engine!$AP$7&gt;=Lookup_Lists!$D$152,"Excellent Match",IF(Matching_Engine!$AP$7&gt;=Lookup_Lists!$D$153,"Strong Match",IF(Matching_Engine!$AP$7&gt;=Lookup_Lists!$D$154,"Good Match",IF(Matching_Engine!$AP$7&gt;=Lookup_Lists!$D$155,"Moderate Match","Low Match"))))</f>
        <v>Excellent Match</v>
      </c>
      <c r="AR7" s="142">
        <f>KOL_Database!$BE$6</f>
        <v>100</v>
      </c>
      <c r="AS7" s="89" t="str">
        <f>IF(Matching_Engine!$AR$7&gt;=Lookup_Lists!$D$159,"High",IF(Matching_Engine!$AR$7&gt;=Lookup_Lists!$D$160,"Medium","Limited Data"))</f>
        <v>High</v>
      </c>
      <c r="AT7" s="142">
        <f>ROUND((Matching_Engine!$N$7+Matching_Engine!$X$7+Matching_Engine!$AC$7)/3,0)</f>
        <v>98</v>
      </c>
      <c r="AU7" s="142">
        <f>ROUND(((100-Matching_Engine!$AL$7)*Lookup_Lists!$D$162+IF(KOL_Database!$BD$6="",Lookup_Lists!$D$150,KOL_Database!$BD$6)*Lookup_Lists!$D$163+Matching_Engine!$AI$7*Lookup_Lists!$D$164+Matching_Engine!$AD$7*Lookup_Lists!$D$165)/(Lookup_Lists!$D$162+Lookup_Lists!$D$163+Lookup_Lists!$D$164+Lookup_Lists!$D$165),0)</f>
        <v>78</v>
      </c>
      <c r="AV7" s="89" t="str">
        <f ca="1">IF(Matching_Engine!$AW$7="","PASS","EXCLUDED")</f>
        <v>PASS</v>
      </c>
      <c r="AW7" s="89" t="str">
        <f ca="1">IF(ISERROR(SEARCH(KOL_Database!$D$6,Brand_Profile!$D$32)),"Platform not in Preferred Platform",IF(AND(Brand_Profile!$D$36&gt;0,KOL_Database!$J$6&lt;Brand_Profile!$D$36),"Followers below Preferred Follower Range",IF(AND(Brand_Profile!$D$37&gt;0,KOL_Database!$J$6&gt;Brand_Profile!$D$37),"Followers above Preferred Follower Range",IF(AND(Brand_Profile!$D$38&gt;0,IF(KOL_Database!$K$6="",0,KOL_Database!$K$6)&lt;Brand_Profile!$D$38),"Engagement Rate below Minimum Engagement Rate",IF(ISERROR(SEARCH(KOL_Database!$G$6,Brand_Profile!$D$35)),"Tier not in Preferred Tier",IF(AND(Brand_Profile!$D$43&gt;0,Matching_Engine!$AE$7&lt;Brand_Profile!$D$43),"Audience Quality below Minimum Audience Quality",IF(AND(Brand_Profile!$D$44&gt;0,Matching_Engine!$AK$7&lt;Brand_Profile!$D$44),"Brand Safety below Minimum Brand Safety",IF(AND(Brand_Profile!$D$47="Yes",KOL_Database!$AD$6&lt;&gt;Brand_Profile!$D$19),"Audience Country does not match Target Country",IF(AND(Brand_Profile!$D$46="Yes",KOL_Database!$E$6&lt;&gt;Brand_Profile!$D$33),"Category is not the Preferred Category",IF(AND(Brand_Profile!$D$48&gt;0,Matching_Engine!$AL$7&gt;Brand_Profile!$D$48),"Competitor Saturation above Max Competitor Saturation",IF(AND(Brand_Profile!$D$50="Yes",KOL_Database!$AW$6="Yes"),"Already Selected",IF(AND(Brand_Profile!$D$51="Yes",KOL_Database!$AX$6="Yes"),"Already in Cart",IF(AND(Brand_Profile!$D$52="Yes",KOL_Database!$AY$6="Yes"),"Existing Partner",IF(AND(Brand_Profile!$D$53="Yes",KOL_Database!$AZ$6="Yes"),"Excluded Creator",IF(AND(Brand_Profile!$D$49&gt;0,Matching_Engine!$AP$7&lt;Brand_Profile!$D$49),"Brand Match below Minimum Brand Match","")))))))))))))))</f>
        <v/>
      </c>
      <c r="AX7" s="89" t="str">
        <f ca="1">IF(Matching_Engine!$AV$7="EXCLUDED","Excluded",IF(Matching_Engine!$AP$7&gt;=Lookup_Lists!$D$156,"Highly Recommended",IF(Matching_Engine!$AP$7&gt;=Lookup_Lists!$D$157,"Recommended",IF(Matching_Engine!$AP$7&gt;=Lookup_Lists!$D$158,"Consider","Low Priority"))))</f>
        <v>Highly Recommended</v>
      </c>
      <c r="AY7" s="142">
        <f ca="1">IF(Matching_Engine!$AV$7="PASS",Matching_Engine!$AP$7,"")</f>
        <v>93</v>
      </c>
      <c r="AZ7" s="89" t="str">
        <f>Matching_Engine!$A$7&amp;"|"&amp;Matching_Engine!$C$7</f>
        <v>BRAND-A|KOL-02</v>
      </c>
      <c r="BA7" s="89" t="str">
        <f>IFERROR(INDEX(Lookup_Lists!$B$51:$B$92,MATCH(Brand_Profile!$D$12,Lookup_Lists!$A$51:$A$92,0)),"")</f>
        <v>Tech</v>
      </c>
      <c r="BB7" s="89" t="str">
        <f>IFERROR(INDEX(Lookup_Lists!$B$51:$B$92,MATCH(KOL_Database!$F$6,Lookup_Lists!$A$51:$A$92,0)),"")</f>
        <v>Tech</v>
      </c>
      <c r="BC7" s="142">
        <f>IFERROR(INDEX(Lookup_Lists!$B$185:$O$198,MATCH(Matching_Engine!$BA$7,Lookup_Lists!$A$185:$A$198,0),MATCH(KOL_Database!$E$6,Lookup_Lists!$B$184:$O$184,0)),Lookup_Lists!$D$151)</f>
        <v>100</v>
      </c>
      <c r="BD7" s="142">
        <f>IFERROR(INDEX(Lookup_Lists!$B$185:$O$198,MATCH(Brand_Profile!$D$33,Lookup_Lists!$A$185:$A$198,0),MATCH(KOL_Database!$E$6,Lookup_Lists!$B$184:$O$184,0)),Lookup_Lists!$D$151)</f>
        <v>100</v>
      </c>
      <c r="BE7" s="89" t="str">
        <f>IFERROR(INDEX(Lookup_Lists!$B$51:$B$92,MATCH(Brand_Profile!$D$34,Lookup_Lists!$A$51:$A$92,0)),"")</f>
        <v>Tech</v>
      </c>
      <c r="BF7" s="89" t="str">
        <f>KOL_Database!$AI$6&amp;", "&amp;KOL_Database!$AG$6&amp;", "&amp;KOL_Database!$F$6&amp;", "&amp;KOL_Database!$E$6</f>
        <v>Technology, Productivity, Education, Business, Technology, Productivity, Education, Business, Finance, Software &amp; SaaS, Tech</v>
      </c>
      <c r="BG7" s="89" t="str">
        <f>KOL_Database!$AI$6&amp;", "&amp;KOL_Database!$AG$6</f>
        <v>Technology, Productivity, Education, Business, Technology, Productivity, Education, Business, Finance</v>
      </c>
    </row>
    <row r="8" spans="1:59">
      <c r="A8" s="101" t="s">
        <v>113</v>
      </c>
      <c r="B8" s="89" t="str">
        <f>Brand_Profile!$D$9</f>
        <v>Nusatech Cloud</v>
      </c>
      <c r="C8" s="89" t="str">
        <f>KOL_Database!$A$7</f>
        <v>KOL-03</v>
      </c>
      <c r="D8" s="89" t="str">
        <f>KOL_Database!$B$7</f>
        <v>Salsa Aulia</v>
      </c>
      <c r="E8" s="89" t="str">
        <f>KOL_Database!$C$7</f>
        <v>@salsabeautydiary</v>
      </c>
      <c r="F8" s="89" t="str">
        <f>KOL_Database!$D$7</f>
        <v>Instagram</v>
      </c>
      <c r="G8" s="89" t="str">
        <f>KOL_Database!$E$7</f>
        <v>Beauty</v>
      </c>
      <c r="H8" s="89" t="str">
        <f>KOL_Database!$G$7</f>
        <v>Macro</v>
      </c>
      <c r="I8" s="140">
        <f>KOL_Database!$J$7</f>
        <v>240000</v>
      </c>
      <c r="J8" s="141">
        <f>KOL_Database!$K$7</f>
        <v>4.4</v>
      </c>
      <c r="K8" s="142">
        <f>IFERROR(INDEX(Lookup_Lists!$B$170:$O$181,MATCH(Brand_Profile!$D$10,Lookup_Lists!$A$170:$A$181,0),MATCH(KOL_Database!$E$7,Lookup_Lists!$B$169:$O$169,0)),Lookup_Lists!$D$151)</f>
        <v>20</v>
      </c>
      <c r="L8" s="142">
        <f>IF(KOL_Database!$F$7="",Matching_Engine!$BC$8,IF(Brand_Profile!$D$12=KOL_Database!$F$7,100,IF(Matching_Engine!$BA$8=KOL_Database!$E$7,80,IF(Matching_Engine!$BC$8&gt;=80,60,IF(Matching_Engine!$BC$8&gt;=60,40,Lookup_Lists!$D$151)))))</f>
        <v>20</v>
      </c>
      <c r="M8" s="142">
        <f>ROUND((IF(Brand_Profile!$D$62=0,Lookup_Lists!$D$150,ROUND((IF(Brand_Profile!$D$57="",0,IF(ISNUMBER(SEARCH(Brand_Profile!$D$57,Matching_Engine!$BF$8)),1,0))+IF(Brand_Profile!$D$58="",0,IF(ISNUMBER(SEARCH(Brand_Profile!$D$58,Matching_Engine!$BF$8)),1,0))+IF(Brand_Profile!$D$59="",0,IF(ISNUMBER(SEARCH(Brand_Profile!$D$59,Matching_Engine!$BF$8)),1,0))+IF(Brand_Profile!$D$60="",0,IF(ISNUMBER(SEARCH(Brand_Profile!$D$60,Matching_Engine!$BF$8)),1,0))+IF(Brand_Profile!$D$61="",0,IF(ISNUMBER(SEARCH(Brand_Profile!$D$61,Matching_Engine!$BF$8)),1,0)))/Brand_Profile!$D$62*100,0))+IF(Brand_Profile!$D$74=0,Lookup_Lists!$D$150,ROUND((IF(Brand_Profile!$D$69="",0,IF(ISNUMBER(SEARCH(Brand_Profile!$D$69,Matching_Engine!$BF$8)),1,0))+IF(Brand_Profile!$D$70="",0,IF(ISNUMBER(SEARCH(Brand_Profile!$D$70,Matching_Engine!$BF$8)),1,0))+IF(Brand_Profile!$D$71="",0,IF(ISNUMBER(SEARCH(Brand_Profile!$D$71,Matching_Engine!$BF$8)),1,0))+IF(Brand_Profile!$D$72="",0,IF(ISNUMBER(SEARCH(Brand_Profile!$D$72,Matching_Engine!$BF$8)),1,0))+IF(Brand_Profile!$D$73="",0,IF(ISNUMBER(SEARCH(Brand_Profile!$D$73,Matching_Engine!$BF$8)),1,0)))/Brand_Profile!$D$74*100,0)))/2,0)</f>
        <v>0</v>
      </c>
      <c r="N8" s="142">
        <f>ROUND((Matching_Engine!$K$8*Lookup_Lists!$D$110+Matching_Engine!$L$8*Lookup_Lists!$D$111+Matching_Engine!$M$8*Lookup_Lists!$D$112)/(Lookup_Lists!$D$110+Lookup_Lists!$D$111+Lookup_Lists!$D$112),0)</f>
        <v>14</v>
      </c>
      <c r="O8" s="142">
        <f ca="1">IF(Brand_Profile!$D$16="",Lookup_Lists!$D$150,MIN(100,ROUND((IFERROR(INDEX(KOL_Database!$W$7:KOL_Database!$AA$7,1,MATCH(Brand_Profile!$D$16,Lookup_Lists!$F$6:$F$10,0)),0)+0.5*IFERROR(INDEX(KOL_Database!$W$7:KOL_Database!$AA$7,1,MATCH(Brand_Profile!$D$17,Lookup_Lists!$F$6:$F$10,0)),0))/Lookup_Lists!$D$142*100,0)))</f>
        <v>100</v>
      </c>
      <c r="P8" s="142">
        <f>IF(OR(Brand_Profile!$D$18="",Brand_Profile!$D$18="Any"),100,IF(Brand_Profile!$D$18="Female",MIN(100,ROUND(KOL_Database!$AB$7/Lookup_Lists!$D$143*100,0)),IF(Brand_Profile!$D$18="Male",MIN(100,ROUND(KOL_Database!$AC$7/Lookup_Lists!$D$143*100,0)),MAX(0,ROUND(100-ABS(KOL_Database!$AB$7-50)*2,0)))))</f>
        <v>100</v>
      </c>
      <c r="Q8" s="142">
        <f>ROUND((IF(Brand_Profile!$D$19="",100,IF(KOL_Database!$AD$7=Brand_Profile!$D$19,100,Lookup_Lists!$D$151))*Lookup_Lists!$D$118+IF(OR(Brand_Profile!$D$20="",Brand_Profile!$D$20="Nasional"),100,IF(KOL_Database!$AE$7="",Lookup_Lists!$D$150,IF(KOL_Database!$AE$7=Brand_Profile!$D$20,100,IF(KOL_Database!$AD$7=Brand_Profile!$D$19,40,Lookup_Lists!$D$151))))*Lookup_Lists!$D$119+IF(OR(Brand_Profile!$D$21="",Brand_Profile!$D$21="Nasional"),100,IF(KOL_Database!$AF$7="",Lookup_Lists!$D$150,IF(KOL_Database!$AF$7=Brand_Profile!$D$21,100,IF(KOL_Database!$AE$7=Brand_Profile!$D$20,60,Lookup_Lists!$D$151))))*Lookup_Lists!$D$120)/(Lookup_Lists!$D$118+Lookup_Lists!$D$119+Lookup_Lists!$D$120),0)</f>
        <v>100</v>
      </c>
      <c r="R8" s="142">
        <f>IF(Brand_Profile!$D$68=0,Lookup_Lists!$D$150,ROUND((IF(Brand_Profile!$D$63="",0,IF(ISNUMBER(SEARCH(Brand_Profile!$D$63,KOL_Database!$AG$7)),1,0))+IF(Brand_Profile!$D$64="",0,IF(ISNUMBER(SEARCH(Brand_Profile!$D$64,KOL_Database!$AG$7)),1,0))+IF(Brand_Profile!$D$65="",0,IF(ISNUMBER(SEARCH(Brand_Profile!$D$65,KOL_Database!$AG$7)),1,0))+IF(Brand_Profile!$D$66="",0,IF(ISNUMBER(SEARCH(Brand_Profile!$D$66,KOL_Database!$AG$7)),1,0))+IF(Brand_Profile!$D$67="",0,IF(ISNUMBER(SEARCH(Brand_Profile!$D$67,KOL_Database!$AG$7)),1,0)))/Brand_Profile!$D$68*100,0))</f>
        <v>0</v>
      </c>
      <c r="S8" s="142">
        <f ca="1">ROUND((Matching_Engine!$O$8*Brand_Profile!$D$96+Matching_Engine!$P$8*Brand_Profile!$D$97+Matching_Engine!$Q$8*Brand_Profile!$D$98+Matching_Engine!$R$8*Brand_Profile!$D$99)/MAX(1,Brand_Profile!$D$96+Brand_Profile!$D$97+Brand_Profile!$D$98+Brand_Profile!$D$99),0)</f>
        <v>58</v>
      </c>
      <c r="T8" s="142">
        <f>IF(Brand_Profile!$D$33="",Lookup_Lists!$D$150,Matching_Engine!$BD$8)</f>
        <v>20</v>
      </c>
      <c r="U8" s="142">
        <f>IF(Brand_Profile!$D$34="",Lookup_Lists!$D$150,IF(Brand_Profile!$D$34=KOL_Database!$F$7,100,IF(Matching_Engine!$BE$8=KOL_Database!$E$7,75,IF(Matching_Engine!$BD$8&gt;=80,Lookup_Lists!$D$150,IF(Matching_Engine!$BD$8&gt;=60,35,Lookup_Lists!$D$151)))))</f>
        <v>20</v>
      </c>
      <c r="V8" s="142">
        <f>IF(Brand_Profile!$D$86=0,Lookup_Lists!$D$150,ROUND((IF(Brand_Profile!$D$81="",0,IF(ISNUMBER(SEARCH(Brand_Profile!$D$81,Matching_Engine!$BG$8)),1,0))+IF(Brand_Profile!$D$82="",0,IF(ISNUMBER(SEARCH(Brand_Profile!$D$82,Matching_Engine!$BG$8)),1,0))+IF(Brand_Profile!$D$83="",0,IF(ISNUMBER(SEARCH(Brand_Profile!$D$83,Matching_Engine!$BG$8)),1,0))+IF(Brand_Profile!$D$84="",0,IF(ISNUMBER(SEARCH(Brand_Profile!$D$84,Matching_Engine!$BG$8)),1,0))+IF(Brand_Profile!$D$85="",0,IF(ISNUMBER(SEARCH(Brand_Profile!$D$85,Matching_Engine!$BG$8)),1,0)))/Brand_Profile!$D$86*100,0))</f>
        <v>0</v>
      </c>
      <c r="W8" s="142">
        <f>IF(Brand_Profile!$D$39="",Lookup_Lists!$D$150,IFERROR(INDEX(Lookup_Lists!$B$237:$K$246,MATCH(Brand_Profile!$D$39,Lookup_Lists!$A$237:$A$246,0),MATCH(KOL_Database!$AJ$7,Lookup_Lists!$B$236:$K$236,0)),45))</f>
        <v>80</v>
      </c>
      <c r="X8" s="142">
        <f>ROUND((Matching_Engine!$T$8*Lookup_Lists!$D$121+Matching_Engine!$U$8*Lookup_Lists!$D$122+Matching_Engine!$V$8*Lookup_Lists!$D$123+Matching_Engine!$W$8*Lookup_Lists!$D$124)/(Lookup_Lists!$D$121+Lookup_Lists!$D$122+Lookup_Lists!$D$123+Lookup_Lists!$D$124),0)</f>
        <v>26</v>
      </c>
      <c r="Y8" s="142">
        <f>MIN(100,MAX(IFERROR(INDEX(Lookup_Lists!$B$202:$M$211,MATCH(Brand_Profile!$D$25,Lookup_Lists!$A$202:$A$211,0),MATCH(KOL_Database!$AK$7,Lookup_Lists!$B$201:$M$201,0)),40),IF(KOL_Database!$AK$7=Brand_Profile!$D$41,95,0)))</f>
        <v>85</v>
      </c>
      <c r="Z8" s="142">
        <f>IFERROR(INDEX(Lookup_Lists!$B$215:$K$222,MATCH(Brand_Profile!$D$27,Lookup_Lists!$A$215:$A$222,0),MATCH(KOL_Database!$AJ$7,Lookup_Lists!$B$214:$K$214,0)),45)</f>
        <v>90</v>
      </c>
      <c r="AA8" s="142">
        <f>ROUND((IF(Brand_Profile!$D$80=0,Lookup_Lists!$D$150,ROUND((IF(Brand_Profile!$D$75="",0,IF(ISNUMBER(SEARCH(Brand_Profile!$D$75,KOL_Database!$AL$7)),1,0))+IF(Brand_Profile!$D$76="",0,IF(ISNUMBER(SEARCH(Brand_Profile!$D$76,KOL_Database!$AL$7)),1,0))+IF(Brand_Profile!$D$77="",0,IF(ISNUMBER(SEARCH(Brand_Profile!$D$77,KOL_Database!$AL$7)),1,0))+IF(Brand_Profile!$D$78="",0,IF(ISNUMBER(SEARCH(Brand_Profile!$D$78,KOL_Database!$AL$7)),1,0))+IF(Brand_Profile!$D$79="",0,IF(ISNUMBER(SEARCH(Brand_Profile!$D$79,KOL_Database!$AL$7)),1,0)))/Brand_Profile!$D$80*100,0))+IF(Brand_Profile!$D$92=0,Lookup_Lists!$D$150,ROUND((IF(Brand_Profile!$D$87="",0,IF(ISNUMBER(SEARCH(Brand_Profile!$D$87,KOL_Database!$AL$7)),1,0))+IF(Brand_Profile!$D$88="",0,IF(ISNUMBER(SEARCH(Brand_Profile!$D$88,KOL_Database!$AL$7)),1,0))+IF(Brand_Profile!$D$89="",0,IF(ISNUMBER(SEARCH(Brand_Profile!$D$89,KOL_Database!$AL$7)),1,0))+IF(Brand_Profile!$D$90="",0,IF(ISNUMBER(SEARCH(Brand_Profile!$D$90,KOL_Database!$AL$7)),1,0))+IF(Brand_Profile!$D$91="",0,IF(ISNUMBER(SEARCH(Brand_Profile!$D$91,KOL_Database!$AL$7)),1,0)))/Brand_Profile!$D$92*100,0)))/2,0)</f>
        <v>40</v>
      </c>
      <c r="AB8" s="142">
        <f>IFERROR(INDEX(Lookup_Lists!$B$226:$K$233,MATCH(Brand_Profile!$D$30,Lookup_Lists!$A$226:$A$233,0),MATCH(KOL_Database!$AJ$7,Lookup_Lists!$B$225:$K$225,0)),45)</f>
        <v>70</v>
      </c>
      <c r="AC8" s="142">
        <f>ROUND((Matching_Engine!$Y$8*Lookup_Lists!$D$125+Matching_Engine!$Z$8*Lookup_Lists!$D$126+Matching_Engine!$AA$8*Lookup_Lists!$D$127+Matching_Engine!$AB$8*Lookup_Lists!$D$128)/(Lookup_Lists!$D$125+Lookup_Lists!$D$126+Lookup_Lists!$D$127+Lookup_Lists!$D$128),0)</f>
        <v>73</v>
      </c>
      <c r="AD8" s="142">
        <f>IF(KOL_Database!$K$7="",0,MIN(100,ROUND(KOL_Database!$K$7/Lookup_Lists!$D$141*100,0)))</f>
        <v>73</v>
      </c>
      <c r="AE8" s="142">
        <f>IF(KOL_Database!$R$7="",0,MIN(100,MAX(0,KOL_Database!$R$7)))</f>
        <v>77</v>
      </c>
      <c r="AF8" s="142">
        <f>IF(KOL_Database!$P$7="",0,MIN(100,MAX(0,KOL_Database!$P$7)))</f>
        <v>74</v>
      </c>
      <c r="AG8" s="142">
        <f>IF(KOL_Database!$Q$7="",0,MIN(100,MAX(0,KOL_Database!$Q$7)))</f>
        <v>68</v>
      </c>
      <c r="AH8" s="142">
        <f>IF(OR(KOL_Database!$J$7="",KOL_Database!$J$7=0,KOL_Database!$L$7=""),0,MIN(100,ROUND(KOL_Database!$L$7/KOL_Database!$J$7/Lookup_Lists!$D$144*100,0)))</f>
        <v>59</v>
      </c>
      <c r="AI8" s="142">
        <f>IF(KOL_Database!$N$7="",0,MIN(100,MAX(0,ROUND((KOL_Database!$N$7+2)/(Lookup_Lists!$D$145+2)*100,0))))</f>
        <v>47</v>
      </c>
      <c r="AJ8" s="142">
        <f>ROUND((Matching_Engine!$AD$8*Lookup_Lists!$D$129+Matching_Engine!$AE$8*Lookup_Lists!$D$130+Matching_Engine!$AF$8*Lookup_Lists!$D$131+Matching_Engine!$AG$8*Lookup_Lists!$D$132+Matching_Engine!$AH$8*Lookup_Lists!$D$133+Matching_Engine!$AI$8*Lookup_Lists!$D$134)/(Lookup_Lists!$D$129+Lookup_Lists!$D$130+Lookup_Lists!$D$131+Lookup_Lists!$D$132+Lookup_Lists!$D$133+Lookup_Lists!$D$134),0)</f>
        <v>71</v>
      </c>
      <c r="AK8" s="142">
        <f>IF(KOL_Database!$AT$7="",0,MIN(100,MAX(0,KOL_Database!$AT$7)))</f>
        <v>85</v>
      </c>
      <c r="AL8" s="142">
        <f>IF(KOL_Database!$AU$7="",0,KOL_Database!$AU$7)</f>
        <v>45</v>
      </c>
      <c r="AM8" s="89" t="str">
        <f>IF(KOL_Database!$AV$7="","None",KOL_Database!$AV$7)</f>
        <v>None</v>
      </c>
      <c r="AN8" s="143">
        <f>IF(Matching_Engine!$AM$8="High",Lookup_Lists!$D$137,IF(Matching_Engine!$AM$8="Medium",Lookup_Lists!$D$138,IF(Matching_Engine!$AM$8="Low",Lookup_Lists!$D$139,Lookup_Lists!$D$140)))</f>
        <v>1</v>
      </c>
      <c r="AO8" s="142">
        <f>ROUND(MIN(100,MAX(0,(Matching_Engine!$AK$8*Lookup_Lists!$D$135+(100-Matching_Engine!$AL$8)*Lookup_Lists!$D$136)/(Lookup_Lists!$D$135+Lookup_Lists!$D$136)*Matching_Engine!$AN$8)),0)</f>
        <v>79</v>
      </c>
      <c r="AP8" s="13">
        <f ca="1">ROUND((Matching_Engine!$N$8*Lookup_Lists!$D$104+Matching_Engine!$S$8*Lookup_Lists!$D$105+Matching_Engine!$X$8*Lookup_Lists!$D$106+Matching_Engine!$AC$8*Lookup_Lists!$D$107+Matching_Engine!$AJ$8*Lookup_Lists!$D$108+Matching_Engine!$AO$8*Lookup_Lists!$D$109)/MAX(1,(Lookup_Lists!$D$104+Lookup_Lists!$D$105+Lookup_Lists!$D$106+Lookup_Lists!$D$107+Lookup_Lists!$D$108+Lookup_Lists!$D$109)),0)</f>
        <v>48</v>
      </c>
      <c r="AQ8" s="89" t="str">
        <f ca="1">IF(Matching_Engine!$AP$8&gt;=Lookup_Lists!$D$152,"Excellent Match",IF(Matching_Engine!$AP$8&gt;=Lookup_Lists!$D$153,"Strong Match",IF(Matching_Engine!$AP$8&gt;=Lookup_Lists!$D$154,"Good Match",IF(Matching_Engine!$AP$8&gt;=Lookup_Lists!$D$155,"Moderate Match","Low Match"))))</f>
        <v>Low Match</v>
      </c>
      <c r="AR8" s="142">
        <f>KOL_Database!$BE$7</f>
        <v>100</v>
      </c>
      <c r="AS8" s="89" t="str">
        <f>IF(Matching_Engine!$AR$8&gt;=Lookup_Lists!$D$159,"High",IF(Matching_Engine!$AR$8&gt;=Lookup_Lists!$D$160,"Medium","Limited Data"))</f>
        <v>High</v>
      </c>
      <c r="AT8" s="142">
        <f>ROUND((Matching_Engine!$N$8+Matching_Engine!$X$8+Matching_Engine!$AC$8)/3,0)</f>
        <v>38</v>
      </c>
      <c r="AU8" s="142">
        <f>ROUND(((100-Matching_Engine!$AL$8)*Lookup_Lists!$D$162+IF(KOL_Database!$BD$7="",Lookup_Lists!$D$150,KOL_Database!$BD$7)*Lookup_Lists!$D$163+Matching_Engine!$AI$8*Lookup_Lists!$D$164+Matching_Engine!$AD$8*Lookup_Lists!$D$165)/(Lookup_Lists!$D$162+Lookup_Lists!$D$163+Lookup_Lists!$D$164+Lookup_Lists!$D$165),0)</f>
        <v>59</v>
      </c>
      <c r="AV8" s="89" t="str">
        <f ca="1">IF(Matching_Engine!$AW$8="","PASS","EXCLUDED")</f>
        <v>PASS</v>
      </c>
      <c r="AW8" s="89" t="str">
        <f ca="1">IF(ISERROR(SEARCH(KOL_Database!$D$7,Brand_Profile!$D$32)),"Platform not in Preferred Platform",IF(AND(Brand_Profile!$D$36&gt;0,KOL_Database!$J$7&lt;Brand_Profile!$D$36),"Followers below Preferred Follower Range",IF(AND(Brand_Profile!$D$37&gt;0,KOL_Database!$J$7&gt;Brand_Profile!$D$37),"Followers above Preferred Follower Range",IF(AND(Brand_Profile!$D$38&gt;0,IF(KOL_Database!$K$7="",0,KOL_Database!$K$7)&lt;Brand_Profile!$D$38),"Engagement Rate below Minimum Engagement Rate",IF(ISERROR(SEARCH(KOL_Database!$G$7,Brand_Profile!$D$35)),"Tier not in Preferred Tier",IF(AND(Brand_Profile!$D$43&gt;0,Matching_Engine!$AE$8&lt;Brand_Profile!$D$43),"Audience Quality below Minimum Audience Quality",IF(AND(Brand_Profile!$D$44&gt;0,Matching_Engine!$AK$8&lt;Brand_Profile!$D$44),"Brand Safety below Minimum Brand Safety",IF(AND(Brand_Profile!$D$47="Yes",KOL_Database!$AD$7&lt;&gt;Brand_Profile!$D$19),"Audience Country does not match Target Country",IF(AND(Brand_Profile!$D$46="Yes",KOL_Database!$E$7&lt;&gt;Brand_Profile!$D$33),"Category is not the Preferred Category",IF(AND(Brand_Profile!$D$48&gt;0,Matching_Engine!$AL$8&gt;Brand_Profile!$D$48),"Competitor Saturation above Max Competitor Saturation",IF(AND(Brand_Profile!$D$50="Yes",KOL_Database!$AW$7="Yes"),"Already Selected",IF(AND(Brand_Profile!$D$51="Yes",KOL_Database!$AX$7="Yes"),"Already in Cart",IF(AND(Brand_Profile!$D$52="Yes",KOL_Database!$AY$7="Yes"),"Existing Partner",IF(AND(Brand_Profile!$D$53="Yes",KOL_Database!$AZ$7="Yes"),"Excluded Creator",IF(AND(Brand_Profile!$D$49&gt;0,Matching_Engine!$AP$8&lt;Brand_Profile!$D$49),"Brand Match below Minimum Brand Match","")))))))))))))))</f>
        <v/>
      </c>
      <c r="AX8" s="89" t="str">
        <f ca="1">IF(Matching_Engine!$AV$8="EXCLUDED","Excluded",IF(Matching_Engine!$AP$8&gt;=Lookup_Lists!$D$156,"Highly Recommended",IF(Matching_Engine!$AP$8&gt;=Lookup_Lists!$D$157,"Recommended",IF(Matching_Engine!$AP$8&gt;=Lookup_Lists!$D$158,"Consider","Low Priority"))))</f>
        <v>Low Priority</v>
      </c>
      <c r="AY8" s="142">
        <f ca="1">IF(Matching_Engine!$AV$8="PASS",Matching_Engine!$AP$8,"")</f>
        <v>48</v>
      </c>
      <c r="AZ8" s="89" t="str">
        <f>Matching_Engine!$A$8&amp;"|"&amp;Matching_Engine!$C$8</f>
        <v>BRAND-A|KOL-03</v>
      </c>
      <c r="BA8" s="89" t="str">
        <f>IFERROR(INDEX(Lookup_Lists!$B$51:$B$92,MATCH(Brand_Profile!$D$12,Lookup_Lists!$A$51:$A$92,0)),"")</f>
        <v>Tech</v>
      </c>
      <c r="BB8" s="89" t="str">
        <f>IFERROR(INDEX(Lookup_Lists!$B$51:$B$92,MATCH(KOL_Database!$F$7,Lookup_Lists!$A$51:$A$92,0)),"")</f>
        <v>Beauty</v>
      </c>
      <c r="BC8" s="142">
        <f>IFERROR(INDEX(Lookup_Lists!$B$185:$O$198,MATCH(Matching_Engine!$BA$8,Lookup_Lists!$A$185:$A$198,0),MATCH(KOL_Database!$E$7,Lookup_Lists!$B$184:$O$184,0)),Lookup_Lists!$D$151)</f>
        <v>20</v>
      </c>
      <c r="BD8" s="142">
        <f>IFERROR(INDEX(Lookup_Lists!$B$185:$O$198,MATCH(Brand_Profile!$D$33,Lookup_Lists!$A$185:$A$198,0),MATCH(KOL_Database!$E$7,Lookup_Lists!$B$184:$O$184,0)),Lookup_Lists!$D$151)</f>
        <v>20</v>
      </c>
      <c r="BE8" s="89" t="str">
        <f>IFERROR(INDEX(Lookup_Lists!$B$51:$B$92,MATCH(Brand_Profile!$D$34,Lookup_Lists!$A$51:$A$92,0)),"")</f>
        <v>Tech</v>
      </c>
      <c r="BF8" s="89" t="str">
        <f>KOL_Database!$AI$7&amp;", "&amp;KOL_Database!$AG$7&amp;", "&amp;KOL_Database!$F$7&amp;", "&amp;KOL_Database!$E$7</f>
        <v>Skincare, Beauty, Health, Skincare, Beauty, Makeup, Shopping, Health, Skincare, Beauty</v>
      </c>
      <c r="BG8" s="89" t="str">
        <f>KOL_Database!$AI$7&amp;", "&amp;KOL_Database!$AG$7</f>
        <v>Skincare, Beauty, Health, Skincare, Beauty, Makeup, Shopping, Health</v>
      </c>
    </row>
    <row r="9" spans="1:59">
      <c r="A9" s="101" t="s">
        <v>113</v>
      </c>
      <c r="B9" s="89" t="str">
        <f>Brand_Profile!$D$9</f>
        <v>Nusatech Cloud</v>
      </c>
      <c r="C9" s="89" t="str">
        <f>KOL_Database!$A$8</f>
        <v>KOL-04</v>
      </c>
      <c r="D9" s="89" t="str">
        <f>KOL_Database!$B$8</f>
        <v>Nadia Puspa</v>
      </c>
      <c r="E9" s="89" t="str">
        <f>KOL_Database!$C$8</f>
        <v>@nadiaglowup</v>
      </c>
      <c r="F9" s="89" t="str">
        <f>KOL_Database!$D$8</f>
        <v>TikTok</v>
      </c>
      <c r="G9" s="89" t="str">
        <f>KOL_Database!$E$8</f>
        <v>Beauty</v>
      </c>
      <c r="H9" s="89" t="str">
        <f>KOL_Database!$G$8</f>
        <v>Macro</v>
      </c>
      <c r="I9" s="140">
        <f>KOL_Database!$J$8</f>
        <v>512000</v>
      </c>
      <c r="J9" s="141">
        <f>KOL_Database!$K$8</f>
        <v>7.1</v>
      </c>
      <c r="K9" s="142">
        <f>IFERROR(INDEX(Lookup_Lists!$B$170:$O$181,MATCH(Brand_Profile!$D$10,Lookup_Lists!$A$170:$A$181,0),MATCH(KOL_Database!$E$8,Lookup_Lists!$B$169:$O$169,0)),Lookup_Lists!$D$151)</f>
        <v>20</v>
      </c>
      <c r="L9" s="142">
        <f>IF(KOL_Database!$F$8="",Matching_Engine!$BC$9,IF(Brand_Profile!$D$12=KOL_Database!$F$8,100,IF(Matching_Engine!$BA$9=KOL_Database!$E$8,80,IF(Matching_Engine!$BC$9&gt;=80,60,IF(Matching_Engine!$BC$9&gt;=60,40,Lookup_Lists!$D$151)))))</f>
        <v>20</v>
      </c>
      <c r="M9" s="142">
        <f>ROUND((IF(Brand_Profile!$D$62=0,Lookup_Lists!$D$150,ROUND((IF(Brand_Profile!$D$57="",0,IF(ISNUMBER(SEARCH(Brand_Profile!$D$57,Matching_Engine!$BF$9)),1,0))+IF(Brand_Profile!$D$58="",0,IF(ISNUMBER(SEARCH(Brand_Profile!$D$58,Matching_Engine!$BF$9)),1,0))+IF(Brand_Profile!$D$59="",0,IF(ISNUMBER(SEARCH(Brand_Profile!$D$59,Matching_Engine!$BF$9)),1,0))+IF(Brand_Profile!$D$60="",0,IF(ISNUMBER(SEARCH(Brand_Profile!$D$60,Matching_Engine!$BF$9)),1,0))+IF(Brand_Profile!$D$61="",0,IF(ISNUMBER(SEARCH(Brand_Profile!$D$61,Matching_Engine!$BF$9)),1,0)))/Brand_Profile!$D$62*100,0))+IF(Brand_Profile!$D$74=0,Lookup_Lists!$D$150,ROUND((IF(Brand_Profile!$D$69="",0,IF(ISNUMBER(SEARCH(Brand_Profile!$D$69,Matching_Engine!$BF$9)),1,0))+IF(Brand_Profile!$D$70="",0,IF(ISNUMBER(SEARCH(Brand_Profile!$D$70,Matching_Engine!$BF$9)),1,0))+IF(Brand_Profile!$D$71="",0,IF(ISNUMBER(SEARCH(Brand_Profile!$D$71,Matching_Engine!$BF$9)),1,0))+IF(Brand_Profile!$D$72="",0,IF(ISNUMBER(SEARCH(Brand_Profile!$D$72,Matching_Engine!$BF$9)),1,0))+IF(Brand_Profile!$D$73="",0,IF(ISNUMBER(SEARCH(Brand_Profile!$D$73,Matching_Engine!$BF$9)),1,0)))/Brand_Profile!$D$74*100,0)))/2,0)</f>
        <v>0</v>
      </c>
      <c r="N9" s="142">
        <f>ROUND((Matching_Engine!$K$9*Lookup_Lists!$D$110+Matching_Engine!$L$9*Lookup_Lists!$D$111+Matching_Engine!$M$9*Lookup_Lists!$D$112)/(Lookup_Lists!$D$110+Lookup_Lists!$D$111+Lookup_Lists!$D$112),0)</f>
        <v>14</v>
      </c>
      <c r="O9" s="142">
        <f ca="1">IF(Brand_Profile!$D$16="",Lookup_Lists!$D$150,MIN(100,ROUND((IFERROR(INDEX(KOL_Database!$W$8:KOL_Database!$AA$8,1,MATCH(Brand_Profile!$D$16,Lookup_Lists!$F$6:$F$10,0)),0)+0.5*IFERROR(INDEX(KOL_Database!$W$8:KOL_Database!$AA$8,1,MATCH(Brand_Profile!$D$17,Lookup_Lists!$F$6:$F$10,0)),0))/Lookup_Lists!$D$142*100,0)))</f>
        <v>100</v>
      </c>
      <c r="P9" s="142">
        <f>IF(OR(Brand_Profile!$D$18="",Brand_Profile!$D$18="Any"),100,IF(Brand_Profile!$D$18="Female",MIN(100,ROUND(KOL_Database!$AB$8/Lookup_Lists!$D$143*100,0)),IF(Brand_Profile!$D$18="Male",MIN(100,ROUND(KOL_Database!$AC$8/Lookup_Lists!$D$143*100,0)),MAX(0,ROUND(100-ABS(KOL_Database!$AB$8-50)*2,0)))))</f>
        <v>100</v>
      </c>
      <c r="Q9" s="142">
        <f>ROUND((IF(Brand_Profile!$D$19="",100,IF(KOL_Database!$AD$8=Brand_Profile!$D$19,100,Lookup_Lists!$D$151))*Lookup_Lists!$D$118+IF(OR(Brand_Profile!$D$20="",Brand_Profile!$D$20="Nasional"),100,IF(KOL_Database!$AE$8="",Lookup_Lists!$D$150,IF(KOL_Database!$AE$8=Brand_Profile!$D$20,100,IF(KOL_Database!$AD$8=Brand_Profile!$D$19,40,Lookup_Lists!$D$151))))*Lookup_Lists!$D$119+IF(OR(Brand_Profile!$D$21="",Brand_Profile!$D$21="Nasional"),100,IF(KOL_Database!$AF$8="",Lookup_Lists!$D$150,IF(KOL_Database!$AF$8=Brand_Profile!$D$21,100,IF(KOL_Database!$AE$8=Brand_Profile!$D$20,60,Lookup_Lists!$D$151))))*Lookup_Lists!$D$120)/(Lookup_Lists!$D$118+Lookup_Lists!$D$119+Lookup_Lists!$D$120),0)</f>
        <v>65</v>
      </c>
      <c r="R9" s="142">
        <f>IF(Brand_Profile!$D$68=0,Lookup_Lists!$D$150,ROUND((IF(Brand_Profile!$D$63="",0,IF(ISNUMBER(SEARCH(Brand_Profile!$D$63,KOL_Database!$AG$8)),1,0))+IF(Brand_Profile!$D$64="",0,IF(ISNUMBER(SEARCH(Brand_Profile!$D$64,KOL_Database!$AG$8)),1,0))+IF(Brand_Profile!$D$65="",0,IF(ISNUMBER(SEARCH(Brand_Profile!$D$65,KOL_Database!$AG$8)),1,0))+IF(Brand_Profile!$D$66="",0,IF(ISNUMBER(SEARCH(Brand_Profile!$D$66,KOL_Database!$AG$8)),1,0))+IF(Brand_Profile!$D$67="",0,IF(ISNUMBER(SEARCH(Brand_Profile!$D$67,KOL_Database!$AG$8)),1,0)))/Brand_Profile!$D$68*100,0))</f>
        <v>0</v>
      </c>
      <c r="S9" s="142">
        <f ca="1">ROUND((Matching_Engine!$O$9*Brand_Profile!$D$96+Matching_Engine!$P$9*Brand_Profile!$D$97+Matching_Engine!$Q$9*Brand_Profile!$D$98+Matching_Engine!$R$9*Brand_Profile!$D$99)/MAX(1,Brand_Profile!$D$96+Brand_Profile!$D$97+Brand_Profile!$D$98+Brand_Profile!$D$99),0)</f>
        <v>49</v>
      </c>
      <c r="T9" s="142">
        <f>IF(Brand_Profile!$D$33="",Lookup_Lists!$D$150,Matching_Engine!$BD$9)</f>
        <v>20</v>
      </c>
      <c r="U9" s="142">
        <f>IF(Brand_Profile!$D$34="",Lookup_Lists!$D$150,IF(Brand_Profile!$D$34=KOL_Database!$F$8,100,IF(Matching_Engine!$BE$9=KOL_Database!$E$8,75,IF(Matching_Engine!$BD$9&gt;=80,Lookup_Lists!$D$150,IF(Matching_Engine!$BD$9&gt;=60,35,Lookup_Lists!$D$151)))))</f>
        <v>20</v>
      </c>
      <c r="V9" s="142">
        <f>IF(Brand_Profile!$D$86=0,Lookup_Lists!$D$150,ROUND((IF(Brand_Profile!$D$81="",0,IF(ISNUMBER(SEARCH(Brand_Profile!$D$81,Matching_Engine!$BG$9)),1,0))+IF(Brand_Profile!$D$82="",0,IF(ISNUMBER(SEARCH(Brand_Profile!$D$82,Matching_Engine!$BG$9)),1,0))+IF(Brand_Profile!$D$83="",0,IF(ISNUMBER(SEARCH(Brand_Profile!$D$83,Matching_Engine!$BG$9)),1,0))+IF(Brand_Profile!$D$84="",0,IF(ISNUMBER(SEARCH(Brand_Profile!$D$84,Matching_Engine!$BG$9)),1,0))+IF(Brand_Profile!$D$85="",0,IF(ISNUMBER(SEARCH(Brand_Profile!$D$85,Matching_Engine!$BG$9)),1,0)))/Brand_Profile!$D$86*100,0))</f>
        <v>0</v>
      </c>
      <c r="W9" s="142">
        <f>IF(Brand_Profile!$D$39="",Lookup_Lists!$D$150,IFERROR(INDEX(Lookup_Lists!$B$237:$K$246,MATCH(Brand_Profile!$D$39,Lookup_Lists!$A$237:$A$246,0),MATCH(KOL_Database!$AJ$8,Lookup_Lists!$B$236:$K$236,0)),45))</f>
        <v>80</v>
      </c>
      <c r="X9" s="142">
        <f>ROUND((Matching_Engine!$T$9*Lookup_Lists!$D$121+Matching_Engine!$U$9*Lookup_Lists!$D$122+Matching_Engine!$V$9*Lookup_Lists!$D$123+Matching_Engine!$W$9*Lookup_Lists!$D$124)/(Lookup_Lists!$D$121+Lookup_Lists!$D$122+Lookup_Lists!$D$123+Lookup_Lists!$D$124),0)</f>
        <v>26</v>
      </c>
      <c r="Y9" s="142">
        <f>MIN(100,MAX(IFERROR(INDEX(Lookup_Lists!$B$202:$M$211,MATCH(Brand_Profile!$D$25,Lookup_Lists!$A$202:$A$211,0),MATCH(KOL_Database!$AK$8,Lookup_Lists!$B$201:$M$201,0)),40),IF(KOL_Database!$AK$8=Brand_Profile!$D$41,95,0)))</f>
        <v>95</v>
      </c>
      <c r="Z9" s="142">
        <f>IFERROR(INDEX(Lookup_Lists!$B$215:$K$222,MATCH(Brand_Profile!$D$27,Lookup_Lists!$A$215:$A$222,0),MATCH(KOL_Database!$AJ$8,Lookup_Lists!$B$214:$K$214,0)),45)</f>
        <v>95</v>
      </c>
      <c r="AA9" s="142">
        <f>ROUND((IF(Brand_Profile!$D$80=0,Lookup_Lists!$D$150,ROUND((IF(Brand_Profile!$D$75="",0,IF(ISNUMBER(SEARCH(Brand_Profile!$D$75,KOL_Database!$AL$8)),1,0))+IF(Brand_Profile!$D$76="",0,IF(ISNUMBER(SEARCH(Brand_Profile!$D$76,KOL_Database!$AL$8)),1,0))+IF(Brand_Profile!$D$77="",0,IF(ISNUMBER(SEARCH(Brand_Profile!$D$77,KOL_Database!$AL$8)),1,0))+IF(Brand_Profile!$D$78="",0,IF(ISNUMBER(SEARCH(Brand_Profile!$D$78,KOL_Database!$AL$8)),1,0))+IF(Brand_Profile!$D$79="",0,IF(ISNUMBER(SEARCH(Brand_Profile!$D$79,KOL_Database!$AL$8)),1,0)))/Brand_Profile!$D$80*100,0))+IF(Brand_Profile!$D$92=0,Lookup_Lists!$D$150,ROUND((IF(Brand_Profile!$D$87="",0,IF(ISNUMBER(SEARCH(Brand_Profile!$D$87,KOL_Database!$AL$8)),1,0))+IF(Brand_Profile!$D$88="",0,IF(ISNUMBER(SEARCH(Brand_Profile!$D$88,KOL_Database!$AL$8)),1,0))+IF(Brand_Profile!$D$89="",0,IF(ISNUMBER(SEARCH(Brand_Profile!$D$89,KOL_Database!$AL$8)),1,0))+IF(Brand_Profile!$D$90="",0,IF(ISNUMBER(SEARCH(Brand_Profile!$D$90,KOL_Database!$AL$8)),1,0))+IF(Brand_Profile!$D$91="",0,IF(ISNUMBER(SEARCH(Brand_Profile!$D$91,KOL_Database!$AL$8)),1,0)))/Brand_Profile!$D$92*100,0)))/2,0)</f>
        <v>40</v>
      </c>
      <c r="AB9" s="142">
        <f>IFERROR(INDEX(Lookup_Lists!$B$226:$K$233,MATCH(Brand_Profile!$D$30,Lookup_Lists!$A$226:$A$233,0),MATCH(KOL_Database!$AJ$8,Lookup_Lists!$B$225:$K$225,0)),45)</f>
        <v>95</v>
      </c>
      <c r="AC9" s="142">
        <f>ROUND((Matching_Engine!$Y$9*Lookup_Lists!$D$125+Matching_Engine!$Z$9*Lookup_Lists!$D$126+Matching_Engine!$AA$9*Lookup_Lists!$D$127+Matching_Engine!$AB$9*Lookup_Lists!$D$128)/(Lookup_Lists!$D$125+Lookup_Lists!$D$126+Lookup_Lists!$D$127+Lookup_Lists!$D$128),0)</f>
        <v>81</v>
      </c>
      <c r="AD9" s="142">
        <f>IF(KOL_Database!$K$8="",0,MIN(100,ROUND(KOL_Database!$K$8/Lookup_Lists!$D$141*100,0)))</f>
        <v>100</v>
      </c>
      <c r="AE9" s="142">
        <f>IF(KOL_Database!$R$8="",0,MIN(100,MAX(0,KOL_Database!$R$8)))</f>
        <v>82</v>
      </c>
      <c r="AF9" s="142">
        <f>IF(KOL_Database!$P$8="",0,MIN(100,MAX(0,KOL_Database!$P$8)))</f>
        <v>85</v>
      </c>
      <c r="AG9" s="142">
        <f>IF(KOL_Database!$Q$8="",0,MIN(100,MAX(0,KOL_Database!$Q$8)))</f>
        <v>78</v>
      </c>
      <c r="AH9" s="142">
        <f>IF(OR(KOL_Database!$J$8="",KOL_Database!$J$8=0,KOL_Database!$L$8=""),0,MIN(100,ROUND(KOL_Database!$L$8/KOL_Database!$J$8/Lookup_Lists!$D$144*100,0)))</f>
        <v>100</v>
      </c>
      <c r="AI9" s="142">
        <f>IF(KOL_Database!$N$8="",0,MIN(100,MAX(0,ROUND((KOL_Database!$N$8+2)/(Lookup_Lists!$D$145+2)*100,0))))</f>
        <v>90</v>
      </c>
      <c r="AJ9" s="142">
        <f>ROUND((Matching_Engine!$AD$9*Lookup_Lists!$D$129+Matching_Engine!$AE$9*Lookup_Lists!$D$130+Matching_Engine!$AF$9*Lookup_Lists!$D$131+Matching_Engine!$AG$9*Lookup_Lists!$D$132+Matching_Engine!$AH$9*Lookup_Lists!$D$133+Matching_Engine!$AI$9*Lookup_Lists!$D$134)/(Lookup_Lists!$D$129+Lookup_Lists!$D$130+Lookup_Lists!$D$131+Lookup_Lists!$D$132+Lookup_Lists!$D$133+Lookup_Lists!$D$134),0)</f>
        <v>91</v>
      </c>
      <c r="AK9" s="142">
        <f>IF(KOL_Database!$AT$8="",0,MIN(100,MAX(0,KOL_Database!$AT$8)))</f>
        <v>89</v>
      </c>
      <c r="AL9" s="142">
        <f>IF(KOL_Database!$AU$8="",0,KOL_Database!$AU$8)</f>
        <v>78</v>
      </c>
      <c r="AM9" s="89" t="str">
        <f>IF(KOL_Database!$AV$8="","None",KOL_Database!$AV$8)</f>
        <v>Medium</v>
      </c>
      <c r="AN9" s="143">
        <f>IF(Matching_Engine!$AM$9="High",Lookup_Lists!$D$137,IF(Matching_Engine!$AM$9="Medium",Lookup_Lists!$D$138,IF(Matching_Engine!$AM$9="Low",Lookup_Lists!$D$139,Lookup_Lists!$D$140)))</f>
        <v>0.85</v>
      </c>
      <c r="AO9" s="142">
        <f>ROUND(MIN(100,MAX(0,(Matching_Engine!$AK$9*Lookup_Lists!$D$135+(100-Matching_Engine!$AL$9)*Lookup_Lists!$D$136)/(Lookup_Lists!$D$135+Lookup_Lists!$D$136)*Matching_Engine!$AN$9)),0)</f>
        <v>64</v>
      </c>
      <c r="AP9" s="13">
        <f ca="1">ROUND((Matching_Engine!$N$9*Lookup_Lists!$D$104+Matching_Engine!$S$9*Lookup_Lists!$D$105+Matching_Engine!$X$9*Lookup_Lists!$D$106+Matching_Engine!$AC$9*Lookup_Lists!$D$107+Matching_Engine!$AJ$9*Lookup_Lists!$D$108+Matching_Engine!$AO$9*Lookup_Lists!$D$109)/MAX(1,(Lookup_Lists!$D$104+Lookup_Lists!$D$105+Lookup_Lists!$D$106+Lookup_Lists!$D$107+Lookup_Lists!$D$108+Lookup_Lists!$D$109)),0)</f>
        <v>46</v>
      </c>
      <c r="AQ9" s="89" t="str">
        <f ca="1">IF(Matching_Engine!$AP$9&gt;=Lookup_Lists!$D$152,"Excellent Match",IF(Matching_Engine!$AP$9&gt;=Lookup_Lists!$D$153,"Strong Match",IF(Matching_Engine!$AP$9&gt;=Lookup_Lists!$D$154,"Good Match",IF(Matching_Engine!$AP$9&gt;=Lookup_Lists!$D$155,"Moderate Match","Low Match"))))</f>
        <v>Low Match</v>
      </c>
      <c r="AR9" s="142">
        <f>KOL_Database!$BE$8</f>
        <v>100</v>
      </c>
      <c r="AS9" s="89" t="str">
        <f>IF(Matching_Engine!$AR$9&gt;=Lookup_Lists!$D$159,"High",IF(Matching_Engine!$AR$9&gt;=Lookup_Lists!$D$160,"Medium","Limited Data"))</f>
        <v>High</v>
      </c>
      <c r="AT9" s="142">
        <f>ROUND((Matching_Engine!$N$9+Matching_Engine!$X$9+Matching_Engine!$AC$9)/3,0)</f>
        <v>40</v>
      </c>
      <c r="AU9" s="142">
        <f>ROUND(((100-Matching_Engine!$AL$9)*Lookup_Lists!$D$162+IF(KOL_Database!$BD$8="",Lookup_Lists!$D$150,KOL_Database!$BD$8)*Lookup_Lists!$D$163+Matching_Engine!$AI$9*Lookup_Lists!$D$164+Matching_Engine!$AD$9*Lookup_Lists!$D$165)/(Lookup_Lists!$D$162+Lookup_Lists!$D$163+Lookup_Lists!$D$164+Lookup_Lists!$D$165),0)</f>
        <v>70</v>
      </c>
      <c r="AV9" s="89" t="str">
        <f ca="1">IF(Matching_Engine!$AW$9="","PASS","EXCLUDED")</f>
        <v>PASS</v>
      </c>
      <c r="AW9" s="89" t="str">
        <f ca="1">IF(ISERROR(SEARCH(KOL_Database!$D$8,Brand_Profile!$D$32)),"Platform not in Preferred Platform",IF(AND(Brand_Profile!$D$36&gt;0,KOL_Database!$J$8&lt;Brand_Profile!$D$36),"Followers below Preferred Follower Range",IF(AND(Brand_Profile!$D$37&gt;0,KOL_Database!$J$8&gt;Brand_Profile!$D$37),"Followers above Preferred Follower Range",IF(AND(Brand_Profile!$D$38&gt;0,IF(KOL_Database!$K$8="",0,KOL_Database!$K$8)&lt;Brand_Profile!$D$38),"Engagement Rate below Minimum Engagement Rate",IF(ISERROR(SEARCH(KOL_Database!$G$8,Brand_Profile!$D$35)),"Tier not in Preferred Tier",IF(AND(Brand_Profile!$D$43&gt;0,Matching_Engine!$AE$9&lt;Brand_Profile!$D$43),"Audience Quality below Minimum Audience Quality",IF(AND(Brand_Profile!$D$44&gt;0,Matching_Engine!$AK$9&lt;Brand_Profile!$D$44),"Brand Safety below Minimum Brand Safety",IF(AND(Brand_Profile!$D$47="Yes",KOL_Database!$AD$8&lt;&gt;Brand_Profile!$D$19),"Audience Country does not match Target Country",IF(AND(Brand_Profile!$D$46="Yes",KOL_Database!$E$8&lt;&gt;Brand_Profile!$D$33),"Category is not the Preferred Category",IF(AND(Brand_Profile!$D$48&gt;0,Matching_Engine!$AL$9&gt;Brand_Profile!$D$48),"Competitor Saturation above Max Competitor Saturation",IF(AND(Brand_Profile!$D$50="Yes",KOL_Database!$AW$8="Yes"),"Already Selected",IF(AND(Brand_Profile!$D$51="Yes",KOL_Database!$AX$8="Yes"),"Already in Cart",IF(AND(Brand_Profile!$D$52="Yes",KOL_Database!$AY$8="Yes"),"Existing Partner",IF(AND(Brand_Profile!$D$53="Yes",KOL_Database!$AZ$8="Yes"),"Excluded Creator",IF(AND(Brand_Profile!$D$49&gt;0,Matching_Engine!$AP$9&lt;Brand_Profile!$D$49),"Brand Match below Minimum Brand Match","")))))))))))))))</f>
        <v/>
      </c>
      <c r="AX9" s="89" t="str">
        <f ca="1">IF(Matching_Engine!$AV$9="EXCLUDED","Excluded",IF(Matching_Engine!$AP$9&gt;=Lookup_Lists!$D$156,"Highly Recommended",IF(Matching_Engine!$AP$9&gt;=Lookup_Lists!$D$157,"Recommended",IF(Matching_Engine!$AP$9&gt;=Lookup_Lists!$D$158,"Consider","Low Priority"))))</f>
        <v>Low Priority</v>
      </c>
      <c r="AY9" s="142">
        <f ca="1">IF(Matching_Engine!$AV$9="PASS",Matching_Engine!$AP$9,"")</f>
        <v>46</v>
      </c>
      <c r="AZ9" s="89" t="str">
        <f>Matching_Engine!$A$9&amp;"|"&amp;Matching_Engine!$C$9</f>
        <v>BRAND-A|KOL-04</v>
      </c>
      <c r="BA9" s="89" t="str">
        <f>IFERROR(INDEX(Lookup_Lists!$B$51:$B$92,MATCH(Brand_Profile!$D$12,Lookup_Lists!$A$51:$A$92,0)),"")</f>
        <v>Tech</v>
      </c>
      <c r="BB9" s="89" t="str">
        <f>IFERROR(INDEX(Lookup_Lists!$B$51:$B$92,MATCH(KOL_Database!$F$8,Lookup_Lists!$A$51:$A$92,0)),"")</f>
        <v>Beauty</v>
      </c>
      <c r="BC9" s="142">
        <f>IFERROR(INDEX(Lookup_Lists!$B$185:$O$198,MATCH(Matching_Engine!$BA$9,Lookup_Lists!$A$185:$A$198,0),MATCH(KOL_Database!$E$8,Lookup_Lists!$B$184:$O$184,0)),Lookup_Lists!$D$151)</f>
        <v>20</v>
      </c>
      <c r="BD9" s="142">
        <f>IFERROR(INDEX(Lookup_Lists!$B$185:$O$198,MATCH(Brand_Profile!$D$33,Lookup_Lists!$A$185:$A$198,0),MATCH(KOL_Database!$E$8,Lookup_Lists!$B$184:$O$184,0)),Lookup_Lists!$D$151)</f>
        <v>20</v>
      </c>
      <c r="BE9" s="89" t="str">
        <f>IFERROR(INDEX(Lookup_Lists!$B$51:$B$92,MATCH(Brand_Profile!$D$34,Lookup_Lists!$A$51:$A$92,0)),"")</f>
        <v>Tech</v>
      </c>
      <c r="BF9" s="89" t="str">
        <f>KOL_Database!$AI$8&amp;", "&amp;KOL_Database!$AG$8&amp;", "&amp;KOL_Database!$F$8&amp;", "&amp;KOL_Database!$E$8</f>
        <v>Makeup, Beauty, Fashion, Makeup, Beauty, Fashion, Shopping, Entertainment, Makeup, Beauty</v>
      </c>
      <c r="BG9" s="89" t="str">
        <f>KOL_Database!$AI$8&amp;", "&amp;KOL_Database!$AG$8</f>
        <v>Makeup, Beauty, Fashion, Makeup, Beauty, Fashion, Shopping, Entertainment</v>
      </c>
    </row>
    <row r="10" spans="1:59">
      <c r="A10" s="101" t="s">
        <v>113</v>
      </c>
      <c r="B10" s="89" t="str">
        <f>Brand_Profile!$D$9</f>
        <v>Nusatech Cloud</v>
      </c>
      <c r="C10" s="89" t="str">
        <f>KOL_Database!$A$9</f>
        <v>KOL-05</v>
      </c>
      <c r="D10" s="89" t="str">
        <f>KOL_Database!$B$9</f>
        <v>Bimo Saputra</v>
      </c>
      <c r="E10" s="89" t="str">
        <f>KOL_Database!$C$9</f>
        <v>@bimomakan</v>
      </c>
      <c r="F10" s="89" t="str">
        <f>KOL_Database!$D$9</f>
        <v>TikTok</v>
      </c>
      <c r="G10" s="89" t="str">
        <f>KOL_Database!$E$9</f>
        <v>Food</v>
      </c>
      <c r="H10" s="89" t="str">
        <f>KOL_Database!$G$9</f>
        <v>Macro</v>
      </c>
      <c r="I10" s="140">
        <f>KOL_Database!$J$9</f>
        <v>375000</v>
      </c>
      <c r="J10" s="141">
        <f>KOL_Database!$K$9</f>
        <v>8.4</v>
      </c>
      <c r="K10" s="142">
        <f>IFERROR(INDEX(Lookup_Lists!$B$170:$O$181,MATCH(Brand_Profile!$D$10,Lookup_Lists!$A$170:$A$181,0),MATCH(KOL_Database!$E$9,Lookup_Lists!$B$169:$O$169,0)),Lookup_Lists!$D$151)</f>
        <v>20</v>
      </c>
      <c r="L10" s="142">
        <f>IF(KOL_Database!$F$9="",Matching_Engine!$BC$10,IF(Brand_Profile!$D$12=KOL_Database!$F$9,100,IF(Matching_Engine!$BA$10=KOL_Database!$E$9,80,IF(Matching_Engine!$BC$10&gt;=80,60,IF(Matching_Engine!$BC$10&gt;=60,40,Lookup_Lists!$D$151)))))</f>
        <v>20</v>
      </c>
      <c r="M10" s="142">
        <f>ROUND((IF(Brand_Profile!$D$62=0,Lookup_Lists!$D$150,ROUND((IF(Brand_Profile!$D$57="",0,IF(ISNUMBER(SEARCH(Brand_Profile!$D$57,Matching_Engine!$BF$10)),1,0))+IF(Brand_Profile!$D$58="",0,IF(ISNUMBER(SEARCH(Brand_Profile!$D$58,Matching_Engine!$BF$10)),1,0))+IF(Brand_Profile!$D$59="",0,IF(ISNUMBER(SEARCH(Brand_Profile!$D$59,Matching_Engine!$BF$10)),1,0))+IF(Brand_Profile!$D$60="",0,IF(ISNUMBER(SEARCH(Brand_Profile!$D$60,Matching_Engine!$BF$10)),1,0))+IF(Brand_Profile!$D$61="",0,IF(ISNUMBER(SEARCH(Brand_Profile!$D$61,Matching_Engine!$BF$10)),1,0)))/Brand_Profile!$D$62*100,0))+IF(Brand_Profile!$D$74=0,Lookup_Lists!$D$150,ROUND((IF(Brand_Profile!$D$69="",0,IF(ISNUMBER(SEARCH(Brand_Profile!$D$69,Matching_Engine!$BF$10)),1,0))+IF(Brand_Profile!$D$70="",0,IF(ISNUMBER(SEARCH(Brand_Profile!$D$70,Matching_Engine!$BF$10)),1,0))+IF(Brand_Profile!$D$71="",0,IF(ISNUMBER(SEARCH(Brand_Profile!$D$71,Matching_Engine!$BF$10)),1,0))+IF(Brand_Profile!$D$72="",0,IF(ISNUMBER(SEARCH(Brand_Profile!$D$72,Matching_Engine!$BF$10)),1,0))+IF(Brand_Profile!$D$73="",0,IF(ISNUMBER(SEARCH(Brand_Profile!$D$73,Matching_Engine!$BF$10)),1,0)))/Brand_Profile!$D$74*100,0)))/2,0)</f>
        <v>0</v>
      </c>
      <c r="N10" s="142">
        <f>ROUND((Matching_Engine!$K$10*Lookup_Lists!$D$110+Matching_Engine!$L$10*Lookup_Lists!$D$111+Matching_Engine!$M$10*Lookup_Lists!$D$112)/(Lookup_Lists!$D$110+Lookup_Lists!$D$111+Lookup_Lists!$D$112),0)</f>
        <v>14</v>
      </c>
      <c r="O10" s="142">
        <f ca="1">IF(Brand_Profile!$D$16="",Lookup_Lists!$D$150,MIN(100,ROUND((IFERROR(INDEX(KOL_Database!$W$9:KOL_Database!$AA$9,1,MATCH(Brand_Profile!$D$16,Lookup_Lists!$F$6:$F$10,0)),0)+0.5*IFERROR(INDEX(KOL_Database!$W$9:KOL_Database!$AA$9,1,MATCH(Brand_Profile!$D$17,Lookup_Lists!$F$6:$F$10,0)),0))/Lookup_Lists!$D$142*100,0)))</f>
        <v>100</v>
      </c>
      <c r="P10" s="142">
        <f>IF(OR(Brand_Profile!$D$18="",Brand_Profile!$D$18="Any"),100,IF(Brand_Profile!$D$18="Female",MIN(100,ROUND(KOL_Database!$AB$9/Lookup_Lists!$D$143*100,0)),IF(Brand_Profile!$D$18="Male",MIN(100,ROUND(KOL_Database!$AC$9/Lookup_Lists!$D$143*100,0)),MAX(0,ROUND(100-ABS(KOL_Database!$AB$9-50)*2,0)))))</f>
        <v>100</v>
      </c>
      <c r="Q10" s="142">
        <f>ROUND((IF(Brand_Profile!$D$19="",100,IF(KOL_Database!$AD$9=Brand_Profile!$D$19,100,Lookup_Lists!$D$151))*Lookup_Lists!$D$118+IF(OR(Brand_Profile!$D$20="",Brand_Profile!$D$20="Nasional"),100,IF(KOL_Database!$AE$9="",Lookup_Lists!$D$150,IF(KOL_Database!$AE$9=Brand_Profile!$D$20,100,IF(KOL_Database!$AD$9=Brand_Profile!$D$19,40,Lookup_Lists!$D$151))))*Lookup_Lists!$D$119+IF(OR(Brand_Profile!$D$21="",Brand_Profile!$D$21="Nasional"),100,IF(KOL_Database!$AF$9="",Lookup_Lists!$D$150,IF(KOL_Database!$AF$9=Brand_Profile!$D$21,100,IF(KOL_Database!$AE$9=Brand_Profile!$D$20,60,Lookup_Lists!$D$151))))*Lookup_Lists!$D$120)/(Lookup_Lists!$D$118+Lookup_Lists!$D$119+Lookup_Lists!$D$120),0)</f>
        <v>85</v>
      </c>
      <c r="R10" s="142">
        <f>IF(Brand_Profile!$D$68=0,Lookup_Lists!$D$150,ROUND((IF(Brand_Profile!$D$63="",0,IF(ISNUMBER(SEARCH(Brand_Profile!$D$63,KOL_Database!$AG$9)),1,0))+IF(Brand_Profile!$D$64="",0,IF(ISNUMBER(SEARCH(Brand_Profile!$D$64,KOL_Database!$AG$9)),1,0))+IF(Brand_Profile!$D$65="",0,IF(ISNUMBER(SEARCH(Brand_Profile!$D$65,KOL_Database!$AG$9)),1,0))+IF(Brand_Profile!$D$66="",0,IF(ISNUMBER(SEARCH(Brand_Profile!$D$66,KOL_Database!$AG$9)),1,0))+IF(Brand_Profile!$D$67="",0,IF(ISNUMBER(SEARCH(Brand_Profile!$D$67,KOL_Database!$AG$9)),1,0)))/Brand_Profile!$D$68*100,0))</f>
        <v>0</v>
      </c>
      <c r="S10" s="142">
        <f ca="1">ROUND((Matching_Engine!$O$10*Brand_Profile!$D$96+Matching_Engine!$P$10*Brand_Profile!$D$97+Matching_Engine!$Q$10*Brand_Profile!$D$98+Matching_Engine!$R$10*Brand_Profile!$D$99)/MAX(1,Brand_Profile!$D$96+Brand_Profile!$D$97+Brand_Profile!$D$98+Brand_Profile!$D$99),0)</f>
        <v>54</v>
      </c>
      <c r="T10" s="142">
        <f>IF(Brand_Profile!$D$33="",Lookup_Lists!$D$150,Matching_Engine!$BD$10)</f>
        <v>20</v>
      </c>
      <c r="U10" s="142">
        <f>IF(Brand_Profile!$D$34="",Lookup_Lists!$D$150,IF(Brand_Profile!$D$34=KOL_Database!$F$9,100,IF(Matching_Engine!$BE$10=KOL_Database!$E$9,75,IF(Matching_Engine!$BD$10&gt;=80,Lookup_Lists!$D$150,IF(Matching_Engine!$BD$10&gt;=60,35,Lookup_Lists!$D$151)))))</f>
        <v>20</v>
      </c>
      <c r="V10" s="142">
        <f>IF(Brand_Profile!$D$86=0,Lookup_Lists!$D$150,ROUND((IF(Brand_Profile!$D$81="",0,IF(ISNUMBER(SEARCH(Brand_Profile!$D$81,Matching_Engine!$BG$10)),1,0))+IF(Brand_Profile!$D$82="",0,IF(ISNUMBER(SEARCH(Brand_Profile!$D$82,Matching_Engine!$BG$10)),1,0))+IF(Brand_Profile!$D$83="",0,IF(ISNUMBER(SEARCH(Brand_Profile!$D$83,Matching_Engine!$BG$10)),1,0))+IF(Brand_Profile!$D$84="",0,IF(ISNUMBER(SEARCH(Brand_Profile!$D$84,Matching_Engine!$BG$10)),1,0))+IF(Brand_Profile!$D$85="",0,IF(ISNUMBER(SEARCH(Brand_Profile!$D$85,Matching_Engine!$BG$10)),1,0)))/Brand_Profile!$D$86*100,0))</f>
        <v>0</v>
      </c>
      <c r="W10" s="142">
        <f>IF(Brand_Profile!$D$39="",Lookup_Lists!$D$150,IFERROR(INDEX(Lookup_Lists!$B$237:$K$246,MATCH(Brand_Profile!$D$39,Lookup_Lists!$A$237:$A$246,0),MATCH(KOL_Database!$AJ$9,Lookup_Lists!$B$236:$K$236,0)),45))</f>
        <v>80</v>
      </c>
      <c r="X10" s="142">
        <f>ROUND((Matching_Engine!$T$10*Lookup_Lists!$D$121+Matching_Engine!$U$10*Lookup_Lists!$D$122+Matching_Engine!$V$10*Lookup_Lists!$D$123+Matching_Engine!$W$10*Lookup_Lists!$D$124)/(Lookup_Lists!$D$121+Lookup_Lists!$D$122+Lookup_Lists!$D$123+Lookup_Lists!$D$124),0)</f>
        <v>26</v>
      </c>
      <c r="Y10" s="142">
        <f>MIN(100,MAX(IFERROR(INDEX(Lookup_Lists!$B$202:$M$211,MATCH(Brand_Profile!$D$25,Lookup_Lists!$A$202:$A$211,0),MATCH(KOL_Database!$AK$9,Lookup_Lists!$B$201:$M$201,0)),40),IF(KOL_Database!$AK$9=Brand_Profile!$D$41,95,0)))</f>
        <v>50</v>
      </c>
      <c r="Z10" s="142">
        <f>IFERROR(INDEX(Lookup_Lists!$B$215:$K$222,MATCH(Brand_Profile!$D$27,Lookup_Lists!$A$215:$A$222,0),MATCH(KOL_Database!$AJ$9,Lookup_Lists!$B$214:$K$214,0)),45)</f>
        <v>90</v>
      </c>
      <c r="AA10" s="142">
        <f>ROUND((IF(Brand_Profile!$D$80=0,Lookup_Lists!$D$150,ROUND((IF(Brand_Profile!$D$75="",0,IF(ISNUMBER(SEARCH(Brand_Profile!$D$75,KOL_Database!$AL$9)),1,0))+IF(Brand_Profile!$D$76="",0,IF(ISNUMBER(SEARCH(Brand_Profile!$D$76,KOL_Database!$AL$9)),1,0))+IF(Brand_Profile!$D$77="",0,IF(ISNUMBER(SEARCH(Brand_Profile!$D$77,KOL_Database!$AL$9)),1,0))+IF(Brand_Profile!$D$78="",0,IF(ISNUMBER(SEARCH(Brand_Profile!$D$78,KOL_Database!$AL$9)),1,0))+IF(Brand_Profile!$D$79="",0,IF(ISNUMBER(SEARCH(Brand_Profile!$D$79,KOL_Database!$AL$9)),1,0)))/Brand_Profile!$D$80*100,0))+IF(Brand_Profile!$D$92=0,Lookup_Lists!$D$150,ROUND((IF(Brand_Profile!$D$87="",0,IF(ISNUMBER(SEARCH(Brand_Profile!$D$87,KOL_Database!$AL$9)),1,0))+IF(Brand_Profile!$D$88="",0,IF(ISNUMBER(SEARCH(Brand_Profile!$D$88,KOL_Database!$AL$9)),1,0))+IF(Brand_Profile!$D$89="",0,IF(ISNUMBER(SEARCH(Brand_Profile!$D$89,KOL_Database!$AL$9)),1,0))+IF(Brand_Profile!$D$90="",0,IF(ISNUMBER(SEARCH(Brand_Profile!$D$90,KOL_Database!$AL$9)),1,0))+IF(Brand_Profile!$D$91="",0,IF(ISNUMBER(SEARCH(Brand_Profile!$D$91,KOL_Database!$AL$9)),1,0)))/Brand_Profile!$D$92*100,0)))/2,0)</f>
        <v>0</v>
      </c>
      <c r="AB10" s="142">
        <f>IFERROR(INDEX(Lookup_Lists!$B$226:$K$233,MATCH(Brand_Profile!$D$30,Lookup_Lists!$A$226:$A$233,0),MATCH(KOL_Database!$AJ$9,Lookup_Lists!$B$225:$K$225,0)),45)</f>
        <v>70</v>
      </c>
      <c r="AC10" s="142">
        <f>ROUND((Matching_Engine!$Y$10*Lookup_Lists!$D$125+Matching_Engine!$Z$10*Lookup_Lists!$D$126+Matching_Engine!$AA$10*Lookup_Lists!$D$127+Matching_Engine!$AB$10*Lookup_Lists!$D$128)/(Lookup_Lists!$D$125+Lookup_Lists!$D$126+Lookup_Lists!$D$127+Lookup_Lists!$D$128),0)</f>
        <v>51</v>
      </c>
      <c r="AD10" s="142">
        <f>IF(KOL_Database!$K$9="",0,MIN(100,ROUND(KOL_Database!$K$9/Lookup_Lists!$D$141*100,0)))</f>
        <v>100</v>
      </c>
      <c r="AE10" s="142">
        <f>IF(KOL_Database!$R$9="",0,MIN(100,MAX(0,KOL_Database!$R$9)))</f>
        <v>70</v>
      </c>
      <c r="AF10" s="142">
        <f>IF(KOL_Database!$P$9="",0,MIN(100,MAX(0,KOL_Database!$P$9)))</f>
        <v>75</v>
      </c>
      <c r="AG10" s="142">
        <f>IF(KOL_Database!$Q$9="",0,MIN(100,MAX(0,KOL_Database!$Q$9)))</f>
        <v>67</v>
      </c>
      <c r="AH10" s="142">
        <f>IF(OR(KOL_Database!$J$9="",KOL_Database!$J$9=0,KOL_Database!$L$9=""),0,MIN(100,ROUND(KOL_Database!$L$9/KOL_Database!$J$9/Lookup_Lists!$D$144*100,0)))</f>
        <v>100</v>
      </c>
      <c r="AI10" s="142">
        <f>IF(KOL_Database!$N$9="",0,MIN(100,MAX(0,ROUND((KOL_Database!$N$9+2)/(Lookup_Lists!$D$145+2)*100,0))))</f>
        <v>56</v>
      </c>
      <c r="AJ10" s="142">
        <f>ROUND((Matching_Engine!$AD$10*Lookup_Lists!$D$129+Matching_Engine!$AE$10*Lookup_Lists!$D$130+Matching_Engine!$AF$10*Lookup_Lists!$D$131+Matching_Engine!$AG$10*Lookup_Lists!$D$132+Matching_Engine!$AH$10*Lookup_Lists!$D$133+Matching_Engine!$AI$10*Lookup_Lists!$D$134)/(Lookup_Lists!$D$129+Lookup_Lists!$D$130+Lookup_Lists!$D$131+Lookup_Lists!$D$132+Lookup_Lists!$D$133+Lookup_Lists!$D$134),0)</f>
        <v>84</v>
      </c>
      <c r="AK10" s="142">
        <f>IF(KOL_Database!$AT$9="",0,MIN(100,MAX(0,KOL_Database!$AT$9)))</f>
        <v>78</v>
      </c>
      <c r="AL10" s="142">
        <f>IF(KOL_Database!$AU$9="",0,KOL_Database!$AU$9)</f>
        <v>30</v>
      </c>
      <c r="AM10" s="89" t="str">
        <f>IF(KOL_Database!$AV$9="","None",KOL_Database!$AV$9)</f>
        <v>Low</v>
      </c>
      <c r="AN10" s="143">
        <f>IF(Matching_Engine!$AM$10="High",Lookup_Lists!$D$137,IF(Matching_Engine!$AM$10="Medium",Lookup_Lists!$D$138,IF(Matching_Engine!$AM$10="Low",Lookup_Lists!$D$139,Lookup_Lists!$D$140)))</f>
        <v>0.95</v>
      </c>
      <c r="AO10" s="142">
        <f>ROUND(MIN(100,MAX(0,(Matching_Engine!$AK$10*Lookup_Lists!$D$135+(100-Matching_Engine!$AL$10)*Lookup_Lists!$D$136)/(Lookup_Lists!$D$135+Lookup_Lists!$D$136)*Matching_Engine!$AN$10)),0)</f>
        <v>73</v>
      </c>
      <c r="AP10" s="13">
        <f ca="1">ROUND((Matching_Engine!$N$10*Lookup_Lists!$D$104+Matching_Engine!$S$10*Lookup_Lists!$D$105+Matching_Engine!$X$10*Lookup_Lists!$D$106+Matching_Engine!$AC$10*Lookup_Lists!$D$107+Matching_Engine!$AJ$10*Lookup_Lists!$D$108+Matching_Engine!$AO$10*Lookup_Lists!$D$109)/MAX(1,(Lookup_Lists!$D$104+Lookup_Lists!$D$105+Lookup_Lists!$D$106+Lookup_Lists!$D$107+Lookup_Lists!$D$108+Lookup_Lists!$D$109)),0)</f>
        <v>45</v>
      </c>
      <c r="AQ10" s="89" t="str">
        <f ca="1">IF(Matching_Engine!$AP$10&gt;=Lookup_Lists!$D$152,"Excellent Match",IF(Matching_Engine!$AP$10&gt;=Lookup_Lists!$D$153,"Strong Match",IF(Matching_Engine!$AP$10&gt;=Lookup_Lists!$D$154,"Good Match",IF(Matching_Engine!$AP$10&gt;=Lookup_Lists!$D$155,"Moderate Match","Low Match"))))</f>
        <v>Low Match</v>
      </c>
      <c r="AR10" s="142">
        <f>KOL_Database!$BE$9</f>
        <v>100</v>
      </c>
      <c r="AS10" s="89" t="str">
        <f>IF(Matching_Engine!$AR$10&gt;=Lookup_Lists!$D$159,"High",IF(Matching_Engine!$AR$10&gt;=Lookup_Lists!$D$160,"Medium","Limited Data"))</f>
        <v>High</v>
      </c>
      <c r="AT10" s="142">
        <f>ROUND((Matching_Engine!$N$10+Matching_Engine!$X$10+Matching_Engine!$AC$10)/3,0)</f>
        <v>30</v>
      </c>
      <c r="AU10" s="142">
        <f>ROUND(((100-Matching_Engine!$AL$10)*Lookup_Lists!$D$162+IF(KOL_Database!$BD$9="",Lookup_Lists!$D$150,KOL_Database!$BD$9)*Lookup_Lists!$D$163+Matching_Engine!$AI$10*Lookup_Lists!$D$164+Matching_Engine!$AD$10*Lookup_Lists!$D$165)/(Lookup_Lists!$D$162+Lookup_Lists!$D$163+Lookup_Lists!$D$164+Lookup_Lists!$D$165),0)</f>
        <v>79</v>
      </c>
      <c r="AV10" s="89" t="str">
        <f ca="1">IF(Matching_Engine!$AW$10="","PASS","EXCLUDED")</f>
        <v>PASS</v>
      </c>
      <c r="AW10" s="89" t="str">
        <f ca="1">IF(ISERROR(SEARCH(KOL_Database!$D$9,Brand_Profile!$D$32)),"Platform not in Preferred Platform",IF(AND(Brand_Profile!$D$36&gt;0,KOL_Database!$J$9&lt;Brand_Profile!$D$36),"Followers below Preferred Follower Range",IF(AND(Brand_Profile!$D$37&gt;0,KOL_Database!$J$9&gt;Brand_Profile!$D$37),"Followers above Preferred Follower Range",IF(AND(Brand_Profile!$D$38&gt;0,IF(KOL_Database!$K$9="",0,KOL_Database!$K$9)&lt;Brand_Profile!$D$38),"Engagement Rate below Minimum Engagement Rate",IF(ISERROR(SEARCH(KOL_Database!$G$9,Brand_Profile!$D$35)),"Tier not in Preferred Tier",IF(AND(Brand_Profile!$D$43&gt;0,Matching_Engine!$AE$10&lt;Brand_Profile!$D$43),"Audience Quality below Minimum Audience Quality",IF(AND(Brand_Profile!$D$44&gt;0,Matching_Engine!$AK$10&lt;Brand_Profile!$D$44),"Brand Safety below Minimum Brand Safety",IF(AND(Brand_Profile!$D$47="Yes",KOL_Database!$AD$9&lt;&gt;Brand_Profile!$D$19),"Audience Country does not match Target Country",IF(AND(Brand_Profile!$D$46="Yes",KOL_Database!$E$9&lt;&gt;Brand_Profile!$D$33),"Category is not the Preferred Category",IF(AND(Brand_Profile!$D$48&gt;0,Matching_Engine!$AL$10&gt;Brand_Profile!$D$48),"Competitor Saturation above Max Competitor Saturation",IF(AND(Brand_Profile!$D$50="Yes",KOL_Database!$AW$9="Yes"),"Already Selected",IF(AND(Brand_Profile!$D$51="Yes",KOL_Database!$AX$9="Yes"),"Already in Cart",IF(AND(Brand_Profile!$D$52="Yes",KOL_Database!$AY$9="Yes"),"Existing Partner",IF(AND(Brand_Profile!$D$53="Yes",KOL_Database!$AZ$9="Yes"),"Excluded Creator",IF(AND(Brand_Profile!$D$49&gt;0,Matching_Engine!$AP$10&lt;Brand_Profile!$D$49),"Brand Match below Minimum Brand Match","")))))))))))))))</f>
        <v/>
      </c>
      <c r="AX10" s="89" t="str">
        <f ca="1">IF(Matching_Engine!$AV$10="EXCLUDED","Excluded",IF(Matching_Engine!$AP$10&gt;=Lookup_Lists!$D$156,"Highly Recommended",IF(Matching_Engine!$AP$10&gt;=Lookup_Lists!$D$157,"Recommended",IF(Matching_Engine!$AP$10&gt;=Lookup_Lists!$D$158,"Consider","Low Priority"))))</f>
        <v>Low Priority</v>
      </c>
      <c r="AY10" s="142">
        <f ca="1">IF(Matching_Engine!$AV$10="PASS",Matching_Engine!$AP$10,"")</f>
        <v>45</v>
      </c>
      <c r="AZ10" s="89" t="str">
        <f>Matching_Engine!$A$10&amp;"|"&amp;Matching_Engine!$C$10</f>
        <v>BRAND-A|KOL-05</v>
      </c>
      <c r="BA10" s="89" t="str">
        <f>IFERROR(INDEX(Lookup_Lists!$B$51:$B$92,MATCH(Brand_Profile!$D$12,Lookup_Lists!$A$51:$A$92,0)),"")</f>
        <v>Tech</v>
      </c>
      <c r="BB10" s="89" t="str">
        <f>IFERROR(INDEX(Lookup_Lists!$B$51:$B$92,MATCH(KOL_Database!$F$9,Lookup_Lists!$A$51:$A$92,0)),"")</f>
        <v>Food</v>
      </c>
      <c r="BC10" s="142">
        <f>IFERROR(INDEX(Lookup_Lists!$B$185:$O$198,MATCH(Matching_Engine!$BA$10,Lookup_Lists!$A$185:$A$198,0),MATCH(KOL_Database!$E$9,Lookup_Lists!$B$184:$O$184,0)),Lookup_Lists!$D$151)</f>
        <v>20</v>
      </c>
      <c r="BD10" s="142">
        <f>IFERROR(INDEX(Lookup_Lists!$B$185:$O$198,MATCH(Brand_Profile!$D$33,Lookup_Lists!$A$185:$A$198,0),MATCH(KOL_Database!$E$9,Lookup_Lists!$B$184:$O$184,0)),Lookup_Lists!$D$151)</f>
        <v>20</v>
      </c>
      <c r="BE10" s="89" t="str">
        <f>IFERROR(INDEX(Lookup_Lists!$B$51:$B$92,MATCH(Brand_Profile!$D$34,Lookup_Lists!$A$51:$A$92,0)),"")</f>
        <v>Tech</v>
      </c>
      <c r="BF10" s="89" t="str">
        <f>KOL_Database!$AI$9&amp;", "&amp;KOL_Database!$AG$9&amp;", "&amp;KOL_Database!$F$9&amp;", "&amp;KOL_Database!$E$9</f>
        <v>Food, Cooking, Travel, Food, Cooking, Travel, Shopping, Entertainment, Culinary Review, Food</v>
      </c>
      <c r="BG10" s="89" t="str">
        <f>KOL_Database!$AI$9&amp;", "&amp;KOL_Database!$AG$9</f>
        <v>Food, Cooking, Travel, Food, Cooking, Travel, Shopping, Entertainment</v>
      </c>
    </row>
    <row r="11" spans="1:59">
      <c r="A11" s="101" t="s">
        <v>113</v>
      </c>
      <c r="B11" s="89" t="str">
        <f>Brand_Profile!$D$9</f>
        <v>Nusatech Cloud</v>
      </c>
      <c r="C11" s="89" t="str">
        <f>KOL_Database!$A$10</f>
        <v>KOL-06</v>
      </c>
      <c r="D11" s="89" t="str">
        <f>KOL_Database!$B$10</f>
        <v>Ayu Lestari</v>
      </c>
      <c r="E11" s="89" t="str">
        <f>KOL_Database!$C$10</f>
        <v>@dapurayu</v>
      </c>
      <c r="F11" s="89" t="str">
        <f>KOL_Database!$D$10</f>
        <v>Instagram</v>
      </c>
      <c r="G11" s="89" t="str">
        <f>KOL_Database!$E$10</f>
        <v>Food</v>
      </c>
      <c r="H11" s="89" t="str">
        <f>KOL_Database!$G$10</f>
        <v>Mid-tier</v>
      </c>
      <c r="I11" s="140">
        <f>KOL_Database!$J$10</f>
        <v>64000</v>
      </c>
      <c r="J11" s="141">
        <f>KOL_Database!$K$10</f>
        <v>5.2</v>
      </c>
      <c r="K11" s="142">
        <f>IFERROR(INDEX(Lookup_Lists!$B$170:$O$181,MATCH(Brand_Profile!$D$10,Lookup_Lists!$A$170:$A$181,0),MATCH(KOL_Database!$E$10,Lookup_Lists!$B$169:$O$169,0)),Lookup_Lists!$D$151)</f>
        <v>20</v>
      </c>
      <c r="L11" s="142">
        <f>IF(KOL_Database!$F$10="",Matching_Engine!$BC$11,IF(Brand_Profile!$D$12=KOL_Database!$F$10,100,IF(Matching_Engine!$BA$11=KOL_Database!$E$10,80,IF(Matching_Engine!$BC$11&gt;=80,60,IF(Matching_Engine!$BC$11&gt;=60,40,Lookup_Lists!$D$151)))))</f>
        <v>20</v>
      </c>
      <c r="M11" s="142">
        <f>ROUND((IF(Brand_Profile!$D$62=0,Lookup_Lists!$D$150,ROUND((IF(Brand_Profile!$D$57="",0,IF(ISNUMBER(SEARCH(Brand_Profile!$D$57,Matching_Engine!$BF$11)),1,0))+IF(Brand_Profile!$D$58="",0,IF(ISNUMBER(SEARCH(Brand_Profile!$D$58,Matching_Engine!$BF$11)),1,0))+IF(Brand_Profile!$D$59="",0,IF(ISNUMBER(SEARCH(Brand_Profile!$D$59,Matching_Engine!$BF$11)),1,0))+IF(Brand_Profile!$D$60="",0,IF(ISNUMBER(SEARCH(Brand_Profile!$D$60,Matching_Engine!$BF$11)),1,0))+IF(Brand_Profile!$D$61="",0,IF(ISNUMBER(SEARCH(Brand_Profile!$D$61,Matching_Engine!$BF$11)),1,0)))/Brand_Profile!$D$62*100,0))+IF(Brand_Profile!$D$74=0,Lookup_Lists!$D$150,ROUND((IF(Brand_Profile!$D$69="",0,IF(ISNUMBER(SEARCH(Brand_Profile!$D$69,Matching_Engine!$BF$11)),1,0))+IF(Brand_Profile!$D$70="",0,IF(ISNUMBER(SEARCH(Brand_Profile!$D$70,Matching_Engine!$BF$11)),1,0))+IF(Brand_Profile!$D$71="",0,IF(ISNUMBER(SEARCH(Brand_Profile!$D$71,Matching_Engine!$BF$11)),1,0))+IF(Brand_Profile!$D$72="",0,IF(ISNUMBER(SEARCH(Brand_Profile!$D$72,Matching_Engine!$BF$11)),1,0))+IF(Brand_Profile!$D$73="",0,IF(ISNUMBER(SEARCH(Brand_Profile!$D$73,Matching_Engine!$BF$11)),1,0)))/Brand_Profile!$D$74*100,0)))/2,0)</f>
        <v>0</v>
      </c>
      <c r="N11" s="142">
        <f>ROUND((Matching_Engine!$K$11*Lookup_Lists!$D$110+Matching_Engine!$L$11*Lookup_Lists!$D$111+Matching_Engine!$M$11*Lookup_Lists!$D$112)/(Lookup_Lists!$D$110+Lookup_Lists!$D$111+Lookup_Lists!$D$112),0)</f>
        <v>14</v>
      </c>
      <c r="O11" s="142">
        <f ca="1">IF(Brand_Profile!$D$16="",Lookup_Lists!$D$150,MIN(100,ROUND((IFERROR(INDEX(KOL_Database!$W$10:KOL_Database!$AA$10,1,MATCH(Brand_Profile!$D$16,Lookup_Lists!$F$6:$F$10,0)),0)+0.5*IFERROR(INDEX(KOL_Database!$W$10:KOL_Database!$AA$10,1,MATCH(Brand_Profile!$D$17,Lookup_Lists!$F$6:$F$10,0)),0))/Lookup_Lists!$D$142*100,0)))</f>
        <v>100</v>
      </c>
      <c r="P11" s="142">
        <f>IF(OR(Brand_Profile!$D$18="",Brand_Profile!$D$18="Any"),100,IF(Brand_Profile!$D$18="Female",MIN(100,ROUND(KOL_Database!$AB$10/Lookup_Lists!$D$143*100,0)),IF(Brand_Profile!$D$18="Male",MIN(100,ROUND(KOL_Database!$AC$10/Lookup_Lists!$D$143*100,0)),MAX(0,ROUND(100-ABS(KOL_Database!$AB$10-50)*2,0)))))</f>
        <v>100</v>
      </c>
      <c r="Q11" s="142">
        <f>ROUND((IF(Brand_Profile!$D$19="",100,IF(KOL_Database!$AD$10=Brand_Profile!$D$19,100,Lookup_Lists!$D$151))*Lookup_Lists!$D$118+IF(OR(Brand_Profile!$D$20="",Brand_Profile!$D$20="Nasional"),100,IF(KOL_Database!$AE$10="",Lookup_Lists!$D$150,IF(KOL_Database!$AE$10=Brand_Profile!$D$20,100,IF(KOL_Database!$AD$10=Brand_Profile!$D$19,40,Lookup_Lists!$D$151))))*Lookup_Lists!$D$119+IF(OR(Brand_Profile!$D$21="",Brand_Profile!$D$21="Nasional"),100,IF(KOL_Database!$AF$10="",Lookup_Lists!$D$150,IF(KOL_Database!$AF$10=Brand_Profile!$D$21,100,IF(KOL_Database!$AE$10=Brand_Profile!$D$20,60,Lookup_Lists!$D$151))))*Lookup_Lists!$D$120)/(Lookup_Lists!$D$118+Lookup_Lists!$D$119+Lookup_Lists!$D$120),0)</f>
        <v>68</v>
      </c>
      <c r="R11" s="142">
        <f>IF(Brand_Profile!$D$68=0,Lookup_Lists!$D$150,ROUND((IF(Brand_Profile!$D$63="",0,IF(ISNUMBER(SEARCH(Brand_Profile!$D$63,KOL_Database!$AG$10)),1,0))+IF(Brand_Profile!$D$64="",0,IF(ISNUMBER(SEARCH(Brand_Profile!$D$64,KOL_Database!$AG$10)),1,0))+IF(Brand_Profile!$D$65="",0,IF(ISNUMBER(SEARCH(Brand_Profile!$D$65,KOL_Database!$AG$10)),1,0))+IF(Brand_Profile!$D$66="",0,IF(ISNUMBER(SEARCH(Brand_Profile!$D$66,KOL_Database!$AG$10)),1,0))+IF(Brand_Profile!$D$67="",0,IF(ISNUMBER(SEARCH(Brand_Profile!$D$67,KOL_Database!$AG$10)),1,0)))/Brand_Profile!$D$68*100,0))</f>
        <v>0</v>
      </c>
      <c r="S11" s="142">
        <f ca="1">ROUND((Matching_Engine!$O$11*Brand_Profile!$D$96+Matching_Engine!$P$11*Brand_Profile!$D$97+Matching_Engine!$Q$11*Brand_Profile!$D$98+Matching_Engine!$R$11*Brand_Profile!$D$99)/MAX(1,Brand_Profile!$D$96+Brand_Profile!$D$97+Brand_Profile!$D$98+Brand_Profile!$D$99),0)</f>
        <v>50</v>
      </c>
      <c r="T11" s="142">
        <f>IF(Brand_Profile!$D$33="",Lookup_Lists!$D$150,Matching_Engine!$BD$11)</f>
        <v>20</v>
      </c>
      <c r="U11" s="142">
        <f>IF(Brand_Profile!$D$34="",Lookup_Lists!$D$150,IF(Brand_Profile!$D$34=KOL_Database!$F$10,100,IF(Matching_Engine!$BE$11=KOL_Database!$E$10,75,IF(Matching_Engine!$BD$11&gt;=80,Lookup_Lists!$D$150,IF(Matching_Engine!$BD$11&gt;=60,35,Lookup_Lists!$D$151)))))</f>
        <v>20</v>
      </c>
      <c r="V11" s="142">
        <f>IF(Brand_Profile!$D$86=0,Lookup_Lists!$D$150,ROUND((IF(Brand_Profile!$D$81="",0,IF(ISNUMBER(SEARCH(Brand_Profile!$D$81,Matching_Engine!$BG$11)),1,0))+IF(Brand_Profile!$D$82="",0,IF(ISNUMBER(SEARCH(Brand_Profile!$D$82,Matching_Engine!$BG$11)),1,0))+IF(Brand_Profile!$D$83="",0,IF(ISNUMBER(SEARCH(Brand_Profile!$D$83,Matching_Engine!$BG$11)),1,0))+IF(Brand_Profile!$D$84="",0,IF(ISNUMBER(SEARCH(Brand_Profile!$D$84,Matching_Engine!$BG$11)),1,0))+IF(Brand_Profile!$D$85="",0,IF(ISNUMBER(SEARCH(Brand_Profile!$D$85,Matching_Engine!$BG$11)),1,0)))/Brand_Profile!$D$86*100,0))</f>
        <v>0</v>
      </c>
      <c r="W11" s="142">
        <f>IF(Brand_Profile!$D$39="",Lookup_Lists!$D$150,IFERROR(INDEX(Lookup_Lists!$B$237:$K$246,MATCH(Brand_Profile!$D$39,Lookup_Lists!$A$237:$A$246,0),MATCH(KOL_Database!$AJ$10,Lookup_Lists!$B$236:$K$236,0)),45))</f>
        <v>80</v>
      </c>
      <c r="X11" s="142">
        <f>ROUND((Matching_Engine!$T$11*Lookup_Lists!$D$121+Matching_Engine!$U$11*Lookup_Lists!$D$122+Matching_Engine!$V$11*Lookup_Lists!$D$123+Matching_Engine!$W$11*Lookup_Lists!$D$124)/(Lookup_Lists!$D$121+Lookup_Lists!$D$122+Lookup_Lists!$D$123+Lookup_Lists!$D$124),0)</f>
        <v>26</v>
      </c>
      <c r="Y11" s="142">
        <f>MIN(100,MAX(IFERROR(INDEX(Lookup_Lists!$B$202:$M$211,MATCH(Brand_Profile!$D$25,Lookup_Lists!$A$202:$A$211,0),MATCH(KOL_Database!$AK$10,Lookup_Lists!$B$201:$M$201,0)),40),IF(KOL_Database!$AK$10=Brand_Profile!$D$41,95,0)))</f>
        <v>50</v>
      </c>
      <c r="Z11" s="142">
        <f>IFERROR(INDEX(Lookup_Lists!$B$215:$K$222,MATCH(Brand_Profile!$D$27,Lookup_Lists!$A$215:$A$222,0),MATCH(KOL_Database!$AJ$10,Lookup_Lists!$B$214:$K$214,0)),45)</f>
        <v>95</v>
      </c>
      <c r="AA11" s="142">
        <f>ROUND((IF(Brand_Profile!$D$80=0,Lookup_Lists!$D$150,ROUND((IF(Brand_Profile!$D$75="",0,IF(ISNUMBER(SEARCH(Brand_Profile!$D$75,KOL_Database!$AL$10)),1,0))+IF(Brand_Profile!$D$76="",0,IF(ISNUMBER(SEARCH(Brand_Profile!$D$76,KOL_Database!$AL$10)),1,0))+IF(Brand_Profile!$D$77="",0,IF(ISNUMBER(SEARCH(Brand_Profile!$D$77,KOL_Database!$AL$10)),1,0))+IF(Brand_Profile!$D$78="",0,IF(ISNUMBER(SEARCH(Brand_Profile!$D$78,KOL_Database!$AL$10)),1,0))+IF(Brand_Profile!$D$79="",0,IF(ISNUMBER(SEARCH(Brand_Profile!$D$79,KOL_Database!$AL$10)),1,0)))/Brand_Profile!$D$80*100,0))+IF(Brand_Profile!$D$92=0,Lookup_Lists!$D$150,ROUND((IF(Brand_Profile!$D$87="",0,IF(ISNUMBER(SEARCH(Brand_Profile!$D$87,KOL_Database!$AL$10)),1,0))+IF(Brand_Profile!$D$88="",0,IF(ISNUMBER(SEARCH(Brand_Profile!$D$88,KOL_Database!$AL$10)),1,0))+IF(Brand_Profile!$D$89="",0,IF(ISNUMBER(SEARCH(Brand_Profile!$D$89,KOL_Database!$AL$10)),1,0))+IF(Brand_Profile!$D$90="",0,IF(ISNUMBER(SEARCH(Brand_Profile!$D$90,KOL_Database!$AL$10)),1,0))+IF(Brand_Profile!$D$91="",0,IF(ISNUMBER(SEARCH(Brand_Profile!$D$91,KOL_Database!$AL$10)),1,0)))/Brand_Profile!$D$92*100,0)))/2,0)</f>
        <v>20</v>
      </c>
      <c r="AB11" s="142">
        <f>IFERROR(INDEX(Lookup_Lists!$B$226:$K$233,MATCH(Brand_Profile!$D$30,Lookup_Lists!$A$226:$A$233,0),MATCH(KOL_Database!$AJ$10,Lookup_Lists!$B$225:$K$225,0)),45)</f>
        <v>95</v>
      </c>
      <c r="AC11" s="142">
        <f>ROUND((Matching_Engine!$Y$11*Lookup_Lists!$D$125+Matching_Engine!$Z$11*Lookup_Lists!$D$126+Matching_Engine!$AA$11*Lookup_Lists!$D$127+Matching_Engine!$AB$11*Lookup_Lists!$D$128)/(Lookup_Lists!$D$125+Lookup_Lists!$D$126+Lookup_Lists!$D$127+Lookup_Lists!$D$128),0)</f>
        <v>61</v>
      </c>
      <c r="AD11" s="142">
        <f>IF(KOL_Database!$K$10="",0,MIN(100,ROUND(KOL_Database!$K$10/Lookup_Lists!$D$141*100,0)))</f>
        <v>87</v>
      </c>
      <c r="AE11" s="142">
        <f>IF(KOL_Database!$R$10="",0,MIN(100,MAX(0,KOL_Database!$R$10)))</f>
        <v>73</v>
      </c>
      <c r="AF11" s="142">
        <f>IF(KOL_Database!$P$10="",0,MIN(100,MAX(0,KOL_Database!$P$10)))</f>
        <v>63</v>
      </c>
      <c r="AG11" s="142">
        <f>IF(KOL_Database!$Q$10="",0,MIN(100,MAX(0,KOL_Database!$Q$10)))</f>
        <v>58</v>
      </c>
      <c r="AH11" s="142">
        <f>IF(OR(KOL_Database!$J$10="",KOL_Database!$J$10=0,KOL_Database!$L$10=""),0,MIN(100,ROUND(KOL_Database!$L$10/KOL_Database!$J$10/Lookup_Lists!$D$144*100,0)))</f>
        <v>60</v>
      </c>
      <c r="AI11" s="142">
        <f>IF(KOL_Database!$N$10="",0,MIN(100,MAX(0,ROUND((KOL_Database!$N$10+2)/(Lookup_Lists!$D$145+2)*100,0))))</f>
        <v>80</v>
      </c>
      <c r="AJ11" s="142">
        <f>ROUND((Matching_Engine!$AD$11*Lookup_Lists!$D$129+Matching_Engine!$AE$11*Lookup_Lists!$D$130+Matching_Engine!$AF$11*Lookup_Lists!$D$131+Matching_Engine!$AG$11*Lookup_Lists!$D$132+Matching_Engine!$AH$11*Lookup_Lists!$D$133+Matching_Engine!$AI$11*Lookup_Lists!$D$134)/(Lookup_Lists!$D$129+Lookup_Lists!$D$130+Lookup_Lists!$D$131+Lookup_Lists!$D$132+Lookup_Lists!$D$133+Lookup_Lists!$D$134),0)</f>
        <v>73</v>
      </c>
      <c r="AK11" s="142">
        <f>IF(KOL_Database!$AT$10="",0,MIN(100,MAX(0,KOL_Database!$AT$10)))</f>
        <v>79</v>
      </c>
      <c r="AL11" s="142">
        <f>IF(KOL_Database!$AU$10="",0,KOL_Database!$AU$10)</f>
        <v>29</v>
      </c>
      <c r="AM11" s="89" t="str">
        <f>IF(KOL_Database!$AV$10="","None",KOL_Database!$AV$10)</f>
        <v>Low</v>
      </c>
      <c r="AN11" s="143">
        <f>IF(Matching_Engine!$AM$11="High",Lookup_Lists!$D$137,IF(Matching_Engine!$AM$11="Medium",Lookup_Lists!$D$138,IF(Matching_Engine!$AM$11="Low",Lookup_Lists!$D$139,Lookup_Lists!$D$140)))</f>
        <v>0.95</v>
      </c>
      <c r="AO11" s="142">
        <f>ROUND(MIN(100,MAX(0,(Matching_Engine!$AK$11*Lookup_Lists!$D$135+(100-Matching_Engine!$AL$11)*Lookup_Lists!$D$136)/(Lookup_Lists!$D$135+Lookup_Lists!$D$136)*Matching_Engine!$AN$11)),0)</f>
        <v>74</v>
      </c>
      <c r="AP11" s="13">
        <f ca="1">ROUND((Matching_Engine!$N$11*Lookup_Lists!$D$104+Matching_Engine!$S$11*Lookup_Lists!$D$105+Matching_Engine!$X$11*Lookup_Lists!$D$106+Matching_Engine!$AC$11*Lookup_Lists!$D$107+Matching_Engine!$AJ$11*Lookup_Lists!$D$108+Matching_Engine!$AO$11*Lookup_Lists!$D$109)/MAX(1,(Lookup_Lists!$D$104+Lookup_Lists!$D$105+Lookup_Lists!$D$106+Lookup_Lists!$D$107+Lookup_Lists!$D$108+Lookup_Lists!$D$109)),0)</f>
        <v>44</v>
      </c>
      <c r="AQ11" s="89" t="str">
        <f ca="1">IF(Matching_Engine!$AP$11&gt;=Lookup_Lists!$D$152,"Excellent Match",IF(Matching_Engine!$AP$11&gt;=Lookup_Lists!$D$153,"Strong Match",IF(Matching_Engine!$AP$11&gt;=Lookup_Lists!$D$154,"Good Match",IF(Matching_Engine!$AP$11&gt;=Lookup_Lists!$D$155,"Moderate Match","Low Match"))))</f>
        <v>Low Match</v>
      </c>
      <c r="AR11" s="142">
        <f>KOL_Database!$BE$10</f>
        <v>92</v>
      </c>
      <c r="AS11" s="89" t="str">
        <f>IF(Matching_Engine!$AR$11&gt;=Lookup_Lists!$D$159,"High",IF(Matching_Engine!$AR$11&gt;=Lookup_Lists!$D$160,"Medium","Limited Data"))</f>
        <v>Medium</v>
      </c>
      <c r="AT11" s="142">
        <f>ROUND((Matching_Engine!$N$11+Matching_Engine!$X$11+Matching_Engine!$AC$11)/3,0)</f>
        <v>34</v>
      </c>
      <c r="AU11" s="142">
        <f>ROUND(((100-Matching_Engine!$AL$11)*Lookup_Lists!$D$162+IF(KOL_Database!$BD$10="",Lookup_Lists!$D$150,KOL_Database!$BD$10)*Lookup_Lists!$D$163+Matching_Engine!$AI$11*Lookup_Lists!$D$164+Matching_Engine!$AD$11*Lookup_Lists!$D$165)/(Lookup_Lists!$D$162+Lookup_Lists!$D$163+Lookup_Lists!$D$164+Lookup_Lists!$D$165),0)</f>
        <v>72</v>
      </c>
      <c r="AV11" s="89" t="str">
        <f ca="1">IF(Matching_Engine!$AW$11="","PASS","EXCLUDED")</f>
        <v>PASS</v>
      </c>
      <c r="AW11" s="89" t="str">
        <f ca="1">IF(ISERROR(SEARCH(KOL_Database!$D$10,Brand_Profile!$D$32)),"Platform not in Preferred Platform",IF(AND(Brand_Profile!$D$36&gt;0,KOL_Database!$J$10&lt;Brand_Profile!$D$36),"Followers below Preferred Follower Range",IF(AND(Brand_Profile!$D$37&gt;0,KOL_Database!$J$10&gt;Brand_Profile!$D$37),"Followers above Preferred Follower Range",IF(AND(Brand_Profile!$D$38&gt;0,IF(KOL_Database!$K$10="",0,KOL_Database!$K$10)&lt;Brand_Profile!$D$38),"Engagement Rate below Minimum Engagement Rate",IF(ISERROR(SEARCH(KOL_Database!$G$10,Brand_Profile!$D$35)),"Tier not in Preferred Tier",IF(AND(Brand_Profile!$D$43&gt;0,Matching_Engine!$AE$11&lt;Brand_Profile!$D$43),"Audience Quality below Minimum Audience Quality",IF(AND(Brand_Profile!$D$44&gt;0,Matching_Engine!$AK$11&lt;Brand_Profile!$D$44),"Brand Safety below Minimum Brand Safety",IF(AND(Brand_Profile!$D$47="Yes",KOL_Database!$AD$10&lt;&gt;Brand_Profile!$D$19),"Audience Country does not match Target Country",IF(AND(Brand_Profile!$D$46="Yes",KOL_Database!$E$10&lt;&gt;Brand_Profile!$D$33),"Category is not the Preferred Category",IF(AND(Brand_Profile!$D$48&gt;0,Matching_Engine!$AL$11&gt;Brand_Profile!$D$48),"Competitor Saturation above Max Competitor Saturation",IF(AND(Brand_Profile!$D$50="Yes",KOL_Database!$AW$10="Yes"),"Already Selected",IF(AND(Brand_Profile!$D$51="Yes",KOL_Database!$AX$10="Yes"),"Already in Cart",IF(AND(Brand_Profile!$D$52="Yes",KOL_Database!$AY$10="Yes"),"Existing Partner",IF(AND(Brand_Profile!$D$53="Yes",KOL_Database!$AZ$10="Yes"),"Excluded Creator",IF(AND(Brand_Profile!$D$49&gt;0,Matching_Engine!$AP$11&lt;Brand_Profile!$D$49),"Brand Match below Minimum Brand Match","")))))))))))))))</f>
        <v/>
      </c>
      <c r="AX11" s="89" t="str">
        <f ca="1">IF(Matching_Engine!$AV$11="EXCLUDED","Excluded",IF(Matching_Engine!$AP$11&gt;=Lookup_Lists!$D$156,"Highly Recommended",IF(Matching_Engine!$AP$11&gt;=Lookup_Lists!$D$157,"Recommended",IF(Matching_Engine!$AP$11&gt;=Lookup_Lists!$D$158,"Consider","Low Priority"))))</f>
        <v>Low Priority</v>
      </c>
      <c r="AY11" s="142">
        <f ca="1">IF(Matching_Engine!$AV$11="PASS",Matching_Engine!$AP$11,"")</f>
        <v>44</v>
      </c>
      <c r="AZ11" s="89" t="str">
        <f>Matching_Engine!$A$11&amp;"|"&amp;Matching_Engine!$C$11</f>
        <v>BRAND-A|KOL-06</v>
      </c>
      <c r="BA11" s="89" t="str">
        <f>IFERROR(INDEX(Lookup_Lists!$B$51:$B$92,MATCH(Brand_Profile!$D$12,Lookup_Lists!$A$51:$A$92,0)),"")</f>
        <v>Tech</v>
      </c>
      <c r="BB11" s="89" t="str">
        <f>IFERROR(INDEX(Lookup_Lists!$B$51:$B$92,MATCH(KOL_Database!$F$10,Lookup_Lists!$A$51:$A$92,0)),"")</f>
        <v>Food</v>
      </c>
      <c r="BC11" s="142">
        <f>IFERROR(INDEX(Lookup_Lists!$B$185:$O$198,MATCH(Matching_Engine!$BA$11,Lookup_Lists!$A$185:$A$198,0),MATCH(KOL_Database!$E$10,Lookup_Lists!$B$184:$O$184,0)),Lookup_Lists!$D$151)</f>
        <v>20</v>
      </c>
      <c r="BD11" s="142">
        <f>IFERROR(INDEX(Lookup_Lists!$B$185:$O$198,MATCH(Brand_Profile!$D$33,Lookup_Lists!$A$185:$A$198,0),MATCH(KOL_Database!$E$10,Lookup_Lists!$B$184:$O$184,0)),Lookup_Lists!$D$151)</f>
        <v>20</v>
      </c>
      <c r="BE11" s="89" t="str">
        <f>IFERROR(INDEX(Lookup_Lists!$B$51:$B$92,MATCH(Brand_Profile!$D$34,Lookup_Lists!$A$51:$A$92,0)),"")</f>
        <v>Tech</v>
      </c>
      <c r="BF11" s="89" t="str">
        <f>KOL_Database!$AI$10&amp;", "&amp;KOL_Database!$AG$10&amp;", "&amp;KOL_Database!$F$10&amp;", "&amp;KOL_Database!$E$10</f>
        <v>Cooking, Food, Parenting, Cooking, Food, Parenting, Home Decor, Health, Home Cooking, Food</v>
      </c>
      <c r="BG11" s="89" t="str">
        <f>KOL_Database!$AI$10&amp;", "&amp;KOL_Database!$AG$10</f>
        <v>Cooking, Food, Parenting, Cooking, Food, Parenting, Home Decor, Health</v>
      </c>
    </row>
    <row r="12" spans="1:59">
      <c r="A12" s="101" t="s">
        <v>113</v>
      </c>
      <c r="B12" s="89" t="str">
        <f>Brand_Profile!$D$9</f>
        <v>Nusatech Cloud</v>
      </c>
      <c r="C12" s="89" t="str">
        <f>KOL_Database!$A$11</f>
        <v>KOL-07</v>
      </c>
      <c r="D12" s="89" t="str">
        <f>KOL_Database!$B$11</f>
        <v>Fajar Ramadhan</v>
      </c>
      <c r="E12" s="89" t="str">
        <f>KOL_Database!$C$11</f>
        <v>@fajarfinance</v>
      </c>
      <c r="F12" s="89" t="str">
        <f>KOL_Database!$D$11</f>
        <v>Instagram</v>
      </c>
      <c r="G12" s="89" t="str">
        <f>KOL_Database!$E$11</f>
        <v>Finance</v>
      </c>
      <c r="H12" s="89" t="str">
        <f>KOL_Database!$G$11</f>
        <v>Macro</v>
      </c>
      <c r="I12" s="140">
        <f>KOL_Database!$J$11</f>
        <v>152000</v>
      </c>
      <c r="J12" s="141">
        <f>KOL_Database!$K$11</f>
        <v>3.2</v>
      </c>
      <c r="K12" s="142">
        <f>IFERROR(INDEX(Lookup_Lists!$B$170:$O$181,MATCH(Brand_Profile!$D$10,Lookup_Lists!$A$170:$A$181,0),MATCH(KOL_Database!$E$11,Lookup_Lists!$B$169:$O$169,0)),Lookup_Lists!$D$151)</f>
        <v>80</v>
      </c>
      <c r="L12" s="142">
        <f>IF(KOL_Database!$F$11="",Matching_Engine!$BC$12,IF(Brand_Profile!$D$12=KOL_Database!$F$11,100,IF(Matching_Engine!$BA$12=KOL_Database!$E$11,80,IF(Matching_Engine!$BC$12&gt;=80,60,IF(Matching_Engine!$BC$12&gt;=60,40,Lookup_Lists!$D$151)))))</f>
        <v>60</v>
      </c>
      <c r="M12" s="142">
        <f>ROUND((IF(Brand_Profile!$D$62=0,Lookup_Lists!$D$150,ROUND((IF(Brand_Profile!$D$57="",0,IF(ISNUMBER(SEARCH(Brand_Profile!$D$57,Matching_Engine!$BF$12)),1,0))+IF(Brand_Profile!$D$58="",0,IF(ISNUMBER(SEARCH(Brand_Profile!$D$58,Matching_Engine!$BF$12)),1,0))+IF(Brand_Profile!$D$59="",0,IF(ISNUMBER(SEARCH(Brand_Profile!$D$59,Matching_Engine!$BF$12)),1,0))+IF(Brand_Profile!$D$60="",0,IF(ISNUMBER(SEARCH(Brand_Profile!$D$60,Matching_Engine!$BF$12)),1,0))+IF(Brand_Profile!$D$61="",0,IF(ISNUMBER(SEARCH(Brand_Profile!$D$61,Matching_Engine!$BF$12)),1,0)))/Brand_Profile!$D$62*100,0))+IF(Brand_Profile!$D$74=0,Lookup_Lists!$D$150,ROUND((IF(Brand_Profile!$D$69="",0,IF(ISNUMBER(SEARCH(Brand_Profile!$D$69,Matching_Engine!$BF$12)),1,0))+IF(Brand_Profile!$D$70="",0,IF(ISNUMBER(SEARCH(Brand_Profile!$D$70,Matching_Engine!$BF$12)),1,0))+IF(Brand_Profile!$D$71="",0,IF(ISNUMBER(SEARCH(Brand_Profile!$D$71,Matching_Engine!$BF$12)),1,0))+IF(Brand_Profile!$D$72="",0,IF(ISNUMBER(SEARCH(Brand_Profile!$D$72,Matching_Engine!$BF$12)),1,0))+IF(Brand_Profile!$D$73="",0,IF(ISNUMBER(SEARCH(Brand_Profile!$D$73,Matching_Engine!$BF$12)),1,0)))/Brand_Profile!$D$74*100,0)))/2,0)</f>
        <v>100</v>
      </c>
      <c r="N12" s="142">
        <f>ROUND((Matching_Engine!$K$12*Lookup_Lists!$D$110+Matching_Engine!$L$12*Lookup_Lists!$D$111+Matching_Engine!$M$12*Lookup_Lists!$D$112)/(Lookup_Lists!$D$110+Lookup_Lists!$D$111+Lookup_Lists!$D$112),0)</f>
        <v>80</v>
      </c>
      <c r="O12" s="142">
        <f ca="1">IF(Brand_Profile!$D$16="",Lookup_Lists!$D$150,MIN(100,ROUND((IFERROR(INDEX(KOL_Database!$W$11:KOL_Database!$AA$11,1,MATCH(Brand_Profile!$D$16,Lookup_Lists!$F$6:$F$10,0)),0)+0.5*IFERROR(INDEX(KOL_Database!$W$11:KOL_Database!$AA$11,1,MATCH(Brand_Profile!$D$17,Lookup_Lists!$F$6:$F$10,0)),0))/Lookup_Lists!$D$142*100,0)))</f>
        <v>100</v>
      </c>
      <c r="P12" s="142">
        <f>IF(OR(Brand_Profile!$D$18="",Brand_Profile!$D$18="Any"),100,IF(Brand_Profile!$D$18="Female",MIN(100,ROUND(KOL_Database!$AB$11/Lookup_Lists!$D$143*100,0)),IF(Brand_Profile!$D$18="Male",MIN(100,ROUND(KOL_Database!$AC$11/Lookup_Lists!$D$143*100,0)),MAX(0,ROUND(100-ABS(KOL_Database!$AB$11-50)*2,0)))))</f>
        <v>100</v>
      </c>
      <c r="Q12" s="142">
        <f>ROUND((IF(Brand_Profile!$D$19="",100,IF(KOL_Database!$AD$11=Brand_Profile!$D$19,100,Lookup_Lists!$D$151))*Lookup_Lists!$D$118+IF(OR(Brand_Profile!$D$20="",Brand_Profile!$D$20="Nasional"),100,IF(KOL_Database!$AE$11="",Lookup_Lists!$D$150,IF(KOL_Database!$AE$11=Brand_Profile!$D$20,100,IF(KOL_Database!$AD$11=Brand_Profile!$D$19,40,Lookup_Lists!$D$151))))*Lookup_Lists!$D$119+IF(OR(Brand_Profile!$D$21="",Brand_Profile!$D$21="Nasional"),100,IF(KOL_Database!$AF$11="",Lookup_Lists!$D$150,IF(KOL_Database!$AF$11=Brand_Profile!$D$21,100,IF(KOL_Database!$AE$11=Brand_Profile!$D$20,60,Lookup_Lists!$D$151))))*Lookup_Lists!$D$120)/(Lookup_Lists!$D$118+Lookup_Lists!$D$119+Lookup_Lists!$D$120),0)</f>
        <v>100</v>
      </c>
      <c r="R12" s="142">
        <f>IF(Brand_Profile!$D$68=0,Lookup_Lists!$D$150,ROUND((IF(Brand_Profile!$D$63="",0,IF(ISNUMBER(SEARCH(Brand_Profile!$D$63,KOL_Database!$AG$11)),1,0))+IF(Brand_Profile!$D$64="",0,IF(ISNUMBER(SEARCH(Brand_Profile!$D$64,KOL_Database!$AG$11)),1,0))+IF(Brand_Profile!$D$65="",0,IF(ISNUMBER(SEARCH(Brand_Profile!$D$65,KOL_Database!$AG$11)),1,0))+IF(Brand_Profile!$D$66="",0,IF(ISNUMBER(SEARCH(Brand_Profile!$D$66,KOL_Database!$AG$11)),1,0))+IF(Brand_Profile!$D$67="",0,IF(ISNUMBER(SEARCH(Brand_Profile!$D$67,KOL_Database!$AG$11)),1,0)))/Brand_Profile!$D$68*100,0))</f>
        <v>100</v>
      </c>
      <c r="S12" s="142">
        <f ca="1">ROUND((Matching_Engine!$O$12*Brand_Profile!$D$96+Matching_Engine!$P$12*Brand_Profile!$D$97+Matching_Engine!$Q$12*Brand_Profile!$D$98+Matching_Engine!$R$12*Brand_Profile!$D$99)/MAX(1,Brand_Profile!$D$96+Brand_Profile!$D$97+Brand_Profile!$D$98+Brand_Profile!$D$99),0)</f>
        <v>100</v>
      </c>
      <c r="T12" s="142">
        <f>IF(Brand_Profile!$D$33="",Lookup_Lists!$D$150,Matching_Engine!$BD$12)</f>
        <v>80</v>
      </c>
      <c r="U12" s="142">
        <f>IF(Brand_Profile!$D$34="",Lookup_Lists!$D$150,IF(Brand_Profile!$D$34=KOL_Database!$F$11,100,IF(Matching_Engine!$BE$12=KOL_Database!$E$11,75,IF(Matching_Engine!$BD$12&gt;=80,Lookup_Lists!$D$150,IF(Matching_Engine!$BD$12&gt;=60,35,Lookup_Lists!$D$151)))))</f>
        <v>50</v>
      </c>
      <c r="V12" s="142">
        <f>IF(Brand_Profile!$D$86=0,Lookup_Lists!$D$150,ROUND((IF(Brand_Profile!$D$81="",0,IF(ISNUMBER(SEARCH(Brand_Profile!$D$81,Matching_Engine!$BG$12)),1,0))+IF(Brand_Profile!$D$82="",0,IF(ISNUMBER(SEARCH(Brand_Profile!$D$82,Matching_Engine!$BG$12)),1,0))+IF(Brand_Profile!$D$83="",0,IF(ISNUMBER(SEARCH(Brand_Profile!$D$83,Matching_Engine!$BG$12)),1,0))+IF(Brand_Profile!$D$84="",0,IF(ISNUMBER(SEARCH(Brand_Profile!$D$84,Matching_Engine!$BG$12)),1,0))+IF(Brand_Profile!$D$85="",0,IF(ISNUMBER(SEARCH(Brand_Profile!$D$85,Matching_Engine!$BG$12)),1,0)))/Brand_Profile!$D$86*100,0))</f>
        <v>100</v>
      </c>
      <c r="W12" s="142">
        <f>IF(Brand_Profile!$D$39="",Lookup_Lists!$D$150,IFERROR(INDEX(Lookup_Lists!$B$237:$K$246,MATCH(Brand_Profile!$D$39,Lookup_Lists!$A$237:$A$246,0),MATCH(KOL_Database!$AJ$11,Lookup_Lists!$B$236:$K$236,0)),45))</f>
        <v>100</v>
      </c>
      <c r="X12" s="142">
        <f>ROUND((Matching_Engine!$T$12*Lookup_Lists!$D$121+Matching_Engine!$U$12*Lookup_Lists!$D$122+Matching_Engine!$V$12*Lookup_Lists!$D$123+Matching_Engine!$W$12*Lookup_Lists!$D$124)/(Lookup_Lists!$D$121+Lookup_Lists!$D$122+Lookup_Lists!$D$123+Lookup_Lists!$D$124),0)</f>
        <v>84</v>
      </c>
      <c r="Y12" s="142">
        <f>MIN(100,MAX(IFERROR(INDEX(Lookup_Lists!$B$202:$M$211,MATCH(Brand_Profile!$D$25,Lookup_Lists!$A$202:$A$211,0),MATCH(KOL_Database!$AK$11,Lookup_Lists!$B$201:$M$201,0)),40),IF(KOL_Database!$AK$11=Brand_Profile!$D$41,95,0)))</f>
        <v>70</v>
      </c>
      <c r="Z12" s="142">
        <f>IFERROR(INDEX(Lookup_Lists!$B$215:$K$222,MATCH(Brand_Profile!$D$27,Lookup_Lists!$A$215:$A$222,0),MATCH(KOL_Database!$AJ$11,Lookup_Lists!$B$214:$K$214,0)),45)</f>
        <v>100</v>
      </c>
      <c r="AA12" s="142">
        <f>ROUND((IF(Brand_Profile!$D$80=0,Lookup_Lists!$D$150,ROUND((IF(Brand_Profile!$D$75="",0,IF(ISNUMBER(SEARCH(Brand_Profile!$D$75,KOL_Database!$AL$11)),1,0))+IF(Brand_Profile!$D$76="",0,IF(ISNUMBER(SEARCH(Brand_Profile!$D$76,KOL_Database!$AL$11)),1,0))+IF(Brand_Profile!$D$77="",0,IF(ISNUMBER(SEARCH(Brand_Profile!$D$77,KOL_Database!$AL$11)),1,0))+IF(Brand_Profile!$D$78="",0,IF(ISNUMBER(SEARCH(Brand_Profile!$D$78,KOL_Database!$AL$11)),1,0))+IF(Brand_Profile!$D$79="",0,IF(ISNUMBER(SEARCH(Brand_Profile!$D$79,KOL_Database!$AL$11)),1,0)))/Brand_Profile!$D$80*100,0))+IF(Brand_Profile!$D$92=0,Lookup_Lists!$D$150,ROUND((IF(Brand_Profile!$D$87="",0,IF(ISNUMBER(SEARCH(Brand_Profile!$D$87,KOL_Database!$AL$11)),1,0))+IF(Brand_Profile!$D$88="",0,IF(ISNUMBER(SEARCH(Brand_Profile!$D$88,KOL_Database!$AL$11)),1,0))+IF(Brand_Profile!$D$89="",0,IF(ISNUMBER(SEARCH(Brand_Profile!$D$89,KOL_Database!$AL$11)),1,0))+IF(Brand_Profile!$D$90="",0,IF(ISNUMBER(SEARCH(Brand_Profile!$D$90,KOL_Database!$AL$11)),1,0))+IF(Brand_Profile!$D$91="",0,IF(ISNUMBER(SEARCH(Brand_Profile!$D$91,KOL_Database!$AL$11)),1,0)))/Brand_Profile!$D$92*100,0)))/2,0)</f>
        <v>80</v>
      </c>
      <c r="AB12" s="142">
        <f>IFERROR(INDEX(Lookup_Lists!$B$226:$K$233,MATCH(Brand_Profile!$D$30,Lookup_Lists!$A$226:$A$233,0),MATCH(KOL_Database!$AJ$11,Lookup_Lists!$B$225:$K$225,0)),45)</f>
        <v>100</v>
      </c>
      <c r="AC12" s="142">
        <f>ROUND((Matching_Engine!$Y$12*Lookup_Lists!$D$125+Matching_Engine!$Z$12*Lookup_Lists!$D$126+Matching_Engine!$AA$12*Lookup_Lists!$D$127+Matching_Engine!$AB$12*Lookup_Lists!$D$128)/(Lookup_Lists!$D$125+Lookup_Lists!$D$126+Lookup_Lists!$D$127+Lookup_Lists!$D$128),0)</f>
        <v>85</v>
      </c>
      <c r="AD12" s="142">
        <f>IF(KOL_Database!$K$11="",0,MIN(100,ROUND(KOL_Database!$K$11/Lookup_Lists!$D$141*100,0)))</f>
        <v>53</v>
      </c>
      <c r="AE12" s="142">
        <f>IF(KOL_Database!$R$11="",0,MIN(100,MAX(0,KOL_Database!$R$11)))</f>
        <v>86</v>
      </c>
      <c r="AF12" s="142">
        <f>IF(KOL_Database!$P$11="",0,MIN(100,MAX(0,KOL_Database!$P$11)))</f>
        <v>83</v>
      </c>
      <c r="AG12" s="142">
        <f>IF(KOL_Database!$Q$11="",0,MIN(100,MAX(0,KOL_Database!$Q$11)))</f>
        <v>85</v>
      </c>
      <c r="AH12" s="142">
        <f>IF(OR(KOL_Database!$J$11="",KOL_Database!$J$11=0,KOL_Database!$L$11=""),0,MIN(100,ROUND(KOL_Database!$L$11/KOL_Database!$J$11/Lookup_Lists!$D$144*100,0)))</f>
        <v>70</v>
      </c>
      <c r="AI12" s="142">
        <f>IF(KOL_Database!$N$11="",0,MIN(100,MAX(0,ROUND((KOL_Database!$N$11+2)/(Lookup_Lists!$D$145+2)*100,0))))</f>
        <v>52</v>
      </c>
      <c r="AJ12" s="142">
        <f>ROUND((Matching_Engine!$AD$12*Lookup_Lists!$D$129+Matching_Engine!$AE$12*Lookup_Lists!$D$130+Matching_Engine!$AF$12*Lookup_Lists!$D$131+Matching_Engine!$AG$12*Lookup_Lists!$D$132+Matching_Engine!$AH$12*Lookup_Lists!$D$133+Matching_Engine!$AI$12*Lookup_Lists!$D$134)/(Lookup_Lists!$D$129+Lookup_Lists!$D$130+Lookup_Lists!$D$131+Lookup_Lists!$D$132+Lookup_Lists!$D$133+Lookup_Lists!$D$134),0)</f>
        <v>70</v>
      </c>
      <c r="AK12" s="142">
        <f>IF(KOL_Database!$AT$11="",0,MIN(100,MAX(0,KOL_Database!$AT$11)))</f>
        <v>93</v>
      </c>
      <c r="AL12" s="142">
        <f>IF(KOL_Database!$AU$11="",0,KOL_Database!$AU$11)</f>
        <v>60</v>
      </c>
      <c r="AM12" s="89" t="str">
        <f>IF(KOL_Database!$AV$11="","None",KOL_Database!$AV$11)</f>
        <v>None</v>
      </c>
      <c r="AN12" s="143">
        <f>IF(Matching_Engine!$AM$12="High",Lookup_Lists!$D$137,IF(Matching_Engine!$AM$12="Medium",Lookup_Lists!$D$138,IF(Matching_Engine!$AM$12="Low",Lookup_Lists!$D$139,Lookup_Lists!$D$140)))</f>
        <v>1</v>
      </c>
      <c r="AO12" s="142">
        <f>ROUND(MIN(100,MAX(0,(Matching_Engine!$AK$12*Lookup_Lists!$D$135+(100-Matching_Engine!$AL$12)*Lookup_Lists!$D$136)/(Lookup_Lists!$D$135+Lookup_Lists!$D$136)*Matching_Engine!$AN$12)),0)</f>
        <v>82</v>
      </c>
      <c r="AP12" s="13">
        <f ca="1">ROUND((Matching_Engine!$N$12*Lookup_Lists!$D$104+Matching_Engine!$S$12*Lookup_Lists!$D$105+Matching_Engine!$X$12*Lookup_Lists!$D$106+Matching_Engine!$AC$12*Lookup_Lists!$D$107+Matching_Engine!$AJ$12*Lookup_Lists!$D$108+Matching_Engine!$AO$12*Lookup_Lists!$D$109)/MAX(1,(Lookup_Lists!$D$104+Lookup_Lists!$D$105+Lookup_Lists!$D$106+Lookup_Lists!$D$107+Lookup_Lists!$D$108+Lookup_Lists!$D$109)),0)</f>
        <v>87</v>
      </c>
      <c r="AQ12" s="89" t="str">
        <f ca="1">IF(Matching_Engine!$AP$12&gt;=Lookup_Lists!$D$152,"Excellent Match",IF(Matching_Engine!$AP$12&gt;=Lookup_Lists!$D$153,"Strong Match",IF(Matching_Engine!$AP$12&gt;=Lookup_Lists!$D$154,"Good Match",IF(Matching_Engine!$AP$12&gt;=Lookup_Lists!$D$155,"Moderate Match","Low Match"))))</f>
        <v>Strong Match</v>
      </c>
      <c r="AR12" s="142">
        <f>KOL_Database!$BE$11</f>
        <v>100</v>
      </c>
      <c r="AS12" s="89" t="str">
        <f>IF(Matching_Engine!$AR$12&gt;=Lookup_Lists!$D$159,"High",IF(Matching_Engine!$AR$12&gt;=Lookup_Lists!$D$160,"Medium","Limited Data"))</f>
        <v>High</v>
      </c>
      <c r="AT12" s="142">
        <f>ROUND((Matching_Engine!$N$12+Matching_Engine!$X$12+Matching_Engine!$AC$12)/3,0)</f>
        <v>83</v>
      </c>
      <c r="AU12" s="142">
        <f>ROUND(((100-Matching_Engine!$AL$12)*Lookup_Lists!$D$162+IF(KOL_Database!$BD$11="",Lookup_Lists!$D$150,KOL_Database!$BD$11)*Lookup_Lists!$D$163+Matching_Engine!$AI$12*Lookup_Lists!$D$164+Matching_Engine!$AD$12*Lookup_Lists!$D$165)/(Lookup_Lists!$D$162+Lookup_Lists!$D$163+Lookup_Lists!$D$164+Lookup_Lists!$D$165),0)</f>
        <v>47</v>
      </c>
      <c r="AV12" s="89" t="str">
        <f ca="1">IF(Matching_Engine!$AW$12="","PASS","EXCLUDED")</f>
        <v>PASS</v>
      </c>
      <c r="AW12" s="89" t="str">
        <f ca="1">IF(ISERROR(SEARCH(KOL_Database!$D$11,Brand_Profile!$D$32)),"Platform not in Preferred Platform",IF(AND(Brand_Profile!$D$36&gt;0,KOL_Database!$J$11&lt;Brand_Profile!$D$36),"Followers below Preferred Follower Range",IF(AND(Brand_Profile!$D$37&gt;0,KOL_Database!$J$11&gt;Brand_Profile!$D$37),"Followers above Preferred Follower Range",IF(AND(Brand_Profile!$D$38&gt;0,IF(KOL_Database!$K$11="",0,KOL_Database!$K$11)&lt;Brand_Profile!$D$38),"Engagement Rate below Minimum Engagement Rate",IF(ISERROR(SEARCH(KOL_Database!$G$11,Brand_Profile!$D$35)),"Tier not in Preferred Tier",IF(AND(Brand_Profile!$D$43&gt;0,Matching_Engine!$AE$12&lt;Brand_Profile!$D$43),"Audience Quality below Minimum Audience Quality",IF(AND(Brand_Profile!$D$44&gt;0,Matching_Engine!$AK$12&lt;Brand_Profile!$D$44),"Brand Safety below Minimum Brand Safety",IF(AND(Brand_Profile!$D$47="Yes",KOL_Database!$AD$11&lt;&gt;Brand_Profile!$D$19),"Audience Country does not match Target Country",IF(AND(Brand_Profile!$D$46="Yes",KOL_Database!$E$11&lt;&gt;Brand_Profile!$D$33),"Category is not the Preferred Category",IF(AND(Brand_Profile!$D$48&gt;0,Matching_Engine!$AL$12&gt;Brand_Profile!$D$48),"Competitor Saturation above Max Competitor Saturation",IF(AND(Brand_Profile!$D$50="Yes",KOL_Database!$AW$11="Yes"),"Already Selected",IF(AND(Brand_Profile!$D$51="Yes",KOL_Database!$AX$11="Yes"),"Already in Cart",IF(AND(Brand_Profile!$D$52="Yes",KOL_Database!$AY$11="Yes"),"Existing Partner",IF(AND(Brand_Profile!$D$53="Yes",KOL_Database!$AZ$11="Yes"),"Excluded Creator",IF(AND(Brand_Profile!$D$49&gt;0,Matching_Engine!$AP$12&lt;Brand_Profile!$D$49),"Brand Match below Minimum Brand Match","")))))))))))))))</f>
        <v/>
      </c>
      <c r="AX12" s="89" t="str">
        <f ca="1">IF(Matching_Engine!$AV$12="EXCLUDED","Excluded",IF(Matching_Engine!$AP$12&gt;=Lookup_Lists!$D$156,"Highly Recommended",IF(Matching_Engine!$AP$12&gt;=Lookup_Lists!$D$157,"Recommended",IF(Matching_Engine!$AP$12&gt;=Lookup_Lists!$D$158,"Consider","Low Priority"))))</f>
        <v>Highly Recommended</v>
      </c>
      <c r="AY12" s="142">
        <f ca="1">IF(Matching_Engine!$AV$12="PASS",Matching_Engine!$AP$12,"")</f>
        <v>87</v>
      </c>
      <c r="AZ12" s="89" t="str">
        <f>Matching_Engine!$A$12&amp;"|"&amp;Matching_Engine!$C$12</f>
        <v>BRAND-A|KOL-07</v>
      </c>
      <c r="BA12" s="89" t="str">
        <f>IFERROR(INDEX(Lookup_Lists!$B$51:$B$92,MATCH(Brand_Profile!$D$12,Lookup_Lists!$A$51:$A$92,0)),"")</f>
        <v>Tech</v>
      </c>
      <c r="BB12" s="89" t="str">
        <f>IFERROR(INDEX(Lookup_Lists!$B$51:$B$92,MATCH(KOL_Database!$F$11,Lookup_Lists!$A$51:$A$92,0)),"")</f>
        <v>Finance</v>
      </c>
      <c r="BC12" s="142">
        <f>IFERROR(INDEX(Lookup_Lists!$B$185:$O$198,MATCH(Matching_Engine!$BA$12,Lookup_Lists!$A$185:$A$198,0),MATCH(KOL_Database!$E$11,Lookup_Lists!$B$184:$O$184,0)),Lookup_Lists!$D$151)</f>
        <v>80</v>
      </c>
      <c r="BD12" s="142">
        <f>IFERROR(INDEX(Lookup_Lists!$B$185:$O$198,MATCH(Brand_Profile!$D$33,Lookup_Lists!$A$185:$A$198,0),MATCH(KOL_Database!$E$11,Lookup_Lists!$B$184:$O$184,0)),Lookup_Lists!$D$151)</f>
        <v>80</v>
      </c>
      <c r="BE12" s="89" t="str">
        <f>IFERROR(INDEX(Lookup_Lists!$B$51:$B$92,MATCH(Brand_Profile!$D$34,Lookup_Lists!$A$51:$A$92,0)),"")</f>
        <v>Tech</v>
      </c>
      <c r="BF12" s="89" t="str">
        <f>KOL_Database!$AI$11&amp;", "&amp;KOL_Database!$AG$11&amp;", "&amp;KOL_Database!$F$11&amp;", "&amp;KOL_Database!$E$11</f>
        <v>Finance, Business, Education, Finance, Business, Education, Technology, Productivity, Personal Finance, Finance</v>
      </c>
      <c r="BG12" s="89" t="str">
        <f>KOL_Database!$AI$11&amp;", "&amp;KOL_Database!$AG$11</f>
        <v>Finance, Business, Education, Finance, Business, Education, Technology, Productivity</v>
      </c>
    </row>
    <row r="13" spans="1:59">
      <c r="A13" s="101" t="s">
        <v>113</v>
      </c>
      <c r="B13" s="89" t="str">
        <f>Brand_Profile!$D$9</f>
        <v>Nusatech Cloud</v>
      </c>
      <c r="C13" s="89" t="str">
        <f>KOL_Database!$A$12</f>
        <v>KOL-08</v>
      </c>
      <c r="D13" s="89" t="str">
        <f>KOL_Database!$B$12</f>
        <v>Tania Wijaya</v>
      </c>
      <c r="E13" s="89" t="str">
        <f>KOL_Database!$C$12</f>
        <v>@taniainvest</v>
      </c>
      <c r="F13" s="89" t="str">
        <f>KOL_Database!$D$12</f>
        <v>TikTok</v>
      </c>
      <c r="G13" s="89" t="str">
        <f>KOL_Database!$E$12</f>
        <v>Finance</v>
      </c>
      <c r="H13" s="89" t="str">
        <f>KOL_Database!$G$12</f>
        <v>Mid-tier</v>
      </c>
      <c r="I13" s="140">
        <f>KOL_Database!$J$12</f>
        <v>98000</v>
      </c>
      <c r="J13" s="141">
        <f>KOL_Database!$K$12</f>
        <v>5.6</v>
      </c>
      <c r="K13" s="142">
        <f>IFERROR(INDEX(Lookup_Lists!$B$170:$O$181,MATCH(Brand_Profile!$D$10,Lookup_Lists!$A$170:$A$181,0),MATCH(KOL_Database!$E$12,Lookup_Lists!$B$169:$O$169,0)),Lookup_Lists!$D$151)</f>
        <v>80</v>
      </c>
      <c r="L13" s="142">
        <f>IF(KOL_Database!$F$12="",Matching_Engine!$BC$13,IF(Brand_Profile!$D$12=KOL_Database!$F$12,100,IF(Matching_Engine!$BA$13=KOL_Database!$E$12,80,IF(Matching_Engine!$BC$13&gt;=80,60,IF(Matching_Engine!$BC$13&gt;=60,40,Lookup_Lists!$D$151)))))</f>
        <v>60</v>
      </c>
      <c r="M13" s="142">
        <f>ROUND((IF(Brand_Profile!$D$62=0,Lookup_Lists!$D$150,ROUND((IF(Brand_Profile!$D$57="",0,IF(ISNUMBER(SEARCH(Brand_Profile!$D$57,Matching_Engine!$BF$13)),1,0))+IF(Brand_Profile!$D$58="",0,IF(ISNUMBER(SEARCH(Brand_Profile!$D$58,Matching_Engine!$BF$13)),1,0))+IF(Brand_Profile!$D$59="",0,IF(ISNUMBER(SEARCH(Brand_Profile!$D$59,Matching_Engine!$BF$13)),1,0))+IF(Brand_Profile!$D$60="",0,IF(ISNUMBER(SEARCH(Brand_Profile!$D$60,Matching_Engine!$BF$13)),1,0))+IF(Brand_Profile!$D$61="",0,IF(ISNUMBER(SEARCH(Brand_Profile!$D$61,Matching_Engine!$BF$13)),1,0)))/Brand_Profile!$D$62*100,0))+IF(Brand_Profile!$D$74=0,Lookup_Lists!$D$150,ROUND((IF(Brand_Profile!$D$69="",0,IF(ISNUMBER(SEARCH(Brand_Profile!$D$69,Matching_Engine!$BF$13)),1,0))+IF(Brand_Profile!$D$70="",0,IF(ISNUMBER(SEARCH(Brand_Profile!$D$70,Matching_Engine!$BF$13)),1,0))+IF(Brand_Profile!$D$71="",0,IF(ISNUMBER(SEARCH(Brand_Profile!$D$71,Matching_Engine!$BF$13)),1,0))+IF(Brand_Profile!$D$72="",0,IF(ISNUMBER(SEARCH(Brand_Profile!$D$72,Matching_Engine!$BF$13)),1,0))+IF(Brand_Profile!$D$73="",0,IF(ISNUMBER(SEARCH(Brand_Profile!$D$73,Matching_Engine!$BF$13)),1,0)))/Brand_Profile!$D$74*100,0)))/2,0)</f>
        <v>80</v>
      </c>
      <c r="N13" s="142">
        <f>ROUND((Matching_Engine!$K$13*Lookup_Lists!$D$110+Matching_Engine!$L$13*Lookup_Lists!$D$111+Matching_Engine!$M$13*Lookup_Lists!$D$112)/(Lookup_Lists!$D$110+Lookup_Lists!$D$111+Lookup_Lists!$D$112),0)</f>
        <v>74</v>
      </c>
      <c r="O13" s="142">
        <f ca="1">IF(Brand_Profile!$D$16="",Lookup_Lists!$D$150,MIN(100,ROUND((IFERROR(INDEX(KOL_Database!$W$12:KOL_Database!$AA$12,1,MATCH(Brand_Profile!$D$16,Lookup_Lists!$F$6:$F$10,0)),0)+0.5*IFERROR(INDEX(KOL_Database!$W$12:KOL_Database!$AA$12,1,MATCH(Brand_Profile!$D$17,Lookup_Lists!$F$6:$F$10,0)),0))/Lookup_Lists!$D$142*100,0)))</f>
        <v>100</v>
      </c>
      <c r="P13" s="142">
        <f>IF(OR(Brand_Profile!$D$18="",Brand_Profile!$D$18="Any"),100,IF(Brand_Profile!$D$18="Female",MIN(100,ROUND(KOL_Database!$AB$12/Lookup_Lists!$D$143*100,0)),IF(Brand_Profile!$D$18="Male",MIN(100,ROUND(KOL_Database!$AC$12/Lookup_Lists!$D$143*100,0)),MAX(0,ROUND(100-ABS(KOL_Database!$AB$12-50)*2,0)))))</f>
        <v>100</v>
      </c>
      <c r="Q13" s="142">
        <f>ROUND((IF(Brand_Profile!$D$19="",100,IF(KOL_Database!$AD$12=Brand_Profile!$D$19,100,Lookup_Lists!$D$151))*Lookup_Lists!$D$118+IF(OR(Brand_Profile!$D$20="",Brand_Profile!$D$20="Nasional"),100,IF(KOL_Database!$AE$12="",Lookup_Lists!$D$150,IF(KOL_Database!$AE$12=Brand_Profile!$D$20,100,IF(KOL_Database!$AD$12=Brand_Profile!$D$19,40,Lookup_Lists!$D$151))))*Lookup_Lists!$D$119+IF(OR(Brand_Profile!$D$21="",Brand_Profile!$D$21="Nasional"),100,IF(KOL_Database!$AF$12="",Lookup_Lists!$D$150,IF(KOL_Database!$AF$12=Brand_Profile!$D$21,100,IF(KOL_Database!$AE$12=Brand_Profile!$D$20,60,Lookup_Lists!$D$151))))*Lookup_Lists!$D$120)/(Lookup_Lists!$D$118+Lookup_Lists!$D$119+Lookup_Lists!$D$120),0)</f>
        <v>100</v>
      </c>
      <c r="R13" s="142">
        <f>IF(Brand_Profile!$D$68=0,Lookup_Lists!$D$150,ROUND((IF(Brand_Profile!$D$63="",0,IF(ISNUMBER(SEARCH(Brand_Profile!$D$63,KOL_Database!$AG$12)),1,0))+IF(Brand_Profile!$D$64="",0,IF(ISNUMBER(SEARCH(Brand_Profile!$D$64,KOL_Database!$AG$12)),1,0))+IF(Brand_Profile!$D$65="",0,IF(ISNUMBER(SEARCH(Brand_Profile!$D$65,KOL_Database!$AG$12)),1,0))+IF(Brand_Profile!$D$66="",0,IF(ISNUMBER(SEARCH(Brand_Profile!$D$66,KOL_Database!$AG$12)),1,0))+IF(Brand_Profile!$D$67="",0,IF(ISNUMBER(SEARCH(Brand_Profile!$D$67,KOL_Database!$AG$12)),1,0)))/Brand_Profile!$D$68*100,0))</f>
        <v>80</v>
      </c>
      <c r="S13" s="142">
        <f ca="1">ROUND((Matching_Engine!$O$13*Brand_Profile!$D$96+Matching_Engine!$P$13*Brand_Profile!$D$97+Matching_Engine!$Q$13*Brand_Profile!$D$98+Matching_Engine!$R$13*Brand_Profile!$D$99)/MAX(1,Brand_Profile!$D$96+Brand_Profile!$D$97+Brand_Profile!$D$98+Brand_Profile!$D$99),0)</f>
        <v>92</v>
      </c>
      <c r="T13" s="142">
        <f>IF(Brand_Profile!$D$33="",Lookup_Lists!$D$150,Matching_Engine!$BD$13)</f>
        <v>80</v>
      </c>
      <c r="U13" s="142">
        <f>IF(Brand_Profile!$D$34="",Lookup_Lists!$D$150,IF(Brand_Profile!$D$34=KOL_Database!$F$12,100,IF(Matching_Engine!$BE$13=KOL_Database!$E$12,75,IF(Matching_Engine!$BD$13&gt;=80,Lookup_Lists!$D$150,IF(Matching_Engine!$BD$13&gt;=60,35,Lookup_Lists!$D$151)))))</f>
        <v>50</v>
      </c>
      <c r="V13" s="142">
        <f>IF(Brand_Profile!$D$86=0,Lookup_Lists!$D$150,ROUND((IF(Brand_Profile!$D$81="",0,IF(ISNUMBER(SEARCH(Brand_Profile!$D$81,Matching_Engine!$BG$13)),1,0))+IF(Brand_Profile!$D$82="",0,IF(ISNUMBER(SEARCH(Brand_Profile!$D$82,Matching_Engine!$BG$13)),1,0))+IF(Brand_Profile!$D$83="",0,IF(ISNUMBER(SEARCH(Brand_Profile!$D$83,Matching_Engine!$BG$13)),1,0))+IF(Brand_Profile!$D$84="",0,IF(ISNUMBER(SEARCH(Brand_Profile!$D$84,Matching_Engine!$BG$13)),1,0))+IF(Brand_Profile!$D$85="",0,IF(ISNUMBER(SEARCH(Brand_Profile!$D$85,Matching_Engine!$BG$13)),1,0)))/Brand_Profile!$D$86*100,0))</f>
        <v>80</v>
      </c>
      <c r="W13" s="142">
        <f>IF(Brand_Profile!$D$39="",Lookup_Lists!$D$150,IFERROR(INDEX(Lookup_Lists!$B$237:$K$246,MATCH(Brand_Profile!$D$39,Lookup_Lists!$A$237:$A$246,0),MATCH(KOL_Database!$AJ$12,Lookup_Lists!$B$236:$K$236,0)),45))</f>
        <v>100</v>
      </c>
      <c r="X13" s="142">
        <f>ROUND((Matching_Engine!$T$13*Lookup_Lists!$D$121+Matching_Engine!$U$13*Lookup_Lists!$D$122+Matching_Engine!$V$13*Lookup_Lists!$D$123+Matching_Engine!$W$13*Lookup_Lists!$D$124)/(Lookup_Lists!$D$121+Lookup_Lists!$D$122+Lookup_Lists!$D$123+Lookup_Lists!$D$124),0)</f>
        <v>78</v>
      </c>
      <c r="Y13" s="142">
        <f>MIN(100,MAX(IFERROR(INDEX(Lookup_Lists!$B$202:$M$211,MATCH(Brand_Profile!$D$25,Lookup_Lists!$A$202:$A$211,0),MATCH(KOL_Database!$AK$12,Lookup_Lists!$B$201:$M$201,0)),40),IF(KOL_Database!$AK$12=Brand_Profile!$D$41,95,0)))</f>
        <v>95</v>
      </c>
      <c r="Z13" s="142">
        <f>IFERROR(INDEX(Lookup_Lists!$B$215:$K$222,MATCH(Brand_Profile!$D$27,Lookup_Lists!$A$215:$A$222,0),MATCH(KOL_Database!$AJ$12,Lookup_Lists!$B$214:$K$214,0)),45)</f>
        <v>100</v>
      </c>
      <c r="AA13" s="142">
        <f>ROUND((IF(Brand_Profile!$D$80=0,Lookup_Lists!$D$150,ROUND((IF(Brand_Profile!$D$75="",0,IF(ISNUMBER(SEARCH(Brand_Profile!$D$75,KOL_Database!$AL$12)),1,0))+IF(Brand_Profile!$D$76="",0,IF(ISNUMBER(SEARCH(Brand_Profile!$D$76,KOL_Database!$AL$12)),1,0))+IF(Brand_Profile!$D$77="",0,IF(ISNUMBER(SEARCH(Brand_Profile!$D$77,KOL_Database!$AL$12)),1,0))+IF(Brand_Profile!$D$78="",0,IF(ISNUMBER(SEARCH(Brand_Profile!$D$78,KOL_Database!$AL$12)),1,0))+IF(Brand_Profile!$D$79="",0,IF(ISNUMBER(SEARCH(Brand_Profile!$D$79,KOL_Database!$AL$12)),1,0)))/Brand_Profile!$D$80*100,0))+IF(Brand_Profile!$D$92=0,Lookup_Lists!$D$150,ROUND((IF(Brand_Profile!$D$87="",0,IF(ISNUMBER(SEARCH(Brand_Profile!$D$87,KOL_Database!$AL$12)),1,0))+IF(Brand_Profile!$D$88="",0,IF(ISNUMBER(SEARCH(Brand_Profile!$D$88,KOL_Database!$AL$12)),1,0))+IF(Brand_Profile!$D$89="",0,IF(ISNUMBER(SEARCH(Brand_Profile!$D$89,KOL_Database!$AL$12)),1,0))+IF(Brand_Profile!$D$90="",0,IF(ISNUMBER(SEARCH(Brand_Profile!$D$90,KOL_Database!$AL$12)),1,0))+IF(Brand_Profile!$D$91="",0,IF(ISNUMBER(SEARCH(Brand_Profile!$D$91,KOL_Database!$AL$12)),1,0)))/Brand_Profile!$D$92*100,0)))/2,0)</f>
        <v>80</v>
      </c>
      <c r="AB13" s="142">
        <f>IFERROR(INDEX(Lookup_Lists!$B$226:$K$233,MATCH(Brand_Profile!$D$30,Lookup_Lists!$A$226:$A$233,0),MATCH(KOL_Database!$AJ$12,Lookup_Lists!$B$225:$K$225,0)),45)</f>
        <v>100</v>
      </c>
      <c r="AC13" s="142">
        <f>ROUND((Matching_Engine!$Y$13*Lookup_Lists!$D$125+Matching_Engine!$Z$13*Lookup_Lists!$D$126+Matching_Engine!$AA$13*Lookup_Lists!$D$127+Matching_Engine!$AB$13*Lookup_Lists!$D$128)/(Lookup_Lists!$D$125+Lookup_Lists!$D$126+Lookup_Lists!$D$127+Lookup_Lists!$D$128),0)</f>
        <v>93</v>
      </c>
      <c r="AD13" s="142">
        <f>IF(KOL_Database!$K$12="",0,MIN(100,ROUND(KOL_Database!$K$12/Lookup_Lists!$D$141*100,0)))</f>
        <v>93</v>
      </c>
      <c r="AE13" s="142">
        <f>IF(KOL_Database!$R$12="",0,MIN(100,MAX(0,KOL_Database!$R$12)))</f>
        <v>64</v>
      </c>
      <c r="AF13" s="142">
        <f>IF(KOL_Database!$P$12="",0,MIN(100,MAX(0,KOL_Database!$P$12)))</f>
        <v>77</v>
      </c>
      <c r="AG13" s="142">
        <f>IF(KOL_Database!$Q$12="",0,MIN(100,MAX(0,KOL_Database!$Q$12)))</f>
        <v>67</v>
      </c>
      <c r="AH13" s="142">
        <f>IF(OR(KOL_Database!$J$12="",KOL_Database!$J$12=0,KOL_Database!$L$12=""),0,MIN(100,ROUND(KOL_Database!$L$12/KOL_Database!$J$12/Lookup_Lists!$D$144*100,0)))</f>
        <v>100</v>
      </c>
      <c r="AI13" s="142">
        <f>IF(KOL_Database!$N$12="",0,MIN(100,MAX(0,ROUND((KOL_Database!$N$12+2)/(Lookup_Lists!$D$145+2)*100,0))))</f>
        <v>58</v>
      </c>
      <c r="AJ13" s="142">
        <f>ROUND((Matching_Engine!$AD$13*Lookup_Lists!$D$129+Matching_Engine!$AE$13*Lookup_Lists!$D$130+Matching_Engine!$AF$13*Lookup_Lists!$D$131+Matching_Engine!$AG$13*Lookup_Lists!$D$132+Matching_Engine!$AH$13*Lookup_Lists!$D$133+Matching_Engine!$AI$13*Lookup_Lists!$D$134)/(Lookup_Lists!$D$129+Lookup_Lists!$D$130+Lookup_Lists!$D$131+Lookup_Lists!$D$132+Lookup_Lists!$D$133+Lookup_Lists!$D$134),0)</f>
        <v>80</v>
      </c>
      <c r="AK13" s="142">
        <f>IF(KOL_Database!$AT$12="",0,MIN(100,MAX(0,KOL_Database!$AT$12)))</f>
        <v>72</v>
      </c>
      <c r="AL13" s="142">
        <f>IF(KOL_Database!$AU$12="",0,KOL_Database!$AU$12)</f>
        <v>14</v>
      </c>
      <c r="AM13" s="89" t="str">
        <f>IF(KOL_Database!$AV$12="","None",KOL_Database!$AV$12)</f>
        <v>Low</v>
      </c>
      <c r="AN13" s="143">
        <f>IF(Matching_Engine!$AM$13="High",Lookup_Lists!$D$137,IF(Matching_Engine!$AM$13="Medium",Lookup_Lists!$D$138,IF(Matching_Engine!$AM$13="Low",Lookup_Lists!$D$139,Lookup_Lists!$D$140)))</f>
        <v>0.95</v>
      </c>
      <c r="AO13" s="142">
        <f>ROUND(MIN(100,MAX(0,(Matching_Engine!$AK$13*Lookup_Lists!$D$135+(100-Matching_Engine!$AL$13)*Lookup_Lists!$D$136)/(Lookup_Lists!$D$135+Lookup_Lists!$D$136)*Matching_Engine!$AN$13)),0)</f>
        <v>71</v>
      </c>
      <c r="AP13" s="13">
        <f ca="1">ROUND((Matching_Engine!$N$13*Lookup_Lists!$D$104+Matching_Engine!$S$13*Lookup_Lists!$D$105+Matching_Engine!$X$13*Lookup_Lists!$D$106+Matching_Engine!$AC$13*Lookup_Lists!$D$107+Matching_Engine!$AJ$13*Lookup_Lists!$D$108+Matching_Engine!$AO$13*Lookup_Lists!$D$109)/MAX(1,(Lookup_Lists!$D$104+Lookup_Lists!$D$105+Lookup_Lists!$D$106+Lookup_Lists!$D$107+Lookup_Lists!$D$108+Lookup_Lists!$D$109)),0)</f>
        <v>82</v>
      </c>
      <c r="AQ13" s="89" t="str">
        <f ca="1">IF(Matching_Engine!$AP$13&gt;=Lookup_Lists!$D$152,"Excellent Match",IF(Matching_Engine!$AP$13&gt;=Lookup_Lists!$D$153,"Strong Match",IF(Matching_Engine!$AP$13&gt;=Lookup_Lists!$D$154,"Good Match",IF(Matching_Engine!$AP$13&gt;=Lookup_Lists!$D$155,"Moderate Match","Low Match"))))</f>
        <v>Strong Match</v>
      </c>
      <c r="AR13" s="142">
        <f>KOL_Database!$BE$12</f>
        <v>100</v>
      </c>
      <c r="AS13" s="89" t="str">
        <f>IF(Matching_Engine!$AR$13&gt;=Lookup_Lists!$D$159,"High",IF(Matching_Engine!$AR$13&gt;=Lookup_Lists!$D$160,"Medium","Limited Data"))</f>
        <v>High</v>
      </c>
      <c r="AT13" s="142">
        <f>ROUND((Matching_Engine!$N$13+Matching_Engine!$X$13+Matching_Engine!$AC$13)/3,0)</f>
        <v>82</v>
      </c>
      <c r="AU13" s="142">
        <f>ROUND(((100-Matching_Engine!$AL$13)*Lookup_Lists!$D$162+IF(KOL_Database!$BD$12="",Lookup_Lists!$D$150,KOL_Database!$BD$12)*Lookup_Lists!$D$163+Matching_Engine!$AI$13*Lookup_Lists!$D$164+Matching_Engine!$AD$13*Lookup_Lists!$D$165)/(Lookup_Lists!$D$162+Lookup_Lists!$D$163+Lookup_Lists!$D$164+Lookup_Lists!$D$165),0)</f>
        <v>84</v>
      </c>
      <c r="AV13" s="89" t="str">
        <f ca="1">IF(Matching_Engine!$AW$13="","PASS","EXCLUDED")</f>
        <v>EXCLUDED</v>
      </c>
      <c r="AW13" s="89" t="str">
        <f ca="1">IF(ISERROR(SEARCH(KOL_Database!$D$12,Brand_Profile!$D$32)),"Platform not in Preferred Platform",IF(AND(Brand_Profile!$D$36&gt;0,KOL_Database!$J$12&lt;Brand_Profile!$D$36),"Followers below Preferred Follower Range",IF(AND(Brand_Profile!$D$37&gt;0,KOL_Database!$J$12&gt;Brand_Profile!$D$37),"Followers above Preferred Follower Range",IF(AND(Brand_Profile!$D$38&gt;0,IF(KOL_Database!$K$12="",0,KOL_Database!$K$12)&lt;Brand_Profile!$D$38),"Engagement Rate below Minimum Engagement Rate",IF(ISERROR(SEARCH(KOL_Database!$G$12,Brand_Profile!$D$35)),"Tier not in Preferred Tier",IF(AND(Brand_Profile!$D$43&gt;0,Matching_Engine!$AE$13&lt;Brand_Profile!$D$43),"Audience Quality below Minimum Audience Quality",IF(AND(Brand_Profile!$D$44&gt;0,Matching_Engine!$AK$13&lt;Brand_Profile!$D$44),"Brand Safety below Minimum Brand Safety",IF(AND(Brand_Profile!$D$47="Yes",KOL_Database!$AD$12&lt;&gt;Brand_Profile!$D$19),"Audience Country does not match Target Country",IF(AND(Brand_Profile!$D$46="Yes",KOL_Database!$E$12&lt;&gt;Brand_Profile!$D$33),"Category is not the Preferred Category",IF(AND(Brand_Profile!$D$48&gt;0,Matching_Engine!$AL$13&gt;Brand_Profile!$D$48),"Competitor Saturation above Max Competitor Saturation",IF(AND(Brand_Profile!$D$50="Yes",KOL_Database!$AW$12="Yes"),"Already Selected",IF(AND(Brand_Profile!$D$51="Yes",KOL_Database!$AX$12="Yes"),"Already in Cart",IF(AND(Brand_Profile!$D$52="Yes",KOL_Database!$AY$12="Yes"),"Existing Partner",IF(AND(Brand_Profile!$D$53="Yes",KOL_Database!$AZ$12="Yes"),"Excluded Creator",IF(AND(Brand_Profile!$D$49&gt;0,Matching_Engine!$AP$13&lt;Brand_Profile!$D$49),"Brand Match below Minimum Brand Match","")))))))))))))))</f>
        <v>Audience Quality below Minimum Audience Quality</v>
      </c>
      <c r="AX13" s="89" t="str">
        <f ca="1">IF(Matching_Engine!$AV$13="EXCLUDED","Excluded",IF(Matching_Engine!$AP$13&gt;=Lookup_Lists!$D$156,"Highly Recommended",IF(Matching_Engine!$AP$13&gt;=Lookup_Lists!$D$157,"Recommended",IF(Matching_Engine!$AP$13&gt;=Lookup_Lists!$D$158,"Consider","Low Priority"))))</f>
        <v>Excluded</v>
      </c>
      <c r="AY13" s="142" t="str">
        <f ca="1">IF(Matching_Engine!$AV$13="PASS",Matching_Engine!$AP$13,"")</f>
        <v/>
      </c>
      <c r="AZ13" s="89" t="str">
        <f>Matching_Engine!$A$13&amp;"|"&amp;Matching_Engine!$C$13</f>
        <v>BRAND-A|KOL-08</v>
      </c>
      <c r="BA13" s="89" t="str">
        <f>IFERROR(INDEX(Lookup_Lists!$B$51:$B$92,MATCH(Brand_Profile!$D$12,Lookup_Lists!$A$51:$A$92,0)),"")</f>
        <v>Tech</v>
      </c>
      <c r="BB13" s="89" t="str">
        <f>IFERROR(INDEX(Lookup_Lists!$B$51:$B$92,MATCH(KOL_Database!$F$12,Lookup_Lists!$A$51:$A$92,0)),"")</f>
        <v>Finance</v>
      </c>
      <c r="BC13" s="142">
        <f>IFERROR(INDEX(Lookup_Lists!$B$185:$O$198,MATCH(Matching_Engine!$BA$13,Lookup_Lists!$A$185:$A$198,0),MATCH(KOL_Database!$E$12,Lookup_Lists!$B$184:$O$184,0)),Lookup_Lists!$D$151)</f>
        <v>80</v>
      </c>
      <c r="BD13" s="142">
        <f>IFERROR(INDEX(Lookup_Lists!$B$185:$O$198,MATCH(Brand_Profile!$D$33,Lookup_Lists!$A$185:$A$198,0),MATCH(KOL_Database!$E$12,Lookup_Lists!$B$184:$O$184,0)),Lookup_Lists!$D$151)</f>
        <v>80</v>
      </c>
      <c r="BE13" s="89" t="str">
        <f>IFERROR(INDEX(Lookup_Lists!$B$51:$B$92,MATCH(Brand_Profile!$D$34,Lookup_Lists!$A$51:$A$92,0)),"")</f>
        <v>Tech</v>
      </c>
      <c r="BF13" s="89" t="str">
        <f>KOL_Database!$AI$12&amp;", "&amp;KOL_Database!$AG$12&amp;", "&amp;KOL_Database!$F$12&amp;", "&amp;KOL_Database!$E$12</f>
        <v>Finance, Business, Productivity, Finance, Business, Education, Productivity, Shopping, Investing, Finance</v>
      </c>
      <c r="BG13" s="89" t="str">
        <f>KOL_Database!$AI$12&amp;", "&amp;KOL_Database!$AG$12</f>
        <v>Finance, Business, Productivity, Finance, Business, Education, Productivity, Shopping</v>
      </c>
    </row>
    <row r="14" spans="1:59">
      <c r="A14" s="101" t="s">
        <v>113</v>
      </c>
      <c r="B14" s="89" t="str">
        <f>Brand_Profile!$D$9</f>
        <v>Nusatech Cloud</v>
      </c>
      <c r="C14" s="89" t="str">
        <f>KOL_Database!$A$13</f>
        <v>KOL-09</v>
      </c>
      <c r="D14" s="89" t="str">
        <f>KOL_Database!$B$13</f>
        <v>Gilang Prakoso</v>
      </c>
      <c r="E14" s="89" t="str">
        <f>KOL_Database!$C$13</f>
        <v>@gilangbelajar</v>
      </c>
      <c r="F14" s="89" t="str">
        <f>KOL_Database!$D$13</f>
        <v>TikTok</v>
      </c>
      <c r="G14" s="89" t="str">
        <f>KOL_Database!$E$13</f>
        <v>Education</v>
      </c>
      <c r="H14" s="89" t="str">
        <f>KOL_Database!$G$13</f>
        <v>Macro</v>
      </c>
      <c r="I14" s="140">
        <f>KOL_Database!$J$13</f>
        <v>210000</v>
      </c>
      <c r="J14" s="141">
        <f>KOL_Database!$K$13</f>
        <v>6.8</v>
      </c>
      <c r="K14" s="142">
        <f>IFERROR(INDEX(Lookup_Lists!$B$170:$O$181,MATCH(Brand_Profile!$D$10,Lookup_Lists!$A$170:$A$181,0),MATCH(KOL_Database!$E$13,Lookup_Lists!$B$169:$O$169,0)),Lookup_Lists!$D$151)</f>
        <v>80</v>
      </c>
      <c r="L14" s="142">
        <f>IF(KOL_Database!$F$13="",Matching_Engine!$BC$14,IF(Brand_Profile!$D$12=KOL_Database!$F$13,100,IF(Matching_Engine!$BA$14=KOL_Database!$E$13,80,IF(Matching_Engine!$BC$14&gt;=80,60,IF(Matching_Engine!$BC$14&gt;=60,40,Lookup_Lists!$D$151)))))</f>
        <v>60</v>
      </c>
      <c r="M14" s="142">
        <f>ROUND((IF(Brand_Profile!$D$62=0,Lookup_Lists!$D$150,ROUND((IF(Brand_Profile!$D$57="",0,IF(ISNUMBER(SEARCH(Brand_Profile!$D$57,Matching_Engine!$BF$14)),1,0))+IF(Brand_Profile!$D$58="",0,IF(ISNUMBER(SEARCH(Brand_Profile!$D$58,Matching_Engine!$BF$14)),1,0))+IF(Brand_Profile!$D$59="",0,IF(ISNUMBER(SEARCH(Brand_Profile!$D$59,Matching_Engine!$BF$14)),1,0))+IF(Brand_Profile!$D$60="",0,IF(ISNUMBER(SEARCH(Brand_Profile!$D$60,Matching_Engine!$BF$14)),1,0))+IF(Brand_Profile!$D$61="",0,IF(ISNUMBER(SEARCH(Brand_Profile!$D$61,Matching_Engine!$BF$14)),1,0)))/Brand_Profile!$D$62*100,0))+IF(Brand_Profile!$D$74=0,Lookup_Lists!$D$150,ROUND((IF(Brand_Profile!$D$69="",0,IF(ISNUMBER(SEARCH(Brand_Profile!$D$69,Matching_Engine!$BF$14)),1,0))+IF(Brand_Profile!$D$70="",0,IF(ISNUMBER(SEARCH(Brand_Profile!$D$70,Matching_Engine!$BF$14)),1,0))+IF(Brand_Profile!$D$71="",0,IF(ISNUMBER(SEARCH(Brand_Profile!$D$71,Matching_Engine!$BF$14)),1,0))+IF(Brand_Profile!$D$72="",0,IF(ISNUMBER(SEARCH(Brand_Profile!$D$72,Matching_Engine!$BF$14)),1,0))+IF(Brand_Profile!$D$73="",0,IF(ISNUMBER(SEARCH(Brand_Profile!$D$73,Matching_Engine!$BF$14)),1,0)))/Brand_Profile!$D$74*100,0)))/2,0)</f>
        <v>80</v>
      </c>
      <c r="N14" s="142">
        <f>ROUND((Matching_Engine!$K$14*Lookup_Lists!$D$110+Matching_Engine!$L$14*Lookup_Lists!$D$111+Matching_Engine!$M$14*Lookup_Lists!$D$112)/(Lookup_Lists!$D$110+Lookup_Lists!$D$111+Lookup_Lists!$D$112),0)</f>
        <v>74</v>
      </c>
      <c r="O14" s="142">
        <f ca="1">IF(Brand_Profile!$D$16="",Lookup_Lists!$D$150,MIN(100,ROUND((IFERROR(INDEX(KOL_Database!$W$13:KOL_Database!$AA$13,1,MATCH(Brand_Profile!$D$16,Lookup_Lists!$F$6:$F$10,0)),0)+0.5*IFERROR(INDEX(KOL_Database!$W$13:KOL_Database!$AA$13,1,MATCH(Brand_Profile!$D$17,Lookup_Lists!$F$6:$F$10,0)),0))/Lookup_Lists!$D$142*100,0)))</f>
        <v>100</v>
      </c>
      <c r="P14" s="142">
        <f>IF(OR(Brand_Profile!$D$18="",Brand_Profile!$D$18="Any"),100,IF(Brand_Profile!$D$18="Female",MIN(100,ROUND(KOL_Database!$AB$13/Lookup_Lists!$D$143*100,0)),IF(Brand_Profile!$D$18="Male",MIN(100,ROUND(KOL_Database!$AC$13/Lookup_Lists!$D$143*100,0)),MAX(0,ROUND(100-ABS(KOL_Database!$AB$13-50)*2,0)))))</f>
        <v>100</v>
      </c>
      <c r="Q14" s="142">
        <f>ROUND((IF(Brand_Profile!$D$19="",100,IF(KOL_Database!$AD$13=Brand_Profile!$D$19,100,Lookup_Lists!$D$151))*Lookup_Lists!$D$118+IF(OR(Brand_Profile!$D$20="",Brand_Profile!$D$20="Nasional"),100,IF(KOL_Database!$AE$13="",Lookup_Lists!$D$150,IF(KOL_Database!$AE$13=Brand_Profile!$D$20,100,IF(KOL_Database!$AD$13=Brand_Profile!$D$19,40,Lookup_Lists!$D$151))))*Lookup_Lists!$D$119+IF(OR(Brand_Profile!$D$21="",Brand_Profile!$D$21="Nasional"),100,IF(KOL_Database!$AF$13="",Lookup_Lists!$D$150,IF(KOL_Database!$AF$13=Brand_Profile!$D$21,100,IF(KOL_Database!$AE$13=Brand_Profile!$D$20,60,Lookup_Lists!$D$151))))*Lookup_Lists!$D$120)/(Lookup_Lists!$D$118+Lookup_Lists!$D$119+Lookup_Lists!$D$120),0)</f>
        <v>65</v>
      </c>
      <c r="R14" s="142">
        <f>IF(Brand_Profile!$D$68=0,Lookup_Lists!$D$150,ROUND((IF(Brand_Profile!$D$63="",0,IF(ISNUMBER(SEARCH(Brand_Profile!$D$63,KOL_Database!$AG$13)),1,0))+IF(Brand_Profile!$D$64="",0,IF(ISNUMBER(SEARCH(Brand_Profile!$D$64,KOL_Database!$AG$13)),1,0))+IF(Brand_Profile!$D$65="",0,IF(ISNUMBER(SEARCH(Brand_Profile!$D$65,KOL_Database!$AG$13)),1,0))+IF(Brand_Profile!$D$66="",0,IF(ISNUMBER(SEARCH(Brand_Profile!$D$66,KOL_Database!$AG$13)),1,0))+IF(Brand_Profile!$D$67="",0,IF(ISNUMBER(SEARCH(Brand_Profile!$D$67,KOL_Database!$AG$13)),1,0)))/Brand_Profile!$D$68*100,0))</f>
        <v>80</v>
      </c>
      <c r="S14" s="142">
        <f ca="1">ROUND((Matching_Engine!$O$14*Brand_Profile!$D$96+Matching_Engine!$P$14*Brand_Profile!$D$97+Matching_Engine!$Q$14*Brand_Profile!$D$98+Matching_Engine!$R$14*Brand_Profile!$D$99)/MAX(1,Brand_Profile!$D$96+Brand_Profile!$D$97+Brand_Profile!$D$98+Brand_Profile!$D$99),0)</f>
        <v>83</v>
      </c>
      <c r="T14" s="142">
        <f>IF(Brand_Profile!$D$33="",Lookup_Lists!$D$150,Matching_Engine!$BD$14)</f>
        <v>80</v>
      </c>
      <c r="U14" s="142">
        <f>IF(Brand_Profile!$D$34="",Lookup_Lists!$D$150,IF(Brand_Profile!$D$34=KOL_Database!$F$13,100,IF(Matching_Engine!$BE$14=KOL_Database!$E$13,75,IF(Matching_Engine!$BD$14&gt;=80,Lookup_Lists!$D$150,IF(Matching_Engine!$BD$14&gt;=60,35,Lookup_Lists!$D$151)))))</f>
        <v>50</v>
      </c>
      <c r="V14" s="142">
        <f>IF(Brand_Profile!$D$86=0,Lookup_Lists!$D$150,ROUND((IF(Brand_Profile!$D$81="",0,IF(ISNUMBER(SEARCH(Brand_Profile!$D$81,Matching_Engine!$BG$14)),1,0))+IF(Brand_Profile!$D$82="",0,IF(ISNUMBER(SEARCH(Brand_Profile!$D$82,Matching_Engine!$BG$14)),1,0))+IF(Brand_Profile!$D$83="",0,IF(ISNUMBER(SEARCH(Brand_Profile!$D$83,Matching_Engine!$BG$14)),1,0))+IF(Brand_Profile!$D$84="",0,IF(ISNUMBER(SEARCH(Brand_Profile!$D$84,Matching_Engine!$BG$14)),1,0))+IF(Brand_Profile!$D$85="",0,IF(ISNUMBER(SEARCH(Brand_Profile!$D$85,Matching_Engine!$BG$14)),1,0)))/Brand_Profile!$D$86*100,0))</f>
        <v>80</v>
      </c>
      <c r="W14" s="142">
        <f>IF(Brand_Profile!$D$39="",Lookup_Lists!$D$150,IFERROR(INDEX(Lookup_Lists!$B$237:$K$246,MATCH(Brand_Profile!$D$39,Lookup_Lists!$A$237:$A$246,0),MATCH(KOL_Database!$AJ$13,Lookup_Lists!$B$236:$K$236,0)),45))</f>
        <v>100</v>
      </c>
      <c r="X14" s="142">
        <f>ROUND((Matching_Engine!$T$14*Lookup_Lists!$D$121+Matching_Engine!$U$14*Lookup_Lists!$D$122+Matching_Engine!$V$14*Lookup_Lists!$D$123+Matching_Engine!$W$14*Lookup_Lists!$D$124)/(Lookup_Lists!$D$121+Lookup_Lists!$D$122+Lookup_Lists!$D$123+Lookup_Lists!$D$124),0)</f>
        <v>78</v>
      </c>
      <c r="Y14" s="142">
        <f>MIN(100,MAX(IFERROR(INDEX(Lookup_Lists!$B$202:$M$211,MATCH(Brand_Profile!$D$25,Lookup_Lists!$A$202:$A$211,0),MATCH(KOL_Database!$AK$13,Lookup_Lists!$B$201:$M$201,0)),40),IF(KOL_Database!$AK$13=Brand_Profile!$D$41,95,0)))</f>
        <v>95</v>
      </c>
      <c r="Z14" s="142">
        <f>IFERROR(INDEX(Lookup_Lists!$B$215:$K$222,MATCH(Brand_Profile!$D$27,Lookup_Lists!$A$215:$A$222,0),MATCH(KOL_Database!$AJ$13,Lookup_Lists!$B$214:$K$214,0)),45)</f>
        <v>100</v>
      </c>
      <c r="AA14" s="142">
        <f>ROUND((IF(Brand_Profile!$D$80=0,Lookup_Lists!$D$150,ROUND((IF(Brand_Profile!$D$75="",0,IF(ISNUMBER(SEARCH(Brand_Profile!$D$75,KOL_Database!$AL$13)),1,0))+IF(Brand_Profile!$D$76="",0,IF(ISNUMBER(SEARCH(Brand_Profile!$D$76,KOL_Database!$AL$13)),1,0))+IF(Brand_Profile!$D$77="",0,IF(ISNUMBER(SEARCH(Brand_Profile!$D$77,KOL_Database!$AL$13)),1,0))+IF(Brand_Profile!$D$78="",0,IF(ISNUMBER(SEARCH(Brand_Profile!$D$78,KOL_Database!$AL$13)),1,0))+IF(Brand_Profile!$D$79="",0,IF(ISNUMBER(SEARCH(Brand_Profile!$D$79,KOL_Database!$AL$13)),1,0)))/Brand_Profile!$D$80*100,0))+IF(Brand_Profile!$D$92=0,Lookup_Lists!$D$150,ROUND((IF(Brand_Profile!$D$87="",0,IF(ISNUMBER(SEARCH(Brand_Profile!$D$87,KOL_Database!$AL$13)),1,0))+IF(Brand_Profile!$D$88="",0,IF(ISNUMBER(SEARCH(Brand_Profile!$D$88,KOL_Database!$AL$13)),1,0))+IF(Brand_Profile!$D$89="",0,IF(ISNUMBER(SEARCH(Brand_Profile!$D$89,KOL_Database!$AL$13)),1,0))+IF(Brand_Profile!$D$90="",0,IF(ISNUMBER(SEARCH(Brand_Profile!$D$90,KOL_Database!$AL$13)),1,0))+IF(Brand_Profile!$D$91="",0,IF(ISNUMBER(SEARCH(Brand_Profile!$D$91,KOL_Database!$AL$13)),1,0)))/Brand_Profile!$D$92*100,0)))/2,0)</f>
        <v>60</v>
      </c>
      <c r="AB14" s="142">
        <f>IFERROR(INDEX(Lookup_Lists!$B$226:$K$233,MATCH(Brand_Profile!$D$30,Lookup_Lists!$A$226:$A$233,0),MATCH(KOL_Database!$AJ$13,Lookup_Lists!$B$225:$K$225,0)),45)</f>
        <v>100</v>
      </c>
      <c r="AC14" s="142">
        <f>ROUND((Matching_Engine!$Y$14*Lookup_Lists!$D$125+Matching_Engine!$Z$14*Lookup_Lists!$D$126+Matching_Engine!$AA$14*Lookup_Lists!$D$127+Matching_Engine!$AB$14*Lookup_Lists!$D$128)/(Lookup_Lists!$D$125+Lookup_Lists!$D$126+Lookup_Lists!$D$127+Lookup_Lists!$D$128),0)</f>
        <v>88</v>
      </c>
      <c r="AD14" s="142">
        <f>IF(KOL_Database!$K$13="",0,MIN(100,ROUND(KOL_Database!$K$13/Lookup_Lists!$D$141*100,0)))</f>
        <v>100</v>
      </c>
      <c r="AE14" s="142">
        <f>IF(KOL_Database!$R$13="",0,MIN(100,MAX(0,KOL_Database!$R$13)))</f>
        <v>86</v>
      </c>
      <c r="AF14" s="142">
        <f>IF(KOL_Database!$P$13="",0,MIN(100,MAX(0,KOL_Database!$P$13)))</f>
        <v>85</v>
      </c>
      <c r="AG14" s="142">
        <f>IF(KOL_Database!$Q$13="",0,MIN(100,MAX(0,KOL_Database!$Q$13)))</f>
        <v>83</v>
      </c>
      <c r="AH14" s="142">
        <f>IF(OR(KOL_Database!$J$13="",KOL_Database!$J$13=0,KOL_Database!$L$13=""),0,MIN(100,ROUND(KOL_Database!$L$13/KOL_Database!$J$13/Lookup_Lists!$D$144*100,0)))</f>
        <v>100</v>
      </c>
      <c r="AI14" s="142">
        <f>IF(KOL_Database!$N$13="",0,MIN(100,MAX(0,ROUND((KOL_Database!$N$13+2)/(Lookup_Lists!$D$145+2)*100,0))))</f>
        <v>93</v>
      </c>
      <c r="AJ14" s="142">
        <f>ROUND((Matching_Engine!$AD$14*Lookup_Lists!$D$129+Matching_Engine!$AE$14*Lookup_Lists!$D$130+Matching_Engine!$AF$14*Lookup_Lists!$D$131+Matching_Engine!$AG$14*Lookup_Lists!$D$132+Matching_Engine!$AH$14*Lookup_Lists!$D$133+Matching_Engine!$AI$14*Lookup_Lists!$D$134)/(Lookup_Lists!$D$129+Lookup_Lists!$D$130+Lookup_Lists!$D$131+Lookup_Lists!$D$132+Lookup_Lists!$D$133+Lookup_Lists!$D$134),0)</f>
        <v>92</v>
      </c>
      <c r="AK14" s="142">
        <f>IF(KOL_Database!$AT$13="",0,MIN(100,MAX(0,KOL_Database!$AT$13)))</f>
        <v>92</v>
      </c>
      <c r="AL14" s="142">
        <f>IF(KOL_Database!$AU$13="",0,KOL_Database!$AU$13)</f>
        <v>61</v>
      </c>
      <c r="AM14" s="89" t="str">
        <f>IF(KOL_Database!$AV$13="","None",KOL_Database!$AV$13)</f>
        <v>None</v>
      </c>
      <c r="AN14" s="143">
        <f>IF(Matching_Engine!$AM$14="High",Lookup_Lists!$D$137,IF(Matching_Engine!$AM$14="Medium",Lookup_Lists!$D$138,IF(Matching_Engine!$AM$14="Low",Lookup_Lists!$D$139,Lookup_Lists!$D$140)))</f>
        <v>1</v>
      </c>
      <c r="AO14" s="142">
        <f>ROUND(MIN(100,MAX(0,(Matching_Engine!$AK$14*Lookup_Lists!$D$135+(100-Matching_Engine!$AL$14)*Lookup_Lists!$D$136)/(Lookup_Lists!$D$135+Lookup_Lists!$D$136)*Matching_Engine!$AN$14)),0)</f>
        <v>81</v>
      </c>
      <c r="AP14" s="13">
        <f ca="1">ROUND((Matching_Engine!$N$14*Lookup_Lists!$D$104+Matching_Engine!$S$14*Lookup_Lists!$D$105+Matching_Engine!$X$14*Lookup_Lists!$D$106+Matching_Engine!$AC$14*Lookup_Lists!$D$107+Matching_Engine!$AJ$14*Lookup_Lists!$D$108+Matching_Engine!$AO$14*Lookup_Lists!$D$109)/MAX(1,(Lookup_Lists!$D$104+Lookup_Lists!$D$105+Lookup_Lists!$D$106+Lookup_Lists!$D$107+Lookup_Lists!$D$108+Lookup_Lists!$D$109)),0)</f>
        <v>81</v>
      </c>
      <c r="AQ14" s="89" t="str">
        <f ca="1">IF(Matching_Engine!$AP$14&gt;=Lookup_Lists!$D$152,"Excellent Match",IF(Matching_Engine!$AP$14&gt;=Lookup_Lists!$D$153,"Strong Match",IF(Matching_Engine!$AP$14&gt;=Lookup_Lists!$D$154,"Good Match",IF(Matching_Engine!$AP$14&gt;=Lookup_Lists!$D$155,"Moderate Match","Low Match"))))</f>
        <v>Strong Match</v>
      </c>
      <c r="AR14" s="142">
        <f>KOL_Database!$BE$13</f>
        <v>100</v>
      </c>
      <c r="AS14" s="89" t="str">
        <f>IF(Matching_Engine!$AR$14&gt;=Lookup_Lists!$D$159,"High",IF(Matching_Engine!$AR$14&gt;=Lookup_Lists!$D$160,"Medium","Limited Data"))</f>
        <v>High</v>
      </c>
      <c r="AT14" s="142">
        <f>ROUND((Matching_Engine!$N$14+Matching_Engine!$X$14+Matching_Engine!$AC$14)/3,0)</f>
        <v>80</v>
      </c>
      <c r="AU14" s="142">
        <f>ROUND(((100-Matching_Engine!$AL$14)*Lookup_Lists!$D$162+IF(KOL_Database!$BD$13="",Lookup_Lists!$D$150,KOL_Database!$BD$13)*Lookup_Lists!$D$163+Matching_Engine!$AI$14*Lookup_Lists!$D$164+Matching_Engine!$AD$14*Lookup_Lists!$D$165)/(Lookup_Lists!$D$162+Lookup_Lists!$D$163+Lookup_Lists!$D$164+Lookup_Lists!$D$165),0)</f>
        <v>77</v>
      </c>
      <c r="AV14" s="89" t="str">
        <f ca="1">IF(Matching_Engine!$AW$14="","PASS","EXCLUDED")</f>
        <v>PASS</v>
      </c>
      <c r="AW14" s="89" t="str">
        <f ca="1">IF(ISERROR(SEARCH(KOL_Database!$D$13,Brand_Profile!$D$32)),"Platform not in Preferred Platform",IF(AND(Brand_Profile!$D$36&gt;0,KOL_Database!$J$13&lt;Brand_Profile!$D$36),"Followers below Preferred Follower Range",IF(AND(Brand_Profile!$D$37&gt;0,KOL_Database!$J$13&gt;Brand_Profile!$D$37),"Followers above Preferred Follower Range",IF(AND(Brand_Profile!$D$38&gt;0,IF(KOL_Database!$K$13="",0,KOL_Database!$K$13)&lt;Brand_Profile!$D$38),"Engagement Rate below Minimum Engagement Rate",IF(ISERROR(SEARCH(KOL_Database!$G$13,Brand_Profile!$D$35)),"Tier not in Preferred Tier",IF(AND(Brand_Profile!$D$43&gt;0,Matching_Engine!$AE$14&lt;Brand_Profile!$D$43),"Audience Quality below Minimum Audience Quality",IF(AND(Brand_Profile!$D$44&gt;0,Matching_Engine!$AK$14&lt;Brand_Profile!$D$44),"Brand Safety below Minimum Brand Safety",IF(AND(Brand_Profile!$D$47="Yes",KOL_Database!$AD$13&lt;&gt;Brand_Profile!$D$19),"Audience Country does not match Target Country",IF(AND(Brand_Profile!$D$46="Yes",KOL_Database!$E$13&lt;&gt;Brand_Profile!$D$33),"Category is not the Preferred Category",IF(AND(Brand_Profile!$D$48&gt;0,Matching_Engine!$AL$14&gt;Brand_Profile!$D$48),"Competitor Saturation above Max Competitor Saturation",IF(AND(Brand_Profile!$D$50="Yes",KOL_Database!$AW$13="Yes"),"Already Selected",IF(AND(Brand_Profile!$D$51="Yes",KOL_Database!$AX$13="Yes"),"Already in Cart",IF(AND(Brand_Profile!$D$52="Yes",KOL_Database!$AY$13="Yes"),"Existing Partner",IF(AND(Brand_Profile!$D$53="Yes",KOL_Database!$AZ$13="Yes"),"Excluded Creator",IF(AND(Brand_Profile!$D$49&gt;0,Matching_Engine!$AP$14&lt;Brand_Profile!$D$49),"Brand Match below Minimum Brand Match","")))))))))))))))</f>
        <v/>
      </c>
      <c r="AX14" s="89" t="str">
        <f ca="1">IF(Matching_Engine!$AV$14="EXCLUDED","Excluded",IF(Matching_Engine!$AP$14&gt;=Lookup_Lists!$D$156,"Highly Recommended",IF(Matching_Engine!$AP$14&gt;=Lookup_Lists!$D$157,"Recommended",IF(Matching_Engine!$AP$14&gt;=Lookup_Lists!$D$158,"Consider","Low Priority"))))</f>
        <v>Recommended</v>
      </c>
      <c r="AY14" s="142">
        <f ca="1">IF(Matching_Engine!$AV$14="PASS",Matching_Engine!$AP$14,"")</f>
        <v>81</v>
      </c>
      <c r="AZ14" s="89" t="str">
        <f>Matching_Engine!$A$14&amp;"|"&amp;Matching_Engine!$C$14</f>
        <v>BRAND-A|KOL-09</v>
      </c>
      <c r="BA14" s="89" t="str">
        <f>IFERROR(INDEX(Lookup_Lists!$B$51:$B$92,MATCH(Brand_Profile!$D$12,Lookup_Lists!$A$51:$A$92,0)),"")</f>
        <v>Tech</v>
      </c>
      <c r="BB14" s="89" t="str">
        <f>IFERROR(INDEX(Lookup_Lists!$B$51:$B$92,MATCH(KOL_Database!$F$13,Lookup_Lists!$A$51:$A$92,0)),"")</f>
        <v>Education</v>
      </c>
      <c r="BC14" s="142">
        <f>IFERROR(INDEX(Lookup_Lists!$B$185:$O$198,MATCH(Matching_Engine!$BA$14,Lookup_Lists!$A$185:$A$198,0),MATCH(KOL_Database!$E$13,Lookup_Lists!$B$184:$O$184,0)),Lookup_Lists!$D$151)</f>
        <v>80</v>
      </c>
      <c r="BD14" s="142">
        <f>IFERROR(INDEX(Lookup_Lists!$B$185:$O$198,MATCH(Brand_Profile!$D$33,Lookup_Lists!$A$185:$A$198,0),MATCH(KOL_Database!$E$13,Lookup_Lists!$B$184:$O$184,0)),Lookup_Lists!$D$151)</f>
        <v>80</v>
      </c>
      <c r="BE14" s="89" t="str">
        <f>IFERROR(INDEX(Lookup_Lists!$B$51:$B$92,MATCH(Brand_Profile!$D$34,Lookup_Lists!$A$51:$A$92,0)),"")</f>
        <v>Tech</v>
      </c>
      <c r="BF14" s="89" t="str">
        <f>KOL_Database!$AI$13&amp;", "&amp;KOL_Database!$AG$13&amp;", "&amp;KOL_Database!$F$13&amp;", "&amp;KOL_Database!$E$13</f>
        <v>Education, Productivity, Technology, Education, Productivity, Technology, Entertainment, Business, Study Tips, Education</v>
      </c>
      <c r="BG14" s="89" t="str">
        <f>KOL_Database!$AI$13&amp;", "&amp;KOL_Database!$AG$13</f>
        <v>Education, Productivity, Technology, Education, Productivity, Technology, Entertainment, Business</v>
      </c>
    </row>
    <row r="15" spans="1:59">
      <c r="A15" s="101" t="s">
        <v>113</v>
      </c>
      <c r="B15" s="89" t="str">
        <f>Brand_Profile!$D$9</f>
        <v>Nusatech Cloud</v>
      </c>
      <c r="C15" s="89" t="str">
        <f>KOL_Database!$A$14</f>
        <v>KOL-10</v>
      </c>
      <c r="D15" s="89" t="str">
        <f>KOL_Database!$B$14</f>
        <v>Mira Handayani</v>
      </c>
      <c r="E15" s="89" t="str">
        <f>KOL_Database!$C$14</f>
        <v>@mirabahasa</v>
      </c>
      <c r="F15" s="89" t="str">
        <f>KOL_Database!$D$14</f>
        <v>Instagram</v>
      </c>
      <c r="G15" s="89" t="str">
        <f>KOL_Database!$E$14</f>
        <v>Education</v>
      </c>
      <c r="H15" s="89" t="str">
        <f>KOL_Database!$G$14</f>
        <v>Micro</v>
      </c>
      <c r="I15" s="140">
        <f>KOL_Database!$J$14</f>
        <v>42000</v>
      </c>
      <c r="J15" s="141">
        <f>KOL_Database!$K$14</f>
        <v>4.9</v>
      </c>
      <c r="K15" s="142">
        <f>IFERROR(INDEX(Lookup_Lists!$B$170:$O$181,MATCH(Brand_Profile!$D$10,Lookup_Lists!$A$170:$A$181,0),MATCH(KOL_Database!$E$14,Lookup_Lists!$B$169:$O$169,0)),Lookup_Lists!$D$151)</f>
        <v>80</v>
      </c>
      <c r="L15" s="142">
        <f>IF(KOL_Database!$F$14="",Matching_Engine!$BC$15,IF(Brand_Profile!$D$12=KOL_Database!$F$14,100,IF(Matching_Engine!$BA$15=KOL_Database!$E$14,80,IF(Matching_Engine!$BC$15&gt;=80,60,IF(Matching_Engine!$BC$15&gt;=60,40,Lookup_Lists!$D$151)))))</f>
        <v>60</v>
      </c>
      <c r="M15" s="142">
        <f>ROUND((IF(Brand_Profile!$D$62=0,Lookup_Lists!$D$150,ROUND((IF(Brand_Profile!$D$57="",0,IF(ISNUMBER(SEARCH(Brand_Profile!$D$57,Matching_Engine!$BF$15)),1,0))+IF(Brand_Profile!$D$58="",0,IF(ISNUMBER(SEARCH(Brand_Profile!$D$58,Matching_Engine!$BF$15)),1,0))+IF(Brand_Profile!$D$59="",0,IF(ISNUMBER(SEARCH(Brand_Profile!$D$59,Matching_Engine!$BF$15)),1,0))+IF(Brand_Profile!$D$60="",0,IF(ISNUMBER(SEARCH(Brand_Profile!$D$60,Matching_Engine!$BF$15)),1,0))+IF(Brand_Profile!$D$61="",0,IF(ISNUMBER(SEARCH(Brand_Profile!$D$61,Matching_Engine!$BF$15)),1,0)))/Brand_Profile!$D$62*100,0))+IF(Brand_Profile!$D$74=0,Lookup_Lists!$D$150,ROUND((IF(Brand_Profile!$D$69="",0,IF(ISNUMBER(SEARCH(Brand_Profile!$D$69,Matching_Engine!$BF$15)),1,0))+IF(Brand_Profile!$D$70="",0,IF(ISNUMBER(SEARCH(Brand_Profile!$D$70,Matching_Engine!$BF$15)),1,0))+IF(Brand_Profile!$D$71="",0,IF(ISNUMBER(SEARCH(Brand_Profile!$D$71,Matching_Engine!$BF$15)),1,0))+IF(Brand_Profile!$D$72="",0,IF(ISNUMBER(SEARCH(Brand_Profile!$D$72,Matching_Engine!$BF$15)),1,0))+IF(Brand_Profile!$D$73="",0,IF(ISNUMBER(SEARCH(Brand_Profile!$D$73,Matching_Engine!$BF$15)),1,0)))/Brand_Profile!$D$74*100,0)))/2,0)</f>
        <v>60</v>
      </c>
      <c r="N15" s="142">
        <f>ROUND((Matching_Engine!$K$15*Lookup_Lists!$D$110+Matching_Engine!$L$15*Lookup_Lists!$D$111+Matching_Engine!$M$15*Lookup_Lists!$D$112)/(Lookup_Lists!$D$110+Lookup_Lists!$D$111+Lookup_Lists!$D$112),0)</f>
        <v>68</v>
      </c>
      <c r="O15" s="142">
        <f ca="1">IF(Brand_Profile!$D$16="",Lookup_Lists!$D$150,MIN(100,ROUND((IFERROR(INDEX(KOL_Database!$W$14:KOL_Database!$AA$14,1,MATCH(Brand_Profile!$D$16,Lookup_Lists!$F$6:$F$10,0)),0)+0.5*IFERROR(INDEX(KOL_Database!$W$14:KOL_Database!$AA$14,1,MATCH(Brand_Profile!$D$17,Lookup_Lists!$F$6:$F$10,0)),0))/Lookup_Lists!$D$142*100,0)))</f>
        <v>100</v>
      </c>
      <c r="P15" s="142">
        <f>IF(OR(Brand_Profile!$D$18="",Brand_Profile!$D$18="Any"),100,IF(Brand_Profile!$D$18="Female",MIN(100,ROUND(KOL_Database!$AB$14/Lookup_Lists!$D$143*100,0)),IF(Brand_Profile!$D$18="Male",MIN(100,ROUND(KOL_Database!$AC$14/Lookup_Lists!$D$143*100,0)),MAX(0,ROUND(100-ABS(KOL_Database!$AB$14-50)*2,0)))))</f>
        <v>100</v>
      </c>
      <c r="Q15" s="142">
        <f>ROUND((IF(Brand_Profile!$D$19="",100,IF(KOL_Database!$AD$14=Brand_Profile!$D$19,100,Lookup_Lists!$D$151))*Lookup_Lists!$D$118+IF(OR(Brand_Profile!$D$20="",Brand_Profile!$D$20="Nasional"),100,IF(KOL_Database!$AE$14="",Lookup_Lists!$D$150,IF(KOL_Database!$AE$14=Brand_Profile!$D$20,100,IF(KOL_Database!$AD$14=Brand_Profile!$D$19,40,Lookup_Lists!$D$151))))*Lookup_Lists!$D$119+IF(OR(Brand_Profile!$D$21="",Brand_Profile!$D$21="Nasional"),100,IF(KOL_Database!$AF$14="",Lookup_Lists!$D$150,IF(KOL_Database!$AF$14=Brand_Profile!$D$21,100,IF(KOL_Database!$AE$14=Brand_Profile!$D$20,60,Lookup_Lists!$D$151))))*Lookup_Lists!$D$120)/(Lookup_Lists!$D$118+Lookup_Lists!$D$119+Lookup_Lists!$D$120),0)</f>
        <v>65</v>
      </c>
      <c r="R15" s="142">
        <f>IF(Brand_Profile!$D$68=0,Lookup_Lists!$D$150,ROUND((IF(Brand_Profile!$D$63="",0,IF(ISNUMBER(SEARCH(Brand_Profile!$D$63,KOL_Database!$AG$14)),1,0))+IF(Brand_Profile!$D$64="",0,IF(ISNUMBER(SEARCH(Brand_Profile!$D$64,KOL_Database!$AG$14)),1,0))+IF(Brand_Profile!$D$65="",0,IF(ISNUMBER(SEARCH(Brand_Profile!$D$65,KOL_Database!$AG$14)),1,0))+IF(Brand_Profile!$D$66="",0,IF(ISNUMBER(SEARCH(Brand_Profile!$D$66,KOL_Database!$AG$14)),1,0))+IF(Brand_Profile!$D$67="",0,IF(ISNUMBER(SEARCH(Brand_Profile!$D$67,KOL_Database!$AG$14)),1,0)))/Brand_Profile!$D$68*100,0))</f>
        <v>60</v>
      </c>
      <c r="S15" s="142">
        <f ca="1">ROUND((Matching_Engine!$O$15*Brand_Profile!$D$96+Matching_Engine!$P$15*Brand_Profile!$D$97+Matching_Engine!$Q$15*Brand_Profile!$D$98+Matching_Engine!$R$15*Brand_Profile!$D$99)/MAX(1,Brand_Profile!$D$96+Brand_Profile!$D$97+Brand_Profile!$D$98+Brand_Profile!$D$99),0)</f>
        <v>74</v>
      </c>
      <c r="T15" s="142">
        <f>IF(Brand_Profile!$D$33="",Lookup_Lists!$D$150,Matching_Engine!$BD$15)</f>
        <v>80</v>
      </c>
      <c r="U15" s="142">
        <f>IF(Brand_Profile!$D$34="",Lookup_Lists!$D$150,IF(Brand_Profile!$D$34=KOL_Database!$F$14,100,IF(Matching_Engine!$BE$15=KOL_Database!$E$14,75,IF(Matching_Engine!$BD$15&gt;=80,Lookup_Lists!$D$150,IF(Matching_Engine!$BD$15&gt;=60,35,Lookup_Lists!$D$151)))))</f>
        <v>50</v>
      </c>
      <c r="V15" s="142">
        <f>IF(Brand_Profile!$D$86=0,Lookup_Lists!$D$150,ROUND((IF(Brand_Profile!$D$81="",0,IF(ISNUMBER(SEARCH(Brand_Profile!$D$81,Matching_Engine!$BG$15)),1,0))+IF(Brand_Profile!$D$82="",0,IF(ISNUMBER(SEARCH(Brand_Profile!$D$82,Matching_Engine!$BG$15)),1,0))+IF(Brand_Profile!$D$83="",0,IF(ISNUMBER(SEARCH(Brand_Profile!$D$83,Matching_Engine!$BG$15)),1,0))+IF(Brand_Profile!$D$84="",0,IF(ISNUMBER(SEARCH(Brand_Profile!$D$84,Matching_Engine!$BG$15)),1,0))+IF(Brand_Profile!$D$85="",0,IF(ISNUMBER(SEARCH(Brand_Profile!$D$85,Matching_Engine!$BG$15)),1,0)))/Brand_Profile!$D$86*100,0))</f>
        <v>60</v>
      </c>
      <c r="W15" s="142">
        <f>IF(Brand_Profile!$D$39="",Lookup_Lists!$D$150,IFERROR(INDEX(Lookup_Lists!$B$237:$K$246,MATCH(Brand_Profile!$D$39,Lookup_Lists!$A$237:$A$246,0),MATCH(KOL_Database!$AJ$14,Lookup_Lists!$B$236:$K$236,0)),45))</f>
        <v>80</v>
      </c>
      <c r="X15" s="142">
        <f>ROUND((Matching_Engine!$T$15*Lookup_Lists!$D$121+Matching_Engine!$U$15*Lookup_Lists!$D$122+Matching_Engine!$V$15*Lookup_Lists!$D$123+Matching_Engine!$W$15*Lookup_Lists!$D$124)/(Lookup_Lists!$D$121+Lookup_Lists!$D$122+Lookup_Lists!$D$123+Lookup_Lists!$D$124),0)</f>
        <v>68</v>
      </c>
      <c r="Y15" s="142">
        <f>MIN(100,MAX(IFERROR(INDEX(Lookup_Lists!$B$202:$M$211,MATCH(Brand_Profile!$D$25,Lookup_Lists!$A$202:$A$211,0),MATCH(KOL_Database!$AK$14,Lookup_Lists!$B$201:$M$201,0)),40),IF(KOL_Database!$AK$14=Brand_Profile!$D$41,95,0)))</f>
        <v>95</v>
      </c>
      <c r="Z15" s="142">
        <f>IFERROR(INDEX(Lookup_Lists!$B$215:$K$222,MATCH(Brand_Profile!$D$27,Lookup_Lists!$A$215:$A$222,0),MATCH(KOL_Database!$AJ$14,Lookup_Lists!$B$214:$K$214,0)),45)</f>
        <v>95</v>
      </c>
      <c r="AA15" s="142">
        <f>ROUND((IF(Brand_Profile!$D$80=0,Lookup_Lists!$D$150,ROUND((IF(Brand_Profile!$D$75="",0,IF(ISNUMBER(SEARCH(Brand_Profile!$D$75,KOL_Database!$AL$14)),1,0))+IF(Brand_Profile!$D$76="",0,IF(ISNUMBER(SEARCH(Brand_Profile!$D$76,KOL_Database!$AL$14)),1,0))+IF(Brand_Profile!$D$77="",0,IF(ISNUMBER(SEARCH(Brand_Profile!$D$77,KOL_Database!$AL$14)),1,0))+IF(Brand_Profile!$D$78="",0,IF(ISNUMBER(SEARCH(Brand_Profile!$D$78,KOL_Database!$AL$14)),1,0))+IF(Brand_Profile!$D$79="",0,IF(ISNUMBER(SEARCH(Brand_Profile!$D$79,KOL_Database!$AL$14)),1,0)))/Brand_Profile!$D$80*100,0))+IF(Brand_Profile!$D$92=0,Lookup_Lists!$D$150,ROUND((IF(Brand_Profile!$D$87="",0,IF(ISNUMBER(SEARCH(Brand_Profile!$D$87,KOL_Database!$AL$14)),1,0))+IF(Brand_Profile!$D$88="",0,IF(ISNUMBER(SEARCH(Brand_Profile!$D$88,KOL_Database!$AL$14)),1,0))+IF(Brand_Profile!$D$89="",0,IF(ISNUMBER(SEARCH(Brand_Profile!$D$89,KOL_Database!$AL$14)),1,0))+IF(Brand_Profile!$D$90="",0,IF(ISNUMBER(SEARCH(Brand_Profile!$D$90,KOL_Database!$AL$14)),1,0))+IF(Brand_Profile!$D$91="",0,IF(ISNUMBER(SEARCH(Brand_Profile!$D$91,KOL_Database!$AL$14)),1,0)))/Brand_Profile!$D$92*100,0)))/2,0)</f>
        <v>60</v>
      </c>
      <c r="AB15" s="142">
        <f>IFERROR(INDEX(Lookup_Lists!$B$226:$K$233,MATCH(Brand_Profile!$D$30,Lookup_Lists!$A$226:$A$233,0),MATCH(KOL_Database!$AJ$14,Lookup_Lists!$B$225:$K$225,0)),45)</f>
        <v>95</v>
      </c>
      <c r="AC15" s="142">
        <f>ROUND((Matching_Engine!$Y$15*Lookup_Lists!$D$125+Matching_Engine!$Z$15*Lookup_Lists!$D$126+Matching_Engine!$AA$15*Lookup_Lists!$D$127+Matching_Engine!$AB$15*Lookup_Lists!$D$128)/(Lookup_Lists!$D$125+Lookup_Lists!$D$126+Lookup_Lists!$D$127+Lookup_Lists!$D$128),0)</f>
        <v>86</v>
      </c>
      <c r="AD15" s="142">
        <f>IF(KOL_Database!$K$14="",0,MIN(100,ROUND(KOL_Database!$K$14/Lookup_Lists!$D$141*100,0)))</f>
        <v>82</v>
      </c>
      <c r="AE15" s="142">
        <f>IF(KOL_Database!$R$14="",0,MIN(100,MAX(0,KOL_Database!$R$14)))</f>
        <v>75</v>
      </c>
      <c r="AF15" s="142">
        <f>IF(KOL_Database!$P$14="",0,MIN(100,MAX(0,KOL_Database!$P$14)))</f>
        <v>94</v>
      </c>
      <c r="AG15" s="142">
        <f>IF(KOL_Database!$Q$14="",0,MIN(100,MAX(0,KOL_Database!$Q$14)))</f>
        <v>85</v>
      </c>
      <c r="AH15" s="142">
        <f>IF(OR(KOL_Database!$J$14="",KOL_Database!$J$14=0,KOL_Database!$L$14=""),0,MIN(100,ROUND(KOL_Database!$L$14/KOL_Database!$J$14/Lookup_Lists!$D$144*100,0)))</f>
        <v>56</v>
      </c>
      <c r="AI15" s="142">
        <f>IF(KOL_Database!$N$14="",0,MIN(100,MAX(0,ROUND((KOL_Database!$N$14+2)/(Lookup_Lists!$D$145+2)*100,0))))</f>
        <v>36</v>
      </c>
      <c r="AJ15" s="142">
        <f>ROUND((Matching_Engine!$AD$15*Lookup_Lists!$D$129+Matching_Engine!$AE$15*Lookup_Lists!$D$130+Matching_Engine!$AF$15*Lookup_Lists!$D$131+Matching_Engine!$AG$15*Lookup_Lists!$D$132+Matching_Engine!$AH$15*Lookup_Lists!$D$133+Matching_Engine!$AI$15*Lookup_Lists!$D$134)/(Lookup_Lists!$D$129+Lookup_Lists!$D$130+Lookup_Lists!$D$131+Lookup_Lists!$D$132+Lookup_Lists!$D$133+Lookup_Lists!$D$134),0)</f>
        <v>78</v>
      </c>
      <c r="AK15" s="142">
        <f>IF(KOL_Database!$AT$14="",0,MIN(100,MAX(0,KOL_Database!$AT$14)))</f>
        <v>83</v>
      </c>
      <c r="AL15" s="142">
        <f>IF(KOL_Database!$AU$14="",0,KOL_Database!$AU$14)</f>
        <v>32</v>
      </c>
      <c r="AM15" s="89" t="str">
        <f>IF(KOL_Database!$AV$14="","None",KOL_Database!$AV$14)</f>
        <v>None</v>
      </c>
      <c r="AN15" s="143">
        <f>IF(Matching_Engine!$AM$15="High",Lookup_Lists!$D$137,IF(Matching_Engine!$AM$15="Medium",Lookup_Lists!$D$138,IF(Matching_Engine!$AM$15="Low",Lookup_Lists!$D$139,Lookup_Lists!$D$140)))</f>
        <v>1</v>
      </c>
      <c r="AO15" s="142">
        <f>ROUND(MIN(100,MAX(0,(Matching_Engine!$AK$15*Lookup_Lists!$D$135+(100-Matching_Engine!$AL$15)*Lookup_Lists!$D$136)/(Lookup_Lists!$D$135+Lookup_Lists!$D$136)*Matching_Engine!$AN$15)),0)</f>
        <v>80</v>
      </c>
      <c r="AP15" s="13">
        <f ca="1">ROUND((Matching_Engine!$N$15*Lookup_Lists!$D$104+Matching_Engine!$S$15*Lookup_Lists!$D$105+Matching_Engine!$X$15*Lookup_Lists!$D$106+Matching_Engine!$AC$15*Lookup_Lists!$D$107+Matching_Engine!$AJ$15*Lookup_Lists!$D$108+Matching_Engine!$AO$15*Lookup_Lists!$D$109)/MAX(1,(Lookup_Lists!$D$104+Lookup_Lists!$D$105+Lookup_Lists!$D$106+Lookup_Lists!$D$107+Lookup_Lists!$D$108+Lookup_Lists!$D$109)),0)</f>
        <v>74</v>
      </c>
      <c r="AQ15" s="89" t="str">
        <f ca="1">IF(Matching_Engine!$AP$15&gt;=Lookup_Lists!$D$152,"Excellent Match",IF(Matching_Engine!$AP$15&gt;=Lookup_Lists!$D$153,"Strong Match",IF(Matching_Engine!$AP$15&gt;=Lookup_Lists!$D$154,"Good Match",IF(Matching_Engine!$AP$15&gt;=Lookup_Lists!$D$155,"Moderate Match","Low Match"))))</f>
        <v>Good Match</v>
      </c>
      <c r="AR15" s="142">
        <f>KOL_Database!$BE$14</f>
        <v>92</v>
      </c>
      <c r="AS15" s="89" t="str">
        <f>IF(Matching_Engine!$AR$15&gt;=Lookup_Lists!$D$159,"High",IF(Matching_Engine!$AR$15&gt;=Lookup_Lists!$D$160,"Medium","Limited Data"))</f>
        <v>Medium</v>
      </c>
      <c r="AT15" s="142">
        <f>ROUND((Matching_Engine!$N$15+Matching_Engine!$X$15+Matching_Engine!$AC$15)/3,0)</f>
        <v>74</v>
      </c>
      <c r="AU15" s="142">
        <f>ROUND(((100-Matching_Engine!$AL$15)*Lookup_Lists!$D$162+IF(KOL_Database!$BD$14="",Lookup_Lists!$D$150,KOL_Database!$BD$14)*Lookup_Lists!$D$163+Matching_Engine!$AI$15*Lookup_Lists!$D$164+Matching_Engine!$AD$15*Lookup_Lists!$D$165)/(Lookup_Lists!$D$162+Lookup_Lists!$D$163+Lookup_Lists!$D$164+Lookup_Lists!$D$165),0)</f>
        <v>60</v>
      </c>
      <c r="AV15" s="89" t="str">
        <f ca="1">IF(Matching_Engine!$AW$15="","PASS","EXCLUDED")</f>
        <v>PASS</v>
      </c>
      <c r="AW15" s="89" t="str">
        <f ca="1">IF(ISERROR(SEARCH(KOL_Database!$D$14,Brand_Profile!$D$32)),"Platform not in Preferred Platform",IF(AND(Brand_Profile!$D$36&gt;0,KOL_Database!$J$14&lt;Brand_Profile!$D$36),"Followers below Preferred Follower Range",IF(AND(Brand_Profile!$D$37&gt;0,KOL_Database!$J$14&gt;Brand_Profile!$D$37),"Followers above Preferred Follower Range",IF(AND(Brand_Profile!$D$38&gt;0,IF(KOL_Database!$K$14="",0,KOL_Database!$K$14)&lt;Brand_Profile!$D$38),"Engagement Rate below Minimum Engagement Rate",IF(ISERROR(SEARCH(KOL_Database!$G$14,Brand_Profile!$D$35)),"Tier not in Preferred Tier",IF(AND(Brand_Profile!$D$43&gt;0,Matching_Engine!$AE$15&lt;Brand_Profile!$D$43),"Audience Quality below Minimum Audience Quality",IF(AND(Brand_Profile!$D$44&gt;0,Matching_Engine!$AK$15&lt;Brand_Profile!$D$44),"Brand Safety below Minimum Brand Safety",IF(AND(Brand_Profile!$D$47="Yes",KOL_Database!$AD$14&lt;&gt;Brand_Profile!$D$19),"Audience Country does not match Target Country",IF(AND(Brand_Profile!$D$46="Yes",KOL_Database!$E$14&lt;&gt;Brand_Profile!$D$33),"Category is not the Preferred Category",IF(AND(Brand_Profile!$D$48&gt;0,Matching_Engine!$AL$15&gt;Brand_Profile!$D$48),"Competitor Saturation above Max Competitor Saturation",IF(AND(Brand_Profile!$D$50="Yes",KOL_Database!$AW$14="Yes"),"Already Selected",IF(AND(Brand_Profile!$D$51="Yes",KOL_Database!$AX$14="Yes"),"Already in Cart",IF(AND(Brand_Profile!$D$52="Yes",KOL_Database!$AY$14="Yes"),"Existing Partner",IF(AND(Brand_Profile!$D$53="Yes",KOL_Database!$AZ$14="Yes"),"Excluded Creator",IF(AND(Brand_Profile!$D$49&gt;0,Matching_Engine!$AP$15&lt;Brand_Profile!$D$49),"Brand Match below Minimum Brand Match","")))))))))))))))</f>
        <v/>
      </c>
      <c r="AX15" s="89" t="str">
        <f ca="1">IF(Matching_Engine!$AV$15="EXCLUDED","Excluded",IF(Matching_Engine!$AP$15&gt;=Lookup_Lists!$D$156,"Highly Recommended",IF(Matching_Engine!$AP$15&gt;=Lookup_Lists!$D$157,"Recommended",IF(Matching_Engine!$AP$15&gt;=Lookup_Lists!$D$158,"Consider","Low Priority"))))</f>
        <v>Recommended</v>
      </c>
      <c r="AY15" s="142">
        <f ca="1">IF(Matching_Engine!$AV$15="PASS",Matching_Engine!$AP$15,"")</f>
        <v>74</v>
      </c>
      <c r="AZ15" s="89" t="str">
        <f>Matching_Engine!$A$15&amp;"|"&amp;Matching_Engine!$C$15</f>
        <v>BRAND-A|KOL-10</v>
      </c>
      <c r="BA15" s="89" t="str">
        <f>IFERROR(INDEX(Lookup_Lists!$B$51:$B$92,MATCH(Brand_Profile!$D$12,Lookup_Lists!$A$51:$A$92,0)),"")</f>
        <v>Tech</v>
      </c>
      <c r="BB15" s="89" t="str">
        <f>IFERROR(INDEX(Lookup_Lists!$B$51:$B$92,MATCH(KOL_Database!$F$14,Lookup_Lists!$A$51:$A$92,0)),"")</f>
        <v>Education</v>
      </c>
      <c r="BC15" s="142">
        <f>IFERROR(INDEX(Lookup_Lists!$B$185:$O$198,MATCH(Matching_Engine!$BA$15,Lookup_Lists!$A$185:$A$198,0),MATCH(KOL_Database!$E$14,Lookup_Lists!$B$184:$O$184,0)),Lookup_Lists!$D$151)</f>
        <v>80</v>
      </c>
      <c r="BD15" s="142">
        <f>IFERROR(INDEX(Lookup_Lists!$B$185:$O$198,MATCH(Brand_Profile!$D$33,Lookup_Lists!$A$185:$A$198,0),MATCH(KOL_Database!$E$14,Lookup_Lists!$B$184:$O$184,0)),Lookup_Lists!$D$151)</f>
        <v>80</v>
      </c>
      <c r="BE15" s="89" t="str">
        <f>IFERROR(INDEX(Lookup_Lists!$B$51:$B$92,MATCH(Brand_Profile!$D$34,Lookup_Lists!$A$51:$A$92,0)),"")</f>
        <v>Tech</v>
      </c>
      <c r="BF15" s="89" t="str">
        <f>KOL_Database!$AI$14&amp;", "&amp;KOL_Database!$AG$14&amp;", "&amp;KOL_Database!$F$14&amp;", "&amp;KOL_Database!$E$14</f>
        <v>Education, Travel, Productivity, Education, Travel, Productivity, Entertainment, Technology, Language, Education</v>
      </c>
      <c r="BG15" s="89" t="str">
        <f>KOL_Database!$AI$14&amp;", "&amp;KOL_Database!$AG$14</f>
        <v>Education, Travel, Productivity, Education, Travel, Productivity, Entertainment, Technology</v>
      </c>
    </row>
    <row r="16" spans="1:59">
      <c r="A16" s="101" t="s">
        <v>113</v>
      </c>
      <c r="B16" s="89" t="str">
        <f>Brand_Profile!$D$9</f>
        <v>Nusatech Cloud</v>
      </c>
      <c r="C16" s="89" t="str">
        <f>KOL_Database!$A$15</f>
        <v>KOL-11</v>
      </c>
      <c r="D16" s="89" t="str">
        <f>KOL_Database!$B$15</f>
        <v>Dimas Anggara</v>
      </c>
      <c r="E16" s="89" t="str">
        <f>KOL_Database!$C$15</f>
        <v>@dimasfit</v>
      </c>
      <c r="F16" s="89" t="str">
        <f>KOL_Database!$D$15</f>
        <v>Instagram</v>
      </c>
      <c r="G16" s="89" t="str">
        <f>KOL_Database!$E$15</f>
        <v>Fitness</v>
      </c>
      <c r="H16" s="89" t="str">
        <f>KOL_Database!$G$15</f>
        <v>Macro</v>
      </c>
      <c r="I16" s="140">
        <f>KOL_Database!$J$15</f>
        <v>178000</v>
      </c>
      <c r="J16" s="141">
        <f>KOL_Database!$K$15</f>
        <v>3.9</v>
      </c>
      <c r="K16" s="142">
        <f>IFERROR(INDEX(Lookup_Lists!$B$170:$O$181,MATCH(Brand_Profile!$D$10,Lookup_Lists!$A$170:$A$181,0),MATCH(KOL_Database!$E$15,Lookup_Lists!$B$169:$O$169,0)),Lookup_Lists!$D$151)</f>
        <v>40</v>
      </c>
      <c r="L16" s="142">
        <f>IF(KOL_Database!$F$15="",Matching_Engine!$BC$16,IF(Brand_Profile!$D$12=KOL_Database!$F$15,100,IF(Matching_Engine!$BA$16=KOL_Database!$E$15,80,IF(Matching_Engine!$BC$16&gt;=80,60,IF(Matching_Engine!$BC$16&gt;=60,40,Lookup_Lists!$D$151)))))</f>
        <v>20</v>
      </c>
      <c r="M16" s="142">
        <f>ROUND((IF(Brand_Profile!$D$62=0,Lookup_Lists!$D$150,ROUND((IF(Brand_Profile!$D$57="",0,IF(ISNUMBER(SEARCH(Brand_Profile!$D$57,Matching_Engine!$BF$16)),1,0))+IF(Brand_Profile!$D$58="",0,IF(ISNUMBER(SEARCH(Brand_Profile!$D$58,Matching_Engine!$BF$16)),1,0))+IF(Brand_Profile!$D$59="",0,IF(ISNUMBER(SEARCH(Brand_Profile!$D$59,Matching_Engine!$BF$16)),1,0))+IF(Brand_Profile!$D$60="",0,IF(ISNUMBER(SEARCH(Brand_Profile!$D$60,Matching_Engine!$BF$16)),1,0))+IF(Brand_Profile!$D$61="",0,IF(ISNUMBER(SEARCH(Brand_Profile!$D$61,Matching_Engine!$BF$16)),1,0)))/Brand_Profile!$D$62*100,0))+IF(Brand_Profile!$D$74=0,Lookup_Lists!$D$150,ROUND((IF(Brand_Profile!$D$69="",0,IF(ISNUMBER(SEARCH(Brand_Profile!$D$69,Matching_Engine!$BF$16)),1,0))+IF(Brand_Profile!$D$70="",0,IF(ISNUMBER(SEARCH(Brand_Profile!$D$70,Matching_Engine!$BF$16)),1,0))+IF(Brand_Profile!$D$71="",0,IF(ISNUMBER(SEARCH(Brand_Profile!$D$71,Matching_Engine!$BF$16)),1,0))+IF(Brand_Profile!$D$72="",0,IF(ISNUMBER(SEARCH(Brand_Profile!$D$72,Matching_Engine!$BF$16)),1,0))+IF(Brand_Profile!$D$73="",0,IF(ISNUMBER(SEARCH(Brand_Profile!$D$73,Matching_Engine!$BF$16)),1,0)))/Brand_Profile!$D$74*100,0)))/2,0)</f>
        <v>0</v>
      </c>
      <c r="N16" s="142">
        <f>ROUND((Matching_Engine!$K$16*Lookup_Lists!$D$110+Matching_Engine!$L$16*Lookup_Lists!$D$111+Matching_Engine!$M$16*Lookup_Lists!$D$112)/(Lookup_Lists!$D$110+Lookup_Lists!$D$111+Lookup_Lists!$D$112),0)</f>
        <v>22</v>
      </c>
      <c r="O16" s="142">
        <f ca="1">IF(Brand_Profile!$D$16="",Lookup_Lists!$D$150,MIN(100,ROUND((IFERROR(INDEX(KOL_Database!$W$15:KOL_Database!$AA$15,1,MATCH(Brand_Profile!$D$16,Lookup_Lists!$F$6:$F$10,0)),0)+0.5*IFERROR(INDEX(KOL_Database!$W$15:KOL_Database!$AA$15,1,MATCH(Brand_Profile!$D$17,Lookup_Lists!$F$6:$F$10,0)),0))/Lookup_Lists!$D$142*100,0)))</f>
        <v>100</v>
      </c>
      <c r="P16" s="142">
        <f>IF(OR(Brand_Profile!$D$18="",Brand_Profile!$D$18="Any"),100,IF(Brand_Profile!$D$18="Female",MIN(100,ROUND(KOL_Database!$AB$15/Lookup_Lists!$D$143*100,0)),IF(Brand_Profile!$D$18="Male",MIN(100,ROUND(KOL_Database!$AC$15/Lookup_Lists!$D$143*100,0)),MAX(0,ROUND(100-ABS(KOL_Database!$AB$15-50)*2,0)))))</f>
        <v>100</v>
      </c>
      <c r="Q16" s="142">
        <f>ROUND((IF(Brand_Profile!$D$19="",100,IF(KOL_Database!$AD$15=Brand_Profile!$D$19,100,Lookup_Lists!$D$151))*Lookup_Lists!$D$118+IF(OR(Brand_Profile!$D$20="",Brand_Profile!$D$20="Nasional"),100,IF(KOL_Database!$AE$15="",Lookup_Lists!$D$150,IF(KOL_Database!$AE$15=Brand_Profile!$D$20,100,IF(KOL_Database!$AD$15=Brand_Profile!$D$19,40,Lookup_Lists!$D$151))))*Lookup_Lists!$D$119+IF(OR(Brand_Profile!$D$21="",Brand_Profile!$D$21="Nasional"),100,IF(KOL_Database!$AF$15="",Lookup_Lists!$D$150,IF(KOL_Database!$AF$15=Brand_Profile!$D$21,100,IF(KOL_Database!$AE$15=Brand_Profile!$D$20,60,Lookup_Lists!$D$151))))*Lookup_Lists!$D$120)/(Lookup_Lists!$D$118+Lookup_Lists!$D$119+Lookup_Lists!$D$120),0)</f>
        <v>100</v>
      </c>
      <c r="R16" s="142">
        <f>IF(Brand_Profile!$D$68=0,Lookup_Lists!$D$150,ROUND((IF(Brand_Profile!$D$63="",0,IF(ISNUMBER(SEARCH(Brand_Profile!$D$63,KOL_Database!$AG$15)),1,0))+IF(Brand_Profile!$D$64="",0,IF(ISNUMBER(SEARCH(Brand_Profile!$D$64,KOL_Database!$AG$15)),1,0))+IF(Brand_Profile!$D$65="",0,IF(ISNUMBER(SEARCH(Brand_Profile!$D$65,KOL_Database!$AG$15)),1,0))+IF(Brand_Profile!$D$66="",0,IF(ISNUMBER(SEARCH(Brand_Profile!$D$66,KOL_Database!$AG$15)),1,0))+IF(Brand_Profile!$D$67="",0,IF(ISNUMBER(SEARCH(Brand_Profile!$D$67,KOL_Database!$AG$15)),1,0)))/Brand_Profile!$D$68*100,0))</f>
        <v>0</v>
      </c>
      <c r="S16" s="142">
        <f ca="1">ROUND((Matching_Engine!$O$16*Brand_Profile!$D$96+Matching_Engine!$P$16*Brand_Profile!$D$97+Matching_Engine!$Q$16*Brand_Profile!$D$98+Matching_Engine!$R$16*Brand_Profile!$D$99)/MAX(1,Brand_Profile!$D$96+Brand_Profile!$D$97+Brand_Profile!$D$98+Brand_Profile!$D$99),0)</f>
        <v>58</v>
      </c>
      <c r="T16" s="142">
        <f>IF(Brand_Profile!$D$33="",Lookup_Lists!$D$150,Matching_Engine!$BD$16)</f>
        <v>20</v>
      </c>
      <c r="U16" s="142">
        <f>IF(Brand_Profile!$D$34="",Lookup_Lists!$D$150,IF(Brand_Profile!$D$34=KOL_Database!$F$15,100,IF(Matching_Engine!$BE$16=KOL_Database!$E$15,75,IF(Matching_Engine!$BD$16&gt;=80,Lookup_Lists!$D$150,IF(Matching_Engine!$BD$16&gt;=60,35,Lookup_Lists!$D$151)))))</f>
        <v>20</v>
      </c>
      <c r="V16" s="142">
        <f>IF(Brand_Profile!$D$86=0,Lookup_Lists!$D$150,ROUND((IF(Brand_Profile!$D$81="",0,IF(ISNUMBER(SEARCH(Brand_Profile!$D$81,Matching_Engine!$BG$16)),1,0))+IF(Brand_Profile!$D$82="",0,IF(ISNUMBER(SEARCH(Brand_Profile!$D$82,Matching_Engine!$BG$16)),1,0))+IF(Brand_Profile!$D$83="",0,IF(ISNUMBER(SEARCH(Brand_Profile!$D$83,Matching_Engine!$BG$16)),1,0))+IF(Brand_Profile!$D$84="",0,IF(ISNUMBER(SEARCH(Brand_Profile!$D$84,Matching_Engine!$BG$16)),1,0))+IF(Brand_Profile!$D$85="",0,IF(ISNUMBER(SEARCH(Brand_Profile!$D$85,Matching_Engine!$BG$16)),1,0)))/Brand_Profile!$D$86*100,0))</f>
        <v>0</v>
      </c>
      <c r="W16" s="142">
        <f>IF(Brand_Profile!$D$39="",Lookup_Lists!$D$150,IFERROR(INDEX(Lookup_Lists!$B$237:$K$246,MATCH(Brand_Profile!$D$39,Lookup_Lists!$A$237:$A$246,0),MATCH(KOL_Database!$AJ$15,Lookup_Lists!$B$236:$K$236,0)),45))</f>
        <v>80</v>
      </c>
      <c r="X16" s="142">
        <f>ROUND((Matching_Engine!$T$16*Lookup_Lists!$D$121+Matching_Engine!$U$16*Lookup_Lists!$D$122+Matching_Engine!$V$16*Lookup_Lists!$D$123+Matching_Engine!$W$16*Lookup_Lists!$D$124)/(Lookup_Lists!$D$121+Lookup_Lists!$D$122+Lookup_Lists!$D$123+Lookup_Lists!$D$124),0)</f>
        <v>26</v>
      </c>
      <c r="Y16" s="142">
        <f>MIN(100,MAX(IFERROR(INDEX(Lookup_Lists!$B$202:$M$211,MATCH(Brand_Profile!$D$25,Lookup_Lists!$A$202:$A$211,0),MATCH(KOL_Database!$AK$15,Lookup_Lists!$B$201:$M$201,0)),40),IF(KOL_Database!$AK$15=Brand_Profile!$D$41,95,0)))</f>
        <v>70</v>
      </c>
      <c r="Z16" s="142">
        <f>IFERROR(INDEX(Lookup_Lists!$B$215:$K$222,MATCH(Brand_Profile!$D$27,Lookup_Lists!$A$215:$A$222,0),MATCH(KOL_Database!$AJ$15,Lookup_Lists!$B$214:$K$214,0)),45)</f>
        <v>85</v>
      </c>
      <c r="AA16" s="142">
        <f>ROUND((IF(Brand_Profile!$D$80=0,Lookup_Lists!$D$150,ROUND((IF(Brand_Profile!$D$75="",0,IF(ISNUMBER(SEARCH(Brand_Profile!$D$75,KOL_Database!$AL$15)),1,0))+IF(Brand_Profile!$D$76="",0,IF(ISNUMBER(SEARCH(Brand_Profile!$D$76,KOL_Database!$AL$15)),1,0))+IF(Brand_Profile!$D$77="",0,IF(ISNUMBER(SEARCH(Brand_Profile!$D$77,KOL_Database!$AL$15)),1,0))+IF(Brand_Profile!$D$78="",0,IF(ISNUMBER(SEARCH(Brand_Profile!$D$78,KOL_Database!$AL$15)),1,0))+IF(Brand_Profile!$D$79="",0,IF(ISNUMBER(SEARCH(Brand_Profile!$D$79,KOL_Database!$AL$15)),1,0)))/Brand_Profile!$D$80*100,0))+IF(Brand_Profile!$D$92=0,Lookup_Lists!$D$150,ROUND((IF(Brand_Profile!$D$87="",0,IF(ISNUMBER(SEARCH(Brand_Profile!$D$87,KOL_Database!$AL$15)),1,0))+IF(Brand_Profile!$D$88="",0,IF(ISNUMBER(SEARCH(Brand_Profile!$D$88,KOL_Database!$AL$15)),1,0))+IF(Brand_Profile!$D$89="",0,IF(ISNUMBER(SEARCH(Brand_Profile!$D$89,KOL_Database!$AL$15)),1,0))+IF(Brand_Profile!$D$90="",0,IF(ISNUMBER(SEARCH(Brand_Profile!$D$90,KOL_Database!$AL$15)),1,0))+IF(Brand_Profile!$D$91="",0,IF(ISNUMBER(SEARCH(Brand_Profile!$D$91,KOL_Database!$AL$15)),1,0)))/Brand_Profile!$D$92*100,0)))/2,0)</f>
        <v>40</v>
      </c>
      <c r="AB16" s="142">
        <f>IFERROR(INDEX(Lookup_Lists!$B$226:$K$233,MATCH(Brand_Profile!$D$30,Lookup_Lists!$A$226:$A$233,0),MATCH(KOL_Database!$AJ$15,Lookup_Lists!$B$225:$K$225,0)),45)</f>
        <v>80</v>
      </c>
      <c r="AC16" s="142">
        <f>ROUND((Matching_Engine!$Y$16*Lookup_Lists!$D$125+Matching_Engine!$Z$16*Lookup_Lists!$D$126+Matching_Engine!$AA$16*Lookup_Lists!$D$127+Matching_Engine!$AB$16*Lookup_Lists!$D$128)/(Lookup_Lists!$D$125+Lookup_Lists!$D$126+Lookup_Lists!$D$127+Lookup_Lists!$D$128),0)</f>
        <v>68</v>
      </c>
      <c r="AD16" s="142">
        <f>IF(KOL_Database!$K$15="",0,MIN(100,ROUND(KOL_Database!$K$15/Lookup_Lists!$D$141*100,0)))</f>
        <v>65</v>
      </c>
      <c r="AE16" s="142">
        <f>IF(KOL_Database!$R$15="",0,MIN(100,MAX(0,KOL_Database!$R$15)))</f>
        <v>61</v>
      </c>
      <c r="AF16" s="142">
        <f>IF(KOL_Database!$P$15="",0,MIN(100,MAX(0,KOL_Database!$P$15)))</f>
        <v>87</v>
      </c>
      <c r="AG16" s="142">
        <f>IF(KOL_Database!$Q$15="",0,MIN(100,MAX(0,KOL_Database!$Q$15)))</f>
        <v>79</v>
      </c>
      <c r="AH16" s="142">
        <f>IF(OR(KOL_Database!$J$15="",KOL_Database!$J$15=0,KOL_Database!$L$15=""),0,MIN(100,ROUND(KOL_Database!$L$15/KOL_Database!$J$15/Lookup_Lists!$D$144*100,0)))</f>
        <v>39</v>
      </c>
      <c r="AI16" s="142">
        <f>IF(KOL_Database!$N$15="",0,MIN(100,MAX(0,ROUND((KOL_Database!$N$15+2)/(Lookup_Lists!$D$145+2)*100,0))))</f>
        <v>40</v>
      </c>
      <c r="AJ16" s="142">
        <f>ROUND((Matching_Engine!$AD$16*Lookup_Lists!$D$129+Matching_Engine!$AE$16*Lookup_Lists!$D$130+Matching_Engine!$AF$16*Lookup_Lists!$D$131+Matching_Engine!$AG$16*Lookup_Lists!$D$132+Matching_Engine!$AH$16*Lookup_Lists!$D$133+Matching_Engine!$AI$16*Lookup_Lists!$D$134)/(Lookup_Lists!$D$129+Lookup_Lists!$D$130+Lookup_Lists!$D$131+Lookup_Lists!$D$132+Lookup_Lists!$D$133+Lookup_Lists!$D$134),0)</f>
        <v>66</v>
      </c>
      <c r="AK16" s="142">
        <f>IF(KOL_Database!$AT$15="",0,MIN(100,MAX(0,KOL_Database!$AT$15)))</f>
        <v>71</v>
      </c>
      <c r="AL16" s="142">
        <f>IF(KOL_Database!$AU$15="",0,KOL_Database!$AU$15)</f>
        <v>15</v>
      </c>
      <c r="AM16" s="89" t="str">
        <f>IF(KOL_Database!$AV$15="","None",KOL_Database!$AV$15)</f>
        <v>Low</v>
      </c>
      <c r="AN16" s="143">
        <f>IF(Matching_Engine!$AM$16="High",Lookup_Lists!$D$137,IF(Matching_Engine!$AM$16="Medium",Lookup_Lists!$D$138,IF(Matching_Engine!$AM$16="Low",Lookup_Lists!$D$139,Lookup_Lists!$D$140)))</f>
        <v>0.95</v>
      </c>
      <c r="AO16" s="142">
        <f>ROUND(MIN(100,MAX(0,(Matching_Engine!$AK$16*Lookup_Lists!$D$135+(100-Matching_Engine!$AL$16)*Lookup_Lists!$D$136)/(Lookup_Lists!$D$135+Lookup_Lists!$D$136)*Matching_Engine!$AN$16)),0)</f>
        <v>70</v>
      </c>
      <c r="AP16" s="13">
        <f ca="1">ROUND((Matching_Engine!$N$16*Lookup_Lists!$D$104+Matching_Engine!$S$16*Lookup_Lists!$D$105+Matching_Engine!$X$16*Lookup_Lists!$D$106+Matching_Engine!$AC$16*Lookup_Lists!$D$107+Matching_Engine!$AJ$16*Lookup_Lists!$D$108+Matching_Engine!$AO$16*Lookup_Lists!$D$109)/MAX(1,(Lookup_Lists!$D$104+Lookup_Lists!$D$105+Lookup_Lists!$D$106+Lookup_Lists!$D$107+Lookup_Lists!$D$108+Lookup_Lists!$D$109)),0)</f>
        <v>47</v>
      </c>
      <c r="AQ16" s="89" t="str">
        <f ca="1">IF(Matching_Engine!$AP$16&gt;=Lookup_Lists!$D$152,"Excellent Match",IF(Matching_Engine!$AP$16&gt;=Lookup_Lists!$D$153,"Strong Match",IF(Matching_Engine!$AP$16&gt;=Lookup_Lists!$D$154,"Good Match",IF(Matching_Engine!$AP$16&gt;=Lookup_Lists!$D$155,"Moderate Match","Low Match"))))</f>
        <v>Low Match</v>
      </c>
      <c r="AR16" s="142">
        <f>KOL_Database!$BE$15</f>
        <v>100</v>
      </c>
      <c r="AS16" s="89" t="str">
        <f>IF(Matching_Engine!$AR$16&gt;=Lookup_Lists!$D$159,"High",IF(Matching_Engine!$AR$16&gt;=Lookup_Lists!$D$160,"Medium","Limited Data"))</f>
        <v>High</v>
      </c>
      <c r="AT16" s="142">
        <f>ROUND((Matching_Engine!$N$16+Matching_Engine!$X$16+Matching_Engine!$AC$16)/3,0)</f>
        <v>39</v>
      </c>
      <c r="AU16" s="142">
        <f>ROUND(((100-Matching_Engine!$AL$16)*Lookup_Lists!$D$162+IF(KOL_Database!$BD$15="",Lookup_Lists!$D$150,KOL_Database!$BD$15)*Lookup_Lists!$D$163+Matching_Engine!$AI$16*Lookup_Lists!$D$164+Matching_Engine!$AD$16*Lookup_Lists!$D$165)/(Lookup_Lists!$D$162+Lookup_Lists!$D$163+Lookup_Lists!$D$164+Lookup_Lists!$D$165),0)</f>
        <v>56</v>
      </c>
      <c r="AV16" s="89" t="str">
        <f ca="1">IF(Matching_Engine!$AW$16="","PASS","EXCLUDED")</f>
        <v>EXCLUDED</v>
      </c>
      <c r="AW16" s="89" t="str">
        <f ca="1">IF(ISERROR(SEARCH(KOL_Database!$D$15,Brand_Profile!$D$32)),"Platform not in Preferred Platform",IF(AND(Brand_Profile!$D$36&gt;0,KOL_Database!$J$15&lt;Brand_Profile!$D$36),"Followers below Preferred Follower Range",IF(AND(Brand_Profile!$D$37&gt;0,KOL_Database!$J$15&gt;Brand_Profile!$D$37),"Followers above Preferred Follower Range",IF(AND(Brand_Profile!$D$38&gt;0,IF(KOL_Database!$K$15="",0,KOL_Database!$K$15)&lt;Brand_Profile!$D$38),"Engagement Rate below Minimum Engagement Rate",IF(ISERROR(SEARCH(KOL_Database!$G$15,Brand_Profile!$D$35)),"Tier not in Preferred Tier",IF(AND(Brand_Profile!$D$43&gt;0,Matching_Engine!$AE$16&lt;Brand_Profile!$D$43),"Audience Quality below Minimum Audience Quality",IF(AND(Brand_Profile!$D$44&gt;0,Matching_Engine!$AK$16&lt;Brand_Profile!$D$44),"Brand Safety below Minimum Brand Safety",IF(AND(Brand_Profile!$D$47="Yes",KOL_Database!$AD$15&lt;&gt;Brand_Profile!$D$19),"Audience Country does not match Target Country",IF(AND(Brand_Profile!$D$46="Yes",KOL_Database!$E$15&lt;&gt;Brand_Profile!$D$33),"Category is not the Preferred Category",IF(AND(Brand_Profile!$D$48&gt;0,Matching_Engine!$AL$16&gt;Brand_Profile!$D$48),"Competitor Saturation above Max Competitor Saturation",IF(AND(Brand_Profile!$D$50="Yes",KOL_Database!$AW$15="Yes"),"Already Selected",IF(AND(Brand_Profile!$D$51="Yes",KOL_Database!$AX$15="Yes"),"Already in Cart",IF(AND(Brand_Profile!$D$52="Yes",KOL_Database!$AY$15="Yes"),"Existing Partner",IF(AND(Brand_Profile!$D$53="Yes",KOL_Database!$AZ$15="Yes"),"Excluded Creator",IF(AND(Brand_Profile!$D$49&gt;0,Matching_Engine!$AP$16&lt;Brand_Profile!$D$49),"Brand Match below Minimum Brand Match","")))))))))))))))</f>
        <v>Audience Quality below Minimum Audience Quality</v>
      </c>
      <c r="AX16" s="89" t="str">
        <f ca="1">IF(Matching_Engine!$AV$16="EXCLUDED","Excluded",IF(Matching_Engine!$AP$16&gt;=Lookup_Lists!$D$156,"Highly Recommended",IF(Matching_Engine!$AP$16&gt;=Lookup_Lists!$D$157,"Recommended",IF(Matching_Engine!$AP$16&gt;=Lookup_Lists!$D$158,"Consider","Low Priority"))))</f>
        <v>Excluded</v>
      </c>
      <c r="AY16" s="142" t="str">
        <f ca="1">IF(Matching_Engine!$AV$16="PASS",Matching_Engine!$AP$16,"")</f>
        <v/>
      </c>
      <c r="AZ16" s="89" t="str">
        <f>Matching_Engine!$A$16&amp;"|"&amp;Matching_Engine!$C$16</f>
        <v>BRAND-A|KOL-11</v>
      </c>
      <c r="BA16" s="89" t="str">
        <f>IFERROR(INDEX(Lookup_Lists!$B$51:$B$92,MATCH(Brand_Profile!$D$12,Lookup_Lists!$A$51:$A$92,0)),"")</f>
        <v>Tech</v>
      </c>
      <c r="BB16" s="89" t="str">
        <f>IFERROR(INDEX(Lookup_Lists!$B$51:$B$92,MATCH(KOL_Database!$F$15,Lookup_Lists!$A$51:$A$92,0)),"")</f>
        <v>Fitness</v>
      </c>
      <c r="BC16" s="142">
        <f>IFERROR(INDEX(Lookup_Lists!$B$185:$O$198,MATCH(Matching_Engine!$BA$16,Lookup_Lists!$A$185:$A$198,0),MATCH(KOL_Database!$E$15,Lookup_Lists!$B$184:$O$184,0)),Lookup_Lists!$D$151)</f>
        <v>20</v>
      </c>
      <c r="BD16" s="142">
        <f>IFERROR(INDEX(Lookup_Lists!$B$185:$O$198,MATCH(Brand_Profile!$D$33,Lookup_Lists!$A$185:$A$198,0),MATCH(KOL_Database!$E$15,Lookup_Lists!$B$184:$O$184,0)),Lookup_Lists!$D$151)</f>
        <v>20</v>
      </c>
      <c r="BE16" s="89" t="str">
        <f>IFERROR(INDEX(Lookup_Lists!$B$51:$B$92,MATCH(Brand_Profile!$D$34,Lookup_Lists!$A$51:$A$92,0)),"")</f>
        <v>Tech</v>
      </c>
      <c r="BF16" s="89" t="str">
        <f>KOL_Database!$AI$15&amp;", "&amp;KOL_Database!$AG$15&amp;", "&amp;KOL_Database!$F$15&amp;", "&amp;KOL_Database!$E$15</f>
        <v>Fitness, Health, Food, Fitness, Health, Food, Fashion, Shopping, Gym &amp; Strength, Fitness</v>
      </c>
      <c r="BG16" s="89" t="str">
        <f>KOL_Database!$AI$15&amp;", "&amp;KOL_Database!$AG$15</f>
        <v>Fitness, Health, Food, Fitness, Health, Food, Fashion, Shopping</v>
      </c>
    </row>
    <row r="17" spans="1:59">
      <c r="A17" s="101" t="s">
        <v>113</v>
      </c>
      <c r="B17" s="89" t="str">
        <f>Brand_Profile!$D$9</f>
        <v>Nusatech Cloud</v>
      </c>
      <c r="C17" s="89" t="str">
        <f>KOL_Database!$A$16</f>
        <v>KOL-12</v>
      </c>
      <c r="D17" s="89" t="str">
        <f>KOL_Database!$B$16</f>
        <v>Rani Kusuma</v>
      </c>
      <c r="E17" s="89" t="str">
        <f>KOL_Database!$C$16</f>
        <v>@ranihomeworkout</v>
      </c>
      <c r="F17" s="89" t="str">
        <f>KOL_Database!$D$16</f>
        <v>TikTok</v>
      </c>
      <c r="G17" s="89" t="str">
        <f>KOL_Database!$E$16</f>
        <v>Fitness</v>
      </c>
      <c r="H17" s="89" t="str">
        <f>KOL_Database!$G$16</f>
        <v>Macro</v>
      </c>
      <c r="I17" s="140">
        <f>KOL_Database!$J$16</f>
        <v>305000</v>
      </c>
      <c r="J17" s="141">
        <f>KOL_Database!$K$16</f>
        <v>6.5</v>
      </c>
      <c r="K17" s="142">
        <f>IFERROR(INDEX(Lookup_Lists!$B$170:$O$181,MATCH(Brand_Profile!$D$10,Lookup_Lists!$A$170:$A$181,0),MATCH(KOL_Database!$E$16,Lookup_Lists!$B$169:$O$169,0)),Lookup_Lists!$D$151)</f>
        <v>40</v>
      </c>
      <c r="L17" s="142">
        <f>IF(KOL_Database!$F$16="",Matching_Engine!$BC$17,IF(Brand_Profile!$D$12=KOL_Database!$F$16,100,IF(Matching_Engine!$BA$17=KOL_Database!$E$16,80,IF(Matching_Engine!$BC$17&gt;=80,60,IF(Matching_Engine!$BC$17&gt;=60,40,Lookup_Lists!$D$151)))))</f>
        <v>20</v>
      </c>
      <c r="M17" s="142">
        <f>ROUND((IF(Brand_Profile!$D$62=0,Lookup_Lists!$D$150,ROUND((IF(Brand_Profile!$D$57="",0,IF(ISNUMBER(SEARCH(Brand_Profile!$D$57,Matching_Engine!$BF$17)),1,0))+IF(Brand_Profile!$D$58="",0,IF(ISNUMBER(SEARCH(Brand_Profile!$D$58,Matching_Engine!$BF$17)),1,0))+IF(Brand_Profile!$D$59="",0,IF(ISNUMBER(SEARCH(Brand_Profile!$D$59,Matching_Engine!$BF$17)),1,0))+IF(Brand_Profile!$D$60="",0,IF(ISNUMBER(SEARCH(Brand_Profile!$D$60,Matching_Engine!$BF$17)),1,0))+IF(Brand_Profile!$D$61="",0,IF(ISNUMBER(SEARCH(Brand_Profile!$D$61,Matching_Engine!$BF$17)),1,0)))/Brand_Profile!$D$62*100,0))+IF(Brand_Profile!$D$74=0,Lookup_Lists!$D$150,ROUND((IF(Brand_Profile!$D$69="",0,IF(ISNUMBER(SEARCH(Brand_Profile!$D$69,Matching_Engine!$BF$17)),1,0))+IF(Brand_Profile!$D$70="",0,IF(ISNUMBER(SEARCH(Brand_Profile!$D$70,Matching_Engine!$BF$17)),1,0))+IF(Brand_Profile!$D$71="",0,IF(ISNUMBER(SEARCH(Brand_Profile!$D$71,Matching_Engine!$BF$17)),1,0))+IF(Brand_Profile!$D$72="",0,IF(ISNUMBER(SEARCH(Brand_Profile!$D$72,Matching_Engine!$BF$17)),1,0))+IF(Brand_Profile!$D$73="",0,IF(ISNUMBER(SEARCH(Brand_Profile!$D$73,Matching_Engine!$BF$17)),1,0)))/Brand_Profile!$D$74*100,0)))/2,0)</f>
        <v>0</v>
      </c>
      <c r="N17" s="142">
        <f>ROUND((Matching_Engine!$K$17*Lookup_Lists!$D$110+Matching_Engine!$L$17*Lookup_Lists!$D$111+Matching_Engine!$M$17*Lookup_Lists!$D$112)/(Lookup_Lists!$D$110+Lookup_Lists!$D$111+Lookup_Lists!$D$112),0)</f>
        <v>22</v>
      </c>
      <c r="O17" s="142">
        <f ca="1">IF(Brand_Profile!$D$16="",Lookup_Lists!$D$150,MIN(100,ROUND((IFERROR(INDEX(KOL_Database!$W$16:KOL_Database!$AA$16,1,MATCH(Brand_Profile!$D$16,Lookup_Lists!$F$6:$F$10,0)),0)+0.5*IFERROR(INDEX(KOL_Database!$W$16:KOL_Database!$AA$16,1,MATCH(Brand_Profile!$D$17,Lookup_Lists!$F$6:$F$10,0)),0))/Lookup_Lists!$D$142*100,0)))</f>
        <v>100</v>
      </c>
      <c r="P17" s="142">
        <f>IF(OR(Brand_Profile!$D$18="",Brand_Profile!$D$18="Any"),100,IF(Brand_Profile!$D$18="Female",MIN(100,ROUND(KOL_Database!$AB$16/Lookup_Lists!$D$143*100,0)),IF(Brand_Profile!$D$18="Male",MIN(100,ROUND(KOL_Database!$AC$16/Lookup_Lists!$D$143*100,0)),MAX(0,ROUND(100-ABS(KOL_Database!$AB$16-50)*2,0)))))</f>
        <v>100</v>
      </c>
      <c r="Q17" s="142">
        <f>ROUND((IF(Brand_Profile!$D$19="",100,IF(KOL_Database!$AD$16=Brand_Profile!$D$19,100,Lookup_Lists!$D$151))*Lookup_Lists!$D$118+IF(OR(Brand_Profile!$D$20="",Brand_Profile!$D$20="Nasional"),100,IF(KOL_Database!$AE$16="",Lookup_Lists!$D$150,IF(KOL_Database!$AE$16=Brand_Profile!$D$20,100,IF(KOL_Database!$AD$16=Brand_Profile!$D$19,40,Lookup_Lists!$D$151))))*Lookup_Lists!$D$119+IF(OR(Brand_Profile!$D$21="",Brand_Profile!$D$21="Nasional"),100,IF(KOL_Database!$AF$16="",Lookup_Lists!$D$150,IF(KOL_Database!$AF$16=Brand_Profile!$D$21,100,IF(KOL_Database!$AE$16=Brand_Profile!$D$20,60,Lookup_Lists!$D$151))))*Lookup_Lists!$D$120)/(Lookup_Lists!$D$118+Lookup_Lists!$D$119+Lookup_Lists!$D$120),0)</f>
        <v>65</v>
      </c>
      <c r="R17" s="142">
        <f>IF(Brand_Profile!$D$68=0,Lookup_Lists!$D$150,ROUND((IF(Brand_Profile!$D$63="",0,IF(ISNUMBER(SEARCH(Brand_Profile!$D$63,KOL_Database!$AG$16)),1,0))+IF(Brand_Profile!$D$64="",0,IF(ISNUMBER(SEARCH(Brand_Profile!$D$64,KOL_Database!$AG$16)),1,0))+IF(Brand_Profile!$D$65="",0,IF(ISNUMBER(SEARCH(Brand_Profile!$D$65,KOL_Database!$AG$16)),1,0))+IF(Brand_Profile!$D$66="",0,IF(ISNUMBER(SEARCH(Brand_Profile!$D$66,KOL_Database!$AG$16)),1,0))+IF(Brand_Profile!$D$67="",0,IF(ISNUMBER(SEARCH(Brand_Profile!$D$67,KOL_Database!$AG$16)),1,0)))/Brand_Profile!$D$68*100,0))</f>
        <v>0</v>
      </c>
      <c r="S17" s="142">
        <f ca="1">ROUND((Matching_Engine!$O$17*Brand_Profile!$D$96+Matching_Engine!$P$17*Brand_Profile!$D$97+Matching_Engine!$Q$17*Brand_Profile!$D$98+Matching_Engine!$R$17*Brand_Profile!$D$99)/MAX(1,Brand_Profile!$D$96+Brand_Profile!$D$97+Brand_Profile!$D$98+Brand_Profile!$D$99),0)</f>
        <v>49</v>
      </c>
      <c r="T17" s="142">
        <f>IF(Brand_Profile!$D$33="",Lookup_Lists!$D$150,Matching_Engine!$BD$17)</f>
        <v>20</v>
      </c>
      <c r="U17" s="142">
        <f>IF(Brand_Profile!$D$34="",Lookup_Lists!$D$150,IF(Brand_Profile!$D$34=KOL_Database!$F$16,100,IF(Matching_Engine!$BE$17=KOL_Database!$E$16,75,IF(Matching_Engine!$BD$17&gt;=80,Lookup_Lists!$D$150,IF(Matching_Engine!$BD$17&gt;=60,35,Lookup_Lists!$D$151)))))</f>
        <v>20</v>
      </c>
      <c r="V17" s="142">
        <f>IF(Brand_Profile!$D$86=0,Lookup_Lists!$D$150,ROUND((IF(Brand_Profile!$D$81="",0,IF(ISNUMBER(SEARCH(Brand_Profile!$D$81,Matching_Engine!$BG$17)),1,0))+IF(Brand_Profile!$D$82="",0,IF(ISNUMBER(SEARCH(Brand_Profile!$D$82,Matching_Engine!$BG$17)),1,0))+IF(Brand_Profile!$D$83="",0,IF(ISNUMBER(SEARCH(Brand_Profile!$D$83,Matching_Engine!$BG$17)),1,0))+IF(Brand_Profile!$D$84="",0,IF(ISNUMBER(SEARCH(Brand_Profile!$D$84,Matching_Engine!$BG$17)),1,0))+IF(Brand_Profile!$D$85="",0,IF(ISNUMBER(SEARCH(Brand_Profile!$D$85,Matching_Engine!$BG$17)),1,0)))/Brand_Profile!$D$86*100,0))</f>
        <v>0</v>
      </c>
      <c r="W17" s="142">
        <f>IF(Brand_Profile!$D$39="",Lookup_Lists!$D$150,IFERROR(INDEX(Lookup_Lists!$B$237:$K$246,MATCH(Brand_Profile!$D$39,Lookup_Lists!$A$237:$A$246,0),MATCH(KOL_Database!$AJ$16,Lookup_Lists!$B$236:$K$236,0)),45))</f>
        <v>80</v>
      </c>
      <c r="X17" s="142">
        <f>ROUND((Matching_Engine!$T$17*Lookup_Lists!$D$121+Matching_Engine!$U$17*Lookup_Lists!$D$122+Matching_Engine!$V$17*Lookup_Lists!$D$123+Matching_Engine!$W$17*Lookup_Lists!$D$124)/(Lookup_Lists!$D$121+Lookup_Lists!$D$122+Lookup_Lists!$D$123+Lookup_Lists!$D$124),0)</f>
        <v>26</v>
      </c>
      <c r="Y17" s="142">
        <f>MIN(100,MAX(IFERROR(INDEX(Lookup_Lists!$B$202:$M$211,MATCH(Brand_Profile!$D$25,Lookup_Lists!$A$202:$A$211,0),MATCH(KOL_Database!$AK$16,Lookup_Lists!$B$201:$M$201,0)),40),IF(KOL_Database!$AK$16=Brand_Profile!$D$41,95,0)))</f>
        <v>70</v>
      </c>
      <c r="Z17" s="142">
        <f>IFERROR(INDEX(Lookup_Lists!$B$215:$K$222,MATCH(Brand_Profile!$D$27,Lookup_Lists!$A$215:$A$222,0),MATCH(KOL_Database!$AJ$16,Lookup_Lists!$B$214:$K$214,0)),45)</f>
        <v>95</v>
      </c>
      <c r="AA17" s="142">
        <f>ROUND((IF(Brand_Profile!$D$80=0,Lookup_Lists!$D$150,ROUND((IF(Brand_Profile!$D$75="",0,IF(ISNUMBER(SEARCH(Brand_Profile!$D$75,KOL_Database!$AL$16)),1,0))+IF(Brand_Profile!$D$76="",0,IF(ISNUMBER(SEARCH(Brand_Profile!$D$76,KOL_Database!$AL$16)),1,0))+IF(Brand_Profile!$D$77="",0,IF(ISNUMBER(SEARCH(Brand_Profile!$D$77,KOL_Database!$AL$16)),1,0))+IF(Brand_Profile!$D$78="",0,IF(ISNUMBER(SEARCH(Brand_Profile!$D$78,KOL_Database!$AL$16)),1,0))+IF(Brand_Profile!$D$79="",0,IF(ISNUMBER(SEARCH(Brand_Profile!$D$79,KOL_Database!$AL$16)),1,0)))/Brand_Profile!$D$80*100,0))+IF(Brand_Profile!$D$92=0,Lookup_Lists!$D$150,ROUND((IF(Brand_Profile!$D$87="",0,IF(ISNUMBER(SEARCH(Brand_Profile!$D$87,KOL_Database!$AL$16)),1,0))+IF(Brand_Profile!$D$88="",0,IF(ISNUMBER(SEARCH(Brand_Profile!$D$88,KOL_Database!$AL$16)),1,0))+IF(Brand_Profile!$D$89="",0,IF(ISNUMBER(SEARCH(Brand_Profile!$D$89,KOL_Database!$AL$16)),1,0))+IF(Brand_Profile!$D$90="",0,IF(ISNUMBER(SEARCH(Brand_Profile!$D$90,KOL_Database!$AL$16)),1,0))+IF(Brand_Profile!$D$91="",0,IF(ISNUMBER(SEARCH(Brand_Profile!$D$91,KOL_Database!$AL$16)),1,0)))/Brand_Profile!$D$92*100,0)))/2,0)</f>
        <v>20</v>
      </c>
      <c r="AB17" s="142">
        <f>IFERROR(INDEX(Lookup_Lists!$B$226:$K$233,MATCH(Brand_Profile!$D$30,Lookup_Lists!$A$226:$A$233,0),MATCH(KOL_Database!$AJ$16,Lookup_Lists!$B$225:$K$225,0)),45)</f>
        <v>95</v>
      </c>
      <c r="AC17" s="142">
        <f>ROUND((Matching_Engine!$Y$17*Lookup_Lists!$D$125+Matching_Engine!$Z$17*Lookup_Lists!$D$126+Matching_Engine!$AA$17*Lookup_Lists!$D$127+Matching_Engine!$AB$17*Lookup_Lists!$D$128)/(Lookup_Lists!$D$125+Lookup_Lists!$D$126+Lookup_Lists!$D$127+Lookup_Lists!$D$128),0)</f>
        <v>68</v>
      </c>
      <c r="AD17" s="142">
        <f>IF(KOL_Database!$K$16="",0,MIN(100,ROUND(KOL_Database!$K$16/Lookup_Lists!$D$141*100,0)))</f>
        <v>100</v>
      </c>
      <c r="AE17" s="142">
        <f>IF(KOL_Database!$R$16="",0,MIN(100,MAX(0,KOL_Database!$R$16)))</f>
        <v>80</v>
      </c>
      <c r="AF17" s="142">
        <f>IF(KOL_Database!$P$16="",0,MIN(100,MAX(0,KOL_Database!$P$16)))</f>
        <v>86</v>
      </c>
      <c r="AG17" s="142">
        <f>IF(KOL_Database!$Q$16="",0,MIN(100,MAX(0,KOL_Database!$Q$16)))</f>
        <v>88</v>
      </c>
      <c r="AH17" s="142">
        <f>IF(OR(KOL_Database!$J$16="",KOL_Database!$J$16=0,KOL_Database!$L$16=""),0,MIN(100,ROUND(KOL_Database!$L$16/KOL_Database!$J$16/Lookup_Lists!$D$144*100,0)))</f>
        <v>100</v>
      </c>
      <c r="AI17" s="142">
        <f>IF(KOL_Database!$N$16="",0,MIN(100,MAX(0,ROUND((KOL_Database!$N$16+2)/(Lookup_Lists!$D$145+2)*100,0))))</f>
        <v>47</v>
      </c>
      <c r="AJ17" s="142">
        <f>ROUND((Matching_Engine!$AD$17*Lookup_Lists!$D$129+Matching_Engine!$AE$17*Lookup_Lists!$D$130+Matching_Engine!$AF$17*Lookup_Lists!$D$131+Matching_Engine!$AG$17*Lookup_Lists!$D$132+Matching_Engine!$AH$17*Lookup_Lists!$D$133+Matching_Engine!$AI$17*Lookup_Lists!$D$134)/(Lookup_Lists!$D$129+Lookup_Lists!$D$130+Lookup_Lists!$D$131+Lookup_Lists!$D$132+Lookup_Lists!$D$133+Lookup_Lists!$D$134),0)</f>
        <v>89</v>
      </c>
      <c r="AK17" s="142">
        <f>IF(KOL_Database!$AT$16="",0,MIN(100,MAX(0,KOL_Database!$AT$16)))</f>
        <v>88</v>
      </c>
      <c r="AL17" s="142">
        <f>IF(KOL_Database!$AU$16="",0,KOL_Database!$AU$16)</f>
        <v>49</v>
      </c>
      <c r="AM17" s="89" t="str">
        <f>IF(KOL_Database!$AV$16="","None",KOL_Database!$AV$16)</f>
        <v>None</v>
      </c>
      <c r="AN17" s="143">
        <f>IF(Matching_Engine!$AM$17="High",Lookup_Lists!$D$137,IF(Matching_Engine!$AM$17="Medium",Lookup_Lists!$D$138,IF(Matching_Engine!$AM$17="Low",Lookup_Lists!$D$139,Lookup_Lists!$D$140)))</f>
        <v>1</v>
      </c>
      <c r="AO17" s="142">
        <f>ROUND(MIN(100,MAX(0,(Matching_Engine!$AK$17*Lookup_Lists!$D$135+(100-Matching_Engine!$AL$17)*Lookup_Lists!$D$136)/(Lookup_Lists!$D$135+Lookup_Lists!$D$136)*Matching_Engine!$AN$17)),0)</f>
        <v>81</v>
      </c>
      <c r="AP17" s="13">
        <f ca="1">ROUND((Matching_Engine!$N$17*Lookup_Lists!$D$104+Matching_Engine!$S$17*Lookup_Lists!$D$105+Matching_Engine!$X$17*Lookup_Lists!$D$106+Matching_Engine!$AC$17*Lookup_Lists!$D$107+Matching_Engine!$AJ$17*Lookup_Lists!$D$108+Matching_Engine!$AO$17*Lookup_Lists!$D$109)/MAX(1,(Lookup_Lists!$D$104+Lookup_Lists!$D$105+Lookup_Lists!$D$106+Lookup_Lists!$D$107+Lookup_Lists!$D$108+Lookup_Lists!$D$109)),0)</f>
        <v>48</v>
      </c>
      <c r="AQ17" s="89" t="str">
        <f ca="1">IF(Matching_Engine!$AP$17&gt;=Lookup_Lists!$D$152,"Excellent Match",IF(Matching_Engine!$AP$17&gt;=Lookup_Lists!$D$153,"Strong Match",IF(Matching_Engine!$AP$17&gt;=Lookup_Lists!$D$154,"Good Match",IF(Matching_Engine!$AP$17&gt;=Lookup_Lists!$D$155,"Moderate Match","Low Match"))))</f>
        <v>Low Match</v>
      </c>
      <c r="AR17" s="142">
        <f>KOL_Database!$BE$16</f>
        <v>100</v>
      </c>
      <c r="AS17" s="89" t="str">
        <f>IF(Matching_Engine!$AR$17&gt;=Lookup_Lists!$D$159,"High",IF(Matching_Engine!$AR$17&gt;=Lookup_Lists!$D$160,"Medium","Limited Data"))</f>
        <v>High</v>
      </c>
      <c r="AT17" s="142">
        <f>ROUND((Matching_Engine!$N$17+Matching_Engine!$X$17+Matching_Engine!$AC$17)/3,0)</f>
        <v>39</v>
      </c>
      <c r="AU17" s="142">
        <f>ROUND(((100-Matching_Engine!$AL$17)*Lookup_Lists!$D$162+IF(KOL_Database!$BD$16="",Lookup_Lists!$D$150,KOL_Database!$BD$16)*Lookup_Lists!$D$163+Matching_Engine!$AI$17*Lookup_Lists!$D$164+Matching_Engine!$AD$17*Lookup_Lists!$D$165)/(Lookup_Lists!$D$162+Lookup_Lists!$D$163+Lookup_Lists!$D$164+Lookup_Lists!$D$165),0)</f>
        <v>70</v>
      </c>
      <c r="AV17" s="89" t="str">
        <f ca="1">IF(Matching_Engine!$AW$17="","PASS","EXCLUDED")</f>
        <v>PASS</v>
      </c>
      <c r="AW17" s="89" t="str">
        <f ca="1">IF(ISERROR(SEARCH(KOL_Database!$D$16,Brand_Profile!$D$32)),"Platform not in Preferred Platform",IF(AND(Brand_Profile!$D$36&gt;0,KOL_Database!$J$16&lt;Brand_Profile!$D$36),"Followers below Preferred Follower Range",IF(AND(Brand_Profile!$D$37&gt;0,KOL_Database!$J$16&gt;Brand_Profile!$D$37),"Followers above Preferred Follower Range",IF(AND(Brand_Profile!$D$38&gt;0,IF(KOL_Database!$K$16="",0,KOL_Database!$K$16)&lt;Brand_Profile!$D$38),"Engagement Rate below Minimum Engagement Rate",IF(ISERROR(SEARCH(KOL_Database!$G$16,Brand_Profile!$D$35)),"Tier not in Preferred Tier",IF(AND(Brand_Profile!$D$43&gt;0,Matching_Engine!$AE$17&lt;Brand_Profile!$D$43),"Audience Quality below Minimum Audience Quality",IF(AND(Brand_Profile!$D$44&gt;0,Matching_Engine!$AK$17&lt;Brand_Profile!$D$44),"Brand Safety below Minimum Brand Safety",IF(AND(Brand_Profile!$D$47="Yes",KOL_Database!$AD$16&lt;&gt;Brand_Profile!$D$19),"Audience Country does not match Target Country",IF(AND(Brand_Profile!$D$46="Yes",KOL_Database!$E$16&lt;&gt;Brand_Profile!$D$33),"Category is not the Preferred Category",IF(AND(Brand_Profile!$D$48&gt;0,Matching_Engine!$AL$17&gt;Brand_Profile!$D$48),"Competitor Saturation above Max Competitor Saturation",IF(AND(Brand_Profile!$D$50="Yes",KOL_Database!$AW$16="Yes"),"Already Selected",IF(AND(Brand_Profile!$D$51="Yes",KOL_Database!$AX$16="Yes"),"Already in Cart",IF(AND(Brand_Profile!$D$52="Yes",KOL_Database!$AY$16="Yes"),"Existing Partner",IF(AND(Brand_Profile!$D$53="Yes",KOL_Database!$AZ$16="Yes"),"Excluded Creator",IF(AND(Brand_Profile!$D$49&gt;0,Matching_Engine!$AP$17&lt;Brand_Profile!$D$49),"Brand Match below Minimum Brand Match","")))))))))))))))</f>
        <v/>
      </c>
      <c r="AX17" s="89" t="str">
        <f ca="1">IF(Matching_Engine!$AV$17="EXCLUDED","Excluded",IF(Matching_Engine!$AP$17&gt;=Lookup_Lists!$D$156,"Highly Recommended",IF(Matching_Engine!$AP$17&gt;=Lookup_Lists!$D$157,"Recommended",IF(Matching_Engine!$AP$17&gt;=Lookup_Lists!$D$158,"Consider","Low Priority"))))</f>
        <v>Low Priority</v>
      </c>
      <c r="AY17" s="142">
        <f ca="1">IF(Matching_Engine!$AV$17="PASS",Matching_Engine!$AP$17,"")</f>
        <v>48</v>
      </c>
      <c r="AZ17" s="89" t="str">
        <f>Matching_Engine!$A$17&amp;"|"&amp;Matching_Engine!$C$17</f>
        <v>BRAND-A|KOL-12</v>
      </c>
      <c r="BA17" s="89" t="str">
        <f>IFERROR(INDEX(Lookup_Lists!$B$51:$B$92,MATCH(Brand_Profile!$D$12,Lookup_Lists!$A$51:$A$92,0)),"")</f>
        <v>Tech</v>
      </c>
      <c r="BB17" s="89" t="str">
        <f>IFERROR(INDEX(Lookup_Lists!$B$51:$B$92,MATCH(KOL_Database!$F$16,Lookup_Lists!$A$51:$A$92,0)),"")</f>
        <v>Fitness</v>
      </c>
      <c r="BC17" s="142">
        <f>IFERROR(INDEX(Lookup_Lists!$B$185:$O$198,MATCH(Matching_Engine!$BA$17,Lookup_Lists!$A$185:$A$198,0),MATCH(KOL_Database!$E$16,Lookup_Lists!$B$184:$O$184,0)),Lookup_Lists!$D$151)</f>
        <v>20</v>
      </c>
      <c r="BD17" s="142">
        <f>IFERROR(INDEX(Lookup_Lists!$B$185:$O$198,MATCH(Brand_Profile!$D$33,Lookup_Lists!$A$185:$A$198,0),MATCH(KOL_Database!$E$16,Lookup_Lists!$B$184:$O$184,0)),Lookup_Lists!$D$151)</f>
        <v>20</v>
      </c>
      <c r="BE17" s="89" t="str">
        <f>IFERROR(INDEX(Lookup_Lists!$B$51:$B$92,MATCH(Brand_Profile!$D$34,Lookup_Lists!$A$51:$A$92,0)),"")</f>
        <v>Tech</v>
      </c>
      <c r="BF17" s="89" t="str">
        <f>KOL_Database!$AI$16&amp;", "&amp;KOL_Database!$AG$16&amp;", "&amp;KOL_Database!$F$16&amp;", "&amp;KOL_Database!$E$16</f>
        <v>Fitness, Health, Food, Fitness, Health, Food, Beauty, Parenting, Home Workout, Fitness</v>
      </c>
      <c r="BG17" s="89" t="str">
        <f>KOL_Database!$AI$16&amp;", "&amp;KOL_Database!$AG$16</f>
        <v>Fitness, Health, Food, Fitness, Health, Food, Beauty, Parenting</v>
      </c>
    </row>
    <row r="18" spans="1:59">
      <c r="A18" s="101" t="s">
        <v>113</v>
      </c>
      <c r="B18" s="89" t="str">
        <f>Brand_Profile!$D$9</f>
        <v>Nusatech Cloud</v>
      </c>
      <c r="C18" s="89" t="str">
        <f>KOL_Database!$A$17</f>
        <v>KOL-13</v>
      </c>
      <c r="D18" s="89" t="str">
        <f>KOL_Database!$B$17</f>
        <v>Kevin Halim</v>
      </c>
      <c r="E18" s="89" t="str">
        <f>KOL_Database!$C$17</f>
        <v>@kevinstyleid</v>
      </c>
      <c r="F18" s="89" t="str">
        <f>KOL_Database!$D$17</f>
        <v>Instagram</v>
      </c>
      <c r="G18" s="89" t="str">
        <f>KOL_Database!$E$17</f>
        <v>Fashion</v>
      </c>
      <c r="H18" s="89" t="str">
        <f>KOL_Database!$G$17</f>
        <v>Mid-tier</v>
      </c>
      <c r="I18" s="140">
        <f>KOL_Database!$J$17</f>
        <v>96000</v>
      </c>
      <c r="J18" s="141">
        <f>KOL_Database!$K$17</f>
        <v>3.4</v>
      </c>
      <c r="K18" s="142">
        <f>IFERROR(INDEX(Lookup_Lists!$B$170:$O$181,MATCH(Brand_Profile!$D$10,Lookup_Lists!$A$170:$A$181,0),MATCH(KOL_Database!$E$17,Lookup_Lists!$B$169:$O$169,0)),Lookup_Lists!$D$151)</f>
        <v>20</v>
      </c>
      <c r="L18" s="142">
        <f>IF(KOL_Database!$F$17="",Matching_Engine!$BC$18,IF(Brand_Profile!$D$12=KOL_Database!$F$17,100,IF(Matching_Engine!$BA$18=KOL_Database!$E$17,80,IF(Matching_Engine!$BC$18&gt;=80,60,IF(Matching_Engine!$BC$18&gt;=60,40,Lookup_Lists!$D$151)))))</f>
        <v>20</v>
      </c>
      <c r="M18" s="142">
        <f>ROUND((IF(Brand_Profile!$D$62=0,Lookup_Lists!$D$150,ROUND((IF(Brand_Profile!$D$57="",0,IF(ISNUMBER(SEARCH(Brand_Profile!$D$57,Matching_Engine!$BF$18)),1,0))+IF(Brand_Profile!$D$58="",0,IF(ISNUMBER(SEARCH(Brand_Profile!$D$58,Matching_Engine!$BF$18)),1,0))+IF(Brand_Profile!$D$59="",0,IF(ISNUMBER(SEARCH(Brand_Profile!$D$59,Matching_Engine!$BF$18)),1,0))+IF(Brand_Profile!$D$60="",0,IF(ISNUMBER(SEARCH(Brand_Profile!$D$60,Matching_Engine!$BF$18)),1,0))+IF(Brand_Profile!$D$61="",0,IF(ISNUMBER(SEARCH(Brand_Profile!$D$61,Matching_Engine!$BF$18)),1,0)))/Brand_Profile!$D$62*100,0))+IF(Brand_Profile!$D$74=0,Lookup_Lists!$D$150,ROUND((IF(Brand_Profile!$D$69="",0,IF(ISNUMBER(SEARCH(Brand_Profile!$D$69,Matching_Engine!$BF$18)),1,0))+IF(Brand_Profile!$D$70="",0,IF(ISNUMBER(SEARCH(Brand_Profile!$D$70,Matching_Engine!$BF$18)),1,0))+IF(Brand_Profile!$D$71="",0,IF(ISNUMBER(SEARCH(Brand_Profile!$D$71,Matching_Engine!$BF$18)),1,0))+IF(Brand_Profile!$D$72="",0,IF(ISNUMBER(SEARCH(Brand_Profile!$D$72,Matching_Engine!$BF$18)),1,0))+IF(Brand_Profile!$D$73="",0,IF(ISNUMBER(SEARCH(Brand_Profile!$D$73,Matching_Engine!$BF$18)),1,0)))/Brand_Profile!$D$74*100,0)))/2,0)</f>
        <v>0</v>
      </c>
      <c r="N18" s="142">
        <f>ROUND((Matching_Engine!$K$18*Lookup_Lists!$D$110+Matching_Engine!$L$18*Lookup_Lists!$D$111+Matching_Engine!$M$18*Lookup_Lists!$D$112)/(Lookup_Lists!$D$110+Lookup_Lists!$D$111+Lookup_Lists!$D$112),0)</f>
        <v>14</v>
      </c>
      <c r="O18" s="142">
        <f ca="1">IF(Brand_Profile!$D$16="",Lookup_Lists!$D$150,MIN(100,ROUND((IFERROR(INDEX(KOL_Database!$W$17:KOL_Database!$AA$17,1,MATCH(Brand_Profile!$D$16,Lookup_Lists!$F$6:$F$10,0)),0)+0.5*IFERROR(INDEX(KOL_Database!$W$17:KOL_Database!$AA$17,1,MATCH(Brand_Profile!$D$17,Lookup_Lists!$F$6:$F$10,0)),0))/Lookup_Lists!$D$142*100,0)))</f>
        <v>100</v>
      </c>
      <c r="P18" s="142">
        <f>IF(OR(Brand_Profile!$D$18="",Brand_Profile!$D$18="Any"),100,IF(Brand_Profile!$D$18="Female",MIN(100,ROUND(KOL_Database!$AB$17/Lookup_Lists!$D$143*100,0)),IF(Brand_Profile!$D$18="Male",MIN(100,ROUND(KOL_Database!$AC$17/Lookup_Lists!$D$143*100,0)),MAX(0,ROUND(100-ABS(KOL_Database!$AB$17-50)*2,0)))))</f>
        <v>100</v>
      </c>
      <c r="Q18" s="142">
        <f>ROUND((IF(Brand_Profile!$D$19="",100,IF(KOL_Database!$AD$17=Brand_Profile!$D$19,100,Lookup_Lists!$D$151))*Lookup_Lists!$D$118+IF(OR(Brand_Profile!$D$20="",Brand_Profile!$D$20="Nasional"),100,IF(KOL_Database!$AE$17="",Lookup_Lists!$D$150,IF(KOL_Database!$AE$17=Brand_Profile!$D$20,100,IF(KOL_Database!$AD$17=Brand_Profile!$D$19,40,Lookup_Lists!$D$151))))*Lookup_Lists!$D$119+IF(OR(Brand_Profile!$D$21="",Brand_Profile!$D$21="Nasional"),100,IF(KOL_Database!$AF$17="",Lookup_Lists!$D$150,IF(KOL_Database!$AF$17=Brand_Profile!$D$21,100,IF(KOL_Database!$AE$17=Brand_Profile!$D$20,60,Lookup_Lists!$D$151))))*Lookup_Lists!$D$120)/(Lookup_Lists!$D$118+Lookup_Lists!$D$119+Lookup_Lists!$D$120),0)</f>
        <v>100</v>
      </c>
      <c r="R18" s="142">
        <f>IF(Brand_Profile!$D$68=0,Lookup_Lists!$D$150,ROUND((IF(Brand_Profile!$D$63="",0,IF(ISNUMBER(SEARCH(Brand_Profile!$D$63,KOL_Database!$AG$17)),1,0))+IF(Brand_Profile!$D$64="",0,IF(ISNUMBER(SEARCH(Brand_Profile!$D$64,KOL_Database!$AG$17)),1,0))+IF(Brand_Profile!$D$65="",0,IF(ISNUMBER(SEARCH(Brand_Profile!$D$65,KOL_Database!$AG$17)),1,0))+IF(Brand_Profile!$D$66="",0,IF(ISNUMBER(SEARCH(Brand_Profile!$D$66,KOL_Database!$AG$17)),1,0))+IF(Brand_Profile!$D$67="",0,IF(ISNUMBER(SEARCH(Brand_Profile!$D$67,KOL_Database!$AG$17)),1,0)))/Brand_Profile!$D$68*100,0))</f>
        <v>0</v>
      </c>
      <c r="S18" s="142">
        <f ca="1">ROUND((Matching_Engine!$O$18*Brand_Profile!$D$96+Matching_Engine!$P$18*Brand_Profile!$D$97+Matching_Engine!$Q$18*Brand_Profile!$D$98+Matching_Engine!$R$18*Brand_Profile!$D$99)/MAX(1,Brand_Profile!$D$96+Brand_Profile!$D$97+Brand_Profile!$D$98+Brand_Profile!$D$99),0)</f>
        <v>58</v>
      </c>
      <c r="T18" s="142">
        <f>IF(Brand_Profile!$D$33="",Lookup_Lists!$D$150,Matching_Engine!$BD$18)</f>
        <v>20</v>
      </c>
      <c r="U18" s="142">
        <f>IF(Brand_Profile!$D$34="",Lookup_Lists!$D$150,IF(Brand_Profile!$D$34=KOL_Database!$F$17,100,IF(Matching_Engine!$BE$18=KOL_Database!$E$17,75,IF(Matching_Engine!$BD$18&gt;=80,Lookup_Lists!$D$150,IF(Matching_Engine!$BD$18&gt;=60,35,Lookup_Lists!$D$151)))))</f>
        <v>20</v>
      </c>
      <c r="V18" s="142">
        <f>IF(Brand_Profile!$D$86=0,Lookup_Lists!$D$150,ROUND((IF(Brand_Profile!$D$81="",0,IF(ISNUMBER(SEARCH(Brand_Profile!$D$81,Matching_Engine!$BG$18)),1,0))+IF(Brand_Profile!$D$82="",0,IF(ISNUMBER(SEARCH(Brand_Profile!$D$82,Matching_Engine!$BG$18)),1,0))+IF(Brand_Profile!$D$83="",0,IF(ISNUMBER(SEARCH(Brand_Profile!$D$83,Matching_Engine!$BG$18)),1,0))+IF(Brand_Profile!$D$84="",0,IF(ISNUMBER(SEARCH(Brand_Profile!$D$84,Matching_Engine!$BG$18)),1,0))+IF(Brand_Profile!$D$85="",0,IF(ISNUMBER(SEARCH(Brand_Profile!$D$85,Matching_Engine!$BG$18)),1,0)))/Brand_Profile!$D$86*100,0))</f>
        <v>0</v>
      </c>
      <c r="W18" s="142">
        <f>IF(Brand_Profile!$D$39="",Lookup_Lists!$D$150,IFERROR(INDEX(Lookup_Lists!$B$237:$K$246,MATCH(Brand_Profile!$D$39,Lookup_Lists!$A$237:$A$246,0),MATCH(KOL_Database!$AJ$17,Lookup_Lists!$B$236:$K$236,0)),45))</f>
        <v>45</v>
      </c>
      <c r="X18" s="142">
        <f>ROUND((Matching_Engine!$T$18*Lookup_Lists!$D$121+Matching_Engine!$U$18*Lookup_Lists!$D$122+Matching_Engine!$V$18*Lookup_Lists!$D$123+Matching_Engine!$W$18*Lookup_Lists!$D$124)/(Lookup_Lists!$D$121+Lookup_Lists!$D$122+Lookup_Lists!$D$123+Lookup_Lists!$D$124),0)</f>
        <v>19</v>
      </c>
      <c r="Y18" s="142">
        <f>MIN(100,MAX(IFERROR(INDEX(Lookup_Lists!$B$202:$M$211,MATCH(Brand_Profile!$D$25,Lookup_Lists!$A$202:$A$211,0),MATCH(KOL_Database!$AK$17,Lookup_Lists!$B$201:$M$201,0)),40),IF(KOL_Database!$AK$17=Brand_Profile!$D$41,95,0)))</f>
        <v>95</v>
      </c>
      <c r="Z18" s="142">
        <f>IFERROR(INDEX(Lookup_Lists!$B$215:$K$222,MATCH(Brand_Profile!$D$27,Lookup_Lists!$A$215:$A$222,0),MATCH(KOL_Database!$AJ$17,Lookup_Lists!$B$214:$K$214,0)),45)</f>
        <v>50</v>
      </c>
      <c r="AA18" s="142">
        <f>ROUND((IF(Brand_Profile!$D$80=0,Lookup_Lists!$D$150,ROUND((IF(Brand_Profile!$D$75="",0,IF(ISNUMBER(SEARCH(Brand_Profile!$D$75,KOL_Database!$AL$17)),1,0))+IF(Brand_Profile!$D$76="",0,IF(ISNUMBER(SEARCH(Brand_Profile!$D$76,KOL_Database!$AL$17)),1,0))+IF(Brand_Profile!$D$77="",0,IF(ISNUMBER(SEARCH(Brand_Profile!$D$77,KOL_Database!$AL$17)),1,0))+IF(Brand_Profile!$D$78="",0,IF(ISNUMBER(SEARCH(Brand_Profile!$D$78,KOL_Database!$AL$17)),1,0))+IF(Brand_Profile!$D$79="",0,IF(ISNUMBER(SEARCH(Brand_Profile!$D$79,KOL_Database!$AL$17)),1,0)))/Brand_Profile!$D$80*100,0))+IF(Brand_Profile!$D$92=0,Lookup_Lists!$D$150,ROUND((IF(Brand_Profile!$D$87="",0,IF(ISNUMBER(SEARCH(Brand_Profile!$D$87,KOL_Database!$AL$17)),1,0))+IF(Brand_Profile!$D$88="",0,IF(ISNUMBER(SEARCH(Brand_Profile!$D$88,KOL_Database!$AL$17)),1,0))+IF(Brand_Profile!$D$89="",0,IF(ISNUMBER(SEARCH(Brand_Profile!$D$89,KOL_Database!$AL$17)),1,0))+IF(Brand_Profile!$D$90="",0,IF(ISNUMBER(SEARCH(Brand_Profile!$D$90,KOL_Database!$AL$17)),1,0))+IF(Brand_Profile!$D$91="",0,IF(ISNUMBER(SEARCH(Brand_Profile!$D$91,KOL_Database!$AL$17)),1,0)))/Brand_Profile!$D$92*100,0)))/2,0)</f>
        <v>20</v>
      </c>
      <c r="AB18" s="142">
        <f>IFERROR(INDEX(Lookup_Lists!$B$226:$K$233,MATCH(Brand_Profile!$D$30,Lookup_Lists!$A$226:$A$233,0),MATCH(KOL_Database!$AJ$17,Lookup_Lists!$B$225:$K$225,0)),45)</f>
        <v>45</v>
      </c>
      <c r="AC18" s="142">
        <f>ROUND((Matching_Engine!$Y$18*Lookup_Lists!$D$125+Matching_Engine!$Z$18*Lookup_Lists!$D$126+Matching_Engine!$AA$18*Lookup_Lists!$D$127+Matching_Engine!$AB$18*Lookup_Lists!$D$128)/(Lookup_Lists!$D$125+Lookup_Lists!$D$126+Lookup_Lists!$D$127+Lookup_Lists!$D$128),0)</f>
        <v>58</v>
      </c>
      <c r="AD18" s="142">
        <f>IF(KOL_Database!$K$17="",0,MIN(100,ROUND(KOL_Database!$K$17/Lookup_Lists!$D$141*100,0)))</f>
        <v>57</v>
      </c>
      <c r="AE18" s="142">
        <f>IF(KOL_Database!$R$17="",0,MIN(100,MAX(0,KOL_Database!$R$17)))</f>
        <v>86</v>
      </c>
      <c r="AF18" s="142">
        <f>IF(KOL_Database!$P$17="",0,MIN(100,MAX(0,KOL_Database!$P$17)))</f>
        <v>64</v>
      </c>
      <c r="AG18" s="142">
        <f>IF(KOL_Database!$Q$17="",0,MIN(100,MAX(0,KOL_Database!$Q$17)))</f>
        <v>64</v>
      </c>
      <c r="AH18" s="142">
        <f>IF(OR(KOL_Database!$J$17="",KOL_Database!$J$17=0,KOL_Database!$L$17=""),0,MIN(100,ROUND(KOL_Database!$L$17/KOL_Database!$J$17/Lookup_Lists!$D$144*100,0)))</f>
        <v>70</v>
      </c>
      <c r="AI18" s="142">
        <f>IF(KOL_Database!$N$17="",0,MIN(100,MAX(0,ROUND((KOL_Database!$N$17+2)/(Lookup_Lists!$D$145+2)*100,0))))</f>
        <v>75</v>
      </c>
      <c r="AJ18" s="142">
        <f>ROUND((Matching_Engine!$AD$18*Lookup_Lists!$D$129+Matching_Engine!$AE$18*Lookup_Lists!$D$130+Matching_Engine!$AF$18*Lookup_Lists!$D$131+Matching_Engine!$AG$18*Lookup_Lists!$D$132+Matching_Engine!$AH$18*Lookup_Lists!$D$133+Matching_Engine!$AI$18*Lookup_Lists!$D$134)/(Lookup_Lists!$D$129+Lookup_Lists!$D$130+Lookup_Lists!$D$131+Lookup_Lists!$D$132+Lookup_Lists!$D$133+Lookup_Lists!$D$134),0)</f>
        <v>67</v>
      </c>
      <c r="AK18" s="142">
        <f>IF(KOL_Database!$AT$17="",0,MIN(100,MAX(0,KOL_Database!$AT$17)))</f>
        <v>89</v>
      </c>
      <c r="AL18" s="142">
        <f>IF(KOL_Database!$AU$17="",0,KOL_Database!$AU$17)</f>
        <v>54</v>
      </c>
      <c r="AM18" s="89" t="str">
        <f>IF(KOL_Database!$AV$17="","None",KOL_Database!$AV$17)</f>
        <v>None</v>
      </c>
      <c r="AN18" s="143">
        <f>IF(Matching_Engine!$AM$18="High",Lookup_Lists!$D$137,IF(Matching_Engine!$AM$18="Medium",Lookup_Lists!$D$138,IF(Matching_Engine!$AM$18="Low",Lookup_Lists!$D$139,Lookup_Lists!$D$140)))</f>
        <v>1</v>
      </c>
      <c r="AO18" s="142">
        <f>ROUND(MIN(100,MAX(0,(Matching_Engine!$AK$18*Lookup_Lists!$D$135+(100-Matching_Engine!$AL$18)*Lookup_Lists!$D$136)/(Lookup_Lists!$D$135+Lookup_Lists!$D$136)*Matching_Engine!$AN$18)),0)</f>
        <v>80</v>
      </c>
      <c r="AP18" s="13">
        <f ca="1">ROUND((Matching_Engine!$N$18*Lookup_Lists!$D$104+Matching_Engine!$S$18*Lookup_Lists!$D$105+Matching_Engine!$X$18*Lookup_Lists!$D$106+Matching_Engine!$AC$18*Lookup_Lists!$D$107+Matching_Engine!$AJ$18*Lookup_Lists!$D$108+Matching_Engine!$AO$18*Lookup_Lists!$D$109)/MAX(1,(Lookup_Lists!$D$104+Lookup_Lists!$D$105+Lookup_Lists!$D$106+Lookup_Lists!$D$107+Lookup_Lists!$D$108+Lookup_Lists!$D$109)),0)</f>
        <v>45</v>
      </c>
      <c r="AQ18" s="89" t="str">
        <f ca="1">IF(Matching_Engine!$AP$18&gt;=Lookup_Lists!$D$152,"Excellent Match",IF(Matching_Engine!$AP$18&gt;=Lookup_Lists!$D$153,"Strong Match",IF(Matching_Engine!$AP$18&gt;=Lookup_Lists!$D$154,"Good Match",IF(Matching_Engine!$AP$18&gt;=Lookup_Lists!$D$155,"Moderate Match","Low Match"))))</f>
        <v>Low Match</v>
      </c>
      <c r="AR18" s="142">
        <f>KOL_Database!$BE$17</f>
        <v>100</v>
      </c>
      <c r="AS18" s="89" t="str">
        <f>IF(Matching_Engine!$AR$18&gt;=Lookup_Lists!$D$159,"High",IF(Matching_Engine!$AR$18&gt;=Lookup_Lists!$D$160,"Medium","Limited Data"))</f>
        <v>High</v>
      </c>
      <c r="AT18" s="142">
        <f>ROUND((Matching_Engine!$N$18+Matching_Engine!$X$18+Matching_Engine!$AC$18)/3,0)</f>
        <v>30</v>
      </c>
      <c r="AU18" s="142">
        <f>ROUND(((100-Matching_Engine!$AL$18)*Lookup_Lists!$D$162+IF(KOL_Database!$BD$17="",Lookup_Lists!$D$150,KOL_Database!$BD$17)*Lookup_Lists!$D$163+Matching_Engine!$AI$18*Lookup_Lists!$D$164+Matching_Engine!$AD$18*Lookup_Lists!$D$165)/(Lookup_Lists!$D$162+Lookup_Lists!$D$163+Lookup_Lists!$D$164+Lookup_Lists!$D$165),0)</f>
        <v>51</v>
      </c>
      <c r="AV18" s="89" t="str">
        <f ca="1">IF(Matching_Engine!$AW$18="","PASS","EXCLUDED")</f>
        <v>PASS</v>
      </c>
      <c r="AW18" s="89" t="str">
        <f ca="1">IF(ISERROR(SEARCH(KOL_Database!$D$17,Brand_Profile!$D$32)),"Platform not in Preferred Platform",IF(AND(Brand_Profile!$D$36&gt;0,KOL_Database!$J$17&lt;Brand_Profile!$D$36),"Followers below Preferred Follower Range",IF(AND(Brand_Profile!$D$37&gt;0,KOL_Database!$J$17&gt;Brand_Profile!$D$37),"Followers above Preferred Follower Range",IF(AND(Brand_Profile!$D$38&gt;0,IF(KOL_Database!$K$17="",0,KOL_Database!$K$17)&lt;Brand_Profile!$D$38),"Engagement Rate below Minimum Engagement Rate",IF(ISERROR(SEARCH(KOL_Database!$G$17,Brand_Profile!$D$35)),"Tier not in Preferred Tier",IF(AND(Brand_Profile!$D$43&gt;0,Matching_Engine!$AE$18&lt;Brand_Profile!$D$43),"Audience Quality below Minimum Audience Quality",IF(AND(Brand_Profile!$D$44&gt;0,Matching_Engine!$AK$18&lt;Brand_Profile!$D$44),"Brand Safety below Minimum Brand Safety",IF(AND(Brand_Profile!$D$47="Yes",KOL_Database!$AD$17&lt;&gt;Brand_Profile!$D$19),"Audience Country does not match Target Country",IF(AND(Brand_Profile!$D$46="Yes",KOL_Database!$E$17&lt;&gt;Brand_Profile!$D$33),"Category is not the Preferred Category",IF(AND(Brand_Profile!$D$48&gt;0,Matching_Engine!$AL$18&gt;Brand_Profile!$D$48),"Competitor Saturation above Max Competitor Saturation",IF(AND(Brand_Profile!$D$50="Yes",KOL_Database!$AW$17="Yes"),"Already Selected",IF(AND(Brand_Profile!$D$51="Yes",KOL_Database!$AX$17="Yes"),"Already in Cart",IF(AND(Brand_Profile!$D$52="Yes",KOL_Database!$AY$17="Yes"),"Existing Partner",IF(AND(Brand_Profile!$D$53="Yes",KOL_Database!$AZ$17="Yes"),"Excluded Creator",IF(AND(Brand_Profile!$D$49&gt;0,Matching_Engine!$AP$18&lt;Brand_Profile!$D$49),"Brand Match below Minimum Brand Match","")))))))))))))))</f>
        <v/>
      </c>
      <c r="AX18" s="89" t="str">
        <f ca="1">IF(Matching_Engine!$AV$18="EXCLUDED","Excluded",IF(Matching_Engine!$AP$18&gt;=Lookup_Lists!$D$156,"Highly Recommended",IF(Matching_Engine!$AP$18&gt;=Lookup_Lists!$D$157,"Recommended",IF(Matching_Engine!$AP$18&gt;=Lookup_Lists!$D$158,"Consider","Low Priority"))))</f>
        <v>Low Priority</v>
      </c>
      <c r="AY18" s="142">
        <f ca="1">IF(Matching_Engine!$AV$18="PASS",Matching_Engine!$AP$18,"")</f>
        <v>45</v>
      </c>
      <c r="AZ18" s="89" t="str">
        <f>Matching_Engine!$A$18&amp;"|"&amp;Matching_Engine!$C$18</f>
        <v>BRAND-A|KOL-13</v>
      </c>
      <c r="BA18" s="89" t="str">
        <f>IFERROR(INDEX(Lookup_Lists!$B$51:$B$92,MATCH(Brand_Profile!$D$12,Lookup_Lists!$A$51:$A$92,0)),"")</f>
        <v>Tech</v>
      </c>
      <c r="BB18" s="89" t="str">
        <f>IFERROR(INDEX(Lookup_Lists!$B$51:$B$92,MATCH(KOL_Database!$F$17,Lookup_Lists!$A$51:$A$92,0)),"")</f>
        <v>Fashion</v>
      </c>
      <c r="BC18" s="142">
        <f>IFERROR(INDEX(Lookup_Lists!$B$185:$O$198,MATCH(Matching_Engine!$BA$18,Lookup_Lists!$A$185:$A$198,0),MATCH(KOL_Database!$E$17,Lookup_Lists!$B$184:$O$184,0)),Lookup_Lists!$D$151)</f>
        <v>20</v>
      </c>
      <c r="BD18" s="142">
        <f>IFERROR(INDEX(Lookup_Lists!$B$185:$O$198,MATCH(Brand_Profile!$D$33,Lookup_Lists!$A$185:$A$198,0),MATCH(KOL_Database!$E$17,Lookup_Lists!$B$184:$O$184,0)),Lookup_Lists!$D$151)</f>
        <v>20</v>
      </c>
      <c r="BE18" s="89" t="str">
        <f>IFERROR(INDEX(Lookup_Lists!$B$51:$B$92,MATCH(Brand_Profile!$D$34,Lookup_Lists!$A$51:$A$92,0)),"")</f>
        <v>Tech</v>
      </c>
      <c r="BF18" s="89" t="str">
        <f>KOL_Database!$AI$17&amp;", "&amp;KOL_Database!$AG$17&amp;", "&amp;KOL_Database!$F$17&amp;", "&amp;KOL_Database!$E$17</f>
        <v>Fashion, Shopping, Music, Fashion, Shopping, Music, Entertainment, Beauty, Streetwear, Fashion</v>
      </c>
      <c r="BG18" s="89" t="str">
        <f>KOL_Database!$AI$17&amp;", "&amp;KOL_Database!$AG$17</f>
        <v>Fashion, Shopping, Music, Fashion, Shopping, Music, Entertainment, Beauty</v>
      </c>
    </row>
    <row r="19" spans="1:59">
      <c r="A19" s="101" t="s">
        <v>113</v>
      </c>
      <c r="B19" s="89" t="str">
        <f>Brand_Profile!$D$9</f>
        <v>Nusatech Cloud</v>
      </c>
      <c r="C19" s="89" t="str">
        <f>KOL_Database!$A$18</f>
        <v>KOL-14</v>
      </c>
      <c r="D19" s="89" t="str">
        <f>KOL_Database!$B$18</f>
        <v>Zahra Amelia</v>
      </c>
      <c r="E19" s="89" t="str">
        <f>KOL_Database!$C$18</f>
        <v>@zahrahijabstyle</v>
      </c>
      <c r="F19" s="89" t="str">
        <f>KOL_Database!$D$18</f>
        <v>Instagram</v>
      </c>
      <c r="G19" s="89" t="str">
        <f>KOL_Database!$E$18</f>
        <v>Fashion</v>
      </c>
      <c r="H19" s="89" t="str">
        <f>KOL_Database!$G$18</f>
        <v>Macro</v>
      </c>
      <c r="I19" s="140">
        <f>KOL_Database!$J$18</f>
        <v>268000</v>
      </c>
      <c r="J19" s="141">
        <f>KOL_Database!$K$18</f>
        <v>4.7</v>
      </c>
      <c r="K19" s="142">
        <f>IFERROR(INDEX(Lookup_Lists!$B$170:$O$181,MATCH(Brand_Profile!$D$10,Lookup_Lists!$A$170:$A$181,0),MATCH(KOL_Database!$E$18,Lookup_Lists!$B$169:$O$169,0)),Lookup_Lists!$D$151)</f>
        <v>20</v>
      </c>
      <c r="L19" s="142">
        <f>IF(KOL_Database!$F$18="",Matching_Engine!$BC$19,IF(Brand_Profile!$D$12=KOL_Database!$F$18,100,IF(Matching_Engine!$BA$19=KOL_Database!$E$18,80,IF(Matching_Engine!$BC$19&gt;=80,60,IF(Matching_Engine!$BC$19&gt;=60,40,Lookup_Lists!$D$151)))))</f>
        <v>20</v>
      </c>
      <c r="M19" s="142">
        <f>ROUND((IF(Brand_Profile!$D$62=0,Lookup_Lists!$D$150,ROUND((IF(Brand_Profile!$D$57="",0,IF(ISNUMBER(SEARCH(Brand_Profile!$D$57,Matching_Engine!$BF$19)),1,0))+IF(Brand_Profile!$D$58="",0,IF(ISNUMBER(SEARCH(Brand_Profile!$D$58,Matching_Engine!$BF$19)),1,0))+IF(Brand_Profile!$D$59="",0,IF(ISNUMBER(SEARCH(Brand_Profile!$D$59,Matching_Engine!$BF$19)),1,0))+IF(Brand_Profile!$D$60="",0,IF(ISNUMBER(SEARCH(Brand_Profile!$D$60,Matching_Engine!$BF$19)),1,0))+IF(Brand_Profile!$D$61="",0,IF(ISNUMBER(SEARCH(Brand_Profile!$D$61,Matching_Engine!$BF$19)),1,0)))/Brand_Profile!$D$62*100,0))+IF(Brand_Profile!$D$74=0,Lookup_Lists!$D$150,ROUND((IF(Brand_Profile!$D$69="",0,IF(ISNUMBER(SEARCH(Brand_Profile!$D$69,Matching_Engine!$BF$19)),1,0))+IF(Brand_Profile!$D$70="",0,IF(ISNUMBER(SEARCH(Brand_Profile!$D$70,Matching_Engine!$BF$19)),1,0))+IF(Brand_Profile!$D$71="",0,IF(ISNUMBER(SEARCH(Brand_Profile!$D$71,Matching_Engine!$BF$19)),1,0))+IF(Brand_Profile!$D$72="",0,IF(ISNUMBER(SEARCH(Brand_Profile!$D$72,Matching_Engine!$BF$19)),1,0))+IF(Brand_Profile!$D$73="",0,IF(ISNUMBER(SEARCH(Brand_Profile!$D$73,Matching_Engine!$BF$19)),1,0)))/Brand_Profile!$D$74*100,0)))/2,0)</f>
        <v>0</v>
      </c>
      <c r="N19" s="142">
        <f>ROUND((Matching_Engine!$K$19*Lookup_Lists!$D$110+Matching_Engine!$L$19*Lookup_Lists!$D$111+Matching_Engine!$M$19*Lookup_Lists!$D$112)/(Lookup_Lists!$D$110+Lookup_Lists!$D$111+Lookup_Lists!$D$112),0)</f>
        <v>14</v>
      </c>
      <c r="O19" s="142">
        <f ca="1">IF(Brand_Profile!$D$16="",Lookup_Lists!$D$150,MIN(100,ROUND((IFERROR(INDEX(KOL_Database!$W$18:KOL_Database!$AA$18,1,MATCH(Brand_Profile!$D$16,Lookup_Lists!$F$6:$F$10,0)),0)+0.5*IFERROR(INDEX(KOL_Database!$W$18:KOL_Database!$AA$18,1,MATCH(Brand_Profile!$D$17,Lookup_Lists!$F$6:$F$10,0)),0))/Lookup_Lists!$D$142*100,0)))</f>
        <v>100</v>
      </c>
      <c r="P19" s="142">
        <f>IF(OR(Brand_Profile!$D$18="",Brand_Profile!$D$18="Any"),100,IF(Brand_Profile!$D$18="Female",MIN(100,ROUND(KOL_Database!$AB$18/Lookup_Lists!$D$143*100,0)),IF(Brand_Profile!$D$18="Male",MIN(100,ROUND(KOL_Database!$AC$18/Lookup_Lists!$D$143*100,0)),MAX(0,ROUND(100-ABS(KOL_Database!$AB$18-50)*2,0)))))</f>
        <v>100</v>
      </c>
      <c r="Q19" s="142">
        <f>ROUND((IF(Brand_Profile!$D$19="",100,IF(KOL_Database!$AD$18=Brand_Profile!$D$19,100,Lookup_Lists!$D$151))*Lookup_Lists!$D$118+IF(OR(Brand_Profile!$D$20="",Brand_Profile!$D$20="Nasional"),100,IF(KOL_Database!$AE$18="",Lookup_Lists!$D$150,IF(KOL_Database!$AE$18=Brand_Profile!$D$20,100,IF(KOL_Database!$AD$18=Brand_Profile!$D$19,40,Lookup_Lists!$D$151))))*Lookup_Lists!$D$119+IF(OR(Brand_Profile!$D$21="",Brand_Profile!$D$21="Nasional"),100,IF(KOL_Database!$AF$18="",Lookup_Lists!$D$150,IF(KOL_Database!$AF$18=Brand_Profile!$D$21,100,IF(KOL_Database!$AE$18=Brand_Profile!$D$20,60,Lookup_Lists!$D$151))))*Lookup_Lists!$D$120)/(Lookup_Lists!$D$118+Lookup_Lists!$D$119+Lookup_Lists!$D$120),0)</f>
        <v>65</v>
      </c>
      <c r="R19" s="142">
        <f>IF(Brand_Profile!$D$68=0,Lookup_Lists!$D$150,ROUND((IF(Brand_Profile!$D$63="",0,IF(ISNUMBER(SEARCH(Brand_Profile!$D$63,KOL_Database!$AG$18)),1,0))+IF(Brand_Profile!$D$64="",0,IF(ISNUMBER(SEARCH(Brand_Profile!$D$64,KOL_Database!$AG$18)),1,0))+IF(Brand_Profile!$D$65="",0,IF(ISNUMBER(SEARCH(Brand_Profile!$D$65,KOL_Database!$AG$18)),1,0))+IF(Brand_Profile!$D$66="",0,IF(ISNUMBER(SEARCH(Brand_Profile!$D$66,KOL_Database!$AG$18)),1,0))+IF(Brand_Profile!$D$67="",0,IF(ISNUMBER(SEARCH(Brand_Profile!$D$67,KOL_Database!$AG$18)),1,0)))/Brand_Profile!$D$68*100,0))</f>
        <v>0</v>
      </c>
      <c r="S19" s="142">
        <f ca="1">ROUND((Matching_Engine!$O$19*Brand_Profile!$D$96+Matching_Engine!$P$19*Brand_Profile!$D$97+Matching_Engine!$Q$19*Brand_Profile!$D$98+Matching_Engine!$R$19*Brand_Profile!$D$99)/MAX(1,Brand_Profile!$D$96+Brand_Profile!$D$97+Brand_Profile!$D$98+Brand_Profile!$D$99),0)</f>
        <v>49</v>
      </c>
      <c r="T19" s="142">
        <f>IF(Brand_Profile!$D$33="",Lookup_Lists!$D$150,Matching_Engine!$BD$19)</f>
        <v>20</v>
      </c>
      <c r="U19" s="142">
        <f>IF(Brand_Profile!$D$34="",Lookup_Lists!$D$150,IF(Brand_Profile!$D$34=KOL_Database!$F$18,100,IF(Matching_Engine!$BE$19=KOL_Database!$E$18,75,IF(Matching_Engine!$BD$19&gt;=80,Lookup_Lists!$D$150,IF(Matching_Engine!$BD$19&gt;=60,35,Lookup_Lists!$D$151)))))</f>
        <v>20</v>
      </c>
      <c r="V19" s="142">
        <f>IF(Brand_Profile!$D$86=0,Lookup_Lists!$D$150,ROUND((IF(Brand_Profile!$D$81="",0,IF(ISNUMBER(SEARCH(Brand_Profile!$D$81,Matching_Engine!$BG$19)),1,0))+IF(Brand_Profile!$D$82="",0,IF(ISNUMBER(SEARCH(Brand_Profile!$D$82,Matching_Engine!$BG$19)),1,0))+IF(Brand_Profile!$D$83="",0,IF(ISNUMBER(SEARCH(Brand_Profile!$D$83,Matching_Engine!$BG$19)),1,0))+IF(Brand_Profile!$D$84="",0,IF(ISNUMBER(SEARCH(Brand_Profile!$D$84,Matching_Engine!$BG$19)),1,0))+IF(Brand_Profile!$D$85="",0,IF(ISNUMBER(SEARCH(Brand_Profile!$D$85,Matching_Engine!$BG$19)),1,0)))/Brand_Profile!$D$86*100,0))</f>
        <v>0</v>
      </c>
      <c r="W19" s="142">
        <f>IF(Brand_Profile!$D$39="",Lookup_Lists!$D$150,IFERROR(INDEX(Lookup_Lists!$B$237:$K$246,MATCH(Brand_Profile!$D$39,Lookup_Lists!$A$237:$A$246,0),MATCH(KOL_Database!$AJ$18,Lookup_Lists!$B$236:$K$236,0)),45))</f>
        <v>45</v>
      </c>
      <c r="X19" s="142">
        <f>ROUND((Matching_Engine!$T$19*Lookup_Lists!$D$121+Matching_Engine!$U$19*Lookup_Lists!$D$122+Matching_Engine!$V$19*Lookup_Lists!$D$123+Matching_Engine!$W$19*Lookup_Lists!$D$124)/(Lookup_Lists!$D$121+Lookup_Lists!$D$122+Lookup_Lists!$D$123+Lookup_Lists!$D$124),0)</f>
        <v>19</v>
      </c>
      <c r="Y19" s="142">
        <f>MIN(100,MAX(IFERROR(INDEX(Lookup_Lists!$B$202:$M$211,MATCH(Brand_Profile!$D$25,Lookup_Lists!$A$202:$A$211,0),MATCH(KOL_Database!$AK$18,Lookup_Lists!$B$201:$M$201,0)),40),IF(KOL_Database!$AK$18=Brand_Profile!$D$41,95,0)))</f>
        <v>60</v>
      </c>
      <c r="Z19" s="142">
        <f>IFERROR(INDEX(Lookup_Lists!$B$215:$K$222,MATCH(Brand_Profile!$D$27,Lookup_Lists!$A$215:$A$222,0),MATCH(KOL_Database!$AJ$18,Lookup_Lists!$B$214:$K$214,0)),45)</f>
        <v>50</v>
      </c>
      <c r="AA19" s="142">
        <f>ROUND((IF(Brand_Profile!$D$80=0,Lookup_Lists!$D$150,ROUND((IF(Brand_Profile!$D$75="",0,IF(ISNUMBER(SEARCH(Brand_Profile!$D$75,KOL_Database!$AL$18)),1,0))+IF(Brand_Profile!$D$76="",0,IF(ISNUMBER(SEARCH(Brand_Profile!$D$76,KOL_Database!$AL$18)),1,0))+IF(Brand_Profile!$D$77="",0,IF(ISNUMBER(SEARCH(Brand_Profile!$D$77,KOL_Database!$AL$18)),1,0))+IF(Brand_Profile!$D$78="",0,IF(ISNUMBER(SEARCH(Brand_Profile!$D$78,KOL_Database!$AL$18)),1,0))+IF(Brand_Profile!$D$79="",0,IF(ISNUMBER(SEARCH(Brand_Profile!$D$79,KOL_Database!$AL$18)),1,0)))/Brand_Profile!$D$80*100,0))+IF(Brand_Profile!$D$92=0,Lookup_Lists!$D$150,ROUND((IF(Brand_Profile!$D$87="",0,IF(ISNUMBER(SEARCH(Brand_Profile!$D$87,KOL_Database!$AL$18)),1,0))+IF(Brand_Profile!$D$88="",0,IF(ISNUMBER(SEARCH(Brand_Profile!$D$88,KOL_Database!$AL$18)),1,0))+IF(Brand_Profile!$D$89="",0,IF(ISNUMBER(SEARCH(Brand_Profile!$D$89,KOL_Database!$AL$18)),1,0))+IF(Brand_Profile!$D$90="",0,IF(ISNUMBER(SEARCH(Brand_Profile!$D$90,KOL_Database!$AL$18)),1,0))+IF(Brand_Profile!$D$91="",0,IF(ISNUMBER(SEARCH(Brand_Profile!$D$91,KOL_Database!$AL$18)),1,0)))/Brand_Profile!$D$92*100,0)))/2,0)</f>
        <v>40</v>
      </c>
      <c r="AB19" s="142">
        <f>IFERROR(INDEX(Lookup_Lists!$B$226:$K$233,MATCH(Brand_Profile!$D$30,Lookup_Lists!$A$226:$A$233,0),MATCH(KOL_Database!$AJ$18,Lookup_Lists!$B$225:$K$225,0)),45)</f>
        <v>45</v>
      </c>
      <c r="AC19" s="142">
        <f>ROUND((Matching_Engine!$Y$19*Lookup_Lists!$D$125+Matching_Engine!$Z$19*Lookup_Lists!$D$126+Matching_Engine!$AA$19*Lookup_Lists!$D$127+Matching_Engine!$AB$19*Lookup_Lists!$D$128)/(Lookup_Lists!$D$125+Lookup_Lists!$D$126+Lookup_Lists!$D$127+Lookup_Lists!$D$128),0)</f>
        <v>50</v>
      </c>
      <c r="AD19" s="142">
        <f>IF(KOL_Database!$K$18="",0,MIN(100,ROUND(KOL_Database!$K$18/Lookup_Lists!$D$141*100,0)))</f>
        <v>78</v>
      </c>
      <c r="AE19" s="142">
        <f>IF(KOL_Database!$R$18="",0,MIN(100,MAX(0,KOL_Database!$R$18)))</f>
        <v>62</v>
      </c>
      <c r="AF19" s="142">
        <f>IF(KOL_Database!$P$18="",0,MIN(100,MAX(0,KOL_Database!$P$18)))</f>
        <v>93</v>
      </c>
      <c r="AG19" s="142">
        <f>IF(KOL_Database!$Q$18="",0,MIN(100,MAX(0,KOL_Database!$Q$18)))</f>
        <v>92</v>
      </c>
      <c r="AH19" s="142">
        <f>IF(OR(KOL_Database!$J$18="",KOL_Database!$J$18=0,KOL_Database!$L$18=""),0,MIN(100,ROUND(KOL_Database!$L$18/KOL_Database!$J$18/Lookup_Lists!$D$144*100,0)))</f>
        <v>45</v>
      </c>
      <c r="AI19" s="142">
        <f>IF(KOL_Database!$N$18="",0,MIN(100,MAX(0,ROUND((KOL_Database!$N$18+2)/(Lookup_Lists!$D$145+2)*100,0))))</f>
        <v>67</v>
      </c>
      <c r="AJ19" s="142">
        <f>ROUND((Matching_Engine!$AD$19*Lookup_Lists!$D$129+Matching_Engine!$AE$19*Lookup_Lists!$D$130+Matching_Engine!$AF$19*Lookup_Lists!$D$131+Matching_Engine!$AG$19*Lookup_Lists!$D$132+Matching_Engine!$AH$19*Lookup_Lists!$D$133+Matching_Engine!$AI$19*Lookup_Lists!$D$134)/(Lookup_Lists!$D$129+Lookup_Lists!$D$130+Lookup_Lists!$D$131+Lookup_Lists!$D$132+Lookup_Lists!$D$133+Lookup_Lists!$D$134),0)</f>
        <v>75</v>
      </c>
      <c r="AK19" s="142">
        <f>IF(KOL_Database!$AT$18="",0,MIN(100,MAX(0,KOL_Database!$AT$18)))</f>
        <v>72</v>
      </c>
      <c r="AL19" s="142">
        <f>IF(KOL_Database!$AU$18="",0,KOL_Database!$AU$18)</f>
        <v>15</v>
      </c>
      <c r="AM19" s="89" t="str">
        <f>IF(KOL_Database!$AV$18="","None",KOL_Database!$AV$18)</f>
        <v>Low</v>
      </c>
      <c r="AN19" s="143">
        <f>IF(Matching_Engine!$AM$19="High",Lookup_Lists!$D$137,IF(Matching_Engine!$AM$19="Medium",Lookup_Lists!$D$138,IF(Matching_Engine!$AM$19="Low",Lookup_Lists!$D$139,Lookup_Lists!$D$140)))</f>
        <v>0.95</v>
      </c>
      <c r="AO19" s="142">
        <f>ROUND(MIN(100,MAX(0,(Matching_Engine!$AK$19*Lookup_Lists!$D$135+(100-Matching_Engine!$AL$19)*Lookup_Lists!$D$136)/(Lookup_Lists!$D$135+Lookup_Lists!$D$136)*Matching_Engine!$AN$19)),0)</f>
        <v>71</v>
      </c>
      <c r="AP19" s="13">
        <f ca="1">ROUND((Matching_Engine!$N$19*Lookup_Lists!$D$104+Matching_Engine!$S$19*Lookup_Lists!$D$105+Matching_Engine!$X$19*Lookup_Lists!$D$106+Matching_Engine!$AC$19*Lookup_Lists!$D$107+Matching_Engine!$AJ$19*Lookup_Lists!$D$108+Matching_Engine!$AO$19*Lookup_Lists!$D$109)/MAX(1,(Lookup_Lists!$D$104+Lookup_Lists!$D$105+Lookup_Lists!$D$106+Lookup_Lists!$D$107+Lookup_Lists!$D$108+Lookup_Lists!$D$109)),0)</f>
        <v>41</v>
      </c>
      <c r="AQ19" s="89" t="str">
        <f ca="1">IF(Matching_Engine!$AP$19&gt;=Lookup_Lists!$D$152,"Excellent Match",IF(Matching_Engine!$AP$19&gt;=Lookup_Lists!$D$153,"Strong Match",IF(Matching_Engine!$AP$19&gt;=Lookup_Lists!$D$154,"Good Match",IF(Matching_Engine!$AP$19&gt;=Lookup_Lists!$D$155,"Moderate Match","Low Match"))))</f>
        <v>Low Match</v>
      </c>
      <c r="AR19" s="142">
        <f>KOL_Database!$BE$18</f>
        <v>100</v>
      </c>
      <c r="AS19" s="89" t="str">
        <f>IF(Matching_Engine!$AR$19&gt;=Lookup_Lists!$D$159,"High",IF(Matching_Engine!$AR$19&gt;=Lookup_Lists!$D$160,"Medium","Limited Data"))</f>
        <v>High</v>
      </c>
      <c r="AT19" s="142">
        <f>ROUND((Matching_Engine!$N$19+Matching_Engine!$X$19+Matching_Engine!$AC$19)/3,0)</f>
        <v>28</v>
      </c>
      <c r="AU19" s="142">
        <f>ROUND(((100-Matching_Engine!$AL$19)*Lookup_Lists!$D$162+IF(KOL_Database!$BD$18="",Lookup_Lists!$D$150,KOL_Database!$BD$18)*Lookup_Lists!$D$163+Matching_Engine!$AI$19*Lookup_Lists!$D$164+Matching_Engine!$AD$19*Lookup_Lists!$D$165)/(Lookup_Lists!$D$162+Lookup_Lists!$D$163+Lookup_Lists!$D$164+Lookup_Lists!$D$165),0)</f>
        <v>70</v>
      </c>
      <c r="AV19" s="89" t="str">
        <f ca="1">IF(Matching_Engine!$AW$19="","PASS","EXCLUDED")</f>
        <v>EXCLUDED</v>
      </c>
      <c r="AW19" s="89" t="str">
        <f ca="1">IF(ISERROR(SEARCH(KOL_Database!$D$18,Brand_Profile!$D$32)),"Platform not in Preferred Platform",IF(AND(Brand_Profile!$D$36&gt;0,KOL_Database!$J$18&lt;Brand_Profile!$D$36),"Followers below Preferred Follower Range",IF(AND(Brand_Profile!$D$37&gt;0,KOL_Database!$J$18&gt;Brand_Profile!$D$37),"Followers above Preferred Follower Range",IF(AND(Brand_Profile!$D$38&gt;0,IF(KOL_Database!$K$18="",0,KOL_Database!$K$18)&lt;Brand_Profile!$D$38),"Engagement Rate below Minimum Engagement Rate",IF(ISERROR(SEARCH(KOL_Database!$G$18,Brand_Profile!$D$35)),"Tier not in Preferred Tier",IF(AND(Brand_Profile!$D$43&gt;0,Matching_Engine!$AE$19&lt;Brand_Profile!$D$43),"Audience Quality below Minimum Audience Quality",IF(AND(Brand_Profile!$D$44&gt;0,Matching_Engine!$AK$19&lt;Brand_Profile!$D$44),"Brand Safety below Minimum Brand Safety",IF(AND(Brand_Profile!$D$47="Yes",KOL_Database!$AD$18&lt;&gt;Brand_Profile!$D$19),"Audience Country does not match Target Country",IF(AND(Brand_Profile!$D$46="Yes",KOL_Database!$E$18&lt;&gt;Brand_Profile!$D$33),"Category is not the Preferred Category",IF(AND(Brand_Profile!$D$48&gt;0,Matching_Engine!$AL$19&gt;Brand_Profile!$D$48),"Competitor Saturation above Max Competitor Saturation",IF(AND(Brand_Profile!$D$50="Yes",KOL_Database!$AW$18="Yes"),"Already Selected",IF(AND(Brand_Profile!$D$51="Yes",KOL_Database!$AX$18="Yes"),"Already in Cart",IF(AND(Brand_Profile!$D$52="Yes",KOL_Database!$AY$18="Yes"),"Existing Partner",IF(AND(Brand_Profile!$D$53="Yes",KOL_Database!$AZ$18="Yes"),"Excluded Creator",IF(AND(Brand_Profile!$D$49&gt;0,Matching_Engine!$AP$19&lt;Brand_Profile!$D$49),"Brand Match below Minimum Brand Match","")))))))))))))))</f>
        <v>Audience Quality below Minimum Audience Quality</v>
      </c>
      <c r="AX19" s="89" t="str">
        <f ca="1">IF(Matching_Engine!$AV$19="EXCLUDED","Excluded",IF(Matching_Engine!$AP$19&gt;=Lookup_Lists!$D$156,"Highly Recommended",IF(Matching_Engine!$AP$19&gt;=Lookup_Lists!$D$157,"Recommended",IF(Matching_Engine!$AP$19&gt;=Lookup_Lists!$D$158,"Consider","Low Priority"))))</f>
        <v>Excluded</v>
      </c>
      <c r="AY19" s="142" t="str">
        <f ca="1">IF(Matching_Engine!$AV$19="PASS",Matching_Engine!$AP$19,"")</f>
        <v/>
      </c>
      <c r="AZ19" s="89" t="str">
        <f>Matching_Engine!$A$19&amp;"|"&amp;Matching_Engine!$C$19</f>
        <v>BRAND-A|KOL-14</v>
      </c>
      <c r="BA19" s="89" t="str">
        <f>IFERROR(INDEX(Lookup_Lists!$B$51:$B$92,MATCH(Brand_Profile!$D$12,Lookup_Lists!$A$51:$A$92,0)),"")</f>
        <v>Tech</v>
      </c>
      <c r="BB19" s="89" t="str">
        <f>IFERROR(INDEX(Lookup_Lists!$B$51:$B$92,MATCH(KOL_Database!$F$18,Lookup_Lists!$A$51:$A$92,0)),"")</f>
        <v>Fashion</v>
      </c>
      <c r="BC19" s="142">
        <f>IFERROR(INDEX(Lookup_Lists!$B$185:$O$198,MATCH(Matching_Engine!$BA$19,Lookup_Lists!$A$185:$A$198,0),MATCH(KOL_Database!$E$18,Lookup_Lists!$B$184:$O$184,0)),Lookup_Lists!$D$151)</f>
        <v>20</v>
      </c>
      <c r="BD19" s="142">
        <f>IFERROR(INDEX(Lookup_Lists!$B$185:$O$198,MATCH(Brand_Profile!$D$33,Lookup_Lists!$A$185:$A$198,0),MATCH(KOL_Database!$E$18,Lookup_Lists!$B$184:$O$184,0)),Lookup_Lists!$D$151)</f>
        <v>20</v>
      </c>
      <c r="BE19" s="89" t="str">
        <f>IFERROR(INDEX(Lookup_Lists!$B$51:$B$92,MATCH(Brand_Profile!$D$34,Lookup_Lists!$A$51:$A$92,0)),"")</f>
        <v>Tech</v>
      </c>
      <c r="BF19" s="89" t="str">
        <f>KOL_Database!$AI$18&amp;", "&amp;KOL_Database!$AG$18&amp;", "&amp;KOL_Database!$F$18&amp;", "&amp;KOL_Database!$E$18</f>
        <v>Fashion, Beauty, Shopping, Fashion, Beauty, Shopping, Skincare, Travel, Hijab Fashion, Fashion</v>
      </c>
      <c r="BG19" s="89" t="str">
        <f>KOL_Database!$AI$18&amp;", "&amp;KOL_Database!$AG$18</f>
        <v>Fashion, Beauty, Shopping, Fashion, Beauty, Shopping, Skincare, Travel</v>
      </c>
    </row>
    <row r="20" spans="1:59">
      <c r="A20" s="101" t="s">
        <v>113</v>
      </c>
      <c r="B20" s="89" t="str">
        <f>Brand_Profile!$D$9</f>
        <v>Nusatech Cloud</v>
      </c>
      <c r="C20" s="89" t="str">
        <f>KOL_Database!$A$19</f>
        <v>KOL-15</v>
      </c>
      <c r="D20" s="89" t="str">
        <f>KOL_Database!$B$19</f>
        <v>Andini Rahma</v>
      </c>
      <c r="E20" s="89" t="str">
        <f>KOL_Database!$C$19</f>
        <v>@andinidaily</v>
      </c>
      <c r="F20" s="89" t="str">
        <f>KOL_Database!$D$19</f>
        <v>Instagram</v>
      </c>
      <c r="G20" s="89" t="str">
        <f>KOL_Database!$E$19</f>
        <v>Lifestyle</v>
      </c>
      <c r="H20" s="89" t="str">
        <f>KOL_Database!$G$19</f>
        <v>Mid-tier</v>
      </c>
      <c r="I20" s="140">
        <f>KOL_Database!$J$19</f>
        <v>58000</v>
      </c>
      <c r="J20" s="141">
        <f>KOL_Database!$K$19</f>
        <v>5.8</v>
      </c>
      <c r="K20" s="142">
        <f>IFERROR(INDEX(Lookup_Lists!$B$170:$O$181,MATCH(Brand_Profile!$D$10,Lookup_Lists!$A$170:$A$181,0),MATCH(KOL_Database!$E$19,Lookup_Lists!$B$169:$O$169,0)),Lookup_Lists!$D$151)</f>
        <v>60</v>
      </c>
      <c r="L20" s="142">
        <f>IF(KOL_Database!$F$19="",Matching_Engine!$BC$20,IF(Brand_Profile!$D$12=KOL_Database!$F$19,100,IF(Matching_Engine!$BA$20=KOL_Database!$E$19,80,IF(Matching_Engine!$BC$20&gt;=80,60,IF(Matching_Engine!$BC$20&gt;=60,40,Lookup_Lists!$D$151)))))</f>
        <v>20</v>
      </c>
      <c r="M20" s="142">
        <f>ROUND((IF(Brand_Profile!$D$62=0,Lookup_Lists!$D$150,ROUND((IF(Brand_Profile!$D$57="",0,IF(ISNUMBER(SEARCH(Brand_Profile!$D$57,Matching_Engine!$BF$20)),1,0))+IF(Brand_Profile!$D$58="",0,IF(ISNUMBER(SEARCH(Brand_Profile!$D$58,Matching_Engine!$BF$20)),1,0))+IF(Brand_Profile!$D$59="",0,IF(ISNUMBER(SEARCH(Brand_Profile!$D$59,Matching_Engine!$BF$20)),1,0))+IF(Brand_Profile!$D$60="",0,IF(ISNUMBER(SEARCH(Brand_Profile!$D$60,Matching_Engine!$BF$20)),1,0))+IF(Brand_Profile!$D$61="",0,IF(ISNUMBER(SEARCH(Brand_Profile!$D$61,Matching_Engine!$BF$20)),1,0)))/Brand_Profile!$D$62*100,0))+IF(Brand_Profile!$D$74=0,Lookup_Lists!$D$150,ROUND((IF(Brand_Profile!$D$69="",0,IF(ISNUMBER(SEARCH(Brand_Profile!$D$69,Matching_Engine!$BF$20)),1,0))+IF(Brand_Profile!$D$70="",0,IF(ISNUMBER(SEARCH(Brand_Profile!$D$70,Matching_Engine!$BF$20)),1,0))+IF(Brand_Profile!$D$71="",0,IF(ISNUMBER(SEARCH(Brand_Profile!$D$71,Matching_Engine!$BF$20)),1,0))+IF(Brand_Profile!$D$72="",0,IF(ISNUMBER(SEARCH(Brand_Profile!$D$72,Matching_Engine!$BF$20)),1,0))+IF(Brand_Profile!$D$73="",0,IF(ISNUMBER(SEARCH(Brand_Profile!$D$73,Matching_Engine!$BF$20)),1,0)))/Brand_Profile!$D$74*100,0)))/2,0)</f>
        <v>0</v>
      </c>
      <c r="N20" s="142">
        <f>ROUND((Matching_Engine!$K$20*Lookup_Lists!$D$110+Matching_Engine!$L$20*Lookup_Lists!$D$111+Matching_Engine!$M$20*Lookup_Lists!$D$112)/(Lookup_Lists!$D$110+Lookup_Lists!$D$111+Lookup_Lists!$D$112),0)</f>
        <v>30</v>
      </c>
      <c r="O20" s="142">
        <f ca="1">IF(Brand_Profile!$D$16="",Lookup_Lists!$D$150,MIN(100,ROUND((IFERROR(INDEX(KOL_Database!$W$19:KOL_Database!$AA$19,1,MATCH(Brand_Profile!$D$16,Lookup_Lists!$F$6:$F$10,0)),0)+0.5*IFERROR(INDEX(KOL_Database!$W$19:KOL_Database!$AA$19,1,MATCH(Brand_Profile!$D$17,Lookup_Lists!$F$6:$F$10,0)),0))/Lookup_Lists!$D$142*100,0)))</f>
        <v>100</v>
      </c>
      <c r="P20" s="142">
        <f>IF(OR(Brand_Profile!$D$18="",Brand_Profile!$D$18="Any"),100,IF(Brand_Profile!$D$18="Female",MIN(100,ROUND(KOL_Database!$AB$19/Lookup_Lists!$D$143*100,0)),IF(Brand_Profile!$D$18="Male",MIN(100,ROUND(KOL_Database!$AC$19/Lookup_Lists!$D$143*100,0)),MAX(0,ROUND(100-ABS(KOL_Database!$AB$19-50)*2,0)))))</f>
        <v>100</v>
      </c>
      <c r="Q20" s="142">
        <f>ROUND((IF(Brand_Profile!$D$19="",100,IF(KOL_Database!$AD$19=Brand_Profile!$D$19,100,Lookup_Lists!$D$151))*Lookup_Lists!$D$118+IF(OR(Brand_Profile!$D$20="",Brand_Profile!$D$20="Nasional"),100,IF(KOL_Database!$AE$19="",Lookup_Lists!$D$150,IF(KOL_Database!$AE$19=Brand_Profile!$D$20,100,IF(KOL_Database!$AD$19=Brand_Profile!$D$19,40,Lookup_Lists!$D$151))))*Lookup_Lists!$D$119+IF(OR(Brand_Profile!$D$21="",Brand_Profile!$D$21="Nasional"),100,IF(KOL_Database!$AF$19="",Lookup_Lists!$D$150,IF(KOL_Database!$AF$19=Brand_Profile!$D$21,100,IF(KOL_Database!$AE$19=Brand_Profile!$D$20,60,Lookup_Lists!$D$151))))*Lookup_Lists!$D$120)/(Lookup_Lists!$D$118+Lookup_Lists!$D$119+Lookup_Lists!$D$120),0)</f>
        <v>100</v>
      </c>
      <c r="R20" s="142">
        <f>IF(Brand_Profile!$D$68=0,Lookup_Lists!$D$150,ROUND((IF(Brand_Profile!$D$63="",0,IF(ISNUMBER(SEARCH(Brand_Profile!$D$63,KOL_Database!$AG$19)),1,0))+IF(Brand_Profile!$D$64="",0,IF(ISNUMBER(SEARCH(Brand_Profile!$D$64,KOL_Database!$AG$19)),1,0))+IF(Brand_Profile!$D$65="",0,IF(ISNUMBER(SEARCH(Brand_Profile!$D$65,KOL_Database!$AG$19)),1,0))+IF(Brand_Profile!$D$66="",0,IF(ISNUMBER(SEARCH(Brand_Profile!$D$66,KOL_Database!$AG$19)),1,0))+IF(Brand_Profile!$D$67="",0,IF(ISNUMBER(SEARCH(Brand_Profile!$D$67,KOL_Database!$AG$19)),1,0)))/Brand_Profile!$D$68*100,0))</f>
        <v>0</v>
      </c>
      <c r="S20" s="142">
        <f ca="1">ROUND((Matching_Engine!$O$20*Brand_Profile!$D$96+Matching_Engine!$P$20*Brand_Profile!$D$97+Matching_Engine!$Q$20*Brand_Profile!$D$98+Matching_Engine!$R$20*Brand_Profile!$D$99)/MAX(1,Brand_Profile!$D$96+Brand_Profile!$D$97+Brand_Profile!$D$98+Brand_Profile!$D$99),0)</f>
        <v>58</v>
      </c>
      <c r="T20" s="142">
        <f>IF(Brand_Profile!$D$33="",Lookup_Lists!$D$150,Matching_Engine!$BD$20)</f>
        <v>40</v>
      </c>
      <c r="U20" s="142">
        <f>IF(Brand_Profile!$D$34="",Lookup_Lists!$D$150,IF(Brand_Profile!$D$34=KOL_Database!$F$19,100,IF(Matching_Engine!$BE$20=KOL_Database!$E$19,75,IF(Matching_Engine!$BD$20&gt;=80,Lookup_Lists!$D$150,IF(Matching_Engine!$BD$20&gt;=60,35,Lookup_Lists!$D$151)))))</f>
        <v>20</v>
      </c>
      <c r="V20" s="142">
        <f>IF(Brand_Profile!$D$86=0,Lookup_Lists!$D$150,ROUND((IF(Brand_Profile!$D$81="",0,IF(ISNUMBER(SEARCH(Brand_Profile!$D$81,Matching_Engine!$BG$20)),1,0))+IF(Brand_Profile!$D$82="",0,IF(ISNUMBER(SEARCH(Brand_Profile!$D$82,Matching_Engine!$BG$20)),1,0))+IF(Brand_Profile!$D$83="",0,IF(ISNUMBER(SEARCH(Brand_Profile!$D$83,Matching_Engine!$BG$20)),1,0))+IF(Brand_Profile!$D$84="",0,IF(ISNUMBER(SEARCH(Brand_Profile!$D$84,Matching_Engine!$BG$20)),1,0))+IF(Brand_Profile!$D$85="",0,IF(ISNUMBER(SEARCH(Brand_Profile!$D$85,Matching_Engine!$BG$20)),1,0)))/Brand_Profile!$D$86*100,0))</f>
        <v>0</v>
      </c>
      <c r="W20" s="142">
        <f>IF(Brand_Profile!$D$39="",Lookup_Lists!$D$150,IFERROR(INDEX(Lookup_Lists!$B$237:$K$246,MATCH(Brand_Profile!$D$39,Lookup_Lists!$A$237:$A$246,0),MATCH(KOL_Database!$AJ$19,Lookup_Lists!$B$236:$K$236,0)),45))</f>
        <v>45</v>
      </c>
      <c r="X20" s="142">
        <f>ROUND((Matching_Engine!$T$20*Lookup_Lists!$D$121+Matching_Engine!$U$20*Lookup_Lists!$D$122+Matching_Engine!$V$20*Lookup_Lists!$D$123+Matching_Engine!$W$20*Lookup_Lists!$D$124)/(Lookup_Lists!$D$121+Lookup_Lists!$D$122+Lookup_Lists!$D$123+Lookup_Lists!$D$124),0)</f>
        <v>25</v>
      </c>
      <c r="Y20" s="142">
        <f>MIN(100,MAX(IFERROR(INDEX(Lookup_Lists!$B$202:$M$211,MATCH(Brand_Profile!$D$25,Lookup_Lists!$A$202:$A$211,0),MATCH(KOL_Database!$AK$19,Lookup_Lists!$B$201:$M$201,0)),40),IF(KOL_Database!$AK$19=Brand_Profile!$D$41,95,0)))</f>
        <v>50</v>
      </c>
      <c r="Z20" s="142">
        <f>IFERROR(INDEX(Lookup_Lists!$B$215:$K$222,MATCH(Brand_Profile!$D$27,Lookup_Lists!$A$215:$A$222,0),MATCH(KOL_Database!$AJ$19,Lookup_Lists!$B$214:$K$214,0)),45)</f>
        <v>55</v>
      </c>
      <c r="AA20" s="142">
        <f>ROUND((IF(Brand_Profile!$D$80=0,Lookup_Lists!$D$150,ROUND((IF(Brand_Profile!$D$75="",0,IF(ISNUMBER(SEARCH(Brand_Profile!$D$75,KOL_Database!$AL$19)),1,0))+IF(Brand_Profile!$D$76="",0,IF(ISNUMBER(SEARCH(Brand_Profile!$D$76,KOL_Database!$AL$19)),1,0))+IF(Brand_Profile!$D$77="",0,IF(ISNUMBER(SEARCH(Brand_Profile!$D$77,KOL_Database!$AL$19)),1,0))+IF(Brand_Profile!$D$78="",0,IF(ISNUMBER(SEARCH(Brand_Profile!$D$78,KOL_Database!$AL$19)),1,0))+IF(Brand_Profile!$D$79="",0,IF(ISNUMBER(SEARCH(Brand_Profile!$D$79,KOL_Database!$AL$19)),1,0)))/Brand_Profile!$D$80*100,0))+IF(Brand_Profile!$D$92=0,Lookup_Lists!$D$150,ROUND((IF(Brand_Profile!$D$87="",0,IF(ISNUMBER(SEARCH(Brand_Profile!$D$87,KOL_Database!$AL$19)),1,0))+IF(Brand_Profile!$D$88="",0,IF(ISNUMBER(SEARCH(Brand_Profile!$D$88,KOL_Database!$AL$19)),1,0))+IF(Brand_Profile!$D$89="",0,IF(ISNUMBER(SEARCH(Brand_Profile!$D$89,KOL_Database!$AL$19)),1,0))+IF(Brand_Profile!$D$90="",0,IF(ISNUMBER(SEARCH(Brand_Profile!$D$90,KOL_Database!$AL$19)),1,0))+IF(Brand_Profile!$D$91="",0,IF(ISNUMBER(SEARCH(Brand_Profile!$D$91,KOL_Database!$AL$19)),1,0)))/Brand_Profile!$D$92*100,0)))/2,0)</f>
        <v>0</v>
      </c>
      <c r="AB20" s="142">
        <f>IFERROR(INDEX(Lookup_Lists!$B$226:$K$233,MATCH(Brand_Profile!$D$30,Lookup_Lists!$A$226:$A$233,0),MATCH(KOL_Database!$AJ$19,Lookup_Lists!$B$225:$K$225,0)),45)</f>
        <v>50</v>
      </c>
      <c r="AC20" s="142">
        <f>ROUND((Matching_Engine!$Y$20*Lookup_Lists!$D$125+Matching_Engine!$Z$20*Lookup_Lists!$D$126+Matching_Engine!$AA$20*Lookup_Lists!$D$127+Matching_Engine!$AB$20*Lookup_Lists!$D$128)/(Lookup_Lists!$D$125+Lookup_Lists!$D$126+Lookup_Lists!$D$127+Lookup_Lists!$D$128),0)</f>
        <v>39</v>
      </c>
      <c r="AD20" s="142">
        <f>IF(KOL_Database!$K$19="",0,MIN(100,ROUND(KOL_Database!$K$19/Lookup_Lists!$D$141*100,0)))</f>
        <v>97</v>
      </c>
      <c r="AE20" s="142">
        <f>IF(KOL_Database!$R$19="",0,MIN(100,MAX(0,KOL_Database!$R$19)))</f>
        <v>79</v>
      </c>
      <c r="AF20" s="142">
        <f>IF(KOL_Database!$P$19="",0,MIN(100,MAX(0,KOL_Database!$P$19)))</f>
        <v>54</v>
      </c>
      <c r="AG20" s="142">
        <f>IF(KOL_Database!$Q$19="",0,MIN(100,MAX(0,KOL_Database!$Q$19)))</f>
        <v>49</v>
      </c>
      <c r="AH20" s="142">
        <f>IF(OR(KOL_Database!$J$19="",KOL_Database!$J$19=0,KOL_Database!$L$19=""),0,MIN(100,ROUND(KOL_Database!$L$19/KOL_Database!$J$19/Lookup_Lists!$D$144*100,0)))</f>
        <v>68</v>
      </c>
      <c r="AI20" s="142">
        <f>IF(KOL_Database!$N$19="",0,MIN(100,MAX(0,ROUND((KOL_Database!$N$19+2)/(Lookup_Lists!$D$145+2)*100,0))))</f>
        <v>28</v>
      </c>
      <c r="AJ20" s="142">
        <f>ROUND((Matching_Engine!$AD$20*Lookup_Lists!$D$129+Matching_Engine!$AE$20*Lookup_Lists!$D$130+Matching_Engine!$AF$20*Lookup_Lists!$D$131+Matching_Engine!$AG$20*Lookup_Lists!$D$132+Matching_Engine!$AH$20*Lookup_Lists!$D$133+Matching_Engine!$AI$20*Lookup_Lists!$D$134)/(Lookup_Lists!$D$129+Lookup_Lists!$D$130+Lookup_Lists!$D$131+Lookup_Lists!$D$132+Lookup_Lists!$D$133+Lookup_Lists!$D$134),0)</f>
        <v>74</v>
      </c>
      <c r="AK20" s="142">
        <f>IF(KOL_Database!$AT$19="",0,MIN(100,MAX(0,KOL_Database!$AT$19)))</f>
        <v>87</v>
      </c>
      <c r="AL20" s="142">
        <f>IF(KOL_Database!$AU$19="",0,KOL_Database!$AU$19)</f>
        <v>47</v>
      </c>
      <c r="AM20" s="89" t="str">
        <f>IF(KOL_Database!$AV$19="","None",KOL_Database!$AV$19)</f>
        <v>None</v>
      </c>
      <c r="AN20" s="143">
        <f>IF(Matching_Engine!$AM$20="High",Lookup_Lists!$D$137,IF(Matching_Engine!$AM$20="Medium",Lookup_Lists!$D$138,IF(Matching_Engine!$AM$20="Low",Lookup_Lists!$D$139,Lookup_Lists!$D$140)))</f>
        <v>1</v>
      </c>
      <c r="AO20" s="142">
        <f>ROUND(MIN(100,MAX(0,(Matching_Engine!$AK$20*Lookup_Lists!$D$135+(100-Matching_Engine!$AL$20)*Lookup_Lists!$D$136)/(Lookup_Lists!$D$135+Lookup_Lists!$D$136)*Matching_Engine!$AN$20)),0)</f>
        <v>80</v>
      </c>
      <c r="AP20" s="13">
        <f ca="1">ROUND((Matching_Engine!$N$20*Lookup_Lists!$D$104+Matching_Engine!$S$20*Lookup_Lists!$D$105+Matching_Engine!$X$20*Lookup_Lists!$D$106+Matching_Engine!$AC$20*Lookup_Lists!$D$107+Matching_Engine!$AJ$20*Lookup_Lists!$D$108+Matching_Engine!$AO$20*Lookup_Lists!$D$109)/MAX(1,(Lookup_Lists!$D$104+Lookup_Lists!$D$105+Lookup_Lists!$D$106+Lookup_Lists!$D$107+Lookup_Lists!$D$108+Lookup_Lists!$D$109)),0)</f>
        <v>48</v>
      </c>
      <c r="AQ20" s="89" t="str">
        <f ca="1">IF(Matching_Engine!$AP$20&gt;=Lookup_Lists!$D$152,"Excellent Match",IF(Matching_Engine!$AP$20&gt;=Lookup_Lists!$D$153,"Strong Match",IF(Matching_Engine!$AP$20&gt;=Lookup_Lists!$D$154,"Good Match",IF(Matching_Engine!$AP$20&gt;=Lookup_Lists!$D$155,"Moderate Match","Low Match"))))</f>
        <v>Low Match</v>
      </c>
      <c r="AR20" s="142">
        <f>KOL_Database!$BE$19</f>
        <v>83</v>
      </c>
      <c r="AS20" s="89" t="str">
        <f>IF(Matching_Engine!$AR$20&gt;=Lookup_Lists!$D$159,"High",IF(Matching_Engine!$AR$20&gt;=Lookup_Lists!$D$160,"Medium","Limited Data"))</f>
        <v>Limited Data</v>
      </c>
      <c r="AT20" s="142">
        <f>ROUND((Matching_Engine!$N$20+Matching_Engine!$X$20+Matching_Engine!$AC$20)/3,0)</f>
        <v>31</v>
      </c>
      <c r="AU20" s="142">
        <f>ROUND(((100-Matching_Engine!$AL$20)*Lookup_Lists!$D$162+IF(KOL_Database!$BD$19="",Lookup_Lists!$D$150,KOL_Database!$BD$19)*Lookup_Lists!$D$163+Matching_Engine!$AI$20*Lookup_Lists!$D$164+Matching_Engine!$AD$20*Lookup_Lists!$D$165)/(Lookup_Lists!$D$162+Lookup_Lists!$D$163+Lookup_Lists!$D$164+Lookup_Lists!$D$165),0)</f>
        <v>53</v>
      </c>
      <c r="AV20" s="89" t="str">
        <f ca="1">IF(Matching_Engine!$AW$20="","PASS","EXCLUDED")</f>
        <v>PASS</v>
      </c>
      <c r="AW20" s="89" t="str">
        <f ca="1">IF(ISERROR(SEARCH(KOL_Database!$D$19,Brand_Profile!$D$32)),"Platform not in Preferred Platform",IF(AND(Brand_Profile!$D$36&gt;0,KOL_Database!$J$19&lt;Brand_Profile!$D$36),"Followers below Preferred Follower Range",IF(AND(Brand_Profile!$D$37&gt;0,KOL_Database!$J$19&gt;Brand_Profile!$D$37),"Followers above Preferred Follower Range",IF(AND(Brand_Profile!$D$38&gt;0,IF(KOL_Database!$K$19="",0,KOL_Database!$K$19)&lt;Brand_Profile!$D$38),"Engagement Rate below Minimum Engagement Rate",IF(ISERROR(SEARCH(KOL_Database!$G$19,Brand_Profile!$D$35)),"Tier not in Preferred Tier",IF(AND(Brand_Profile!$D$43&gt;0,Matching_Engine!$AE$20&lt;Brand_Profile!$D$43),"Audience Quality below Minimum Audience Quality",IF(AND(Brand_Profile!$D$44&gt;0,Matching_Engine!$AK$20&lt;Brand_Profile!$D$44),"Brand Safety below Minimum Brand Safety",IF(AND(Brand_Profile!$D$47="Yes",KOL_Database!$AD$19&lt;&gt;Brand_Profile!$D$19),"Audience Country does not match Target Country",IF(AND(Brand_Profile!$D$46="Yes",KOL_Database!$E$19&lt;&gt;Brand_Profile!$D$33),"Category is not the Preferred Category",IF(AND(Brand_Profile!$D$48&gt;0,Matching_Engine!$AL$20&gt;Brand_Profile!$D$48),"Competitor Saturation above Max Competitor Saturation",IF(AND(Brand_Profile!$D$50="Yes",KOL_Database!$AW$19="Yes"),"Already Selected",IF(AND(Brand_Profile!$D$51="Yes",KOL_Database!$AX$19="Yes"),"Already in Cart",IF(AND(Brand_Profile!$D$52="Yes",KOL_Database!$AY$19="Yes"),"Existing Partner",IF(AND(Brand_Profile!$D$53="Yes",KOL_Database!$AZ$19="Yes"),"Excluded Creator",IF(AND(Brand_Profile!$D$49&gt;0,Matching_Engine!$AP$20&lt;Brand_Profile!$D$49),"Brand Match below Minimum Brand Match","")))))))))))))))</f>
        <v/>
      </c>
      <c r="AX20" s="89" t="str">
        <f ca="1">IF(Matching_Engine!$AV$20="EXCLUDED","Excluded",IF(Matching_Engine!$AP$20&gt;=Lookup_Lists!$D$156,"Highly Recommended",IF(Matching_Engine!$AP$20&gt;=Lookup_Lists!$D$157,"Recommended",IF(Matching_Engine!$AP$20&gt;=Lookup_Lists!$D$158,"Consider","Low Priority"))))</f>
        <v>Low Priority</v>
      </c>
      <c r="AY20" s="142">
        <f ca="1">IF(Matching_Engine!$AV$20="PASS",Matching_Engine!$AP$20,"")</f>
        <v>48</v>
      </c>
      <c r="AZ20" s="89" t="str">
        <f>Matching_Engine!$A$20&amp;"|"&amp;Matching_Engine!$C$20</f>
        <v>BRAND-A|KOL-15</v>
      </c>
      <c r="BA20" s="89" t="str">
        <f>IFERROR(INDEX(Lookup_Lists!$B$51:$B$92,MATCH(Brand_Profile!$D$12,Lookup_Lists!$A$51:$A$92,0)),"")</f>
        <v>Tech</v>
      </c>
      <c r="BB20" s="89" t="str">
        <f>IFERROR(INDEX(Lookup_Lists!$B$51:$B$92,MATCH(KOL_Database!$F$19,Lookup_Lists!$A$51:$A$92,0)),"")</f>
        <v>Lifestyle</v>
      </c>
      <c r="BC20" s="142">
        <f>IFERROR(INDEX(Lookup_Lists!$B$185:$O$198,MATCH(Matching_Engine!$BA$20,Lookup_Lists!$A$185:$A$198,0),MATCH(KOL_Database!$E$19,Lookup_Lists!$B$184:$O$184,0)),Lookup_Lists!$D$151)</f>
        <v>40</v>
      </c>
      <c r="BD20" s="142">
        <f>IFERROR(INDEX(Lookup_Lists!$B$185:$O$198,MATCH(Brand_Profile!$D$33,Lookup_Lists!$A$185:$A$198,0),MATCH(KOL_Database!$E$19,Lookup_Lists!$B$184:$O$184,0)),Lookup_Lists!$D$151)</f>
        <v>40</v>
      </c>
      <c r="BE20" s="89" t="str">
        <f>IFERROR(INDEX(Lookup_Lists!$B$51:$B$92,MATCH(Brand_Profile!$D$34,Lookup_Lists!$A$51:$A$92,0)),"")</f>
        <v>Tech</v>
      </c>
      <c r="BF20" s="89" t="str">
        <f>KOL_Database!$AI$19&amp;", "&amp;KOL_Database!$AG$19&amp;", "&amp;KOL_Database!$F$19&amp;", "&amp;KOL_Database!$E$19</f>
        <v>Shopping, Food, Beauty, Shopping, Food, Beauty, Travel, Fashion, Daily Vlog, Lifestyle</v>
      </c>
      <c r="BG20" s="89" t="str">
        <f>KOL_Database!$AI$19&amp;", "&amp;KOL_Database!$AG$19</f>
        <v>Shopping, Food, Beauty, Shopping, Food, Beauty, Travel, Fashion</v>
      </c>
    </row>
    <row r="21" spans="1:59">
      <c r="A21" s="101" t="s">
        <v>113</v>
      </c>
      <c r="B21" s="89" t="str">
        <f>Brand_Profile!$D$9</f>
        <v>Nusatech Cloud</v>
      </c>
      <c r="C21" s="89" t="str">
        <f>KOL_Database!$A$20</f>
        <v>KOL-16</v>
      </c>
      <c r="D21" s="89" t="str">
        <f>KOL_Database!$B$20</f>
        <v>Yoga Pratama</v>
      </c>
      <c r="E21" s="89" t="str">
        <f>KOL_Database!$C$20</f>
        <v>@yogaminimal</v>
      </c>
      <c r="F21" s="89" t="str">
        <f>KOL_Database!$D$20</f>
        <v>TikTok</v>
      </c>
      <c r="G21" s="89" t="str">
        <f>KOL_Database!$E$20</f>
        <v>Lifestyle</v>
      </c>
      <c r="H21" s="89" t="str">
        <f>KOL_Database!$G$20</f>
        <v>Macro</v>
      </c>
      <c r="I21" s="140">
        <f>KOL_Database!$J$20</f>
        <v>143000</v>
      </c>
      <c r="J21" s="141">
        <f>KOL_Database!$K$20</f>
        <v>7.3</v>
      </c>
      <c r="K21" s="142">
        <f>IFERROR(INDEX(Lookup_Lists!$B$170:$O$181,MATCH(Brand_Profile!$D$10,Lookup_Lists!$A$170:$A$181,0),MATCH(KOL_Database!$E$20,Lookup_Lists!$B$169:$O$169,0)),Lookup_Lists!$D$151)</f>
        <v>60</v>
      </c>
      <c r="L21" s="142">
        <f>IF(KOL_Database!$F$20="",Matching_Engine!$BC$21,IF(Brand_Profile!$D$12=KOL_Database!$F$20,100,IF(Matching_Engine!$BA$21=KOL_Database!$E$20,80,IF(Matching_Engine!$BC$21&gt;=80,60,IF(Matching_Engine!$BC$21&gt;=60,40,Lookup_Lists!$D$151)))))</f>
        <v>20</v>
      </c>
      <c r="M21" s="142">
        <f>ROUND((IF(Brand_Profile!$D$62=0,Lookup_Lists!$D$150,ROUND((IF(Brand_Profile!$D$57="",0,IF(ISNUMBER(SEARCH(Brand_Profile!$D$57,Matching_Engine!$BF$21)),1,0))+IF(Brand_Profile!$D$58="",0,IF(ISNUMBER(SEARCH(Brand_Profile!$D$58,Matching_Engine!$BF$21)),1,0))+IF(Brand_Profile!$D$59="",0,IF(ISNUMBER(SEARCH(Brand_Profile!$D$59,Matching_Engine!$BF$21)),1,0))+IF(Brand_Profile!$D$60="",0,IF(ISNUMBER(SEARCH(Brand_Profile!$D$60,Matching_Engine!$BF$21)),1,0))+IF(Brand_Profile!$D$61="",0,IF(ISNUMBER(SEARCH(Brand_Profile!$D$61,Matching_Engine!$BF$21)),1,0)))/Brand_Profile!$D$62*100,0))+IF(Brand_Profile!$D$74=0,Lookup_Lists!$D$150,ROUND((IF(Brand_Profile!$D$69="",0,IF(ISNUMBER(SEARCH(Brand_Profile!$D$69,Matching_Engine!$BF$21)),1,0))+IF(Brand_Profile!$D$70="",0,IF(ISNUMBER(SEARCH(Brand_Profile!$D$70,Matching_Engine!$BF$21)),1,0))+IF(Brand_Profile!$D$71="",0,IF(ISNUMBER(SEARCH(Brand_Profile!$D$71,Matching_Engine!$BF$21)),1,0))+IF(Brand_Profile!$D$72="",0,IF(ISNUMBER(SEARCH(Brand_Profile!$D$72,Matching_Engine!$BF$21)),1,0))+IF(Brand_Profile!$D$73="",0,IF(ISNUMBER(SEARCH(Brand_Profile!$D$73,Matching_Engine!$BF$21)),1,0)))/Brand_Profile!$D$74*100,0)))/2,0)</f>
        <v>80</v>
      </c>
      <c r="N21" s="142">
        <f>ROUND((Matching_Engine!$K$21*Lookup_Lists!$D$110+Matching_Engine!$L$21*Lookup_Lists!$D$111+Matching_Engine!$M$21*Lookup_Lists!$D$112)/(Lookup_Lists!$D$110+Lookup_Lists!$D$111+Lookup_Lists!$D$112),0)</f>
        <v>54</v>
      </c>
      <c r="O21" s="142">
        <f ca="1">IF(Brand_Profile!$D$16="",Lookup_Lists!$D$150,MIN(100,ROUND((IFERROR(INDEX(KOL_Database!$W$20:KOL_Database!$AA$20,1,MATCH(Brand_Profile!$D$16,Lookup_Lists!$F$6:$F$10,0)),0)+0.5*IFERROR(INDEX(KOL_Database!$W$20:KOL_Database!$AA$20,1,MATCH(Brand_Profile!$D$17,Lookup_Lists!$F$6:$F$10,0)),0))/Lookup_Lists!$D$142*100,0)))</f>
        <v>100</v>
      </c>
      <c r="P21" s="142">
        <f>IF(OR(Brand_Profile!$D$18="",Brand_Profile!$D$18="Any"),100,IF(Brand_Profile!$D$18="Female",MIN(100,ROUND(KOL_Database!$AB$20/Lookup_Lists!$D$143*100,0)),IF(Brand_Profile!$D$18="Male",MIN(100,ROUND(KOL_Database!$AC$20/Lookup_Lists!$D$143*100,0)),MAX(0,ROUND(100-ABS(KOL_Database!$AB$20-50)*2,0)))))</f>
        <v>100</v>
      </c>
      <c r="Q21" s="142">
        <f>ROUND((IF(Brand_Profile!$D$19="",100,IF(KOL_Database!$AD$20=Brand_Profile!$D$19,100,Lookup_Lists!$D$151))*Lookup_Lists!$D$118+IF(OR(Brand_Profile!$D$20="",Brand_Profile!$D$20="Nasional"),100,IF(KOL_Database!$AE$20="",Lookup_Lists!$D$150,IF(KOL_Database!$AE$20=Brand_Profile!$D$20,100,IF(KOL_Database!$AD$20=Brand_Profile!$D$19,40,Lookup_Lists!$D$151))))*Lookup_Lists!$D$119+IF(OR(Brand_Profile!$D$21="",Brand_Profile!$D$21="Nasional"),100,IF(KOL_Database!$AF$20="",Lookup_Lists!$D$150,IF(KOL_Database!$AF$20=Brand_Profile!$D$21,100,IF(KOL_Database!$AE$20=Brand_Profile!$D$20,60,Lookup_Lists!$D$151))))*Lookup_Lists!$D$120)/(Lookup_Lists!$D$118+Lookup_Lists!$D$119+Lookup_Lists!$D$120),0)</f>
        <v>65</v>
      </c>
      <c r="R21" s="142">
        <f>IF(Brand_Profile!$D$68=0,Lookup_Lists!$D$150,ROUND((IF(Brand_Profile!$D$63="",0,IF(ISNUMBER(SEARCH(Brand_Profile!$D$63,KOL_Database!$AG$20)),1,0))+IF(Brand_Profile!$D$64="",0,IF(ISNUMBER(SEARCH(Brand_Profile!$D$64,KOL_Database!$AG$20)),1,0))+IF(Brand_Profile!$D$65="",0,IF(ISNUMBER(SEARCH(Brand_Profile!$D$65,KOL_Database!$AG$20)),1,0))+IF(Brand_Profile!$D$66="",0,IF(ISNUMBER(SEARCH(Brand_Profile!$D$66,KOL_Database!$AG$20)),1,0))+IF(Brand_Profile!$D$67="",0,IF(ISNUMBER(SEARCH(Brand_Profile!$D$67,KOL_Database!$AG$20)),1,0)))/Brand_Profile!$D$68*100,0))</f>
        <v>80</v>
      </c>
      <c r="S21" s="142">
        <f ca="1">ROUND((Matching_Engine!$O$21*Brand_Profile!$D$96+Matching_Engine!$P$21*Brand_Profile!$D$97+Matching_Engine!$Q$21*Brand_Profile!$D$98+Matching_Engine!$R$21*Brand_Profile!$D$99)/MAX(1,Brand_Profile!$D$96+Brand_Profile!$D$97+Brand_Profile!$D$98+Brand_Profile!$D$99),0)</f>
        <v>83</v>
      </c>
      <c r="T21" s="142">
        <f>IF(Brand_Profile!$D$33="",Lookup_Lists!$D$150,Matching_Engine!$BD$21)</f>
        <v>40</v>
      </c>
      <c r="U21" s="142">
        <f>IF(Brand_Profile!$D$34="",Lookup_Lists!$D$150,IF(Brand_Profile!$D$34=KOL_Database!$F$20,100,IF(Matching_Engine!$BE$21=KOL_Database!$E$20,75,IF(Matching_Engine!$BD$21&gt;=80,Lookup_Lists!$D$150,IF(Matching_Engine!$BD$21&gt;=60,35,Lookup_Lists!$D$151)))))</f>
        <v>20</v>
      </c>
      <c r="V21" s="142">
        <f>IF(Brand_Profile!$D$86=0,Lookup_Lists!$D$150,ROUND((IF(Brand_Profile!$D$81="",0,IF(ISNUMBER(SEARCH(Brand_Profile!$D$81,Matching_Engine!$BG$21)),1,0))+IF(Brand_Profile!$D$82="",0,IF(ISNUMBER(SEARCH(Brand_Profile!$D$82,Matching_Engine!$BG$21)),1,0))+IF(Brand_Profile!$D$83="",0,IF(ISNUMBER(SEARCH(Brand_Profile!$D$83,Matching_Engine!$BG$21)),1,0))+IF(Brand_Profile!$D$84="",0,IF(ISNUMBER(SEARCH(Brand_Profile!$D$84,Matching_Engine!$BG$21)),1,0))+IF(Brand_Profile!$D$85="",0,IF(ISNUMBER(SEARCH(Brand_Profile!$D$85,Matching_Engine!$BG$21)),1,0)))/Brand_Profile!$D$86*100,0))</f>
        <v>80</v>
      </c>
      <c r="W21" s="142">
        <f>IF(Brand_Profile!$D$39="",Lookup_Lists!$D$150,IFERROR(INDEX(Lookup_Lists!$B$237:$K$246,MATCH(Brand_Profile!$D$39,Lookup_Lists!$A$237:$A$246,0),MATCH(KOL_Database!$AJ$20,Lookup_Lists!$B$236:$K$236,0)),45))</f>
        <v>45</v>
      </c>
      <c r="X21" s="142">
        <f>ROUND((Matching_Engine!$T$21*Lookup_Lists!$D$121+Matching_Engine!$U$21*Lookup_Lists!$D$122+Matching_Engine!$V$21*Lookup_Lists!$D$123+Matching_Engine!$W$21*Lookup_Lists!$D$124)/(Lookup_Lists!$D$121+Lookup_Lists!$D$122+Lookup_Lists!$D$123+Lookup_Lists!$D$124),0)</f>
        <v>49</v>
      </c>
      <c r="Y21" s="142">
        <f>MIN(100,MAX(IFERROR(INDEX(Lookup_Lists!$B$202:$M$211,MATCH(Brand_Profile!$D$25,Lookup_Lists!$A$202:$A$211,0),MATCH(KOL_Database!$AK$20,Lookup_Lists!$B$201:$M$201,0)),40),IF(KOL_Database!$AK$20=Brand_Profile!$D$41,95,0)))</f>
        <v>70</v>
      </c>
      <c r="Z21" s="142">
        <f>IFERROR(INDEX(Lookup_Lists!$B$215:$K$222,MATCH(Brand_Profile!$D$27,Lookup_Lists!$A$215:$A$222,0),MATCH(KOL_Database!$AJ$20,Lookup_Lists!$B$214:$K$214,0)),45)</f>
        <v>65</v>
      </c>
      <c r="AA21" s="142">
        <f>ROUND((IF(Brand_Profile!$D$80=0,Lookup_Lists!$D$150,ROUND((IF(Brand_Profile!$D$75="",0,IF(ISNUMBER(SEARCH(Brand_Profile!$D$75,KOL_Database!$AL$20)),1,0))+IF(Brand_Profile!$D$76="",0,IF(ISNUMBER(SEARCH(Brand_Profile!$D$76,KOL_Database!$AL$20)),1,0))+IF(Brand_Profile!$D$77="",0,IF(ISNUMBER(SEARCH(Brand_Profile!$D$77,KOL_Database!$AL$20)),1,0))+IF(Brand_Profile!$D$78="",0,IF(ISNUMBER(SEARCH(Brand_Profile!$D$78,KOL_Database!$AL$20)),1,0))+IF(Brand_Profile!$D$79="",0,IF(ISNUMBER(SEARCH(Brand_Profile!$D$79,KOL_Database!$AL$20)),1,0)))/Brand_Profile!$D$80*100,0))+IF(Brand_Profile!$D$92=0,Lookup_Lists!$D$150,ROUND((IF(Brand_Profile!$D$87="",0,IF(ISNUMBER(SEARCH(Brand_Profile!$D$87,KOL_Database!$AL$20)),1,0))+IF(Brand_Profile!$D$88="",0,IF(ISNUMBER(SEARCH(Brand_Profile!$D$88,KOL_Database!$AL$20)),1,0))+IF(Brand_Profile!$D$89="",0,IF(ISNUMBER(SEARCH(Brand_Profile!$D$89,KOL_Database!$AL$20)),1,0))+IF(Brand_Profile!$D$90="",0,IF(ISNUMBER(SEARCH(Brand_Profile!$D$90,KOL_Database!$AL$20)),1,0))+IF(Brand_Profile!$D$91="",0,IF(ISNUMBER(SEARCH(Brand_Profile!$D$91,KOL_Database!$AL$20)),1,0)))/Brand_Profile!$D$92*100,0)))/2,0)</f>
        <v>40</v>
      </c>
      <c r="AB21" s="142">
        <f>IFERROR(INDEX(Lookup_Lists!$B$226:$K$233,MATCH(Brand_Profile!$D$30,Lookup_Lists!$A$226:$A$233,0),MATCH(KOL_Database!$AJ$20,Lookup_Lists!$B$225:$K$225,0)),45)</f>
        <v>60</v>
      </c>
      <c r="AC21" s="142">
        <f>ROUND((Matching_Engine!$Y$21*Lookup_Lists!$D$125+Matching_Engine!$Z$21*Lookup_Lists!$D$126+Matching_Engine!$AA$21*Lookup_Lists!$D$127+Matching_Engine!$AB$21*Lookup_Lists!$D$128)/(Lookup_Lists!$D$125+Lookup_Lists!$D$126+Lookup_Lists!$D$127+Lookup_Lists!$D$128),0)</f>
        <v>60</v>
      </c>
      <c r="AD21" s="142">
        <f>IF(KOL_Database!$K$20="",0,MIN(100,ROUND(KOL_Database!$K$20/Lookup_Lists!$D$141*100,0)))</f>
        <v>100</v>
      </c>
      <c r="AE21" s="142">
        <f>IF(KOL_Database!$R$20="",0,MIN(100,MAX(0,KOL_Database!$R$20)))</f>
        <v>72</v>
      </c>
      <c r="AF21" s="142">
        <f>IF(KOL_Database!$P$20="",0,MIN(100,MAX(0,KOL_Database!$P$20)))</f>
        <v>69</v>
      </c>
      <c r="AG21" s="142">
        <f>IF(KOL_Database!$Q$20="",0,MIN(100,MAX(0,KOL_Database!$Q$20)))</f>
        <v>58</v>
      </c>
      <c r="AH21" s="142">
        <f>IF(OR(KOL_Database!$J$20="",KOL_Database!$J$20=0,KOL_Database!$L$20=""),0,MIN(100,ROUND(KOL_Database!$L$20/KOL_Database!$J$20/Lookup_Lists!$D$144*100,0)))</f>
        <v>100</v>
      </c>
      <c r="AI21" s="142">
        <f>IF(KOL_Database!$N$20="",0,MIN(100,MAX(0,ROUND((KOL_Database!$N$20+2)/(Lookup_Lists!$D$145+2)*100,0))))</f>
        <v>36</v>
      </c>
      <c r="AJ21" s="142">
        <f>ROUND((Matching_Engine!$AD$21*Lookup_Lists!$D$129+Matching_Engine!$AE$21*Lookup_Lists!$D$130+Matching_Engine!$AF$21*Lookup_Lists!$D$131+Matching_Engine!$AG$21*Lookup_Lists!$D$132+Matching_Engine!$AH$21*Lookup_Lists!$D$133+Matching_Engine!$AI$21*Lookup_Lists!$D$134)/(Lookup_Lists!$D$129+Lookup_Lists!$D$130+Lookup_Lists!$D$131+Lookup_Lists!$D$132+Lookup_Lists!$D$133+Lookup_Lists!$D$134),0)</f>
        <v>81</v>
      </c>
      <c r="AK21" s="142">
        <f>IF(KOL_Database!$AT$20="",0,MIN(100,MAX(0,KOL_Database!$AT$20)))</f>
        <v>80</v>
      </c>
      <c r="AL21" s="142">
        <f>IF(KOL_Database!$AU$20="",0,KOL_Database!$AU$20)</f>
        <v>27</v>
      </c>
      <c r="AM21" s="89" t="str">
        <f>IF(KOL_Database!$AV$20="","None",KOL_Database!$AV$20)</f>
        <v>Low</v>
      </c>
      <c r="AN21" s="143">
        <f>IF(Matching_Engine!$AM$21="High",Lookup_Lists!$D$137,IF(Matching_Engine!$AM$21="Medium",Lookup_Lists!$D$138,IF(Matching_Engine!$AM$21="Low",Lookup_Lists!$D$139,Lookup_Lists!$D$140)))</f>
        <v>0.95</v>
      </c>
      <c r="AO21" s="142">
        <f>ROUND(MIN(100,MAX(0,(Matching_Engine!$AK$21*Lookup_Lists!$D$135+(100-Matching_Engine!$AL$21)*Lookup_Lists!$D$136)/(Lookup_Lists!$D$135+Lookup_Lists!$D$136)*Matching_Engine!$AN$21)),0)</f>
        <v>75</v>
      </c>
      <c r="AP21" s="13">
        <f ca="1">ROUND((Matching_Engine!$N$21*Lookup_Lists!$D$104+Matching_Engine!$S$21*Lookup_Lists!$D$105+Matching_Engine!$X$21*Lookup_Lists!$D$106+Matching_Engine!$AC$21*Lookup_Lists!$D$107+Matching_Engine!$AJ$21*Lookup_Lists!$D$108+Matching_Engine!$AO$21*Lookup_Lists!$D$109)/MAX(1,(Lookup_Lists!$D$104+Lookup_Lists!$D$105+Lookup_Lists!$D$106+Lookup_Lists!$D$107+Lookup_Lists!$D$108+Lookup_Lists!$D$109)),0)</f>
        <v>67</v>
      </c>
      <c r="AQ21" s="89" t="str">
        <f ca="1">IF(Matching_Engine!$AP$21&gt;=Lookup_Lists!$D$152,"Excellent Match",IF(Matching_Engine!$AP$21&gt;=Lookup_Lists!$D$153,"Strong Match",IF(Matching_Engine!$AP$21&gt;=Lookup_Lists!$D$154,"Good Match",IF(Matching_Engine!$AP$21&gt;=Lookup_Lists!$D$155,"Moderate Match","Low Match"))))</f>
        <v>Moderate Match</v>
      </c>
      <c r="AR21" s="142">
        <f>KOL_Database!$BE$20</f>
        <v>100</v>
      </c>
      <c r="AS21" s="89" t="str">
        <f>IF(Matching_Engine!$AR$21&gt;=Lookup_Lists!$D$159,"High",IF(Matching_Engine!$AR$21&gt;=Lookup_Lists!$D$160,"Medium","Limited Data"))</f>
        <v>High</v>
      </c>
      <c r="AT21" s="142">
        <f>ROUND((Matching_Engine!$N$21+Matching_Engine!$X$21+Matching_Engine!$AC$21)/3,0)</f>
        <v>54</v>
      </c>
      <c r="AU21" s="142">
        <f>ROUND(((100-Matching_Engine!$AL$21)*Lookup_Lists!$D$162+IF(KOL_Database!$BD$20="",Lookup_Lists!$D$150,KOL_Database!$BD$20)*Lookup_Lists!$D$163+Matching_Engine!$AI$21*Lookup_Lists!$D$164+Matching_Engine!$AD$21*Lookup_Lists!$D$165)/(Lookup_Lists!$D$162+Lookup_Lists!$D$163+Lookup_Lists!$D$164+Lookup_Lists!$D$165),0)</f>
        <v>75</v>
      </c>
      <c r="AV21" s="89" t="str">
        <f ca="1">IF(Matching_Engine!$AW$21="","PASS","EXCLUDED")</f>
        <v>PASS</v>
      </c>
      <c r="AW21" s="89" t="str">
        <f ca="1">IF(ISERROR(SEARCH(KOL_Database!$D$20,Brand_Profile!$D$32)),"Platform not in Preferred Platform",IF(AND(Brand_Profile!$D$36&gt;0,KOL_Database!$J$20&lt;Brand_Profile!$D$36),"Followers below Preferred Follower Range",IF(AND(Brand_Profile!$D$37&gt;0,KOL_Database!$J$20&gt;Brand_Profile!$D$37),"Followers above Preferred Follower Range",IF(AND(Brand_Profile!$D$38&gt;0,IF(KOL_Database!$K$20="",0,KOL_Database!$K$20)&lt;Brand_Profile!$D$38),"Engagement Rate below Minimum Engagement Rate",IF(ISERROR(SEARCH(KOL_Database!$G$20,Brand_Profile!$D$35)),"Tier not in Preferred Tier",IF(AND(Brand_Profile!$D$43&gt;0,Matching_Engine!$AE$21&lt;Brand_Profile!$D$43),"Audience Quality below Minimum Audience Quality",IF(AND(Brand_Profile!$D$44&gt;0,Matching_Engine!$AK$21&lt;Brand_Profile!$D$44),"Brand Safety below Minimum Brand Safety",IF(AND(Brand_Profile!$D$47="Yes",KOL_Database!$AD$20&lt;&gt;Brand_Profile!$D$19),"Audience Country does not match Target Country",IF(AND(Brand_Profile!$D$46="Yes",KOL_Database!$E$20&lt;&gt;Brand_Profile!$D$33),"Category is not the Preferred Category",IF(AND(Brand_Profile!$D$48&gt;0,Matching_Engine!$AL$21&gt;Brand_Profile!$D$48),"Competitor Saturation above Max Competitor Saturation",IF(AND(Brand_Profile!$D$50="Yes",KOL_Database!$AW$20="Yes"),"Already Selected",IF(AND(Brand_Profile!$D$51="Yes",KOL_Database!$AX$20="Yes"),"Already in Cart",IF(AND(Brand_Profile!$D$52="Yes",KOL_Database!$AY$20="Yes"),"Existing Partner",IF(AND(Brand_Profile!$D$53="Yes",KOL_Database!$AZ$20="Yes"),"Excluded Creator",IF(AND(Brand_Profile!$D$49&gt;0,Matching_Engine!$AP$21&lt;Brand_Profile!$D$49),"Brand Match below Minimum Brand Match","")))))))))))))))</f>
        <v/>
      </c>
      <c r="AX21" s="89" t="str">
        <f ca="1">IF(Matching_Engine!$AV$21="EXCLUDED","Excluded",IF(Matching_Engine!$AP$21&gt;=Lookup_Lists!$D$156,"Highly Recommended",IF(Matching_Engine!$AP$21&gt;=Lookup_Lists!$D$157,"Recommended",IF(Matching_Engine!$AP$21&gt;=Lookup_Lists!$D$158,"Consider","Low Priority"))))</f>
        <v>Consider</v>
      </c>
      <c r="AY21" s="142">
        <f ca="1">IF(Matching_Engine!$AV$21="PASS",Matching_Engine!$AP$21,"")</f>
        <v>67</v>
      </c>
      <c r="AZ21" s="89" t="str">
        <f>Matching_Engine!$A$21&amp;"|"&amp;Matching_Engine!$C$21</f>
        <v>BRAND-A|KOL-16</v>
      </c>
      <c r="BA21" s="89" t="str">
        <f>IFERROR(INDEX(Lookup_Lists!$B$51:$B$92,MATCH(Brand_Profile!$D$12,Lookup_Lists!$A$51:$A$92,0)),"")</f>
        <v>Tech</v>
      </c>
      <c r="BB21" s="89" t="str">
        <f>IFERROR(INDEX(Lookup_Lists!$B$51:$B$92,MATCH(KOL_Database!$F$20,Lookup_Lists!$A$51:$A$92,0)),"")</f>
        <v>Lifestyle</v>
      </c>
      <c r="BC21" s="142">
        <f>IFERROR(INDEX(Lookup_Lists!$B$185:$O$198,MATCH(Matching_Engine!$BA$21,Lookup_Lists!$A$185:$A$198,0),MATCH(KOL_Database!$E$20,Lookup_Lists!$B$184:$O$184,0)),Lookup_Lists!$D$151)</f>
        <v>40</v>
      </c>
      <c r="BD21" s="142">
        <f>IFERROR(INDEX(Lookup_Lists!$B$185:$O$198,MATCH(Brand_Profile!$D$33,Lookup_Lists!$A$185:$A$198,0),MATCH(KOL_Database!$E$20,Lookup_Lists!$B$184:$O$184,0)),Lookup_Lists!$D$151)</f>
        <v>40</v>
      </c>
      <c r="BE21" s="89" t="str">
        <f>IFERROR(INDEX(Lookup_Lists!$B$51:$B$92,MATCH(Brand_Profile!$D$34,Lookup_Lists!$A$51:$A$92,0)),"")</f>
        <v>Tech</v>
      </c>
      <c r="BF21" s="89" t="str">
        <f>KOL_Database!$AI$20&amp;", "&amp;KOL_Database!$AG$20&amp;", "&amp;KOL_Database!$F$20&amp;", "&amp;KOL_Database!$E$20</f>
        <v>Productivity, Education, Finance, Productivity, Education, Finance, Technology, Health, Self Improvement, Lifestyle</v>
      </c>
      <c r="BG21" s="89" t="str">
        <f>KOL_Database!$AI$20&amp;", "&amp;KOL_Database!$AG$20</f>
        <v>Productivity, Education, Finance, Productivity, Education, Finance, Technology, Health</v>
      </c>
    </row>
    <row r="22" spans="1:59">
      <c r="A22" s="101" t="s">
        <v>113</v>
      </c>
      <c r="B22" s="89" t="str">
        <f>Brand_Profile!$D$9</f>
        <v>Nusatech Cloud</v>
      </c>
      <c r="C22" s="89" t="str">
        <f>KOL_Database!$A$21</f>
        <v>KOL-17</v>
      </c>
      <c r="D22" s="89" t="str">
        <f>KOL_Database!$B$21</f>
        <v>Sinta Maharani</v>
      </c>
      <c r="E22" s="89" t="str">
        <f>KOL_Database!$C$21</f>
        <v>@sintajalanjalan</v>
      </c>
      <c r="F22" s="89" t="str">
        <f>KOL_Database!$D$21</f>
        <v>Instagram</v>
      </c>
      <c r="G22" s="89" t="str">
        <f>KOL_Database!$E$21</f>
        <v>Travel</v>
      </c>
      <c r="H22" s="89" t="str">
        <f>KOL_Database!$G$21</f>
        <v>Macro</v>
      </c>
      <c r="I22" s="140">
        <f>KOL_Database!$J$21</f>
        <v>187000</v>
      </c>
      <c r="J22" s="141">
        <f>KOL_Database!$K$21</f>
        <v>4.1</v>
      </c>
      <c r="K22" s="142">
        <f>IFERROR(INDEX(Lookup_Lists!$B$170:$O$181,MATCH(Brand_Profile!$D$10,Lookup_Lists!$A$170:$A$181,0),MATCH(KOL_Database!$E$21,Lookup_Lists!$B$169:$O$169,0)),Lookup_Lists!$D$151)</f>
        <v>40</v>
      </c>
      <c r="L22" s="142">
        <f>IF(KOL_Database!$F$21="",Matching_Engine!$BC$22,IF(Brand_Profile!$D$12=KOL_Database!$F$21,100,IF(Matching_Engine!$BA$22=KOL_Database!$E$21,80,IF(Matching_Engine!$BC$22&gt;=80,60,IF(Matching_Engine!$BC$22&gt;=60,40,Lookup_Lists!$D$151)))))</f>
        <v>20</v>
      </c>
      <c r="M22" s="142">
        <f>ROUND((IF(Brand_Profile!$D$62=0,Lookup_Lists!$D$150,ROUND((IF(Brand_Profile!$D$57="",0,IF(ISNUMBER(SEARCH(Brand_Profile!$D$57,Matching_Engine!$BF$22)),1,0))+IF(Brand_Profile!$D$58="",0,IF(ISNUMBER(SEARCH(Brand_Profile!$D$58,Matching_Engine!$BF$22)),1,0))+IF(Brand_Profile!$D$59="",0,IF(ISNUMBER(SEARCH(Brand_Profile!$D$59,Matching_Engine!$BF$22)),1,0))+IF(Brand_Profile!$D$60="",0,IF(ISNUMBER(SEARCH(Brand_Profile!$D$60,Matching_Engine!$BF$22)),1,0))+IF(Brand_Profile!$D$61="",0,IF(ISNUMBER(SEARCH(Brand_Profile!$D$61,Matching_Engine!$BF$22)),1,0)))/Brand_Profile!$D$62*100,0))+IF(Brand_Profile!$D$74=0,Lookup_Lists!$D$150,ROUND((IF(Brand_Profile!$D$69="",0,IF(ISNUMBER(SEARCH(Brand_Profile!$D$69,Matching_Engine!$BF$22)),1,0))+IF(Brand_Profile!$D$70="",0,IF(ISNUMBER(SEARCH(Brand_Profile!$D$70,Matching_Engine!$BF$22)),1,0))+IF(Brand_Profile!$D$71="",0,IF(ISNUMBER(SEARCH(Brand_Profile!$D$71,Matching_Engine!$BF$22)),1,0))+IF(Brand_Profile!$D$72="",0,IF(ISNUMBER(SEARCH(Brand_Profile!$D$72,Matching_Engine!$BF$22)),1,0))+IF(Brand_Profile!$D$73="",0,IF(ISNUMBER(SEARCH(Brand_Profile!$D$73,Matching_Engine!$BF$22)),1,0)))/Brand_Profile!$D$74*100,0)))/2,0)</f>
        <v>0</v>
      </c>
      <c r="N22" s="142">
        <f>ROUND((Matching_Engine!$K$22*Lookup_Lists!$D$110+Matching_Engine!$L$22*Lookup_Lists!$D$111+Matching_Engine!$M$22*Lookup_Lists!$D$112)/(Lookup_Lists!$D$110+Lookup_Lists!$D$111+Lookup_Lists!$D$112),0)</f>
        <v>22</v>
      </c>
      <c r="O22" s="142">
        <f ca="1">IF(Brand_Profile!$D$16="",Lookup_Lists!$D$150,MIN(100,ROUND((IFERROR(INDEX(KOL_Database!$W$21:KOL_Database!$AA$21,1,MATCH(Brand_Profile!$D$16,Lookup_Lists!$F$6:$F$10,0)),0)+0.5*IFERROR(INDEX(KOL_Database!$W$21:KOL_Database!$AA$21,1,MATCH(Brand_Profile!$D$17,Lookup_Lists!$F$6:$F$10,0)),0))/Lookup_Lists!$D$142*100,0)))</f>
        <v>100</v>
      </c>
      <c r="P22" s="142">
        <f>IF(OR(Brand_Profile!$D$18="",Brand_Profile!$D$18="Any"),100,IF(Brand_Profile!$D$18="Female",MIN(100,ROUND(KOL_Database!$AB$21/Lookup_Lists!$D$143*100,0)),IF(Brand_Profile!$D$18="Male",MIN(100,ROUND(KOL_Database!$AC$21/Lookup_Lists!$D$143*100,0)),MAX(0,ROUND(100-ABS(KOL_Database!$AB$21-50)*2,0)))))</f>
        <v>100</v>
      </c>
      <c r="Q22" s="142">
        <f>ROUND((IF(Brand_Profile!$D$19="",100,IF(KOL_Database!$AD$21=Brand_Profile!$D$19,100,Lookup_Lists!$D$151))*Lookup_Lists!$D$118+IF(OR(Brand_Profile!$D$20="",Brand_Profile!$D$20="Nasional"),100,IF(KOL_Database!$AE$21="",Lookup_Lists!$D$150,IF(KOL_Database!$AE$21=Brand_Profile!$D$20,100,IF(KOL_Database!$AD$21=Brand_Profile!$D$19,40,Lookup_Lists!$D$151))))*Lookup_Lists!$D$119+IF(OR(Brand_Profile!$D$21="",Brand_Profile!$D$21="Nasional"),100,IF(KOL_Database!$AF$21="",Lookup_Lists!$D$150,IF(KOL_Database!$AF$21=Brand_Profile!$D$21,100,IF(KOL_Database!$AE$21=Brand_Profile!$D$20,60,Lookup_Lists!$D$151))))*Lookup_Lists!$D$120)/(Lookup_Lists!$D$118+Lookup_Lists!$D$119+Lookup_Lists!$D$120),0)</f>
        <v>65</v>
      </c>
      <c r="R22" s="142">
        <f>IF(Brand_Profile!$D$68=0,Lookup_Lists!$D$150,ROUND((IF(Brand_Profile!$D$63="",0,IF(ISNUMBER(SEARCH(Brand_Profile!$D$63,KOL_Database!$AG$21)),1,0))+IF(Brand_Profile!$D$64="",0,IF(ISNUMBER(SEARCH(Brand_Profile!$D$64,KOL_Database!$AG$21)),1,0))+IF(Brand_Profile!$D$65="",0,IF(ISNUMBER(SEARCH(Brand_Profile!$D$65,KOL_Database!$AG$21)),1,0))+IF(Brand_Profile!$D$66="",0,IF(ISNUMBER(SEARCH(Brand_Profile!$D$66,KOL_Database!$AG$21)),1,0))+IF(Brand_Profile!$D$67="",0,IF(ISNUMBER(SEARCH(Brand_Profile!$D$67,KOL_Database!$AG$21)),1,0)))/Brand_Profile!$D$68*100,0))</f>
        <v>0</v>
      </c>
      <c r="S22" s="142">
        <f ca="1">ROUND((Matching_Engine!$O$22*Brand_Profile!$D$96+Matching_Engine!$P$22*Brand_Profile!$D$97+Matching_Engine!$Q$22*Brand_Profile!$D$98+Matching_Engine!$R$22*Brand_Profile!$D$99)/MAX(1,Brand_Profile!$D$96+Brand_Profile!$D$97+Brand_Profile!$D$98+Brand_Profile!$D$99),0)</f>
        <v>49</v>
      </c>
      <c r="T22" s="142">
        <f>IF(Brand_Profile!$D$33="",Lookup_Lists!$D$150,Matching_Engine!$BD$22)</f>
        <v>20</v>
      </c>
      <c r="U22" s="142">
        <f>IF(Brand_Profile!$D$34="",Lookup_Lists!$D$150,IF(Brand_Profile!$D$34=KOL_Database!$F$21,100,IF(Matching_Engine!$BE$22=KOL_Database!$E$21,75,IF(Matching_Engine!$BD$22&gt;=80,Lookup_Lists!$D$150,IF(Matching_Engine!$BD$22&gt;=60,35,Lookup_Lists!$D$151)))))</f>
        <v>20</v>
      </c>
      <c r="V22" s="142">
        <f>IF(Brand_Profile!$D$86=0,Lookup_Lists!$D$150,ROUND((IF(Brand_Profile!$D$81="",0,IF(ISNUMBER(SEARCH(Brand_Profile!$D$81,Matching_Engine!$BG$22)),1,0))+IF(Brand_Profile!$D$82="",0,IF(ISNUMBER(SEARCH(Brand_Profile!$D$82,Matching_Engine!$BG$22)),1,0))+IF(Brand_Profile!$D$83="",0,IF(ISNUMBER(SEARCH(Brand_Profile!$D$83,Matching_Engine!$BG$22)),1,0))+IF(Brand_Profile!$D$84="",0,IF(ISNUMBER(SEARCH(Brand_Profile!$D$84,Matching_Engine!$BG$22)),1,0))+IF(Brand_Profile!$D$85="",0,IF(ISNUMBER(SEARCH(Brand_Profile!$D$85,Matching_Engine!$BG$22)),1,0)))/Brand_Profile!$D$86*100,0))</f>
        <v>0</v>
      </c>
      <c r="W22" s="142">
        <f>IF(Brand_Profile!$D$39="",Lookup_Lists!$D$150,IFERROR(INDEX(Lookup_Lists!$B$237:$K$246,MATCH(Brand_Profile!$D$39,Lookup_Lists!$A$237:$A$246,0),MATCH(KOL_Database!$AJ$21,Lookup_Lists!$B$236:$K$236,0)),45))</f>
        <v>45</v>
      </c>
      <c r="X22" s="142">
        <f>ROUND((Matching_Engine!$T$22*Lookup_Lists!$D$121+Matching_Engine!$U$22*Lookup_Lists!$D$122+Matching_Engine!$V$22*Lookup_Lists!$D$123+Matching_Engine!$W$22*Lookup_Lists!$D$124)/(Lookup_Lists!$D$121+Lookup_Lists!$D$122+Lookup_Lists!$D$123+Lookup_Lists!$D$124),0)</f>
        <v>19</v>
      </c>
      <c r="Y22" s="142">
        <f>MIN(100,MAX(IFERROR(INDEX(Lookup_Lists!$B$202:$M$211,MATCH(Brand_Profile!$D$25,Lookup_Lists!$A$202:$A$211,0),MATCH(KOL_Database!$AK$21,Lookup_Lists!$B$201:$M$201,0)),40),IF(KOL_Database!$AK$21=Brand_Profile!$D$41,95,0)))</f>
        <v>60</v>
      </c>
      <c r="Z22" s="142">
        <f>IFERROR(INDEX(Lookup_Lists!$B$215:$K$222,MATCH(Brand_Profile!$D$27,Lookup_Lists!$A$215:$A$222,0),MATCH(KOL_Database!$AJ$21,Lookup_Lists!$B$214:$K$214,0)),45)</f>
        <v>50</v>
      </c>
      <c r="AA22" s="142">
        <f>ROUND((IF(Brand_Profile!$D$80=0,Lookup_Lists!$D$150,ROUND((IF(Brand_Profile!$D$75="",0,IF(ISNUMBER(SEARCH(Brand_Profile!$D$75,KOL_Database!$AL$21)),1,0))+IF(Brand_Profile!$D$76="",0,IF(ISNUMBER(SEARCH(Brand_Profile!$D$76,KOL_Database!$AL$21)),1,0))+IF(Brand_Profile!$D$77="",0,IF(ISNUMBER(SEARCH(Brand_Profile!$D$77,KOL_Database!$AL$21)),1,0))+IF(Brand_Profile!$D$78="",0,IF(ISNUMBER(SEARCH(Brand_Profile!$D$78,KOL_Database!$AL$21)),1,0))+IF(Brand_Profile!$D$79="",0,IF(ISNUMBER(SEARCH(Brand_Profile!$D$79,KOL_Database!$AL$21)),1,0)))/Brand_Profile!$D$80*100,0))+IF(Brand_Profile!$D$92=0,Lookup_Lists!$D$150,ROUND((IF(Brand_Profile!$D$87="",0,IF(ISNUMBER(SEARCH(Brand_Profile!$D$87,KOL_Database!$AL$21)),1,0))+IF(Brand_Profile!$D$88="",0,IF(ISNUMBER(SEARCH(Brand_Profile!$D$88,KOL_Database!$AL$21)),1,0))+IF(Brand_Profile!$D$89="",0,IF(ISNUMBER(SEARCH(Brand_Profile!$D$89,KOL_Database!$AL$21)),1,0))+IF(Brand_Profile!$D$90="",0,IF(ISNUMBER(SEARCH(Brand_Profile!$D$90,KOL_Database!$AL$21)),1,0))+IF(Brand_Profile!$D$91="",0,IF(ISNUMBER(SEARCH(Brand_Profile!$D$91,KOL_Database!$AL$21)),1,0)))/Brand_Profile!$D$92*100,0)))/2,0)</f>
        <v>20</v>
      </c>
      <c r="AB22" s="142">
        <f>IFERROR(INDEX(Lookup_Lists!$B$226:$K$233,MATCH(Brand_Profile!$D$30,Lookup_Lists!$A$226:$A$233,0),MATCH(KOL_Database!$AJ$21,Lookup_Lists!$B$225:$K$225,0)),45)</f>
        <v>45</v>
      </c>
      <c r="AC22" s="142">
        <f>ROUND((Matching_Engine!$Y$22*Lookup_Lists!$D$125+Matching_Engine!$Z$22*Lookup_Lists!$D$126+Matching_Engine!$AA$22*Lookup_Lists!$D$127+Matching_Engine!$AB$22*Lookup_Lists!$D$128)/(Lookup_Lists!$D$125+Lookup_Lists!$D$126+Lookup_Lists!$D$127+Lookup_Lists!$D$128),0)</f>
        <v>45</v>
      </c>
      <c r="AD22" s="142">
        <f>IF(KOL_Database!$K$21="",0,MIN(100,ROUND(KOL_Database!$K$21/Lookup_Lists!$D$141*100,0)))</f>
        <v>68</v>
      </c>
      <c r="AE22" s="142">
        <f>IF(KOL_Database!$R$21="",0,MIN(100,MAX(0,KOL_Database!$R$21)))</f>
        <v>79</v>
      </c>
      <c r="AF22" s="142">
        <f>IF(KOL_Database!$P$21="",0,MIN(100,MAX(0,KOL_Database!$P$21)))</f>
        <v>60</v>
      </c>
      <c r="AG22" s="142">
        <f>IF(KOL_Database!$Q$21="",0,MIN(100,MAX(0,KOL_Database!$Q$21)))</f>
        <v>55</v>
      </c>
      <c r="AH22" s="142">
        <f>IF(OR(KOL_Database!$J$21="",KOL_Database!$J$21=0,KOL_Database!$L$21=""),0,MIN(100,ROUND(KOL_Database!$L$21/KOL_Database!$J$21/Lookup_Lists!$D$144*100,0)))</f>
        <v>68</v>
      </c>
      <c r="AI22" s="142">
        <f>IF(KOL_Database!$N$21="",0,MIN(100,MAX(0,ROUND((KOL_Database!$N$21+2)/(Lookup_Lists!$D$145+2)*100,0))))</f>
        <v>58</v>
      </c>
      <c r="AJ22" s="142">
        <f>ROUND((Matching_Engine!$AD$22*Lookup_Lists!$D$129+Matching_Engine!$AE$22*Lookup_Lists!$D$130+Matching_Engine!$AF$22*Lookup_Lists!$D$131+Matching_Engine!$AG$22*Lookup_Lists!$D$132+Matching_Engine!$AH$22*Lookup_Lists!$D$133+Matching_Engine!$AI$22*Lookup_Lists!$D$134)/(Lookup_Lists!$D$129+Lookup_Lists!$D$130+Lookup_Lists!$D$131+Lookup_Lists!$D$132+Lookup_Lists!$D$133+Lookup_Lists!$D$134),0)</f>
        <v>67</v>
      </c>
      <c r="AK22" s="142">
        <f>IF(KOL_Database!$AT$21="",0,MIN(100,MAX(0,KOL_Database!$AT$21)))</f>
        <v>83</v>
      </c>
      <c r="AL22" s="142">
        <f>IF(KOL_Database!$AU$21="",0,KOL_Database!$AU$21)</f>
        <v>41</v>
      </c>
      <c r="AM22" s="89" t="str">
        <f>IF(KOL_Database!$AV$21="","None",KOL_Database!$AV$21)</f>
        <v>None</v>
      </c>
      <c r="AN22" s="143">
        <f>IF(Matching_Engine!$AM$22="High",Lookup_Lists!$D$137,IF(Matching_Engine!$AM$22="Medium",Lookup_Lists!$D$138,IF(Matching_Engine!$AM$22="Low",Lookup_Lists!$D$139,Lookup_Lists!$D$140)))</f>
        <v>1</v>
      </c>
      <c r="AO22" s="142">
        <f>ROUND(MIN(100,MAX(0,(Matching_Engine!$AK$22*Lookup_Lists!$D$135+(100-Matching_Engine!$AL$22)*Lookup_Lists!$D$136)/(Lookup_Lists!$D$135+Lookup_Lists!$D$136)*Matching_Engine!$AN$22)),0)</f>
        <v>78</v>
      </c>
      <c r="AP22" s="13">
        <f ca="1">ROUND((Matching_Engine!$N$22*Lookup_Lists!$D$104+Matching_Engine!$S$22*Lookup_Lists!$D$105+Matching_Engine!$X$22*Lookup_Lists!$D$106+Matching_Engine!$AC$22*Lookup_Lists!$D$107+Matching_Engine!$AJ$22*Lookup_Lists!$D$108+Matching_Engine!$AO$22*Lookup_Lists!$D$109)/MAX(1,(Lookup_Lists!$D$104+Lookup_Lists!$D$105+Lookup_Lists!$D$106+Lookup_Lists!$D$107+Lookup_Lists!$D$108+Lookup_Lists!$D$109)),0)</f>
        <v>42</v>
      </c>
      <c r="AQ22" s="89" t="str">
        <f ca="1">IF(Matching_Engine!$AP$22&gt;=Lookup_Lists!$D$152,"Excellent Match",IF(Matching_Engine!$AP$22&gt;=Lookup_Lists!$D$153,"Strong Match",IF(Matching_Engine!$AP$22&gt;=Lookup_Lists!$D$154,"Good Match",IF(Matching_Engine!$AP$22&gt;=Lookup_Lists!$D$155,"Moderate Match","Low Match"))))</f>
        <v>Low Match</v>
      </c>
      <c r="AR22" s="142">
        <f>KOL_Database!$BE$21</f>
        <v>100</v>
      </c>
      <c r="AS22" s="89" t="str">
        <f>IF(Matching_Engine!$AR$22&gt;=Lookup_Lists!$D$159,"High",IF(Matching_Engine!$AR$22&gt;=Lookup_Lists!$D$160,"Medium","Limited Data"))</f>
        <v>High</v>
      </c>
      <c r="AT22" s="142">
        <f>ROUND((Matching_Engine!$N$22+Matching_Engine!$X$22+Matching_Engine!$AC$22)/3,0)</f>
        <v>29</v>
      </c>
      <c r="AU22" s="142">
        <f>ROUND(((100-Matching_Engine!$AL$22)*Lookup_Lists!$D$162+IF(KOL_Database!$BD$21="",Lookup_Lists!$D$150,KOL_Database!$BD$21)*Lookup_Lists!$D$163+Matching_Engine!$AI$22*Lookup_Lists!$D$164+Matching_Engine!$AD$22*Lookup_Lists!$D$165)/(Lookup_Lists!$D$162+Lookup_Lists!$D$163+Lookup_Lists!$D$164+Lookup_Lists!$D$165),0)</f>
        <v>59</v>
      </c>
      <c r="AV22" s="89" t="str">
        <f ca="1">IF(Matching_Engine!$AW$22="","PASS","EXCLUDED")</f>
        <v>PASS</v>
      </c>
      <c r="AW22" s="89" t="str">
        <f ca="1">IF(ISERROR(SEARCH(KOL_Database!$D$21,Brand_Profile!$D$32)),"Platform not in Preferred Platform",IF(AND(Brand_Profile!$D$36&gt;0,KOL_Database!$J$21&lt;Brand_Profile!$D$36),"Followers below Preferred Follower Range",IF(AND(Brand_Profile!$D$37&gt;0,KOL_Database!$J$21&gt;Brand_Profile!$D$37),"Followers above Preferred Follower Range",IF(AND(Brand_Profile!$D$38&gt;0,IF(KOL_Database!$K$21="",0,KOL_Database!$K$21)&lt;Brand_Profile!$D$38),"Engagement Rate below Minimum Engagement Rate",IF(ISERROR(SEARCH(KOL_Database!$G$21,Brand_Profile!$D$35)),"Tier not in Preferred Tier",IF(AND(Brand_Profile!$D$43&gt;0,Matching_Engine!$AE$22&lt;Brand_Profile!$D$43),"Audience Quality below Minimum Audience Quality",IF(AND(Brand_Profile!$D$44&gt;0,Matching_Engine!$AK$22&lt;Brand_Profile!$D$44),"Brand Safety below Minimum Brand Safety",IF(AND(Brand_Profile!$D$47="Yes",KOL_Database!$AD$21&lt;&gt;Brand_Profile!$D$19),"Audience Country does not match Target Country",IF(AND(Brand_Profile!$D$46="Yes",KOL_Database!$E$21&lt;&gt;Brand_Profile!$D$33),"Category is not the Preferred Category",IF(AND(Brand_Profile!$D$48&gt;0,Matching_Engine!$AL$22&gt;Brand_Profile!$D$48),"Competitor Saturation above Max Competitor Saturation",IF(AND(Brand_Profile!$D$50="Yes",KOL_Database!$AW$21="Yes"),"Already Selected",IF(AND(Brand_Profile!$D$51="Yes",KOL_Database!$AX$21="Yes"),"Already in Cart",IF(AND(Brand_Profile!$D$52="Yes",KOL_Database!$AY$21="Yes"),"Existing Partner",IF(AND(Brand_Profile!$D$53="Yes",KOL_Database!$AZ$21="Yes"),"Excluded Creator",IF(AND(Brand_Profile!$D$49&gt;0,Matching_Engine!$AP$22&lt;Brand_Profile!$D$49),"Brand Match below Minimum Brand Match","")))))))))))))))</f>
        <v/>
      </c>
      <c r="AX22" s="89" t="str">
        <f ca="1">IF(Matching_Engine!$AV$22="EXCLUDED","Excluded",IF(Matching_Engine!$AP$22&gt;=Lookup_Lists!$D$156,"Highly Recommended",IF(Matching_Engine!$AP$22&gt;=Lookup_Lists!$D$157,"Recommended",IF(Matching_Engine!$AP$22&gt;=Lookup_Lists!$D$158,"Consider","Low Priority"))))</f>
        <v>Low Priority</v>
      </c>
      <c r="AY22" s="142">
        <f ca="1">IF(Matching_Engine!$AV$22="PASS",Matching_Engine!$AP$22,"")</f>
        <v>42</v>
      </c>
      <c r="AZ22" s="89" t="str">
        <f>Matching_Engine!$A$22&amp;"|"&amp;Matching_Engine!$C$22</f>
        <v>BRAND-A|KOL-17</v>
      </c>
      <c r="BA22" s="89" t="str">
        <f>IFERROR(INDEX(Lookup_Lists!$B$51:$B$92,MATCH(Brand_Profile!$D$12,Lookup_Lists!$A$51:$A$92,0)),"")</f>
        <v>Tech</v>
      </c>
      <c r="BB22" s="89" t="str">
        <f>IFERROR(INDEX(Lookup_Lists!$B$51:$B$92,MATCH(KOL_Database!$F$21,Lookup_Lists!$A$51:$A$92,0)),"")</f>
        <v>Travel</v>
      </c>
      <c r="BC22" s="142">
        <f>IFERROR(INDEX(Lookup_Lists!$B$185:$O$198,MATCH(Matching_Engine!$BA$22,Lookup_Lists!$A$185:$A$198,0),MATCH(KOL_Database!$E$21,Lookup_Lists!$B$184:$O$184,0)),Lookup_Lists!$D$151)</f>
        <v>20</v>
      </c>
      <c r="BD22" s="142">
        <f>IFERROR(INDEX(Lookup_Lists!$B$185:$O$198,MATCH(Brand_Profile!$D$33,Lookup_Lists!$A$185:$A$198,0),MATCH(KOL_Database!$E$21,Lookup_Lists!$B$184:$O$184,0)),Lookup_Lists!$D$151)</f>
        <v>20</v>
      </c>
      <c r="BE22" s="89" t="str">
        <f>IFERROR(INDEX(Lookup_Lists!$B$51:$B$92,MATCH(Brand_Profile!$D$34,Lookup_Lists!$A$51:$A$92,0)),"")</f>
        <v>Tech</v>
      </c>
      <c r="BF22" s="89" t="str">
        <f>KOL_Database!$AI$21&amp;", "&amp;KOL_Database!$AG$21&amp;", "&amp;KOL_Database!$F$21&amp;", "&amp;KOL_Database!$E$21</f>
        <v>Travel, Food, Shopping, Travel, Food, Shopping, Fashion, Entertainment, Domestic Travel, Travel</v>
      </c>
      <c r="BG22" s="89" t="str">
        <f>KOL_Database!$AI$21&amp;", "&amp;KOL_Database!$AG$21</f>
        <v>Travel, Food, Shopping, Travel, Food, Shopping, Fashion, Entertainment</v>
      </c>
    </row>
    <row r="23" spans="1:59">
      <c r="A23" s="101" t="s">
        <v>113</v>
      </c>
      <c r="B23" s="89" t="str">
        <f>Brand_Profile!$D$9</f>
        <v>Nusatech Cloud</v>
      </c>
      <c r="C23" s="89" t="str">
        <f>KOL_Database!$A$22</f>
        <v>KOL-18</v>
      </c>
      <c r="D23" s="89" t="str">
        <f>KOL_Database!$B$22</f>
        <v>Reza Fadillah</v>
      </c>
      <c r="E23" s="89" t="str">
        <f>KOL_Database!$C$22</f>
        <v>@rezabudgettrip</v>
      </c>
      <c r="F23" s="89" t="str">
        <f>KOL_Database!$D$22</f>
        <v>TikTok</v>
      </c>
      <c r="G23" s="89" t="str">
        <f>KOL_Database!$E$22</f>
        <v>Travel</v>
      </c>
      <c r="H23" s="89" t="str">
        <f>KOL_Database!$G$22</f>
        <v>Mid-tier</v>
      </c>
      <c r="I23" s="140">
        <f>KOL_Database!$J$22</f>
        <v>72000</v>
      </c>
      <c r="J23" s="141">
        <f>KOL_Database!$K$22</f>
        <v>6.9</v>
      </c>
      <c r="K23" s="142">
        <f>IFERROR(INDEX(Lookup_Lists!$B$170:$O$181,MATCH(Brand_Profile!$D$10,Lookup_Lists!$A$170:$A$181,0),MATCH(KOL_Database!$E$22,Lookup_Lists!$B$169:$O$169,0)),Lookup_Lists!$D$151)</f>
        <v>40</v>
      </c>
      <c r="L23" s="142">
        <f>IF(KOL_Database!$F$22="",Matching_Engine!$BC$23,IF(Brand_Profile!$D$12=KOL_Database!$F$22,100,IF(Matching_Engine!$BA$23=KOL_Database!$E$22,80,IF(Matching_Engine!$BC$23&gt;=80,60,IF(Matching_Engine!$BC$23&gt;=60,40,Lookup_Lists!$D$151)))))</f>
        <v>20</v>
      </c>
      <c r="M23" s="142">
        <f>ROUND((IF(Brand_Profile!$D$62=0,Lookup_Lists!$D$150,ROUND((IF(Brand_Profile!$D$57="",0,IF(ISNUMBER(SEARCH(Brand_Profile!$D$57,Matching_Engine!$BF$23)),1,0))+IF(Brand_Profile!$D$58="",0,IF(ISNUMBER(SEARCH(Brand_Profile!$D$58,Matching_Engine!$BF$23)),1,0))+IF(Brand_Profile!$D$59="",0,IF(ISNUMBER(SEARCH(Brand_Profile!$D$59,Matching_Engine!$BF$23)),1,0))+IF(Brand_Profile!$D$60="",0,IF(ISNUMBER(SEARCH(Brand_Profile!$D$60,Matching_Engine!$BF$23)),1,0))+IF(Brand_Profile!$D$61="",0,IF(ISNUMBER(SEARCH(Brand_Profile!$D$61,Matching_Engine!$BF$23)),1,0)))/Brand_Profile!$D$62*100,0))+IF(Brand_Profile!$D$74=0,Lookup_Lists!$D$150,ROUND((IF(Brand_Profile!$D$69="",0,IF(ISNUMBER(SEARCH(Brand_Profile!$D$69,Matching_Engine!$BF$23)),1,0))+IF(Brand_Profile!$D$70="",0,IF(ISNUMBER(SEARCH(Brand_Profile!$D$70,Matching_Engine!$BF$23)),1,0))+IF(Brand_Profile!$D$71="",0,IF(ISNUMBER(SEARCH(Brand_Profile!$D$71,Matching_Engine!$BF$23)),1,0))+IF(Brand_Profile!$D$72="",0,IF(ISNUMBER(SEARCH(Brand_Profile!$D$72,Matching_Engine!$BF$23)),1,0))+IF(Brand_Profile!$D$73="",0,IF(ISNUMBER(SEARCH(Brand_Profile!$D$73,Matching_Engine!$BF$23)),1,0)))/Brand_Profile!$D$74*100,0)))/2,0)</f>
        <v>20</v>
      </c>
      <c r="N23" s="142">
        <f>ROUND((Matching_Engine!$K$23*Lookup_Lists!$D$110+Matching_Engine!$L$23*Lookup_Lists!$D$111+Matching_Engine!$M$23*Lookup_Lists!$D$112)/(Lookup_Lists!$D$110+Lookup_Lists!$D$111+Lookup_Lists!$D$112),0)</f>
        <v>28</v>
      </c>
      <c r="O23" s="142">
        <f ca="1">IF(Brand_Profile!$D$16="",Lookup_Lists!$D$150,MIN(100,ROUND((IFERROR(INDEX(KOL_Database!$W$22:KOL_Database!$AA$22,1,MATCH(Brand_Profile!$D$16,Lookup_Lists!$F$6:$F$10,0)),0)+0.5*IFERROR(INDEX(KOL_Database!$W$22:KOL_Database!$AA$22,1,MATCH(Brand_Profile!$D$17,Lookup_Lists!$F$6:$F$10,0)),0))/Lookup_Lists!$D$142*100,0)))</f>
        <v>100</v>
      </c>
      <c r="P23" s="142">
        <f>IF(OR(Brand_Profile!$D$18="",Brand_Profile!$D$18="Any"),100,IF(Brand_Profile!$D$18="Female",MIN(100,ROUND(KOL_Database!$AB$22/Lookup_Lists!$D$143*100,0)),IF(Brand_Profile!$D$18="Male",MIN(100,ROUND(KOL_Database!$AC$22/Lookup_Lists!$D$143*100,0)),MAX(0,ROUND(100-ABS(KOL_Database!$AB$22-50)*2,0)))))</f>
        <v>100</v>
      </c>
      <c r="Q23" s="142">
        <f>ROUND((IF(Brand_Profile!$D$19="",100,IF(KOL_Database!$AD$22=Brand_Profile!$D$19,100,Lookup_Lists!$D$151))*Lookup_Lists!$D$118+IF(OR(Brand_Profile!$D$20="",Brand_Profile!$D$20="Nasional"),100,IF(KOL_Database!$AE$22="",Lookup_Lists!$D$150,IF(KOL_Database!$AE$22=Brand_Profile!$D$20,100,IF(KOL_Database!$AD$22=Brand_Profile!$D$19,40,Lookup_Lists!$D$151))))*Lookup_Lists!$D$119+IF(OR(Brand_Profile!$D$21="",Brand_Profile!$D$21="Nasional"),100,IF(KOL_Database!$AF$22="",Lookup_Lists!$D$150,IF(KOL_Database!$AF$22=Brand_Profile!$D$21,100,IF(KOL_Database!$AE$22=Brand_Profile!$D$20,60,Lookup_Lists!$D$151))))*Lookup_Lists!$D$120)/(Lookup_Lists!$D$118+Lookup_Lists!$D$119+Lookup_Lists!$D$120),0)</f>
        <v>65</v>
      </c>
      <c r="R23" s="142">
        <f>IF(Brand_Profile!$D$68=0,Lookup_Lists!$D$150,ROUND((IF(Brand_Profile!$D$63="",0,IF(ISNUMBER(SEARCH(Brand_Profile!$D$63,KOL_Database!$AG$22)),1,0))+IF(Brand_Profile!$D$64="",0,IF(ISNUMBER(SEARCH(Brand_Profile!$D$64,KOL_Database!$AG$22)),1,0))+IF(Brand_Profile!$D$65="",0,IF(ISNUMBER(SEARCH(Brand_Profile!$D$65,KOL_Database!$AG$22)),1,0))+IF(Brand_Profile!$D$66="",0,IF(ISNUMBER(SEARCH(Brand_Profile!$D$66,KOL_Database!$AG$22)),1,0))+IF(Brand_Profile!$D$67="",0,IF(ISNUMBER(SEARCH(Brand_Profile!$D$67,KOL_Database!$AG$22)),1,0)))/Brand_Profile!$D$68*100,0))</f>
        <v>20</v>
      </c>
      <c r="S23" s="142">
        <f ca="1">ROUND((Matching_Engine!$O$23*Brand_Profile!$D$96+Matching_Engine!$P$23*Brand_Profile!$D$97+Matching_Engine!$Q$23*Brand_Profile!$D$98+Matching_Engine!$R$23*Brand_Profile!$D$99)/MAX(1,Brand_Profile!$D$96+Brand_Profile!$D$97+Brand_Profile!$D$98+Brand_Profile!$D$99),0)</f>
        <v>57</v>
      </c>
      <c r="T23" s="142">
        <f>IF(Brand_Profile!$D$33="",Lookup_Lists!$D$150,Matching_Engine!$BD$23)</f>
        <v>20</v>
      </c>
      <c r="U23" s="142">
        <f>IF(Brand_Profile!$D$34="",Lookup_Lists!$D$150,IF(Brand_Profile!$D$34=KOL_Database!$F$22,100,IF(Matching_Engine!$BE$23=KOL_Database!$E$22,75,IF(Matching_Engine!$BD$23&gt;=80,Lookup_Lists!$D$150,IF(Matching_Engine!$BD$23&gt;=60,35,Lookup_Lists!$D$151)))))</f>
        <v>20</v>
      </c>
      <c r="V23" s="142">
        <f>IF(Brand_Profile!$D$86=0,Lookup_Lists!$D$150,ROUND((IF(Brand_Profile!$D$81="",0,IF(ISNUMBER(SEARCH(Brand_Profile!$D$81,Matching_Engine!$BG$23)),1,0))+IF(Brand_Profile!$D$82="",0,IF(ISNUMBER(SEARCH(Brand_Profile!$D$82,Matching_Engine!$BG$23)),1,0))+IF(Brand_Profile!$D$83="",0,IF(ISNUMBER(SEARCH(Brand_Profile!$D$83,Matching_Engine!$BG$23)),1,0))+IF(Brand_Profile!$D$84="",0,IF(ISNUMBER(SEARCH(Brand_Profile!$D$84,Matching_Engine!$BG$23)),1,0))+IF(Brand_Profile!$D$85="",0,IF(ISNUMBER(SEARCH(Brand_Profile!$D$85,Matching_Engine!$BG$23)),1,0)))/Brand_Profile!$D$86*100,0))</f>
        <v>20</v>
      </c>
      <c r="W23" s="142">
        <f>IF(Brand_Profile!$D$39="",Lookup_Lists!$D$150,IFERROR(INDEX(Lookup_Lists!$B$237:$K$246,MATCH(Brand_Profile!$D$39,Lookup_Lists!$A$237:$A$246,0),MATCH(KOL_Database!$AJ$22,Lookup_Lists!$B$236:$K$236,0)),45))</f>
        <v>45</v>
      </c>
      <c r="X23" s="142">
        <f>ROUND((Matching_Engine!$T$23*Lookup_Lists!$D$121+Matching_Engine!$U$23*Lookup_Lists!$D$122+Matching_Engine!$V$23*Lookup_Lists!$D$123+Matching_Engine!$W$23*Lookup_Lists!$D$124)/(Lookup_Lists!$D$121+Lookup_Lists!$D$122+Lookup_Lists!$D$123+Lookup_Lists!$D$124),0)</f>
        <v>25</v>
      </c>
      <c r="Y23" s="142">
        <f>MIN(100,MAX(IFERROR(INDEX(Lookup_Lists!$B$202:$M$211,MATCH(Brand_Profile!$D$25,Lookup_Lists!$A$202:$A$211,0),MATCH(KOL_Database!$AK$22,Lookup_Lists!$B$201:$M$201,0)),40),IF(KOL_Database!$AK$22=Brand_Profile!$D$41,95,0)))</f>
        <v>40</v>
      </c>
      <c r="Z23" s="142">
        <f>IFERROR(INDEX(Lookup_Lists!$B$215:$K$222,MATCH(Brand_Profile!$D$27,Lookup_Lists!$A$215:$A$222,0),MATCH(KOL_Database!$AJ$22,Lookup_Lists!$B$214:$K$214,0)),45)</f>
        <v>55</v>
      </c>
      <c r="AA23" s="142">
        <f>ROUND((IF(Brand_Profile!$D$80=0,Lookup_Lists!$D$150,ROUND((IF(Brand_Profile!$D$75="",0,IF(ISNUMBER(SEARCH(Brand_Profile!$D$75,KOL_Database!$AL$22)),1,0))+IF(Brand_Profile!$D$76="",0,IF(ISNUMBER(SEARCH(Brand_Profile!$D$76,KOL_Database!$AL$22)),1,0))+IF(Brand_Profile!$D$77="",0,IF(ISNUMBER(SEARCH(Brand_Profile!$D$77,KOL_Database!$AL$22)),1,0))+IF(Brand_Profile!$D$78="",0,IF(ISNUMBER(SEARCH(Brand_Profile!$D$78,KOL_Database!$AL$22)),1,0))+IF(Brand_Profile!$D$79="",0,IF(ISNUMBER(SEARCH(Brand_Profile!$D$79,KOL_Database!$AL$22)),1,0)))/Brand_Profile!$D$80*100,0))+IF(Brand_Profile!$D$92=0,Lookup_Lists!$D$150,ROUND((IF(Brand_Profile!$D$87="",0,IF(ISNUMBER(SEARCH(Brand_Profile!$D$87,KOL_Database!$AL$22)),1,0))+IF(Brand_Profile!$D$88="",0,IF(ISNUMBER(SEARCH(Brand_Profile!$D$88,KOL_Database!$AL$22)),1,0))+IF(Brand_Profile!$D$89="",0,IF(ISNUMBER(SEARCH(Brand_Profile!$D$89,KOL_Database!$AL$22)),1,0))+IF(Brand_Profile!$D$90="",0,IF(ISNUMBER(SEARCH(Brand_Profile!$D$90,KOL_Database!$AL$22)),1,0))+IF(Brand_Profile!$D$91="",0,IF(ISNUMBER(SEARCH(Brand_Profile!$D$91,KOL_Database!$AL$22)),1,0)))/Brand_Profile!$D$92*100,0)))/2,0)</f>
        <v>0</v>
      </c>
      <c r="AB23" s="142">
        <f>IFERROR(INDEX(Lookup_Lists!$B$226:$K$233,MATCH(Brand_Profile!$D$30,Lookup_Lists!$A$226:$A$233,0),MATCH(KOL_Database!$AJ$22,Lookup_Lists!$B$225:$K$225,0)),45)</f>
        <v>50</v>
      </c>
      <c r="AC23" s="142">
        <f>ROUND((Matching_Engine!$Y$23*Lookup_Lists!$D$125+Matching_Engine!$Z$23*Lookup_Lists!$D$126+Matching_Engine!$AA$23*Lookup_Lists!$D$127+Matching_Engine!$AB$23*Lookup_Lists!$D$128)/(Lookup_Lists!$D$125+Lookup_Lists!$D$126+Lookup_Lists!$D$127+Lookup_Lists!$D$128),0)</f>
        <v>35</v>
      </c>
      <c r="AD23" s="142">
        <f>IF(KOL_Database!$K$22="",0,MIN(100,ROUND(KOL_Database!$K$22/Lookup_Lists!$D$141*100,0)))</f>
        <v>100</v>
      </c>
      <c r="AE23" s="142">
        <f>IF(KOL_Database!$R$22="",0,MIN(100,MAX(0,KOL_Database!$R$22)))</f>
        <v>82</v>
      </c>
      <c r="AF23" s="142">
        <f>IF(KOL_Database!$P$22="",0,MIN(100,MAX(0,KOL_Database!$P$22)))</f>
        <v>79</v>
      </c>
      <c r="AG23" s="142">
        <f>IF(KOL_Database!$Q$22="",0,MIN(100,MAX(0,KOL_Database!$Q$22)))</f>
        <v>74</v>
      </c>
      <c r="AH23" s="142">
        <f>IF(OR(KOL_Database!$J$22="",KOL_Database!$J$22=0,KOL_Database!$L$22=""),0,MIN(100,ROUND(KOL_Database!$L$22/KOL_Database!$J$22/Lookup_Lists!$D$144*100,0)))</f>
        <v>100</v>
      </c>
      <c r="AI23" s="142">
        <f>IF(KOL_Database!$N$22="",0,MIN(100,MAX(0,ROUND((KOL_Database!$N$22+2)/(Lookup_Lists!$D$145+2)*100,0))))</f>
        <v>38</v>
      </c>
      <c r="AJ23" s="142">
        <f>ROUND((Matching_Engine!$AD$23*Lookup_Lists!$D$129+Matching_Engine!$AE$23*Lookup_Lists!$D$130+Matching_Engine!$AF$23*Lookup_Lists!$D$131+Matching_Engine!$AG$23*Lookup_Lists!$D$132+Matching_Engine!$AH$23*Lookup_Lists!$D$133+Matching_Engine!$AI$23*Lookup_Lists!$D$134)/(Lookup_Lists!$D$129+Lookup_Lists!$D$130+Lookup_Lists!$D$131+Lookup_Lists!$D$132+Lookup_Lists!$D$133+Lookup_Lists!$D$134),0)</f>
        <v>87</v>
      </c>
      <c r="AK23" s="142">
        <f>IF(KOL_Database!$AT$22="",0,MIN(100,MAX(0,KOL_Database!$AT$22)))</f>
        <v>86</v>
      </c>
      <c r="AL23" s="142">
        <f>IF(KOL_Database!$AU$22="",0,KOL_Database!$AU$22)</f>
        <v>47</v>
      </c>
      <c r="AM23" s="89" t="str">
        <f>IF(KOL_Database!$AV$22="","None",KOL_Database!$AV$22)</f>
        <v>None</v>
      </c>
      <c r="AN23" s="143">
        <f>IF(Matching_Engine!$AM$23="High",Lookup_Lists!$D$137,IF(Matching_Engine!$AM$23="Medium",Lookup_Lists!$D$138,IF(Matching_Engine!$AM$23="Low",Lookup_Lists!$D$139,Lookup_Lists!$D$140)))</f>
        <v>1</v>
      </c>
      <c r="AO23" s="142">
        <f>ROUND(MIN(100,MAX(0,(Matching_Engine!$AK$23*Lookup_Lists!$D$135+(100-Matching_Engine!$AL$23)*Lookup_Lists!$D$136)/(Lookup_Lists!$D$135+Lookup_Lists!$D$136)*Matching_Engine!$AN$23)),0)</f>
        <v>79</v>
      </c>
      <c r="AP23" s="13">
        <f ca="1">ROUND((Matching_Engine!$N$23*Lookup_Lists!$D$104+Matching_Engine!$S$23*Lookup_Lists!$D$105+Matching_Engine!$X$23*Lookup_Lists!$D$106+Matching_Engine!$AC$23*Lookup_Lists!$D$107+Matching_Engine!$AJ$23*Lookup_Lists!$D$108+Matching_Engine!$AO$23*Lookup_Lists!$D$109)/MAX(1,(Lookup_Lists!$D$104+Lookup_Lists!$D$105+Lookup_Lists!$D$106+Lookup_Lists!$D$107+Lookup_Lists!$D$108+Lookup_Lists!$D$109)),0)</f>
        <v>48</v>
      </c>
      <c r="AQ23" s="89" t="str">
        <f ca="1">IF(Matching_Engine!$AP$23&gt;=Lookup_Lists!$D$152,"Excellent Match",IF(Matching_Engine!$AP$23&gt;=Lookup_Lists!$D$153,"Strong Match",IF(Matching_Engine!$AP$23&gt;=Lookup_Lists!$D$154,"Good Match",IF(Matching_Engine!$AP$23&gt;=Lookup_Lists!$D$155,"Moderate Match","Low Match"))))</f>
        <v>Low Match</v>
      </c>
      <c r="AR23" s="142">
        <f>KOL_Database!$BE$22</f>
        <v>92</v>
      </c>
      <c r="AS23" s="89" t="str">
        <f>IF(Matching_Engine!$AR$23&gt;=Lookup_Lists!$D$159,"High",IF(Matching_Engine!$AR$23&gt;=Lookup_Lists!$D$160,"Medium","Limited Data"))</f>
        <v>Medium</v>
      </c>
      <c r="AT23" s="142">
        <f>ROUND((Matching_Engine!$N$23+Matching_Engine!$X$23+Matching_Engine!$AC$23)/3,0)</f>
        <v>29</v>
      </c>
      <c r="AU23" s="142">
        <f>ROUND(((100-Matching_Engine!$AL$23)*Lookup_Lists!$D$162+IF(KOL_Database!$BD$22="",Lookup_Lists!$D$150,KOL_Database!$BD$22)*Lookup_Lists!$D$163+Matching_Engine!$AI$23*Lookup_Lists!$D$164+Matching_Engine!$AD$23*Lookup_Lists!$D$165)/(Lookup_Lists!$D$162+Lookup_Lists!$D$163+Lookup_Lists!$D$164+Lookup_Lists!$D$165),0)</f>
        <v>68</v>
      </c>
      <c r="AV23" s="89" t="str">
        <f ca="1">IF(Matching_Engine!$AW$23="","PASS","EXCLUDED")</f>
        <v>PASS</v>
      </c>
      <c r="AW23" s="89" t="str">
        <f ca="1">IF(ISERROR(SEARCH(KOL_Database!$D$22,Brand_Profile!$D$32)),"Platform not in Preferred Platform",IF(AND(Brand_Profile!$D$36&gt;0,KOL_Database!$J$22&lt;Brand_Profile!$D$36),"Followers below Preferred Follower Range",IF(AND(Brand_Profile!$D$37&gt;0,KOL_Database!$J$22&gt;Brand_Profile!$D$37),"Followers above Preferred Follower Range",IF(AND(Brand_Profile!$D$38&gt;0,IF(KOL_Database!$K$22="",0,KOL_Database!$K$22)&lt;Brand_Profile!$D$38),"Engagement Rate below Minimum Engagement Rate",IF(ISERROR(SEARCH(KOL_Database!$G$22,Brand_Profile!$D$35)),"Tier not in Preferred Tier",IF(AND(Brand_Profile!$D$43&gt;0,Matching_Engine!$AE$23&lt;Brand_Profile!$D$43),"Audience Quality below Minimum Audience Quality",IF(AND(Brand_Profile!$D$44&gt;0,Matching_Engine!$AK$23&lt;Brand_Profile!$D$44),"Brand Safety below Minimum Brand Safety",IF(AND(Brand_Profile!$D$47="Yes",KOL_Database!$AD$22&lt;&gt;Brand_Profile!$D$19),"Audience Country does not match Target Country",IF(AND(Brand_Profile!$D$46="Yes",KOL_Database!$E$22&lt;&gt;Brand_Profile!$D$33),"Category is not the Preferred Category",IF(AND(Brand_Profile!$D$48&gt;0,Matching_Engine!$AL$23&gt;Brand_Profile!$D$48),"Competitor Saturation above Max Competitor Saturation",IF(AND(Brand_Profile!$D$50="Yes",KOL_Database!$AW$22="Yes"),"Already Selected",IF(AND(Brand_Profile!$D$51="Yes",KOL_Database!$AX$22="Yes"),"Already in Cart",IF(AND(Brand_Profile!$D$52="Yes",KOL_Database!$AY$22="Yes"),"Existing Partner",IF(AND(Brand_Profile!$D$53="Yes",KOL_Database!$AZ$22="Yes"),"Excluded Creator",IF(AND(Brand_Profile!$D$49&gt;0,Matching_Engine!$AP$23&lt;Brand_Profile!$D$49),"Brand Match below Minimum Brand Match","")))))))))))))))</f>
        <v/>
      </c>
      <c r="AX23" s="89" t="str">
        <f ca="1">IF(Matching_Engine!$AV$23="EXCLUDED","Excluded",IF(Matching_Engine!$AP$23&gt;=Lookup_Lists!$D$156,"Highly Recommended",IF(Matching_Engine!$AP$23&gt;=Lookup_Lists!$D$157,"Recommended",IF(Matching_Engine!$AP$23&gt;=Lookup_Lists!$D$158,"Consider","Low Priority"))))</f>
        <v>Low Priority</v>
      </c>
      <c r="AY23" s="142">
        <f ca="1">IF(Matching_Engine!$AV$23="PASS",Matching_Engine!$AP$23,"")</f>
        <v>48</v>
      </c>
      <c r="AZ23" s="89" t="str">
        <f>Matching_Engine!$A$23&amp;"|"&amp;Matching_Engine!$C$23</f>
        <v>BRAND-A|KOL-18</v>
      </c>
      <c r="BA23" s="89" t="str">
        <f>IFERROR(INDEX(Lookup_Lists!$B$51:$B$92,MATCH(Brand_Profile!$D$12,Lookup_Lists!$A$51:$A$92,0)),"")</f>
        <v>Tech</v>
      </c>
      <c r="BB23" s="89" t="str">
        <f>IFERROR(INDEX(Lookup_Lists!$B$51:$B$92,MATCH(KOL_Database!$F$22,Lookup_Lists!$A$51:$A$92,0)),"")</f>
        <v>Travel</v>
      </c>
      <c r="BC23" s="142">
        <f>IFERROR(INDEX(Lookup_Lists!$B$185:$O$198,MATCH(Matching_Engine!$BA$23,Lookup_Lists!$A$185:$A$198,0),MATCH(KOL_Database!$E$22,Lookup_Lists!$B$184:$O$184,0)),Lookup_Lists!$D$151)</f>
        <v>20</v>
      </c>
      <c r="BD23" s="142">
        <f>IFERROR(INDEX(Lookup_Lists!$B$185:$O$198,MATCH(Brand_Profile!$D$33,Lookup_Lists!$A$185:$A$198,0),MATCH(KOL_Database!$E$22,Lookup_Lists!$B$184:$O$184,0)),Lookup_Lists!$D$151)</f>
        <v>20</v>
      </c>
      <c r="BE23" s="89" t="str">
        <f>IFERROR(INDEX(Lookup_Lists!$B$51:$B$92,MATCH(Brand_Profile!$D$34,Lookup_Lists!$A$51:$A$92,0)),"")</f>
        <v>Tech</v>
      </c>
      <c r="BF23" s="89" t="str">
        <f>KOL_Database!$AI$22&amp;", "&amp;KOL_Database!$AG$22&amp;", "&amp;KOL_Database!$F$22&amp;", "&amp;KOL_Database!$E$22</f>
        <v>Travel, Food, Entertainment, Travel, Food, Productivity, Entertainment, Shopping, Budget Travel, Travel</v>
      </c>
      <c r="BG23" s="89" t="str">
        <f>KOL_Database!$AI$22&amp;", "&amp;KOL_Database!$AG$22</f>
        <v>Travel, Food, Entertainment, Travel, Food, Productivity, Entertainment, Shopping</v>
      </c>
    </row>
    <row r="24" spans="1:59">
      <c r="A24" s="101" t="s">
        <v>113</v>
      </c>
      <c r="B24" s="89" t="str">
        <f>Brand_Profile!$D$9</f>
        <v>Nusatech Cloud</v>
      </c>
      <c r="C24" s="89" t="str">
        <f>KOL_Database!$A$23</f>
        <v>KOL-19</v>
      </c>
      <c r="D24" s="89" t="str">
        <f>KOL_Database!$B$23</f>
        <v>Putri Amanda</v>
      </c>
      <c r="E24" s="89" t="str">
        <f>KOL_Database!$C$23</f>
        <v>@putrimomlife</v>
      </c>
      <c r="F24" s="89" t="str">
        <f>KOL_Database!$D$23</f>
        <v>Instagram</v>
      </c>
      <c r="G24" s="89" t="str">
        <f>KOL_Database!$E$23</f>
        <v>Parenting</v>
      </c>
      <c r="H24" s="89" t="str">
        <f>KOL_Database!$G$23</f>
        <v>Macro</v>
      </c>
      <c r="I24" s="140">
        <f>KOL_Database!$J$23</f>
        <v>134000</v>
      </c>
      <c r="J24" s="141">
        <f>KOL_Database!$K$23</f>
        <v>4.6</v>
      </c>
      <c r="K24" s="142">
        <f>IFERROR(INDEX(Lookup_Lists!$B$170:$O$181,MATCH(Brand_Profile!$D$10,Lookup_Lists!$A$170:$A$181,0),MATCH(KOL_Database!$E$23,Lookup_Lists!$B$169:$O$169,0)),Lookup_Lists!$D$151)</f>
        <v>20</v>
      </c>
      <c r="L24" s="142">
        <f>IF(KOL_Database!$F$23="",Matching_Engine!$BC$24,IF(Brand_Profile!$D$12=KOL_Database!$F$23,100,IF(Matching_Engine!$BA$24=KOL_Database!$E$23,80,IF(Matching_Engine!$BC$24&gt;=80,60,IF(Matching_Engine!$BC$24&gt;=60,40,Lookup_Lists!$D$151)))))</f>
        <v>20</v>
      </c>
      <c r="M24" s="142">
        <f>ROUND((IF(Brand_Profile!$D$62=0,Lookup_Lists!$D$150,ROUND((IF(Brand_Profile!$D$57="",0,IF(ISNUMBER(SEARCH(Brand_Profile!$D$57,Matching_Engine!$BF$24)),1,0))+IF(Brand_Profile!$D$58="",0,IF(ISNUMBER(SEARCH(Brand_Profile!$D$58,Matching_Engine!$BF$24)),1,0))+IF(Brand_Profile!$D$59="",0,IF(ISNUMBER(SEARCH(Brand_Profile!$D$59,Matching_Engine!$BF$24)),1,0))+IF(Brand_Profile!$D$60="",0,IF(ISNUMBER(SEARCH(Brand_Profile!$D$60,Matching_Engine!$BF$24)),1,0))+IF(Brand_Profile!$D$61="",0,IF(ISNUMBER(SEARCH(Brand_Profile!$D$61,Matching_Engine!$BF$24)),1,0)))/Brand_Profile!$D$62*100,0))+IF(Brand_Profile!$D$74=0,Lookup_Lists!$D$150,ROUND((IF(Brand_Profile!$D$69="",0,IF(ISNUMBER(SEARCH(Brand_Profile!$D$69,Matching_Engine!$BF$24)),1,0))+IF(Brand_Profile!$D$70="",0,IF(ISNUMBER(SEARCH(Brand_Profile!$D$70,Matching_Engine!$BF$24)),1,0))+IF(Brand_Profile!$D$71="",0,IF(ISNUMBER(SEARCH(Brand_Profile!$D$71,Matching_Engine!$BF$24)),1,0))+IF(Brand_Profile!$D$72="",0,IF(ISNUMBER(SEARCH(Brand_Profile!$D$72,Matching_Engine!$BF$24)),1,0))+IF(Brand_Profile!$D$73="",0,IF(ISNUMBER(SEARCH(Brand_Profile!$D$73,Matching_Engine!$BF$24)),1,0)))/Brand_Profile!$D$74*100,0)))/2,0)</f>
        <v>0</v>
      </c>
      <c r="N24" s="142">
        <f>ROUND((Matching_Engine!$K$24*Lookup_Lists!$D$110+Matching_Engine!$L$24*Lookup_Lists!$D$111+Matching_Engine!$M$24*Lookup_Lists!$D$112)/(Lookup_Lists!$D$110+Lookup_Lists!$D$111+Lookup_Lists!$D$112),0)</f>
        <v>14</v>
      </c>
      <c r="O24" s="142">
        <f ca="1">IF(Brand_Profile!$D$16="",Lookup_Lists!$D$150,MIN(100,ROUND((IFERROR(INDEX(KOL_Database!$W$23:KOL_Database!$AA$23,1,MATCH(Brand_Profile!$D$16,Lookup_Lists!$F$6:$F$10,0)),0)+0.5*IFERROR(INDEX(KOL_Database!$W$23:KOL_Database!$AA$23,1,MATCH(Brand_Profile!$D$17,Lookup_Lists!$F$6:$F$10,0)),0))/Lookup_Lists!$D$142*100,0)))</f>
        <v>100</v>
      </c>
      <c r="P24" s="142">
        <f>IF(OR(Brand_Profile!$D$18="",Brand_Profile!$D$18="Any"),100,IF(Brand_Profile!$D$18="Female",MIN(100,ROUND(KOL_Database!$AB$23/Lookup_Lists!$D$143*100,0)),IF(Brand_Profile!$D$18="Male",MIN(100,ROUND(KOL_Database!$AC$23/Lookup_Lists!$D$143*100,0)),MAX(0,ROUND(100-ABS(KOL_Database!$AB$23-50)*2,0)))))</f>
        <v>100</v>
      </c>
      <c r="Q24" s="142">
        <f>ROUND((IF(Brand_Profile!$D$19="",100,IF(KOL_Database!$AD$23=Brand_Profile!$D$19,100,Lookup_Lists!$D$151))*Lookup_Lists!$D$118+IF(OR(Brand_Profile!$D$20="",Brand_Profile!$D$20="Nasional"),100,IF(KOL_Database!$AE$23="",Lookup_Lists!$D$150,IF(KOL_Database!$AE$23=Brand_Profile!$D$20,100,IF(KOL_Database!$AD$23=Brand_Profile!$D$19,40,Lookup_Lists!$D$151))))*Lookup_Lists!$D$119+IF(OR(Brand_Profile!$D$21="",Brand_Profile!$D$21="Nasional"),100,IF(KOL_Database!$AF$23="",Lookup_Lists!$D$150,IF(KOL_Database!$AF$23=Brand_Profile!$D$21,100,IF(KOL_Database!$AE$23=Brand_Profile!$D$20,60,Lookup_Lists!$D$151))))*Lookup_Lists!$D$120)/(Lookup_Lists!$D$118+Lookup_Lists!$D$119+Lookup_Lists!$D$120),0)</f>
        <v>65</v>
      </c>
      <c r="R24" s="142">
        <f>IF(Brand_Profile!$D$68=0,Lookup_Lists!$D$150,ROUND((IF(Brand_Profile!$D$63="",0,IF(ISNUMBER(SEARCH(Brand_Profile!$D$63,KOL_Database!$AG$23)),1,0))+IF(Brand_Profile!$D$64="",0,IF(ISNUMBER(SEARCH(Brand_Profile!$D$64,KOL_Database!$AG$23)),1,0))+IF(Brand_Profile!$D$65="",0,IF(ISNUMBER(SEARCH(Brand_Profile!$D$65,KOL_Database!$AG$23)),1,0))+IF(Brand_Profile!$D$66="",0,IF(ISNUMBER(SEARCH(Brand_Profile!$D$66,KOL_Database!$AG$23)),1,0))+IF(Brand_Profile!$D$67="",0,IF(ISNUMBER(SEARCH(Brand_Profile!$D$67,KOL_Database!$AG$23)),1,0)))/Brand_Profile!$D$68*100,0))</f>
        <v>0</v>
      </c>
      <c r="S24" s="142">
        <f ca="1">ROUND((Matching_Engine!$O$24*Brand_Profile!$D$96+Matching_Engine!$P$24*Brand_Profile!$D$97+Matching_Engine!$Q$24*Brand_Profile!$D$98+Matching_Engine!$R$24*Brand_Profile!$D$99)/MAX(1,Brand_Profile!$D$96+Brand_Profile!$D$97+Brand_Profile!$D$98+Brand_Profile!$D$99),0)</f>
        <v>49</v>
      </c>
      <c r="T24" s="142">
        <f>IF(Brand_Profile!$D$33="",Lookup_Lists!$D$150,Matching_Engine!$BD$24)</f>
        <v>20</v>
      </c>
      <c r="U24" s="142">
        <f>IF(Brand_Profile!$D$34="",Lookup_Lists!$D$150,IF(Brand_Profile!$D$34=KOL_Database!$F$23,100,IF(Matching_Engine!$BE$24=KOL_Database!$E$23,75,IF(Matching_Engine!$BD$24&gt;=80,Lookup_Lists!$D$150,IF(Matching_Engine!$BD$24&gt;=60,35,Lookup_Lists!$D$151)))))</f>
        <v>20</v>
      </c>
      <c r="V24" s="142">
        <f>IF(Brand_Profile!$D$86=0,Lookup_Lists!$D$150,ROUND((IF(Brand_Profile!$D$81="",0,IF(ISNUMBER(SEARCH(Brand_Profile!$D$81,Matching_Engine!$BG$24)),1,0))+IF(Brand_Profile!$D$82="",0,IF(ISNUMBER(SEARCH(Brand_Profile!$D$82,Matching_Engine!$BG$24)),1,0))+IF(Brand_Profile!$D$83="",0,IF(ISNUMBER(SEARCH(Brand_Profile!$D$83,Matching_Engine!$BG$24)),1,0))+IF(Brand_Profile!$D$84="",0,IF(ISNUMBER(SEARCH(Brand_Profile!$D$84,Matching_Engine!$BG$24)),1,0))+IF(Brand_Profile!$D$85="",0,IF(ISNUMBER(SEARCH(Brand_Profile!$D$85,Matching_Engine!$BG$24)),1,0)))/Brand_Profile!$D$86*100,0))</f>
        <v>0</v>
      </c>
      <c r="W24" s="142">
        <f>IF(Brand_Profile!$D$39="",Lookup_Lists!$D$150,IFERROR(INDEX(Lookup_Lists!$B$237:$K$246,MATCH(Brand_Profile!$D$39,Lookup_Lists!$A$237:$A$246,0),MATCH(KOL_Database!$AJ$23,Lookup_Lists!$B$236:$K$236,0)),45))</f>
        <v>45</v>
      </c>
      <c r="X24" s="142">
        <f>ROUND((Matching_Engine!$T$24*Lookup_Lists!$D$121+Matching_Engine!$U$24*Lookup_Lists!$D$122+Matching_Engine!$V$24*Lookup_Lists!$D$123+Matching_Engine!$W$24*Lookup_Lists!$D$124)/(Lookup_Lists!$D$121+Lookup_Lists!$D$122+Lookup_Lists!$D$123+Lookup_Lists!$D$124),0)</f>
        <v>19</v>
      </c>
      <c r="Y24" s="142">
        <f>MIN(100,MAX(IFERROR(INDEX(Lookup_Lists!$B$202:$M$211,MATCH(Brand_Profile!$D$25,Lookup_Lists!$A$202:$A$211,0),MATCH(KOL_Database!$AK$23,Lookup_Lists!$B$201:$M$201,0)),40),IF(KOL_Database!$AK$23=Brand_Profile!$D$41,95,0)))</f>
        <v>50</v>
      </c>
      <c r="Z24" s="142">
        <f>IFERROR(INDEX(Lookup_Lists!$B$215:$K$222,MATCH(Brand_Profile!$D$27,Lookup_Lists!$A$215:$A$222,0),MATCH(KOL_Database!$AJ$23,Lookup_Lists!$B$214:$K$214,0)),45)</f>
        <v>65</v>
      </c>
      <c r="AA24" s="142">
        <f>ROUND((IF(Brand_Profile!$D$80=0,Lookup_Lists!$D$150,ROUND((IF(Brand_Profile!$D$75="",0,IF(ISNUMBER(SEARCH(Brand_Profile!$D$75,KOL_Database!$AL$23)),1,0))+IF(Brand_Profile!$D$76="",0,IF(ISNUMBER(SEARCH(Brand_Profile!$D$76,KOL_Database!$AL$23)),1,0))+IF(Brand_Profile!$D$77="",0,IF(ISNUMBER(SEARCH(Brand_Profile!$D$77,KOL_Database!$AL$23)),1,0))+IF(Brand_Profile!$D$78="",0,IF(ISNUMBER(SEARCH(Brand_Profile!$D$78,KOL_Database!$AL$23)),1,0))+IF(Brand_Profile!$D$79="",0,IF(ISNUMBER(SEARCH(Brand_Profile!$D$79,KOL_Database!$AL$23)),1,0)))/Brand_Profile!$D$80*100,0))+IF(Brand_Profile!$D$92=0,Lookup_Lists!$D$150,ROUND((IF(Brand_Profile!$D$87="",0,IF(ISNUMBER(SEARCH(Brand_Profile!$D$87,KOL_Database!$AL$23)),1,0))+IF(Brand_Profile!$D$88="",0,IF(ISNUMBER(SEARCH(Brand_Profile!$D$88,KOL_Database!$AL$23)),1,0))+IF(Brand_Profile!$D$89="",0,IF(ISNUMBER(SEARCH(Brand_Profile!$D$89,KOL_Database!$AL$23)),1,0))+IF(Brand_Profile!$D$90="",0,IF(ISNUMBER(SEARCH(Brand_Profile!$D$90,KOL_Database!$AL$23)),1,0))+IF(Brand_Profile!$D$91="",0,IF(ISNUMBER(SEARCH(Brand_Profile!$D$91,KOL_Database!$AL$23)),1,0)))/Brand_Profile!$D$92*100,0)))/2,0)</f>
        <v>20</v>
      </c>
      <c r="AB24" s="142">
        <f>IFERROR(INDEX(Lookup_Lists!$B$226:$K$233,MATCH(Brand_Profile!$D$30,Lookup_Lists!$A$226:$A$233,0),MATCH(KOL_Database!$AJ$23,Lookup_Lists!$B$225:$K$225,0)),45)</f>
        <v>60</v>
      </c>
      <c r="AC24" s="142">
        <f>ROUND((Matching_Engine!$Y$24*Lookup_Lists!$D$125+Matching_Engine!$Z$24*Lookup_Lists!$D$126+Matching_Engine!$AA$24*Lookup_Lists!$D$127+Matching_Engine!$AB$24*Lookup_Lists!$D$128)/(Lookup_Lists!$D$125+Lookup_Lists!$D$126+Lookup_Lists!$D$127+Lookup_Lists!$D$128),0)</f>
        <v>48</v>
      </c>
      <c r="AD24" s="142">
        <f>IF(KOL_Database!$K$23="",0,MIN(100,ROUND(KOL_Database!$K$23/Lookup_Lists!$D$141*100,0)))</f>
        <v>77</v>
      </c>
      <c r="AE24" s="142">
        <f>IF(KOL_Database!$R$23="",0,MIN(100,MAX(0,KOL_Database!$R$23)))</f>
        <v>79</v>
      </c>
      <c r="AF24" s="142">
        <f>IF(KOL_Database!$P$23="",0,MIN(100,MAX(0,KOL_Database!$P$23)))</f>
        <v>52</v>
      </c>
      <c r="AG24" s="142">
        <f>IF(KOL_Database!$Q$23="",0,MIN(100,MAX(0,KOL_Database!$Q$23)))</f>
        <v>47</v>
      </c>
      <c r="AH24" s="142">
        <f>IF(OR(KOL_Database!$J$23="",KOL_Database!$J$23=0,KOL_Database!$L$23=""),0,MIN(100,ROUND(KOL_Database!$L$23/KOL_Database!$J$23/Lookup_Lists!$D$144*100,0)))</f>
        <v>69</v>
      </c>
      <c r="AI24" s="142">
        <f>IF(KOL_Database!$N$23="",0,MIN(100,MAX(0,ROUND((KOL_Database!$N$23+2)/(Lookup_Lists!$D$145+2)*100,0))))</f>
        <v>27</v>
      </c>
      <c r="AJ24" s="142">
        <f>ROUND((Matching_Engine!$AD$24*Lookup_Lists!$D$129+Matching_Engine!$AE$24*Lookup_Lists!$D$130+Matching_Engine!$AF$24*Lookup_Lists!$D$131+Matching_Engine!$AG$24*Lookup_Lists!$D$132+Matching_Engine!$AH$24*Lookup_Lists!$D$133+Matching_Engine!$AI$24*Lookup_Lists!$D$134)/(Lookup_Lists!$D$129+Lookup_Lists!$D$130+Lookup_Lists!$D$131+Lookup_Lists!$D$132+Lookup_Lists!$D$133+Lookup_Lists!$D$134),0)</f>
        <v>66</v>
      </c>
      <c r="AK24" s="142">
        <f>IF(KOL_Database!$AT$23="",0,MIN(100,MAX(0,KOL_Database!$AT$23)))</f>
        <v>86</v>
      </c>
      <c r="AL24" s="142">
        <f>IF(KOL_Database!$AU$23="",0,KOL_Database!$AU$23)</f>
        <v>48</v>
      </c>
      <c r="AM24" s="89" t="str">
        <f>IF(KOL_Database!$AV$23="","None",KOL_Database!$AV$23)</f>
        <v>None</v>
      </c>
      <c r="AN24" s="143">
        <f>IF(Matching_Engine!$AM$24="High",Lookup_Lists!$D$137,IF(Matching_Engine!$AM$24="Medium",Lookup_Lists!$D$138,IF(Matching_Engine!$AM$24="Low",Lookup_Lists!$D$139,Lookup_Lists!$D$140)))</f>
        <v>1</v>
      </c>
      <c r="AO24" s="142">
        <f>ROUND(MIN(100,MAX(0,(Matching_Engine!$AK$24*Lookup_Lists!$D$135+(100-Matching_Engine!$AL$24)*Lookup_Lists!$D$136)/(Lookup_Lists!$D$135+Lookup_Lists!$D$136)*Matching_Engine!$AN$24)),0)</f>
        <v>79</v>
      </c>
      <c r="AP24" s="13">
        <f ca="1">ROUND((Matching_Engine!$N$24*Lookup_Lists!$D$104+Matching_Engine!$S$24*Lookup_Lists!$D$105+Matching_Engine!$X$24*Lookup_Lists!$D$106+Matching_Engine!$AC$24*Lookup_Lists!$D$107+Matching_Engine!$AJ$24*Lookup_Lists!$D$108+Matching_Engine!$AO$24*Lookup_Lists!$D$109)/MAX(1,(Lookup_Lists!$D$104+Lookup_Lists!$D$105+Lookup_Lists!$D$106+Lookup_Lists!$D$107+Lookup_Lists!$D$108+Lookup_Lists!$D$109)),0)</f>
        <v>41</v>
      </c>
      <c r="AQ24" s="89" t="str">
        <f ca="1">IF(Matching_Engine!$AP$24&gt;=Lookup_Lists!$D$152,"Excellent Match",IF(Matching_Engine!$AP$24&gt;=Lookup_Lists!$D$153,"Strong Match",IF(Matching_Engine!$AP$24&gt;=Lookup_Lists!$D$154,"Good Match",IF(Matching_Engine!$AP$24&gt;=Lookup_Lists!$D$155,"Moderate Match","Low Match"))))</f>
        <v>Low Match</v>
      </c>
      <c r="AR24" s="142">
        <f>KOL_Database!$BE$23</f>
        <v>100</v>
      </c>
      <c r="AS24" s="89" t="str">
        <f>IF(Matching_Engine!$AR$24&gt;=Lookup_Lists!$D$159,"High",IF(Matching_Engine!$AR$24&gt;=Lookup_Lists!$D$160,"Medium","Limited Data"))</f>
        <v>High</v>
      </c>
      <c r="AT24" s="142">
        <f>ROUND((Matching_Engine!$N$24+Matching_Engine!$X$24+Matching_Engine!$AC$24)/3,0)</f>
        <v>27</v>
      </c>
      <c r="AU24" s="142">
        <f>ROUND(((100-Matching_Engine!$AL$24)*Lookup_Lists!$D$162+IF(KOL_Database!$BD$23="",Lookup_Lists!$D$150,KOL_Database!$BD$23)*Lookup_Lists!$D$163+Matching_Engine!$AI$24*Lookup_Lists!$D$164+Matching_Engine!$AD$24*Lookup_Lists!$D$165)/(Lookup_Lists!$D$162+Lookup_Lists!$D$163+Lookup_Lists!$D$164+Lookup_Lists!$D$165),0)</f>
        <v>55</v>
      </c>
      <c r="AV24" s="89" t="str">
        <f ca="1">IF(Matching_Engine!$AW$24="","PASS","EXCLUDED")</f>
        <v>PASS</v>
      </c>
      <c r="AW24" s="89" t="str">
        <f ca="1">IF(ISERROR(SEARCH(KOL_Database!$D$23,Brand_Profile!$D$32)),"Platform not in Preferred Platform",IF(AND(Brand_Profile!$D$36&gt;0,KOL_Database!$J$23&lt;Brand_Profile!$D$36),"Followers below Preferred Follower Range",IF(AND(Brand_Profile!$D$37&gt;0,KOL_Database!$J$23&gt;Brand_Profile!$D$37),"Followers above Preferred Follower Range",IF(AND(Brand_Profile!$D$38&gt;0,IF(KOL_Database!$K$23="",0,KOL_Database!$K$23)&lt;Brand_Profile!$D$38),"Engagement Rate below Minimum Engagement Rate",IF(ISERROR(SEARCH(KOL_Database!$G$23,Brand_Profile!$D$35)),"Tier not in Preferred Tier",IF(AND(Brand_Profile!$D$43&gt;0,Matching_Engine!$AE$24&lt;Brand_Profile!$D$43),"Audience Quality below Minimum Audience Quality",IF(AND(Brand_Profile!$D$44&gt;0,Matching_Engine!$AK$24&lt;Brand_Profile!$D$44),"Brand Safety below Minimum Brand Safety",IF(AND(Brand_Profile!$D$47="Yes",KOL_Database!$AD$23&lt;&gt;Brand_Profile!$D$19),"Audience Country does not match Target Country",IF(AND(Brand_Profile!$D$46="Yes",KOL_Database!$E$23&lt;&gt;Brand_Profile!$D$33),"Category is not the Preferred Category",IF(AND(Brand_Profile!$D$48&gt;0,Matching_Engine!$AL$24&gt;Brand_Profile!$D$48),"Competitor Saturation above Max Competitor Saturation",IF(AND(Brand_Profile!$D$50="Yes",KOL_Database!$AW$23="Yes"),"Already Selected",IF(AND(Brand_Profile!$D$51="Yes",KOL_Database!$AX$23="Yes"),"Already in Cart",IF(AND(Brand_Profile!$D$52="Yes",KOL_Database!$AY$23="Yes"),"Existing Partner",IF(AND(Brand_Profile!$D$53="Yes",KOL_Database!$AZ$23="Yes"),"Excluded Creator",IF(AND(Brand_Profile!$D$49&gt;0,Matching_Engine!$AP$24&lt;Brand_Profile!$D$49),"Brand Match below Minimum Brand Match","")))))))))))))))</f>
        <v/>
      </c>
      <c r="AX24" s="89" t="str">
        <f ca="1">IF(Matching_Engine!$AV$24="EXCLUDED","Excluded",IF(Matching_Engine!$AP$24&gt;=Lookup_Lists!$D$156,"Highly Recommended",IF(Matching_Engine!$AP$24&gt;=Lookup_Lists!$D$157,"Recommended",IF(Matching_Engine!$AP$24&gt;=Lookup_Lists!$D$158,"Consider","Low Priority"))))</f>
        <v>Low Priority</v>
      </c>
      <c r="AY24" s="142">
        <f ca="1">IF(Matching_Engine!$AV$24="PASS",Matching_Engine!$AP$24,"")</f>
        <v>41</v>
      </c>
      <c r="AZ24" s="89" t="str">
        <f>Matching_Engine!$A$24&amp;"|"&amp;Matching_Engine!$C$24</f>
        <v>BRAND-A|KOL-19</v>
      </c>
      <c r="BA24" s="89" t="str">
        <f>IFERROR(INDEX(Lookup_Lists!$B$51:$B$92,MATCH(Brand_Profile!$D$12,Lookup_Lists!$A$51:$A$92,0)),"")</f>
        <v>Tech</v>
      </c>
      <c r="BB24" s="89" t="str">
        <f>IFERROR(INDEX(Lookup_Lists!$B$51:$B$92,MATCH(KOL_Database!$F$23,Lookup_Lists!$A$51:$A$92,0)),"")</f>
        <v>Parenting</v>
      </c>
      <c r="BC24" s="142">
        <f>IFERROR(INDEX(Lookup_Lists!$B$185:$O$198,MATCH(Matching_Engine!$BA$24,Lookup_Lists!$A$185:$A$198,0),MATCH(KOL_Database!$E$23,Lookup_Lists!$B$184:$O$184,0)),Lookup_Lists!$D$151)</f>
        <v>20</v>
      </c>
      <c r="BD24" s="142">
        <f>IFERROR(INDEX(Lookup_Lists!$B$185:$O$198,MATCH(Brand_Profile!$D$33,Lookup_Lists!$A$185:$A$198,0),MATCH(KOL_Database!$E$23,Lookup_Lists!$B$184:$O$184,0)),Lookup_Lists!$D$151)</f>
        <v>20</v>
      </c>
      <c r="BE24" s="89" t="str">
        <f>IFERROR(INDEX(Lookup_Lists!$B$51:$B$92,MATCH(Brand_Profile!$D$34,Lookup_Lists!$A$51:$A$92,0)),"")</f>
        <v>Tech</v>
      </c>
      <c r="BF24" s="89" t="str">
        <f>KOL_Database!$AI$23&amp;", "&amp;KOL_Database!$AG$23&amp;", "&amp;KOL_Database!$F$23&amp;", "&amp;KOL_Database!$E$23</f>
        <v>Parenting, Health, Cooking, Parenting, Health, Cooking, Home Decor, Shopping, Momlife, Parenting</v>
      </c>
      <c r="BG24" s="89" t="str">
        <f>KOL_Database!$AI$23&amp;", "&amp;KOL_Database!$AG$23</f>
        <v>Parenting, Health, Cooking, Parenting, Health, Cooking, Home Decor, Shopping</v>
      </c>
    </row>
    <row r="25" spans="1:59">
      <c r="A25" s="101" t="s">
        <v>113</v>
      </c>
      <c r="B25" s="89" t="str">
        <f>Brand_Profile!$D$9</f>
        <v>Nusatech Cloud</v>
      </c>
      <c r="C25" s="89" t="str">
        <f>KOL_Database!$A$24</f>
        <v>KOL-20</v>
      </c>
      <c r="D25" s="89" t="str">
        <f>KOL_Database!$B$24</f>
        <v>Hendra Wijoyo</v>
      </c>
      <c r="E25" s="89" t="str">
        <f>KOL_Database!$C$24</f>
        <v>@hendrakeluarga</v>
      </c>
      <c r="F25" s="89" t="str">
        <f>KOL_Database!$D$24</f>
        <v>TikTok</v>
      </c>
      <c r="G25" s="89" t="str">
        <f>KOL_Database!$E$24</f>
        <v>Parenting</v>
      </c>
      <c r="H25" s="89" t="str">
        <f>KOL_Database!$G$24</f>
        <v>Mid-tier</v>
      </c>
      <c r="I25" s="140">
        <f>KOL_Database!$J$24</f>
        <v>89000</v>
      </c>
      <c r="J25" s="141">
        <f>KOL_Database!$K$24</f>
        <v>5.4</v>
      </c>
      <c r="K25" s="142">
        <f>IFERROR(INDEX(Lookup_Lists!$B$170:$O$181,MATCH(Brand_Profile!$D$10,Lookup_Lists!$A$170:$A$181,0),MATCH(KOL_Database!$E$24,Lookup_Lists!$B$169:$O$169,0)),Lookup_Lists!$D$151)</f>
        <v>20</v>
      </c>
      <c r="L25" s="142">
        <f>IF(KOL_Database!$F$24="",Matching_Engine!$BC$25,IF(Brand_Profile!$D$12=KOL_Database!$F$24,100,IF(Matching_Engine!$BA$25=KOL_Database!$E$24,80,IF(Matching_Engine!$BC$25&gt;=80,60,IF(Matching_Engine!$BC$25&gt;=60,40,Lookup_Lists!$D$151)))))</f>
        <v>20</v>
      </c>
      <c r="M25" s="142">
        <f>ROUND((IF(Brand_Profile!$D$62=0,Lookup_Lists!$D$150,ROUND((IF(Brand_Profile!$D$57="",0,IF(ISNUMBER(SEARCH(Brand_Profile!$D$57,Matching_Engine!$BF$25)),1,0))+IF(Brand_Profile!$D$58="",0,IF(ISNUMBER(SEARCH(Brand_Profile!$D$58,Matching_Engine!$BF$25)),1,0))+IF(Brand_Profile!$D$59="",0,IF(ISNUMBER(SEARCH(Brand_Profile!$D$59,Matching_Engine!$BF$25)),1,0))+IF(Brand_Profile!$D$60="",0,IF(ISNUMBER(SEARCH(Brand_Profile!$D$60,Matching_Engine!$BF$25)),1,0))+IF(Brand_Profile!$D$61="",0,IF(ISNUMBER(SEARCH(Brand_Profile!$D$61,Matching_Engine!$BF$25)),1,0)))/Brand_Profile!$D$62*100,0))+IF(Brand_Profile!$D$74=0,Lookup_Lists!$D$150,ROUND((IF(Brand_Profile!$D$69="",0,IF(ISNUMBER(SEARCH(Brand_Profile!$D$69,Matching_Engine!$BF$25)),1,0))+IF(Brand_Profile!$D$70="",0,IF(ISNUMBER(SEARCH(Brand_Profile!$D$70,Matching_Engine!$BF$25)),1,0))+IF(Brand_Profile!$D$71="",0,IF(ISNUMBER(SEARCH(Brand_Profile!$D$71,Matching_Engine!$BF$25)),1,0))+IF(Brand_Profile!$D$72="",0,IF(ISNUMBER(SEARCH(Brand_Profile!$D$72,Matching_Engine!$BF$25)),1,0))+IF(Brand_Profile!$D$73="",0,IF(ISNUMBER(SEARCH(Brand_Profile!$D$73,Matching_Engine!$BF$25)),1,0)))/Brand_Profile!$D$74*100,0)))/2,0)</f>
        <v>20</v>
      </c>
      <c r="N25" s="142">
        <f>ROUND((Matching_Engine!$K$25*Lookup_Lists!$D$110+Matching_Engine!$L$25*Lookup_Lists!$D$111+Matching_Engine!$M$25*Lookup_Lists!$D$112)/(Lookup_Lists!$D$110+Lookup_Lists!$D$111+Lookup_Lists!$D$112),0)</f>
        <v>20</v>
      </c>
      <c r="O25" s="142">
        <f ca="1">IF(Brand_Profile!$D$16="",Lookup_Lists!$D$150,MIN(100,ROUND((IFERROR(INDEX(KOL_Database!$W$24:KOL_Database!$AA$24,1,MATCH(Brand_Profile!$D$16,Lookup_Lists!$F$6:$F$10,0)),0)+0.5*IFERROR(INDEX(KOL_Database!$W$24:KOL_Database!$AA$24,1,MATCH(Brand_Profile!$D$17,Lookup_Lists!$F$6:$F$10,0)),0))/Lookup_Lists!$D$142*100,0)))</f>
        <v>97</v>
      </c>
      <c r="P25" s="142">
        <f>IF(OR(Brand_Profile!$D$18="",Brand_Profile!$D$18="Any"),100,IF(Brand_Profile!$D$18="Female",MIN(100,ROUND(KOL_Database!$AB$24/Lookup_Lists!$D$143*100,0)),IF(Brand_Profile!$D$18="Male",MIN(100,ROUND(KOL_Database!$AC$24/Lookup_Lists!$D$143*100,0)),MAX(0,ROUND(100-ABS(KOL_Database!$AB$24-50)*2,0)))))</f>
        <v>100</v>
      </c>
      <c r="Q25" s="142">
        <f>ROUND((IF(Brand_Profile!$D$19="",100,IF(KOL_Database!$AD$24=Brand_Profile!$D$19,100,Lookup_Lists!$D$151))*Lookup_Lists!$D$118+IF(OR(Brand_Profile!$D$20="",Brand_Profile!$D$20="Nasional"),100,IF(KOL_Database!$AE$24="",Lookup_Lists!$D$150,IF(KOL_Database!$AE$24=Brand_Profile!$D$20,100,IF(KOL_Database!$AD$24=Brand_Profile!$D$19,40,Lookup_Lists!$D$151))))*Lookup_Lists!$D$119+IF(OR(Brand_Profile!$D$21="",Brand_Profile!$D$21="Nasional"),100,IF(KOL_Database!$AF$24="",Lookup_Lists!$D$150,IF(KOL_Database!$AF$24=Brand_Profile!$D$21,100,IF(KOL_Database!$AE$24=Brand_Profile!$D$20,60,Lookup_Lists!$D$151))))*Lookup_Lists!$D$120)/(Lookup_Lists!$D$118+Lookup_Lists!$D$119+Lookup_Lists!$D$120),0)</f>
        <v>65</v>
      </c>
      <c r="R25" s="142">
        <f>IF(Brand_Profile!$D$68=0,Lookup_Lists!$D$150,ROUND((IF(Brand_Profile!$D$63="",0,IF(ISNUMBER(SEARCH(Brand_Profile!$D$63,KOL_Database!$AG$24)),1,0))+IF(Brand_Profile!$D$64="",0,IF(ISNUMBER(SEARCH(Brand_Profile!$D$64,KOL_Database!$AG$24)),1,0))+IF(Brand_Profile!$D$65="",0,IF(ISNUMBER(SEARCH(Brand_Profile!$D$65,KOL_Database!$AG$24)),1,0))+IF(Brand_Profile!$D$66="",0,IF(ISNUMBER(SEARCH(Brand_Profile!$D$66,KOL_Database!$AG$24)),1,0))+IF(Brand_Profile!$D$67="",0,IF(ISNUMBER(SEARCH(Brand_Profile!$D$67,KOL_Database!$AG$24)),1,0)))/Brand_Profile!$D$68*100,0))</f>
        <v>20</v>
      </c>
      <c r="S25" s="142">
        <f ca="1">ROUND((Matching_Engine!$O$25*Brand_Profile!$D$96+Matching_Engine!$P$25*Brand_Profile!$D$97+Matching_Engine!$Q$25*Brand_Profile!$D$98+Matching_Engine!$R$25*Brand_Profile!$D$99)/MAX(1,Brand_Profile!$D$96+Brand_Profile!$D$97+Brand_Profile!$D$98+Brand_Profile!$D$99),0)</f>
        <v>57</v>
      </c>
      <c r="T25" s="142">
        <f>IF(Brand_Profile!$D$33="",Lookup_Lists!$D$150,Matching_Engine!$BD$25)</f>
        <v>20</v>
      </c>
      <c r="U25" s="142">
        <f>IF(Brand_Profile!$D$34="",Lookup_Lists!$D$150,IF(Brand_Profile!$D$34=KOL_Database!$F$24,100,IF(Matching_Engine!$BE$25=KOL_Database!$E$24,75,IF(Matching_Engine!$BD$25&gt;=80,Lookup_Lists!$D$150,IF(Matching_Engine!$BD$25&gt;=60,35,Lookup_Lists!$D$151)))))</f>
        <v>20</v>
      </c>
      <c r="V25" s="142">
        <f>IF(Brand_Profile!$D$86=0,Lookup_Lists!$D$150,ROUND((IF(Brand_Profile!$D$81="",0,IF(ISNUMBER(SEARCH(Brand_Profile!$D$81,Matching_Engine!$BG$25)),1,0))+IF(Brand_Profile!$D$82="",0,IF(ISNUMBER(SEARCH(Brand_Profile!$D$82,Matching_Engine!$BG$25)),1,0))+IF(Brand_Profile!$D$83="",0,IF(ISNUMBER(SEARCH(Brand_Profile!$D$83,Matching_Engine!$BG$25)),1,0))+IF(Brand_Profile!$D$84="",0,IF(ISNUMBER(SEARCH(Brand_Profile!$D$84,Matching_Engine!$BG$25)),1,0))+IF(Brand_Profile!$D$85="",0,IF(ISNUMBER(SEARCH(Brand_Profile!$D$85,Matching_Engine!$BG$25)),1,0)))/Brand_Profile!$D$86*100,0))</f>
        <v>20</v>
      </c>
      <c r="W25" s="142">
        <f>IF(Brand_Profile!$D$39="",Lookup_Lists!$D$150,IFERROR(INDEX(Lookup_Lists!$B$237:$K$246,MATCH(Brand_Profile!$D$39,Lookup_Lists!$A$237:$A$246,0),MATCH(KOL_Database!$AJ$24,Lookup_Lists!$B$236:$K$236,0)),45))</f>
        <v>45</v>
      </c>
      <c r="X25" s="142">
        <f>ROUND((Matching_Engine!$T$25*Lookup_Lists!$D$121+Matching_Engine!$U$25*Lookup_Lists!$D$122+Matching_Engine!$V$25*Lookup_Lists!$D$123+Matching_Engine!$W$25*Lookup_Lists!$D$124)/(Lookup_Lists!$D$121+Lookup_Lists!$D$122+Lookup_Lists!$D$123+Lookup_Lists!$D$124),0)</f>
        <v>25</v>
      </c>
      <c r="Y25" s="142">
        <f>MIN(100,MAX(IFERROR(INDEX(Lookup_Lists!$B$202:$M$211,MATCH(Brand_Profile!$D$25,Lookup_Lists!$A$202:$A$211,0),MATCH(KOL_Database!$AK$24,Lookup_Lists!$B$201:$M$201,0)),40),IF(KOL_Database!$AK$24=Brand_Profile!$D$41,95,0)))</f>
        <v>30</v>
      </c>
      <c r="Z25" s="142">
        <f>IFERROR(INDEX(Lookup_Lists!$B$215:$K$222,MATCH(Brand_Profile!$D$27,Lookup_Lists!$A$215:$A$222,0),MATCH(KOL_Database!$AJ$24,Lookup_Lists!$B$214:$K$214,0)),45)</f>
        <v>40</v>
      </c>
      <c r="AA25" s="142">
        <f>ROUND((IF(Brand_Profile!$D$80=0,Lookup_Lists!$D$150,ROUND((IF(Brand_Profile!$D$75="",0,IF(ISNUMBER(SEARCH(Brand_Profile!$D$75,KOL_Database!$AL$24)),1,0))+IF(Brand_Profile!$D$76="",0,IF(ISNUMBER(SEARCH(Brand_Profile!$D$76,KOL_Database!$AL$24)),1,0))+IF(Brand_Profile!$D$77="",0,IF(ISNUMBER(SEARCH(Brand_Profile!$D$77,KOL_Database!$AL$24)),1,0))+IF(Brand_Profile!$D$78="",0,IF(ISNUMBER(SEARCH(Brand_Profile!$D$78,KOL_Database!$AL$24)),1,0))+IF(Brand_Profile!$D$79="",0,IF(ISNUMBER(SEARCH(Brand_Profile!$D$79,KOL_Database!$AL$24)),1,0)))/Brand_Profile!$D$80*100,0))+IF(Brand_Profile!$D$92=0,Lookup_Lists!$D$150,ROUND((IF(Brand_Profile!$D$87="",0,IF(ISNUMBER(SEARCH(Brand_Profile!$D$87,KOL_Database!$AL$24)),1,0))+IF(Brand_Profile!$D$88="",0,IF(ISNUMBER(SEARCH(Brand_Profile!$D$88,KOL_Database!$AL$24)),1,0))+IF(Brand_Profile!$D$89="",0,IF(ISNUMBER(SEARCH(Brand_Profile!$D$89,KOL_Database!$AL$24)),1,0))+IF(Brand_Profile!$D$90="",0,IF(ISNUMBER(SEARCH(Brand_Profile!$D$90,KOL_Database!$AL$24)),1,0))+IF(Brand_Profile!$D$91="",0,IF(ISNUMBER(SEARCH(Brand_Profile!$D$91,KOL_Database!$AL$24)),1,0)))/Brand_Profile!$D$92*100,0)))/2,0)</f>
        <v>0</v>
      </c>
      <c r="AB25" s="142">
        <f>IFERROR(INDEX(Lookup_Lists!$B$226:$K$233,MATCH(Brand_Profile!$D$30,Lookup_Lists!$A$226:$A$233,0),MATCH(KOL_Database!$AJ$24,Lookup_Lists!$B$225:$K$225,0)),45)</f>
        <v>40</v>
      </c>
      <c r="AC25" s="142">
        <f>ROUND((Matching_Engine!$Y$25*Lookup_Lists!$D$125+Matching_Engine!$Z$25*Lookup_Lists!$D$126+Matching_Engine!$AA$25*Lookup_Lists!$D$127+Matching_Engine!$AB$25*Lookup_Lists!$D$128)/(Lookup_Lists!$D$125+Lookup_Lists!$D$126+Lookup_Lists!$D$127+Lookup_Lists!$D$128),0)</f>
        <v>27</v>
      </c>
      <c r="AD25" s="142">
        <f>IF(KOL_Database!$K$24="",0,MIN(100,ROUND(KOL_Database!$K$24/Lookup_Lists!$D$141*100,0)))</f>
        <v>90</v>
      </c>
      <c r="AE25" s="142">
        <f>IF(KOL_Database!$R$24="",0,MIN(100,MAX(0,KOL_Database!$R$24)))</f>
        <v>85</v>
      </c>
      <c r="AF25" s="142">
        <f>IF(KOL_Database!$P$24="",0,MIN(100,MAX(0,KOL_Database!$P$24)))</f>
        <v>55</v>
      </c>
      <c r="AG25" s="142">
        <f>IF(KOL_Database!$Q$24="",0,MIN(100,MAX(0,KOL_Database!$Q$24)))</f>
        <v>47</v>
      </c>
      <c r="AH25" s="142">
        <f>IF(OR(KOL_Database!$J$24="",KOL_Database!$J$24=0,KOL_Database!$L$24=""),0,MIN(100,ROUND(KOL_Database!$L$24/KOL_Database!$J$24/Lookup_Lists!$D$144*100,0)))</f>
        <v>100</v>
      </c>
      <c r="AI25" s="142">
        <f>IF(KOL_Database!$N$24="",0,MIN(100,MAX(0,ROUND((KOL_Database!$N$24+2)/(Lookup_Lists!$D$145+2)*100,0))))</f>
        <v>25</v>
      </c>
      <c r="AJ25" s="142">
        <f>ROUND((Matching_Engine!$AD$25*Lookup_Lists!$D$129+Matching_Engine!$AE$25*Lookup_Lists!$D$130+Matching_Engine!$AF$25*Lookup_Lists!$D$131+Matching_Engine!$AG$25*Lookup_Lists!$D$132+Matching_Engine!$AH$25*Lookup_Lists!$D$133+Matching_Engine!$AI$25*Lookup_Lists!$D$134)/(Lookup_Lists!$D$129+Lookup_Lists!$D$130+Lookup_Lists!$D$131+Lookup_Lists!$D$132+Lookup_Lists!$D$133+Lookup_Lists!$D$134),0)</f>
        <v>75</v>
      </c>
      <c r="AK25" s="142">
        <f>IF(KOL_Database!$AT$24="",0,MIN(100,MAX(0,KOL_Database!$AT$24)))</f>
        <v>92</v>
      </c>
      <c r="AL25" s="142">
        <f>IF(KOL_Database!$AU$24="",0,KOL_Database!$AU$24)</f>
        <v>58</v>
      </c>
      <c r="AM25" s="89" t="str">
        <f>IF(KOL_Database!$AV$24="","None",KOL_Database!$AV$24)</f>
        <v>None</v>
      </c>
      <c r="AN25" s="143">
        <f>IF(Matching_Engine!$AM$25="High",Lookup_Lists!$D$137,IF(Matching_Engine!$AM$25="Medium",Lookup_Lists!$D$138,IF(Matching_Engine!$AM$25="Low",Lookup_Lists!$D$139,Lookup_Lists!$D$140)))</f>
        <v>1</v>
      </c>
      <c r="AO25" s="142">
        <f>ROUND(MIN(100,MAX(0,(Matching_Engine!$AK$25*Lookup_Lists!$D$135+(100-Matching_Engine!$AL$25)*Lookup_Lists!$D$136)/(Lookup_Lists!$D$135+Lookup_Lists!$D$136)*Matching_Engine!$AN$25)),0)</f>
        <v>82</v>
      </c>
      <c r="AP25" s="13">
        <f ca="1">ROUND((Matching_Engine!$N$25*Lookup_Lists!$D$104+Matching_Engine!$S$25*Lookup_Lists!$D$105+Matching_Engine!$X$25*Lookup_Lists!$D$106+Matching_Engine!$AC$25*Lookup_Lists!$D$107+Matching_Engine!$AJ$25*Lookup_Lists!$D$108+Matching_Engine!$AO$25*Lookup_Lists!$D$109)/MAX(1,(Lookup_Lists!$D$104+Lookup_Lists!$D$105+Lookup_Lists!$D$106+Lookup_Lists!$D$107+Lookup_Lists!$D$108+Lookup_Lists!$D$109)),0)</f>
        <v>45</v>
      </c>
      <c r="AQ25" s="89" t="str">
        <f ca="1">IF(Matching_Engine!$AP$25&gt;=Lookup_Lists!$D$152,"Excellent Match",IF(Matching_Engine!$AP$25&gt;=Lookup_Lists!$D$153,"Strong Match",IF(Matching_Engine!$AP$25&gt;=Lookup_Lists!$D$154,"Good Match",IF(Matching_Engine!$AP$25&gt;=Lookup_Lists!$D$155,"Moderate Match","Low Match"))))</f>
        <v>Low Match</v>
      </c>
      <c r="AR25" s="142">
        <f>KOL_Database!$BE$24</f>
        <v>100</v>
      </c>
      <c r="AS25" s="89" t="str">
        <f>IF(Matching_Engine!$AR$25&gt;=Lookup_Lists!$D$159,"High",IF(Matching_Engine!$AR$25&gt;=Lookup_Lists!$D$160,"Medium","Limited Data"))</f>
        <v>High</v>
      </c>
      <c r="AT25" s="142">
        <f>ROUND((Matching_Engine!$N$25+Matching_Engine!$X$25+Matching_Engine!$AC$25)/3,0)</f>
        <v>24</v>
      </c>
      <c r="AU25" s="142">
        <f>ROUND(((100-Matching_Engine!$AL$25)*Lookup_Lists!$D$162+IF(KOL_Database!$BD$24="",Lookup_Lists!$D$150,KOL_Database!$BD$24)*Lookup_Lists!$D$163+Matching_Engine!$AI$25*Lookup_Lists!$D$164+Matching_Engine!$AD$25*Lookup_Lists!$D$165)/(Lookup_Lists!$D$162+Lookup_Lists!$D$163+Lookup_Lists!$D$164+Lookup_Lists!$D$165),0)</f>
        <v>59</v>
      </c>
      <c r="AV25" s="89" t="str">
        <f ca="1">IF(Matching_Engine!$AW$25="","PASS","EXCLUDED")</f>
        <v>PASS</v>
      </c>
      <c r="AW25" s="89" t="str">
        <f ca="1">IF(ISERROR(SEARCH(KOL_Database!$D$24,Brand_Profile!$D$32)),"Platform not in Preferred Platform",IF(AND(Brand_Profile!$D$36&gt;0,KOL_Database!$J$24&lt;Brand_Profile!$D$36),"Followers below Preferred Follower Range",IF(AND(Brand_Profile!$D$37&gt;0,KOL_Database!$J$24&gt;Brand_Profile!$D$37),"Followers above Preferred Follower Range",IF(AND(Brand_Profile!$D$38&gt;0,IF(KOL_Database!$K$24="",0,KOL_Database!$K$24)&lt;Brand_Profile!$D$38),"Engagement Rate below Minimum Engagement Rate",IF(ISERROR(SEARCH(KOL_Database!$G$24,Brand_Profile!$D$35)),"Tier not in Preferred Tier",IF(AND(Brand_Profile!$D$43&gt;0,Matching_Engine!$AE$25&lt;Brand_Profile!$D$43),"Audience Quality below Minimum Audience Quality",IF(AND(Brand_Profile!$D$44&gt;0,Matching_Engine!$AK$25&lt;Brand_Profile!$D$44),"Brand Safety below Minimum Brand Safety",IF(AND(Brand_Profile!$D$47="Yes",KOL_Database!$AD$24&lt;&gt;Brand_Profile!$D$19),"Audience Country does not match Target Country",IF(AND(Brand_Profile!$D$46="Yes",KOL_Database!$E$24&lt;&gt;Brand_Profile!$D$33),"Category is not the Preferred Category",IF(AND(Brand_Profile!$D$48&gt;0,Matching_Engine!$AL$25&gt;Brand_Profile!$D$48),"Competitor Saturation above Max Competitor Saturation",IF(AND(Brand_Profile!$D$50="Yes",KOL_Database!$AW$24="Yes"),"Already Selected",IF(AND(Brand_Profile!$D$51="Yes",KOL_Database!$AX$24="Yes"),"Already in Cart",IF(AND(Brand_Profile!$D$52="Yes",KOL_Database!$AY$24="Yes"),"Existing Partner",IF(AND(Brand_Profile!$D$53="Yes",KOL_Database!$AZ$24="Yes"),"Excluded Creator",IF(AND(Brand_Profile!$D$49&gt;0,Matching_Engine!$AP$25&lt;Brand_Profile!$D$49),"Brand Match below Minimum Brand Match","")))))))))))))))</f>
        <v/>
      </c>
      <c r="AX25" s="89" t="str">
        <f ca="1">IF(Matching_Engine!$AV$25="EXCLUDED","Excluded",IF(Matching_Engine!$AP$25&gt;=Lookup_Lists!$D$156,"Highly Recommended",IF(Matching_Engine!$AP$25&gt;=Lookup_Lists!$D$157,"Recommended",IF(Matching_Engine!$AP$25&gt;=Lookup_Lists!$D$158,"Consider","Low Priority"))))</f>
        <v>Low Priority</v>
      </c>
      <c r="AY25" s="142">
        <f ca="1">IF(Matching_Engine!$AV$25="PASS",Matching_Engine!$AP$25,"")</f>
        <v>45</v>
      </c>
      <c r="AZ25" s="89" t="str">
        <f>Matching_Engine!$A$25&amp;"|"&amp;Matching_Engine!$C$25</f>
        <v>BRAND-A|KOL-20</v>
      </c>
      <c r="BA25" s="89" t="str">
        <f>IFERROR(INDEX(Lookup_Lists!$B$51:$B$92,MATCH(Brand_Profile!$D$12,Lookup_Lists!$A$51:$A$92,0)),"")</f>
        <v>Tech</v>
      </c>
      <c r="BB25" s="89" t="str">
        <f>IFERROR(INDEX(Lookup_Lists!$B$51:$B$92,MATCH(KOL_Database!$F$24,Lookup_Lists!$A$51:$A$92,0)),"")</f>
        <v>Parenting</v>
      </c>
      <c r="BC25" s="142">
        <f>IFERROR(INDEX(Lookup_Lists!$B$185:$O$198,MATCH(Matching_Engine!$BA$25,Lookup_Lists!$A$185:$A$198,0),MATCH(KOL_Database!$E$24,Lookup_Lists!$B$184:$O$184,0)),Lookup_Lists!$D$151)</f>
        <v>20</v>
      </c>
      <c r="BD25" s="142">
        <f>IFERROR(INDEX(Lookup_Lists!$B$185:$O$198,MATCH(Brand_Profile!$D$33,Lookup_Lists!$A$185:$A$198,0),MATCH(KOL_Database!$E$24,Lookup_Lists!$B$184:$O$184,0)),Lookup_Lists!$D$151)</f>
        <v>20</v>
      </c>
      <c r="BE25" s="89" t="str">
        <f>IFERROR(INDEX(Lookup_Lists!$B$51:$B$92,MATCH(Brand_Profile!$D$34,Lookup_Lists!$A$51:$A$92,0)),"")</f>
        <v>Tech</v>
      </c>
      <c r="BF25" s="89" t="str">
        <f>KOL_Database!$AI$24&amp;", "&amp;KOL_Database!$AG$24&amp;", "&amp;KOL_Database!$F$24&amp;", "&amp;KOL_Database!$E$24</f>
        <v>Parenting, Food, Entertainment, Parenting, Food, Entertainment, Home Decor, Education, Kids &amp; Family, Parenting</v>
      </c>
      <c r="BG25" s="89" t="str">
        <f>KOL_Database!$AI$24&amp;", "&amp;KOL_Database!$AG$24</f>
        <v>Parenting, Food, Entertainment, Parenting, Food, Entertainment, Home Decor, Education</v>
      </c>
    </row>
    <row r="26" spans="1:59">
      <c r="A26" s="101" t="s">
        <v>113</v>
      </c>
      <c r="B26" s="89" t="str">
        <f>Brand_Profile!$D$9</f>
        <v>Nusatech Cloud</v>
      </c>
      <c r="C26" s="89" t="str">
        <f>KOL_Database!$A$25</f>
        <v>KOL-21</v>
      </c>
      <c r="D26" s="89" t="str">
        <f>KOL_Database!$B$25</f>
        <v>Bagas Setiawan</v>
      </c>
      <c r="E26" s="89" t="str">
        <f>KOL_Database!$C$25</f>
        <v>@bagaskomedi</v>
      </c>
      <c r="F26" s="89" t="str">
        <f>KOL_Database!$D$25</f>
        <v>TikTok</v>
      </c>
      <c r="G26" s="89" t="str">
        <f>KOL_Database!$E$25</f>
        <v>Entertainment</v>
      </c>
      <c r="H26" s="89" t="str">
        <f>KOL_Database!$G$25</f>
        <v>Mega</v>
      </c>
      <c r="I26" s="140">
        <f>KOL_Database!$J$25</f>
        <v>1240000</v>
      </c>
      <c r="J26" s="141">
        <f>KOL_Database!$K$25</f>
        <v>9.2</v>
      </c>
      <c r="K26" s="142">
        <f>IFERROR(INDEX(Lookup_Lists!$B$170:$O$181,MATCH(Brand_Profile!$D$10,Lookup_Lists!$A$170:$A$181,0),MATCH(KOL_Database!$E$25,Lookup_Lists!$B$169:$O$169,0)),Lookup_Lists!$D$151)</f>
        <v>40</v>
      </c>
      <c r="L26" s="142">
        <f>IF(KOL_Database!$F$25="",Matching_Engine!$BC$26,IF(Brand_Profile!$D$12=KOL_Database!$F$25,100,IF(Matching_Engine!$BA$26=KOL_Database!$E$25,80,IF(Matching_Engine!$BC$26&gt;=80,60,IF(Matching_Engine!$BC$26&gt;=60,40,Lookup_Lists!$D$151)))))</f>
        <v>20</v>
      </c>
      <c r="M26" s="142">
        <f>ROUND((IF(Brand_Profile!$D$62=0,Lookup_Lists!$D$150,ROUND((IF(Brand_Profile!$D$57="",0,IF(ISNUMBER(SEARCH(Brand_Profile!$D$57,Matching_Engine!$BF$26)),1,0))+IF(Brand_Profile!$D$58="",0,IF(ISNUMBER(SEARCH(Brand_Profile!$D$58,Matching_Engine!$BF$26)),1,0))+IF(Brand_Profile!$D$59="",0,IF(ISNUMBER(SEARCH(Brand_Profile!$D$59,Matching_Engine!$BF$26)),1,0))+IF(Brand_Profile!$D$60="",0,IF(ISNUMBER(SEARCH(Brand_Profile!$D$60,Matching_Engine!$BF$26)),1,0))+IF(Brand_Profile!$D$61="",0,IF(ISNUMBER(SEARCH(Brand_Profile!$D$61,Matching_Engine!$BF$26)),1,0)))/Brand_Profile!$D$62*100,0))+IF(Brand_Profile!$D$74=0,Lookup_Lists!$D$150,ROUND((IF(Brand_Profile!$D$69="",0,IF(ISNUMBER(SEARCH(Brand_Profile!$D$69,Matching_Engine!$BF$26)),1,0))+IF(Brand_Profile!$D$70="",0,IF(ISNUMBER(SEARCH(Brand_Profile!$D$70,Matching_Engine!$BF$26)),1,0))+IF(Brand_Profile!$D$71="",0,IF(ISNUMBER(SEARCH(Brand_Profile!$D$71,Matching_Engine!$BF$26)),1,0))+IF(Brand_Profile!$D$72="",0,IF(ISNUMBER(SEARCH(Brand_Profile!$D$72,Matching_Engine!$BF$26)),1,0))+IF(Brand_Profile!$D$73="",0,IF(ISNUMBER(SEARCH(Brand_Profile!$D$73,Matching_Engine!$BF$26)),1,0)))/Brand_Profile!$D$74*100,0)))/2,0)</f>
        <v>0</v>
      </c>
      <c r="N26" s="142">
        <f>ROUND((Matching_Engine!$K$26*Lookup_Lists!$D$110+Matching_Engine!$L$26*Lookup_Lists!$D$111+Matching_Engine!$M$26*Lookup_Lists!$D$112)/(Lookup_Lists!$D$110+Lookup_Lists!$D$111+Lookup_Lists!$D$112),0)</f>
        <v>22</v>
      </c>
      <c r="O26" s="142">
        <f ca="1">IF(Brand_Profile!$D$16="",Lookup_Lists!$D$150,MIN(100,ROUND((IFERROR(INDEX(KOL_Database!$W$25:KOL_Database!$AA$25,1,MATCH(Brand_Profile!$D$16,Lookup_Lists!$F$6:$F$10,0)),0)+0.5*IFERROR(INDEX(KOL_Database!$W$25:KOL_Database!$AA$25,1,MATCH(Brand_Profile!$D$17,Lookup_Lists!$F$6:$F$10,0)),0))/Lookup_Lists!$D$142*100,0)))</f>
        <v>100</v>
      </c>
      <c r="P26" s="142">
        <f>IF(OR(Brand_Profile!$D$18="",Brand_Profile!$D$18="Any"),100,IF(Brand_Profile!$D$18="Female",MIN(100,ROUND(KOL_Database!$AB$25/Lookup_Lists!$D$143*100,0)),IF(Brand_Profile!$D$18="Male",MIN(100,ROUND(KOL_Database!$AC$25/Lookup_Lists!$D$143*100,0)),MAX(0,ROUND(100-ABS(KOL_Database!$AB$25-50)*2,0)))))</f>
        <v>100</v>
      </c>
      <c r="Q26" s="142">
        <f>ROUND((IF(Brand_Profile!$D$19="",100,IF(KOL_Database!$AD$25=Brand_Profile!$D$19,100,Lookup_Lists!$D$151))*Lookup_Lists!$D$118+IF(OR(Brand_Profile!$D$20="",Brand_Profile!$D$20="Nasional"),100,IF(KOL_Database!$AE$25="",Lookup_Lists!$D$150,IF(KOL_Database!$AE$25=Brand_Profile!$D$20,100,IF(KOL_Database!$AD$25=Brand_Profile!$D$19,40,Lookup_Lists!$D$151))))*Lookup_Lists!$D$119+IF(OR(Brand_Profile!$D$21="",Brand_Profile!$D$21="Nasional"),100,IF(KOL_Database!$AF$25="",Lookup_Lists!$D$150,IF(KOL_Database!$AF$25=Brand_Profile!$D$21,100,IF(KOL_Database!$AE$25=Brand_Profile!$D$20,60,Lookup_Lists!$D$151))))*Lookup_Lists!$D$120)/(Lookup_Lists!$D$118+Lookup_Lists!$D$119+Lookup_Lists!$D$120),0)</f>
        <v>65</v>
      </c>
      <c r="R26" s="142">
        <f>IF(Brand_Profile!$D$68=0,Lookup_Lists!$D$150,ROUND((IF(Brand_Profile!$D$63="",0,IF(ISNUMBER(SEARCH(Brand_Profile!$D$63,KOL_Database!$AG$25)),1,0))+IF(Brand_Profile!$D$64="",0,IF(ISNUMBER(SEARCH(Brand_Profile!$D$64,KOL_Database!$AG$25)),1,0))+IF(Brand_Profile!$D$65="",0,IF(ISNUMBER(SEARCH(Brand_Profile!$D$65,KOL_Database!$AG$25)),1,0))+IF(Brand_Profile!$D$66="",0,IF(ISNUMBER(SEARCH(Brand_Profile!$D$66,KOL_Database!$AG$25)),1,0))+IF(Brand_Profile!$D$67="",0,IF(ISNUMBER(SEARCH(Brand_Profile!$D$67,KOL_Database!$AG$25)),1,0)))/Brand_Profile!$D$68*100,0))</f>
        <v>0</v>
      </c>
      <c r="S26" s="142">
        <f ca="1">ROUND((Matching_Engine!$O$26*Brand_Profile!$D$96+Matching_Engine!$P$26*Brand_Profile!$D$97+Matching_Engine!$Q$26*Brand_Profile!$D$98+Matching_Engine!$R$26*Brand_Profile!$D$99)/MAX(1,Brand_Profile!$D$96+Brand_Profile!$D$97+Brand_Profile!$D$98+Brand_Profile!$D$99),0)</f>
        <v>49</v>
      </c>
      <c r="T26" s="142">
        <f>IF(Brand_Profile!$D$33="",Lookup_Lists!$D$150,Matching_Engine!$BD$26)</f>
        <v>40</v>
      </c>
      <c r="U26" s="142">
        <f>IF(Brand_Profile!$D$34="",Lookup_Lists!$D$150,IF(Brand_Profile!$D$34=KOL_Database!$F$25,100,IF(Matching_Engine!$BE$26=KOL_Database!$E$25,75,IF(Matching_Engine!$BD$26&gt;=80,Lookup_Lists!$D$150,IF(Matching_Engine!$BD$26&gt;=60,35,Lookup_Lists!$D$151)))))</f>
        <v>20</v>
      </c>
      <c r="V26" s="142">
        <f>IF(Brand_Profile!$D$86=0,Lookup_Lists!$D$150,ROUND((IF(Brand_Profile!$D$81="",0,IF(ISNUMBER(SEARCH(Brand_Profile!$D$81,Matching_Engine!$BG$26)),1,0))+IF(Brand_Profile!$D$82="",0,IF(ISNUMBER(SEARCH(Brand_Profile!$D$82,Matching_Engine!$BG$26)),1,0))+IF(Brand_Profile!$D$83="",0,IF(ISNUMBER(SEARCH(Brand_Profile!$D$83,Matching_Engine!$BG$26)),1,0))+IF(Brand_Profile!$D$84="",0,IF(ISNUMBER(SEARCH(Brand_Profile!$D$84,Matching_Engine!$BG$26)),1,0))+IF(Brand_Profile!$D$85="",0,IF(ISNUMBER(SEARCH(Brand_Profile!$D$85,Matching_Engine!$BG$26)),1,0)))/Brand_Profile!$D$86*100,0))</f>
        <v>0</v>
      </c>
      <c r="W26" s="142">
        <f>IF(Brand_Profile!$D$39="",Lookup_Lists!$D$150,IFERROR(INDEX(Lookup_Lists!$B$237:$K$246,MATCH(Brand_Profile!$D$39,Lookup_Lists!$A$237:$A$246,0),MATCH(KOL_Database!$AJ$25,Lookup_Lists!$B$236:$K$236,0)),45))</f>
        <v>45</v>
      </c>
      <c r="X26" s="142">
        <f>ROUND((Matching_Engine!$T$26*Lookup_Lists!$D$121+Matching_Engine!$U$26*Lookup_Lists!$D$122+Matching_Engine!$V$26*Lookup_Lists!$D$123+Matching_Engine!$W$26*Lookup_Lists!$D$124)/(Lookup_Lists!$D$121+Lookup_Lists!$D$122+Lookup_Lists!$D$123+Lookup_Lists!$D$124),0)</f>
        <v>25</v>
      </c>
      <c r="Y26" s="142">
        <f>MIN(100,MAX(IFERROR(INDEX(Lookup_Lists!$B$202:$M$211,MATCH(Brand_Profile!$D$25,Lookup_Lists!$A$202:$A$211,0),MATCH(KOL_Database!$AK$25,Lookup_Lists!$B$201:$M$201,0)),40),IF(KOL_Database!$AK$25=Brand_Profile!$D$41,95,0)))</f>
        <v>30</v>
      </c>
      <c r="Z26" s="142">
        <f>IFERROR(INDEX(Lookup_Lists!$B$215:$K$222,MATCH(Brand_Profile!$D$27,Lookup_Lists!$A$215:$A$222,0),MATCH(KOL_Database!$AJ$25,Lookup_Lists!$B$214:$K$214,0)),45)</f>
        <v>30</v>
      </c>
      <c r="AA26" s="142">
        <f>ROUND((IF(Brand_Profile!$D$80=0,Lookup_Lists!$D$150,ROUND((IF(Brand_Profile!$D$75="",0,IF(ISNUMBER(SEARCH(Brand_Profile!$D$75,KOL_Database!$AL$25)),1,0))+IF(Brand_Profile!$D$76="",0,IF(ISNUMBER(SEARCH(Brand_Profile!$D$76,KOL_Database!$AL$25)),1,0))+IF(Brand_Profile!$D$77="",0,IF(ISNUMBER(SEARCH(Brand_Profile!$D$77,KOL_Database!$AL$25)),1,0))+IF(Brand_Profile!$D$78="",0,IF(ISNUMBER(SEARCH(Brand_Profile!$D$78,KOL_Database!$AL$25)),1,0))+IF(Brand_Profile!$D$79="",0,IF(ISNUMBER(SEARCH(Brand_Profile!$D$79,KOL_Database!$AL$25)),1,0)))/Brand_Profile!$D$80*100,0))+IF(Brand_Profile!$D$92=0,Lookup_Lists!$D$150,ROUND((IF(Brand_Profile!$D$87="",0,IF(ISNUMBER(SEARCH(Brand_Profile!$D$87,KOL_Database!$AL$25)),1,0))+IF(Brand_Profile!$D$88="",0,IF(ISNUMBER(SEARCH(Brand_Profile!$D$88,KOL_Database!$AL$25)),1,0))+IF(Brand_Profile!$D$89="",0,IF(ISNUMBER(SEARCH(Brand_Profile!$D$89,KOL_Database!$AL$25)),1,0))+IF(Brand_Profile!$D$90="",0,IF(ISNUMBER(SEARCH(Brand_Profile!$D$90,KOL_Database!$AL$25)),1,0))+IF(Brand_Profile!$D$91="",0,IF(ISNUMBER(SEARCH(Brand_Profile!$D$91,KOL_Database!$AL$25)),1,0)))/Brand_Profile!$D$92*100,0)))/2,0)</f>
        <v>0</v>
      </c>
      <c r="AB26" s="142">
        <f>IFERROR(INDEX(Lookup_Lists!$B$226:$K$233,MATCH(Brand_Profile!$D$30,Lookup_Lists!$A$226:$A$233,0),MATCH(KOL_Database!$AJ$25,Lookup_Lists!$B$225:$K$225,0)),45)</f>
        <v>30</v>
      </c>
      <c r="AC26" s="142">
        <f>ROUND((Matching_Engine!$Y$26*Lookup_Lists!$D$125+Matching_Engine!$Z$26*Lookup_Lists!$D$126+Matching_Engine!$AA$26*Lookup_Lists!$D$127+Matching_Engine!$AB$26*Lookup_Lists!$D$128)/(Lookup_Lists!$D$125+Lookup_Lists!$D$126+Lookup_Lists!$D$127+Lookup_Lists!$D$128),0)</f>
        <v>23</v>
      </c>
      <c r="AD26" s="142">
        <f>IF(KOL_Database!$K$25="",0,MIN(100,ROUND(KOL_Database!$K$25/Lookup_Lists!$D$141*100,0)))</f>
        <v>100</v>
      </c>
      <c r="AE26" s="142">
        <f>IF(KOL_Database!$R$25="",0,MIN(100,MAX(0,KOL_Database!$R$25)))</f>
        <v>76</v>
      </c>
      <c r="AF26" s="142">
        <f>IF(KOL_Database!$P$25="",0,MIN(100,MAX(0,KOL_Database!$P$25)))</f>
        <v>63</v>
      </c>
      <c r="AG26" s="142">
        <f>IF(KOL_Database!$Q$25="",0,MIN(100,MAX(0,KOL_Database!$Q$25)))</f>
        <v>52</v>
      </c>
      <c r="AH26" s="142">
        <f>IF(OR(KOL_Database!$J$25="",KOL_Database!$J$25=0,KOL_Database!$L$25=""),0,MIN(100,ROUND(KOL_Database!$L$25/KOL_Database!$J$25/Lookup_Lists!$D$144*100,0)))</f>
        <v>100</v>
      </c>
      <c r="AI26" s="142">
        <f>IF(KOL_Database!$N$25="",0,MIN(100,MAX(0,ROUND((KOL_Database!$N$25+2)/(Lookup_Lists!$D$145+2)*100,0))))</f>
        <v>42</v>
      </c>
      <c r="AJ26" s="142">
        <f>ROUND((Matching_Engine!$AD$26*Lookup_Lists!$D$129+Matching_Engine!$AE$26*Lookup_Lists!$D$130+Matching_Engine!$AF$26*Lookup_Lists!$D$131+Matching_Engine!$AG$26*Lookup_Lists!$D$132+Matching_Engine!$AH$26*Lookup_Lists!$D$133+Matching_Engine!$AI$26*Lookup_Lists!$D$134)/(Lookup_Lists!$D$129+Lookup_Lists!$D$130+Lookup_Lists!$D$131+Lookup_Lists!$D$132+Lookup_Lists!$D$133+Lookup_Lists!$D$134),0)</f>
        <v>80</v>
      </c>
      <c r="AK26" s="142">
        <f>IF(KOL_Database!$AT$25="",0,MIN(100,MAX(0,KOL_Database!$AT$25)))</f>
        <v>62</v>
      </c>
      <c r="AL26" s="142">
        <f>IF(KOL_Database!$AU$25="",0,KOL_Database!$AU$25)</f>
        <v>88</v>
      </c>
      <c r="AM26" s="89" t="str">
        <f>IF(KOL_Database!$AV$25="","None",KOL_Database!$AV$25)</f>
        <v>Medium</v>
      </c>
      <c r="AN26" s="143">
        <f>IF(Matching_Engine!$AM$26="High",Lookup_Lists!$D$137,IF(Matching_Engine!$AM$26="Medium",Lookup_Lists!$D$138,IF(Matching_Engine!$AM$26="Low",Lookup_Lists!$D$139,Lookup_Lists!$D$140)))</f>
        <v>0.85</v>
      </c>
      <c r="AO26" s="142">
        <f>ROUND(MIN(100,MAX(0,(Matching_Engine!$AK$26*Lookup_Lists!$D$135+(100-Matching_Engine!$AL$26)*Lookup_Lists!$D$136)/(Lookup_Lists!$D$135+Lookup_Lists!$D$136)*Matching_Engine!$AN$26)),0)</f>
        <v>44</v>
      </c>
      <c r="AP26" s="13">
        <f ca="1">ROUND((Matching_Engine!$N$26*Lookup_Lists!$D$104+Matching_Engine!$S$26*Lookup_Lists!$D$105+Matching_Engine!$X$26*Lookup_Lists!$D$106+Matching_Engine!$AC$26*Lookup_Lists!$D$107+Matching_Engine!$AJ$26*Lookup_Lists!$D$108+Matching_Engine!$AO$26*Lookup_Lists!$D$109)/MAX(1,(Lookup_Lists!$D$104+Lookup_Lists!$D$105+Lookup_Lists!$D$106+Lookup_Lists!$D$107+Lookup_Lists!$D$108+Lookup_Lists!$D$109)),0)</f>
        <v>39</v>
      </c>
      <c r="AQ26" s="89" t="str">
        <f ca="1">IF(Matching_Engine!$AP$26&gt;=Lookup_Lists!$D$152,"Excellent Match",IF(Matching_Engine!$AP$26&gt;=Lookup_Lists!$D$153,"Strong Match",IF(Matching_Engine!$AP$26&gt;=Lookup_Lists!$D$154,"Good Match",IF(Matching_Engine!$AP$26&gt;=Lookup_Lists!$D$155,"Moderate Match","Low Match"))))</f>
        <v>Low Match</v>
      </c>
      <c r="AR26" s="142">
        <f>KOL_Database!$BE$25</f>
        <v>100</v>
      </c>
      <c r="AS26" s="89" t="str">
        <f>IF(Matching_Engine!$AR$26&gt;=Lookup_Lists!$D$159,"High",IF(Matching_Engine!$AR$26&gt;=Lookup_Lists!$D$160,"Medium","Limited Data"))</f>
        <v>High</v>
      </c>
      <c r="AT26" s="142">
        <f>ROUND((Matching_Engine!$N$26+Matching_Engine!$X$26+Matching_Engine!$AC$26)/3,0)</f>
        <v>23</v>
      </c>
      <c r="AU26" s="142">
        <f>ROUND(((100-Matching_Engine!$AL$26)*Lookup_Lists!$D$162+IF(KOL_Database!$BD$25="",Lookup_Lists!$D$150,KOL_Database!$BD$25)*Lookup_Lists!$D$163+Matching_Engine!$AI$26*Lookup_Lists!$D$164+Matching_Engine!$AD$26*Lookup_Lists!$D$165)/(Lookup_Lists!$D$162+Lookup_Lists!$D$163+Lookup_Lists!$D$164+Lookup_Lists!$D$165),0)</f>
        <v>55</v>
      </c>
      <c r="AV26" s="89" t="str">
        <f ca="1">IF(Matching_Engine!$AW$26="","PASS","EXCLUDED")</f>
        <v>EXCLUDED</v>
      </c>
      <c r="AW26" s="89" t="str">
        <f ca="1">IF(ISERROR(SEARCH(KOL_Database!$D$25,Brand_Profile!$D$32)),"Platform not in Preferred Platform",IF(AND(Brand_Profile!$D$36&gt;0,KOL_Database!$J$25&lt;Brand_Profile!$D$36),"Followers below Preferred Follower Range",IF(AND(Brand_Profile!$D$37&gt;0,KOL_Database!$J$25&gt;Brand_Profile!$D$37),"Followers above Preferred Follower Range",IF(AND(Brand_Profile!$D$38&gt;0,IF(KOL_Database!$K$25="",0,KOL_Database!$K$25)&lt;Brand_Profile!$D$38),"Engagement Rate below Minimum Engagement Rate",IF(ISERROR(SEARCH(KOL_Database!$G$25,Brand_Profile!$D$35)),"Tier not in Preferred Tier",IF(AND(Brand_Profile!$D$43&gt;0,Matching_Engine!$AE$26&lt;Brand_Profile!$D$43),"Audience Quality below Minimum Audience Quality",IF(AND(Brand_Profile!$D$44&gt;0,Matching_Engine!$AK$26&lt;Brand_Profile!$D$44),"Brand Safety below Minimum Brand Safety",IF(AND(Brand_Profile!$D$47="Yes",KOL_Database!$AD$25&lt;&gt;Brand_Profile!$D$19),"Audience Country does not match Target Country",IF(AND(Brand_Profile!$D$46="Yes",KOL_Database!$E$25&lt;&gt;Brand_Profile!$D$33),"Category is not the Preferred Category",IF(AND(Brand_Profile!$D$48&gt;0,Matching_Engine!$AL$26&gt;Brand_Profile!$D$48),"Competitor Saturation above Max Competitor Saturation",IF(AND(Brand_Profile!$D$50="Yes",KOL_Database!$AW$25="Yes"),"Already Selected",IF(AND(Brand_Profile!$D$51="Yes",KOL_Database!$AX$25="Yes"),"Already in Cart",IF(AND(Brand_Profile!$D$52="Yes",KOL_Database!$AY$25="Yes"),"Existing Partner",IF(AND(Brand_Profile!$D$53="Yes",KOL_Database!$AZ$25="Yes"),"Excluded Creator",IF(AND(Brand_Profile!$D$49&gt;0,Matching_Engine!$AP$26&lt;Brand_Profile!$D$49),"Brand Match below Minimum Brand Match","")))))))))))))))</f>
        <v>Followers above Preferred Follower Range</v>
      </c>
      <c r="AX26" s="89" t="str">
        <f ca="1">IF(Matching_Engine!$AV$26="EXCLUDED","Excluded",IF(Matching_Engine!$AP$26&gt;=Lookup_Lists!$D$156,"Highly Recommended",IF(Matching_Engine!$AP$26&gt;=Lookup_Lists!$D$157,"Recommended",IF(Matching_Engine!$AP$26&gt;=Lookup_Lists!$D$158,"Consider","Low Priority"))))</f>
        <v>Excluded</v>
      </c>
      <c r="AY26" s="142" t="str">
        <f ca="1">IF(Matching_Engine!$AV$26="PASS",Matching_Engine!$AP$26,"")</f>
        <v/>
      </c>
      <c r="AZ26" s="89" t="str">
        <f>Matching_Engine!$A$26&amp;"|"&amp;Matching_Engine!$C$26</f>
        <v>BRAND-A|KOL-21</v>
      </c>
      <c r="BA26" s="89" t="str">
        <f>IFERROR(INDEX(Lookup_Lists!$B$51:$B$92,MATCH(Brand_Profile!$D$12,Lookup_Lists!$A$51:$A$92,0)),"")</f>
        <v>Tech</v>
      </c>
      <c r="BB26" s="89" t="str">
        <f>IFERROR(INDEX(Lookup_Lists!$B$51:$B$92,MATCH(KOL_Database!$F$25,Lookup_Lists!$A$51:$A$92,0)),"")</f>
        <v>Entertainment</v>
      </c>
      <c r="BC26" s="142">
        <f>IFERROR(INDEX(Lookup_Lists!$B$185:$O$198,MATCH(Matching_Engine!$BA$26,Lookup_Lists!$A$185:$A$198,0),MATCH(KOL_Database!$E$25,Lookup_Lists!$B$184:$O$184,0)),Lookup_Lists!$D$151)</f>
        <v>40</v>
      </c>
      <c r="BD26" s="142">
        <f>IFERROR(INDEX(Lookup_Lists!$B$185:$O$198,MATCH(Brand_Profile!$D$33,Lookup_Lists!$A$185:$A$198,0),MATCH(KOL_Database!$E$25,Lookup_Lists!$B$184:$O$184,0)),Lookup_Lists!$D$151)</f>
        <v>40</v>
      </c>
      <c r="BE26" s="89" t="str">
        <f>IFERROR(INDEX(Lookup_Lists!$B$51:$B$92,MATCH(Brand_Profile!$D$34,Lookup_Lists!$A$51:$A$92,0)),"")</f>
        <v>Tech</v>
      </c>
      <c r="BF26" s="89" t="str">
        <f>KOL_Database!$AI$25&amp;", "&amp;KOL_Database!$AG$25&amp;", "&amp;KOL_Database!$F$25&amp;", "&amp;KOL_Database!$E$25</f>
        <v>Entertainment, Music, Food, Entertainment, Music, Food, Gaming, Shopping, Comedy, Entertainment</v>
      </c>
      <c r="BG26" s="89" t="str">
        <f>KOL_Database!$AI$25&amp;", "&amp;KOL_Database!$AG$25</f>
        <v>Entertainment, Music, Food, Entertainment, Music, Food, Gaming, Shopping</v>
      </c>
    </row>
    <row r="27" spans="1:59">
      <c r="A27" s="101" t="s">
        <v>113</v>
      </c>
      <c r="B27" s="89" t="str">
        <f>Brand_Profile!$D$9</f>
        <v>Nusatech Cloud</v>
      </c>
      <c r="C27" s="89" t="str">
        <f>KOL_Database!$A$26</f>
        <v>KOL-22</v>
      </c>
      <c r="D27" s="89" t="str">
        <f>KOL_Database!$B$26</f>
        <v>Nabila Kirana</v>
      </c>
      <c r="E27" s="89" t="str">
        <f>KOL_Database!$C$26</f>
        <v>@nabilamusic</v>
      </c>
      <c r="F27" s="89" t="str">
        <f>KOL_Database!$D$26</f>
        <v>Instagram</v>
      </c>
      <c r="G27" s="89" t="str">
        <f>KOL_Database!$E$26</f>
        <v>Entertainment</v>
      </c>
      <c r="H27" s="89" t="str">
        <f>KOL_Database!$G$26</f>
        <v>Macro</v>
      </c>
      <c r="I27" s="140">
        <f>KOL_Database!$J$26</f>
        <v>420000</v>
      </c>
      <c r="J27" s="141">
        <f>KOL_Database!$K$26</f>
        <v>3.6</v>
      </c>
      <c r="K27" s="142">
        <f>IFERROR(INDEX(Lookup_Lists!$B$170:$O$181,MATCH(Brand_Profile!$D$10,Lookup_Lists!$A$170:$A$181,0),MATCH(KOL_Database!$E$26,Lookup_Lists!$B$169:$O$169,0)),Lookup_Lists!$D$151)</f>
        <v>40</v>
      </c>
      <c r="L27" s="142">
        <f>IF(KOL_Database!$F$26="",Matching_Engine!$BC$27,IF(Brand_Profile!$D$12=KOL_Database!$F$26,100,IF(Matching_Engine!$BA$27=KOL_Database!$E$26,80,IF(Matching_Engine!$BC$27&gt;=80,60,IF(Matching_Engine!$BC$27&gt;=60,40,Lookup_Lists!$D$151)))))</f>
        <v>20</v>
      </c>
      <c r="M27" s="142">
        <f>ROUND((IF(Brand_Profile!$D$62=0,Lookup_Lists!$D$150,ROUND((IF(Brand_Profile!$D$57="",0,IF(ISNUMBER(SEARCH(Brand_Profile!$D$57,Matching_Engine!$BF$27)),1,0))+IF(Brand_Profile!$D$58="",0,IF(ISNUMBER(SEARCH(Brand_Profile!$D$58,Matching_Engine!$BF$27)),1,0))+IF(Brand_Profile!$D$59="",0,IF(ISNUMBER(SEARCH(Brand_Profile!$D$59,Matching_Engine!$BF$27)),1,0))+IF(Brand_Profile!$D$60="",0,IF(ISNUMBER(SEARCH(Brand_Profile!$D$60,Matching_Engine!$BF$27)),1,0))+IF(Brand_Profile!$D$61="",0,IF(ISNUMBER(SEARCH(Brand_Profile!$D$61,Matching_Engine!$BF$27)),1,0)))/Brand_Profile!$D$62*100,0))+IF(Brand_Profile!$D$74=0,Lookup_Lists!$D$150,ROUND((IF(Brand_Profile!$D$69="",0,IF(ISNUMBER(SEARCH(Brand_Profile!$D$69,Matching_Engine!$BF$27)),1,0))+IF(Brand_Profile!$D$70="",0,IF(ISNUMBER(SEARCH(Brand_Profile!$D$70,Matching_Engine!$BF$27)),1,0))+IF(Brand_Profile!$D$71="",0,IF(ISNUMBER(SEARCH(Brand_Profile!$D$71,Matching_Engine!$BF$27)),1,0))+IF(Brand_Profile!$D$72="",0,IF(ISNUMBER(SEARCH(Brand_Profile!$D$72,Matching_Engine!$BF$27)),1,0))+IF(Brand_Profile!$D$73="",0,IF(ISNUMBER(SEARCH(Brand_Profile!$D$73,Matching_Engine!$BF$27)),1,0)))/Brand_Profile!$D$74*100,0)))/2,0)</f>
        <v>0</v>
      </c>
      <c r="N27" s="142">
        <f>ROUND((Matching_Engine!$K$27*Lookup_Lists!$D$110+Matching_Engine!$L$27*Lookup_Lists!$D$111+Matching_Engine!$M$27*Lookup_Lists!$D$112)/(Lookup_Lists!$D$110+Lookup_Lists!$D$111+Lookup_Lists!$D$112),0)</f>
        <v>22</v>
      </c>
      <c r="O27" s="142">
        <f ca="1">IF(Brand_Profile!$D$16="",Lookup_Lists!$D$150,MIN(100,ROUND((IFERROR(INDEX(KOL_Database!$W$26:KOL_Database!$AA$26,1,MATCH(Brand_Profile!$D$16,Lookup_Lists!$F$6:$F$10,0)),0)+0.5*IFERROR(INDEX(KOL_Database!$W$26:KOL_Database!$AA$26,1,MATCH(Brand_Profile!$D$17,Lookup_Lists!$F$6:$F$10,0)),0))/Lookup_Lists!$D$142*100,0)))</f>
        <v>100</v>
      </c>
      <c r="P27" s="142">
        <f>IF(OR(Brand_Profile!$D$18="",Brand_Profile!$D$18="Any"),100,IF(Brand_Profile!$D$18="Female",MIN(100,ROUND(KOL_Database!$AB$26/Lookup_Lists!$D$143*100,0)),IF(Brand_Profile!$D$18="Male",MIN(100,ROUND(KOL_Database!$AC$26/Lookup_Lists!$D$143*100,0)),MAX(0,ROUND(100-ABS(KOL_Database!$AB$26-50)*2,0)))))</f>
        <v>100</v>
      </c>
      <c r="Q27" s="142">
        <f>ROUND((IF(Brand_Profile!$D$19="",100,IF(KOL_Database!$AD$26=Brand_Profile!$D$19,100,Lookup_Lists!$D$151))*Lookup_Lists!$D$118+IF(OR(Brand_Profile!$D$20="",Brand_Profile!$D$20="Nasional"),100,IF(KOL_Database!$AE$26="",Lookup_Lists!$D$150,IF(KOL_Database!$AE$26=Brand_Profile!$D$20,100,IF(KOL_Database!$AD$26=Brand_Profile!$D$19,40,Lookup_Lists!$D$151))))*Lookup_Lists!$D$119+IF(OR(Brand_Profile!$D$21="",Brand_Profile!$D$21="Nasional"),100,IF(KOL_Database!$AF$26="",Lookup_Lists!$D$150,IF(KOL_Database!$AF$26=Brand_Profile!$D$21,100,IF(KOL_Database!$AE$26=Brand_Profile!$D$20,60,Lookup_Lists!$D$151))))*Lookup_Lists!$D$120)/(Lookup_Lists!$D$118+Lookup_Lists!$D$119+Lookup_Lists!$D$120),0)</f>
        <v>85</v>
      </c>
      <c r="R27" s="142">
        <f>IF(Brand_Profile!$D$68=0,Lookup_Lists!$D$150,ROUND((IF(Brand_Profile!$D$63="",0,IF(ISNUMBER(SEARCH(Brand_Profile!$D$63,KOL_Database!$AG$26)),1,0))+IF(Brand_Profile!$D$64="",0,IF(ISNUMBER(SEARCH(Brand_Profile!$D$64,KOL_Database!$AG$26)),1,0))+IF(Brand_Profile!$D$65="",0,IF(ISNUMBER(SEARCH(Brand_Profile!$D$65,KOL_Database!$AG$26)),1,0))+IF(Brand_Profile!$D$66="",0,IF(ISNUMBER(SEARCH(Brand_Profile!$D$66,KOL_Database!$AG$26)),1,0))+IF(Brand_Profile!$D$67="",0,IF(ISNUMBER(SEARCH(Brand_Profile!$D$67,KOL_Database!$AG$26)),1,0)))/Brand_Profile!$D$68*100,0))</f>
        <v>0</v>
      </c>
      <c r="S27" s="142">
        <f ca="1">ROUND((Matching_Engine!$O$27*Brand_Profile!$D$96+Matching_Engine!$P$27*Brand_Profile!$D$97+Matching_Engine!$Q$27*Brand_Profile!$D$98+Matching_Engine!$R$27*Brand_Profile!$D$99)/MAX(1,Brand_Profile!$D$96+Brand_Profile!$D$97+Brand_Profile!$D$98+Brand_Profile!$D$99),0)</f>
        <v>54</v>
      </c>
      <c r="T27" s="142">
        <f>IF(Brand_Profile!$D$33="",Lookup_Lists!$D$150,Matching_Engine!$BD$27)</f>
        <v>40</v>
      </c>
      <c r="U27" s="142">
        <f>IF(Brand_Profile!$D$34="",Lookup_Lists!$D$150,IF(Brand_Profile!$D$34=KOL_Database!$F$26,100,IF(Matching_Engine!$BE$27=KOL_Database!$E$26,75,IF(Matching_Engine!$BD$27&gt;=80,Lookup_Lists!$D$150,IF(Matching_Engine!$BD$27&gt;=60,35,Lookup_Lists!$D$151)))))</f>
        <v>20</v>
      </c>
      <c r="V27" s="142">
        <f>IF(Brand_Profile!$D$86=0,Lookup_Lists!$D$150,ROUND((IF(Brand_Profile!$D$81="",0,IF(ISNUMBER(SEARCH(Brand_Profile!$D$81,Matching_Engine!$BG$27)),1,0))+IF(Brand_Profile!$D$82="",0,IF(ISNUMBER(SEARCH(Brand_Profile!$D$82,Matching_Engine!$BG$27)),1,0))+IF(Brand_Profile!$D$83="",0,IF(ISNUMBER(SEARCH(Brand_Profile!$D$83,Matching_Engine!$BG$27)),1,0))+IF(Brand_Profile!$D$84="",0,IF(ISNUMBER(SEARCH(Brand_Profile!$D$84,Matching_Engine!$BG$27)),1,0))+IF(Brand_Profile!$D$85="",0,IF(ISNUMBER(SEARCH(Brand_Profile!$D$85,Matching_Engine!$BG$27)),1,0)))/Brand_Profile!$D$86*100,0))</f>
        <v>0</v>
      </c>
      <c r="W27" s="142">
        <f>IF(Brand_Profile!$D$39="",Lookup_Lists!$D$150,IFERROR(INDEX(Lookup_Lists!$B$237:$K$246,MATCH(Brand_Profile!$D$39,Lookup_Lists!$A$237:$A$246,0),MATCH(KOL_Database!$AJ$26,Lookup_Lists!$B$236:$K$236,0)),45))</f>
        <v>45</v>
      </c>
      <c r="X27" s="142">
        <f>ROUND((Matching_Engine!$T$27*Lookup_Lists!$D$121+Matching_Engine!$U$27*Lookup_Lists!$D$122+Matching_Engine!$V$27*Lookup_Lists!$D$123+Matching_Engine!$W$27*Lookup_Lists!$D$124)/(Lookup_Lists!$D$121+Lookup_Lists!$D$122+Lookup_Lists!$D$123+Lookup_Lists!$D$124),0)</f>
        <v>25</v>
      </c>
      <c r="Y27" s="142">
        <f>MIN(100,MAX(IFERROR(INDEX(Lookup_Lists!$B$202:$M$211,MATCH(Brand_Profile!$D$25,Lookup_Lists!$A$202:$A$211,0),MATCH(KOL_Database!$AK$26,Lookup_Lists!$B$201:$M$201,0)),40),IF(KOL_Database!$AK$26=Brand_Profile!$D$41,95,0)))</f>
        <v>95</v>
      </c>
      <c r="Z27" s="142">
        <f>IFERROR(INDEX(Lookup_Lists!$B$215:$K$222,MATCH(Brand_Profile!$D$27,Lookup_Lists!$A$215:$A$222,0),MATCH(KOL_Database!$AJ$26,Lookup_Lists!$B$214:$K$214,0)),45)</f>
        <v>50</v>
      </c>
      <c r="AA27" s="142">
        <f>ROUND((IF(Brand_Profile!$D$80=0,Lookup_Lists!$D$150,ROUND((IF(Brand_Profile!$D$75="",0,IF(ISNUMBER(SEARCH(Brand_Profile!$D$75,KOL_Database!$AL$26)),1,0))+IF(Brand_Profile!$D$76="",0,IF(ISNUMBER(SEARCH(Brand_Profile!$D$76,KOL_Database!$AL$26)),1,0))+IF(Brand_Profile!$D$77="",0,IF(ISNUMBER(SEARCH(Brand_Profile!$D$77,KOL_Database!$AL$26)),1,0))+IF(Brand_Profile!$D$78="",0,IF(ISNUMBER(SEARCH(Brand_Profile!$D$78,KOL_Database!$AL$26)),1,0))+IF(Brand_Profile!$D$79="",0,IF(ISNUMBER(SEARCH(Brand_Profile!$D$79,KOL_Database!$AL$26)),1,0)))/Brand_Profile!$D$80*100,0))+IF(Brand_Profile!$D$92=0,Lookup_Lists!$D$150,ROUND((IF(Brand_Profile!$D$87="",0,IF(ISNUMBER(SEARCH(Brand_Profile!$D$87,KOL_Database!$AL$26)),1,0))+IF(Brand_Profile!$D$88="",0,IF(ISNUMBER(SEARCH(Brand_Profile!$D$88,KOL_Database!$AL$26)),1,0))+IF(Brand_Profile!$D$89="",0,IF(ISNUMBER(SEARCH(Brand_Profile!$D$89,KOL_Database!$AL$26)),1,0))+IF(Brand_Profile!$D$90="",0,IF(ISNUMBER(SEARCH(Brand_Profile!$D$90,KOL_Database!$AL$26)),1,0))+IF(Brand_Profile!$D$91="",0,IF(ISNUMBER(SEARCH(Brand_Profile!$D$91,KOL_Database!$AL$26)),1,0)))/Brand_Profile!$D$92*100,0)))/2,0)</f>
        <v>0</v>
      </c>
      <c r="AB27" s="142">
        <f>IFERROR(INDEX(Lookup_Lists!$B$226:$K$233,MATCH(Brand_Profile!$D$30,Lookup_Lists!$A$226:$A$233,0),MATCH(KOL_Database!$AJ$26,Lookup_Lists!$B$225:$K$225,0)),45)</f>
        <v>45</v>
      </c>
      <c r="AC27" s="142">
        <f>ROUND((Matching_Engine!$Y$27*Lookup_Lists!$D$125+Matching_Engine!$Z$27*Lookup_Lists!$D$126+Matching_Engine!$AA$27*Lookup_Lists!$D$127+Matching_Engine!$AB$27*Lookup_Lists!$D$128)/(Lookup_Lists!$D$125+Lookup_Lists!$D$126+Lookup_Lists!$D$127+Lookup_Lists!$D$128),0)</f>
        <v>53</v>
      </c>
      <c r="AD27" s="142">
        <f>IF(KOL_Database!$K$26="",0,MIN(100,ROUND(KOL_Database!$K$26/Lookup_Lists!$D$141*100,0)))</f>
        <v>60</v>
      </c>
      <c r="AE27" s="142">
        <f>IF(KOL_Database!$R$26="",0,MIN(100,MAX(0,KOL_Database!$R$26)))</f>
        <v>75</v>
      </c>
      <c r="AF27" s="142">
        <f>IF(KOL_Database!$P$26="",0,MIN(100,MAX(0,KOL_Database!$P$26)))</f>
        <v>74</v>
      </c>
      <c r="AG27" s="142">
        <f>IF(KOL_Database!$Q$26="",0,MIN(100,MAX(0,KOL_Database!$Q$26)))</f>
        <v>69</v>
      </c>
      <c r="AH27" s="142">
        <f>IF(OR(KOL_Database!$J$26="",KOL_Database!$J$26=0,KOL_Database!$L$26=""),0,MIN(100,ROUND(KOL_Database!$L$26/KOL_Database!$J$26/Lookup_Lists!$D$144*100,0)))</f>
        <v>62</v>
      </c>
      <c r="AI27" s="142">
        <f>IF(KOL_Database!$N$26="",0,MIN(100,MAX(0,ROUND((KOL_Database!$N$26+2)/(Lookup_Lists!$D$145+2)*100,0))))</f>
        <v>44</v>
      </c>
      <c r="AJ27" s="142">
        <f>ROUND((Matching_Engine!$AD$27*Lookup_Lists!$D$129+Matching_Engine!$AE$27*Lookup_Lists!$D$130+Matching_Engine!$AF$27*Lookup_Lists!$D$131+Matching_Engine!$AG$27*Lookup_Lists!$D$132+Matching_Engine!$AH$27*Lookup_Lists!$D$133+Matching_Engine!$AI$27*Lookup_Lists!$D$134)/(Lookup_Lists!$D$129+Lookup_Lists!$D$130+Lookup_Lists!$D$131+Lookup_Lists!$D$132+Lookup_Lists!$D$133+Lookup_Lists!$D$134),0)</f>
        <v>66</v>
      </c>
      <c r="AK27" s="142">
        <f>IF(KOL_Database!$AT$26="",0,MIN(100,MAX(0,KOL_Database!$AT$26)))</f>
        <v>55</v>
      </c>
      <c r="AL27" s="142">
        <f>IF(KOL_Database!$AU$26="",0,KOL_Database!$AU$26)</f>
        <v>40</v>
      </c>
      <c r="AM27" s="89" t="str">
        <f>IF(KOL_Database!$AV$26="","None",KOL_Database!$AV$26)</f>
        <v>High</v>
      </c>
      <c r="AN27" s="143">
        <f>IF(Matching_Engine!$AM$27="High",Lookup_Lists!$D$137,IF(Matching_Engine!$AM$27="Medium",Lookup_Lists!$D$138,IF(Matching_Engine!$AM$27="Low",Lookup_Lists!$D$139,Lookup_Lists!$D$140)))</f>
        <v>0.6</v>
      </c>
      <c r="AO27" s="142">
        <f>ROUND(MIN(100,MAX(0,(Matching_Engine!$AK$27*Lookup_Lists!$D$135+(100-Matching_Engine!$AL$27)*Lookup_Lists!$D$136)/(Lookup_Lists!$D$135+Lookup_Lists!$D$136)*Matching_Engine!$AN$27)),0)</f>
        <v>34</v>
      </c>
      <c r="AP27" s="13">
        <f ca="1">ROUND((Matching_Engine!$N$27*Lookup_Lists!$D$104+Matching_Engine!$S$27*Lookup_Lists!$D$105+Matching_Engine!$X$27*Lookup_Lists!$D$106+Matching_Engine!$AC$27*Lookup_Lists!$D$107+Matching_Engine!$AJ$27*Lookup_Lists!$D$108+Matching_Engine!$AO$27*Lookup_Lists!$D$109)/MAX(1,(Lookup_Lists!$D$104+Lookup_Lists!$D$105+Lookup_Lists!$D$106+Lookup_Lists!$D$107+Lookup_Lists!$D$108+Lookup_Lists!$D$109)),0)</f>
        <v>41</v>
      </c>
      <c r="AQ27" s="89" t="str">
        <f ca="1">IF(Matching_Engine!$AP$27&gt;=Lookup_Lists!$D$152,"Excellent Match",IF(Matching_Engine!$AP$27&gt;=Lookup_Lists!$D$153,"Strong Match",IF(Matching_Engine!$AP$27&gt;=Lookup_Lists!$D$154,"Good Match",IF(Matching_Engine!$AP$27&gt;=Lookup_Lists!$D$155,"Moderate Match","Low Match"))))</f>
        <v>Low Match</v>
      </c>
      <c r="AR27" s="142">
        <f>KOL_Database!$BE$26</f>
        <v>100</v>
      </c>
      <c r="AS27" s="89" t="str">
        <f>IF(Matching_Engine!$AR$27&gt;=Lookup_Lists!$D$159,"High",IF(Matching_Engine!$AR$27&gt;=Lookup_Lists!$D$160,"Medium","Limited Data"))</f>
        <v>High</v>
      </c>
      <c r="AT27" s="142">
        <f>ROUND((Matching_Engine!$N$27+Matching_Engine!$X$27+Matching_Engine!$AC$27)/3,0)</f>
        <v>33</v>
      </c>
      <c r="AU27" s="142">
        <f>ROUND(((100-Matching_Engine!$AL$27)*Lookup_Lists!$D$162+IF(KOL_Database!$BD$26="",Lookup_Lists!$D$150,KOL_Database!$BD$26)*Lookup_Lists!$D$163+Matching_Engine!$AI$27*Lookup_Lists!$D$164+Matching_Engine!$AD$27*Lookup_Lists!$D$165)/(Lookup_Lists!$D$162+Lookup_Lists!$D$163+Lookup_Lists!$D$164+Lookup_Lists!$D$165),0)</f>
        <v>52</v>
      </c>
      <c r="AV27" s="89" t="str">
        <f ca="1">IF(Matching_Engine!$AW$27="","PASS","EXCLUDED")</f>
        <v>EXCLUDED</v>
      </c>
      <c r="AW27" s="89" t="str">
        <f ca="1">IF(ISERROR(SEARCH(KOL_Database!$D$26,Brand_Profile!$D$32)),"Platform not in Preferred Platform",IF(AND(Brand_Profile!$D$36&gt;0,KOL_Database!$J$26&lt;Brand_Profile!$D$36),"Followers below Preferred Follower Range",IF(AND(Brand_Profile!$D$37&gt;0,KOL_Database!$J$26&gt;Brand_Profile!$D$37),"Followers above Preferred Follower Range",IF(AND(Brand_Profile!$D$38&gt;0,IF(KOL_Database!$K$26="",0,KOL_Database!$K$26)&lt;Brand_Profile!$D$38),"Engagement Rate below Minimum Engagement Rate",IF(ISERROR(SEARCH(KOL_Database!$G$26,Brand_Profile!$D$35)),"Tier not in Preferred Tier",IF(AND(Brand_Profile!$D$43&gt;0,Matching_Engine!$AE$27&lt;Brand_Profile!$D$43),"Audience Quality below Minimum Audience Quality",IF(AND(Brand_Profile!$D$44&gt;0,Matching_Engine!$AK$27&lt;Brand_Profile!$D$44),"Brand Safety below Minimum Brand Safety",IF(AND(Brand_Profile!$D$47="Yes",KOL_Database!$AD$26&lt;&gt;Brand_Profile!$D$19),"Audience Country does not match Target Country",IF(AND(Brand_Profile!$D$46="Yes",KOL_Database!$E$26&lt;&gt;Brand_Profile!$D$33),"Category is not the Preferred Category",IF(AND(Brand_Profile!$D$48&gt;0,Matching_Engine!$AL$27&gt;Brand_Profile!$D$48),"Competitor Saturation above Max Competitor Saturation",IF(AND(Brand_Profile!$D$50="Yes",KOL_Database!$AW$26="Yes"),"Already Selected",IF(AND(Brand_Profile!$D$51="Yes",KOL_Database!$AX$26="Yes"),"Already in Cart",IF(AND(Brand_Profile!$D$52="Yes",KOL_Database!$AY$26="Yes"),"Existing Partner",IF(AND(Brand_Profile!$D$53="Yes",KOL_Database!$AZ$26="Yes"),"Excluded Creator",IF(AND(Brand_Profile!$D$49&gt;0,Matching_Engine!$AP$27&lt;Brand_Profile!$D$49),"Brand Match below Minimum Brand Match","")))))))))))))))</f>
        <v>Brand Safety below Minimum Brand Safety</v>
      </c>
      <c r="AX27" s="89" t="str">
        <f ca="1">IF(Matching_Engine!$AV$27="EXCLUDED","Excluded",IF(Matching_Engine!$AP$27&gt;=Lookup_Lists!$D$156,"Highly Recommended",IF(Matching_Engine!$AP$27&gt;=Lookup_Lists!$D$157,"Recommended",IF(Matching_Engine!$AP$27&gt;=Lookup_Lists!$D$158,"Consider","Low Priority"))))</f>
        <v>Excluded</v>
      </c>
      <c r="AY27" s="142" t="str">
        <f ca="1">IF(Matching_Engine!$AV$27="PASS",Matching_Engine!$AP$27,"")</f>
        <v/>
      </c>
      <c r="AZ27" s="89" t="str">
        <f>Matching_Engine!$A$27&amp;"|"&amp;Matching_Engine!$C$27</f>
        <v>BRAND-A|KOL-22</v>
      </c>
      <c r="BA27" s="89" t="str">
        <f>IFERROR(INDEX(Lookup_Lists!$B$51:$B$92,MATCH(Brand_Profile!$D$12,Lookup_Lists!$A$51:$A$92,0)),"")</f>
        <v>Tech</v>
      </c>
      <c r="BB27" s="89" t="str">
        <f>IFERROR(INDEX(Lookup_Lists!$B$51:$B$92,MATCH(KOL_Database!$F$26,Lookup_Lists!$A$51:$A$92,0)),"")</f>
        <v>Entertainment</v>
      </c>
      <c r="BC27" s="142">
        <f>IFERROR(INDEX(Lookup_Lists!$B$185:$O$198,MATCH(Matching_Engine!$BA$27,Lookup_Lists!$A$185:$A$198,0),MATCH(KOL_Database!$E$26,Lookup_Lists!$B$184:$O$184,0)),Lookup_Lists!$D$151)</f>
        <v>40</v>
      </c>
      <c r="BD27" s="142">
        <f>IFERROR(INDEX(Lookup_Lists!$B$185:$O$198,MATCH(Brand_Profile!$D$33,Lookup_Lists!$A$185:$A$198,0),MATCH(KOL_Database!$E$26,Lookup_Lists!$B$184:$O$184,0)),Lookup_Lists!$D$151)</f>
        <v>40</v>
      </c>
      <c r="BE27" s="89" t="str">
        <f>IFERROR(INDEX(Lookup_Lists!$B$51:$B$92,MATCH(Brand_Profile!$D$34,Lookup_Lists!$A$51:$A$92,0)),"")</f>
        <v>Tech</v>
      </c>
      <c r="BF27" s="89" t="str">
        <f>KOL_Database!$AI$26&amp;", "&amp;KOL_Database!$AG$26&amp;", "&amp;KOL_Database!$F$26&amp;", "&amp;KOL_Database!$E$26</f>
        <v>Music, Entertainment, Fashion, Music, Entertainment, Fashion, Beauty, Shopping, Music, Entertainment</v>
      </c>
      <c r="BG27" s="89" t="str">
        <f>KOL_Database!$AI$26&amp;", "&amp;KOL_Database!$AG$26</f>
        <v>Music, Entertainment, Fashion, Music, Entertainment, Fashion, Beauty, Shopping</v>
      </c>
    </row>
    <row r="28" spans="1:59">
      <c r="A28" s="101" t="s">
        <v>113</v>
      </c>
      <c r="B28" s="89" t="str">
        <f>Brand_Profile!$D$9</f>
        <v>Nusatech Cloud</v>
      </c>
      <c r="C28" s="89" t="str">
        <f>KOL_Database!$A$27</f>
        <v>KOL-23</v>
      </c>
      <c r="D28" s="89" t="str">
        <f>KOL_Database!$B$27</f>
        <v>Arya Mahendra</v>
      </c>
      <c r="E28" s="89" t="str">
        <f>KOL_Database!$C$27</f>
        <v>@aryagaming</v>
      </c>
      <c r="F28" s="89" t="str">
        <f>KOL_Database!$D$27</f>
        <v>TikTok</v>
      </c>
      <c r="G28" s="89" t="str">
        <f>KOL_Database!$E$27</f>
        <v>Gaming</v>
      </c>
      <c r="H28" s="89" t="str">
        <f>KOL_Database!$G$27</f>
        <v>Macro</v>
      </c>
      <c r="I28" s="140">
        <f>KOL_Database!$J$27</f>
        <v>640000</v>
      </c>
      <c r="J28" s="141">
        <f>KOL_Database!$K$27</f>
        <v>7.8</v>
      </c>
      <c r="K28" s="142">
        <f>IFERROR(INDEX(Lookup_Lists!$B$170:$O$181,MATCH(Brand_Profile!$D$10,Lookup_Lists!$A$170:$A$181,0),MATCH(KOL_Database!$E$27,Lookup_Lists!$B$169:$O$169,0)),Lookup_Lists!$D$151)</f>
        <v>60</v>
      </c>
      <c r="L28" s="142">
        <f>IF(KOL_Database!$F$27="",Matching_Engine!$BC$28,IF(Brand_Profile!$D$12=KOL_Database!$F$27,100,IF(Matching_Engine!$BA$28=KOL_Database!$E$27,80,IF(Matching_Engine!$BC$28&gt;=80,60,IF(Matching_Engine!$BC$28&gt;=60,40,Lookup_Lists!$D$151)))))</f>
        <v>60</v>
      </c>
      <c r="M28" s="142">
        <f>ROUND((IF(Brand_Profile!$D$62=0,Lookup_Lists!$D$150,ROUND((IF(Brand_Profile!$D$57="",0,IF(ISNUMBER(SEARCH(Brand_Profile!$D$57,Matching_Engine!$BF$28)),1,0))+IF(Brand_Profile!$D$58="",0,IF(ISNUMBER(SEARCH(Brand_Profile!$D$58,Matching_Engine!$BF$28)),1,0))+IF(Brand_Profile!$D$59="",0,IF(ISNUMBER(SEARCH(Brand_Profile!$D$59,Matching_Engine!$BF$28)),1,0))+IF(Brand_Profile!$D$60="",0,IF(ISNUMBER(SEARCH(Brand_Profile!$D$60,Matching_Engine!$BF$28)),1,0))+IF(Brand_Profile!$D$61="",0,IF(ISNUMBER(SEARCH(Brand_Profile!$D$61,Matching_Engine!$BF$28)),1,0)))/Brand_Profile!$D$62*100,0))+IF(Brand_Profile!$D$74=0,Lookup_Lists!$D$150,ROUND((IF(Brand_Profile!$D$69="",0,IF(ISNUMBER(SEARCH(Brand_Profile!$D$69,Matching_Engine!$BF$28)),1,0))+IF(Brand_Profile!$D$70="",0,IF(ISNUMBER(SEARCH(Brand_Profile!$D$70,Matching_Engine!$BF$28)),1,0))+IF(Brand_Profile!$D$71="",0,IF(ISNUMBER(SEARCH(Brand_Profile!$D$71,Matching_Engine!$BF$28)),1,0))+IF(Brand_Profile!$D$72="",0,IF(ISNUMBER(SEARCH(Brand_Profile!$D$72,Matching_Engine!$BF$28)),1,0))+IF(Brand_Profile!$D$73="",0,IF(ISNUMBER(SEARCH(Brand_Profile!$D$73,Matching_Engine!$BF$28)),1,0)))/Brand_Profile!$D$74*100,0)))/2,0)</f>
        <v>20</v>
      </c>
      <c r="N28" s="142">
        <f>ROUND((Matching_Engine!$K$28*Lookup_Lists!$D$110+Matching_Engine!$L$28*Lookup_Lists!$D$111+Matching_Engine!$M$28*Lookup_Lists!$D$112)/(Lookup_Lists!$D$110+Lookup_Lists!$D$111+Lookup_Lists!$D$112),0)</f>
        <v>48</v>
      </c>
      <c r="O28" s="142">
        <f ca="1">IF(Brand_Profile!$D$16="",Lookup_Lists!$D$150,MIN(100,ROUND((IFERROR(INDEX(KOL_Database!$W$27:KOL_Database!$AA$27,1,MATCH(Brand_Profile!$D$16,Lookup_Lists!$F$6:$F$10,0)),0)+0.5*IFERROR(INDEX(KOL_Database!$W$27:KOL_Database!$AA$27,1,MATCH(Brand_Profile!$D$17,Lookup_Lists!$F$6:$F$10,0)),0))/Lookup_Lists!$D$142*100,0)))</f>
        <v>100</v>
      </c>
      <c r="P28" s="142">
        <f>IF(OR(Brand_Profile!$D$18="",Brand_Profile!$D$18="Any"),100,IF(Brand_Profile!$D$18="Female",MIN(100,ROUND(KOL_Database!$AB$27/Lookup_Lists!$D$143*100,0)),IF(Brand_Profile!$D$18="Male",MIN(100,ROUND(KOL_Database!$AC$27/Lookup_Lists!$D$143*100,0)),MAX(0,ROUND(100-ABS(KOL_Database!$AB$27-50)*2,0)))))</f>
        <v>100</v>
      </c>
      <c r="Q28" s="142">
        <f>ROUND((IF(Brand_Profile!$D$19="",100,IF(KOL_Database!$AD$27=Brand_Profile!$D$19,100,Lookup_Lists!$D$151))*Lookup_Lists!$D$118+IF(OR(Brand_Profile!$D$20="",Brand_Profile!$D$20="Nasional"),100,IF(KOL_Database!$AE$27="",Lookup_Lists!$D$150,IF(KOL_Database!$AE$27=Brand_Profile!$D$20,100,IF(KOL_Database!$AD$27=Brand_Profile!$D$19,40,Lookup_Lists!$D$151))))*Lookup_Lists!$D$119+IF(OR(Brand_Profile!$D$21="",Brand_Profile!$D$21="Nasional"),100,IF(KOL_Database!$AF$27="",Lookup_Lists!$D$150,IF(KOL_Database!$AF$27=Brand_Profile!$D$21,100,IF(KOL_Database!$AE$27=Brand_Profile!$D$20,60,Lookup_Lists!$D$151))))*Lookup_Lists!$D$120)/(Lookup_Lists!$D$118+Lookup_Lists!$D$119+Lookup_Lists!$D$120),0)</f>
        <v>65</v>
      </c>
      <c r="R28" s="142">
        <f>IF(Brand_Profile!$D$68=0,Lookup_Lists!$D$150,ROUND((IF(Brand_Profile!$D$63="",0,IF(ISNUMBER(SEARCH(Brand_Profile!$D$63,KOL_Database!$AG$27)),1,0))+IF(Brand_Profile!$D$64="",0,IF(ISNUMBER(SEARCH(Brand_Profile!$D$64,KOL_Database!$AG$27)),1,0))+IF(Brand_Profile!$D$65="",0,IF(ISNUMBER(SEARCH(Brand_Profile!$D$65,KOL_Database!$AG$27)),1,0))+IF(Brand_Profile!$D$66="",0,IF(ISNUMBER(SEARCH(Brand_Profile!$D$66,KOL_Database!$AG$27)),1,0))+IF(Brand_Profile!$D$67="",0,IF(ISNUMBER(SEARCH(Brand_Profile!$D$67,KOL_Database!$AG$27)),1,0)))/Brand_Profile!$D$68*100,0))</f>
        <v>20</v>
      </c>
      <c r="S28" s="142">
        <f ca="1">ROUND((Matching_Engine!$O$28*Brand_Profile!$D$96+Matching_Engine!$P$28*Brand_Profile!$D$97+Matching_Engine!$Q$28*Brand_Profile!$D$98+Matching_Engine!$R$28*Brand_Profile!$D$99)/MAX(1,Brand_Profile!$D$96+Brand_Profile!$D$97+Brand_Profile!$D$98+Brand_Profile!$D$99),0)</f>
        <v>57</v>
      </c>
      <c r="T28" s="142">
        <f>IF(Brand_Profile!$D$33="",Lookup_Lists!$D$150,Matching_Engine!$BD$28)</f>
        <v>80</v>
      </c>
      <c r="U28" s="142">
        <f>IF(Brand_Profile!$D$34="",Lookup_Lists!$D$150,IF(Brand_Profile!$D$34=KOL_Database!$F$27,100,IF(Matching_Engine!$BE$28=KOL_Database!$E$27,75,IF(Matching_Engine!$BD$28&gt;=80,Lookup_Lists!$D$150,IF(Matching_Engine!$BD$28&gt;=60,35,Lookup_Lists!$D$151)))))</f>
        <v>50</v>
      </c>
      <c r="V28" s="142">
        <f>IF(Brand_Profile!$D$86=0,Lookup_Lists!$D$150,ROUND((IF(Brand_Profile!$D$81="",0,IF(ISNUMBER(SEARCH(Brand_Profile!$D$81,Matching_Engine!$BG$28)),1,0))+IF(Brand_Profile!$D$82="",0,IF(ISNUMBER(SEARCH(Brand_Profile!$D$82,Matching_Engine!$BG$28)),1,0))+IF(Brand_Profile!$D$83="",0,IF(ISNUMBER(SEARCH(Brand_Profile!$D$83,Matching_Engine!$BG$28)),1,0))+IF(Brand_Profile!$D$84="",0,IF(ISNUMBER(SEARCH(Brand_Profile!$D$84,Matching_Engine!$BG$28)),1,0))+IF(Brand_Profile!$D$85="",0,IF(ISNUMBER(SEARCH(Brand_Profile!$D$85,Matching_Engine!$BG$28)),1,0)))/Brand_Profile!$D$86*100,0))</f>
        <v>20</v>
      </c>
      <c r="W28" s="142">
        <f>IF(Brand_Profile!$D$39="",Lookup_Lists!$D$150,IFERROR(INDEX(Lookup_Lists!$B$237:$K$246,MATCH(Brand_Profile!$D$39,Lookup_Lists!$A$237:$A$246,0),MATCH(KOL_Database!$AJ$27,Lookup_Lists!$B$236:$K$236,0)),45))</f>
        <v>45</v>
      </c>
      <c r="X28" s="142">
        <f>ROUND((Matching_Engine!$T$28*Lookup_Lists!$D$121+Matching_Engine!$U$28*Lookup_Lists!$D$122+Matching_Engine!$V$28*Lookup_Lists!$D$123+Matching_Engine!$W$28*Lookup_Lists!$D$124)/(Lookup_Lists!$D$121+Lookup_Lists!$D$122+Lookup_Lists!$D$123+Lookup_Lists!$D$124),0)</f>
        <v>49</v>
      </c>
      <c r="Y28" s="142">
        <f>MIN(100,MAX(IFERROR(INDEX(Lookup_Lists!$B$202:$M$211,MATCH(Brand_Profile!$D$25,Lookup_Lists!$A$202:$A$211,0),MATCH(KOL_Database!$AK$27,Lookup_Lists!$B$201:$M$201,0)),40),IF(KOL_Database!$AK$27=Brand_Profile!$D$41,95,0)))</f>
        <v>45</v>
      </c>
      <c r="Z28" s="142">
        <f>IFERROR(INDEX(Lookup_Lists!$B$215:$K$222,MATCH(Brand_Profile!$D$27,Lookup_Lists!$A$215:$A$222,0),MATCH(KOL_Database!$AJ$27,Lookup_Lists!$B$214:$K$214,0)),45)</f>
        <v>40</v>
      </c>
      <c r="AA28" s="142">
        <f>ROUND((IF(Brand_Profile!$D$80=0,Lookup_Lists!$D$150,ROUND((IF(Brand_Profile!$D$75="",0,IF(ISNUMBER(SEARCH(Brand_Profile!$D$75,KOL_Database!$AL$27)),1,0))+IF(Brand_Profile!$D$76="",0,IF(ISNUMBER(SEARCH(Brand_Profile!$D$76,KOL_Database!$AL$27)),1,0))+IF(Brand_Profile!$D$77="",0,IF(ISNUMBER(SEARCH(Brand_Profile!$D$77,KOL_Database!$AL$27)),1,0))+IF(Brand_Profile!$D$78="",0,IF(ISNUMBER(SEARCH(Brand_Profile!$D$78,KOL_Database!$AL$27)),1,0))+IF(Brand_Profile!$D$79="",0,IF(ISNUMBER(SEARCH(Brand_Profile!$D$79,KOL_Database!$AL$27)),1,0)))/Brand_Profile!$D$80*100,0))+IF(Brand_Profile!$D$92=0,Lookup_Lists!$D$150,ROUND((IF(Brand_Profile!$D$87="",0,IF(ISNUMBER(SEARCH(Brand_Profile!$D$87,KOL_Database!$AL$27)),1,0))+IF(Brand_Profile!$D$88="",0,IF(ISNUMBER(SEARCH(Brand_Profile!$D$88,KOL_Database!$AL$27)),1,0))+IF(Brand_Profile!$D$89="",0,IF(ISNUMBER(SEARCH(Brand_Profile!$D$89,KOL_Database!$AL$27)),1,0))+IF(Brand_Profile!$D$90="",0,IF(ISNUMBER(SEARCH(Brand_Profile!$D$90,KOL_Database!$AL$27)),1,0))+IF(Brand_Profile!$D$91="",0,IF(ISNUMBER(SEARCH(Brand_Profile!$D$91,KOL_Database!$AL$27)),1,0)))/Brand_Profile!$D$92*100,0)))/2,0)</f>
        <v>20</v>
      </c>
      <c r="AB28" s="142">
        <f>IFERROR(INDEX(Lookup_Lists!$B$226:$K$233,MATCH(Brand_Profile!$D$30,Lookup_Lists!$A$226:$A$233,0),MATCH(KOL_Database!$AJ$27,Lookup_Lists!$B$225:$K$225,0)),45)</f>
        <v>40</v>
      </c>
      <c r="AC28" s="142">
        <f>ROUND((Matching_Engine!$Y$28*Lookup_Lists!$D$125+Matching_Engine!$Z$28*Lookup_Lists!$D$126+Matching_Engine!$AA$28*Lookup_Lists!$D$127+Matching_Engine!$AB$28*Lookup_Lists!$D$128)/(Lookup_Lists!$D$125+Lookup_Lists!$D$126+Lookup_Lists!$D$127+Lookup_Lists!$D$128),0)</f>
        <v>37</v>
      </c>
      <c r="AD28" s="142">
        <f>IF(KOL_Database!$K$27="",0,MIN(100,ROUND(KOL_Database!$K$27/Lookup_Lists!$D$141*100,0)))</f>
        <v>100</v>
      </c>
      <c r="AE28" s="142">
        <f>IF(KOL_Database!$R$27="",0,MIN(100,MAX(0,KOL_Database!$R$27)))</f>
        <v>73</v>
      </c>
      <c r="AF28" s="142">
        <f>IF(KOL_Database!$P$27="",0,MIN(100,MAX(0,KOL_Database!$P$27)))</f>
        <v>93</v>
      </c>
      <c r="AG28" s="142">
        <f>IF(KOL_Database!$Q$27="",0,MIN(100,MAX(0,KOL_Database!$Q$27)))</f>
        <v>48</v>
      </c>
      <c r="AH28" s="142">
        <f>IF(OR(KOL_Database!$J$27="",KOL_Database!$J$27=0,KOL_Database!$L$27=""),0,MIN(100,ROUND(KOL_Database!$L$27/KOL_Database!$J$27/Lookup_Lists!$D$144*100,0)))</f>
        <v>100</v>
      </c>
      <c r="AI28" s="142">
        <f>IF(KOL_Database!$N$27="",0,MIN(100,MAX(0,ROUND((KOL_Database!$N$27+2)/(Lookup_Lists!$D$145+2)*100,0))))</f>
        <v>52</v>
      </c>
      <c r="AJ28" s="142">
        <f>ROUND((Matching_Engine!$AD$28*Lookup_Lists!$D$129+Matching_Engine!$AE$28*Lookup_Lists!$D$130+Matching_Engine!$AF$28*Lookup_Lists!$D$131+Matching_Engine!$AG$28*Lookup_Lists!$D$132+Matching_Engine!$AH$28*Lookup_Lists!$D$133+Matching_Engine!$AI$28*Lookup_Lists!$D$134)/(Lookup_Lists!$D$129+Lookup_Lists!$D$130+Lookup_Lists!$D$131+Lookup_Lists!$D$132+Lookup_Lists!$D$133+Lookup_Lists!$D$134),0)</f>
        <v>86</v>
      </c>
      <c r="AK28" s="142">
        <f>IF(KOL_Database!$AT$27="",0,MIN(100,MAX(0,KOL_Database!$AT$27)))</f>
        <v>82</v>
      </c>
      <c r="AL28" s="142">
        <f>IF(KOL_Database!$AU$27="",0,KOL_Database!$AU$27)</f>
        <v>35</v>
      </c>
      <c r="AM28" s="89" t="str">
        <f>IF(KOL_Database!$AV$27="","None",KOL_Database!$AV$27)</f>
        <v>None</v>
      </c>
      <c r="AN28" s="143">
        <f>IF(Matching_Engine!$AM$28="High",Lookup_Lists!$D$137,IF(Matching_Engine!$AM$28="Medium",Lookup_Lists!$D$138,IF(Matching_Engine!$AM$28="Low",Lookup_Lists!$D$139,Lookup_Lists!$D$140)))</f>
        <v>1</v>
      </c>
      <c r="AO28" s="142">
        <f>ROUND(MIN(100,MAX(0,(Matching_Engine!$AK$28*Lookup_Lists!$D$135+(100-Matching_Engine!$AL$28)*Lookup_Lists!$D$136)/(Lookup_Lists!$D$135+Lookup_Lists!$D$136)*Matching_Engine!$AN$28)),0)</f>
        <v>79</v>
      </c>
      <c r="AP28" s="13">
        <f ca="1">ROUND((Matching_Engine!$N$28*Lookup_Lists!$D$104+Matching_Engine!$S$28*Lookup_Lists!$D$105+Matching_Engine!$X$28*Lookup_Lists!$D$106+Matching_Engine!$AC$28*Lookup_Lists!$D$107+Matching_Engine!$AJ$28*Lookup_Lists!$D$108+Matching_Engine!$AO$28*Lookup_Lists!$D$109)/MAX(1,(Lookup_Lists!$D$104+Lookup_Lists!$D$105+Lookup_Lists!$D$106+Lookup_Lists!$D$107+Lookup_Lists!$D$108+Lookup_Lists!$D$109)),0)</f>
        <v>57</v>
      </c>
      <c r="AQ28" s="89" t="str">
        <f ca="1">IF(Matching_Engine!$AP$28&gt;=Lookup_Lists!$D$152,"Excellent Match",IF(Matching_Engine!$AP$28&gt;=Lookup_Lists!$D$153,"Strong Match",IF(Matching_Engine!$AP$28&gt;=Lookup_Lists!$D$154,"Good Match",IF(Matching_Engine!$AP$28&gt;=Lookup_Lists!$D$155,"Moderate Match","Low Match"))))</f>
        <v>Low Match</v>
      </c>
      <c r="AR28" s="142">
        <f>KOL_Database!$BE$27</f>
        <v>100</v>
      </c>
      <c r="AS28" s="89" t="str">
        <f>IF(Matching_Engine!$AR$28&gt;=Lookup_Lists!$D$159,"High",IF(Matching_Engine!$AR$28&gt;=Lookup_Lists!$D$160,"Medium","Limited Data"))</f>
        <v>High</v>
      </c>
      <c r="AT28" s="142">
        <f>ROUND((Matching_Engine!$N$28+Matching_Engine!$X$28+Matching_Engine!$AC$28)/3,0)</f>
        <v>45</v>
      </c>
      <c r="AU28" s="142">
        <f>ROUND(((100-Matching_Engine!$AL$28)*Lookup_Lists!$D$162+IF(KOL_Database!$BD$27="",Lookup_Lists!$D$150,KOL_Database!$BD$27)*Lookup_Lists!$D$163+Matching_Engine!$AI$28*Lookup_Lists!$D$164+Matching_Engine!$AD$28*Lookup_Lists!$D$165)/(Lookup_Lists!$D$162+Lookup_Lists!$D$163+Lookup_Lists!$D$164+Lookup_Lists!$D$165),0)</f>
        <v>76</v>
      </c>
      <c r="AV28" s="89" t="str">
        <f ca="1">IF(Matching_Engine!$AW$28="","PASS","EXCLUDED")</f>
        <v>PASS</v>
      </c>
      <c r="AW28" s="89" t="str">
        <f ca="1">IF(ISERROR(SEARCH(KOL_Database!$D$27,Brand_Profile!$D$32)),"Platform not in Preferred Platform",IF(AND(Brand_Profile!$D$36&gt;0,KOL_Database!$J$27&lt;Brand_Profile!$D$36),"Followers below Preferred Follower Range",IF(AND(Brand_Profile!$D$37&gt;0,KOL_Database!$J$27&gt;Brand_Profile!$D$37),"Followers above Preferred Follower Range",IF(AND(Brand_Profile!$D$38&gt;0,IF(KOL_Database!$K$27="",0,KOL_Database!$K$27)&lt;Brand_Profile!$D$38),"Engagement Rate below Minimum Engagement Rate",IF(ISERROR(SEARCH(KOL_Database!$G$27,Brand_Profile!$D$35)),"Tier not in Preferred Tier",IF(AND(Brand_Profile!$D$43&gt;0,Matching_Engine!$AE$28&lt;Brand_Profile!$D$43),"Audience Quality below Minimum Audience Quality",IF(AND(Brand_Profile!$D$44&gt;0,Matching_Engine!$AK$28&lt;Brand_Profile!$D$44),"Brand Safety below Minimum Brand Safety",IF(AND(Brand_Profile!$D$47="Yes",KOL_Database!$AD$27&lt;&gt;Brand_Profile!$D$19),"Audience Country does not match Target Country",IF(AND(Brand_Profile!$D$46="Yes",KOL_Database!$E$27&lt;&gt;Brand_Profile!$D$33),"Category is not the Preferred Category",IF(AND(Brand_Profile!$D$48&gt;0,Matching_Engine!$AL$28&gt;Brand_Profile!$D$48),"Competitor Saturation above Max Competitor Saturation",IF(AND(Brand_Profile!$D$50="Yes",KOL_Database!$AW$27="Yes"),"Already Selected",IF(AND(Brand_Profile!$D$51="Yes",KOL_Database!$AX$27="Yes"),"Already in Cart",IF(AND(Brand_Profile!$D$52="Yes",KOL_Database!$AY$27="Yes"),"Existing Partner",IF(AND(Brand_Profile!$D$53="Yes",KOL_Database!$AZ$27="Yes"),"Excluded Creator",IF(AND(Brand_Profile!$D$49&gt;0,Matching_Engine!$AP$28&lt;Brand_Profile!$D$49),"Brand Match below Minimum Brand Match","")))))))))))))))</f>
        <v/>
      </c>
      <c r="AX28" s="89" t="str">
        <f ca="1">IF(Matching_Engine!$AV$28="EXCLUDED","Excluded",IF(Matching_Engine!$AP$28&gt;=Lookup_Lists!$D$156,"Highly Recommended",IF(Matching_Engine!$AP$28&gt;=Lookup_Lists!$D$157,"Recommended",IF(Matching_Engine!$AP$28&gt;=Lookup_Lists!$D$158,"Consider","Low Priority"))))</f>
        <v>Low Priority</v>
      </c>
      <c r="AY28" s="142">
        <f ca="1">IF(Matching_Engine!$AV$28="PASS",Matching_Engine!$AP$28,"")</f>
        <v>57</v>
      </c>
      <c r="AZ28" s="89" t="str">
        <f>Matching_Engine!$A$28&amp;"|"&amp;Matching_Engine!$C$28</f>
        <v>BRAND-A|KOL-23</v>
      </c>
      <c r="BA28" s="89" t="str">
        <f>IFERROR(INDEX(Lookup_Lists!$B$51:$B$92,MATCH(Brand_Profile!$D$12,Lookup_Lists!$A$51:$A$92,0)),"")</f>
        <v>Tech</v>
      </c>
      <c r="BB28" s="89" t="str">
        <f>IFERROR(INDEX(Lookup_Lists!$B$51:$B$92,MATCH(KOL_Database!$F$27,Lookup_Lists!$A$51:$A$92,0)),"")</f>
        <v>Gaming</v>
      </c>
      <c r="BC28" s="142">
        <f>IFERROR(INDEX(Lookup_Lists!$B$185:$O$198,MATCH(Matching_Engine!$BA$28,Lookup_Lists!$A$185:$A$198,0),MATCH(KOL_Database!$E$27,Lookup_Lists!$B$184:$O$184,0)),Lookup_Lists!$D$151)</f>
        <v>80</v>
      </c>
      <c r="BD28" s="142">
        <f>IFERROR(INDEX(Lookup_Lists!$B$185:$O$198,MATCH(Brand_Profile!$D$33,Lookup_Lists!$A$185:$A$198,0),MATCH(KOL_Database!$E$27,Lookup_Lists!$B$184:$O$184,0)),Lookup_Lists!$D$151)</f>
        <v>80</v>
      </c>
      <c r="BE28" s="89" t="str">
        <f>IFERROR(INDEX(Lookup_Lists!$B$51:$B$92,MATCH(Brand_Profile!$D$34,Lookup_Lists!$A$51:$A$92,0)),"")</f>
        <v>Tech</v>
      </c>
      <c r="BF28" s="89" t="str">
        <f>KOL_Database!$AI$27&amp;", "&amp;KOL_Database!$AG$27&amp;", "&amp;KOL_Database!$F$27&amp;", "&amp;KOL_Database!$E$27</f>
        <v>Gaming, Technology, Entertainment, Gaming, Technology, Entertainment, Music, Shopping, Mobile Gaming, Gaming</v>
      </c>
      <c r="BG28" s="89" t="str">
        <f>KOL_Database!$AI$27&amp;", "&amp;KOL_Database!$AG$27</f>
        <v>Gaming, Technology, Entertainment, Gaming, Technology, Entertainment, Music, Shopping</v>
      </c>
    </row>
    <row r="29" spans="1:59">
      <c r="A29" s="101" t="s">
        <v>113</v>
      </c>
      <c r="B29" s="89" t="str">
        <f>Brand_Profile!$D$9</f>
        <v>Nusatech Cloud</v>
      </c>
      <c r="C29" s="89" t="str">
        <f>KOL_Database!$A$28</f>
        <v>KOL-24</v>
      </c>
      <c r="D29" s="89" t="str">
        <f>KOL_Database!$B$28</f>
        <v>Rio Saputra</v>
      </c>
      <c r="E29" s="89" t="str">
        <f>KOL_Database!$C$28</f>
        <v>@riopcbuild</v>
      </c>
      <c r="F29" s="89" t="str">
        <f>KOL_Database!$D$28</f>
        <v>Instagram</v>
      </c>
      <c r="G29" s="89" t="str">
        <f>KOL_Database!$E$28</f>
        <v>Gaming</v>
      </c>
      <c r="H29" s="89" t="str">
        <f>KOL_Database!$G$28</f>
        <v>Mid-tier</v>
      </c>
      <c r="I29" s="140">
        <f>KOL_Database!$J$28</f>
        <v>51000</v>
      </c>
      <c r="J29" s="141">
        <f>KOL_Database!$K$28</f>
        <v>4.2</v>
      </c>
      <c r="K29" s="142">
        <f>IFERROR(INDEX(Lookup_Lists!$B$170:$O$181,MATCH(Brand_Profile!$D$10,Lookup_Lists!$A$170:$A$181,0),MATCH(KOL_Database!$E$28,Lookup_Lists!$B$169:$O$169,0)),Lookup_Lists!$D$151)</f>
        <v>60</v>
      </c>
      <c r="L29" s="142">
        <f>IF(KOL_Database!$F$28="",Matching_Engine!$BC$29,IF(Brand_Profile!$D$12=KOL_Database!$F$28,100,IF(Matching_Engine!$BA$29=KOL_Database!$E$28,80,IF(Matching_Engine!$BC$29&gt;=80,60,IF(Matching_Engine!$BC$29&gt;=60,40,Lookup_Lists!$D$151)))))</f>
        <v>60</v>
      </c>
      <c r="M29" s="142">
        <f>ROUND((IF(Brand_Profile!$D$62=0,Lookup_Lists!$D$150,ROUND((IF(Brand_Profile!$D$57="",0,IF(ISNUMBER(SEARCH(Brand_Profile!$D$57,Matching_Engine!$BF$29)),1,0))+IF(Brand_Profile!$D$58="",0,IF(ISNUMBER(SEARCH(Brand_Profile!$D$58,Matching_Engine!$BF$29)),1,0))+IF(Brand_Profile!$D$59="",0,IF(ISNUMBER(SEARCH(Brand_Profile!$D$59,Matching_Engine!$BF$29)),1,0))+IF(Brand_Profile!$D$60="",0,IF(ISNUMBER(SEARCH(Brand_Profile!$D$60,Matching_Engine!$BF$29)),1,0))+IF(Brand_Profile!$D$61="",0,IF(ISNUMBER(SEARCH(Brand_Profile!$D$61,Matching_Engine!$BF$29)),1,0)))/Brand_Profile!$D$62*100,0))+IF(Brand_Profile!$D$74=0,Lookup_Lists!$D$150,ROUND((IF(Brand_Profile!$D$69="",0,IF(ISNUMBER(SEARCH(Brand_Profile!$D$69,Matching_Engine!$BF$29)),1,0))+IF(Brand_Profile!$D$70="",0,IF(ISNUMBER(SEARCH(Brand_Profile!$D$70,Matching_Engine!$BF$29)),1,0))+IF(Brand_Profile!$D$71="",0,IF(ISNUMBER(SEARCH(Brand_Profile!$D$71,Matching_Engine!$BF$29)),1,0))+IF(Brand_Profile!$D$72="",0,IF(ISNUMBER(SEARCH(Brand_Profile!$D$72,Matching_Engine!$BF$29)),1,0))+IF(Brand_Profile!$D$73="",0,IF(ISNUMBER(SEARCH(Brand_Profile!$D$73,Matching_Engine!$BF$29)),1,0)))/Brand_Profile!$D$74*100,0)))/2,0)</f>
        <v>40</v>
      </c>
      <c r="N29" s="142">
        <f>ROUND((Matching_Engine!$K$29*Lookup_Lists!$D$110+Matching_Engine!$L$29*Lookup_Lists!$D$111+Matching_Engine!$M$29*Lookup_Lists!$D$112)/(Lookup_Lists!$D$110+Lookup_Lists!$D$111+Lookup_Lists!$D$112),0)</f>
        <v>54</v>
      </c>
      <c r="O29" s="142">
        <f ca="1">IF(Brand_Profile!$D$16="",Lookup_Lists!$D$150,MIN(100,ROUND((IFERROR(INDEX(KOL_Database!$W$28:KOL_Database!$AA$28,1,MATCH(Brand_Profile!$D$16,Lookup_Lists!$F$6:$F$10,0)),0)+0.5*IFERROR(INDEX(KOL_Database!$W$28:KOL_Database!$AA$28,1,MATCH(Brand_Profile!$D$17,Lookup_Lists!$F$6:$F$10,0)),0))/Lookup_Lists!$D$142*100,0)))</f>
        <v>100</v>
      </c>
      <c r="P29" s="142">
        <f>IF(OR(Brand_Profile!$D$18="",Brand_Profile!$D$18="Any"),100,IF(Brand_Profile!$D$18="Female",MIN(100,ROUND(KOL_Database!$AB$28/Lookup_Lists!$D$143*100,0)),IF(Brand_Profile!$D$18="Male",MIN(100,ROUND(KOL_Database!$AC$28/Lookup_Lists!$D$143*100,0)),MAX(0,ROUND(100-ABS(KOL_Database!$AB$28-50)*2,0)))))</f>
        <v>100</v>
      </c>
      <c r="Q29" s="142">
        <f>ROUND((IF(Brand_Profile!$D$19="",100,IF(KOL_Database!$AD$28=Brand_Profile!$D$19,100,Lookup_Lists!$D$151))*Lookup_Lists!$D$118+IF(OR(Brand_Profile!$D$20="",Brand_Profile!$D$20="Nasional"),100,IF(KOL_Database!$AE$28="",Lookup_Lists!$D$150,IF(KOL_Database!$AE$28=Brand_Profile!$D$20,100,IF(KOL_Database!$AD$28=Brand_Profile!$D$19,40,Lookup_Lists!$D$151))))*Lookup_Lists!$D$119+IF(OR(Brand_Profile!$D$21="",Brand_Profile!$D$21="Nasional"),100,IF(KOL_Database!$AF$28="",Lookup_Lists!$D$150,IF(KOL_Database!$AF$28=Brand_Profile!$D$21,100,IF(KOL_Database!$AE$28=Brand_Profile!$D$20,60,Lookup_Lists!$D$151))))*Lookup_Lists!$D$120)/(Lookup_Lists!$D$118+Lookup_Lists!$D$119+Lookup_Lists!$D$120),0)</f>
        <v>73</v>
      </c>
      <c r="R29" s="142">
        <f>IF(Brand_Profile!$D$68=0,Lookup_Lists!$D$150,ROUND((IF(Brand_Profile!$D$63="",0,IF(ISNUMBER(SEARCH(Brand_Profile!$D$63,KOL_Database!$AG$28)),1,0))+IF(Brand_Profile!$D$64="",0,IF(ISNUMBER(SEARCH(Brand_Profile!$D$64,KOL_Database!$AG$28)),1,0))+IF(Brand_Profile!$D$65="",0,IF(ISNUMBER(SEARCH(Brand_Profile!$D$65,KOL_Database!$AG$28)),1,0))+IF(Brand_Profile!$D$66="",0,IF(ISNUMBER(SEARCH(Brand_Profile!$D$66,KOL_Database!$AG$28)),1,0))+IF(Brand_Profile!$D$67="",0,IF(ISNUMBER(SEARCH(Brand_Profile!$D$67,KOL_Database!$AG$28)),1,0)))/Brand_Profile!$D$68*100,0))</f>
        <v>40</v>
      </c>
      <c r="S29" s="142">
        <f ca="1">ROUND((Matching_Engine!$O$29*Brand_Profile!$D$96+Matching_Engine!$P$29*Brand_Profile!$D$97+Matching_Engine!$Q$29*Brand_Profile!$D$98+Matching_Engine!$R$29*Brand_Profile!$D$99)/MAX(1,Brand_Profile!$D$96+Brand_Profile!$D$97+Brand_Profile!$D$98+Brand_Profile!$D$99),0)</f>
        <v>68</v>
      </c>
      <c r="T29" s="142">
        <f>IF(Brand_Profile!$D$33="",Lookup_Lists!$D$150,Matching_Engine!$BD$29)</f>
        <v>80</v>
      </c>
      <c r="U29" s="142">
        <f>IF(Brand_Profile!$D$34="",Lookup_Lists!$D$150,IF(Brand_Profile!$D$34=KOL_Database!$F$28,100,IF(Matching_Engine!$BE$29=KOL_Database!$E$28,75,IF(Matching_Engine!$BD$29&gt;=80,Lookup_Lists!$D$150,IF(Matching_Engine!$BD$29&gt;=60,35,Lookup_Lists!$D$151)))))</f>
        <v>50</v>
      </c>
      <c r="V29" s="142">
        <f>IF(Brand_Profile!$D$86=0,Lookup_Lists!$D$150,ROUND((IF(Brand_Profile!$D$81="",0,IF(ISNUMBER(SEARCH(Brand_Profile!$D$81,Matching_Engine!$BG$29)),1,0))+IF(Brand_Profile!$D$82="",0,IF(ISNUMBER(SEARCH(Brand_Profile!$D$82,Matching_Engine!$BG$29)),1,0))+IF(Brand_Profile!$D$83="",0,IF(ISNUMBER(SEARCH(Brand_Profile!$D$83,Matching_Engine!$BG$29)),1,0))+IF(Brand_Profile!$D$84="",0,IF(ISNUMBER(SEARCH(Brand_Profile!$D$84,Matching_Engine!$BG$29)),1,0))+IF(Brand_Profile!$D$85="",0,IF(ISNUMBER(SEARCH(Brand_Profile!$D$85,Matching_Engine!$BG$29)),1,0)))/Brand_Profile!$D$86*100,0))</f>
        <v>40</v>
      </c>
      <c r="W29" s="142">
        <f>IF(Brand_Profile!$D$39="",Lookup_Lists!$D$150,IFERROR(INDEX(Lookup_Lists!$B$237:$K$246,MATCH(Brand_Profile!$D$39,Lookup_Lists!$A$237:$A$246,0),MATCH(KOL_Database!$AJ$28,Lookup_Lists!$B$236:$K$236,0)),45))</f>
        <v>80</v>
      </c>
      <c r="X29" s="142">
        <f>ROUND((Matching_Engine!$T$29*Lookup_Lists!$D$121+Matching_Engine!$U$29*Lookup_Lists!$D$122+Matching_Engine!$V$29*Lookup_Lists!$D$123+Matching_Engine!$W$29*Lookup_Lists!$D$124)/(Lookup_Lists!$D$121+Lookup_Lists!$D$122+Lookup_Lists!$D$123+Lookup_Lists!$D$124),0)</f>
        <v>62</v>
      </c>
      <c r="Y29" s="142">
        <f>MIN(100,MAX(IFERROR(INDEX(Lookup_Lists!$B$202:$M$211,MATCH(Brand_Profile!$D$25,Lookup_Lists!$A$202:$A$211,0),MATCH(KOL_Database!$AK$28,Lookup_Lists!$B$201:$M$201,0)),40),IF(KOL_Database!$AK$28=Brand_Profile!$D$41,95,0)))</f>
        <v>100</v>
      </c>
      <c r="Z29" s="142">
        <f>IFERROR(INDEX(Lookup_Lists!$B$215:$K$222,MATCH(Brand_Profile!$D$27,Lookup_Lists!$A$215:$A$222,0),MATCH(KOL_Database!$AJ$28,Lookup_Lists!$B$214:$K$214,0)),45)</f>
        <v>85</v>
      </c>
      <c r="AA29" s="142">
        <f>ROUND((IF(Brand_Profile!$D$80=0,Lookup_Lists!$D$150,ROUND((IF(Brand_Profile!$D$75="",0,IF(ISNUMBER(SEARCH(Brand_Profile!$D$75,KOL_Database!$AL$28)),1,0))+IF(Brand_Profile!$D$76="",0,IF(ISNUMBER(SEARCH(Brand_Profile!$D$76,KOL_Database!$AL$28)),1,0))+IF(Brand_Profile!$D$77="",0,IF(ISNUMBER(SEARCH(Brand_Profile!$D$77,KOL_Database!$AL$28)),1,0))+IF(Brand_Profile!$D$78="",0,IF(ISNUMBER(SEARCH(Brand_Profile!$D$78,KOL_Database!$AL$28)),1,0))+IF(Brand_Profile!$D$79="",0,IF(ISNUMBER(SEARCH(Brand_Profile!$D$79,KOL_Database!$AL$28)),1,0)))/Brand_Profile!$D$80*100,0))+IF(Brand_Profile!$D$92=0,Lookup_Lists!$D$150,ROUND((IF(Brand_Profile!$D$87="",0,IF(ISNUMBER(SEARCH(Brand_Profile!$D$87,KOL_Database!$AL$28)),1,0))+IF(Brand_Profile!$D$88="",0,IF(ISNUMBER(SEARCH(Brand_Profile!$D$88,KOL_Database!$AL$28)),1,0))+IF(Brand_Profile!$D$89="",0,IF(ISNUMBER(SEARCH(Brand_Profile!$D$89,KOL_Database!$AL$28)),1,0))+IF(Brand_Profile!$D$90="",0,IF(ISNUMBER(SEARCH(Brand_Profile!$D$90,KOL_Database!$AL$28)),1,0))+IF(Brand_Profile!$D$91="",0,IF(ISNUMBER(SEARCH(Brand_Profile!$D$91,KOL_Database!$AL$28)),1,0)))/Brand_Profile!$D$92*100,0)))/2,0)</f>
        <v>40</v>
      </c>
      <c r="AB29" s="142">
        <f>IFERROR(INDEX(Lookup_Lists!$B$226:$K$233,MATCH(Brand_Profile!$D$30,Lookup_Lists!$A$226:$A$233,0),MATCH(KOL_Database!$AJ$28,Lookup_Lists!$B$225:$K$225,0)),45)</f>
        <v>80</v>
      </c>
      <c r="AC29" s="142">
        <f>ROUND((Matching_Engine!$Y$29*Lookup_Lists!$D$125+Matching_Engine!$Z$29*Lookup_Lists!$D$126+Matching_Engine!$AA$29*Lookup_Lists!$D$127+Matching_Engine!$AB$29*Lookup_Lists!$D$128)/(Lookup_Lists!$D$125+Lookup_Lists!$D$126+Lookup_Lists!$D$127+Lookup_Lists!$D$128),0)</f>
        <v>78</v>
      </c>
      <c r="AD29" s="142">
        <f>IF(KOL_Database!$K$28="",0,MIN(100,ROUND(KOL_Database!$K$28/Lookup_Lists!$D$141*100,0)))</f>
        <v>70</v>
      </c>
      <c r="AE29" s="142">
        <f>IF(KOL_Database!$R$28="",0,MIN(100,MAX(0,KOL_Database!$R$28)))</f>
        <v>74</v>
      </c>
      <c r="AF29" s="142">
        <f>IF(KOL_Database!$P$28="",0,MIN(100,MAX(0,KOL_Database!$P$28)))</f>
        <v>62</v>
      </c>
      <c r="AG29" s="142">
        <f>IF(KOL_Database!$Q$28="",0,MIN(100,MAX(0,KOL_Database!$Q$28)))</f>
        <v>58</v>
      </c>
      <c r="AH29" s="142">
        <f>IF(OR(KOL_Database!$J$28="",KOL_Database!$J$28=0,KOL_Database!$L$28=""),0,MIN(100,ROUND(KOL_Database!$L$28/KOL_Database!$J$28/Lookup_Lists!$D$144*100,0)))</f>
        <v>62</v>
      </c>
      <c r="AI29" s="142">
        <f>IF(KOL_Database!$N$28="",0,MIN(100,MAX(0,ROUND((KOL_Database!$N$28+2)/(Lookup_Lists!$D$145+2)*100,0))))</f>
        <v>55</v>
      </c>
      <c r="AJ29" s="142">
        <f>ROUND((Matching_Engine!$AD$29*Lookup_Lists!$D$129+Matching_Engine!$AE$29*Lookup_Lists!$D$130+Matching_Engine!$AF$29*Lookup_Lists!$D$131+Matching_Engine!$AG$29*Lookup_Lists!$D$132+Matching_Engine!$AH$29*Lookup_Lists!$D$133+Matching_Engine!$AI$29*Lookup_Lists!$D$134)/(Lookup_Lists!$D$129+Lookup_Lists!$D$130+Lookup_Lists!$D$131+Lookup_Lists!$D$132+Lookup_Lists!$D$133+Lookup_Lists!$D$134),0)</f>
        <v>66</v>
      </c>
      <c r="AK29" s="142">
        <f>IF(KOL_Database!$AT$28="",0,MIN(100,MAX(0,KOL_Database!$AT$28)))</f>
        <v>82</v>
      </c>
      <c r="AL29" s="142">
        <f>IF(KOL_Database!$AU$28="",0,KOL_Database!$AU$28)</f>
        <v>38</v>
      </c>
      <c r="AM29" s="89" t="str">
        <f>IF(KOL_Database!$AV$28="","None",KOL_Database!$AV$28)</f>
        <v>None</v>
      </c>
      <c r="AN29" s="143">
        <f>IF(Matching_Engine!$AM$29="High",Lookup_Lists!$D$137,IF(Matching_Engine!$AM$29="Medium",Lookup_Lists!$D$138,IF(Matching_Engine!$AM$29="Low",Lookup_Lists!$D$139,Lookup_Lists!$D$140)))</f>
        <v>1</v>
      </c>
      <c r="AO29" s="142">
        <f>ROUND(MIN(100,MAX(0,(Matching_Engine!$AK$29*Lookup_Lists!$D$135+(100-Matching_Engine!$AL$29)*Lookup_Lists!$D$136)/(Lookup_Lists!$D$135+Lookup_Lists!$D$136)*Matching_Engine!$AN$29)),0)</f>
        <v>78</v>
      </c>
      <c r="AP29" s="13">
        <f ca="1">ROUND((Matching_Engine!$N$29*Lookup_Lists!$D$104+Matching_Engine!$S$29*Lookup_Lists!$D$105+Matching_Engine!$X$29*Lookup_Lists!$D$106+Matching_Engine!$AC$29*Lookup_Lists!$D$107+Matching_Engine!$AJ$29*Lookup_Lists!$D$108+Matching_Engine!$AO$29*Lookup_Lists!$D$109)/MAX(1,(Lookup_Lists!$D$104+Lookup_Lists!$D$105+Lookup_Lists!$D$106+Lookup_Lists!$D$107+Lookup_Lists!$D$108+Lookup_Lists!$D$109)),0)</f>
        <v>66</v>
      </c>
      <c r="AQ29" s="89" t="str">
        <f ca="1">IF(Matching_Engine!$AP$29&gt;=Lookup_Lists!$D$152,"Excellent Match",IF(Matching_Engine!$AP$29&gt;=Lookup_Lists!$D$153,"Strong Match",IF(Matching_Engine!$AP$29&gt;=Lookup_Lists!$D$154,"Good Match",IF(Matching_Engine!$AP$29&gt;=Lookup_Lists!$D$155,"Moderate Match","Low Match"))))</f>
        <v>Moderate Match</v>
      </c>
      <c r="AR29" s="142">
        <f>KOL_Database!$BE$28</f>
        <v>92</v>
      </c>
      <c r="AS29" s="89" t="str">
        <f>IF(Matching_Engine!$AR$29&gt;=Lookup_Lists!$D$159,"High",IF(Matching_Engine!$AR$29&gt;=Lookup_Lists!$D$160,"Medium","Limited Data"))</f>
        <v>Medium</v>
      </c>
      <c r="AT29" s="142">
        <f>ROUND((Matching_Engine!$N$29+Matching_Engine!$X$29+Matching_Engine!$AC$29)/3,0)</f>
        <v>65</v>
      </c>
      <c r="AU29" s="142">
        <f>ROUND(((100-Matching_Engine!$AL$29)*Lookup_Lists!$D$162+IF(KOL_Database!$BD$28="",Lookup_Lists!$D$150,KOL_Database!$BD$28)*Lookup_Lists!$D$163+Matching_Engine!$AI$29*Lookup_Lists!$D$164+Matching_Engine!$AD$29*Lookup_Lists!$D$165)/(Lookup_Lists!$D$162+Lookup_Lists!$D$163+Lookup_Lists!$D$164+Lookup_Lists!$D$165),0)</f>
        <v>56</v>
      </c>
      <c r="AV29" s="89" t="str">
        <f ca="1">IF(Matching_Engine!$AW$29="","PASS","EXCLUDED")</f>
        <v>PASS</v>
      </c>
      <c r="AW29" s="89" t="str">
        <f ca="1">IF(ISERROR(SEARCH(KOL_Database!$D$28,Brand_Profile!$D$32)),"Platform not in Preferred Platform",IF(AND(Brand_Profile!$D$36&gt;0,KOL_Database!$J$28&lt;Brand_Profile!$D$36),"Followers below Preferred Follower Range",IF(AND(Brand_Profile!$D$37&gt;0,KOL_Database!$J$28&gt;Brand_Profile!$D$37),"Followers above Preferred Follower Range",IF(AND(Brand_Profile!$D$38&gt;0,IF(KOL_Database!$K$28="",0,KOL_Database!$K$28)&lt;Brand_Profile!$D$38),"Engagement Rate below Minimum Engagement Rate",IF(ISERROR(SEARCH(KOL_Database!$G$28,Brand_Profile!$D$35)),"Tier not in Preferred Tier",IF(AND(Brand_Profile!$D$43&gt;0,Matching_Engine!$AE$29&lt;Brand_Profile!$D$43),"Audience Quality below Minimum Audience Quality",IF(AND(Brand_Profile!$D$44&gt;0,Matching_Engine!$AK$29&lt;Brand_Profile!$D$44),"Brand Safety below Minimum Brand Safety",IF(AND(Brand_Profile!$D$47="Yes",KOL_Database!$AD$28&lt;&gt;Brand_Profile!$D$19),"Audience Country does not match Target Country",IF(AND(Brand_Profile!$D$46="Yes",KOL_Database!$E$28&lt;&gt;Brand_Profile!$D$33),"Category is not the Preferred Category",IF(AND(Brand_Profile!$D$48&gt;0,Matching_Engine!$AL$29&gt;Brand_Profile!$D$48),"Competitor Saturation above Max Competitor Saturation",IF(AND(Brand_Profile!$D$50="Yes",KOL_Database!$AW$28="Yes"),"Already Selected",IF(AND(Brand_Profile!$D$51="Yes",KOL_Database!$AX$28="Yes"),"Already in Cart",IF(AND(Brand_Profile!$D$52="Yes",KOL_Database!$AY$28="Yes"),"Existing Partner",IF(AND(Brand_Profile!$D$53="Yes",KOL_Database!$AZ$28="Yes"),"Excluded Creator",IF(AND(Brand_Profile!$D$49&gt;0,Matching_Engine!$AP$29&lt;Brand_Profile!$D$49),"Brand Match below Minimum Brand Match","")))))))))))))))</f>
        <v/>
      </c>
      <c r="AX29" s="89" t="str">
        <f ca="1">IF(Matching_Engine!$AV$29="EXCLUDED","Excluded",IF(Matching_Engine!$AP$29&gt;=Lookup_Lists!$D$156,"Highly Recommended",IF(Matching_Engine!$AP$29&gt;=Lookup_Lists!$D$157,"Recommended",IF(Matching_Engine!$AP$29&gt;=Lookup_Lists!$D$158,"Consider","Low Priority"))))</f>
        <v>Consider</v>
      </c>
      <c r="AY29" s="142">
        <f ca="1">IF(Matching_Engine!$AV$29="PASS",Matching_Engine!$AP$29,"")</f>
        <v>66</v>
      </c>
      <c r="AZ29" s="89" t="str">
        <f>Matching_Engine!$A$29&amp;"|"&amp;Matching_Engine!$C$29</f>
        <v>BRAND-A|KOL-24</v>
      </c>
      <c r="BA29" s="89" t="str">
        <f>IFERROR(INDEX(Lookup_Lists!$B$51:$B$92,MATCH(Brand_Profile!$D$12,Lookup_Lists!$A$51:$A$92,0)),"")</f>
        <v>Tech</v>
      </c>
      <c r="BB29" s="89" t="str">
        <f>IFERROR(INDEX(Lookup_Lists!$B$51:$B$92,MATCH(KOL_Database!$F$28,Lookup_Lists!$A$51:$A$92,0)),"")</f>
        <v>Gaming</v>
      </c>
      <c r="BC29" s="142">
        <f>IFERROR(INDEX(Lookup_Lists!$B$185:$O$198,MATCH(Matching_Engine!$BA$29,Lookup_Lists!$A$185:$A$198,0),MATCH(KOL_Database!$E$28,Lookup_Lists!$B$184:$O$184,0)),Lookup_Lists!$D$151)</f>
        <v>80</v>
      </c>
      <c r="BD29" s="142">
        <f>IFERROR(INDEX(Lookup_Lists!$B$185:$O$198,MATCH(Brand_Profile!$D$33,Lookup_Lists!$A$185:$A$198,0),MATCH(KOL_Database!$E$28,Lookup_Lists!$B$184:$O$184,0)),Lookup_Lists!$D$151)</f>
        <v>80</v>
      </c>
      <c r="BE29" s="89" t="str">
        <f>IFERROR(INDEX(Lookup_Lists!$B$51:$B$92,MATCH(Brand_Profile!$D$34,Lookup_Lists!$A$51:$A$92,0)),"")</f>
        <v>Tech</v>
      </c>
      <c r="BF29" s="89" t="str">
        <f>KOL_Database!$AI$28&amp;", "&amp;KOL_Database!$AG$28&amp;", "&amp;KOL_Database!$F$28&amp;", "&amp;KOL_Database!$E$28</f>
        <v>Gaming, Technology, Productivity, Gaming, Technology, Productivity, Entertainment, Shopping, PC &amp; Console, Gaming</v>
      </c>
      <c r="BG29" s="89" t="str">
        <f>KOL_Database!$AI$28&amp;", "&amp;KOL_Database!$AG$28</f>
        <v>Gaming, Technology, Productivity, Gaming, Technology, Productivity, Entertainment, Shopping</v>
      </c>
    </row>
    <row r="30" spans="1:59">
      <c r="A30" s="101" t="s">
        <v>113</v>
      </c>
      <c r="B30" s="89" t="str">
        <f>Brand_Profile!$D$9</f>
        <v>Nusatech Cloud</v>
      </c>
      <c r="C30" s="89" t="str">
        <f>KOL_Database!$A$29</f>
        <v>KOL-25</v>
      </c>
      <c r="D30" s="89" t="str">
        <f>KOL_Database!$B$29</f>
        <v>Denny Kurniawan</v>
      </c>
      <c r="E30" s="89" t="str">
        <f>KOL_Database!$C$29</f>
        <v>@dennymotovlog</v>
      </c>
      <c r="F30" s="89" t="str">
        <f>KOL_Database!$D$29</f>
        <v>TikTok</v>
      </c>
      <c r="G30" s="89" t="str">
        <f>KOL_Database!$E$29</f>
        <v>Automotive</v>
      </c>
      <c r="H30" s="89" t="str">
        <f>KOL_Database!$G$29</f>
        <v>Macro</v>
      </c>
      <c r="I30" s="140">
        <f>KOL_Database!$J$29</f>
        <v>228000</v>
      </c>
      <c r="J30" s="141">
        <f>KOL_Database!$K$29</f>
        <v>5.1</v>
      </c>
      <c r="K30" s="142">
        <f>IFERROR(INDEX(Lookup_Lists!$B$170:$O$181,MATCH(Brand_Profile!$D$10,Lookup_Lists!$A$170:$A$181,0),MATCH(KOL_Database!$E$29,Lookup_Lists!$B$169:$O$169,0)),Lookup_Lists!$D$151)</f>
        <v>40</v>
      </c>
      <c r="L30" s="142">
        <f>IF(KOL_Database!$F$29="",Matching_Engine!$BC$30,IF(Brand_Profile!$D$12=KOL_Database!$F$29,100,IF(Matching_Engine!$BA$30=KOL_Database!$E$29,80,IF(Matching_Engine!$BC$30&gt;=80,60,IF(Matching_Engine!$BC$30&gt;=60,40,Lookup_Lists!$D$151)))))</f>
        <v>60</v>
      </c>
      <c r="M30" s="142">
        <f>ROUND((IF(Brand_Profile!$D$62=0,Lookup_Lists!$D$150,ROUND((IF(Brand_Profile!$D$57="",0,IF(ISNUMBER(SEARCH(Brand_Profile!$D$57,Matching_Engine!$BF$30)),1,0))+IF(Brand_Profile!$D$58="",0,IF(ISNUMBER(SEARCH(Brand_Profile!$D$58,Matching_Engine!$BF$30)),1,0))+IF(Brand_Profile!$D$59="",0,IF(ISNUMBER(SEARCH(Brand_Profile!$D$59,Matching_Engine!$BF$30)),1,0))+IF(Brand_Profile!$D$60="",0,IF(ISNUMBER(SEARCH(Brand_Profile!$D$60,Matching_Engine!$BF$30)),1,0))+IF(Brand_Profile!$D$61="",0,IF(ISNUMBER(SEARCH(Brand_Profile!$D$61,Matching_Engine!$BF$30)),1,0)))/Brand_Profile!$D$62*100,0))+IF(Brand_Profile!$D$74=0,Lookup_Lists!$D$150,ROUND((IF(Brand_Profile!$D$69="",0,IF(ISNUMBER(SEARCH(Brand_Profile!$D$69,Matching_Engine!$BF$30)),1,0))+IF(Brand_Profile!$D$70="",0,IF(ISNUMBER(SEARCH(Brand_Profile!$D$70,Matching_Engine!$BF$30)),1,0))+IF(Brand_Profile!$D$71="",0,IF(ISNUMBER(SEARCH(Brand_Profile!$D$71,Matching_Engine!$BF$30)),1,0))+IF(Brand_Profile!$D$72="",0,IF(ISNUMBER(SEARCH(Brand_Profile!$D$72,Matching_Engine!$BF$30)),1,0))+IF(Brand_Profile!$D$73="",0,IF(ISNUMBER(SEARCH(Brand_Profile!$D$73,Matching_Engine!$BF$30)),1,0)))/Brand_Profile!$D$74*100,0)))/2,0)</f>
        <v>20</v>
      </c>
      <c r="N30" s="142">
        <f>ROUND((Matching_Engine!$K$30*Lookup_Lists!$D$110+Matching_Engine!$L$30*Lookup_Lists!$D$111+Matching_Engine!$M$30*Lookup_Lists!$D$112)/(Lookup_Lists!$D$110+Lookup_Lists!$D$111+Lookup_Lists!$D$112),0)</f>
        <v>40</v>
      </c>
      <c r="O30" s="142">
        <f ca="1">IF(Brand_Profile!$D$16="",Lookup_Lists!$D$150,MIN(100,ROUND((IFERROR(INDEX(KOL_Database!$W$29:KOL_Database!$AA$29,1,MATCH(Brand_Profile!$D$16,Lookup_Lists!$F$6:$F$10,0)),0)+0.5*IFERROR(INDEX(KOL_Database!$W$29:KOL_Database!$AA$29,1,MATCH(Brand_Profile!$D$17,Lookup_Lists!$F$6:$F$10,0)),0))/Lookup_Lists!$D$142*100,0)))</f>
        <v>100</v>
      </c>
      <c r="P30" s="142">
        <f>IF(OR(Brand_Profile!$D$18="",Brand_Profile!$D$18="Any"),100,IF(Brand_Profile!$D$18="Female",MIN(100,ROUND(KOL_Database!$AB$29/Lookup_Lists!$D$143*100,0)),IF(Brand_Profile!$D$18="Male",MIN(100,ROUND(KOL_Database!$AC$29/Lookup_Lists!$D$143*100,0)),MAX(0,ROUND(100-ABS(KOL_Database!$AB$29-50)*2,0)))))</f>
        <v>100</v>
      </c>
      <c r="Q30" s="142">
        <f>ROUND((IF(Brand_Profile!$D$19="",100,IF(KOL_Database!$AD$29=Brand_Profile!$D$19,100,Lookup_Lists!$D$151))*Lookup_Lists!$D$118+IF(OR(Brand_Profile!$D$20="",Brand_Profile!$D$20="Nasional"),100,IF(KOL_Database!$AE$29="",Lookup_Lists!$D$150,IF(KOL_Database!$AE$29=Brand_Profile!$D$20,100,IF(KOL_Database!$AD$29=Brand_Profile!$D$19,40,Lookup_Lists!$D$151))))*Lookup_Lists!$D$119+IF(OR(Brand_Profile!$D$21="",Brand_Profile!$D$21="Nasional"),100,IF(KOL_Database!$AF$29="",Lookup_Lists!$D$150,IF(KOL_Database!$AF$29=Brand_Profile!$D$21,100,IF(KOL_Database!$AE$29=Brand_Profile!$D$20,60,Lookup_Lists!$D$151))))*Lookup_Lists!$D$120)/(Lookup_Lists!$D$118+Lookup_Lists!$D$119+Lookup_Lists!$D$120),0)</f>
        <v>65</v>
      </c>
      <c r="R30" s="142">
        <f>IF(Brand_Profile!$D$68=0,Lookup_Lists!$D$150,ROUND((IF(Brand_Profile!$D$63="",0,IF(ISNUMBER(SEARCH(Brand_Profile!$D$63,KOL_Database!$AG$29)),1,0))+IF(Brand_Profile!$D$64="",0,IF(ISNUMBER(SEARCH(Brand_Profile!$D$64,KOL_Database!$AG$29)),1,0))+IF(Brand_Profile!$D$65="",0,IF(ISNUMBER(SEARCH(Brand_Profile!$D$65,KOL_Database!$AG$29)),1,0))+IF(Brand_Profile!$D$66="",0,IF(ISNUMBER(SEARCH(Brand_Profile!$D$66,KOL_Database!$AG$29)),1,0))+IF(Brand_Profile!$D$67="",0,IF(ISNUMBER(SEARCH(Brand_Profile!$D$67,KOL_Database!$AG$29)),1,0)))/Brand_Profile!$D$68*100,0))</f>
        <v>20</v>
      </c>
      <c r="S30" s="142">
        <f ca="1">ROUND((Matching_Engine!$O$30*Brand_Profile!$D$96+Matching_Engine!$P$30*Brand_Profile!$D$97+Matching_Engine!$Q$30*Brand_Profile!$D$98+Matching_Engine!$R$30*Brand_Profile!$D$99)/MAX(1,Brand_Profile!$D$96+Brand_Profile!$D$97+Brand_Profile!$D$98+Brand_Profile!$D$99),0)</f>
        <v>57</v>
      </c>
      <c r="T30" s="142">
        <f>IF(Brand_Profile!$D$33="",Lookup_Lists!$D$150,Matching_Engine!$BD$30)</f>
        <v>80</v>
      </c>
      <c r="U30" s="142">
        <f>IF(Brand_Profile!$D$34="",Lookup_Lists!$D$150,IF(Brand_Profile!$D$34=KOL_Database!$F$29,100,IF(Matching_Engine!$BE$30=KOL_Database!$E$29,75,IF(Matching_Engine!$BD$30&gt;=80,Lookup_Lists!$D$150,IF(Matching_Engine!$BD$30&gt;=60,35,Lookup_Lists!$D$151)))))</f>
        <v>50</v>
      </c>
      <c r="V30" s="142">
        <f>IF(Brand_Profile!$D$86=0,Lookup_Lists!$D$150,ROUND((IF(Brand_Profile!$D$81="",0,IF(ISNUMBER(SEARCH(Brand_Profile!$D$81,Matching_Engine!$BG$30)),1,0))+IF(Brand_Profile!$D$82="",0,IF(ISNUMBER(SEARCH(Brand_Profile!$D$82,Matching_Engine!$BG$30)),1,0))+IF(Brand_Profile!$D$83="",0,IF(ISNUMBER(SEARCH(Brand_Profile!$D$83,Matching_Engine!$BG$30)),1,0))+IF(Brand_Profile!$D$84="",0,IF(ISNUMBER(SEARCH(Brand_Profile!$D$84,Matching_Engine!$BG$30)),1,0))+IF(Brand_Profile!$D$85="",0,IF(ISNUMBER(SEARCH(Brand_Profile!$D$85,Matching_Engine!$BG$30)),1,0)))/Brand_Profile!$D$86*100,0))</f>
        <v>20</v>
      </c>
      <c r="W30" s="142">
        <f>IF(Brand_Profile!$D$39="",Lookup_Lists!$D$150,IFERROR(INDEX(Lookup_Lists!$B$237:$K$246,MATCH(Brand_Profile!$D$39,Lookup_Lists!$A$237:$A$246,0),MATCH(KOL_Database!$AJ$29,Lookup_Lists!$B$236:$K$236,0)),45))</f>
        <v>45</v>
      </c>
      <c r="X30" s="142">
        <f>ROUND((Matching_Engine!$T$30*Lookup_Lists!$D$121+Matching_Engine!$U$30*Lookup_Lists!$D$122+Matching_Engine!$V$30*Lookup_Lists!$D$123+Matching_Engine!$W$30*Lookup_Lists!$D$124)/(Lookup_Lists!$D$121+Lookup_Lists!$D$122+Lookup_Lists!$D$123+Lookup_Lists!$D$124),0)</f>
        <v>49</v>
      </c>
      <c r="Y30" s="142">
        <f>MIN(100,MAX(IFERROR(INDEX(Lookup_Lists!$B$202:$M$211,MATCH(Brand_Profile!$D$25,Lookup_Lists!$A$202:$A$211,0),MATCH(KOL_Database!$AK$29,Lookup_Lists!$B$201:$M$201,0)),40),IF(KOL_Database!$AK$29=Brand_Profile!$D$41,95,0)))</f>
        <v>40</v>
      </c>
      <c r="Z30" s="142">
        <f>IFERROR(INDEX(Lookup_Lists!$B$215:$K$222,MATCH(Brand_Profile!$D$27,Lookup_Lists!$A$215:$A$222,0),MATCH(KOL_Database!$AJ$29,Lookup_Lists!$B$214:$K$214,0)),45)</f>
        <v>55</v>
      </c>
      <c r="AA30" s="142">
        <f>ROUND((IF(Brand_Profile!$D$80=0,Lookup_Lists!$D$150,ROUND((IF(Brand_Profile!$D$75="",0,IF(ISNUMBER(SEARCH(Brand_Profile!$D$75,KOL_Database!$AL$29)),1,0))+IF(Brand_Profile!$D$76="",0,IF(ISNUMBER(SEARCH(Brand_Profile!$D$76,KOL_Database!$AL$29)),1,0))+IF(Brand_Profile!$D$77="",0,IF(ISNUMBER(SEARCH(Brand_Profile!$D$77,KOL_Database!$AL$29)),1,0))+IF(Brand_Profile!$D$78="",0,IF(ISNUMBER(SEARCH(Brand_Profile!$D$78,KOL_Database!$AL$29)),1,0))+IF(Brand_Profile!$D$79="",0,IF(ISNUMBER(SEARCH(Brand_Profile!$D$79,KOL_Database!$AL$29)),1,0)))/Brand_Profile!$D$80*100,0))+IF(Brand_Profile!$D$92=0,Lookup_Lists!$D$150,ROUND((IF(Brand_Profile!$D$87="",0,IF(ISNUMBER(SEARCH(Brand_Profile!$D$87,KOL_Database!$AL$29)),1,0))+IF(Brand_Profile!$D$88="",0,IF(ISNUMBER(SEARCH(Brand_Profile!$D$88,KOL_Database!$AL$29)),1,0))+IF(Brand_Profile!$D$89="",0,IF(ISNUMBER(SEARCH(Brand_Profile!$D$89,KOL_Database!$AL$29)),1,0))+IF(Brand_Profile!$D$90="",0,IF(ISNUMBER(SEARCH(Brand_Profile!$D$90,KOL_Database!$AL$29)),1,0))+IF(Brand_Profile!$D$91="",0,IF(ISNUMBER(SEARCH(Brand_Profile!$D$91,KOL_Database!$AL$29)),1,0)))/Brand_Profile!$D$92*100,0)))/2,0)</f>
        <v>0</v>
      </c>
      <c r="AB30" s="142">
        <f>IFERROR(INDEX(Lookup_Lists!$B$226:$K$233,MATCH(Brand_Profile!$D$30,Lookup_Lists!$A$226:$A$233,0),MATCH(KOL_Database!$AJ$29,Lookup_Lists!$B$225:$K$225,0)),45)</f>
        <v>50</v>
      </c>
      <c r="AC30" s="142">
        <f>ROUND((Matching_Engine!$Y$30*Lookup_Lists!$D$125+Matching_Engine!$Z$30*Lookup_Lists!$D$126+Matching_Engine!$AA$30*Lookup_Lists!$D$127+Matching_Engine!$AB$30*Lookup_Lists!$D$128)/(Lookup_Lists!$D$125+Lookup_Lists!$D$126+Lookup_Lists!$D$127+Lookup_Lists!$D$128),0)</f>
        <v>35</v>
      </c>
      <c r="AD30" s="142">
        <f>IF(KOL_Database!$K$29="",0,MIN(100,ROUND(KOL_Database!$K$29/Lookup_Lists!$D$141*100,0)))</f>
        <v>85</v>
      </c>
      <c r="AE30" s="142">
        <f>IF(KOL_Database!$R$29="",0,MIN(100,MAX(0,KOL_Database!$R$29)))</f>
        <v>73</v>
      </c>
      <c r="AF30" s="142">
        <f>IF(KOL_Database!$P$29="",0,MIN(100,MAX(0,KOL_Database!$P$29)))</f>
        <v>64</v>
      </c>
      <c r="AG30" s="142">
        <f>IF(KOL_Database!$Q$29="",0,MIN(100,MAX(0,KOL_Database!$Q$29)))</f>
        <v>58</v>
      </c>
      <c r="AH30" s="142">
        <f>IF(OR(KOL_Database!$J$29="",KOL_Database!$J$29=0,KOL_Database!$L$29=""),0,MIN(100,ROUND(KOL_Database!$L$29/KOL_Database!$J$29/Lookup_Lists!$D$144*100,0)))</f>
        <v>100</v>
      </c>
      <c r="AI30" s="142">
        <f>IF(KOL_Database!$N$29="",0,MIN(100,MAX(0,ROUND((KOL_Database!$N$29+2)/(Lookup_Lists!$D$145+2)*100,0))))</f>
        <v>93</v>
      </c>
      <c r="AJ30" s="142">
        <f>ROUND((Matching_Engine!$AD$30*Lookup_Lists!$D$129+Matching_Engine!$AE$30*Lookup_Lists!$D$130+Matching_Engine!$AF$30*Lookup_Lists!$D$131+Matching_Engine!$AG$30*Lookup_Lists!$D$132+Matching_Engine!$AH$30*Lookup_Lists!$D$133+Matching_Engine!$AI$30*Lookup_Lists!$D$134)/(Lookup_Lists!$D$129+Lookup_Lists!$D$130+Lookup_Lists!$D$131+Lookup_Lists!$D$132+Lookup_Lists!$D$133+Lookup_Lists!$D$134),0)</f>
        <v>78</v>
      </c>
      <c r="AK30" s="142">
        <f>IF(KOL_Database!$AT$29="",0,MIN(100,MAX(0,KOL_Database!$AT$29)))</f>
        <v>80</v>
      </c>
      <c r="AL30" s="142">
        <f>IF(KOL_Database!$AU$29="",0,KOL_Database!$AU$29)</f>
        <v>28</v>
      </c>
      <c r="AM30" s="89" t="str">
        <f>IF(KOL_Database!$AV$29="","None",KOL_Database!$AV$29)</f>
        <v>Low</v>
      </c>
      <c r="AN30" s="143">
        <f>IF(Matching_Engine!$AM$30="High",Lookup_Lists!$D$137,IF(Matching_Engine!$AM$30="Medium",Lookup_Lists!$D$138,IF(Matching_Engine!$AM$30="Low",Lookup_Lists!$D$139,Lookup_Lists!$D$140)))</f>
        <v>0.95</v>
      </c>
      <c r="AO30" s="142">
        <f>ROUND(MIN(100,MAX(0,(Matching_Engine!$AK$30*Lookup_Lists!$D$135+(100-Matching_Engine!$AL$30)*Lookup_Lists!$D$136)/(Lookup_Lists!$D$135+Lookup_Lists!$D$136)*Matching_Engine!$AN$30)),0)</f>
        <v>74</v>
      </c>
      <c r="AP30" s="13">
        <f ca="1">ROUND((Matching_Engine!$N$30*Lookup_Lists!$D$104+Matching_Engine!$S$30*Lookup_Lists!$D$105+Matching_Engine!$X$30*Lookup_Lists!$D$106+Matching_Engine!$AC$30*Lookup_Lists!$D$107+Matching_Engine!$AJ$30*Lookup_Lists!$D$108+Matching_Engine!$AO$30*Lookup_Lists!$D$109)/MAX(1,(Lookup_Lists!$D$104+Lookup_Lists!$D$105+Lookup_Lists!$D$106+Lookup_Lists!$D$107+Lookup_Lists!$D$108+Lookup_Lists!$D$109)),0)</f>
        <v>54</v>
      </c>
      <c r="AQ30" s="89" t="str">
        <f ca="1">IF(Matching_Engine!$AP$30&gt;=Lookup_Lists!$D$152,"Excellent Match",IF(Matching_Engine!$AP$30&gt;=Lookup_Lists!$D$153,"Strong Match",IF(Matching_Engine!$AP$30&gt;=Lookup_Lists!$D$154,"Good Match",IF(Matching_Engine!$AP$30&gt;=Lookup_Lists!$D$155,"Moderate Match","Low Match"))))</f>
        <v>Low Match</v>
      </c>
      <c r="AR30" s="142">
        <f>KOL_Database!$BE$29</f>
        <v>100</v>
      </c>
      <c r="AS30" s="89" t="str">
        <f>IF(Matching_Engine!$AR$30&gt;=Lookup_Lists!$D$159,"High",IF(Matching_Engine!$AR$30&gt;=Lookup_Lists!$D$160,"Medium","Limited Data"))</f>
        <v>High</v>
      </c>
      <c r="AT30" s="142">
        <f>ROUND((Matching_Engine!$N$30+Matching_Engine!$X$30+Matching_Engine!$AC$30)/3,0)</f>
        <v>41</v>
      </c>
      <c r="AU30" s="142">
        <f>ROUND(((100-Matching_Engine!$AL$30)*Lookup_Lists!$D$162+IF(KOL_Database!$BD$29="",Lookup_Lists!$D$150,KOL_Database!$BD$29)*Lookup_Lists!$D$163+Matching_Engine!$AI$30*Lookup_Lists!$D$164+Matching_Engine!$AD$30*Lookup_Lists!$D$165)/(Lookup_Lists!$D$162+Lookup_Lists!$D$163+Lookup_Lists!$D$164+Lookup_Lists!$D$165),0)</f>
        <v>86</v>
      </c>
      <c r="AV30" s="89" t="str">
        <f ca="1">IF(Matching_Engine!$AW$30="","PASS","EXCLUDED")</f>
        <v>PASS</v>
      </c>
      <c r="AW30" s="89" t="str">
        <f ca="1">IF(ISERROR(SEARCH(KOL_Database!$D$29,Brand_Profile!$D$32)),"Platform not in Preferred Platform",IF(AND(Brand_Profile!$D$36&gt;0,KOL_Database!$J$29&lt;Brand_Profile!$D$36),"Followers below Preferred Follower Range",IF(AND(Brand_Profile!$D$37&gt;0,KOL_Database!$J$29&gt;Brand_Profile!$D$37),"Followers above Preferred Follower Range",IF(AND(Brand_Profile!$D$38&gt;0,IF(KOL_Database!$K$29="",0,KOL_Database!$K$29)&lt;Brand_Profile!$D$38),"Engagement Rate below Minimum Engagement Rate",IF(ISERROR(SEARCH(KOL_Database!$G$29,Brand_Profile!$D$35)),"Tier not in Preferred Tier",IF(AND(Brand_Profile!$D$43&gt;0,Matching_Engine!$AE$30&lt;Brand_Profile!$D$43),"Audience Quality below Minimum Audience Quality",IF(AND(Brand_Profile!$D$44&gt;0,Matching_Engine!$AK$30&lt;Brand_Profile!$D$44),"Brand Safety below Minimum Brand Safety",IF(AND(Brand_Profile!$D$47="Yes",KOL_Database!$AD$29&lt;&gt;Brand_Profile!$D$19),"Audience Country does not match Target Country",IF(AND(Brand_Profile!$D$46="Yes",KOL_Database!$E$29&lt;&gt;Brand_Profile!$D$33),"Category is not the Preferred Category",IF(AND(Brand_Profile!$D$48&gt;0,Matching_Engine!$AL$30&gt;Brand_Profile!$D$48),"Competitor Saturation above Max Competitor Saturation",IF(AND(Brand_Profile!$D$50="Yes",KOL_Database!$AW$29="Yes"),"Already Selected",IF(AND(Brand_Profile!$D$51="Yes",KOL_Database!$AX$29="Yes"),"Already in Cart",IF(AND(Brand_Profile!$D$52="Yes",KOL_Database!$AY$29="Yes"),"Existing Partner",IF(AND(Brand_Profile!$D$53="Yes",KOL_Database!$AZ$29="Yes"),"Excluded Creator",IF(AND(Brand_Profile!$D$49&gt;0,Matching_Engine!$AP$30&lt;Brand_Profile!$D$49),"Brand Match below Minimum Brand Match","")))))))))))))))</f>
        <v/>
      </c>
      <c r="AX30" s="89" t="str">
        <f ca="1">IF(Matching_Engine!$AV$30="EXCLUDED","Excluded",IF(Matching_Engine!$AP$30&gt;=Lookup_Lists!$D$156,"Highly Recommended",IF(Matching_Engine!$AP$30&gt;=Lookup_Lists!$D$157,"Recommended",IF(Matching_Engine!$AP$30&gt;=Lookup_Lists!$D$158,"Consider","Low Priority"))))</f>
        <v>Low Priority</v>
      </c>
      <c r="AY30" s="142">
        <f ca="1">IF(Matching_Engine!$AV$30="PASS",Matching_Engine!$AP$30,"")</f>
        <v>54</v>
      </c>
      <c r="AZ30" s="89" t="str">
        <f>Matching_Engine!$A$30&amp;"|"&amp;Matching_Engine!$C$30</f>
        <v>BRAND-A|KOL-25</v>
      </c>
      <c r="BA30" s="89" t="str">
        <f>IFERROR(INDEX(Lookup_Lists!$B$51:$B$92,MATCH(Brand_Profile!$D$12,Lookup_Lists!$A$51:$A$92,0)),"")</f>
        <v>Tech</v>
      </c>
      <c r="BB30" s="89" t="str">
        <f>IFERROR(INDEX(Lookup_Lists!$B$51:$B$92,MATCH(KOL_Database!$F$29,Lookup_Lists!$A$51:$A$92,0)),"")</f>
        <v>Automotive</v>
      </c>
      <c r="BC30" s="142">
        <f>IFERROR(INDEX(Lookup_Lists!$B$185:$O$198,MATCH(Matching_Engine!$BA$30,Lookup_Lists!$A$185:$A$198,0),MATCH(KOL_Database!$E$29,Lookup_Lists!$B$184:$O$184,0)),Lookup_Lists!$D$151)</f>
        <v>80</v>
      </c>
      <c r="BD30" s="142">
        <f>IFERROR(INDEX(Lookup_Lists!$B$185:$O$198,MATCH(Brand_Profile!$D$33,Lookup_Lists!$A$185:$A$198,0),MATCH(KOL_Database!$E$29,Lookup_Lists!$B$184:$O$184,0)),Lookup_Lists!$D$151)</f>
        <v>80</v>
      </c>
      <c r="BE30" s="89" t="str">
        <f>IFERROR(INDEX(Lookup_Lists!$B$51:$B$92,MATCH(Brand_Profile!$D$34,Lookup_Lists!$A$51:$A$92,0)),"")</f>
        <v>Tech</v>
      </c>
      <c r="BF30" s="89" t="str">
        <f>KOL_Database!$AI$29&amp;", "&amp;KOL_Database!$AG$29&amp;", "&amp;KOL_Database!$F$29&amp;", "&amp;KOL_Database!$E$29</f>
        <v>Automotive, Travel, Entertainment, Automotive, Travel, Entertainment, Technology, Shopping, Motorcycle, Automotive</v>
      </c>
      <c r="BG30" s="89" t="str">
        <f>KOL_Database!$AI$29&amp;", "&amp;KOL_Database!$AG$29</f>
        <v>Automotive, Travel, Entertainment, Automotive, Travel, Entertainment, Technology, Shopping</v>
      </c>
    </row>
    <row r="31" spans="1:59">
      <c r="A31" s="101" t="s">
        <v>113</v>
      </c>
      <c r="B31" s="89" t="str">
        <f>Brand_Profile!$D$9</f>
        <v>Nusatech Cloud</v>
      </c>
      <c r="C31" s="89" t="str">
        <f>KOL_Database!$A$30</f>
        <v>KOL-26</v>
      </c>
      <c r="D31" s="89" t="str">
        <f>KOL_Database!$B$30</f>
        <v>Wisnu Adi</v>
      </c>
      <c r="E31" s="89" t="str">
        <f>KOL_Database!$C$30</f>
        <v>@wisnucarreview</v>
      </c>
      <c r="F31" s="89" t="str">
        <f>KOL_Database!$D$30</f>
        <v>Instagram</v>
      </c>
      <c r="G31" s="89" t="str">
        <f>KOL_Database!$E$30</f>
        <v>Automotive</v>
      </c>
      <c r="H31" s="89" t="str">
        <f>KOL_Database!$G$30</f>
        <v>Mid-tier</v>
      </c>
      <c r="I31" s="140">
        <f>KOL_Database!$J$30</f>
        <v>76000</v>
      </c>
      <c r="J31" s="141">
        <f>KOL_Database!$K$30</f>
        <v>2.9</v>
      </c>
      <c r="K31" s="142">
        <f>IFERROR(INDEX(Lookup_Lists!$B$170:$O$181,MATCH(Brand_Profile!$D$10,Lookup_Lists!$A$170:$A$181,0),MATCH(KOL_Database!$E$30,Lookup_Lists!$B$169:$O$169,0)),Lookup_Lists!$D$151)</f>
        <v>40</v>
      </c>
      <c r="L31" s="142">
        <f>IF(KOL_Database!$F$30="",Matching_Engine!$BC$31,IF(Brand_Profile!$D$12=KOL_Database!$F$30,100,IF(Matching_Engine!$BA$31=KOL_Database!$E$30,80,IF(Matching_Engine!$BC$31&gt;=80,60,IF(Matching_Engine!$BC$31&gt;=60,40,Lookup_Lists!$D$151)))))</f>
        <v>60</v>
      </c>
      <c r="M31" s="142">
        <f>ROUND((IF(Brand_Profile!$D$62=0,Lookup_Lists!$D$150,ROUND((IF(Brand_Profile!$D$57="",0,IF(ISNUMBER(SEARCH(Brand_Profile!$D$57,Matching_Engine!$BF$31)),1,0))+IF(Brand_Profile!$D$58="",0,IF(ISNUMBER(SEARCH(Brand_Profile!$D$58,Matching_Engine!$BF$31)),1,0))+IF(Brand_Profile!$D$59="",0,IF(ISNUMBER(SEARCH(Brand_Profile!$D$59,Matching_Engine!$BF$31)),1,0))+IF(Brand_Profile!$D$60="",0,IF(ISNUMBER(SEARCH(Brand_Profile!$D$60,Matching_Engine!$BF$31)),1,0))+IF(Brand_Profile!$D$61="",0,IF(ISNUMBER(SEARCH(Brand_Profile!$D$61,Matching_Engine!$BF$31)),1,0)))/Brand_Profile!$D$62*100,0))+IF(Brand_Profile!$D$74=0,Lookup_Lists!$D$150,ROUND((IF(Brand_Profile!$D$69="",0,IF(ISNUMBER(SEARCH(Brand_Profile!$D$69,Matching_Engine!$BF$31)),1,0))+IF(Brand_Profile!$D$70="",0,IF(ISNUMBER(SEARCH(Brand_Profile!$D$70,Matching_Engine!$BF$31)),1,0))+IF(Brand_Profile!$D$71="",0,IF(ISNUMBER(SEARCH(Brand_Profile!$D$71,Matching_Engine!$BF$31)),1,0))+IF(Brand_Profile!$D$72="",0,IF(ISNUMBER(SEARCH(Brand_Profile!$D$72,Matching_Engine!$BF$31)),1,0))+IF(Brand_Profile!$D$73="",0,IF(ISNUMBER(SEARCH(Brand_Profile!$D$73,Matching_Engine!$BF$31)),1,0)))/Brand_Profile!$D$74*100,0)))/2,0)</f>
        <v>60</v>
      </c>
      <c r="N31" s="142">
        <f>ROUND((Matching_Engine!$K$31*Lookup_Lists!$D$110+Matching_Engine!$L$31*Lookup_Lists!$D$111+Matching_Engine!$M$31*Lookup_Lists!$D$112)/(Lookup_Lists!$D$110+Lookup_Lists!$D$111+Lookup_Lists!$D$112),0)</f>
        <v>52</v>
      </c>
      <c r="O31" s="142">
        <f ca="1">IF(Brand_Profile!$D$16="",Lookup_Lists!$D$150,MIN(100,ROUND((IFERROR(INDEX(KOL_Database!$W$30:KOL_Database!$AA$30,1,MATCH(Brand_Profile!$D$16,Lookup_Lists!$F$6:$F$10,0)),0)+0.5*IFERROR(INDEX(KOL_Database!$W$30:KOL_Database!$AA$30,1,MATCH(Brand_Profile!$D$17,Lookup_Lists!$F$6:$F$10,0)),0))/Lookup_Lists!$D$142*100,0)))</f>
        <v>100</v>
      </c>
      <c r="P31" s="142">
        <f>IF(OR(Brand_Profile!$D$18="",Brand_Profile!$D$18="Any"),100,IF(Brand_Profile!$D$18="Female",MIN(100,ROUND(KOL_Database!$AB$30/Lookup_Lists!$D$143*100,0)),IF(Brand_Profile!$D$18="Male",MIN(100,ROUND(KOL_Database!$AC$30/Lookup_Lists!$D$143*100,0)),MAX(0,ROUND(100-ABS(KOL_Database!$AB$30-50)*2,0)))))</f>
        <v>100</v>
      </c>
      <c r="Q31" s="142">
        <f>ROUND((IF(Brand_Profile!$D$19="",100,IF(KOL_Database!$AD$30=Brand_Profile!$D$19,100,Lookup_Lists!$D$151))*Lookup_Lists!$D$118+IF(OR(Brand_Profile!$D$20="",Brand_Profile!$D$20="Nasional"),100,IF(KOL_Database!$AE$30="",Lookup_Lists!$D$150,IF(KOL_Database!$AE$30=Brand_Profile!$D$20,100,IF(KOL_Database!$AD$30=Brand_Profile!$D$19,40,Lookup_Lists!$D$151))))*Lookup_Lists!$D$119+IF(OR(Brand_Profile!$D$21="",Brand_Profile!$D$21="Nasional"),100,IF(KOL_Database!$AF$30="",Lookup_Lists!$D$150,IF(KOL_Database!$AF$30=Brand_Profile!$D$21,100,IF(KOL_Database!$AE$30=Brand_Profile!$D$20,60,Lookup_Lists!$D$151))))*Lookup_Lists!$D$120)/(Lookup_Lists!$D$118+Lookup_Lists!$D$119+Lookup_Lists!$D$120),0)</f>
        <v>100</v>
      </c>
      <c r="R31" s="142">
        <f>IF(Brand_Profile!$D$68=0,Lookup_Lists!$D$150,ROUND((IF(Brand_Profile!$D$63="",0,IF(ISNUMBER(SEARCH(Brand_Profile!$D$63,KOL_Database!$AG$30)),1,0))+IF(Brand_Profile!$D$64="",0,IF(ISNUMBER(SEARCH(Brand_Profile!$D$64,KOL_Database!$AG$30)),1,0))+IF(Brand_Profile!$D$65="",0,IF(ISNUMBER(SEARCH(Brand_Profile!$D$65,KOL_Database!$AG$30)),1,0))+IF(Brand_Profile!$D$66="",0,IF(ISNUMBER(SEARCH(Brand_Profile!$D$66,KOL_Database!$AG$30)),1,0))+IF(Brand_Profile!$D$67="",0,IF(ISNUMBER(SEARCH(Brand_Profile!$D$67,KOL_Database!$AG$30)),1,0)))/Brand_Profile!$D$68*100,0))</f>
        <v>60</v>
      </c>
      <c r="S31" s="142">
        <f ca="1">ROUND((Matching_Engine!$O$31*Brand_Profile!$D$96+Matching_Engine!$P$31*Brand_Profile!$D$97+Matching_Engine!$Q$31*Brand_Profile!$D$98+Matching_Engine!$R$31*Brand_Profile!$D$99)/MAX(1,Brand_Profile!$D$96+Brand_Profile!$D$97+Brand_Profile!$D$98+Brand_Profile!$D$99),0)</f>
        <v>83</v>
      </c>
      <c r="T31" s="142">
        <f>IF(Brand_Profile!$D$33="",Lookup_Lists!$D$150,Matching_Engine!$BD$31)</f>
        <v>80</v>
      </c>
      <c r="U31" s="142">
        <f>IF(Brand_Profile!$D$34="",Lookup_Lists!$D$150,IF(Brand_Profile!$D$34=KOL_Database!$F$30,100,IF(Matching_Engine!$BE$31=KOL_Database!$E$30,75,IF(Matching_Engine!$BD$31&gt;=80,Lookup_Lists!$D$150,IF(Matching_Engine!$BD$31&gt;=60,35,Lookup_Lists!$D$151)))))</f>
        <v>50</v>
      </c>
      <c r="V31" s="142">
        <f>IF(Brand_Profile!$D$86=0,Lookup_Lists!$D$150,ROUND((IF(Brand_Profile!$D$81="",0,IF(ISNUMBER(SEARCH(Brand_Profile!$D$81,Matching_Engine!$BG$31)),1,0))+IF(Brand_Profile!$D$82="",0,IF(ISNUMBER(SEARCH(Brand_Profile!$D$82,Matching_Engine!$BG$31)),1,0))+IF(Brand_Profile!$D$83="",0,IF(ISNUMBER(SEARCH(Brand_Profile!$D$83,Matching_Engine!$BG$31)),1,0))+IF(Brand_Profile!$D$84="",0,IF(ISNUMBER(SEARCH(Brand_Profile!$D$84,Matching_Engine!$BG$31)),1,0))+IF(Brand_Profile!$D$85="",0,IF(ISNUMBER(SEARCH(Brand_Profile!$D$85,Matching_Engine!$BG$31)),1,0)))/Brand_Profile!$D$86*100,0))</f>
        <v>60</v>
      </c>
      <c r="W31" s="142">
        <f>IF(Brand_Profile!$D$39="",Lookup_Lists!$D$150,IFERROR(INDEX(Lookup_Lists!$B$237:$K$246,MATCH(Brand_Profile!$D$39,Lookup_Lists!$A$237:$A$246,0),MATCH(KOL_Database!$AJ$30,Lookup_Lists!$B$236:$K$236,0)),45))</f>
        <v>80</v>
      </c>
      <c r="X31" s="142">
        <f>ROUND((Matching_Engine!$T$31*Lookup_Lists!$D$121+Matching_Engine!$U$31*Lookup_Lists!$D$122+Matching_Engine!$V$31*Lookup_Lists!$D$123+Matching_Engine!$W$31*Lookup_Lists!$D$124)/(Lookup_Lists!$D$121+Lookup_Lists!$D$122+Lookup_Lists!$D$123+Lookup_Lists!$D$124),0)</f>
        <v>68</v>
      </c>
      <c r="Y31" s="142">
        <f>MIN(100,MAX(IFERROR(INDEX(Lookup_Lists!$B$202:$M$211,MATCH(Brand_Profile!$D$25,Lookup_Lists!$A$202:$A$211,0),MATCH(KOL_Database!$AK$30,Lookup_Lists!$B$201:$M$201,0)),40),IF(KOL_Database!$AK$30=Brand_Profile!$D$41,95,0)))</f>
        <v>70</v>
      </c>
      <c r="Z31" s="142">
        <f>IFERROR(INDEX(Lookup_Lists!$B$215:$K$222,MATCH(Brand_Profile!$D$27,Lookup_Lists!$A$215:$A$222,0),MATCH(KOL_Database!$AJ$30,Lookup_Lists!$B$214:$K$214,0)),45)</f>
        <v>90</v>
      </c>
      <c r="AA31" s="142">
        <f>ROUND((IF(Brand_Profile!$D$80=0,Lookup_Lists!$D$150,ROUND((IF(Brand_Profile!$D$75="",0,IF(ISNUMBER(SEARCH(Brand_Profile!$D$75,KOL_Database!$AL$30)),1,0))+IF(Brand_Profile!$D$76="",0,IF(ISNUMBER(SEARCH(Brand_Profile!$D$76,KOL_Database!$AL$30)),1,0))+IF(Brand_Profile!$D$77="",0,IF(ISNUMBER(SEARCH(Brand_Profile!$D$77,KOL_Database!$AL$30)),1,0))+IF(Brand_Profile!$D$78="",0,IF(ISNUMBER(SEARCH(Brand_Profile!$D$78,KOL_Database!$AL$30)),1,0))+IF(Brand_Profile!$D$79="",0,IF(ISNUMBER(SEARCH(Brand_Profile!$D$79,KOL_Database!$AL$30)),1,0)))/Brand_Profile!$D$80*100,0))+IF(Brand_Profile!$D$92=0,Lookup_Lists!$D$150,ROUND((IF(Brand_Profile!$D$87="",0,IF(ISNUMBER(SEARCH(Brand_Profile!$D$87,KOL_Database!$AL$30)),1,0))+IF(Brand_Profile!$D$88="",0,IF(ISNUMBER(SEARCH(Brand_Profile!$D$88,KOL_Database!$AL$30)),1,0))+IF(Brand_Profile!$D$89="",0,IF(ISNUMBER(SEARCH(Brand_Profile!$D$89,KOL_Database!$AL$30)),1,0))+IF(Brand_Profile!$D$90="",0,IF(ISNUMBER(SEARCH(Brand_Profile!$D$90,KOL_Database!$AL$30)),1,0))+IF(Brand_Profile!$D$91="",0,IF(ISNUMBER(SEARCH(Brand_Profile!$D$91,KOL_Database!$AL$30)),1,0)))/Brand_Profile!$D$92*100,0)))/2,0)</f>
        <v>60</v>
      </c>
      <c r="AB31" s="142">
        <f>IFERROR(INDEX(Lookup_Lists!$B$226:$K$233,MATCH(Brand_Profile!$D$30,Lookup_Lists!$A$226:$A$233,0),MATCH(KOL_Database!$AJ$30,Lookup_Lists!$B$225:$K$225,0)),45)</f>
        <v>70</v>
      </c>
      <c r="AC31" s="142">
        <f>ROUND((Matching_Engine!$Y$31*Lookup_Lists!$D$125+Matching_Engine!$Z$31*Lookup_Lists!$D$126+Matching_Engine!$AA$31*Lookup_Lists!$D$127+Matching_Engine!$AB$31*Lookup_Lists!$D$128)/(Lookup_Lists!$D$125+Lookup_Lists!$D$126+Lookup_Lists!$D$127+Lookup_Lists!$D$128),0)</f>
        <v>73</v>
      </c>
      <c r="AD31" s="142">
        <f>IF(KOL_Database!$K$30="",0,MIN(100,ROUND(KOL_Database!$K$30/Lookup_Lists!$D$141*100,0)))</f>
        <v>48</v>
      </c>
      <c r="AE31" s="142">
        <f>IF(KOL_Database!$R$30="",0,MIN(100,MAX(0,KOL_Database!$R$30)))</f>
        <v>64</v>
      </c>
      <c r="AF31" s="142">
        <f>IF(KOL_Database!$P$30="",0,MIN(100,MAX(0,KOL_Database!$P$30)))</f>
        <v>48</v>
      </c>
      <c r="AG31" s="142">
        <f>IF(KOL_Database!$Q$30="",0,MIN(100,MAX(0,KOL_Database!$Q$30)))</f>
        <v>51</v>
      </c>
      <c r="AH31" s="142">
        <f>IF(OR(KOL_Database!$J$30="",KOL_Database!$J$30=0,KOL_Database!$L$30=""),0,MIN(100,ROUND(KOL_Database!$L$30/KOL_Database!$J$30/Lookup_Lists!$D$144*100,0)))</f>
        <v>43</v>
      </c>
      <c r="AI31" s="142">
        <f>IF(KOL_Database!$N$30="",0,MIN(100,MAX(0,ROUND((KOL_Database!$N$30+2)/(Lookup_Lists!$D$145+2)*100,0))))</f>
        <v>57</v>
      </c>
      <c r="AJ31" s="142">
        <f>ROUND((Matching_Engine!$AD$31*Lookup_Lists!$D$129+Matching_Engine!$AE$31*Lookup_Lists!$D$130+Matching_Engine!$AF$31*Lookup_Lists!$D$131+Matching_Engine!$AG$31*Lookup_Lists!$D$132+Matching_Engine!$AH$31*Lookup_Lists!$D$133+Matching_Engine!$AI$31*Lookup_Lists!$D$134)/(Lookup_Lists!$D$129+Lookup_Lists!$D$130+Lookup_Lists!$D$131+Lookup_Lists!$D$132+Lookup_Lists!$D$133+Lookup_Lists!$D$134),0)</f>
        <v>51</v>
      </c>
      <c r="AK31" s="142">
        <f>IF(KOL_Database!$AT$30="",0,MIN(100,MAX(0,KOL_Database!$AT$30)))</f>
        <v>71</v>
      </c>
      <c r="AL31" s="142">
        <f>IF(KOL_Database!$AU$30="",0,KOL_Database!$AU$30)</f>
        <v>13</v>
      </c>
      <c r="AM31" s="89" t="str">
        <f>IF(KOL_Database!$AV$30="","None",KOL_Database!$AV$30)</f>
        <v>Low</v>
      </c>
      <c r="AN31" s="143">
        <f>IF(Matching_Engine!$AM$31="High",Lookup_Lists!$D$137,IF(Matching_Engine!$AM$31="Medium",Lookup_Lists!$D$138,IF(Matching_Engine!$AM$31="Low",Lookup_Lists!$D$139,Lookup_Lists!$D$140)))</f>
        <v>0.95</v>
      </c>
      <c r="AO31" s="142">
        <f>ROUND(MIN(100,MAX(0,(Matching_Engine!$AK$31*Lookup_Lists!$D$135+(100-Matching_Engine!$AL$31)*Lookup_Lists!$D$136)/(Lookup_Lists!$D$135+Lookup_Lists!$D$136)*Matching_Engine!$AN$31)),0)</f>
        <v>70</v>
      </c>
      <c r="AP31" s="13">
        <f ca="1">ROUND((Matching_Engine!$N$31*Lookup_Lists!$D$104+Matching_Engine!$S$31*Lookup_Lists!$D$105+Matching_Engine!$X$31*Lookup_Lists!$D$106+Matching_Engine!$AC$31*Lookup_Lists!$D$107+Matching_Engine!$AJ$31*Lookup_Lists!$D$108+Matching_Engine!$AO$31*Lookup_Lists!$D$109)/MAX(1,(Lookup_Lists!$D$104+Lookup_Lists!$D$105+Lookup_Lists!$D$106+Lookup_Lists!$D$107+Lookup_Lists!$D$108+Lookup_Lists!$D$109)),0)</f>
        <v>68</v>
      </c>
      <c r="AQ31" s="89" t="str">
        <f ca="1">IF(Matching_Engine!$AP$31&gt;=Lookup_Lists!$D$152,"Excellent Match",IF(Matching_Engine!$AP$31&gt;=Lookup_Lists!$D$153,"Strong Match",IF(Matching_Engine!$AP$31&gt;=Lookup_Lists!$D$154,"Good Match",IF(Matching_Engine!$AP$31&gt;=Lookup_Lists!$D$155,"Moderate Match","Low Match"))))</f>
        <v>Moderate Match</v>
      </c>
      <c r="AR31" s="142">
        <f>KOL_Database!$BE$30</f>
        <v>100</v>
      </c>
      <c r="AS31" s="89" t="str">
        <f>IF(Matching_Engine!$AR$31&gt;=Lookup_Lists!$D$159,"High",IF(Matching_Engine!$AR$31&gt;=Lookup_Lists!$D$160,"Medium","Limited Data"))</f>
        <v>High</v>
      </c>
      <c r="AT31" s="142">
        <f>ROUND((Matching_Engine!$N$31+Matching_Engine!$X$31+Matching_Engine!$AC$31)/3,0)</f>
        <v>64</v>
      </c>
      <c r="AU31" s="142">
        <f>ROUND(((100-Matching_Engine!$AL$31)*Lookup_Lists!$D$162+IF(KOL_Database!$BD$30="",Lookup_Lists!$D$150,KOL_Database!$BD$30)*Lookup_Lists!$D$163+Matching_Engine!$AI$31*Lookup_Lists!$D$164+Matching_Engine!$AD$31*Lookup_Lists!$D$165)/(Lookup_Lists!$D$162+Lookup_Lists!$D$163+Lookup_Lists!$D$164+Lookup_Lists!$D$165),0)</f>
        <v>61</v>
      </c>
      <c r="AV31" s="89" t="str">
        <f ca="1">IF(Matching_Engine!$AW$31="","PASS","EXCLUDED")</f>
        <v>EXCLUDED</v>
      </c>
      <c r="AW31" s="89" t="str">
        <f ca="1">IF(ISERROR(SEARCH(KOL_Database!$D$30,Brand_Profile!$D$32)),"Platform not in Preferred Platform",IF(AND(Brand_Profile!$D$36&gt;0,KOL_Database!$J$30&lt;Brand_Profile!$D$36),"Followers below Preferred Follower Range",IF(AND(Brand_Profile!$D$37&gt;0,KOL_Database!$J$30&gt;Brand_Profile!$D$37),"Followers above Preferred Follower Range",IF(AND(Brand_Profile!$D$38&gt;0,IF(KOL_Database!$K$30="",0,KOL_Database!$K$30)&lt;Brand_Profile!$D$38),"Engagement Rate below Minimum Engagement Rate",IF(ISERROR(SEARCH(KOL_Database!$G$30,Brand_Profile!$D$35)),"Tier not in Preferred Tier",IF(AND(Brand_Profile!$D$43&gt;0,Matching_Engine!$AE$31&lt;Brand_Profile!$D$43),"Audience Quality below Minimum Audience Quality",IF(AND(Brand_Profile!$D$44&gt;0,Matching_Engine!$AK$31&lt;Brand_Profile!$D$44),"Brand Safety below Minimum Brand Safety",IF(AND(Brand_Profile!$D$47="Yes",KOL_Database!$AD$30&lt;&gt;Brand_Profile!$D$19),"Audience Country does not match Target Country",IF(AND(Brand_Profile!$D$46="Yes",KOL_Database!$E$30&lt;&gt;Brand_Profile!$D$33),"Category is not the Preferred Category",IF(AND(Brand_Profile!$D$48&gt;0,Matching_Engine!$AL$31&gt;Brand_Profile!$D$48),"Competitor Saturation above Max Competitor Saturation",IF(AND(Brand_Profile!$D$50="Yes",KOL_Database!$AW$30="Yes"),"Already Selected",IF(AND(Brand_Profile!$D$51="Yes",KOL_Database!$AX$30="Yes"),"Already in Cart",IF(AND(Brand_Profile!$D$52="Yes",KOL_Database!$AY$30="Yes"),"Existing Partner",IF(AND(Brand_Profile!$D$53="Yes",KOL_Database!$AZ$30="Yes"),"Excluded Creator",IF(AND(Brand_Profile!$D$49&gt;0,Matching_Engine!$AP$31&lt;Brand_Profile!$D$49),"Brand Match below Minimum Brand Match","")))))))))))))))</f>
        <v>Audience Quality below Minimum Audience Quality</v>
      </c>
      <c r="AX31" s="89" t="str">
        <f ca="1">IF(Matching_Engine!$AV$31="EXCLUDED","Excluded",IF(Matching_Engine!$AP$31&gt;=Lookup_Lists!$D$156,"Highly Recommended",IF(Matching_Engine!$AP$31&gt;=Lookup_Lists!$D$157,"Recommended",IF(Matching_Engine!$AP$31&gt;=Lookup_Lists!$D$158,"Consider","Low Priority"))))</f>
        <v>Excluded</v>
      </c>
      <c r="AY31" s="142" t="str">
        <f ca="1">IF(Matching_Engine!$AV$31="PASS",Matching_Engine!$AP$31,"")</f>
        <v/>
      </c>
      <c r="AZ31" s="89" t="str">
        <f>Matching_Engine!$A$31&amp;"|"&amp;Matching_Engine!$C$31</f>
        <v>BRAND-A|KOL-26</v>
      </c>
      <c r="BA31" s="89" t="str">
        <f>IFERROR(INDEX(Lookup_Lists!$B$51:$B$92,MATCH(Brand_Profile!$D$12,Lookup_Lists!$A$51:$A$92,0)),"")</f>
        <v>Tech</v>
      </c>
      <c r="BB31" s="89" t="str">
        <f>IFERROR(INDEX(Lookup_Lists!$B$51:$B$92,MATCH(KOL_Database!$F$30,Lookup_Lists!$A$51:$A$92,0)),"")</f>
        <v>Automotive</v>
      </c>
      <c r="BC31" s="142">
        <f>IFERROR(INDEX(Lookup_Lists!$B$185:$O$198,MATCH(Matching_Engine!$BA$31,Lookup_Lists!$A$185:$A$198,0),MATCH(KOL_Database!$E$30,Lookup_Lists!$B$184:$O$184,0)),Lookup_Lists!$D$151)</f>
        <v>80</v>
      </c>
      <c r="BD31" s="142">
        <f>IFERROR(INDEX(Lookup_Lists!$B$185:$O$198,MATCH(Brand_Profile!$D$33,Lookup_Lists!$A$185:$A$198,0),MATCH(KOL_Database!$E$30,Lookup_Lists!$B$184:$O$184,0)),Lookup_Lists!$D$151)</f>
        <v>80</v>
      </c>
      <c r="BE31" s="89" t="str">
        <f>IFERROR(INDEX(Lookup_Lists!$B$51:$B$92,MATCH(Brand_Profile!$D$34,Lookup_Lists!$A$51:$A$92,0)),"")</f>
        <v>Tech</v>
      </c>
      <c r="BF31" s="89" t="str">
        <f>KOL_Database!$AI$30&amp;", "&amp;KOL_Database!$AG$30&amp;", "&amp;KOL_Database!$F$30&amp;", "&amp;KOL_Database!$E$30</f>
        <v>Automotive, Technology, Finance, Automotive, Technology, Finance, Travel, Business, Car Review, Automotive</v>
      </c>
      <c r="BG31" s="89" t="str">
        <f>KOL_Database!$AI$30&amp;", "&amp;KOL_Database!$AG$30</f>
        <v>Automotive, Technology, Finance, Automotive, Technology, Finance, Travel, Business</v>
      </c>
    </row>
    <row r="32" spans="1:59">
      <c r="A32" s="101" t="s">
        <v>113</v>
      </c>
      <c r="B32" s="89" t="str">
        <f>Brand_Profile!$D$9</f>
        <v>Nusatech Cloud</v>
      </c>
      <c r="C32" s="89" t="str">
        <f>KOL_Database!$A$31</f>
        <v>KOL-27</v>
      </c>
      <c r="D32" s="89" t="str">
        <f>KOL_Database!$B$31</f>
        <v>Laras Ayu</v>
      </c>
      <c r="E32" s="89" t="str">
        <f>KOL_Database!$C$31</f>
        <v>@larasinterior</v>
      </c>
      <c r="F32" s="89" t="str">
        <f>KOL_Database!$D$31</f>
        <v>Instagram</v>
      </c>
      <c r="G32" s="89" t="str">
        <f>KOL_Database!$E$31</f>
        <v>Home &amp; Living</v>
      </c>
      <c r="H32" s="89" t="str">
        <f>KOL_Database!$G$31</f>
        <v>Micro</v>
      </c>
      <c r="I32" s="140">
        <f>KOL_Database!$J$31</f>
        <v>46000</v>
      </c>
      <c r="J32" s="141">
        <f>KOL_Database!$K$31</f>
        <v>4.4</v>
      </c>
      <c r="K32" s="142">
        <f>IFERROR(INDEX(Lookup_Lists!$B$170:$O$181,MATCH(Brand_Profile!$D$10,Lookup_Lists!$A$170:$A$181,0),MATCH(KOL_Database!$E$31,Lookup_Lists!$B$169:$O$169,0)),Lookup_Lists!$D$151)</f>
        <v>40</v>
      </c>
      <c r="L32" s="142">
        <f>IF(KOL_Database!$F$31="",Matching_Engine!$BC$32,IF(Brand_Profile!$D$12=KOL_Database!$F$31,100,IF(Matching_Engine!$BA$32=KOL_Database!$E$31,80,IF(Matching_Engine!$BC$32&gt;=80,60,IF(Matching_Engine!$BC$32&gt;=60,40,Lookup_Lists!$D$151)))))</f>
        <v>20</v>
      </c>
      <c r="M32" s="142">
        <f>ROUND((IF(Brand_Profile!$D$62=0,Lookup_Lists!$D$150,ROUND((IF(Brand_Profile!$D$57="",0,IF(ISNUMBER(SEARCH(Brand_Profile!$D$57,Matching_Engine!$BF$32)),1,0))+IF(Brand_Profile!$D$58="",0,IF(ISNUMBER(SEARCH(Brand_Profile!$D$58,Matching_Engine!$BF$32)),1,0))+IF(Brand_Profile!$D$59="",0,IF(ISNUMBER(SEARCH(Brand_Profile!$D$59,Matching_Engine!$BF$32)),1,0))+IF(Brand_Profile!$D$60="",0,IF(ISNUMBER(SEARCH(Brand_Profile!$D$60,Matching_Engine!$BF$32)),1,0))+IF(Brand_Profile!$D$61="",0,IF(ISNUMBER(SEARCH(Brand_Profile!$D$61,Matching_Engine!$BF$32)),1,0)))/Brand_Profile!$D$62*100,0))+IF(Brand_Profile!$D$74=0,Lookup_Lists!$D$150,ROUND((IF(Brand_Profile!$D$69="",0,IF(ISNUMBER(SEARCH(Brand_Profile!$D$69,Matching_Engine!$BF$32)),1,0))+IF(Brand_Profile!$D$70="",0,IF(ISNUMBER(SEARCH(Brand_Profile!$D$70,Matching_Engine!$BF$32)),1,0))+IF(Brand_Profile!$D$71="",0,IF(ISNUMBER(SEARCH(Brand_Profile!$D$71,Matching_Engine!$BF$32)),1,0))+IF(Brand_Profile!$D$72="",0,IF(ISNUMBER(SEARCH(Brand_Profile!$D$72,Matching_Engine!$BF$32)),1,0))+IF(Brand_Profile!$D$73="",0,IF(ISNUMBER(SEARCH(Brand_Profile!$D$73,Matching_Engine!$BF$32)),1,0)))/Brand_Profile!$D$74*100,0)))/2,0)</f>
        <v>0</v>
      </c>
      <c r="N32" s="142">
        <f>ROUND((Matching_Engine!$K$32*Lookup_Lists!$D$110+Matching_Engine!$L$32*Lookup_Lists!$D$111+Matching_Engine!$M$32*Lookup_Lists!$D$112)/(Lookup_Lists!$D$110+Lookup_Lists!$D$111+Lookup_Lists!$D$112),0)</f>
        <v>22</v>
      </c>
      <c r="O32" s="142">
        <f ca="1">IF(Brand_Profile!$D$16="",Lookup_Lists!$D$150,MIN(100,ROUND((IFERROR(INDEX(KOL_Database!$W$31:KOL_Database!$AA$31,1,MATCH(Brand_Profile!$D$16,Lookup_Lists!$F$6:$F$10,0)),0)+0.5*IFERROR(INDEX(KOL_Database!$W$31:KOL_Database!$AA$31,1,MATCH(Brand_Profile!$D$17,Lookup_Lists!$F$6:$F$10,0)),0))/Lookup_Lists!$D$142*100,0)))</f>
        <v>100</v>
      </c>
      <c r="P32" s="142">
        <f>IF(OR(Brand_Profile!$D$18="",Brand_Profile!$D$18="Any"),100,IF(Brand_Profile!$D$18="Female",MIN(100,ROUND(KOL_Database!$AB$31/Lookup_Lists!$D$143*100,0)),IF(Brand_Profile!$D$18="Male",MIN(100,ROUND(KOL_Database!$AC$31/Lookup_Lists!$D$143*100,0)),MAX(0,ROUND(100-ABS(KOL_Database!$AB$31-50)*2,0)))))</f>
        <v>100</v>
      </c>
      <c r="Q32" s="142">
        <f>ROUND((IF(Brand_Profile!$D$19="",100,IF(KOL_Database!$AD$31=Brand_Profile!$D$19,100,Lookup_Lists!$D$151))*Lookup_Lists!$D$118+IF(OR(Brand_Profile!$D$20="",Brand_Profile!$D$20="Nasional"),100,IF(KOL_Database!$AE$31="",Lookup_Lists!$D$150,IF(KOL_Database!$AE$31=Brand_Profile!$D$20,100,IF(KOL_Database!$AD$31=Brand_Profile!$D$19,40,Lookup_Lists!$D$151))))*Lookup_Lists!$D$119+IF(OR(Brand_Profile!$D$21="",Brand_Profile!$D$21="Nasional"),100,IF(KOL_Database!$AF$31="",Lookup_Lists!$D$150,IF(KOL_Database!$AF$31=Brand_Profile!$D$21,100,IF(KOL_Database!$AE$31=Brand_Profile!$D$20,60,Lookup_Lists!$D$151))))*Lookup_Lists!$D$120)/(Lookup_Lists!$D$118+Lookup_Lists!$D$119+Lookup_Lists!$D$120),0)</f>
        <v>65</v>
      </c>
      <c r="R32" s="142">
        <f>IF(Brand_Profile!$D$68=0,Lookup_Lists!$D$150,ROUND((IF(Brand_Profile!$D$63="",0,IF(ISNUMBER(SEARCH(Brand_Profile!$D$63,KOL_Database!$AG$31)),1,0))+IF(Brand_Profile!$D$64="",0,IF(ISNUMBER(SEARCH(Brand_Profile!$D$64,KOL_Database!$AG$31)),1,0))+IF(Brand_Profile!$D$65="",0,IF(ISNUMBER(SEARCH(Brand_Profile!$D$65,KOL_Database!$AG$31)),1,0))+IF(Brand_Profile!$D$66="",0,IF(ISNUMBER(SEARCH(Brand_Profile!$D$66,KOL_Database!$AG$31)),1,0))+IF(Brand_Profile!$D$67="",0,IF(ISNUMBER(SEARCH(Brand_Profile!$D$67,KOL_Database!$AG$31)),1,0)))/Brand_Profile!$D$68*100,0))</f>
        <v>0</v>
      </c>
      <c r="S32" s="142">
        <f ca="1">ROUND((Matching_Engine!$O$32*Brand_Profile!$D$96+Matching_Engine!$P$32*Brand_Profile!$D$97+Matching_Engine!$Q$32*Brand_Profile!$D$98+Matching_Engine!$R$32*Brand_Profile!$D$99)/MAX(1,Brand_Profile!$D$96+Brand_Profile!$D$97+Brand_Profile!$D$98+Brand_Profile!$D$99),0)</f>
        <v>49</v>
      </c>
      <c r="T32" s="142">
        <f>IF(Brand_Profile!$D$33="",Lookup_Lists!$D$150,Matching_Engine!$BD$32)</f>
        <v>20</v>
      </c>
      <c r="U32" s="142">
        <f>IF(Brand_Profile!$D$34="",Lookup_Lists!$D$150,IF(Brand_Profile!$D$34=KOL_Database!$F$31,100,IF(Matching_Engine!$BE$32=KOL_Database!$E$31,75,IF(Matching_Engine!$BD$32&gt;=80,Lookup_Lists!$D$150,IF(Matching_Engine!$BD$32&gt;=60,35,Lookup_Lists!$D$151)))))</f>
        <v>20</v>
      </c>
      <c r="V32" s="142">
        <f>IF(Brand_Profile!$D$86=0,Lookup_Lists!$D$150,ROUND((IF(Brand_Profile!$D$81="",0,IF(ISNUMBER(SEARCH(Brand_Profile!$D$81,Matching_Engine!$BG$32)),1,0))+IF(Brand_Profile!$D$82="",0,IF(ISNUMBER(SEARCH(Brand_Profile!$D$82,Matching_Engine!$BG$32)),1,0))+IF(Brand_Profile!$D$83="",0,IF(ISNUMBER(SEARCH(Brand_Profile!$D$83,Matching_Engine!$BG$32)),1,0))+IF(Brand_Profile!$D$84="",0,IF(ISNUMBER(SEARCH(Brand_Profile!$D$84,Matching_Engine!$BG$32)),1,0))+IF(Brand_Profile!$D$85="",0,IF(ISNUMBER(SEARCH(Brand_Profile!$D$85,Matching_Engine!$BG$32)),1,0)))/Brand_Profile!$D$86*100,0))</f>
        <v>0</v>
      </c>
      <c r="W32" s="142">
        <f>IF(Brand_Profile!$D$39="",Lookup_Lists!$D$150,IFERROR(INDEX(Lookup_Lists!$B$237:$K$246,MATCH(Brand_Profile!$D$39,Lookup_Lists!$A$237:$A$246,0),MATCH(KOL_Database!$AJ$31,Lookup_Lists!$B$236:$K$236,0)),45))</f>
        <v>45</v>
      </c>
      <c r="X32" s="142">
        <f>ROUND((Matching_Engine!$T$32*Lookup_Lists!$D$121+Matching_Engine!$U$32*Lookup_Lists!$D$122+Matching_Engine!$V$32*Lookup_Lists!$D$123+Matching_Engine!$W$32*Lookup_Lists!$D$124)/(Lookup_Lists!$D$121+Lookup_Lists!$D$122+Lookup_Lists!$D$123+Lookup_Lists!$D$124),0)</f>
        <v>19</v>
      </c>
      <c r="Y32" s="142">
        <f>MIN(100,MAX(IFERROR(INDEX(Lookup_Lists!$B$202:$M$211,MATCH(Brand_Profile!$D$25,Lookup_Lists!$A$202:$A$211,0),MATCH(KOL_Database!$AK$31,Lookup_Lists!$B$201:$M$201,0)),40),IF(KOL_Database!$AK$31=Brand_Profile!$D$41,95,0)))</f>
        <v>60</v>
      </c>
      <c r="Z32" s="142">
        <f>IFERROR(INDEX(Lookup_Lists!$B$215:$K$222,MATCH(Brand_Profile!$D$27,Lookup_Lists!$A$215:$A$222,0),MATCH(KOL_Database!$AJ$31,Lookup_Lists!$B$214:$K$214,0)),45)</f>
        <v>50</v>
      </c>
      <c r="AA32" s="142">
        <f>ROUND((IF(Brand_Profile!$D$80=0,Lookup_Lists!$D$150,ROUND((IF(Brand_Profile!$D$75="",0,IF(ISNUMBER(SEARCH(Brand_Profile!$D$75,KOL_Database!$AL$31)),1,0))+IF(Brand_Profile!$D$76="",0,IF(ISNUMBER(SEARCH(Brand_Profile!$D$76,KOL_Database!$AL$31)),1,0))+IF(Brand_Profile!$D$77="",0,IF(ISNUMBER(SEARCH(Brand_Profile!$D$77,KOL_Database!$AL$31)),1,0))+IF(Brand_Profile!$D$78="",0,IF(ISNUMBER(SEARCH(Brand_Profile!$D$78,KOL_Database!$AL$31)),1,0))+IF(Brand_Profile!$D$79="",0,IF(ISNUMBER(SEARCH(Brand_Profile!$D$79,KOL_Database!$AL$31)),1,0)))/Brand_Profile!$D$80*100,0))+IF(Brand_Profile!$D$92=0,Lookup_Lists!$D$150,ROUND((IF(Brand_Profile!$D$87="",0,IF(ISNUMBER(SEARCH(Brand_Profile!$D$87,KOL_Database!$AL$31)),1,0))+IF(Brand_Profile!$D$88="",0,IF(ISNUMBER(SEARCH(Brand_Profile!$D$88,KOL_Database!$AL$31)),1,0))+IF(Brand_Profile!$D$89="",0,IF(ISNUMBER(SEARCH(Brand_Profile!$D$89,KOL_Database!$AL$31)),1,0))+IF(Brand_Profile!$D$90="",0,IF(ISNUMBER(SEARCH(Brand_Profile!$D$90,KOL_Database!$AL$31)),1,0))+IF(Brand_Profile!$D$91="",0,IF(ISNUMBER(SEARCH(Brand_Profile!$D$91,KOL_Database!$AL$31)),1,0)))/Brand_Profile!$D$92*100,0)))/2,0)</f>
        <v>20</v>
      </c>
      <c r="AB32" s="142">
        <f>IFERROR(INDEX(Lookup_Lists!$B$226:$K$233,MATCH(Brand_Profile!$D$30,Lookup_Lists!$A$226:$A$233,0),MATCH(KOL_Database!$AJ$31,Lookup_Lists!$B$225:$K$225,0)),45)</f>
        <v>45</v>
      </c>
      <c r="AC32" s="142">
        <f>ROUND((Matching_Engine!$Y$32*Lookup_Lists!$D$125+Matching_Engine!$Z$32*Lookup_Lists!$D$126+Matching_Engine!$AA$32*Lookup_Lists!$D$127+Matching_Engine!$AB$32*Lookup_Lists!$D$128)/(Lookup_Lists!$D$125+Lookup_Lists!$D$126+Lookup_Lists!$D$127+Lookup_Lists!$D$128),0)</f>
        <v>45</v>
      </c>
      <c r="AD32" s="142">
        <f>IF(KOL_Database!$K$31="",0,MIN(100,ROUND(KOL_Database!$K$31/Lookup_Lists!$D$141*100,0)))</f>
        <v>73</v>
      </c>
      <c r="AE32" s="142">
        <f>IF(KOL_Database!$R$31="",0,MIN(100,MAX(0,KOL_Database!$R$31)))</f>
        <v>88</v>
      </c>
      <c r="AF32" s="142">
        <f>IF(KOL_Database!$P$31="",0,MIN(100,MAX(0,KOL_Database!$P$31)))</f>
        <v>52</v>
      </c>
      <c r="AG32" s="142">
        <f>IF(KOL_Database!$Q$31="",0,MIN(100,MAX(0,KOL_Database!$Q$31)))</f>
        <v>49</v>
      </c>
      <c r="AH32" s="142">
        <f>IF(OR(KOL_Database!$J$31="",KOL_Database!$J$31=0,KOL_Database!$L$31=""),0,MIN(100,ROUND(KOL_Database!$L$31/KOL_Database!$J$31/Lookup_Lists!$D$144*100,0)))</f>
        <v>73</v>
      </c>
      <c r="AI32" s="142">
        <f>IF(KOL_Database!$N$31="",0,MIN(100,MAX(0,ROUND((KOL_Database!$N$31+2)/(Lookup_Lists!$D$145+2)*100,0))))</f>
        <v>54</v>
      </c>
      <c r="AJ32" s="142">
        <f>ROUND((Matching_Engine!$AD$32*Lookup_Lists!$D$129+Matching_Engine!$AE$32*Lookup_Lists!$D$130+Matching_Engine!$AF$32*Lookup_Lists!$D$131+Matching_Engine!$AG$32*Lookup_Lists!$D$132+Matching_Engine!$AH$32*Lookup_Lists!$D$133+Matching_Engine!$AI$32*Lookup_Lists!$D$134)/(Lookup_Lists!$D$129+Lookup_Lists!$D$130+Lookup_Lists!$D$131+Lookup_Lists!$D$132+Lookup_Lists!$D$133+Lookup_Lists!$D$134),0)</f>
        <v>68</v>
      </c>
      <c r="AK32" s="142">
        <f>IF(KOL_Database!$AT$31="",0,MIN(100,MAX(0,KOL_Database!$AT$31)))</f>
        <v>92</v>
      </c>
      <c r="AL32" s="142">
        <f>IF(KOL_Database!$AU$31="",0,KOL_Database!$AU$31)</f>
        <v>64</v>
      </c>
      <c r="AM32" s="89" t="str">
        <f>IF(KOL_Database!$AV$31="","None",KOL_Database!$AV$31)</f>
        <v>None</v>
      </c>
      <c r="AN32" s="143">
        <f>IF(Matching_Engine!$AM$32="High",Lookup_Lists!$D$137,IF(Matching_Engine!$AM$32="Medium",Lookup_Lists!$D$138,IF(Matching_Engine!$AM$32="Low",Lookup_Lists!$D$139,Lookup_Lists!$D$140)))</f>
        <v>1</v>
      </c>
      <c r="AO32" s="142">
        <f>ROUND(MIN(100,MAX(0,(Matching_Engine!$AK$32*Lookup_Lists!$D$135+(100-Matching_Engine!$AL$32)*Lookup_Lists!$D$136)/(Lookup_Lists!$D$135+Lookup_Lists!$D$136)*Matching_Engine!$AN$32)),0)</f>
        <v>81</v>
      </c>
      <c r="AP32" s="13">
        <f ca="1">ROUND((Matching_Engine!$N$32*Lookup_Lists!$D$104+Matching_Engine!$S$32*Lookup_Lists!$D$105+Matching_Engine!$X$32*Lookup_Lists!$D$106+Matching_Engine!$AC$32*Lookup_Lists!$D$107+Matching_Engine!$AJ$32*Lookup_Lists!$D$108+Matching_Engine!$AO$32*Lookup_Lists!$D$109)/MAX(1,(Lookup_Lists!$D$104+Lookup_Lists!$D$105+Lookup_Lists!$D$106+Lookup_Lists!$D$107+Lookup_Lists!$D$108+Lookup_Lists!$D$109)),0)</f>
        <v>42</v>
      </c>
      <c r="AQ32" s="89" t="str">
        <f ca="1">IF(Matching_Engine!$AP$32&gt;=Lookup_Lists!$D$152,"Excellent Match",IF(Matching_Engine!$AP$32&gt;=Lookup_Lists!$D$153,"Strong Match",IF(Matching_Engine!$AP$32&gt;=Lookup_Lists!$D$154,"Good Match",IF(Matching_Engine!$AP$32&gt;=Lookup_Lists!$D$155,"Moderate Match","Low Match"))))</f>
        <v>Low Match</v>
      </c>
      <c r="AR32" s="142">
        <f>KOL_Database!$BE$31</f>
        <v>92</v>
      </c>
      <c r="AS32" s="89" t="str">
        <f>IF(Matching_Engine!$AR$32&gt;=Lookup_Lists!$D$159,"High",IF(Matching_Engine!$AR$32&gt;=Lookup_Lists!$D$160,"Medium","Limited Data"))</f>
        <v>Medium</v>
      </c>
      <c r="AT32" s="142">
        <f>ROUND((Matching_Engine!$N$32+Matching_Engine!$X$32+Matching_Engine!$AC$32)/3,0)</f>
        <v>29</v>
      </c>
      <c r="AU32" s="142">
        <f>ROUND(((100-Matching_Engine!$AL$32)*Lookup_Lists!$D$162+IF(KOL_Database!$BD$31="",Lookup_Lists!$D$150,KOL_Database!$BD$31)*Lookup_Lists!$D$163+Matching_Engine!$AI$32*Lookup_Lists!$D$164+Matching_Engine!$AD$32*Lookup_Lists!$D$165)/(Lookup_Lists!$D$162+Lookup_Lists!$D$163+Lookup_Lists!$D$164+Lookup_Lists!$D$165),0)</f>
        <v>50</v>
      </c>
      <c r="AV32" s="89" t="str">
        <f ca="1">IF(Matching_Engine!$AW$32="","PASS","EXCLUDED")</f>
        <v>PASS</v>
      </c>
      <c r="AW32" s="89" t="str">
        <f ca="1">IF(ISERROR(SEARCH(KOL_Database!$D$31,Brand_Profile!$D$32)),"Platform not in Preferred Platform",IF(AND(Brand_Profile!$D$36&gt;0,KOL_Database!$J$31&lt;Brand_Profile!$D$36),"Followers below Preferred Follower Range",IF(AND(Brand_Profile!$D$37&gt;0,KOL_Database!$J$31&gt;Brand_Profile!$D$37),"Followers above Preferred Follower Range",IF(AND(Brand_Profile!$D$38&gt;0,IF(KOL_Database!$K$31="",0,KOL_Database!$K$31)&lt;Brand_Profile!$D$38),"Engagement Rate below Minimum Engagement Rate",IF(ISERROR(SEARCH(KOL_Database!$G$31,Brand_Profile!$D$35)),"Tier not in Preferred Tier",IF(AND(Brand_Profile!$D$43&gt;0,Matching_Engine!$AE$32&lt;Brand_Profile!$D$43),"Audience Quality below Minimum Audience Quality",IF(AND(Brand_Profile!$D$44&gt;0,Matching_Engine!$AK$32&lt;Brand_Profile!$D$44),"Brand Safety below Minimum Brand Safety",IF(AND(Brand_Profile!$D$47="Yes",KOL_Database!$AD$31&lt;&gt;Brand_Profile!$D$19),"Audience Country does not match Target Country",IF(AND(Brand_Profile!$D$46="Yes",KOL_Database!$E$31&lt;&gt;Brand_Profile!$D$33),"Category is not the Preferred Category",IF(AND(Brand_Profile!$D$48&gt;0,Matching_Engine!$AL$32&gt;Brand_Profile!$D$48),"Competitor Saturation above Max Competitor Saturation",IF(AND(Brand_Profile!$D$50="Yes",KOL_Database!$AW$31="Yes"),"Already Selected",IF(AND(Brand_Profile!$D$51="Yes",KOL_Database!$AX$31="Yes"),"Already in Cart",IF(AND(Brand_Profile!$D$52="Yes",KOL_Database!$AY$31="Yes"),"Existing Partner",IF(AND(Brand_Profile!$D$53="Yes",KOL_Database!$AZ$31="Yes"),"Excluded Creator",IF(AND(Brand_Profile!$D$49&gt;0,Matching_Engine!$AP$32&lt;Brand_Profile!$D$49),"Brand Match below Minimum Brand Match","")))))))))))))))</f>
        <v/>
      </c>
      <c r="AX32" s="89" t="str">
        <f ca="1">IF(Matching_Engine!$AV$32="EXCLUDED","Excluded",IF(Matching_Engine!$AP$32&gt;=Lookup_Lists!$D$156,"Highly Recommended",IF(Matching_Engine!$AP$32&gt;=Lookup_Lists!$D$157,"Recommended",IF(Matching_Engine!$AP$32&gt;=Lookup_Lists!$D$158,"Consider","Low Priority"))))</f>
        <v>Low Priority</v>
      </c>
      <c r="AY32" s="142">
        <f ca="1">IF(Matching_Engine!$AV$32="PASS",Matching_Engine!$AP$32,"")</f>
        <v>42</v>
      </c>
      <c r="AZ32" s="89" t="str">
        <f>Matching_Engine!$A$32&amp;"|"&amp;Matching_Engine!$C$32</f>
        <v>BRAND-A|KOL-27</v>
      </c>
      <c r="BA32" s="89" t="str">
        <f>IFERROR(INDEX(Lookup_Lists!$B$51:$B$92,MATCH(Brand_Profile!$D$12,Lookup_Lists!$A$51:$A$92,0)),"")</f>
        <v>Tech</v>
      </c>
      <c r="BB32" s="89" t="str">
        <f>IFERROR(INDEX(Lookup_Lists!$B$51:$B$92,MATCH(KOL_Database!$F$31,Lookup_Lists!$A$51:$A$92,0)),"")</f>
        <v>Home &amp; Living</v>
      </c>
      <c r="BC32" s="142">
        <f>IFERROR(INDEX(Lookup_Lists!$B$185:$O$198,MATCH(Matching_Engine!$BA$32,Lookup_Lists!$A$185:$A$198,0),MATCH(KOL_Database!$E$31,Lookup_Lists!$B$184:$O$184,0)),Lookup_Lists!$D$151)</f>
        <v>20</v>
      </c>
      <c r="BD32" s="142">
        <f>IFERROR(INDEX(Lookup_Lists!$B$185:$O$198,MATCH(Brand_Profile!$D$33,Lookup_Lists!$A$185:$A$198,0),MATCH(KOL_Database!$E$31,Lookup_Lists!$B$184:$O$184,0)),Lookup_Lists!$D$151)</f>
        <v>20</v>
      </c>
      <c r="BE32" s="89" t="str">
        <f>IFERROR(INDEX(Lookup_Lists!$B$51:$B$92,MATCH(Brand_Profile!$D$34,Lookup_Lists!$A$51:$A$92,0)),"")</f>
        <v>Tech</v>
      </c>
      <c r="BF32" s="89" t="str">
        <f>KOL_Database!$AI$31&amp;", "&amp;KOL_Database!$AG$31&amp;", "&amp;KOL_Database!$F$31&amp;", "&amp;KOL_Database!$E$31</f>
        <v>Home Decor, Shopping, Parenting, Home Decor, Shopping, Parenting, Food, Fashion, Interior, Home &amp; Living</v>
      </c>
      <c r="BG32" s="89" t="str">
        <f>KOL_Database!$AI$31&amp;", "&amp;KOL_Database!$AG$31</f>
        <v>Home Decor, Shopping, Parenting, Home Decor, Shopping, Parenting, Food, Fashion</v>
      </c>
    </row>
    <row r="33" spans="1:59">
      <c r="A33" s="101" t="s">
        <v>113</v>
      </c>
      <c r="B33" s="89" t="str">
        <f>Brand_Profile!$D$9</f>
        <v>Nusatech Cloud</v>
      </c>
      <c r="C33" s="89" t="str">
        <f>KOL_Database!$A$32</f>
        <v>KOL-28</v>
      </c>
      <c r="D33" s="89" t="str">
        <f>KOL_Database!$B$32</f>
        <v>Tiara Nisrina</v>
      </c>
      <c r="E33" s="89" t="str">
        <f>KOL_Database!$C$32</f>
        <v>@tiararapihin</v>
      </c>
      <c r="F33" s="89" t="str">
        <f>KOL_Database!$D$32</f>
        <v>TikTok</v>
      </c>
      <c r="G33" s="89" t="str">
        <f>KOL_Database!$E$32</f>
        <v>Home &amp; Living</v>
      </c>
      <c r="H33" s="89" t="str">
        <f>KOL_Database!$G$32</f>
        <v>Macro</v>
      </c>
      <c r="I33" s="140">
        <f>KOL_Database!$J$32</f>
        <v>118000</v>
      </c>
      <c r="J33" s="141">
        <f>KOL_Database!$K$32</f>
        <v>6.1</v>
      </c>
      <c r="K33" s="142">
        <f>IFERROR(INDEX(Lookup_Lists!$B$170:$O$181,MATCH(Brand_Profile!$D$10,Lookup_Lists!$A$170:$A$181,0),MATCH(KOL_Database!$E$32,Lookup_Lists!$B$169:$O$169,0)),Lookup_Lists!$D$151)</f>
        <v>40</v>
      </c>
      <c r="L33" s="142">
        <f>IF(KOL_Database!$F$32="",Matching_Engine!$BC$33,IF(Brand_Profile!$D$12=KOL_Database!$F$32,100,IF(Matching_Engine!$BA$33=KOL_Database!$E$32,80,IF(Matching_Engine!$BC$33&gt;=80,60,IF(Matching_Engine!$BC$33&gt;=60,40,Lookup_Lists!$D$151)))))</f>
        <v>20</v>
      </c>
      <c r="M33" s="142">
        <f>ROUND((IF(Brand_Profile!$D$62=0,Lookup_Lists!$D$150,ROUND((IF(Brand_Profile!$D$57="",0,IF(ISNUMBER(SEARCH(Brand_Profile!$D$57,Matching_Engine!$BF$33)),1,0))+IF(Brand_Profile!$D$58="",0,IF(ISNUMBER(SEARCH(Brand_Profile!$D$58,Matching_Engine!$BF$33)),1,0))+IF(Brand_Profile!$D$59="",0,IF(ISNUMBER(SEARCH(Brand_Profile!$D$59,Matching_Engine!$BF$33)),1,0))+IF(Brand_Profile!$D$60="",0,IF(ISNUMBER(SEARCH(Brand_Profile!$D$60,Matching_Engine!$BF$33)),1,0))+IF(Brand_Profile!$D$61="",0,IF(ISNUMBER(SEARCH(Brand_Profile!$D$61,Matching_Engine!$BF$33)),1,0)))/Brand_Profile!$D$62*100,0))+IF(Brand_Profile!$D$74=0,Lookup_Lists!$D$150,ROUND((IF(Brand_Profile!$D$69="",0,IF(ISNUMBER(SEARCH(Brand_Profile!$D$69,Matching_Engine!$BF$33)),1,0))+IF(Brand_Profile!$D$70="",0,IF(ISNUMBER(SEARCH(Brand_Profile!$D$70,Matching_Engine!$BF$33)),1,0))+IF(Brand_Profile!$D$71="",0,IF(ISNUMBER(SEARCH(Brand_Profile!$D$71,Matching_Engine!$BF$33)),1,0))+IF(Brand_Profile!$D$72="",0,IF(ISNUMBER(SEARCH(Brand_Profile!$D$72,Matching_Engine!$BF$33)),1,0))+IF(Brand_Profile!$D$73="",0,IF(ISNUMBER(SEARCH(Brand_Profile!$D$73,Matching_Engine!$BF$33)),1,0)))/Brand_Profile!$D$74*100,0)))/2,0)</f>
        <v>20</v>
      </c>
      <c r="N33" s="142">
        <f>ROUND((Matching_Engine!$K$33*Lookup_Lists!$D$110+Matching_Engine!$L$33*Lookup_Lists!$D$111+Matching_Engine!$M$33*Lookup_Lists!$D$112)/(Lookup_Lists!$D$110+Lookup_Lists!$D$111+Lookup_Lists!$D$112),0)</f>
        <v>28</v>
      </c>
      <c r="O33" s="142">
        <f ca="1">IF(Brand_Profile!$D$16="",Lookup_Lists!$D$150,MIN(100,ROUND((IFERROR(INDEX(KOL_Database!$W$32:KOL_Database!$AA$32,1,MATCH(Brand_Profile!$D$16,Lookup_Lists!$F$6:$F$10,0)),0)+0.5*IFERROR(INDEX(KOL_Database!$W$32:KOL_Database!$AA$32,1,MATCH(Brand_Profile!$D$17,Lookup_Lists!$F$6:$F$10,0)),0))/Lookup_Lists!$D$142*100,0)))</f>
        <v>100</v>
      </c>
      <c r="P33" s="142">
        <f>IF(OR(Brand_Profile!$D$18="",Brand_Profile!$D$18="Any"),100,IF(Brand_Profile!$D$18="Female",MIN(100,ROUND(KOL_Database!$AB$32/Lookup_Lists!$D$143*100,0)),IF(Brand_Profile!$D$18="Male",MIN(100,ROUND(KOL_Database!$AC$32/Lookup_Lists!$D$143*100,0)),MAX(0,ROUND(100-ABS(KOL_Database!$AB$32-50)*2,0)))))</f>
        <v>100</v>
      </c>
      <c r="Q33" s="142">
        <f>ROUND((IF(Brand_Profile!$D$19="",100,IF(KOL_Database!$AD$32=Brand_Profile!$D$19,100,Lookup_Lists!$D$151))*Lookup_Lists!$D$118+IF(OR(Brand_Profile!$D$20="",Brand_Profile!$D$20="Nasional"),100,IF(KOL_Database!$AE$32="",Lookup_Lists!$D$150,IF(KOL_Database!$AE$32=Brand_Profile!$D$20,100,IF(KOL_Database!$AD$32=Brand_Profile!$D$19,40,Lookup_Lists!$D$151))))*Lookup_Lists!$D$119+IF(OR(Brand_Profile!$D$21="",Brand_Profile!$D$21="Nasional"),100,IF(KOL_Database!$AF$32="",Lookup_Lists!$D$150,IF(KOL_Database!$AF$32=Brand_Profile!$D$21,100,IF(KOL_Database!$AE$32=Brand_Profile!$D$20,60,Lookup_Lists!$D$151))))*Lookup_Lists!$D$120)/(Lookup_Lists!$D$118+Lookup_Lists!$D$119+Lookup_Lists!$D$120),0)</f>
        <v>100</v>
      </c>
      <c r="R33" s="142">
        <f>IF(Brand_Profile!$D$68=0,Lookup_Lists!$D$150,ROUND((IF(Brand_Profile!$D$63="",0,IF(ISNUMBER(SEARCH(Brand_Profile!$D$63,KOL_Database!$AG$32)),1,0))+IF(Brand_Profile!$D$64="",0,IF(ISNUMBER(SEARCH(Brand_Profile!$D$64,KOL_Database!$AG$32)),1,0))+IF(Brand_Profile!$D$65="",0,IF(ISNUMBER(SEARCH(Brand_Profile!$D$65,KOL_Database!$AG$32)),1,0))+IF(Brand_Profile!$D$66="",0,IF(ISNUMBER(SEARCH(Brand_Profile!$D$66,KOL_Database!$AG$32)),1,0))+IF(Brand_Profile!$D$67="",0,IF(ISNUMBER(SEARCH(Brand_Profile!$D$67,KOL_Database!$AG$32)),1,0)))/Brand_Profile!$D$68*100,0))</f>
        <v>20</v>
      </c>
      <c r="S33" s="142">
        <f ca="1">ROUND((Matching_Engine!$O$33*Brand_Profile!$D$96+Matching_Engine!$P$33*Brand_Profile!$D$97+Matching_Engine!$Q$33*Brand_Profile!$D$98+Matching_Engine!$R$33*Brand_Profile!$D$99)/MAX(1,Brand_Profile!$D$96+Brand_Profile!$D$97+Brand_Profile!$D$98+Brand_Profile!$D$99),0)</f>
        <v>66</v>
      </c>
      <c r="T33" s="142">
        <f>IF(Brand_Profile!$D$33="",Lookup_Lists!$D$150,Matching_Engine!$BD$33)</f>
        <v>20</v>
      </c>
      <c r="U33" s="142">
        <f>IF(Brand_Profile!$D$34="",Lookup_Lists!$D$150,IF(Brand_Profile!$D$34=KOL_Database!$F$32,100,IF(Matching_Engine!$BE$33=KOL_Database!$E$32,75,IF(Matching_Engine!$BD$33&gt;=80,Lookup_Lists!$D$150,IF(Matching_Engine!$BD$33&gt;=60,35,Lookup_Lists!$D$151)))))</f>
        <v>20</v>
      </c>
      <c r="V33" s="142">
        <f>IF(Brand_Profile!$D$86=0,Lookup_Lists!$D$150,ROUND((IF(Brand_Profile!$D$81="",0,IF(ISNUMBER(SEARCH(Brand_Profile!$D$81,Matching_Engine!$BG$33)),1,0))+IF(Brand_Profile!$D$82="",0,IF(ISNUMBER(SEARCH(Brand_Profile!$D$82,Matching_Engine!$BG$33)),1,0))+IF(Brand_Profile!$D$83="",0,IF(ISNUMBER(SEARCH(Brand_Profile!$D$83,Matching_Engine!$BG$33)),1,0))+IF(Brand_Profile!$D$84="",0,IF(ISNUMBER(SEARCH(Brand_Profile!$D$84,Matching_Engine!$BG$33)),1,0))+IF(Brand_Profile!$D$85="",0,IF(ISNUMBER(SEARCH(Brand_Profile!$D$85,Matching_Engine!$BG$33)),1,0)))/Brand_Profile!$D$86*100,0))</f>
        <v>20</v>
      </c>
      <c r="W33" s="142">
        <f>IF(Brand_Profile!$D$39="",Lookup_Lists!$D$150,IFERROR(INDEX(Lookup_Lists!$B$237:$K$246,MATCH(Brand_Profile!$D$39,Lookup_Lists!$A$237:$A$246,0),MATCH(KOL_Database!$AJ$32,Lookup_Lists!$B$236:$K$236,0)),45))</f>
        <v>80</v>
      </c>
      <c r="X33" s="142">
        <f>ROUND((Matching_Engine!$T$33*Lookup_Lists!$D$121+Matching_Engine!$U$33*Lookup_Lists!$D$122+Matching_Engine!$V$33*Lookup_Lists!$D$123+Matching_Engine!$W$33*Lookup_Lists!$D$124)/(Lookup_Lists!$D$121+Lookup_Lists!$D$122+Lookup_Lists!$D$123+Lookup_Lists!$D$124),0)</f>
        <v>32</v>
      </c>
      <c r="Y33" s="142">
        <f>MIN(100,MAX(IFERROR(INDEX(Lookup_Lists!$B$202:$M$211,MATCH(Brand_Profile!$D$25,Lookup_Lists!$A$202:$A$211,0),MATCH(KOL_Database!$AK$32,Lookup_Lists!$B$201:$M$201,0)),40),IF(KOL_Database!$AK$32=Brand_Profile!$D$41,95,0)))</f>
        <v>50</v>
      </c>
      <c r="Z33" s="142">
        <f>IFERROR(INDEX(Lookup_Lists!$B$215:$K$222,MATCH(Brand_Profile!$D$27,Lookup_Lists!$A$215:$A$222,0),MATCH(KOL_Database!$AJ$32,Lookup_Lists!$B$214:$K$214,0)),45)</f>
        <v>95</v>
      </c>
      <c r="AA33" s="142">
        <f>ROUND((IF(Brand_Profile!$D$80=0,Lookup_Lists!$D$150,ROUND((IF(Brand_Profile!$D$75="",0,IF(ISNUMBER(SEARCH(Brand_Profile!$D$75,KOL_Database!$AL$32)),1,0))+IF(Brand_Profile!$D$76="",0,IF(ISNUMBER(SEARCH(Brand_Profile!$D$76,KOL_Database!$AL$32)),1,0))+IF(Brand_Profile!$D$77="",0,IF(ISNUMBER(SEARCH(Brand_Profile!$D$77,KOL_Database!$AL$32)),1,0))+IF(Brand_Profile!$D$78="",0,IF(ISNUMBER(SEARCH(Brand_Profile!$D$78,KOL_Database!$AL$32)),1,0))+IF(Brand_Profile!$D$79="",0,IF(ISNUMBER(SEARCH(Brand_Profile!$D$79,KOL_Database!$AL$32)),1,0)))/Brand_Profile!$D$80*100,0))+IF(Brand_Profile!$D$92=0,Lookup_Lists!$D$150,ROUND((IF(Brand_Profile!$D$87="",0,IF(ISNUMBER(SEARCH(Brand_Profile!$D$87,KOL_Database!$AL$32)),1,0))+IF(Brand_Profile!$D$88="",0,IF(ISNUMBER(SEARCH(Brand_Profile!$D$88,KOL_Database!$AL$32)),1,0))+IF(Brand_Profile!$D$89="",0,IF(ISNUMBER(SEARCH(Brand_Profile!$D$89,KOL_Database!$AL$32)),1,0))+IF(Brand_Profile!$D$90="",0,IF(ISNUMBER(SEARCH(Brand_Profile!$D$90,KOL_Database!$AL$32)),1,0))+IF(Brand_Profile!$D$91="",0,IF(ISNUMBER(SEARCH(Brand_Profile!$D$91,KOL_Database!$AL$32)),1,0)))/Brand_Profile!$D$92*100,0)))/2,0)</f>
        <v>20</v>
      </c>
      <c r="AB33" s="142">
        <f>IFERROR(INDEX(Lookup_Lists!$B$226:$K$233,MATCH(Brand_Profile!$D$30,Lookup_Lists!$A$226:$A$233,0),MATCH(KOL_Database!$AJ$32,Lookup_Lists!$B$225:$K$225,0)),45)</f>
        <v>95</v>
      </c>
      <c r="AC33" s="142">
        <f>ROUND((Matching_Engine!$Y$33*Lookup_Lists!$D$125+Matching_Engine!$Z$33*Lookup_Lists!$D$126+Matching_Engine!$AA$33*Lookup_Lists!$D$127+Matching_Engine!$AB$33*Lookup_Lists!$D$128)/(Lookup_Lists!$D$125+Lookup_Lists!$D$126+Lookup_Lists!$D$127+Lookup_Lists!$D$128),0)</f>
        <v>61</v>
      </c>
      <c r="AD33" s="142">
        <f>IF(KOL_Database!$K$32="",0,MIN(100,ROUND(KOL_Database!$K$32/Lookup_Lists!$D$141*100,0)))</f>
        <v>100</v>
      </c>
      <c r="AE33" s="142">
        <f>IF(KOL_Database!$R$32="",0,MIN(100,MAX(0,KOL_Database!$R$32)))</f>
        <v>81</v>
      </c>
      <c r="AF33" s="142">
        <f>IF(KOL_Database!$P$32="",0,MIN(100,MAX(0,KOL_Database!$P$32)))</f>
        <v>77</v>
      </c>
      <c r="AG33" s="142">
        <f>IF(KOL_Database!$Q$32="",0,MIN(100,MAX(0,KOL_Database!$Q$32)))</f>
        <v>75</v>
      </c>
      <c r="AH33" s="142">
        <f>IF(OR(KOL_Database!$J$32="",KOL_Database!$J$32=0,KOL_Database!$L$32=""),0,MIN(100,ROUND(KOL_Database!$L$32/KOL_Database!$J$32/Lookup_Lists!$D$144*100,0)))</f>
        <v>100</v>
      </c>
      <c r="AI33" s="142">
        <f>IF(KOL_Database!$N$32="",0,MIN(100,MAX(0,ROUND((KOL_Database!$N$32+2)/(Lookup_Lists!$D$145+2)*100,0))))</f>
        <v>60</v>
      </c>
      <c r="AJ33" s="142">
        <f>ROUND((Matching_Engine!$AD$33*Lookup_Lists!$D$129+Matching_Engine!$AE$33*Lookup_Lists!$D$130+Matching_Engine!$AF$33*Lookup_Lists!$D$131+Matching_Engine!$AG$33*Lookup_Lists!$D$132+Matching_Engine!$AH$33*Lookup_Lists!$D$133+Matching_Engine!$AI$33*Lookup_Lists!$D$134)/(Lookup_Lists!$D$129+Lookup_Lists!$D$130+Lookup_Lists!$D$131+Lookup_Lists!$D$132+Lookup_Lists!$D$133+Lookup_Lists!$D$134),0)</f>
        <v>87</v>
      </c>
      <c r="AK33" s="142">
        <f>IF(KOL_Database!$AT$32="",0,MIN(100,MAX(0,KOL_Database!$AT$32)))</f>
        <v>85</v>
      </c>
      <c r="AL33" s="142">
        <f>IF(KOL_Database!$AU$32="",0,KOL_Database!$AU$32)</f>
        <v>42</v>
      </c>
      <c r="AM33" s="89" t="str">
        <f>IF(KOL_Database!$AV$32="","None",KOL_Database!$AV$32)</f>
        <v>None</v>
      </c>
      <c r="AN33" s="143">
        <f>IF(Matching_Engine!$AM$33="High",Lookup_Lists!$D$137,IF(Matching_Engine!$AM$33="Medium",Lookup_Lists!$D$138,IF(Matching_Engine!$AM$33="Low",Lookup_Lists!$D$139,Lookup_Lists!$D$140)))</f>
        <v>1</v>
      </c>
      <c r="AO33" s="142">
        <f>ROUND(MIN(100,MAX(0,(Matching_Engine!$AK$33*Lookup_Lists!$D$135+(100-Matching_Engine!$AL$33)*Lookup_Lists!$D$136)/(Lookup_Lists!$D$135+Lookup_Lists!$D$136)*Matching_Engine!$AN$33)),0)</f>
        <v>80</v>
      </c>
      <c r="AP33" s="13">
        <f ca="1">ROUND((Matching_Engine!$N$33*Lookup_Lists!$D$104+Matching_Engine!$S$33*Lookup_Lists!$D$105+Matching_Engine!$X$33*Lookup_Lists!$D$106+Matching_Engine!$AC$33*Lookup_Lists!$D$107+Matching_Engine!$AJ$33*Lookup_Lists!$D$108+Matching_Engine!$AO$33*Lookup_Lists!$D$109)/MAX(1,(Lookup_Lists!$D$104+Lookup_Lists!$D$105+Lookup_Lists!$D$106+Lookup_Lists!$D$107+Lookup_Lists!$D$108+Lookup_Lists!$D$109)),0)</f>
        <v>55</v>
      </c>
      <c r="AQ33" s="89" t="str">
        <f ca="1">IF(Matching_Engine!$AP$33&gt;=Lookup_Lists!$D$152,"Excellent Match",IF(Matching_Engine!$AP$33&gt;=Lookup_Lists!$D$153,"Strong Match",IF(Matching_Engine!$AP$33&gt;=Lookup_Lists!$D$154,"Good Match",IF(Matching_Engine!$AP$33&gt;=Lookup_Lists!$D$155,"Moderate Match","Low Match"))))</f>
        <v>Low Match</v>
      </c>
      <c r="AR33" s="142">
        <f>KOL_Database!$BE$32</f>
        <v>100</v>
      </c>
      <c r="AS33" s="89" t="str">
        <f>IF(Matching_Engine!$AR$33&gt;=Lookup_Lists!$D$159,"High",IF(Matching_Engine!$AR$33&gt;=Lookup_Lists!$D$160,"Medium","Limited Data"))</f>
        <v>High</v>
      </c>
      <c r="AT33" s="142">
        <f>ROUND((Matching_Engine!$N$33+Matching_Engine!$X$33+Matching_Engine!$AC$33)/3,0)</f>
        <v>40</v>
      </c>
      <c r="AU33" s="142">
        <f>ROUND(((100-Matching_Engine!$AL$33)*Lookup_Lists!$D$162+IF(KOL_Database!$BD$32="",Lookup_Lists!$D$150,KOL_Database!$BD$32)*Lookup_Lists!$D$163+Matching_Engine!$AI$33*Lookup_Lists!$D$164+Matching_Engine!$AD$33*Lookup_Lists!$D$165)/(Lookup_Lists!$D$162+Lookup_Lists!$D$163+Lookup_Lists!$D$164+Lookup_Lists!$D$165),0)</f>
        <v>75</v>
      </c>
      <c r="AV33" s="89" t="str">
        <f ca="1">IF(Matching_Engine!$AW$33="","PASS","EXCLUDED")</f>
        <v>PASS</v>
      </c>
      <c r="AW33" s="89" t="str">
        <f ca="1">IF(ISERROR(SEARCH(KOL_Database!$D$32,Brand_Profile!$D$32)),"Platform not in Preferred Platform",IF(AND(Brand_Profile!$D$36&gt;0,KOL_Database!$J$32&lt;Brand_Profile!$D$36),"Followers below Preferred Follower Range",IF(AND(Brand_Profile!$D$37&gt;0,KOL_Database!$J$32&gt;Brand_Profile!$D$37),"Followers above Preferred Follower Range",IF(AND(Brand_Profile!$D$38&gt;0,IF(KOL_Database!$K$32="",0,KOL_Database!$K$32)&lt;Brand_Profile!$D$38),"Engagement Rate below Minimum Engagement Rate",IF(ISERROR(SEARCH(KOL_Database!$G$32,Brand_Profile!$D$35)),"Tier not in Preferred Tier",IF(AND(Brand_Profile!$D$43&gt;0,Matching_Engine!$AE$33&lt;Brand_Profile!$D$43),"Audience Quality below Minimum Audience Quality",IF(AND(Brand_Profile!$D$44&gt;0,Matching_Engine!$AK$33&lt;Brand_Profile!$D$44),"Brand Safety below Minimum Brand Safety",IF(AND(Brand_Profile!$D$47="Yes",KOL_Database!$AD$32&lt;&gt;Brand_Profile!$D$19),"Audience Country does not match Target Country",IF(AND(Brand_Profile!$D$46="Yes",KOL_Database!$E$32&lt;&gt;Brand_Profile!$D$33),"Category is not the Preferred Category",IF(AND(Brand_Profile!$D$48&gt;0,Matching_Engine!$AL$33&gt;Brand_Profile!$D$48),"Competitor Saturation above Max Competitor Saturation",IF(AND(Brand_Profile!$D$50="Yes",KOL_Database!$AW$32="Yes"),"Already Selected",IF(AND(Brand_Profile!$D$51="Yes",KOL_Database!$AX$32="Yes"),"Already in Cart",IF(AND(Brand_Profile!$D$52="Yes",KOL_Database!$AY$32="Yes"),"Existing Partner",IF(AND(Brand_Profile!$D$53="Yes",KOL_Database!$AZ$32="Yes"),"Excluded Creator",IF(AND(Brand_Profile!$D$49&gt;0,Matching_Engine!$AP$33&lt;Brand_Profile!$D$49),"Brand Match below Minimum Brand Match","")))))))))))))))</f>
        <v/>
      </c>
      <c r="AX33" s="89" t="str">
        <f ca="1">IF(Matching_Engine!$AV$33="EXCLUDED","Excluded",IF(Matching_Engine!$AP$33&gt;=Lookup_Lists!$D$156,"Highly Recommended",IF(Matching_Engine!$AP$33&gt;=Lookup_Lists!$D$157,"Recommended",IF(Matching_Engine!$AP$33&gt;=Lookup_Lists!$D$158,"Consider","Low Priority"))))</f>
        <v>Low Priority</v>
      </c>
      <c r="AY33" s="142">
        <f ca="1">IF(Matching_Engine!$AV$33="PASS",Matching_Engine!$AP$33,"")</f>
        <v>55</v>
      </c>
      <c r="AZ33" s="89" t="str">
        <f>Matching_Engine!$A$33&amp;"|"&amp;Matching_Engine!$C$33</f>
        <v>BRAND-A|KOL-28</v>
      </c>
      <c r="BA33" s="89" t="str">
        <f>IFERROR(INDEX(Lookup_Lists!$B$51:$B$92,MATCH(Brand_Profile!$D$12,Lookup_Lists!$A$51:$A$92,0)),"")</f>
        <v>Tech</v>
      </c>
      <c r="BB33" s="89" t="str">
        <f>IFERROR(INDEX(Lookup_Lists!$B$51:$B$92,MATCH(KOL_Database!$F$32,Lookup_Lists!$A$51:$A$92,0)),"")</f>
        <v>Home &amp; Living</v>
      </c>
      <c r="BC33" s="142">
        <f>IFERROR(INDEX(Lookup_Lists!$B$185:$O$198,MATCH(Matching_Engine!$BA$33,Lookup_Lists!$A$185:$A$198,0),MATCH(KOL_Database!$E$32,Lookup_Lists!$B$184:$O$184,0)),Lookup_Lists!$D$151)</f>
        <v>20</v>
      </c>
      <c r="BD33" s="142">
        <f>IFERROR(INDEX(Lookup_Lists!$B$185:$O$198,MATCH(Brand_Profile!$D$33,Lookup_Lists!$A$185:$A$198,0),MATCH(KOL_Database!$E$32,Lookup_Lists!$B$184:$O$184,0)),Lookup_Lists!$D$151)</f>
        <v>20</v>
      </c>
      <c r="BE33" s="89" t="str">
        <f>IFERROR(INDEX(Lookup_Lists!$B$51:$B$92,MATCH(Brand_Profile!$D$34,Lookup_Lists!$A$51:$A$92,0)),"")</f>
        <v>Tech</v>
      </c>
      <c r="BF33" s="89" t="str">
        <f>KOL_Database!$AI$32&amp;", "&amp;KOL_Database!$AG$32&amp;", "&amp;KOL_Database!$F$32&amp;", "&amp;KOL_Database!$E$32</f>
        <v>Home Decor, Productivity, Shopping, Home Decor, Shopping, Productivity, Parenting, Cooking, Home Organization, Home &amp; Living</v>
      </c>
      <c r="BG33" s="89" t="str">
        <f>KOL_Database!$AI$32&amp;", "&amp;KOL_Database!$AG$32</f>
        <v>Home Decor, Productivity, Shopping, Home Decor, Shopping, Productivity, Parenting, Cooking</v>
      </c>
    </row>
    <row r="34" spans="1:59">
      <c r="A34" s="101" t="s">
        <v>113</v>
      </c>
      <c r="B34" s="89" t="str">
        <f>Brand_Profile!$D$9</f>
        <v>Nusatech Cloud</v>
      </c>
      <c r="C34" s="89" t="str">
        <f>KOL_Database!$A$33</f>
        <v>KOL-29</v>
      </c>
      <c r="D34" s="89" t="str">
        <f>KOL_Database!$B$33</f>
        <v>Sekar Ayu</v>
      </c>
      <c r="E34" s="89" t="str">
        <f>KOL_Database!$C$33</f>
        <v>@sekarskincarejujur</v>
      </c>
      <c r="F34" s="89" t="str">
        <f>KOL_Database!$D$33</f>
        <v>TikTok</v>
      </c>
      <c r="G34" s="89" t="str">
        <f>KOL_Database!$E$33</f>
        <v>Beauty</v>
      </c>
      <c r="H34" s="89" t="str">
        <f>KOL_Database!$G$33</f>
        <v>Micro</v>
      </c>
      <c r="I34" s="140">
        <f>KOL_Database!$J$33</f>
        <v>27000</v>
      </c>
      <c r="J34" s="141">
        <f>KOL_Database!$K$33</f>
        <v>8.9</v>
      </c>
      <c r="K34" s="142">
        <f>IFERROR(INDEX(Lookup_Lists!$B$170:$O$181,MATCH(Brand_Profile!$D$10,Lookup_Lists!$A$170:$A$181,0),MATCH(KOL_Database!$E$33,Lookup_Lists!$B$169:$O$169,0)),Lookup_Lists!$D$151)</f>
        <v>20</v>
      </c>
      <c r="L34" s="142">
        <f>IF(KOL_Database!$F$33="",Matching_Engine!$BC$34,IF(Brand_Profile!$D$12=KOL_Database!$F$33,100,IF(Matching_Engine!$BA$34=KOL_Database!$E$33,80,IF(Matching_Engine!$BC$34&gt;=80,60,IF(Matching_Engine!$BC$34&gt;=60,40,Lookup_Lists!$D$151)))))</f>
        <v>20</v>
      </c>
      <c r="M34" s="142">
        <f>ROUND((IF(Brand_Profile!$D$62=0,Lookup_Lists!$D$150,ROUND((IF(Brand_Profile!$D$57="",0,IF(ISNUMBER(SEARCH(Brand_Profile!$D$57,Matching_Engine!$BF$34)),1,0))+IF(Brand_Profile!$D$58="",0,IF(ISNUMBER(SEARCH(Brand_Profile!$D$58,Matching_Engine!$BF$34)),1,0))+IF(Brand_Profile!$D$59="",0,IF(ISNUMBER(SEARCH(Brand_Profile!$D$59,Matching_Engine!$BF$34)),1,0))+IF(Brand_Profile!$D$60="",0,IF(ISNUMBER(SEARCH(Brand_Profile!$D$60,Matching_Engine!$BF$34)),1,0))+IF(Brand_Profile!$D$61="",0,IF(ISNUMBER(SEARCH(Brand_Profile!$D$61,Matching_Engine!$BF$34)),1,0)))/Brand_Profile!$D$62*100,0))+IF(Brand_Profile!$D$74=0,Lookup_Lists!$D$150,ROUND((IF(Brand_Profile!$D$69="",0,IF(ISNUMBER(SEARCH(Brand_Profile!$D$69,Matching_Engine!$BF$34)),1,0))+IF(Brand_Profile!$D$70="",0,IF(ISNUMBER(SEARCH(Brand_Profile!$D$70,Matching_Engine!$BF$34)),1,0))+IF(Brand_Profile!$D$71="",0,IF(ISNUMBER(SEARCH(Brand_Profile!$D$71,Matching_Engine!$BF$34)),1,0))+IF(Brand_Profile!$D$72="",0,IF(ISNUMBER(SEARCH(Brand_Profile!$D$72,Matching_Engine!$BF$34)),1,0))+IF(Brand_Profile!$D$73="",0,IF(ISNUMBER(SEARCH(Brand_Profile!$D$73,Matching_Engine!$BF$34)),1,0)))/Brand_Profile!$D$74*100,0)))/2,0)</f>
        <v>0</v>
      </c>
      <c r="N34" s="142">
        <f>ROUND((Matching_Engine!$K$34*Lookup_Lists!$D$110+Matching_Engine!$L$34*Lookup_Lists!$D$111+Matching_Engine!$M$34*Lookup_Lists!$D$112)/(Lookup_Lists!$D$110+Lookup_Lists!$D$111+Lookup_Lists!$D$112),0)</f>
        <v>14</v>
      </c>
      <c r="O34" s="142">
        <f ca="1">IF(Brand_Profile!$D$16="",Lookup_Lists!$D$150,MIN(100,ROUND((IFERROR(INDEX(KOL_Database!$W$33:KOL_Database!$AA$33,1,MATCH(Brand_Profile!$D$16,Lookup_Lists!$F$6:$F$10,0)),0)+0.5*IFERROR(INDEX(KOL_Database!$W$33:KOL_Database!$AA$33,1,MATCH(Brand_Profile!$D$17,Lookup_Lists!$F$6:$F$10,0)),0))/Lookup_Lists!$D$142*100,0)))</f>
        <v>100</v>
      </c>
      <c r="P34" s="142">
        <f>IF(OR(Brand_Profile!$D$18="",Brand_Profile!$D$18="Any"),100,IF(Brand_Profile!$D$18="Female",MIN(100,ROUND(KOL_Database!$AB$33/Lookup_Lists!$D$143*100,0)),IF(Brand_Profile!$D$18="Male",MIN(100,ROUND(KOL_Database!$AC$33/Lookup_Lists!$D$143*100,0)),MAX(0,ROUND(100-ABS(KOL_Database!$AB$33-50)*2,0)))))</f>
        <v>100</v>
      </c>
      <c r="Q34" s="142">
        <f>ROUND((IF(Brand_Profile!$D$19="",100,IF(KOL_Database!$AD$33=Brand_Profile!$D$19,100,Lookup_Lists!$D$151))*Lookup_Lists!$D$118+IF(OR(Brand_Profile!$D$20="",Brand_Profile!$D$20="Nasional"),100,IF(KOL_Database!$AE$33="",Lookup_Lists!$D$150,IF(KOL_Database!$AE$33=Brand_Profile!$D$20,100,IF(KOL_Database!$AD$33=Brand_Profile!$D$19,40,Lookup_Lists!$D$151))))*Lookup_Lists!$D$119+IF(OR(Brand_Profile!$D$21="",Brand_Profile!$D$21="Nasional"),100,IF(KOL_Database!$AF$33="",Lookup_Lists!$D$150,IF(KOL_Database!$AF$33=Brand_Profile!$D$21,100,IF(KOL_Database!$AE$33=Brand_Profile!$D$20,60,Lookup_Lists!$D$151))))*Lookup_Lists!$D$120)/(Lookup_Lists!$D$118+Lookup_Lists!$D$119+Lookup_Lists!$D$120),0)</f>
        <v>65</v>
      </c>
      <c r="R34" s="142">
        <f>IF(Brand_Profile!$D$68=0,Lookup_Lists!$D$150,ROUND((IF(Brand_Profile!$D$63="",0,IF(ISNUMBER(SEARCH(Brand_Profile!$D$63,KOL_Database!$AG$33)),1,0))+IF(Brand_Profile!$D$64="",0,IF(ISNUMBER(SEARCH(Brand_Profile!$D$64,KOL_Database!$AG$33)),1,0))+IF(Brand_Profile!$D$65="",0,IF(ISNUMBER(SEARCH(Brand_Profile!$D$65,KOL_Database!$AG$33)),1,0))+IF(Brand_Profile!$D$66="",0,IF(ISNUMBER(SEARCH(Brand_Profile!$D$66,KOL_Database!$AG$33)),1,0))+IF(Brand_Profile!$D$67="",0,IF(ISNUMBER(SEARCH(Brand_Profile!$D$67,KOL_Database!$AG$33)),1,0)))/Brand_Profile!$D$68*100,0))</f>
        <v>0</v>
      </c>
      <c r="S34" s="142">
        <f ca="1">ROUND((Matching_Engine!$O$34*Brand_Profile!$D$96+Matching_Engine!$P$34*Brand_Profile!$D$97+Matching_Engine!$Q$34*Brand_Profile!$D$98+Matching_Engine!$R$34*Brand_Profile!$D$99)/MAX(1,Brand_Profile!$D$96+Brand_Profile!$D$97+Brand_Profile!$D$98+Brand_Profile!$D$99),0)</f>
        <v>49</v>
      </c>
      <c r="T34" s="142">
        <f>IF(Brand_Profile!$D$33="",Lookup_Lists!$D$150,Matching_Engine!$BD$34)</f>
        <v>20</v>
      </c>
      <c r="U34" s="142">
        <f>IF(Brand_Profile!$D$34="",Lookup_Lists!$D$150,IF(Brand_Profile!$D$34=KOL_Database!$F$33,100,IF(Matching_Engine!$BE$34=KOL_Database!$E$33,75,IF(Matching_Engine!$BD$34&gt;=80,Lookup_Lists!$D$150,IF(Matching_Engine!$BD$34&gt;=60,35,Lookup_Lists!$D$151)))))</f>
        <v>20</v>
      </c>
      <c r="V34" s="142">
        <f>IF(Brand_Profile!$D$86=0,Lookup_Lists!$D$150,ROUND((IF(Brand_Profile!$D$81="",0,IF(ISNUMBER(SEARCH(Brand_Profile!$D$81,Matching_Engine!$BG$34)),1,0))+IF(Brand_Profile!$D$82="",0,IF(ISNUMBER(SEARCH(Brand_Profile!$D$82,Matching_Engine!$BG$34)),1,0))+IF(Brand_Profile!$D$83="",0,IF(ISNUMBER(SEARCH(Brand_Profile!$D$83,Matching_Engine!$BG$34)),1,0))+IF(Brand_Profile!$D$84="",0,IF(ISNUMBER(SEARCH(Brand_Profile!$D$84,Matching_Engine!$BG$34)),1,0))+IF(Brand_Profile!$D$85="",0,IF(ISNUMBER(SEARCH(Brand_Profile!$D$85,Matching_Engine!$BG$34)),1,0)))/Brand_Profile!$D$86*100,0))</f>
        <v>0</v>
      </c>
      <c r="W34" s="142">
        <f>IF(Brand_Profile!$D$39="",Lookup_Lists!$D$150,IFERROR(INDEX(Lookup_Lists!$B$237:$K$246,MATCH(Brand_Profile!$D$39,Lookup_Lists!$A$237:$A$246,0),MATCH(KOL_Database!$AJ$33,Lookup_Lists!$B$236:$K$236,0)),45))</f>
        <v>80</v>
      </c>
      <c r="X34" s="142">
        <f>ROUND((Matching_Engine!$T$34*Lookup_Lists!$D$121+Matching_Engine!$U$34*Lookup_Lists!$D$122+Matching_Engine!$V$34*Lookup_Lists!$D$123+Matching_Engine!$W$34*Lookup_Lists!$D$124)/(Lookup_Lists!$D$121+Lookup_Lists!$D$122+Lookup_Lists!$D$123+Lookup_Lists!$D$124),0)</f>
        <v>26</v>
      </c>
      <c r="Y34" s="142">
        <f>MIN(100,MAX(IFERROR(INDEX(Lookup_Lists!$B$202:$M$211,MATCH(Brand_Profile!$D$25,Lookup_Lists!$A$202:$A$211,0),MATCH(KOL_Database!$AK$33,Lookup_Lists!$B$201:$M$201,0)),40),IF(KOL_Database!$AK$33=Brand_Profile!$D$41,95,0)))</f>
        <v>50</v>
      </c>
      <c r="Z34" s="142">
        <f>IFERROR(INDEX(Lookup_Lists!$B$215:$K$222,MATCH(Brand_Profile!$D$27,Lookup_Lists!$A$215:$A$222,0),MATCH(KOL_Database!$AJ$33,Lookup_Lists!$B$214:$K$214,0)),45)</f>
        <v>90</v>
      </c>
      <c r="AA34" s="142">
        <f>ROUND((IF(Brand_Profile!$D$80=0,Lookup_Lists!$D$150,ROUND((IF(Brand_Profile!$D$75="",0,IF(ISNUMBER(SEARCH(Brand_Profile!$D$75,KOL_Database!$AL$33)),1,0))+IF(Brand_Profile!$D$76="",0,IF(ISNUMBER(SEARCH(Brand_Profile!$D$76,KOL_Database!$AL$33)),1,0))+IF(Brand_Profile!$D$77="",0,IF(ISNUMBER(SEARCH(Brand_Profile!$D$77,KOL_Database!$AL$33)),1,0))+IF(Brand_Profile!$D$78="",0,IF(ISNUMBER(SEARCH(Brand_Profile!$D$78,KOL_Database!$AL$33)),1,0))+IF(Brand_Profile!$D$79="",0,IF(ISNUMBER(SEARCH(Brand_Profile!$D$79,KOL_Database!$AL$33)),1,0)))/Brand_Profile!$D$80*100,0))+IF(Brand_Profile!$D$92=0,Lookup_Lists!$D$150,ROUND((IF(Brand_Profile!$D$87="",0,IF(ISNUMBER(SEARCH(Brand_Profile!$D$87,KOL_Database!$AL$33)),1,0))+IF(Brand_Profile!$D$88="",0,IF(ISNUMBER(SEARCH(Brand_Profile!$D$88,KOL_Database!$AL$33)),1,0))+IF(Brand_Profile!$D$89="",0,IF(ISNUMBER(SEARCH(Brand_Profile!$D$89,KOL_Database!$AL$33)),1,0))+IF(Brand_Profile!$D$90="",0,IF(ISNUMBER(SEARCH(Brand_Profile!$D$90,KOL_Database!$AL$33)),1,0))+IF(Brand_Profile!$D$91="",0,IF(ISNUMBER(SEARCH(Brand_Profile!$D$91,KOL_Database!$AL$33)),1,0)))/Brand_Profile!$D$92*100,0)))/2,0)</f>
        <v>40</v>
      </c>
      <c r="AB34" s="142">
        <f>IFERROR(INDEX(Lookup_Lists!$B$226:$K$233,MATCH(Brand_Profile!$D$30,Lookup_Lists!$A$226:$A$233,0),MATCH(KOL_Database!$AJ$33,Lookup_Lists!$B$225:$K$225,0)),45)</f>
        <v>70</v>
      </c>
      <c r="AC34" s="142">
        <f>ROUND((Matching_Engine!$Y$34*Lookup_Lists!$D$125+Matching_Engine!$Z$34*Lookup_Lists!$D$126+Matching_Engine!$AA$34*Lookup_Lists!$D$127+Matching_Engine!$AB$34*Lookup_Lists!$D$128)/(Lookup_Lists!$D$125+Lookup_Lists!$D$126+Lookup_Lists!$D$127+Lookup_Lists!$D$128),0)</f>
        <v>61</v>
      </c>
      <c r="AD34" s="142">
        <f>IF(KOL_Database!$K$33="",0,MIN(100,ROUND(KOL_Database!$K$33/Lookup_Lists!$D$141*100,0)))</f>
        <v>100</v>
      </c>
      <c r="AE34" s="142">
        <f>IF(KOL_Database!$R$33="",0,MIN(100,MAX(0,KOL_Database!$R$33)))</f>
        <v>91</v>
      </c>
      <c r="AF34" s="142">
        <f>IF(KOL_Database!$P$33="",0,MIN(100,MAX(0,KOL_Database!$P$33)))</f>
        <v>88</v>
      </c>
      <c r="AG34" s="142">
        <f>IF(KOL_Database!$Q$33="",0,MIN(100,MAX(0,KOL_Database!$Q$33)))</f>
        <v>46</v>
      </c>
      <c r="AH34" s="142">
        <f>IF(OR(KOL_Database!$J$33="",KOL_Database!$J$33=0,KOL_Database!$L$33=""),0,MIN(100,ROUND(KOL_Database!$L$33/KOL_Database!$J$33/Lookup_Lists!$D$144*100,0)))</f>
        <v>100</v>
      </c>
      <c r="AI34" s="142">
        <f>IF(KOL_Database!$N$33="",0,MIN(100,MAX(0,ROUND((KOL_Database!$N$33+2)/(Lookup_Lists!$D$145+2)*100,0))))</f>
        <v>57</v>
      </c>
      <c r="AJ34" s="142">
        <f>ROUND((Matching_Engine!$AD$34*Lookup_Lists!$D$129+Matching_Engine!$AE$34*Lookup_Lists!$D$130+Matching_Engine!$AF$34*Lookup_Lists!$D$131+Matching_Engine!$AG$34*Lookup_Lists!$D$132+Matching_Engine!$AH$34*Lookup_Lists!$D$133+Matching_Engine!$AI$34*Lookup_Lists!$D$134)/(Lookup_Lists!$D$129+Lookup_Lists!$D$130+Lookup_Lists!$D$131+Lookup_Lists!$D$132+Lookup_Lists!$D$133+Lookup_Lists!$D$134),0)</f>
        <v>88</v>
      </c>
      <c r="AK34" s="142">
        <f>IF(KOL_Database!$AT$33="",0,MIN(100,MAX(0,KOL_Database!$AT$33)))</f>
        <v>94</v>
      </c>
      <c r="AL34" s="142">
        <f>IF(KOL_Database!$AU$33="",0,KOL_Database!$AU$33)</f>
        <v>12</v>
      </c>
      <c r="AM34" s="89" t="str">
        <f>IF(KOL_Database!$AV$33="","None",KOL_Database!$AV$33)</f>
        <v>None</v>
      </c>
      <c r="AN34" s="143">
        <f>IF(Matching_Engine!$AM$34="High",Lookup_Lists!$D$137,IF(Matching_Engine!$AM$34="Medium",Lookup_Lists!$D$138,IF(Matching_Engine!$AM$34="Low",Lookup_Lists!$D$139,Lookup_Lists!$D$140)))</f>
        <v>1</v>
      </c>
      <c r="AO34" s="142">
        <f>ROUND(MIN(100,MAX(0,(Matching_Engine!$AK$34*Lookup_Lists!$D$135+(100-Matching_Engine!$AL$34)*Lookup_Lists!$D$136)/(Lookup_Lists!$D$135+Lookup_Lists!$D$136)*Matching_Engine!$AN$34)),0)</f>
        <v>93</v>
      </c>
      <c r="AP34" s="13">
        <f ca="1">ROUND((Matching_Engine!$N$34*Lookup_Lists!$D$104+Matching_Engine!$S$34*Lookup_Lists!$D$105+Matching_Engine!$X$34*Lookup_Lists!$D$106+Matching_Engine!$AC$34*Lookup_Lists!$D$107+Matching_Engine!$AJ$34*Lookup_Lists!$D$108+Matching_Engine!$AO$34*Lookup_Lists!$D$109)/MAX(1,(Lookup_Lists!$D$104+Lookup_Lists!$D$105+Lookup_Lists!$D$106+Lookup_Lists!$D$107+Lookup_Lists!$D$108+Lookup_Lists!$D$109)),0)</f>
        <v>47</v>
      </c>
      <c r="AQ34" s="89" t="str">
        <f ca="1">IF(Matching_Engine!$AP$34&gt;=Lookup_Lists!$D$152,"Excellent Match",IF(Matching_Engine!$AP$34&gt;=Lookup_Lists!$D$153,"Strong Match",IF(Matching_Engine!$AP$34&gt;=Lookup_Lists!$D$154,"Good Match",IF(Matching_Engine!$AP$34&gt;=Lookup_Lists!$D$155,"Moderate Match","Low Match"))))</f>
        <v>Low Match</v>
      </c>
      <c r="AR34" s="142">
        <f>KOL_Database!$BE$33</f>
        <v>100</v>
      </c>
      <c r="AS34" s="89" t="str">
        <f>IF(Matching_Engine!$AR$34&gt;=Lookup_Lists!$D$159,"High",IF(Matching_Engine!$AR$34&gt;=Lookup_Lists!$D$160,"Medium","Limited Data"))</f>
        <v>High</v>
      </c>
      <c r="AT34" s="142">
        <f>ROUND((Matching_Engine!$N$34+Matching_Engine!$X$34+Matching_Engine!$AC$34)/3,0)</f>
        <v>34</v>
      </c>
      <c r="AU34" s="142">
        <f>ROUND(((100-Matching_Engine!$AL$34)*Lookup_Lists!$D$162+IF(KOL_Database!$BD$33="",Lookup_Lists!$D$150,KOL_Database!$BD$33)*Lookup_Lists!$D$163+Matching_Engine!$AI$34*Lookup_Lists!$D$164+Matching_Engine!$AD$34*Lookup_Lists!$D$165)/(Lookup_Lists!$D$162+Lookup_Lists!$D$163+Lookup_Lists!$D$164+Lookup_Lists!$D$165),0)</f>
        <v>85</v>
      </c>
      <c r="AV34" s="89" t="str">
        <f ca="1">IF(Matching_Engine!$AW$34="","PASS","EXCLUDED")</f>
        <v>PASS</v>
      </c>
      <c r="AW34" s="89" t="str">
        <f ca="1">IF(ISERROR(SEARCH(KOL_Database!$D$33,Brand_Profile!$D$32)),"Platform not in Preferred Platform",IF(AND(Brand_Profile!$D$36&gt;0,KOL_Database!$J$33&lt;Brand_Profile!$D$36),"Followers below Preferred Follower Range",IF(AND(Brand_Profile!$D$37&gt;0,KOL_Database!$J$33&gt;Brand_Profile!$D$37),"Followers above Preferred Follower Range",IF(AND(Brand_Profile!$D$38&gt;0,IF(KOL_Database!$K$33="",0,KOL_Database!$K$33)&lt;Brand_Profile!$D$38),"Engagement Rate below Minimum Engagement Rate",IF(ISERROR(SEARCH(KOL_Database!$G$33,Brand_Profile!$D$35)),"Tier not in Preferred Tier",IF(AND(Brand_Profile!$D$43&gt;0,Matching_Engine!$AE$34&lt;Brand_Profile!$D$43),"Audience Quality below Minimum Audience Quality",IF(AND(Brand_Profile!$D$44&gt;0,Matching_Engine!$AK$34&lt;Brand_Profile!$D$44),"Brand Safety below Minimum Brand Safety",IF(AND(Brand_Profile!$D$47="Yes",KOL_Database!$AD$33&lt;&gt;Brand_Profile!$D$19),"Audience Country does not match Target Country",IF(AND(Brand_Profile!$D$46="Yes",KOL_Database!$E$33&lt;&gt;Brand_Profile!$D$33),"Category is not the Preferred Category",IF(AND(Brand_Profile!$D$48&gt;0,Matching_Engine!$AL$34&gt;Brand_Profile!$D$48),"Competitor Saturation above Max Competitor Saturation",IF(AND(Brand_Profile!$D$50="Yes",KOL_Database!$AW$33="Yes"),"Already Selected",IF(AND(Brand_Profile!$D$51="Yes",KOL_Database!$AX$33="Yes"),"Already in Cart",IF(AND(Brand_Profile!$D$52="Yes",KOL_Database!$AY$33="Yes"),"Existing Partner",IF(AND(Brand_Profile!$D$53="Yes",KOL_Database!$AZ$33="Yes"),"Excluded Creator",IF(AND(Brand_Profile!$D$49&gt;0,Matching_Engine!$AP$34&lt;Brand_Profile!$D$49),"Brand Match below Minimum Brand Match","")))))))))))))))</f>
        <v/>
      </c>
      <c r="AX34" s="89" t="str">
        <f ca="1">IF(Matching_Engine!$AV$34="EXCLUDED","Excluded",IF(Matching_Engine!$AP$34&gt;=Lookup_Lists!$D$156,"Highly Recommended",IF(Matching_Engine!$AP$34&gt;=Lookup_Lists!$D$157,"Recommended",IF(Matching_Engine!$AP$34&gt;=Lookup_Lists!$D$158,"Consider","Low Priority"))))</f>
        <v>Low Priority</v>
      </c>
      <c r="AY34" s="142">
        <f ca="1">IF(Matching_Engine!$AV$34="PASS",Matching_Engine!$AP$34,"")</f>
        <v>47</v>
      </c>
      <c r="AZ34" s="89" t="str">
        <f>Matching_Engine!$A$34&amp;"|"&amp;Matching_Engine!$C$34</f>
        <v>BRAND-A|KOL-29</v>
      </c>
      <c r="BA34" s="89" t="str">
        <f>IFERROR(INDEX(Lookup_Lists!$B$51:$B$92,MATCH(Brand_Profile!$D$12,Lookup_Lists!$A$51:$A$92,0)),"")</f>
        <v>Tech</v>
      </c>
      <c r="BB34" s="89" t="str">
        <f>IFERROR(INDEX(Lookup_Lists!$B$51:$B$92,MATCH(KOL_Database!$F$33,Lookup_Lists!$A$51:$A$92,0)),"")</f>
        <v>Beauty</v>
      </c>
      <c r="BC34" s="142">
        <f>IFERROR(INDEX(Lookup_Lists!$B$185:$O$198,MATCH(Matching_Engine!$BA$34,Lookup_Lists!$A$185:$A$198,0),MATCH(KOL_Database!$E$33,Lookup_Lists!$B$184:$O$184,0)),Lookup_Lists!$D$151)</f>
        <v>20</v>
      </c>
      <c r="BD34" s="142">
        <f>IFERROR(INDEX(Lookup_Lists!$B$185:$O$198,MATCH(Brand_Profile!$D$33,Lookup_Lists!$A$185:$A$198,0),MATCH(KOL_Database!$E$33,Lookup_Lists!$B$184:$O$184,0)),Lookup_Lists!$D$151)</f>
        <v>20</v>
      </c>
      <c r="BE34" s="89" t="str">
        <f>IFERROR(INDEX(Lookup_Lists!$B$51:$B$92,MATCH(Brand_Profile!$D$34,Lookup_Lists!$A$51:$A$92,0)),"")</f>
        <v>Tech</v>
      </c>
      <c r="BF34" s="89" t="str">
        <f>KOL_Database!$AI$33&amp;", "&amp;KOL_Database!$AG$33&amp;", "&amp;KOL_Database!$F$33&amp;", "&amp;KOL_Database!$E$33</f>
        <v>Skincare, Beauty, Health, Skincare, Beauty, Health, Shopping, Makeup, Skincare, Beauty</v>
      </c>
      <c r="BG34" s="89" t="str">
        <f>KOL_Database!$AI$33&amp;", "&amp;KOL_Database!$AG$33</f>
        <v>Skincare, Beauty, Health, Skincare, Beauty, Health, Shopping, Makeup</v>
      </c>
    </row>
    <row r="35" spans="1:59">
      <c r="A35" s="101" t="s">
        <v>113</v>
      </c>
      <c r="B35" s="89" t="str">
        <f>Brand_Profile!$D$9</f>
        <v>Nusatech Cloud</v>
      </c>
      <c r="C35" s="89" t="str">
        <f>KOL_Database!$A$34</f>
        <v>KOL-30</v>
      </c>
      <c r="D35" s="89" t="str">
        <f>KOL_Database!$B$34</f>
        <v>Ibnu Faisal</v>
      </c>
      <c r="E35" s="89" t="str">
        <f>KOL_Database!$C$34</f>
        <v>@ibnubisnis</v>
      </c>
      <c r="F35" s="89" t="str">
        <f>KOL_Database!$D$34</f>
        <v>Instagram</v>
      </c>
      <c r="G35" s="89" t="str">
        <f>KOL_Database!$E$34</f>
        <v>Finance</v>
      </c>
      <c r="H35" s="89" t="str">
        <f>KOL_Database!$G$34</f>
        <v>Macro</v>
      </c>
      <c r="I35" s="140">
        <f>KOL_Database!$J$34</f>
        <v>355000</v>
      </c>
      <c r="J35" s="141">
        <f>KOL_Database!$K$34</f>
        <v>2.6</v>
      </c>
      <c r="K35" s="142">
        <f>IFERROR(INDEX(Lookup_Lists!$B$170:$O$181,MATCH(Brand_Profile!$D$10,Lookup_Lists!$A$170:$A$181,0),MATCH(KOL_Database!$E$34,Lookup_Lists!$B$169:$O$169,0)),Lookup_Lists!$D$151)</f>
        <v>80</v>
      </c>
      <c r="L35" s="142">
        <f>IF(KOL_Database!$F$34="",Matching_Engine!$BC$35,IF(Brand_Profile!$D$12=KOL_Database!$F$34,100,IF(Matching_Engine!$BA$35=KOL_Database!$E$34,80,IF(Matching_Engine!$BC$35&gt;=80,60,IF(Matching_Engine!$BC$35&gt;=60,40,Lookup_Lists!$D$151)))))</f>
        <v>60</v>
      </c>
      <c r="M35" s="142">
        <f>ROUND((IF(Brand_Profile!$D$62=0,Lookup_Lists!$D$150,ROUND((IF(Brand_Profile!$D$57="",0,IF(ISNUMBER(SEARCH(Brand_Profile!$D$57,Matching_Engine!$BF$35)),1,0))+IF(Brand_Profile!$D$58="",0,IF(ISNUMBER(SEARCH(Brand_Profile!$D$58,Matching_Engine!$BF$35)),1,0))+IF(Brand_Profile!$D$59="",0,IF(ISNUMBER(SEARCH(Brand_Profile!$D$59,Matching_Engine!$BF$35)),1,0))+IF(Brand_Profile!$D$60="",0,IF(ISNUMBER(SEARCH(Brand_Profile!$D$60,Matching_Engine!$BF$35)),1,0))+IF(Brand_Profile!$D$61="",0,IF(ISNUMBER(SEARCH(Brand_Profile!$D$61,Matching_Engine!$BF$35)),1,0)))/Brand_Profile!$D$62*100,0))+IF(Brand_Profile!$D$74=0,Lookup_Lists!$D$150,ROUND((IF(Brand_Profile!$D$69="",0,IF(ISNUMBER(SEARCH(Brand_Profile!$D$69,Matching_Engine!$BF$35)),1,0))+IF(Brand_Profile!$D$70="",0,IF(ISNUMBER(SEARCH(Brand_Profile!$D$70,Matching_Engine!$BF$35)),1,0))+IF(Brand_Profile!$D$71="",0,IF(ISNUMBER(SEARCH(Brand_Profile!$D$71,Matching_Engine!$BF$35)),1,0))+IF(Brand_Profile!$D$72="",0,IF(ISNUMBER(SEARCH(Brand_Profile!$D$72,Matching_Engine!$BF$35)),1,0))+IF(Brand_Profile!$D$73="",0,IF(ISNUMBER(SEARCH(Brand_Profile!$D$73,Matching_Engine!$BF$35)),1,0)))/Brand_Profile!$D$74*100,0)))/2,0)</f>
        <v>100</v>
      </c>
      <c r="N35" s="142">
        <f>ROUND((Matching_Engine!$K$35*Lookup_Lists!$D$110+Matching_Engine!$L$35*Lookup_Lists!$D$111+Matching_Engine!$M$35*Lookup_Lists!$D$112)/(Lookup_Lists!$D$110+Lookup_Lists!$D$111+Lookup_Lists!$D$112),0)</f>
        <v>80</v>
      </c>
      <c r="O35" s="142">
        <f ca="1">IF(Brand_Profile!$D$16="",Lookup_Lists!$D$150,MIN(100,ROUND((IFERROR(INDEX(KOL_Database!$W$34:KOL_Database!$AA$34,1,MATCH(Brand_Profile!$D$16,Lookup_Lists!$F$6:$F$10,0)),0)+0.5*IFERROR(INDEX(KOL_Database!$W$34:KOL_Database!$AA$34,1,MATCH(Brand_Profile!$D$17,Lookup_Lists!$F$6:$F$10,0)),0))/Lookup_Lists!$D$142*100,0)))</f>
        <v>97</v>
      </c>
      <c r="P35" s="142">
        <f>IF(OR(Brand_Profile!$D$18="",Brand_Profile!$D$18="Any"),100,IF(Brand_Profile!$D$18="Female",MIN(100,ROUND(KOL_Database!$AB$34/Lookup_Lists!$D$143*100,0)),IF(Brand_Profile!$D$18="Male",MIN(100,ROUND(KOL_Database!$AC$34/Lookup_Lists!$D$143*100,0)),MAX(0,ROUND(100-ABS(KOL_Database!$AB$34-50)*2,0)))))</f>
        <v>100</v>
      </c>
      <c r="Q35" s="142">
        <f>ROUND((IF(Brand_Profile!$D$19="",100,IF(KOL_Database!$AD$34=Brand_Profile!$D$19,100,Lookup_Lists!$D$151))*Lookup_Lists!$D$118+IF(OR(Brand_Profile!$D$20="",Brand_Profile!$D$20="Nasional"),100,IF(KOL_Database!$AE$34="",Lookup_Lists!$D$150,IF(KOL_Database!$AE$34=Brand_Profile!$D$20,100,IF(KOL_Database!$AD$34=Brand_Profile!$D$19,40,Lookup_Lists!$D$151))))*Lookup_Lists!$D$119+IF(OR(Brand_Profile!$D$21="",Brand_Profile!$D$21="Nasional"),100,IF(KOL_Database!$AF$34="",Lookup_Lists!$D$150,IF(KOL_Database!$AF$34=Brand_Profile!$D$21,100,IF(KOL_Database!$AE$34=Brand_Profile!$D$20,60,Lookup_Lists!$D$151))))*Lookup_Lists!$D$120)/(Lookup_Lists!$D$118+Lookup_Lists!$D$119+Lookup_Lists!$D$120),0)</f>
        <v>100</v>
      </c>
      <c r="R35" s="142">
        <f>IF(Brand_Profile!$D$68=0,Lookup_Lists!$D$150,ROUND((IF(Brand_Profile!$D$63="",0,IF(ISNUMBER(SEARCH(Brand_Profile!$D$63,KOL_Database!$AG$34)),1,0))+IF(Brand_Profile!$D$64="",0,IF(ISNUMBER(SEARCH(Brand_Profile!$D$64,KOL_Database!$AG$34)),1,0))+IF(Brand_Profile!$D$65="",0,IF(ISNUMBER(SEARCH(Brand_Profile!$D$65,KOL_Database!$AG$34)),1,0))+IF(Brand_Profile!$D$66="",0,IF(ISNUMBER(SEARCH(Brand_Profile!$D$66,KOL_Database!$AG$34)),1,0))+IF(Brand_Profile!$D$67="",0,IF(ISNUMBER(SEARCH(Brand_Profile!$D$67,KOL_Database!$AG$34)),1,0)))/Brand_Profile!$D$68*100,0))</f>
        <v>100</v>
      </c>
      <c r="S35" s="142">
        <f ca="1">ROUND((Matching_Engine!$O$35*Brand_Profile!$D$96+Matching_Engine!$P$35*Brand_Profile!$D$97+Matching_Engine!$Q$35*Brand_Profile!$D$98+Matching_Engine!$R$35*Brand_Profile!$D$99)/MAX(1,Brand_Profile!$D$96+Brand_Profile!$D$97+Brand_Profile!$D$98+Brand_Profile!$D$99),0)</f>
        <v>99</v>
      </c>
      <c r="T35" s="142">
        <f>IF(Brand_Profile!$D$33="",Lookup_Lists!$D$150,Matching_Engine!$BD$35)</f>
        <v>80</v>
      </c>
      <c r="U35" s="142">
        <f>IF(Brand_Profile!$D$34="",Lookup_Lists!$D$150,IF(Brand_Profile!$D$34=KOL_Database!$F$34,100,IF(Matching_Engine!$BE$35=KOL_Database!$E$34,75,IF(Matching_Engine!$BD$35&gt;=80,Lookup_Lists!$D$150,IF(Matching_Engine!$BD$35&gt;=60,35,Lookup_Lists!$D$151)))))</f>
        <v>50</v>
      </c>
      <c r="V35" s="142">
        <f>IF(Brand_Profile!$D$86=0,Lookup_Lists!$D$150,ROUND((IF(Brand_Profile!$D$81="",0,IF(ISNUMBER(SEARCH(Brand_Profile!$D$81,Matching_Engine!$BG$35)),1,0))+IF(Brand_Profile!$D$82="",0,IF(ISNUMBER(SEARCH(Brand_Profile!$D$82,Matching_Engine!$BG$35)),1,0))+IF(Brand_Profile!$D$83="",0,IF(ISNUMBER(SEARCH(Brand_Profile!$D$83,Matching_Engine!$BG$35)),1,0))+IF(Brand_Profile!$D$84="",0,IF(ISNUMBER(SEARCH(Brand_Profile!$D$84,Matching_Engine!$BG$35)),1,0))+IF(Brand_Profile!$D$85="",0,IF(ISNUMBER(SEARCH(Brand_Profile!$D$85,Matching_Engine!$BG$35)),1,0)))/Brand_Profile!$D$86*100,0))</f>
        <v>100</v>
      </c>
      <c r="W35" s="142">
        <f>IF(Brand_Profile!$D$39="",Lookup_Lists!$D$150,IFERROR(INDEX(Lookup_Lists!$B$237:$K$246,MATCH(Brand_Profile!$D$39,Lookup_Lists!$A$237:$A$246,0),MATCH(KOL_Database!$AJ$34,Lookup_Lists!$B$236:$K$236,0)),45))</f>
        <v>80</v>
      </c>
      <c r="X35" s="142">
        <f>ROUND((Matching_Engine!$T$35*Lookup_Lists!$D$121+Matching_Engine!$U$35*Lookup_Lists!$D$122+Matching_Engine!$V$35*Lookup_Lists!$D$123+Matching_Engine!$W$35*Lookup_Lists!$D$124)/(Lookup_Lists!$D$121+Lookup_Lists!$D$122+Lookup_Lists!$D$123+Lookup_Lists!$D$124),0)</f>
        <v>80</v>
      </c>
      <c r="Y35" s="142">
        <f>MIN(100,MAX(IFERROR(INDEX(Lookup_Lists!$B$202:$M$211,MATCH(Brand_Profile!$D$25,Lookup_Lists!$A$202:$A$211,0),MATCH(KOL_Database!$AK$34,Lookup_Lists!$B$201:$M$201,0)),40),IF(KOL_Database!$AK$34=Brand_Profile!$D$41,95,0)))</f>
        <v>70</v>
      </c>
      <c r="Z35" s="142">
        <f>IFERROR(INDEX(Lookup_Lists!$B$215:$K$222,MATCH(Brand_Profile!$D$27,Lookup_Lists!$A$215:$A$222,0),MATCH(KOL_Database!$AJ$34,Lookup_Lists!$B$214:$K$214,0)),45)</f>
        <v>80</v>
      </c>
      <c r="AA35" s="142">
        <f>ROUND((IF(Brand_Profile!$D$80=0,Lookup_Lists!$D$150,ROUND((IF(Brand_Profile!$D$75="",0,IF(ISNUMBER(SEARCH(Brand_Profile!$D$75,KOL_Database!$AL$34)),1,0))+IF(Brand_Profile!$D$76="",0,IF(ISNUMBER(SEARCH(Brand_Profile!$D$76,KOL_Database!$AL$34)),1,0))+IF(Brand_Profile!$D$77="",0,IF(ISNUMBER(SEARCH(Brand_Profile!$D$77,KOL_Database!$AL$34)),1,0))+IF(Brand_Profile!$D$78="",0,IF(ISNUMBER(SEARCH(Brand_Profile!$D$78,KOL_Database!$AL$34)),1,0))+IF(Brand_Profile!$D$79="",0,IF(ISNUMBER(SEARCH(Brand_Profile!$D$79,KOL_Database!$AL$34)),1,0)))/Brand_Profile!$D$80*100,0))+IF(Brand_Profile!$D$92=0,Lookup_Lists!$D$150,ROUND((IF(Brand_Profile!$D$87="",0,IF(ISNUMBER(SEARCH(Brand_Profile!$D$87,KOL_Database!$AL$34)),1,0))+IF(Brand_Profile!$D$88="",0,IF(ISNUMBER(SEARCH(Brand_Profile!$D$88,KOL_Database!$AL$34)),1,0))+IF(Brand_Profile!$D$89="",0,IF(ISNUMBER(SEARCH(Brand_Profile!$D$89,KOL_Database!$AL$34)),1,0))+IF(Brand_Profile!$D$90="",0,IF(ISNUMBER(SEARCH(Brand_Profile!$D$90,KOL_Database!$AL$34)),1,0))+IF(Brand_Profile!$D$91="",0,IF(ISNUMBER(SEARCH(Brand_Profile!$D$91,KOL_Database!$AL$34)),1,0)))/Brand_Profile!$D$92*100,0)))/2,0)</f>
        <v>80</v>
      </c>
      <c r="AB35" s="142">
        <f>IFERROR(INDEX(Lookup_Lists!$B$226:$K$233,MATCH(Brand_Profile!$D$30,Lookup_Lists!$A$226:$A$233,0),MATCH(KOL_Database!$AJ$34,Lookup_Lists!$B$225:$K$225,0)),45)</f>
        <v>75</v>
      </c>
      <c r="AC35" s="142">
        <f>ROUND((Matching_Engine!$Y$35*Lookup_Lists!$D$125+Matching_Engine!$Z$35*Lookup_Lists!$D$126+Matching_Engine!$AA$35*Lookup_Lists!$D$127+Matching_Engine!$AB$35*Lookup_Lists!$D$128)/(Lookup_Lists!$D$125+Lookup_Lists!$D$126+Lookup_Lists!$D$127+Lookup_Lists!$D$128),0)</f>
        <v>76</v>
      </c>
      <c r="AD35" s="142">
        <f>IF(KOL_Database!$K$34="",0,MIN(100,ROUND(KOL_Database!$K$34/Lookup_Lists!$D$141*100,0)))</f>
        <v>43</v>
      </c>
      <c r="AE35" s="142">
        <f>IF(KOL_Database!$R$34="",0,MIN(100,MAX(0,KOL_Database!$R$34)))</f>
        <v>66</v>
      </c>
      <c r="AF35" s="142">
        <f>IF(KOL_Database!$P$34="",0,MIN(100,MAX(0,KOL_Database!$P$34)))</f>
        <v>53</v>
      </c>
      <c r="AG35" s="142">
        <f>IF(KOL_Database!$Q$34="",0,MIN(100,MAX(0,KOL_Database!$Q$34)))</f>
        <v>88</v>
      </c>
      <c r="AH35" s="142">
        <f>IF(OR(KOL_Database!$J$34="",KOL_Database!$J$34=0,KOL_Database!$L$34=""),0,MIN(100,ROUND(KOL_Database!$L$34/KOL_Database!$J$34/Lookup_Lists!$D$144*100,0)))</f>
        <v>47</v>
      </c>
      <c r="AI35" s="142">
        <f>IF(KOL_Database!$N$34="",0,MIN(100,MAX(0,ROUND((KOL_Database!$N$34+2)/(Lookup_Lists!$D$145+2)*100,0))))</f>
        <v>41</v>
      </c>
      <c r="AJ35" s="142">
        <f>ROUND((Matching_Engine!$AD$35*Lookup_Lists!$D$129+Matching_Engine!$AE$35*Lookup_Lists!$D$130+Matching_Engine!$AF$35*Lookup_Lists!$D$131+Matching_Engine!$AG$35*Lookup_Lists!$D$132+Matching_Engine!$AH$35*Lookup_Lists!$D$133+Matching_Engine!$AI$35*Lookup_Lists!$D$134)/(Lookup_Lists!$D$129+Lookup_Lists!$D$130+Lookup_Lists!$D$131+Lookup_Lists!$D$132+Lookup_Lists!$D$133+Lookup_Lists!$D$134),0)</f>
        <v>54</v>
      </c>
      <c r="AK35" s="142">
        <f>IF(KOL_Database!$AT$34="",0,MIN(100,MAX(0,KOL_Database!$AT$34)))</f>
        <v>75</v>
      </c>
      <c r="AL35" s="142">
        <f>IF(KOL_Database!$AU$34="",0,KOL_Database!$AU$34)</f>
        <v>21</v>
      </c>
      <c r="AM35" s="89" t="str">
        <f>IF(KOL_Database!$AV$34="","None",KOL_Database!$AV$34)</f>
        <v>Low</v>
      </c>
      <c r="AN35" s="143">
        <f>IF(Matching_Engine!$AM$35="High",Lookup_Lists!$D$137,IF(Matching_Engine!$AM$35="Medium",Lookup_Lists!$D$138,IF(Matching_Engine!$AM$35="Low",Lookup_Lists!$D$139,Lookup_Lists!$D$140)))</f>
        <v>0.95</v>
      </c>
      <c r="AO35" s="142">
        <f>ROUND(MIN(100,MAX(0,(Matching_Engine!$AK$35*Lookup_Lists!$D$135+(100-Matching_Engine!$AL$35)*Lookup_Lists!$D$136)/(Lookup_Lists!$D$135+Lookup_Lists!$D$136)*Matching_Engine!$AN$35)),0)</f>
        <v>72</v>
      </c>
      <c r="AP35" s="13">
        <f ca="1">ROUND((Matching_Engine!$N$35*Lookup_Lists!$D$104+Matching_Engine!$S$35*Lookup_Lists!$D$105+Matching_Engine!$X$35*Lookup_Lists!$D$106+Matching_Engine!$AC$35*Lookup_Lists!$D$107+Matching_Engine!$AJ$35*Lookup_Lists!$D$108+Matching_Engine!$AO$35*Lookup_Lists!$D$109)/MAX(1,(Lookup_Lists!$D$104+Lookup_Lists!$D$105+Lookup_Lists!$D$106+Lookup_Lists!$D$107+Lookup_Lists!$D$108+Lookup_Lists!$D$109)),0)</f>
        <v>82</v>
      </c>
      <c r="AQ35" s="89" t="str">
        <f ca="1">IF(Matching_Engine!$AP$35&gt;=Lookup_Lists!$D$152,"Excellent Match",IF(Matching_Engine!$AP$35&gt;=Lookup_Lists!$D$153,"Strong Match",IF(Matching_Engine!$AP$35&gt;=Lookup_Lists!$D$154,"Good Match",IF(Matching_Engine!$AP$35&gt;=Lookup_Lists!$D$155,"Moderate Match","Low Match"))))</f>
        <v>Strong Match</v>
      </c>
      <c r="AR35" s="142">
        <f>KOL_Database!$BE$34</f>
        <v>92</v>
      </c>
      <c r="AS35" s="89" t="str">
        <f>IF(Matching_Engine!$AR$35&gt;=Lookup_Lists!$D$159,"High",IF(Matching_Engine!$AR$35&gt;=Lookup_Lists!$D$160,"Medium","Limited Data"))</f>
        <v>Medium</v>
      </c>
      <c r="AT35" s="142">
        <f>ROUND((Matching_Engine!$N$35+Matching_Engine!$X$35+Matching_Engine!$AC$35)/3,0)</f>
        <v>79</v>
      </c>
      <c r="AU35" s="142">
        <f>ROUND(((100-Matching_Engine!$AL$35)*Lookup_Lists!$D$162+IF(KOL_Database!$BD$34="",Lookup_Lists!$D$150,KOL_Database!$BD$34)*Lookup_Lists!$D$163+Matching_Engine!$AI$35*Lookup_Lists!$D$164+Matching_Engine!$AD$35*Lookup_Lists!$D$165)/(Lookup_Lists!$D$162+Lookup_Lists!$D$163+Lookup_Lists!$D$164+Lookup_Lists!$D$165),0)</f>
        <v>49</v>
      </c>
      <c r="AV35" s="89" t="str">
        <f ca="1">IF(Matching_Engine!$AW$35="","PASS","EXCLUDED")</f>
        <v>PASS</v>
      </c>
      <c r="AW35" s="89" t="str">
        <f ca="1">IF(ISERROR(SEARCH(KOL_Database!$D$34,Brand_Profile!$D$32)),"Platform not in Preferred Platform",IF(AND(Brand_Profile!$D$36&gt;0,KOL_Database!$J$34&lt;Brand_Profile!$D$36),"Followers below Preferred Follower Range",IF(AND(Brand_Profile!$D$37&gt;0,KOL_Database!$J$34&gt;Brand_Profile!$D$37),"Followers above Preferred Follower Range",IF(AND(Brand_Profile!$D$38&gt;0,IF(KOL_Database!$K$34="",0,KOL_Database!$K$34)&lt;Brand_Profile!$D$38),"Engagement Rate below Minimum Engagement Rate",IF(ISERROR(SEARCH(KOL_Database!$G$34,Brand_Profile!$D$35)),"Tier not in Preferred Tier",IF(AND(Brand_Profile!$D$43&gt;0,Matching_Engine!$AE$35&lt;Brand_Profile!$D$43),"Audience Quality below Minimum Audience Quality",IF(AND(Brand_Profile!$D$44&gt;0,Matching_Engine!$AK$35&lt;Brand_Profile!$D$44),"Brand Safety below Minimum Brand Safety",IF(AND(Brand_Profile!$D$47="Yes",KOL_Database!$AD$34&lt;&gt;Brand_Profile!$D$19),"Audience Country does not match Target Country",IF(AND(Brand_Profile!$D$46="Yes",KOL_Database!$E$34&lt;&gt;Brand_Profile!$D$33),"Category is not the Preferred Category",IF(AND(Brand_Profile!$D$48&gt;0,Matching_Engine!$AL$35&gt;Brand_Profile!$D$48),"Competitor Saturation above Max Competitor Saturation",IF(AND(Brand_Profile!$D$50="Yes",KOL_Database!$AW$34="Yes"),"Already Selected",IF(AND(Brand_Profile!$D$51="Yes",KOL_Database!$AX$34="Yes"),"Already in Cart",IF(AND(Brand_Profile!$D$52="Yes",KOL_Database!$AY$34="Yes"),"Existing Partner",IF(AND(Brand_Profile!$D$53="Yes",KOL_Database!$AZ$34="Yes"),"Excluded Creator",IF(AND(Brand_Profile!$D$49&gt;0,Matching_Engine!$AP$35&lt;Brand_Profile!$D$49),"Brand Match below Minimum Brand Match","")))))))))))))))</f>
        <v/>
      </c>
      <c r="AX35" s="89" t="str">
        <f ca="1">IF(Matching_Engine!$AV$35="EXCLUDED","Excluded",IF(Matching_Engine!$AP$35&gt;=Lookup_Lists!$D$156,"Highly Recommended",IF(Matching_Engine!$AP$35&gt;=Lookup_Lists!$D$157,"Recommended",IF(Matching_Engine!$AP$35&gt;=Lookup_Lists!$D$158,"Consider","Low Priority"))))</f>
        <v>Recommended</v>
      </c>
      <c r="AY35" s="142">
        <f ca="1">IF(Matching_Engine!$AV$35="PASS",Matching_Engine!$AP$35,"")</f>
        <v>82</v>
      </c>
      <c r="AZ35" s="89" t="str">
        <f>Matching_Engine!$A$35&amp;"|"&amp;Matching_Engine!$C$35</f>
        <v>BRAND-A|KOL-30</v>
      </c>
      <c r="BA35" s="89" t="str">
        <f>IFERROR(INDEX(Lookup_Lists!$B$51:$B$92,MATCH(Brand_Profile!$D$12,Lookup_Lists!$A$51:$A$92,0)),"")</f>
        <v>Tech</v>
      </c>
      <c r="BB35" s="89" t="str">
        <f>IFERROR(INDEX(Lookup_Lists!$B$51:$B$92,MATCH(KOL_Database!$F$34,Lookup_Lists!$A$51:$A$92,0)),"")</f>
        <v>Finance</v>
      </c>
      <c r="BC35" s="142">
        <f>IFERROR(INDEX(Lookup_Lists!$B$185:$O$198,MATCH(Matching_Engine!$BA$35,Lookup_Lists!$A$185:$A$198,0),MATCH(KOL_Database!$E$34,Lookup_Lists!$B$184:$O$184,0)),Lookup_Lists!$D$151)</f>
        <v>80</v>
      </c>
      <c r="BD35" s="142">
        <f>IFERROR(INDEX(Lookup_Lists!$B$185:$O$198,MATCH(Brand_Profile!$D$33,Lookup_Lists!$A$185:$A$198,0),MATCH(KOL_Database!$E$34,Lookup_Lists!$B$184:$O$184,0)),Lookup_Lists!$D$151)</f>
        <v>80</v>
      </c>
      <c r="BE35" s="89" t="str">
        <f>IFERROR(INDEX(Lookup_Lists!$B$51:$B$92,MATCH(Brand_Profile!$D$34,Lookup_Lists!$A$51:$A$92,0)),"")</f>
        <v>Tech</v>
      </c>
      <c r="BF35" s="89" t="str">
        <f>KOL_Database!$AI$34&amp;", "&amp;KOL_Database!$AG$34&amp;", "&amp;KOL_Database!$F$34&amp;", "&amp;KOL_Database!$E$34</f>
        <v>Business, Finance, Education, Business, Finance, Education, Technology, Productivity, Business, Finance</v>
      </c>
      <c r="BG35" s="89" t="str">
        <f>KOL_Database!$AI$34&amp;", "&amp;KOL_Database!$AG$34</f>
        <v>Business, Finance, Education, Business, Finance, Education, Technology, Productivity</v>
      </c>
    </row>
    <row r="36" spans="1:59">
      <c r="A36" s="101" t="s">
        <v>118</v>
      </c>
      <c r="B36" s="89" t="str">
        <f>Brand_Profile!$E$9</f>
        <v>Lumaya Skin</v>
      </c>
      <c r="C36" s="89" t="str">
        <f>KOL_Database!$A$5</f>
        <v>KOL-01</v>
      </c>
      <c r="D36" s="89" t="str">
        <f>KOL_Database!$B$5</f>
        <v>Ardi Nugraha</v>
      </c>
      <c r="E36" s="89" t="str">
        <f>KOL_Database!$C$5</f>
        <v>@ardidigital</v>
      </c>
      <c r="F36" s="89" t="str">
        <f>KOL_Database!$D$5</f>
        <v>Instagram</v>
      </c>
      <c r="G36" s="89" t="str">
        <f>KOL_Database!$E$5</f>
        <v>Tech</v>
      </c>
      <c r="H36" s="89" t="str">
        <f>KOL_Database!$G$5</f>
        <v>Macro</v>
      </c>
      <c r="I36" s="140">
        <f>KOL_Database!$J$5</f>
        <v>128000</v>
      </c>
      <c r="J36" s="141">
        <f>KOL_Database!$K$5</f>
        <v>3.8</v>
      </c>
      <c r="K36" s="142">
        <f>IFERROR(INDEX(Lookup_Lists!$B$170:$O$181,MATCH(Brand_Profile!$E$10,Lookup_Lists!$A$170:$A$181,0),MATCH(KOL_Database!$E$5,Lookup_Lists!$B$169:$O$169,0)),Lookup_Lists!$D$151)</f>
        <v>20</v>
      </c>
      <c r="L36" s="142">
        <f>IF(KOL_Database!$F$5="",Matching_Engine!$BC$36,IF(Brand_Profile!$E$12=KOL_Database!$F$5,100,IF(Matching_Engine!$BA$36=KOL_Database!$E$5,80,IF(Matching_Engine!$BC$36&gt;=80,60,IF(Matching_Engine!$BC$36&gt;=60,40,Lookup_Lists!$D$151)))))</f>
        <v>20</v>
      </c>
      <c r="M36" s="142">
        <f>ROUND((IF(Brand_Profile!$E$62=0,Lookup_Lists!$D$150,ROUND((IF(Brand_Profile!$E$57="",0,IF(ISNUMBER(SEARCH(Brand_Profile!$E$57,Matching_Engine!$BF$36)),1,0))+IF(Brand_Profile!$E$58="",0,IF(ISNUMBER(SEARCH(Brand_Profile!$E$58,Matching_Engine!$BF$36)),1,0))+IF(Brand_Profile!$E$59="",0,IF(ISNUMBER(SEARCH(Brand_Profile!$E$59,Matching_Engine!$BF$36)),1,0))+IF(Brand_Profile!$E$60="",0,IF(ISNUMBER(SEARCH(Brand_Profile!$E$60,Matching_Engine!$BF$36)),1,0))+IF(Brand_Profile!$E$61="",0,IF(ISNUMBER(SEARCH(Brand_Profile!$E$61,Matching_Engine!$BF$36)),1,0)))/Brand_Profile!$E$62*100,0))+IF(Brand_Profile!$E$74=0,Lookup_Lists!$D$150,ROUND((IF(Brand_Profile!$E$69="",0,IF(ISNUMBER(SEARCH(Brand_Profile!$E$69,Matching_Engine!$BF$36)),1,0))+IF(Brand_Profile!$E$70="",0,IF(ISNUMBER(SEARCH(Brand_Profile!$E$70,Matching_Engine!$BF$36)),1,0))+IF(Brand_Profile!$E$71="",0,IF(ISNUMBER(SEARCH(Brand_Profile!$E$71,Matching_Engine!$BF$36)),1,0))+IF(Brand_Profile!$E$72="",0,IF(ISNUMBER(SEARCH(Brand_Profile!$E$72,Matching_Engine!$BF$36)),1,0))+IF(Brand_Profile!$E$73="",0,IF(ISNUMBER(SEARCH(Brand_Profile!$E$73,Matching_Engine!$BF$36)),1,0)))/Brand_Profile!$E$74*100,0)))/2,0)</f>
        <v>20</v>
      </c>
      <c r="N36" s="142">
        <f>ROUND((Matching_Engine!$K$36*Lookup_Lists!$D$110+Matching_Engine!$L$36*Lookup_Lists!$D$111+Matching_Engine!$M$36*Lookup_Lists!$D$112)/(Lookup_Lists!$D$110+Lookup_Lists!$D$111+Lookup_Lists!$D$112),0)</f>
        <v>20</v>
      </c>
      <c r="O36" s="142">
        <f ca="1">IF(Brand_Profile!$E$16="",Lookup_Lists!$D$150,MIN(100,ROUND((IFERROR(INDEX(KOL_Database!$W$5:KOL_Database!$AA$5,1,MATCH(Brand_Profile!$E$16,Lookup_Lists!$F$6:$F$10,0)),0)+0.5*IFERROR(INDEX(KOL_Database!$W$5:KOL_Database!$AA$5,1,MATCH(Brand_Profile!$E$17,Lookup_Lists!$F$6:$F$10,0)),0))/Lookup_Lists!$D$142*100,0)))</f>
        <v>98</v>
      </c>
      <c r="P36" s="142">
        <f>IF(OR(Brand_Profile!$E$18="",Brand_Profile!$E$18="Any"),100,IF(Brand_Profile!$E$18="Female",MIN(100,ROUND(KOL_Database!$AB$5/Lookup_Lists!$D$143*100,0)),IF(Brand_Profile!$E$18="Male",MIN(100,ROUND(KOL_Database!$AC$5/Lookup_Lists!$D$143*100,0)),MAX(0,ROUND(100-ABS(KOL_Database!$AB$5-50)*2,0)))))</f>
        <v>31</v>
      </c>
      <c r="Q36" s="142">
        <f>ROUND((IF(Brand_Profile!$E$19="",100,IF(KOL_Database!$AD$5=Brand_Profile!$E$19,100,Lookup_Lists!$D$151))*Lookup_Lists!$D$118+IF(OR(Brand_Profile!$E$20="",Brand_Profile!$E$20="Nasional"),100,IF(KOL_Database!$AE$5="",Lookup_Lists!$D$150,IF(KOL_Database!$AE$5=Brand_Profile!$E$20,100,IF(KOL_Database!$AD$5=Brand_Profile!$E$19,40,Lookup_Lists!$D$151))))*Lookup_Lists!$D$119+IF(OR(Brand_Profile!$E$21="",Brand_Profile!$E$21="Nasional"),100,IF(KOL_Database!$AF$5="",Lookup_Lists!$D$150,IF(KOL_Database!$AF$5=Brand_Profile!$E$21,100,IF(KOL_Database!$AE$5=Brand_Profile!$E$20,60,Lookup_Lists!$D$151))))*Lookup_Lists!$D$120)/(Lookup_Lists!$D$118+Lookup_Lists!$D$119+Lookup_Lists!$D$120),0)</f>
        <v>100</v>
      </c>
      <c r="R36" s="142">
        <f>IF(Brand_Profile!$E$68=0,Lookup_Lists!$D$150,ROUND((IF(Brand_Profile!$E$63="",0,IF(ISNUMBER(SEARCH(Brand_Profile!$E$63,KOL_Database!$AG$5)),1,0))+IF(Brand_Profile!$E$64="",0,IF(ISNUMBER(SEARCH(Brand_Profile!$E$64,KOL_Database!$AG$5)),1,0))+IF(Brand_Profile!$E$65="",0,IF(ISNUMBER(SEARCH(Brand_Profile!$E$65,KOL_Database!$AG$5)),1,0))+IF(Brand_Profile!$E$66="",0,IF(ISNUMBER(SEARCH(Brand_Profile!$E$66,KOL_Database!$AG$5)),1,0))+IF(Brand_Profile!$E$67="",0,IF(ISNUMBER(SEARCH(Brand_Profile!$E$67,KOL_Database!$AG$5)),1,0)))/Brand_Profile!$E$68*100,0))</f>
        <v>20</v>
      </c>
      <c r="S36" s="142">
        <f ca="1">ROUND((Matching_Engine!$O$36*Brand_Profile!$E$96+Matching_Engine!$P$36*Brand_Profile!$E$97+Matching_Engine!$Q$36*Brand_Profile!$E$98+Matching_Engine!$R$36*Brand_Profile!$E$99)/MAX(1,Brand_Profile!$E$96+Brand_Profile!$E$97+Brand_Profile!$E$98+Brand_Profile!$E$99),0)</f>
        <v>60</v>
      </c>
      <c r="T36" s="142">
        <f>IF(Brand_Profile!$E$33="",Lookup_Lists!$D$150,Matching_Engine!$BD$36)</f>
        <v>20</v>
      </c>
      <c r="U36" s="142">
        <f>IF(Brand_Profile!$E$34="",Lookup_Lists!$D$150,IF(Brand_Profile!$E$34=KOL_Database!$F$5,100,IF(Matching_Engine!$BE$36=KOL_Database!$E$5,75,IF(Matching_Engine!$BD$36&gt;=80,Lookup_Lists!$D$150,IF(Matching_Engine!$BD$36&gt;=60,35,Lookup_Lists!$D$151)))))</f>
        <v>20</v>
      </c>
      <c r="V36" s="142">
        <f>IF(Brand_Profile!$E$86=0,Lookup_Lists!$D$150,ROUND((IF(Brand_Profile!$E$81="",0,IF(ISNUMBER(SEARCH(Brand_Profile!$E$81,Matching_Engine!$BG$36)),1,0))+IF(Brand_Profile!$E$82="",0,IF(ISNUMBER(SEARCH(Brand_Profile!$E$82,Matching_Engine!$BG$36)),1,0))+IF(Brand_Profile!$E$83="",0,IF(ISNUMBER(SEARCH(Brand_Profile!$E$83,Matching_Engine!$BG$36)),1,0))+IF(Brand_Profile!$E$84="",0,IF(ISNUMBER(SEARCH(Brand_Profile!$E$84,Matching_Engine!$BG$36)),1,0))+IF(Brand_Profile!$E$85="",0,IF(ISNUMBER(SEARCH(Brand_Profile!$E$85,Matching_Engine!$BG$36)),1,0)))/Brand_Profile!$E$86*100,0))</f>
        <v>20</v>
      </c>
      <c r="W36" s="142">
        <f>IF(Brand_Profile!$E$39="",Lookup_Lists!$D$150,IFERROR(INDEX(Lookup_Lists!$B$237:$K$246,MATCH(Brand_Profile!$E$39,Lookup_Lists!$A$237:$A$246,0),MATCH(KOL_Database!$AJ$5,Lookup_Lists!$B$236:$K$236,0)),45))</f>
        <v>100</v>
      </c>
      <c r="X36" s="142">
        <f>ROUND((Matching_Engine!$T$36*Lookup_Lists!$D$121+Matching_Engine!$U$36*Lookup_Lists!$D$122+Matching_Engine!$V$36*Lookup_Lists!$D$123+Matching_Engine!$W$36*Lookup_Lists!$D$124)/(Lookup_Lists!$D$121+Lookup_Lists!$D$122+Lookup_Lists!$D$123+Lookup_Lists!$D$124),0)</f>
        <v>36</v>
      </c>
      <c r="Y36" s="142">
        <f>MIN(100,MAX(IFERROR(INDEX(Lookup_Lists!$B$202:$M$211,MATCH(Brand_Profile!$E$25,Lookup_Lists!$A$202:$A$211,0),MATCH(KOL_Database!$AK$5,Lookup_Lists!$B$201:$M$201,0)),40),IF(KOL_Database!$AK$5=Brand_Profile!$E$41,95,0)))</f>
        <v>95</v>
      </c>
      <c r="Z36" s="142">
        <f>IFERROR(INDEX(Lookup_Lists!$B$215:$K$222,MATCH(Brand_Profile!$E$27,Lookup_Lists!$A$215:$A$222,0),MATCH(KOL_Database!$AJ$5,Lookup_Lists!$B$214:$K$214,0)),45)</f>
        <v>70</v>
      </c>
      <c r="AA36" s="142">
        <f>ROUND((IF(Brand_Profile!$E$80=0,Lookup_Lists!$D$150,ROUND((IF(Brand_Profile!$E$75="",0,IF(ISNUMBER(SEARCH(Brand_Profile!$E$75,KOL_Database!$AL$5)),1,0))+IF(Brand_Profile!$E$76="",0,IF(ISNUMBER(SEARCH(Brand_Profile!$E$76,KOL_Database!$AL$5)),1,0))+IF(Brand_Profile!$E$77="",0,IF(ISNUMBER(SEARCH(Brand_Profile!$E$77,KOL_Database!$AL$5)),1,0))+IF(Brand_Profile!$E$78="",0,IF(ISNUMBER(SEARCH(Brand_Profile!$E$78,KOL_Database!$AL$5)),1,0))+IF(Brand_Profile!$E$79="",0,IF(ISNUMBER(SEARCH(Brand_Profile!$E$79,KOL_Database!$AL$5)),1,0)))/Brand_Profile!$E$80*100,0))+IF(Brand_Profile!$E$92=0,Lookup_Lists!$D$150,ROUND((IF(Brand_Profile!$E$87="",0,IF(ISNUMBER(SEARCH(Brand_Profile!$E$87,KOL_Database!$AL$5)),1,0))+IF(Brand_Profile!$E$88="",0,IF(ISNUMBER(SEARCH(Brand_Profile!$E$88,KOL_Database!$AL$5)),1,0))+IF(Brand_Profile!$E$89="",0,IF(ISNUMBER(SEARCH(Brand_Profile!$E$89,KOL_Database!$AL$5)),1,0))+IF(Brand_Profile!$E$90="",0,IF(ISNUMBER(SEARCH(Brand_Profile!$E$90,KOL_Database!$AL$5)),1,0))+IF(Brand_Profile!$E$91="",0,IF(ISNUMBER(SEARCH(Brand_Profile!$E$91,KOL_Database!$AL$5)),1,0)))/Brand_Profile!$E$92*100,0)))/2,0)</f>
        <v>40</v>
      </c>
      <c r="AB36" s="142">
        <f>IFERROR(INDEX(Lookup_Lists!$B$226:$K$233,MATCH(Brand_Profile!$E$30,Lookup_Lists!$A$226:$A$233,0),MATCH(KOL_Database!$AJ$5,Lookup_Lists!$B$225:$K$225,0)),45)</f>
        <v>65</v>
      </c>
      <c r="AC36" s="142">
        <f>ROUND((Matching_Engine!$Y$36*Lookup_Lists!$D$125+Matching_Engine!$Z$36*Lookup_Lists!$D$126+Matching_Engine!$AA$36*Lookup_Lists!$D$127+Matching_Engine!$AB$36*Lookup_Lists!$D$128)/(Lookup_Lists!$D$125+Lookup_Lists!$D$126+Lookup_Lists!$D$127+Lookup_Lists!$D$128),0)</f>
        <v>71</v>
      </c>
      <c r="AD36" s="142">
        <f>IF(KOL_Database!$K$5="",0,MIN(100,ROUND(KOL_Database!$K$5/Lookup_Lists!$D$141*100,0)))</f>
        <v>63</v>
      </c>
      <c r="AE36" s="142">
        <f>IF(KOL_Database!$R$5="",0,MIN(100,MAX(0,KOL_Database!$R$5)))</f>
        <v>83</v>
      </c>
      <c r="AF36" s="142">
        <f>IF(KOL_Database!$P$5="",0,MIN(100,MAX(0,KOL_Database!$P$5)))</f>
        <v>73</v>
      </c>
      <c r="AG36" s="142">
        <f>IF(KOL_Database!$Q$5="",0,MIN(100,MAX(0,KOL_Database!$Q$5)))</f>
        <v>66</v>
      </c>
      <c r="AH36" s="142">
        <f>IF(OR(KOL_Database!$J$5="",KOL_Database!$J$5=0,KOL_Database!$L$5=""),0,MIN(100,ROUND(KOL_Database!$L$5/KOL_Database!$J$5/Lookup_Lists!$D$144*100,0)))</f>
        <v>72</v>
      </c>
      <c r="AI36" s="142">
        <f>IF(KOL_Database!$N$5="",0,MIN(100,MAX(0,ROUND((KOL_Database!$N$5+2)/(Lookup_Lists!$D$145+2)*100,0))))</f>
        <v>47</v>
      </c>
      <c r="AJ36" s="142">
        <f>ROUND((Matching_Engine!$AD$36*Lookup_Lists!$D$129+Matching_Engine!$AE$36*Lookup_Lists!$D$130+Matching_Engine!$AF$36*Lookup_Lists!$D$131+Matching_Engine!$AG$36*Lookup_Lists!$D$132+Matching_Engine!$AH$36*Lookup_Lists!$D$133+Matching_Engine!$AI$36*Lookup_Lists!$D$134)/(Lookup_Lists!$D$129+Lookup_Lists!$D$130+Lookup_Lists!$D$131+Lookup_Lists!$D$132+Lookup_Lists!$D$133+Lookup_Lists!$D$134),0)</f>
        <v>69</v>
      </c>
      <c r="AK36" s="142">
        <f>IF(KOL_Database!$AT$5="",0,MIN(100,MAX(0,KOL_Database!$AT$5)))</f>
        <v>90</v>
      </c>
      <c r="AL36" s="142">
        <f>IF(KOL_Database!$AU$5="",0,KOL_Database!$AU$5)</f>
        <v>56</v>
      </c>
      <c r="AM36" s="89" t="str">
        <f>IF(KOL_Database!$AV$5="","None",KOL_Database!$AV$5)</f>
        <v>None</v>
      </c>
      <c r="AN36" s="143">
        <f>IF(Matching_Engine!$AM$36="High",Lookup_Lists!$D$137,IF(Matching_Engine!$AM$36="Medium",Lookup_Lists!$D$138,IF(Matching_Engine!$AM$36="Low",Lookup_Lists!$D$139,Lookup_Lists!$D$140)))</f>
        <v>1</v>
      </c>
      <c r="AO36" s="142">
        <f>ROUND(MIN(100,MAX(0,(Matching_Engine!$AK$36*Lookup_Lists!$D$135+(100-Matching_Engine!$AL$36)*Lookup_Lists!$D$136)/(Lookup_Lists!$D$135+Lookup_Lists!$D$136)*Matching_Engine!$AN$36)),0)</f>
        <v>81</v>
      </c>
      <c r="AP36" s="13">
        <f ca="1">ROUND((Matching_Engine!$N$36*Lookup_Lists!$D$104+Matching_Engine!$S$36*Lookup_Lists!$D$105+Matching_Engine!$X$36*Lookup_Lists!$D$106+Matching_Engine!$AC$36*Lookup_Lists!$D$107+Matching_Engine!$AJ$36*Lookup_Lists!$D$108+Matching_Engine!$AO$36*Lookup_Lists!$D$109)/MAX(1,(Lookup_Lists!$D$104+Lookup_Lists!$D$105+Lookup_Lists!$D$106+Lookup_Lists!$D$107+Lookup_Lists!$D$108+Lookup_Lists!$D$109)),0)</f>
        <v>51</v>
      </c>
      <c r="AQ36" s="89" t="str">
        <f ca="1">IF(Matching_Engine!$AP$36&gt;=Lookup_Lists!$D$152,"Excellent Match",IF(Matching_Engine!$AP$36&gt;=Lookup_Lists!$D$153,"Strong Match",IF(Matching_Engine!$AP$36&gt;=Lookup_Lists!$D$154,"Good Match",IF(Matching_Engine!$AP$36&gt;=Lookup_Lists!$D$155,"Moderate Match","Low Match"))))</f>
        <v>Low Match</v>
      </c>
      <c r="AR36" s="142">
        <f>KOL_Database!$BE$5</f>
        <v>100</v>
      </c>
      <c r="AS36" s="89" t="str">
        <f>IF(Matching_Engine!$AR$36&gt;=Lookup_Lists!$D$159,"High",IF(Matching_Engine!$AR$36&gt;=Lookup_Lists!$D$160,"Medium","Limited Data"))</f>
        <v>High</v>
      </c>
      <c r="AT36" s="142">
        <f>ROUND((Matching_Engine!$N$36+Matching_Engine!$X$36+Matching_Engine!$AC$36)/3,0)</f>
        <v>42</v>
      </c>
      <c r="AU36" s="142">
        <f>ROUND(((100-Matching_Engine!$AL$36)*Lookup_Lists!$D$162+IF(KOL_Database!$BD$5="",Lookup_Lists!$D$150,KOL_Database!$BD$5)*Lookup_Lists!$D$163+Matching_Engine!$AI$36*Lookup_Lists!$D$164+Matching_Engine!$AD$36*Lookup_Lists!$D$165)/(Lookup_Lists!$D$162+Lookup_Lists!$D$163+Lookup_Lists!$D$164+Lookup_Lists!$D$165),0)</f>
        <v>54</v>
      </c>
      <c r="AV36" s="89" t="str">
        <f ca="1">IF(Matching_Engine!$AW$36="","PASS","EXCLUDED")</f>
        <v>EXCLUDED</v>
      </c>
      <c r="AW36" s="89" t="str">
        <f ca="1">IF(ISERROR(SEARCH(KOL_Database!$D$5,Brand_Profile!$E$32)),"Platform not in Preferred Platform",IF(AND(Brand_Profile!$E$36&gt;0,KOL_Database!$J$5&lt;Brand_Profile!$E$36),"Followers below Preferred Follower Range",IF(AND(Brand_Profile!$E$37&gt;0,KOL_Database!$J$5&gt;Brand_Profile!$E$37),"Followers above Preferred Follower Range",IF(AND(Brand_Profile!$E$38&gt;0,IF(KOL_Database!$K$5="",0,KOL_Database!$K$5)&lt;Brand_Profile!$E$38),"Engagement Rate below Minimum Engagement Rate",IF(ISERROR(SEARCH(KOL_Database!$G$5,Brand_Profile!$E$35)),"Tier not in Preferred Tier",IF(AND(Brand_Profile!$E$43&gt;0,Matching_Engine!$AE$36&lt;Brand_Profile!$E$43),"Audience Quality below Minimum Audience Quality",IF(AND(Brand_Profile!$E$44&gt;0,Matching_Engine!$AK$36&lt;Brand_Profile!$E$44),"Brand Safety below Minimum Brand Safety",IF(AND(Brand_Profile!$E$47="Yes",KOL_Database!$AD$5&lt;&gt;Brand_Profile!$E$19),"Audience Country does not match Target Country",IF(AND(Brand_Profile!$E$46="Yes",KOL_Database!$E$5&lt;&gt;Brand_Profile!$E$33),"Category is not the Preferred Category",IF(AND(Brand_Profile!$E$48&gt;0,Matching_Engine!$AL$36&gt;Brand_Profile!$E$48),"Competitor Saturation above Max Competitor Saturation",IF(AND(Brand_Profile!$E$50="Yes",KOL_Database!$AW$5="Yes"),"Already Selected",IF(AND(Brand_Profile!$E$51="Yes",KOL_Database!$AX$5="Yes"),"Already in Cart",IF(AND(Brand_Profile!$E$52="Yes",KOL_Database!$AY$5="Yes"),"Existing Partner",IF(AND(Brand_Profile!$E$53="Yes",KOL_Database!$AZ$5="Yes"),"Excluded Creator",IF(AND(Brand_Profile!$E$49&gt;0,Matching_Engine!$AP$36&lt;Brand_Profile!$E$49),"Brand Match below Minimum Brand Match","")))))))))))))))</f>
        <v>Tier not in Preferred Tier</v>
      </c>
      <c r="AX36" s="89" t="str">
        <f ca="1">IF(Matching_Engine!$AV$36="EXCLUDED","Excluded",IF(Matching_Engine!$AP$36&gt;=Lookup_Lists!$D$156,"Highly Recommended",IF(Matching_Engine!$AP$36&gt;=Lookup_Lists!$D$157,"Recommended",IF(Matching_Engine!$AP$36&gt;=Lookup_Lists!$D$158,"Consider","Low Priority"))))</f>
        <v>Excluded</v>
      </c>
      <c r="AY36" s="142" t="str">
        <f ca="1">IF(Matching_Engine!$AV$36="PASS",Matching_Engine!$AP$36,"")</f>
        <v/>
      </c>
      <c r="AZ36" s="89" t="str">
        <f>Matching_Engine!$A$36&amp;"|"&amp;Matching_Engine!$C$36</f>
        <v>BRAND-B|KOL-01</v>
      </c>
      <c r="BA36" s="89" t="str">
        <f>IFERROR(INDEX(Lookup_Lists!$B$51:$B$92,MATCH(Brand_Profile!$E$12,Lookup_Lists!$A$51:$A$92,0)),"")</f>
        <v>Beauty</v>
      </c>
      <c r="BB36" s="89" t="str">
        <f>IFERROR(INDEX(Lookup_Lists!$B$51:$B$92,MATCH(KOL_Database!$F$5,Lookup_Lists!$A$51:$A$92,0)),"")</f>
        <v>Tech</v>
      </c>
      <c r="BC36" s="142">
        <f>IFERROR(INDEX(Lookup_Lists!$B$185:$O$198,MATCH(Matching_Engine!$BA$36,Lookup_Lists!$A$185:$A$198,0),MATCH(KOL_Database!$E$5,Lookup_Lists!$B$184:$O$184,0)),Lookup_Lists!$D$151)</f>
        <v>20</v>
      </c>
      <c r="BD36" s="142">
        <f>IFERROR(INDEX(Lookup_Lists!$B$185:$O$198,MATCH(Brand_Profile!$E$33,Lookup_Lists!$A$185:$A$198,0),MATCH(KOL_Database!$E$5,Lookup_Lists!$B$184:$O$184,0)),Lookup_Lists!$D$151)</f>
        <v>20</v>
      </c>
      <c r="BE36" s="89" t="str">
        <f>IFERROR(INDEX(Lookup_Lists!$B$51:$B$92,MATCH(Brand_Profile!$E$34,Lookup_Lists!$A$51:$A$92,0)),"")</f>
        <v>Beauty</v>
      </c>
      <c r="BF36" s="89" t="str">
        <f>KOL_Database!$AI$5&amp;", "&amp;KOL_Database!$AG$5&amp;", "&amp;KOL_Database!$F$5&amp;", "&amp;KOL_Database!$E$5</f>
        <v>Technology, Productivity, Business, Technology, Productivity, Business, Gaming, Shopping, Gadget Review, Tech</v>
      </c>
      <c r="BG36" s="89" t="str">
        <f>KOL_Database!$AI$5&amp;", "&amp;KOL_Database!$AG$5</f>
        <v>Technology, Productivity, Business, Technology, Productivity, Business, Gaming, Shopping</v>
      </c>
    </row>
    <row r="37" spans="1:59">
      <c r="A37" s="101" t="s">
        <v>118</v>
      </c>
      <c r="B37" s="89" t="str">
        <f>Brand_Profile!$E$9</f>
        <v>Lumaya Skin</v>
      </c>
      <c r="C37" s="89" t="str">
        <f>KOL_Database!$A$6</f>
        <v>KOL-02</v>
      </c>
      <c r="D37" s="89" t="str">
        <f>KOL_Database!$B$6</f>
        <v>Rifqi Pratama</v>
      </c>
      <c r="E37" s="89" t="str">
        <f>KOL_Database!$C$6</f>
        <v>@rifqi.codes</v>
      </c>
      <c r="F37" s="89" t="str">
        <f>KOL_Database!$D$6</f>
        <v>TikTok</v>
      </c>
      <c r="G37" s="89" t="str">
        <f>KOL_Database!$E$6</f>
        <v>Tech</v>
      </c>
      <c r="H37" s="89" t="str">
        <f>KOL_Database!$G$6</f>
        <v>Mid-tier</v>
      </c>
      <c r="I37" s="140">
        <f>KOL_Database!$J$6</f>
        <v>86000</v>
      </c>
      <c r="J37" s="141">
        <f>KOL_Database!$K$6</f>
        <v>6.2</v>
      </c>
      <c r="K37" s="142">
        <f>IFERROR(INDEX(Lookup_Lists!$B$170:$O$181,MATCH(Brand_Profile!$E$10,Lookup_Lists!$A$170:$A$181,0),MATCH(KOL_Database!$E$6,Lookup_Lists!$B$169:$O$169,0)),Lookup_Lists!$D$151)</f>
        <v>20</v>
      </c>
      <c r="L37" s="142">
        <f>IF(KOL_Database!$F$6="",Matching_Engine!$BC$37,IF(Brand_Profile!$E$12=KOL_Database!$F$6,100,IF(Matching_Engine!$BA$37=KOL_Database!$E$6,80,IF(Matching_Engine!$BC$37&gt;=80,60,IF(Matching_Engine!$BC$37&gt;=60,40,Lookup_Lists!$D$151)))))</f>
        <v>20</v>
      </c>
      <c r="M37" s="142">
        <f>ROUND((IF(Brand_Profile!$E$62=0,Lookup_Lists!$D$150,ROUND((IF(Brand_Profile!$E$57="",0,IF(ISNUMBER(SEARCH(Brand_Profile!$E$57,Matching_Engine!$BF$37)),1,0))+IF(Brand_Profile!$E$58="",0,IF(ISNUMBER(SEARCH(Brand_Profile!$E$58,Matching_Engine!$BF$37)),1,0))+IF(Brand_Profile!$E$59="",0,IF(ISNUMBER(SEARCH(Brand_Profile!$E$59,Matching_Engine!$BF$37)),1,0))+IF(Brand_Profile!$E$60="",0,IF(ISNUMBER(SEARCH(Brand_Profile!$E$60,Matching_Engine!$BF$37)),1,0))+IF(Brand_Profile!$E$61="",0,IF(ISNUMBER(SEARCH(Brand_Profile!$E$61,Matching_Engine!$BF$37)),1,0)))/Brand_Profile!$E$62*100,0))+IF(Brand_Profile!$E$74=0,Lookup_Lists!$D$150,ROUND((IF(Brand_Profile!$E$69="",0,IF(ISNUMBER(SEARCH(Brand_Profile!$E$69,Matching_Engine!$BF$37)),1,0))+IF(Brand_Profile!$E$70="",0,IF(ISNUMBER(SEARCH(Brand_Profile!$E$70,Matching_Engine!$BF$37)),1,0))+IF(Brand_Profile!$E$71="",0,IF(ISNUMBER(SEARCH(Brand_Profile!$E$71,Matching_Engine!$BF$37)),1,0))+IF(Brand_Profile!$E$72="",0,IF(ISNUMBER(SEARCH(Brand_Profile!$E$72,Matching_Engine!$BF$37)),1,0))+IF(Brand_Profile!$E$73="",0,IF(ISNUMBER(SEARCH(Brand_Profile!$E$73,Matching_Engine!$BF$37)),1,0)))/Brand_Profile!$E$74*100,0)))/2,0)</f>
        <v>0</v>
      </c>
      <c r="N37" s="142">
        <f>ROUND((Matching_Engine!$K$37*Lookup_Lists!$D$110+Matching_Engine!$L$37*Lookup_Lists!$D$111+Matching_Engine!$M$37*Lookup_Lists!$D$112)/(Lookup_Lists!$D$110+Lookup_Lists!$D$111+Lookup_Lists!$D$112),0)</f>
        <v>14</v>
      </c>
      <c r="O37" s="142">
        <f ca="1">IF(Brand_Profile!$E$16="",Lookup_Lists!$D$150,MIN(100,ROUND((IFERROR(INDEX(KOL_Database!$W$6:KOL_Database!$AA$6,1,MATCH(Brand_Profile!$E$16,Lookup_Lists!$F$6:$F$10,0)),0)+0.5*IFERROR(INDEX(KOL_Database!$W$6:KOL_Database!$AA$6,1,MATCH(Brand_Profile!$E$17,Lookup_Lists!$F$6:$F$10,0)),0))/Lookup_Lists!$D$142*100,0)))</f>
        <v>100</v>
      </c>
      <c r="P37" s="142">
        <f>IF(OR(Brand_Profile!$E$18="",Brand_Profile!$E$18="Any"),100,IF(Brand_Profile!$E$18="Female",MIN(100,ROUND(KOL_Database!$AB$6/Lookup_Lists!$D$143*100,0)),IF(Brand_Profile!$E$18="Male",MIN(100,ROUND(KOL_Database!$AC$6/Lookup_Lists!$D$143*100,0)),MAX(0,ROUND(100-ABS(KOL_Database!$AB$6-50)*2,0)))))</f>
        <v>40</v>
      </c>
      <c r="Q37" s="142">
        <f>ROUND((IF(Brand_Profile!$E$19="",100,IF(KOL_Database!$AD$6=Brand_Profile!$E$19,100,Lookup_Lists!$D$151))*Lookup_Lists!$D$118+IF(OR(Brand_Profile!$E$20="",Brand_Profile!$E$20="Nasional"),100,IF(KOL_Database!$AE$6="",Lookup_Lists!$D$150,IF(KOL_Database!$AE$6=Brand_Profile!$E$20,100,IF(KOL_Database!$AD$6=Brand_Profile!$E$19,40,Lookup_Lists!$D$151))))*Lookup_Lists!$D$119+IF(OR(Brand_Profile!$E$21="",Brand_Profile!$E$21="Nasional"),100,IF(KOL_Database!$AF$6="",Lookup_Lists!$D$150,IF(KOL_Database!$AF$6=Brand_Profile!$E$21,100,IF(KOL_Database!$AE$6=Brand_Profile!$E$20,60,Lookup_Lists!$D$151))))*Lookup_Lists!$D$120)/(Lookup_Lists!$D$118+Lookup_Lists!$D$119+Lookup_Lists!$D$120),0)</f>
        <v>80</v>
      </c>
      <c r="R37" s="142">
        <f>IF(Brand_Profile!$E$68=0,Lookup_Lists!$D$150,ROUND((IF(Brand_Profile!$E$63="",0,IF(ISNUMBER(SEARCH(Brand_Profile!$E$63,KOL_Database!$AG$6)),1,0))+IF(Brand_Profile!$E$64="",0,IF(ISNUMBER(SEARCH(Brand_Profile!$E$64,KOL_Database!$AG$6)),1,0))+IF(Brand_Profile!$E$65="",0,IF(ISNUMBER(SEARCH(Brand_Profile!$E$65,KOL_Database!$AG$6)),1,0))+IF(Brand_Profile!$E$66="",0,IF(ISNUMBER(SEARCH(Brand_Profile!$E$66,KOL_Database!$AG$6)),1,0))+IF(Brand_Profile!$E$67="",0,IF(ISNUMBER(SEARCH(Brand_Profile!$E$67,KOL_Database!$AG$6)),1,0)))/Brand_Profile!$E$68*100,0))</f>
        <v>0</v>
      </c>
      <c r="S37" s="142">
        <f ca="1">ROUND((Matching_Engine!$O$37*Brand_Profile!$E$96+Matching_Engine!$P$37*Brand_Profile!$E$97+Matching_Engine!$Q$37*Brand_Profile!$E$98+Matching_Engine!$R$37*Brand_Profile!$E$99)/MAX(1,Brand_Profile!$E$96+Brand_Profile!$E$97+Brand_Profile!$E$98+Brand_Profile!$E$99),0)</f>
        <v>53</v>
      </c>
      <c r="T37" s="142">
        <f>IF(Brand_Profile!$E$33="",Lookup_Lists!$D$150,Matching_Engine!$BD$37)</f>
        <v>20</v>
      </c>
      <c r="U37" s="142">
        <f>IF(Brand_Profile!$E$34="",Lookup_Lists!$D$150,IF(Brand_Profile!$E$34=KOL_Database!$F$6,100,IF(Matching_Engine!$BE$37=KOL_Database!$E$6,75,IF(Matching_Engine!$BD$37&gt;=80,Lookup_Lists!$D$150,IF(Matching_Engine!$BD$37&gt;=60,35,Lookup_Lists!$D$151)))))</f>
        <v>20</v>
      </c>
      <c r="V37" s="142">
        <f>IF(Brand_Profile!$E$86=0,Lookup_Lists!$D$150,ROUND((IF(Brand_Profile!$E$81="",0,IF(ISNUMBER(SEARCH(Brand_Profile!$E$81,Matching_Engine!$BG$37)),1,0))+IF(Brand_Profile!$E$82="",0,IF(ISNUMBER(SEARCH(Brand_Profile!$E$82,Matching_Engine!$BG$37)),1,0))+IF(Brand_Profile!$E$83="",0,IF(ISNUMBER(SEARCH(Brand_Profile!$E$83,Matching_Engine!$BG$37)),1,0))+IF(Brand_Profile!$E$84="",0,IF(ISNUMBER(SEARCH(Brand_Profile!$E$84,Matching_Engine!$BG$37)),1,0))+IF(Brand_Profile!$E$85="",0,IF(ISNUMBER(SEARCH(Brand_Profile!$E$85,Matching_Engine!$BG$37)),1,0)))/Brand_Profile!$E$86*100,0))</f>
        <v>0</v>
      </c>
      <c r="W37" s="142">
        <f>IF(Brand_Profile!$E$39="",Lookup_Lists!$D$150,IFERROR(INDEX(Lookup_Lists!$B$237:$K$246,MATCH(Brand_Profile!$E$39,Lookup_Lists!$A$237:$A$246,0),MATCH(KOL_Database!$AJ$6,Lookup_Lists!$B$236:$K$236,0)),45))</f>
        <v>80</v>
      </c>
      <c r="X37" s="142">
        <f>ROUND((Matching_Engine!$T$37*Lookup_Lists!$D$121+Matching_Engine!$U$37*Lookup_Lists!$D$122+Matching_Engine!$V$37*Lookup_Lists!$D$123+Matching_Engine!$W$37*Lookup_Lists!$D$124)/(Lookup_Lists!$D$121+Lookup_Lists!$D$122+Lookup_Lists!$D$123+Lookup_Lists!$D$124),0)</f>
        <v>26</v>
      </c>
      <c r="Y37" s="142">
        <f>MIN(100,MAX(IFERROR(INDEX(Lookup_Lists!$B$202:$M$211,MATCH(Brand_Profile!$E$25,Lookup_Lists!$A$202:$A$211,0),MATCH(KOL_Database!$AK$6,Lookup_Lists!$B$201:$M$201,0)),40),IF(KOL_Database!$AK$6=Brand_Profile!$E$41,95,0)))</f>
        <v>55</v>
      </c>
      <c r="Z37" s="142">
        <f>IFERROR(INDEX(Lookup_Lists!$B$215:$K$222,MATCH(Brand_Profile!$E$27,Lookup_Lists!$A$215:$A$222,0),MATCH(KOL_Database!$AJ$6,Lookup_Lists!$B$214:$K$214,0)),45)</f>
        <v>65</v>
      </c>
      <c r="AA37" s="142">
        <f>ROUND((IF(Brand_Profile!$E$80=0,Lookup_Lists!$D$150,ROUND((IF(Brand_Profile!$E$75="",0,IF(ISNUMBER(SEARCH(Brand_Profile!$E$75,KOL_Database!$AL$6)),1,0))+IF(Brand_Profile!$E$76="",0,IF(ISNUMBER(SEARCH(Brand_Profile!$E$76,KOL_Database!$AL$6)),1,0))+IF(Brand_Profile!$E$77="",0,IF(ISNUMBER(SEARCH(Brand_Profile!$E$77,KOL_Database!$AL$6)),1,0))+IF(Brand_Profile!$E$78="",0,IF(ISNUMBER(SEARCH(Brand_Profile!$E$78,KOL_Database!$AL$6)),1,0))+IF(Brand_Profile!$E$79="",0,IF(ISNUMBER(SEARCH(Brand_Profile!$E$79,KOL_Database!$AL$6)),1,0)))/Brand_Profile!$E$80*100,0))+IF(Brand_Profile!$E$92=0,Lookup_Lists!$D$150,ROUND((IF(Brand_Profile!$E$87="",0,IF(ISNUMBER(SEARCH(Brand_Profile!$E$87,KOL_Database!$AL$6)),1,0))+IF(Brand_Profile!$E$88="",0,IF(ISNUMBER(SEARCH(Brand_Profile!$E$88,KOL_Database!$AL$6)),1,0))+IF(Brand_Profile!$E$89="",0,IF(ISNUMBER(SEARCH(Brand_Profile!$E$89,KOL_Database!$AL$6)),1,0))+IF(Brand_Profile!$E$90="",0,IF(ISNUMBER(SEARCH(Brand_Profile!$E$90,KOL_Database!$AL$6)),1,0))+IF(Brand_Profile!$E$91="",0,IF(ISNUMBER(SEARCH(Brand_Profile!$E$91,KOL_Database!$AL$6)),1,0)))/Brand_Profile!$E$92*100,0)))/2,0)</f>
        <v>20</v>
      </c>
      <c r="AB37" s="142">
        <f>IFERROR(INDEX(Lookup_Lists!$B$226:$K$233,MATCH(Brand_Profile!$E$30,Lookup_Lists!$A$226:$A$233,0),MATCH(KOL_Database!$AJ$6,Lookup_Lists!$B$225:$K$225,0)),45)</f>
        <v>55</v>
      </c>
      <c r="AC37" s="142">
        <f>ROUND((Matching_Engine!$Y$37*Lookup_Lists!$D$125+Matching_Engine!$Z$37*Lookup_Lists!$D$126+Matching_Engine!$AA$37*Lookup_Lists!$D$127+Matching_Engine!$AB$37*Lookup_Lists!$D$128)/(Lookup_Lists!$D$125+Lookup_Lists!$D$126+Lookup_Lists!$D$127+Lookup_Lists!$D$128),0)</f>
        <v>49</v>
      </c>
      <c r="AD37" s="142">
        <f>IF(KOL_Database!$K$6="",0,MIN(100,ROUND(KOL_Database!$K$6/Lookup_Lists!$D$141*100,0)))</f>
        <v>100</v>
      </c>
      <c r="AE37" s="142">
        <f>IF(KOL_Database!$R$6="",0,MIN(100,MAX(0,KOL_Database!$R$6)))</f>
        <v>75</v>
      </c>
      <c r="AF37" s="142">
        <f>IF(KOL_Database!$P$6="",0,MIN(100,MAX(0,KOL_Database!$P$6)))</f>
        <v>56</v>
      </c>
      <c r="AG37" s="142">
        <f>IF(KOL_Database!$Q$6="",0,MIN(100,MAX(0,KOL_Database!$Q$6)))</f>
        <v>92</v>
      </c>
      <c r="AH37" s="142">
        <f>IF(OR(KOL_Database!$J$6="",KOL_Database!$J$6=0,KOL_Database!$L$6=""),0,MIN(100,ROUND(KOL_Database!$L$6/KOL_Database!$J$6/Lookup_Lists!$D$144*100,0)))</f>
        <v>100</v>
      </c>
      <c r="AI37" s="142">
        <f>IF(KOL_Database!$N$6="",0,MIN(100,MAX(0,ROUND((KOL_Database!$N$6+2)/(Lookup_Lists!$D$145+2)*100,0))))</f>
        <v>69</v>
      </c>
      <c r="AJ37" s="142">
        <f>ROUND((Matching_Engine!$AD$37*Lookup_Lists!$D$129+Matching_Engine!$AE$37*Lookup_Lists!$D$130+Matching_Engine!$AF$37*Lookup_Lists!$D$131+Matching_Engine!$AG$37*Lookup_Lists!$D$132+Matching_Engine!$AH$37*Lookup_Lists!$D$133+Matching_Engine!$AI$37*Lookup_Lists!$D$134)/(Lookup_Lists!$D$129+Lookup_Lists!$D$130+Lookup_Lists!$D$131+Lookup_Lists!$D$132+Lookup_Lists!$D$133+Lookup_Lists!$D$134),0)</f>
        <v>84</v>
      </c>
      <c r="AK37" s="142">
        <f>IF(KOL_Database!$AT$6="",0,MIN(100,MAX(0,KOL_Database!$AT$6)))</f>
        <v>82</v>
      </c>
      <c r="AL37" s="142">
        <f>IF(KOL_Database!$AU$6="",0,KOL_Database!$AU$6)</f>
        <v>40</v>
      </c>
      <c r="AM37" s="89" t="str">
        <f>IF(KOL_Database!$AV$6="","None",KOL_Database!$AV$6)</f>
        <v>None</v>
      </c>
      <c r="AN37" s="143">
        <f>IF(Matching_Engine!$AM$37="High",Lookup_Lists!$D$137,IF(Matching_Engine!$AM$37="Medium",Lookup_Lists!$D$138,IF(Matching_Engine!$AM$37="Low",Lookup_Lists!$D$139,Lookup_Lists!$D$140)))</f>
        <v>1</v>
      </c>
      <c r="AO37" s="142">
        <f>ROUND(MIN(100,MAX(0,(Matching_Engine!$AK$37*Lookup_Lists!$D$135+(100-Matching_Engine!$AL$37)*Lookup_Lists!$D$136)/(Lookup_Lists!$D$135+Lookup_Lists!$D$136)*Matching_Engine!$AN$37)),0)</f>
        <v>78</v>
      </c>
      <c r="AP37" s="13">
        <f ca="1">ROUND((Matching_Engine!$N$37*Lookup_Lists!$D$104+Matching_Engine!$S$37*Lookup_Lists!$D$105+Matching_Engine!$X$37*Lookup_Lists!$D$106+Matching_Engine!$AC$37*Lookup_Lists!$D$107+Matching_Engine!$AJ$37*Lookup_Lists!$D$108+Matching_Engine!$AO$37*Lookup_Lists!$D$109)/MAX(1,(Lookup_Lists!$D$104+Lookup_Lists!$D$105+Lookup_Lists!$D$106+Lookup_Lists!$D$107+Lookup_Lists!$D$108+Lookup_Lists!$D$109)),0)</f>
        <v>45</v>
      </c>
      <c r="AQ37" s="89" t="str">
        <f ca="1">IF(Matching_Engine!$AP$37&gt;=Lookup_Lists!$D$152,"Excellent Match",IF(Matching_Engine!$AP$37&gt;=Lookup_Lists!$D$153,"Strong Match",IF(Matching_Engine!$AP$37&gt;=Lookup_Lists!$D$154,"Good Match",IF(Matching_Engine!$AP$37&gt;=Lookup_Lists!$D$155,"Moderate Match","Low Match"))))</f>
        <v>Low Match</v>
      </c>
      <c r="AR37" s="142">
        <f>KOL_Database!$BE$6</f>
        <v>100</v>
      </c>
      <c r="AS37" s="89" t="str">
        <f>IF(Matching_Engine!$AR$37&gt;=Lookup_Lists!$D$159,"High",IF(Matching_Engine!$AR$37&gt;=Lookup_Lists!$D$160,"Medium","Limited Data"))</f>
        <v>High</v>
      </c>
      <c r="AT37" s="142">
        <f>ROUND((Matching_Engine!$N$37+Matching_Engine!$X$37+Matching_Engine!$AC$37)/3,0)</f>
        <v>30</v>
      </c>
      <c r="AU37" s="142">
        <f>ROUND(((100-Matching_Engine!$AL$37)*Lookup_Lists!$D$162+IF(KOL_Database!$BD$6="",Lookup_Lists!$D$150,KOL_Database!$BD$6)*Lookup_Lists!$D$163+Matching_Engine!$AI$37*Lookup_Lists!$D$164+Matching_Engine!$AD$37*Lookup_Lists!$D$165)/(Lookup_Lists!$D$162+Lookup_Lists!$D$163+Lookup_Lists!$D$164+Lookup_Lists!$D$165),0)</f>
        <v>78</v>
      </c>
      <c r="AV37" s="89" t="str">
        <f ca="1">IF(Matching_Engine!$AW$37="","PASS","EXCLUDED")</f>
        <v>PASS</v>
      </c>
      <c r="AW37" s="89" t="str">
        <f ca="1">IF(ISERROR(SEARCH(KOL_Database!$D$6,Brand_Profile!$E$32)),"Platform not in Preferred Platform",IF(AND(Brand_Profile!$E$36&gt;0,KOL_Database!$J$6&lt;Brand_Profile!$E$36),"Followers below Preferred Follower Range",IF(AND(Brand_Profile!$E$37&gt;0,KOL_Database!$J$6&gt;Brand_Profile!$E$37),"Followers above Preferred Follower Range",IF(AND(Brand_Profile!$E$38&gt;0,IF(KOL_Database!$K$6="",0,KOL_Database!$K$6)&lt;Brand_Profile!$E$38),"Engagement Rate below Minimum Engagement Rate",IF(ISERROR(SEARCH(KOL_Database!$G$6,Brand_Profile!$E$35)),"Tier not in Preferred Tier",IF(AND(Brand_Profile!$E$43&gt;0,Matching_Engine!$AE$37&lt;Brand_Profile!$E$43),"Audience Quality below Minimum Audience Quality",IF(AND(Brand_Profile!$E$44&gt;0,Matching_Engine!$AK$37&lt;Brand_Profile!$E$44),"Brand Safety below Minimum Brand Safety",IF(AND(Brand_Profile!$E$47="Yes",KOL_Database!$AD$6&lt;&gt;Brand_Profile!$E$19),"Audience Country does not match Target Country",IF(AND(Brand_Profile!$E$46="Yes",KOL_Database!$E$6&lt;&gt;Brand_Profile!$E$33),"Category is not the Preferred Category",IF(AND(Brand_Profile!$E$48&gt;0,Matching_Engine!$AL$37&gt;Brand_Profile!$E$48),"Competitor Saturation above Max Competitor Saturation",IF(AND(Brand_Profile!$E$50="Yes",KOL_Database!$AW$6="Yes"),"Already Selected",IF(AND(Brand_Profile!$E$51="Yes",KOL_Database!$AX$6="Yes"),"Already in Cart",IF(AND(Brand_Profile!$E$52="Yes",KOL_Database!$AY$6="Yes"),"Existing Partner",IF(AND(Brand_Profile!$E$53="Yes",KOL_Database!$AZ$6="Yes"),"Excluded Creator",IF(AND(Brand_Profile!$E$49&gt;0,Matching_Engine!$AP$37&lt;Brand_Profile!$E$49),"Brand Match below Minimum Brand Match","")))))))))))))))</f>
        <v/>
      </c>
      <c r="AX37" s="89" t="str">
        <f ca="1">IF(Matching_Engine!$AV$37="EXCLUDED","Excluded",IF(Matching_Engine!$AP$37&gt;=Lookup_Lists!$D$156,"Highly Recommended",IF(Matching_Engine!$AP$37&gt;=Lookup_Lists!$D$157,"Recommended",IF(Matching_Engine!$AP$37&gt;=Lookup_Lists!$D$158,"Consider","Low Priority"))))</f>
        <v>Low Priority</v>
      </c>
      <c r="AY37" s="142">
        <f ca="1">IF(Matching_Engine!$AV$37="PASS",Matching_Engine!$AP$37,"")</f>
        <v>45</v>
      </c>
      <c r="AZ37" s="89" t="str">
        <f>Matching_Engine!$A$37&amp;"|"&amp;Matching_Engine!$C$37</f>
        <v>BRAND-B|KOL-02</v>
      </c>
      <c r="BA37" s="89" t="str">
        <f>IFERROR(INDEX(Lookup_Lists!$B$51:$B$92,MATCH(Brand_Profile!$E$12,Lookup_Lists!$A$51:$A$92,0)),"")</f>
        <v>Beauty</v>
      </c>
      <c r="BB37" s="89" t="str">
        <f>IFERROR(INDEX(Lookup_Lists!$B$51:$B$92,MATCH(KOL_Database!$F$6,Lookup_Lists!$A$51:$A$92,0)),"")</f>
        <v>Tech</v>
      </c>
      <c r="BC37" s="142">
        <f>IFERROR(INDEX(Lookup_Lists!$B$185:$O$198,MATCH(Matching_Engine!$BA$37,Lookup_Lists!$A$185:$A$198,0),MATCH(KOL_Database!$E$6,Lookup_Lists!$B$184:$O$184,0)),Lookup_Lists!$D$151)</f>
        <v>20</v>
      </c>
      <c r="BD37" s="142">
        <f>IFERROR(INDEX(Lookup_Lists!$B$185:$O$198,MATCH(Brand_Profile!$E$33,Lookup_Lists!$A$185:$A$198,0),MATCH(KOL_Database!$E$6,Lookup_Lists!$B$184:$O$184,0)),Lookup_Lists!$D$151)</f>
        <v>20</v>
      </c>
      <c r="BE37" s="89" t="str">
        <f>IFERROR(INDEX(Lookup_Lists!$B$51:$B$92,MATCH(Brand_Profile!$E$34,Lookup_Lists!$A$51:$A$92,0)),"")</f>
        <v>Beauty</v>
      </c>
      <c r="BF37" s="89" t="str">
        <f>KOL_Database!$AI$6&amp;", "&amp;KOL_Database!$AG$6&amp;", "&amp;KOL_Database!$F$6&amp;", "&amp;KOL_Database!$E$6</f>
        <v>Technology, Productivity, Education, Business, Technology, Productivity, Education, Business, Finance, Software &amp; SaaS, Tech</v>
      </c>
      <c r="BG37" s="89" t="str">
        <f>KOL_Database!$AI$6&amp;", "&amp;KOL_Database!$AG$6</f>
        <v>Technology, Productivity, Education, Business, Technology, Productivity, Education, Business, Finance</v>
      </c>
    </row>
    <row r="38" spans="1:59">
      <c r="A38" s="101" t="s">
        <v>118</v>
      </c>
      <c r="B38" s="89" t="str">
        <f>Brand_Profile!$E$9</f>
        <v>Lumaya Skin</v>
      </c>
      <c r="C38" s="89" t="str">
        <f>KOL_Database!$A$7</f>
        <v>KOL-03</v>
      </c>
      <c r="D38" s="89" t="str">
        <f>KOL_Database!$B$7</f>
        <v>Salsa Aulia</v>
      </c>
      <c r="E38" s="89" t="str">
        <f>KOL_Database!$C$7</f>
        <v>@salsabeautydiary</v>
      </c>
      <c r="F38" s="89" t="str">
        <f>KOL_Database!$D$7</f>
        <v>Instagram</v>
      </c>
      <c r="G38" s="89" t="str">
        <f>KOL_Database!$E$7</f>
        <v>Beauty</v>
      </c>
      <c r="H38" s="89" t="str">
        <f>KOL_Database!$G$7</f>
        <v>Macro</v>
      </c>
      <c r="I38" s="140">
        <f>KOL_Database!$J$7</f>
        <v>240000</v>
      </c>
      <c r="J38" s="141">
        <f>KOL_Database!$K$7</f>
        <v>4.4</v>
      </c>
      <c r="K38" s="142">
        <f>IFERROR(INDEX(Lookup_Lists!$B$170:$O$181,MATCH(Brand_Profile!$E$10,Lookup_Lists!$A$170:$A$181,0),MATCH(KOL_Database!$E$7,Lookup_Lists!$B$169:$O$169,0)),Lookup_Lists!$D$151)</f>
        <v>100</v>
      </c>
      <c r="L38" s="142">
        <f>IF(KOL_Database!$F$7="",Matching_Engine!$BC$38,IF(Brand_Profile!$E$12=KOL_Database!$F$7,100,IF(Matching_Engine!$BA$38=KOL_Database!$E$7,80,IF(Matching_Engine!$BC$38&gt;=80,60,IF(Matching_Engine!$BC$38&gt;=60,40,Lookup_Lists!$D$151)))))</f>
        <v>100</v>
      </c>
      <c r="M38" s="142">
        <f>ROUND((IF(Brand_Profile!$E$62=0,Lookup_Lists!$D$150,ROUND((IF(Brand_Profile!$E$57="",0,IF(ISNUMBER(SEARCH(Brand_Profile!$E$57,Matching_Engine!$BF$38)),1,0))+IF(Brand_Profile!$E$58="",0,IF(ISNUMBER(SEARCH(Brand_Profile!$E$58,Matching_Engine!$BF$38)),1,0))+IF(Brand_Profile!$E$59="",0,IF(ISNUMBER(SEARCH(Brand_Profile!$E$59,Matching_Engine!$BF$38)),1,0))+IF(Brand_Profile!$E$60="",0,IF(ISNUMBER(SEARCH(Brand_Profile!$E$60,Matching_Engine!$BF$38)),1,0))+IF(Brand_Profile!$E$61="",0,IF(ISNUMBER(SEARCH(Brand_Profile!$E$61,Matching_Engine!$BF$38)),1,0)))/Brand_Profile!$E$62*100,0))+IF(Brand_Profile!$E$74=0,Lookup_Lists!$D$150,ROUND((IF(Brand_Profile!$E$69="",0,IF(ISNUMBER(SEARCH(Brand_Profile!$E$69,Matching_Engine!$BF$38)),1,0))+IF(Brand_Profile!$E$70="",0,IF(ISNUMBER(SEARCH(Brand_Profile!$E$70,Matching_Engine!$BF$38)),1,0))+IF(Brand_Profile!$E$71="",0,IF(ISNUMBER(SEARCH(Brand_Profile!$E$71,Matching_Engine!$BF$38)),1,0))+IF(Brand_Profile!$E$72="",0,IF(ISNUMBER(SEARCH(Brand_Profile!$E$72,Matching_Engine!$BF$38)),1,0))+IF(Brand_Profile!$E$73="",0,IF(ISNUMBER(SEARCH(Brand_Profile!$E$73,Matching_Engine!$BF$38)),1,0)))/Brand_Profile!$E$74*100,0)))/2,0)</f>
        <v>100</v>
      </c>
      <c r="N38" s="142">
        <f>ROUND((Matching_Engine!$K$38*Lookup_Lists!$D$110+Matching_Engine!$L$38*Lookup_Lists!$D$111+Matching_Engine!$M$38*Lookup_Lists!$D$112)/(Lookup_Lists!$D$110+Lookup_Lists!$D$111+Lookup_Lists!$D$112),0)</f>
        <v>100</v>
      </c>
      <c r="O38" s="142">
        <f ca="1">IF(Brand_Profile!$E$16="",Lookup_Lists!$D$150,MIN(100,ROUND((IFERROR(INDEX(KOL_Database!$W$7:KOL_Database!$AA$7,1,MATCH(Brand_Profile!$E$16,Lookup_Lists!$F$6:$F$10,0)),0)+0.5*IFERROR(INDEX(KOL_Database!$W$7:KOL_Database!$AA$7,1,MATCH(Brand_Profile!$E$17,Lookup_Lists!$F$6:$F$10,0)),0))/Lookup_Lists!$D$142*100,0)))</f>
        <v>100</v>
      </c>
      <c r="P38" s="142">
        <f>IF(OR(Brand_Profile!$E$18="",Brand_Profile!$E$18="Any"),100,IF(Brand_Profile!$E$18="Female",MIN(100,ROUND(KOL_Database!$AB$7/Lookup_Lists!$D$143*100,0)),IF(Brand_Profile!$E$18="Male",MIN(100,ROUND(KOL_Database!$AC$7/Lookup_Lists!$D$143*100,0)),MAX(0,ROUND(100-ABS(KOL_Database!$AB$7-50)*2,0)))))</f>
        <v>100</v>
      </c>
      <c r="Q38" s="142">
        <f>ROUND((IF(Brand_Profile!$E$19="",100,IF(KOL_Database!$AD$7=Brand_Profile!$E$19,100,Lookup_Lists!$D$151))*Lookup_Lists!$D$118+IF(OR(Brand_Profile!$E$20="",Brand_Profile!$E$20="Nasional"),100,IF(KOL_Database!$AE$7="",Lookup_Lists!$D$150,IF(KOL_Database!$AE$7=Brand_Profile!$E$20,100,IF(KOL_Database!$AD$7=Brand_Profile!$E$19,40,Lookup_Lists!$D$151))))*Lookup_Lists!$D$119+IF(OR(Brand_Profile!$E$21="",Brand_Profile!$E$21="Nasional"),100,IF(KOL_Database!$AF$7="",Lookup_Lists!$D$150,IF(KOL_Database!$AF$7=Brand_Profile!$E$21,100,IF(KOL_Database!$AE$7=Brand_Profile!$E$20,60,Lookup_Lists!$D$151))))*Lookup_Lists!$D$120)/(Lookup_Lists!$D$118+Lookup_Lists!$D$119+Lookup_Lists!$D$120),0)</f>
        <v>100</v>
      </c>
      <c r="R38" s="142">
        <f>IF(Brand_Profile!$E$68=0,Lookup_Lists!$D$150,ROUND((IF(Brand_Profile!$E$63="",0,IF(ISNUMBER(SEARCH(Brand_Profile!$E$63,KOL_Database!$AG$7)),1,0))+IF(Brand_Profile!$E$64="",0,IF(ISNUMBER(SEARCH(Brand_Profile!$E$64,KOL_Database!$AG$7)),1,0))+IF(Brand_Profile!$E$65="",0,IF(ISNUMBER(SEARCH(Brand_Profile!$E$65,KOL_Database!$AG$7)),1,0))+IF(Brand_Profile!$E$66="",0,IF(ISNUMBER(SEARCH(Brand_Profile!$E$66,KOL_Database!$AG$7)),1,0))+IF(Brand_Profile!$E$67="",0,IF(ISNUMBER(SEARCH(Brand_Profile!$E$67,KOL_Database!$AG$7)),1,0)))/Brand_Profile!$E$68*100,0))</f>
        <v>80</v>
      </c>
      <c r="S38" s="142">
        <f ca="1">ROUND((Matching_Engine!$O$38*Brand_Profile!$E$96+Matching_Engine!$P$38*Brand_Profile!$E$97+Matching_Engine!$Q$38*Brand_Profile!$E$98+Matching_Engine!$R$38*Brand_Profile!$E$99)/MAX(1,Brand_Profile!$E$96+Brand_Profile!$E$97+Brand_Profile!$E$98+Brand_Profile!$E$99),0)</f>
        <v>95</v>
      </c>
      <c r="T38" s="142">
        <f>IF(Brand_Profile!$E$33="",Lookup_Lists!$D$150,Matching_Engine!$BD$38)</f>
        <v>100</v>
      </c>
      <c r="U38" s="142">
        <f>IF(Brand_Profile!$E$34="",Lookup_Lists!$D$150,IF(Brand_Profile!$E$34=KOL_Database!$F$7,100,IF(Matching_Engine!$BE$38=KOL_Database!$E$7,75,IF(Matching_Engine!$BD$38&gt;=80,Lookup_Lists!$D$150,IF(Matching_Engine!$BD$38&gt;=60,35,Lookup_Lists!$D$151)))))</f>
        <v>100</v>
      </c>
      <c r="V38" s="142">
        <f>IF(Brand_Profile!$E$86=0,Lookup_Lists!$D$150,ROUND((IF(Brand_Profile!$E$81="",0,IF(ISNUMBER(SEARCH(Brand_Profile!$E$81,Matching_Engine!$BG$38)),1,0))+IF(Brand_Profile!$E$82="",0,IF(ISNUMBER(SEARCH(Brand_Profile!$E$82,Matching_Engine!$BG$38)),1,0))+IF(Brand_Profile!$E$83="",0,IF(ISNUMBER(SEARCH(Brand_Profile!$E$83,Matching_Engine!$BG$38)),1,0))+IF(Brand_Profile!$E$84="",0,IF(ISNUMBER(SEARCH(Brand_Profile!$E$84,Matching_Engine!$BG$38)),1,0))+IF(Brand_Profile!$E$85="",0,IF(ISNUMBER(SEARCH(Brand_Profile!$E$85,Matching_Engine!$BG$38)),1,0)))/Brand_Profile!$E$86*100,0))</f>
        <v>100</v>
      </c>
      <c r="W38" s="142">
        <f>IF(Brand_Profile!$E$39="",Lookup_Lists!$D$150,IFERROR(INDEX(Lookup_Lists!$B$237:$K$246,MATCH(Brand_Profile!$E$39,Lookup_Lists!$A$237:$A$246,0),MATCH(KOL_Database!$AJ$7,Lookup_Lists!$B$236:$K$236,0)),45))</f>
        <v>100</v>
      </c>
      <c r="X38" s="142">
        <f>ROUND((Matching_Engine!$T$38*Lookup_Lists!$D$121+Matching_Engine!$U$38*Lookup_Lists!$D$122+Matching_Engine!$V$38*Lookup_Lists!$D$123+Matching_Engine!$W$38*Lookup_Lists!$D$124)/(Lookup_Lists!$D$121+Lookup_Lists!$D$122+Lookup_Lists!$D$123+Lookup_Lists!$D$124),0)</f>
        <v>100</v>
      </c>
      <c r="Y38" s="142">
        <f>MIN(100,MAX(IFERROR(INDEX(Lookup_Lists!$B$202:$M$211,MATCH(Brand_Profile!$E$25,Lookup_Lists!$A$202:$A$211,0),MATCH(KOL_Database!$AK$7,Lookup_Lists!$B$201:$M$201,0)),40),IF(KOL_Database!$AK$7=Brand_Profile!$E$41,95,0)))</f>
        <v>95</v>
      </c>
      <c r="Z38" s="142">
        <f>IFERROR(INDEX(Lookup_Lists!$B$215:$K$222,MATCH(Brand_Profile!$E$27,Lookup_Lists!$A$215:$A$222,0),MATCH(KOL_Database!$AJ$7,Lookup_Lists!$B$214:$K$214,0)),45)</f>
        <v>70</v>
      </c>
      <c r="AA38" s="142">
        <f>ROUND((IF(Brand_Profile!$E$80=0,Lookup_Lists!$D$150,ROUND((IF(Brand_Profile!$E$75="",0,IF(ISNUMBER(SEARCH(Brand_Profile!$E$75,KOL_Database!$AL$7)),1,0))+IF(Brand_Profile!$E$76="",0,IF(ISNUMBER(SEARCH(Brand_Profile!$E$76,KOL_Database!$AL$7)),1,0))+IF(Brand_Profile!$E$77="",0,IF(ISNUMBER(SEARCH(Brand_Profile!$E$77,KOL_Database!$AL$7)),1,0))+IF(Brand_Profile!$E$78="",0,IF(ISNUMBER(SEARCH(Brand_Profile!$E$78,KOL_Database!$AL$7)),1,0))+IF(Brand_Profile!$E$79="",0,IF(ISNUMBER(SEARCH(Brand_Profile!$E$79,KOL_Database!$AL$7)),1,0)))/Brand_Profile!$E$80*100,0))+IF(Brand_Profile!$E$92=0,Lookup_Lists!$D$150,ROUND((IF(Brand_Profile!$E$87="",0,IF(ISNUMBER(SEARCH(Brand_Profile!$E$87,KOL_Database!$AL$7)),1,0))+IF(Brand_Profile!$E$88="",0,IF(ISNUMBER(SEARCH(Brand_Profile!$E$88,KOL_Database!$AL$7)),1,0))+IF(Brand_Profile!$E$89="",0,IF(ISNUMBER(SEARCH(Brand_Profile!$E$89,KOL_Database!$AL$7)),1,0))+IF(Brand_Profile!$E$90="",0,IF(ISNUMBER(SEARCH(Brand_Profile!$E$90,KOL_Database!$AL$7)),1,0))+IF(Brand_Profile!$E$91="",0,IF(ISNUMBER(SEARCH(Brand_Profile!$E$91,KOL_Database!$AL$7)),1,0)))/Brand_Profile!$E$92*100,0)))/2,0)</f>
        <v>80</v>
      </c>
      <c r="AB38" s="142">
        <f>IFERROR(INDEX(Lookup_Lists!$B$226:$K$233,MATCH(Brand_Profile!$E$30,Lookup_Lists!$A$226:$A$233,0),MATCH(KOL_Database!$AJ$7,Lookup_Lists!$B$225:$K$225,0)),45)</f>
        <v>65</v>
      </c>
      <c r="AC38" s="142">
        <f>ROUND((Matching_Engine!$Y$38*Lookup_Lists!$D$125+Matching_Engine!$Z$38*Lookup_Lists!$D$126+Matching_Engine!$AA$38*Lookup_Lists!$D$127+Matching_Engine!$AB$38*Lookup_Lists!$D$128)/(Lookup_Lists!$D$125+Lookup_Lists!$D$126+Lookup_Lists!$D$127+Lookup_Lists!$D$128),0)</f>
        <v>81</v>
      </c>
      <c r="AD38" s="142">
        <f>IF(KOL_Database!$K$7="",0,MIN(100,ROUND(KOL_Database!$K$7/Lookup_Lists!$D$141*100,0)))</f>
        <v>73</v>
      </c>
      <c r="AE38" s="142">
        <f>IF(KOL_Database!$R$7="",0,MIN(100,MAX(0,KOL_Database!$R$7)))</f>
        <v>77</v>
      </c>
      <c r="AF38" s="142">
        <f>IF(KOL_Database!$P$7="",0,MIN(100,MAX(0,KOL_Database!$P$7)))</f>
        <v>74</v>
      </c>
      <c r="AG38" s="142">
        <f>IF(KOL_Database!$Q$7="",0,MIN(100,MAX(0,KOL_Database!$Q$7)))</f>
        <v>68</v>
      </c>
      <c r="AH38" s="142">
        <f>IF(OR(KOL_Database!$J$7="",KOL_Database!$J$7=0,KOL_Database!$L$7=""),0,MIN(100,ROUND(KOL_Database!$L$7/KOL_Database!$J$7/Lookup_Lists!$D$144*100,0)))</f>
        <v>59</v>
      </c>
      <c r="AI38" s="142">
        <f>IF(KOL_Database!$N$7="",0,MIN(100,MAX(0,ROUND((KOL_Database!$N$7+2)/(Lookup_Lists!$D$145+2)*100,0))))</f>
        <v>47</v>
      </c>
      <c r="AJ38" s="142">
        <f>ROUND((Matching_Engine!$AD$38*Lookup_Lists!$D$129+Matching_Engine!$AE$38*Lookup_Lists!$D$130+Matching_Engine!$AF$38*Lookup_Lists!$D$131+Matching_Engine!$AG$38*Lookup_Lists!$D$132+Matching_Engine!$AH$38*Lookup_Lists!$D$133+Matching_Engine!$AI$38*Lookup_Lists!$D$134)/(Lookup_Lists!$D$129+Lookup_Lists!$D$130+Lookup_Lists!$D$131+Lookup_Lists!$D$132+Lookup_Lists!$D$133+Lookup_Lists!$D$134),0)</f>
        <v>71</v>
      </c>
      <c r="AK38" s="142">
        <f>IF(KOL_Database!$AT$7="",0,MIN(100,MAX(0,KOL_Database!$AT$7)))</f>
        <v>85</v>
      </c>
      <c r="AL38" s="142">
        <f>IF(KOL_Database!$AU$7="",0,KOL_Database!$AU$7)</f>
        <v>45</v>
      </c>
      <c r="AM38" s="89" t="str">
        <f>IF(KOL_Database!$AV$7="","None",KOL_Database!$AV$7)</f>
        <v>None</v>
      </c>
      <c r="AN38" s="143">
        <f>IF(Matching_Engine!$AM$38="High",Lookup_Lists!$D$137,IF(Matching_Engine!$AM$38="Medium",Lookup_Lists!$D$138,IF(Matching_Engine!$AM$38="Low",Lookup_Lists!$D$139,Lookup_Lists!$D$140)))</f>
        <v>1</v>
      </c>
      <c r="AO38" s="142">
        <f>ROUND(MIN(100,MAX(0,(Matching_Engine!$AK$38*Lookup_Lists!$D$135+(100-Matching_Engine!$AL$38)*Lookup_Lists!$D$136)/(Lookup_Lists!$D$135+Lookup_Lists!$D$136)*Matching_Engine!$AN$38)),0)</f>
        <v>79</v>
      </c>
      <c r="AP38" s="13">
        <f ca="1">ROUND((Matching_Engine!$N$38*Lookup_Lists!$D$104+Matching_Engine!$S$38*Lookup_Lists!$D$105+Matching_Engine!$X$38*Lookup_Lists!$D$106+Matching_Engine!$AC$38*Lookup_Lists!$D$107+Matching_Engine!$AJ$38*Lookup_Lists!$D$108+Matching_Engine!$AO$38*Lookup_Lists!$D$109)/MAX(1,(Lookup_Lists!$D$104+Lookup_Lists!$D$105+Lookup_Lists!$D$106+Lookup_Lists!$D$107+Lookup_Lists!$D$108+Lookup_Lists!$D$109)),0)</f>
        <v>92</v>
      </c>
      <c r="AQ38" s="89" t="str">
        <f ca="1">IF(Matching_Engine!$AP$38&gt;=Lookup_Lists!$D$152,"Excellent Match",IF(Matching_Engine!$AP$38&gt;=Lookup_Lists!$D$153,"Strong Match",IF(Matching_Engine!$AP$38&gt;=Lookup_Lists!$D$154,"Good Match",IF(Matching_Engine!$AP$38&gt;=Lookup_Lists!$D$155,"Moderate Match","Low Match"))))</f>
        <v>Excellent Match</v>
      </c>
      <c r="AR38" s="142">
        <f>KOL_Database!$BE$7</f>
        <v>100</v>
      </c>
      <c r="AS38" s="89" t="str">
        <f>IF(Matching_Engine!$AR$38&gt;=Lookup_Lists!$D$159,"High",IF(Matching_Engine!$AR$38&gt;=Lookup_Lists!$D$160,"Medium","Limited Data"))</f>
        <v>High</v>
      </c>
      <c r="AT38" s="142">
        <f>ROUND((Matching_Engine!$N$38+Matching_Engine!$X$38+Matching_Engine!$AC$38)/3,0)</f>
        <v>94</v>
      </c>
      <c r="AU38" s="142">
        <f>ROUND(((100-Matching_Engine!$AL$38)*Lookup_Lists!$D$162+IF(KOL_Database!$BD$7="",Lookup_Lists!$D$150,KOL_Database!$BD$7)*Lookup_Lists!$D$163+Matching_Engine!$AI$38*Lookup_Lists!$D$164+Matching_Engine!$AD$38*Lookup_Lists!$D$165)/(Lookup_Lists!$D$162+Lookup_Lists!$D$163+Lookup_Lists!$D$164+Lookup_Lists!$D$165),0)</f>
        <v>59</v>
      </c>
      <c r="AV38" s="89" t="str">
        <f ca="1">IF(Matching_Engine!$AW$38="","PASS","EXCLUDED")</f>
        <v>EXCLUDED</v>
      </c>
      <c r="AW38" s="89" t="str">
        <f ca="1">IF(ISERROR(SEARCH(KOL_Database!$D$7,Brand_Profile!$E$32)),"Platform not in Preferred Platform",IF(AND(Brand_Profile!$E$36&gt;0,KOL_Database!$J$7&lt;Brand_Profile!$E$36),"Followers below Preferred Follower Range",IF(AND(Brand_Profile!$E$37&gt;0,KOL_Database!$J$7&gt;Brand_Profile!$E$37),"Followers above Preferred Follower Range",IF(AND(Brand_Profile!$E$38&gt;0,IF(KOL_Database!$K$7="",0,KOL_Database!$K$7)&lt;Brand_Profile!$E$38),"Engagement Rate below Minimum Engagement Rate",IF(ISERROR(SEARCH(KOL_Database!$G$7,Brand_Profile!$E$35)),"Tier not in Preferred Tier",IF(AND(Brand_Profile!$E$43&gt;0,Matching_Engine!$AE$38&lt;Brand_Profile!$E$43),"Audience Quality below Minimum Audience Quality",IF(AND(Brand_Profile!$E$44&gt;0,Matching_Engine!$AK$38&lt;Brand_Profile!$E$44),"Brand Safety below Minimum Brand Safety",IF(AND(Brand_Profile!$E$47="Yes",KOL_Database!$AD$7&lt;&gt;Brand_Profile!$E$19),"Audience Country does not match Target Country",IF(AND(Brand_Profile!$E$46="Yes",KOL_Database!$E$7&lt;&gt;Brand_Profile!$E$33),"Category is not the Preferred Category",IF(AND(Brand_Profile!$E$48&gt;0,Matching_Engine!$AL$38&gt;Brand_Profile!$E$48),"Competitor Saturation above Max Competitor Saturation",IF(AND(Brand_Profile!$E$50="Yes",KOL_Database!$AW$7="Yes"),"Already Selected",IF(AND(Brand_Profile!$E$51="Yes",KOL_Database!$AX$7="Yes"),"Already in Cart",IF(AND(Brand_Profile!$E$52="Yes",KOL_Database!$AY$7="Yes"),"Existing Partner",IF(AND(Brand_Profile!$E$53="Yes",KOL_Database!$AZ$7="Yes"),"Excluded Creator",IF(AND(Brand_Profile!$E$49&gt;0,Matching_Engine!$AP$38&lt;Brand_Profile!$E$49),"Brand Match below Minimum Brand Match","")))))))))))))))</f>
        <v>Tier not in Preferred Tier</v>
      </c>
      <c r="AX38" s="89" t="str">
        <f ca="1">IF(Matching_Engine!$AV$38="EXCLUDED","Excluded",IF(Matching_Engine!$AP$38&gt;=Lookup_Lists!$D$156,"Highly Recommended",IF(Matching_Engine!$AP$38&gt;=Lookup_Lists!$D$157,"Recommended",IF(Matching_Engine!$AP$38&gt;=Lookup_Lists!$D$158,"Consider","Low Priority"))))</f>
        <v>Excluded</v>
      </c>
      <c r="AY38" s="142" t="str">
        <f ca="1">IF(Matching_Engine!$AV$38="PASS",Matching_Engine!$AP$38,"")</f>
        <v/>
      </c>
      <c r="AZ38" s="89" t="str">
        <f>Matching_Engine!$A$38&amp;"|"&amp;Matching_Engine!$C$38</f>
        <v>BRAND-B|KOL-03</v>
      </c>
      <c r="BA38" s="89" t="str">
        <f>IFERROR(INDEX(Lookup_Lists!$B$51:$B$92,MATCH(Brand_Profile!$E$12,Lookup_Lists!$A$51:$A$92,0)),"")</f>
        <v>Beauty</v>
      </c>
      <c r="BB38" s="89" t="str">
        <f>IFERROR(INDEX(Lookup_Lists!$B$51:$B$92,MATCH(KOL_Database!$F$7,Lookup_Lists!$A$51:$A$92,0)),"")</f>
        <v>Beauty</v>
      </c>
      <c r="BC38" s="142">
        <f>IFERROR(INDEX(Lookup_Lists!$B$185:$O$198,MATCH(Matching_Engine!$BA$38,Lookup_Lists!$A$185:$A$198,0),MATCH(KOL_Database!$E$7,Lookup_Lists!$B$184:$O$184,0)),Lookup_Lists!$D$151)</f>
        <v>100</v>
      </c>
      <c r="BD38" s="142">
        <f>IFERROR(INDEX(Lookup_Lists!$B$185:$O$198,MATCH(Brand_Profile!$E$33,Lookup_Lists!$A$185:$A$198,0),MATCH(KOL_Database!$E$7,Lookup_Lists!$B$184:$O$184,0)),Lookup_Lists!$D$151)</f>
        <v>100</v>
      </c>
      <c r="BE38" s="89" t="str">
        <f>IFERROR(INDEX(Lookup_Lists!$B$51:$B$92,MATCH(Brand_Profile!$E$34,Lookup_Lists!$A$51:$A$92,0)),"")</f>
        <v>Beauty</v>
      </c>
      <c r="BF38" s="89" t="str">
        <f>KOL_Database!$AI$7&amp;", "&amp;KOL_Database!$AG$7&amp;", "&amp;KOL_Database!$F$7&amp;", "&amp;KOL_Database!$E$7</f>
        <v>Skincare, Beauty, Health, Skincare, Beauty, Makeup, Shopping, Health, Skincare, Beauty</v>
      </c>
      <c r="BG38" s="89" t="str">
        <f>KOL_Database!$AI$7&amp;", "&amp;KOL_Database!$AG$7</f>
        <v>Skincare, Beauty, Health, Skincare, Beauty, Makeup, Shopping, Health</v>
      </c>
    </row>
    <row r="39" spans="1:59">
      <c r="A39" s="101" t="s">
        <v>118</v>
      </c>
      <c r="B39" s="89" t="str">
        <f>Brand_Profile!$E$9</f>
        <v>Lumaya Skin</v>
      </c>
      <c r="C39" s="89" t="str">
        <f>KOL_Database!$A$8</f>
        <v>KOL-04</v>
      </c>
      <c r="D39" s="89" t="str">
        <f>KOL_Database!$B$8</f>
        <v>Nadia Puspa</v>
      </c>
      <c r="E39" s="89" t="str">
        <f>KOL_Database!$C$8</f>
        <v>@nadiaglowup</v>
      </c>
      <c r="F39" s="89" t="str">
        <f>KOL_Database!$D$8</f>
        <v>TikTok</v>
      </c>
      <c r="G39" s="89" t="str">
        <f>KOL_Database!$E$8</f>
        <v>Beauty</v>
      </c>
      <c r="H39" s="89" t="str">
        <f>KOL_Database!$G$8</f>
        <v>Macro</v>
      </c>
      <c r="I39" s="140">
        <f>KOL_Database!$J$8</f>
        <v>512000</v>
      </c>
      <c r="J39" s="141">
        <f>KOL_Database!$K$8</f>
        <v>7.1</v>
      </c>
      <c r="K39" s="142">
        <f>IFERROR(INDEX(Lookup_Lists!$B$170:$O$181,MATCH(Brand_Profile!$E$10,Lookup_Lists!$A$170:$A$181,0),MATCH(KOL_Database!$E$8,Lookup_Lists!$B$169:$O$169,0)),Lookup_Lists!$D$151)</f>
        <v>100</v>
      </c>
      <c r="L39" s="142">
        <f>IF(KOL_Database!$F$8="",Matching_Engine!$BC$39,IF(Brand_Profile!$E$12=KOL_Database!$F$8,100,IF(Matching_Engine!$BA$39=KOL_Database!$E$8,80,IF(Matching_Engine!$BC$39&gt;=80,60,IF(Matching_Engine!$BC$39&gt;=60,40,Lookup_Lists!$D$151)))))</f>
        <v>80</v>
      </c>
      <c r="M39" s="142">
        <f>ROUND((IF(Brand_Profile!$E$62=0,Lookup_Lists!$D$150,ROUND((IF(Brand_Profile!$E$57="",0,IF(ISNUMBER(SEARCH(Brand_Profile!$E$57,Matching_Engine!$BF$39)),1,0))+IF(Brand_Profile!$E$58="",0,IF(ISNUMBER(SEARCH(Brand_Profile!$E$58,Matching_Engine!$BF$39)),1,0))+IF(Brand_Profile!$E$59="",0,IF(ISNUMBER(SEARCH(Brand_Profile!$E$59,Matching_Engine!$BF$39)),1,0))+IF(Brand_Profile!$E$60="",0,IF(ISNUMBER(SEARCH(Brand_Profile!$E$60,Matching_Engine!$BF$39)),1,0))+IF(Brand_Profile!$E$61="",0,IF(ISNUMBER(SEARCH(Brand_Profile!$E$61,Matching_Engine!$BF$39)),1,0)))/Brand_Profile!$E$62*100,0))+IF(Brand_Profile!$E$74=0,Lookup_Lists!$D$150,ROUND((IF(Brand_Profile!$E$69="",0,IF(ISNUMBER(SEARCH(Brand_Profile!$E$69,Matching_Engine!$BF$39)),1,0))+IF(Brand_Profile!$E$70="",0,IF(ISNUMBER(SEARCH(Brand_Profile!$E$70,Matching_Engine!$BF$39)),1,0))+IF(Brand_Profile!$E$71="",0,IF(ISNUMBER(SEARCH(Brand_Profile!$E$71,Matching_Engine!$BF$39)),1,0))+IF(Brand_Profile!$E$72="",0,IF(ISNUMBER(SEARCH(Brand_Profile!$E$72,Matching_Engine!$BF$39)),1,0))+IF(Brand_Profile!$E$73="",0,IF(ISNUMBER(SEARCH(Brand_Profile!$E$73,Matching_Engine!$BF$39)),1,0)))/Brand_Profile!$E$74*100,0)))/2,0)</f>
        <v>60</v>
      </c>
      <c r="N39" s="142">
        <f>ROUND((Matching_Engine!$K$39*Lookup_Lists!$D$110+Matching_Engine!$L$39*Lookup_Lists!$D$111+Matching_Engine!$M$39*Lookup_Lists!$D$112)/(Lookup_Lists!$D$110+Lookup_Lists!$D$111+Lookup_Lists!$D$112),0)</f>
        <v>82</v>
      </c>
      <c r="O39" s="142">
        <f ca="1">IF(Brand_Profile!$E$16="",Lookup_Lists!$D$150,MIN(100,ROUND((IFERROR(INDEX(KOL_Database!$W$8:KOL_Database!$AA$8,1,MATCH(Brand_Profile!$E$16,Lookup_Lists!$F$6:$F$10,0)),0)+0.5*IFERROR(INDEX(KOL_Database!$W$8:KOL_Database!$AA$8,1,MATCH(Brand_Profile!$E$17,Lookup_Lists!$F$6:$F$10,0)),0))/Lookup_Lists!$D$142*100,0)))</f>
        <v>100</v>
      </c>
      <c r="P39" s="142">
        <f>IF(OR(Brand_Profile!$E$18="",Brand_Profile!$E$18="Any"),100,IF(Brand_Profile!$E$18="Female",MIN(100,ROUND(KOL_Database!$AB$8/Lookup_Lists!$D$143*100,0)),IF(Brand_Profile!$E$18="Male",MIN(100,ROUND(KOL_Database!$AC$8/Lookup_Lists!$D$143*100,0)),MAX(0,ROUND(100-ABS(KOL_Database!$AB$8-50)*2,0)))))</f>
        <v>100</v>
      </c>
      <c r="Q39" s="142">
        <f>ROUND((IF(Brand_Profile!$E$19="",100,IF(KOL_Database!$AD$8=Brand_Profile!$E$19,100,Lookup_Lists!$D$151))*Lookup_Lists!$D$118+IF(OR(Brand_Profile!$E$20="",Brand_Profile!$E$20="Nasional"),100,IF(KOL_Database!$AE$8="",Lookup_Lists!$D$150,IF(KOL_Database!$AE$8=Brand_Profile!$E$20,100,IF(KOL_Database!$AD$8=Brand_Profile!$E$19,40,Lookup_Lists!$D$151))))*Lookup_Lists!$D$119+IF(OR(Brand_Profile!$E$21="",Brand_Profile!$E$21="Nasional"),100,IF(KOL_Database!$AF$8="",Lookup_Lists!$D$150,IF(KOL_Database!$AF$8=Brand_Profile!$E$21,100,IF(KOL_Database!$AE$8=Brand_Profile!$E$20,60,Lookup_Lists!$D$151))))*Lookup_Lists!$D$120)/(Lookup_Lists!$D$118+Lookup_Lists!$D$119+Lookup_Lists!$D$120),0)</f>
        <v>80</v>
      </c>
      <c r="R39" s="142">
        <f>IF(Brand_Profile!$E$68=0,Lookup_Lists!$D$150,ROUND((IF(Brand_Profile!$E$63="",0,IF(ISNUMBER(SEARCH(Brand_Profile!$E$63,KOL_Database!$AG$8)),1,0))+IF(Brand_Profile!$E$64="",0,IF(ISNUMBER(SEARCH(Brand_Profile!$E$64,KOL_Database!$AG$8)),1,0))+IF(Brand_Profile!$E$65="",0,IF(ISNUMBER(SEARCH(Brand_Profile!$E$65,KOL_Database!$AG$8)),1,0))+IF(Brand_Profile!$E$66="",0,IF(ISNUMBER(SEARCH(Brand_Profile!$E$66,KOL_Database!$AG$8)),1,0))+IF(Brand_Profile!$E$67="",0,IF(ISNUMBER(SEARCH(Brand_Profile!$E$67,KOL_Database!$AG$8)),1,0)))/Brand_Profile!$E$68*100,0))</f>
        <v>80</v>
      </c>
      <c r="S39" s="142">
        <f ca="1">ROUND((Matching_Engine!$O$39*Brand_Profile!$E$96+Matching_Engine!$P$39*Brand_Profile!$E$97+Matching_Engine!$Q$39*Brand_Profile!$E$98+Matching_Engine!$R$39*Brand_Profile!$E$99)/MAX(1,Brand_Profile!$E$96+Brand_Profile!$E$97+Brand_Profile!$E$98+Brand_Profile!$E$99),0)</f>
        <v>90</v>
      </c>
      <c r="T39" s="142">
        <f>IF(Brand_Profile!$E$33="",Lookup_Lists!$D$150,Matching_Engine!$BD$39)</f>
        <v>100</v>
      </c>
      <c r="U39" s="142">
        <f>IF(Brand_Profile!$E$34="",Lookup_Lists!$D$150,IF(Brand_Profile!$E$34=KOL_Database!$F$8,100,IF(Matching_Engine!$BE$39=KOL_Database!$E$8,75,IF(Matching_Engine!$BD$39&gt;=80,Lookup_Lists!$D$150,IF(Matching_Engine!$BD$39&gt;=60,35,Lookup_Lists!$D$151)))))</f>
        <v>75</v>
      </c>
      <c r="V39" s="142">
        <f>IF(Brand_Profile!$E$86=0,Lookup_Lists!$D$150,ROUND((IF(Brand_Profile!$E$81="",0,IF(ISNUMBER(SEARCH(Brand_Profile!$E$81,Matching_Engine!$BG$39)),1,0))+IF(Brand_Profile!$E$82="",0,IF(ISNUMBER(SEARCH(Brand_Profile!$E$82,Matching_Engine!$BG$39)),1,0))+IF(Brand_Profile!$E$83="",0,IF(ISNUMBER(SEARCH(Brand_Profile!$E$83,Matching_Engine!$BG$39)),1,0))+IF(Brand_Profile!$E$84="",0,IF(ISNUMBER(SEARCH(Brand_Profile!$E$84,Matching_Engine!$BG$39)),1,0))+IF(Brand_Profile!$E$85="",0,IF(ISNUMBER(SEARCH(Brand_Profile!$E$85,Matching_Engine!$BG$39)),1,0)))/Brand_Profile!$E$86*100,0))</f>
        <v>60</v>
      </c>
      <c r="W39" s="142">
        <f>IF(Brand_Profile!$E$39="",Lookup_Lists!$D$150,IFERROR(INDEX(Lookup_Lists!$B$237:$K$246,MATCH(Brand_Profile!$E$39,Lookup_Lists!$A$237:$A$246,0),MATCH(KOL_Database!$AJ$8,Lookup_Lists!$B$236:$K$236,0)),45))</f>
        <v>80</v>
      </c>
      <c r="X39" s="142">
        <f>ROUND((Matching_Engine!$T$39*Lookup_Lists!$D$121+Matching_Engine!$U$39*Lookup_Lists!$D$122+Matching_Engine!$V$39*Lookup_Lists!$D$123+Matching_Engine!$W$39*Lookup_Lists!$D$124)/(Lookup_Lists!$D$121+Lookup_Lists!$D$122+Lookup_Lists!$D$123+Lookup_Lists!$D$124),0)</f>
        <v>79</v>
      </c>
      <c r="Y39" s="142">
        <f>MIN(100,MAX(IFERROR(INDEX(Lookup_Lists!$B$202:$M$211,MATCH(Brand_Profile!$E$25,Lookup_Lists!$A$202:$A$211,0),MATCH(KOL_Database!$AK$8,Lookup_Lists!$B$201:$M$201,0)),40),IF(KOL_Database!$AK$8=Brand_Profile!$E$41,95,0)))</f>
        <v>65</v>
      </c>
      <c r="Z39" s="142">
        <f>IFERROR(INDEX(Lookup_Lists!$B$215:$K$222,MATCH(Brand_Profile!$E$27,Lookup_Lists!$A$215:$A$222,0),MATCH(KOL_Database!$AJ$8,Lookup_Lists!$B$214:$K$214,0)),45)</f>
        <v>65</v>
      </c>
      <c r="AA39" s="142">
        <f>ROUND((IF(Brand_Profile!$E$80=0,Lookup_Lists!$D$150,ROUND((IF(Brand_Profile!$E$75="",0,IF(ISNUMBER(SEARCH(Brand_Profile!$E$75,KOL_Database!$AL$8)),1,0))+IF(Brand_Profile!$E$76="",0,IF(ISNUMBER(SEARCH(Brand_Profile!$E$76,KOL_Database!$AL$8)),1,0))+IF(Brand_Profile!$E$77="",0,IF(ISNUMBER(SEARCH(Brand_Profile!$E$77,KOL_Database!$AL$8)),1,0))+IF(Brand_Profile!$E$78="",0,IF(ISNUMBER(SEARCH(Brand_Profile!$E$78,KOL_Database!$AL$8)),1,0))+IF(Brand_Profile!$E$79="",0,IF(ISNUMBER(SEARCH(Brand_Profile!$E$79,KOL_Database!$AL$8)),1,0)))/Brand_Profile!$E$80*100,0))+IF(Brand_Profile!$E$92=0,Lookup_Lists!$D$150,ROUND((IF(Brand_Profile!$E$87="",0,IF(ISNUMBER(SEARCH(Brand_Profile!$E$87,KOL_Database!$AL$8)),1,0))+IF(Brand_Profile!$E$88="",0,IF(ISNUMBER(SEARCH(Brand_Profile!$E$88,KOL_Database!$AL$8)),1,0))+IF(Brand_Profile!$E$89="",0,IF(ISNUMBER(SEARCH(Brand_Profile!$E$89,KOL_Database!$AL$8)),1,0))+IF(Brand_Profile!$E$90="",0,IF(ISNUMBER(SEARCH(Brand_Profile!$E$90,KOL_Database!$AL$8)),1,0))+IF(Brand_Profile!$E$91="",0,IF(ISNUMBER(SEARCH(Brand_Profile!$E$91,KOL_Database!$AL$8)),1,0)))/Brand_Profile!$E$92*100,0)))/2,0)</f>
        <v>40</v>
      </c>
      <c r="AB39" s="142">
        <f>IFERROR(INDEX(Lookup_Lists!$B$226:$K$233,MATCH(Brand_Profile!$E$30,Lookup_Lists!$A$226:$A$233,0),MATCH(KOL_Database!$AJ$8,Lookup_Lists!$B$225:$K$225,0)),45)</f>
        <v>70</v>
      </c>
      <c r="AC39" s="142">
        <f>ROUND((Matching_Engine!$Y$39*Lookup_Lists!$D$125+Matching_Engine!$Z$39*Lookup_Lists!$D$126+Matching_Engine!$AA$39*Lookup_Lists!$D$127+Matching_Engine!$AB$39*Lookup_Lists!$D$128)/(Lookup_Lists!$D$125+Lookup_Lists!$D$126+Lookup_Lists!$D$127+Lookup_Lists!$D$128),0)</f>
        <v>60</v>
      </c>
      <c r="AD39" s="142">
        <f>IF(KOL_Database!$K$8="",0,MIN(100,ROUND(KOL_Database!$K$8/Lookup_Lists!$D$141*100,0)))</f>
        <v>100</v>
      </c>
      <c r="AE39" s="142">
        <f>IF(KOL_Database!$R$8="",0,MIN(100,MAX(0,KOL_Database!$R$8)))</f>
        <v>82</v>
      </c>
      <c r="AF39" s="142">
        <f>IF(KOL_Database!$P$8="",0,MIN(100,MAX(0,KOL_Database!$P$8)))</f>
        <v>85</v>
      </c>
      <c r="AG39" s="142">
        <f>IF(KOL_Database!$Q$8="",0,MIN(100,MAX(0,KOL_Database!$Q$8)))</f>
        <v>78</v>
      </c>
      <c r="AH39" s="142">
        <f>IF(OR(KOL_Database!$J$8="",KOL_Database!$J$8=0,KOL_Database!$L$8=""),0,MIN(100,ROUND(KOL_Database!$L$8/KOL_Database!$J$8/Lookup_Lists!$D$144*100,0)))</f>
        <v>100</v>
      </c>
      <c r="AI39" s="142">
        <f>IF(KOL_Database!$N$8="",0,MIN(100,MAX(0,ROUND((KOL_Database!$N$8+2)/(Lookup_Lists!$D$145+2)*100,0))))</f>
        <v>90</v>
      </c>
      <c r="AJ39" s="142">
        <f>ROUND((Matching_Engine!$AD$39*Lookup_Lists!$D$129+Matching_Engine!$AE$39*Lookup_Lists!$D$130+Matching_Engine!$AF$39*Lookup_Lists!$D$131+Matching_Engine!$AG$39*Lookup_Lists!$D$132+Matching_Engine!$AH$39*Lookup_Lists!$D$133+Matching_Engine!$AI$39*Lookup_Lists!$D$134)/(Lookup_Lists!$D$129+Lookup_Lists!$D$130+Lookup_Lists!$D$131+Lookup_Lists!$D$132+Lookup_Lists!$D$133+Lookup_Lists!$D$134),0)</f>
        <v>91</v>
      </c>
      <c r="AK39" s="142">
        <f>IF(KOL_Database!$AT$8="",0,MIN(100,MAX(0,KOL_Database!$AT$8)))</f>
        <v>89</v>
      </c>
      <c r="AL39" s="142">
        <f>IF(KOL_Database!$AU$8="",0,KOL_Database!$AU$8)</f>
        <v>78</v>
      </c>
      <c r="AM39" s="89" t="str">
        <f>IF(KOL_Database!$AV$8="","None",KOL_Database!$AV$8)</f>
        <v>Medium</v>
      </c>
      <c r="AN39" s="143">
        <f>IF(Matching_Engine!$AM$39="High",Lookup_Lists!$D$137,IF(Matching_Engine!$AM$39="Medium",Lookup_Lists!$D$138,IF(Matching_Engine!$AM$39="Low",Lookup_Lists!$D$139,Lookup_Lists!$D$140)))</f>
        <v>0.85</v>
      </c>
      <c r="AO39" s="142">
        <f>ROUND(MIN(100,MAX(0,(Matching_Engine!$AK$39*Lookup_Lists!$D$135+(100-Matching_Engine!$AL$39)*Lookup_Lists!$D$136)/(Lookup_Lists!$D$135+Lookup_Lists!$D$136)*Matching_Engine!$AN$39)),0)</f>
        <v>64</v>
      </c>
      <c r="AP39" s="13">
        <f ca="1">ROUND((Matching_Engine!$N$39*Lookup_Lists!$D$104+Matching_Engine!$S$39*Lookup_Lists!$D$105+Matching_Engine!$X$39*Lookup_Lists!$D$106+Matching_Engine!$AC$39*Lookup_Lists!$D$107+Matching_Engine!$AJ$39*Lookup_Lists!$D$108+Matching_Engine!$AO$39*Lookup_Lists!$D$109)/MAX(1,(Lookup_Lists!$D$104+Lookup_Lists!$D$105+Lookup_Lists!$D$106+Lookup_Lists!$D$107+Lookup_Lists!$D$108+Lookup_Lists!$D$109)),0)</f>
        <v>81</v>
      </c>
      <c r="AQ39" s="89" t="str">
        <f ca="1">IF(Matching_Engine!$AP$39&gt;=Lookup_Lists!$D$152,"Excellent Match",IF(Matching_Engine!$AP$39&gt;=Lookup_Lists!$D$153,"Strong Match",IF(Matching_Engine!$AP$39&gt;=Lookup_Lists!$D$154,"Good Match",IF(Matching_Engine!$AP$39&gt;=Lookup_Lists!$D$155,"Moderate Match","Low Match"))))</f>
        <v>Strong Match</v>
      </c>
      <c r="AR39" s="142">
        <f>KOL_Database!$BE$8</f>
        <v>100</v>
      </c>
      <c r="AS39" s="89" t="str">
        <f>IF(Matching_Engine!$AR$39&gt;=Lookup_Lists!$D$159,"High",IF(Matching_Engine!$AR$39&gt;=Lookup_Lists!$D$160,"Medium","Limited Data"))</f>
        <v>High</v>
      </c>
      <c r="AT39" s="142">
        <f>ROUND((Matching_Engine!$N$39+Matching_Engine!$X$39+Matching_Engine!$AC$39)/3,0)</f>
        <v>74</v>
      </c>
      <c r="AU39" s="142">
        <f>ROUND(((100-Matching_Engine!$AL$39)*Lookup_Lists!$D$162+IF(KOL_Database!$BD$8="",Lookup_Lists!$D$150,KOL_Database!$BD$8)*Lookup_Lists!$D$163+Matching_Engine!$AI$39*Lookup_Lists!$D$164+Matching_Engine!$AD$39*Lookup_Lists!$D$165)/(Lookup_Lists!$D$162+Lookup_Lists!$D$163+Lookup_Lists!$D$164+Lookup_Lists!$D$165),0)</f>
        <v>70</v>
      </c>
      <c r="AV39" s="89" t="str">
        <f ca="1">IF(Matching_Engine!$AW$39="","PASS","EXCLUDED")</f>
        <v>EXCLUDED</v>
      </c>
      <c r="AW39" s="89" t="str">
        <f ca="1">IF(ISERROR(SEARCH(KOL_Database!$D$8,Brand_Profile!$E$32)),"Platform not in Preferred Platform",IF(AND(Brand_Profile!$E$36&gt;0,KOL_Database!$J$8&lt;Brand_Profile!$E$36),"Followers below Preferred Follower Range",IF(AND(Brand_Profile!$E$37&gt;0,KOL_Database!$J$8&gt;Brand_Profile!$E$37),"Followers above Preferred Follower Range",IF(AND(Brand_Profile!$E$38&gt;0,IF(KOL_Database!$K$8="",0,KOL_Database!$K$8)&lt;Brand_Profile!$E$38),"Engagement Rate below Minimum Engagement Rate",IF(ISERROR(SEARCH(KOL_Database!$G$8,Brand_Profile!$E$35)),"Tier not in Preferred Tier",IF(AND(Brand_Profile!$E$43&gt;0,Matching_Engine!$AE$39&lt;Brand_Profile!$E$43),"Audience Quality below Minimum Audience Quality",IF(AND(Brand_Profile!$E$44&gt;0,Matching_Engine!$AK$39&lt;Brand_Profile!$E$44),"Brand Safety below Minimum Brand Safety",IF(AND(Brand_Profile!$E$47="Yes",KOL_Database!$AD$8&lt;&gt;Brand_Profile!$E$19),"Audience Country does not match Target Country",IF(AND(Brand_Profile!$E$46="Yes",KOL_Database!$E$8&lt;&gt;Brand_Profile!$E$33),"Category is not the Preferred Category",IF(AND(Brand_Profile!$E$48&gt;0,Matching_Engine!$AL$39&gt;Brand_Profile!$E$48),"Competitor Saturation above Max Competitor Saturation",IF(AND(Brand_Profile!$E$50="Yes",KOL_Database!$AW$8="Yes"),"Already Selected",IF(AND(Brand_Profile!$E$51="Yes",KOL_Database!$AX$8="Yes"),"Already in Cart",IF(AND(Brand_Profile!$E$52="Yes",KOL_Database!$AY$8="Yes"),"Existing Partner",IF(AND(Brand_Profile!$E$53="Yes",KOL_Database!$AZ$8="Yes"),"Excluded Creator",IF(AND(Brand_Profile!$E$49&gt;0,Matching_Engine!$AP$39&lt;Brand_Profile!$E$49),"Brand Match below Minimum Brand Match","")))))))))))))))</f>
        <v>Followers above Preferred Follower Range</v>
      </c>
      <c r="AX39" s="89" t="str">
        <f ca="1">IF(Matching_Engine!$AV$39="EXCLUDED","Excluded",IF(Matching_Engine!$AP$39&gt;=Lookup_Lists!$D$156,"Highly Recommended",IF(Matching_Engine!$AP$39&gt;=Lookup_Lists!$D$157,"Recommended",IF(Matching_Engine!$AP$39&gt;=Lookup_Lists!$D$158,"Consider","Low Priority"))))</f>
        <v>Excluded</v>
      </c>
      <c r="AY39" s="142" t="str">
        <f ca="1">IF(Matching_Engine!$AV$39="PASS",Matching_Engine!$AP$39,"")</f>
        <v/>
      </c>
      <c r="AZ39" s="89" t="str">
        <f>Matching_Engine!$A$39&amp;"|"&amp;Matching_Engine!$C$39</f>
        <v>BRAND-B|KOL-04</v>
      </c>
      <c r="BA39" s="89" t="str">
        <f>IFERROR(INDEX(Lookup_Lists!$B$51:$B$92,MATCH(Brand_Profile!$E$12,Lookup_Lists!$A$51:$A$92,0)),"")</f>
        <v>Beauty</v>
      </c>
      <c r="BB39" s="89" t="str">
        <f>IFERROR(INDEX(Lookup_Lists!$B$51:$B$92,MATCH(KOL_Database!$F$8,Lookup_Lists!$A$51:$A$92,0)),"")</f>
        <v>Beauty</v>
      </c>
      <c r="BC39" s="142">
        <f>IFERROR(INDEX(Lookup_Lists!$B$185:$O$198,MATCH(Matching_Engine!$BA$39,Lookup_Lists!$A$185:$A$198,0),MATCH(KOL_Database!$E$8,Lookup_Lists!$B$184:$O$184,0)),Lookup_Lists!$D$151)</f>
        <v>100</v>
      </c>
      <c r="BD39" s="142">
        <f>IFERROR(INDEX(Lookup_Lists!$B$185:$O$198,MATCH(Brand_Profile!$E$33,Lookup_Lists!$A$185:$A$198,0),MATCH(KOL_Database!$E$8,Lookup_Lists!$B$184:$O$184,0)),Lookup_Lists!$D$151)</f>
        <v>100</v>
      </c>
      <c r="BE39" s="89" t="str">
        <f>IFERROR(INDEX(Lookup_Lists!$B$51:$B$92,MATCH(Brand_Profile!$E$34,Lookup_Lists!$A$51:$A$92,0)),"")</f>
        <v>Beauty</v>
      </c>
      <c r="BF39" s="89" t="str">
        <f>KOL_Database!$AI$8&amp;", "&amp;KOL_Database!$AG$8&amp;", "&amp;KOL_Database!$F$8&amp;", "&amp;KOL_Database!$E$8</f>
        <v>Makeup, Beauty, Fashion, Makeup, Beauty, Fashion, Shopping, Entertainment, Makeup, Beauty</v>
      </c>
      <c r="BG39" s="89" t="str">
        <f>KOL_Database!$AI$8&amp;", "&amp;KOL_Database!$AG$8</f>
        <v>Makeup, Beauty, Fashion, Makeup, Beauty, Fashion, Shopping, Entertainment</v>
      </c>
    </row>
    <row r="40" spans="1:59">
      <c r="A40" s="101" t="s">
        <v>118</v>
      </c>
      <c r="B40" s="89" t="str">
        <f>Brand_Profile!$E$9</f>
        <v>Lumaya Skin</v>
      </c>
      <c r="C40" s="89" t="str">
        <f>KOL_Database!$A$9</f>
        <v>KOL-05</v>
      </c>
      <c r="D40" s="89" t="str">
        <f>KOL_Database!$B$9</f>
        <v>Bimo Saputra</v>
      </c>
      <c r="E40" s="89" t="str">
        <f>KOL_Database!$C$9</f>
        <v>@bimomakan</v>
      </c>
      <c r="F40" s="89" t="str">
        <f>KOL_Database!$D$9</f>
        <v>TikTok</v>
      </c>
      <c r="G40" s="89" t="str">
        <f>KOL_Database!$E$9</f>
        <v>Food</v>
      </c>
      <c r="H40" s="89" t="str">
        <f>KOL_Database!$G$9</f>
        <v>Macro</v>
      </c>
      <c r="I40" s="140">
        <f>KOL_Database!$J$9</f>
        <v>375000</v>
      </c>
      <c r="J40" s="141">
        <f>KOL_Database!$K$9</f>
        <v>8.4</v>
      </c>
      <c r="K40" s="142">
        <f>IFERROR(INDEX(Lookup_Lists!$B$170:$O$181,MATCH(Brand_Profile!$E$10,Lookup_Lists!$A$170:$A$181,0),MATCH(KOL_Database!$E$9,Lookup_Lists!$B$169:$O$169,0)),Lookup_Lists!$D$151)</f>
        <v>40</v>
      </c>
      <c r="L40" s="142">
        <f>IF(KOL_Database!$F$9="",Matching_Engine!$BC$40,IF(Brand_Profile!$E$12=KOL_Database!$F$9,100,IF(Matching_Engine!$BA$40=KOL_Database!$E$9,80,IF(Matching_Engine!$BC$40&gt;=80,60,IF(Matching_Engine!$BC$40&gt;=60,40,Lookup_Lists!$D$151)))))</f>
        <v>40</v>
      </c>
      <c r="M40" s="142">
        <f>ROUND((IF(Brand_Profile!$E$62=0,Lookup_Lists!$D$150,ROUND((IF(Brand_Profile!$E$57="",0,IF(ISNUMBER(SEARCH(Brand_Profile!$E$57,Matching_Engine!$BF$40)),1,0))+IF(Brand_Profile!$E$58="",0,IF(ISNUMBER(SEARCH(Brand_Profile!$E$58,Matching_Engine!$BF$40)),1,0))+IF(Brand_Profile!$E$59="",0,IF(ISNUMBER(SEARCH(Brand_Profile!$E$59,Matching_Engine!$BF$40)),1,0))+IF(Brand_Profile!$E$60="",0,IF(ISNUMBER(SEARCH(Brand_Profile!$E$60,Matching_Engine!$BF$40)),1,0))+IF(Brand_Profile!$E$61="",0,IF(ISNUMBER(SEARCH(Brand_Profile!$E$61,Matching_Engine!$BF$40)),1,0)))/Brand_Profile!$E$62*100,0))+IF(Brand_Profile!$E$74=0,Lookup_Lists!$D$150,ROUND((IF(Brand_Profile!$E$69="",0,IF(ISNUMBER(SEARCH(Brand_Profile!$E$69,Matching_Engine!$BF$40)),1,0))+IF(Brand_Profile!$E$70="",0,IF(ISNUMBER(SEARCH(Brand_Profile!$E$70,Matching_Engine!$BF$40)),1,0))+IF(Brand_Profile!$E$71="",0,IF(ISNUMBER(SEARCH(Brand_Profile!$E$71,Matching_Engine!$BF$40)),1,0))+IF(Brand_Profile!$E$72="",0,IF(ISNUMBER(SEARCH(Brand_Profile!$E$72,Matching_Engine!$BF$40)),1,0))+IF(Brand_Profile!$E$73="",0,IF(ISNUMBER(SEARCH(Brand_Profile!$E$73,Matching_Engine!$BF$40)),1,0)))/Brand_Profile!$E$74*100,0)))/2,0)</f>
        <v>20</v>
      </c>
      <c r="N40" s="142">
        <f>ROUND((Matching_Engine!$K$40*Lookup_Lists!$D$110+Matching_Engine!$L$40*Lookup_Lists!$D$111+Matching_Engine!$M$40*Lookup_Lists!$D$112)/(Lookup_Lists!$D$110+Lookup_Lists!$D$111+Lookup_Lists!$D$112),0)</f>
        <v>34</v>
      </c>
      <c r="O40" s="142">
        <f ca="1">IF(Brand_Profile!$E$16="",Lookup_Lists!$D$150,MIN(100,ROUND((IFERROR(INDEX(KOL_Database!$W$9:KOL_Database!$AA$9,1,MATCH(Brand_Profile!$E$16,Lookup_Lists!$F$6:$F$10,0)),0)+0.5*IFERROR(INDEX(KOL_Database!$W$9:KOL_Database!$AA$9,1,MATCH(Brand_Profile!$E$17,Lookup_Lists!$F$6:$F$10,0)),0))/Lookup_Lists!$D$142*100,0)))</f>
        <v>100</v>
      </c>
      <c r="P40" s="142">
        <f>IF(OR(Brand_Profile!$E$18="",Brand_Profile!$E$18="Any"),100,IF(Brand_Profile!$E$18="Female",MIN(100,ROUND(KOL_Database!$AB$9/Lookup_Lists!$D$143*100,0)),IF(Brand_Profile!$E$18="Male",MIN(100,ROUND(KOL_Database!$AC$9/Lookup_Lists!$D$143*100,0)),MAX(0,ROUND(100-ABS(KOL_Database!$AB$9-50)*2,0)))))</f>
        <v>74</v>
      </c>
      <c r="Q40" s="142">
        <f>ROUND((IF(Brand_Profile!$E$19="",100,IF(KOL_Database!$AD$9=Brand_Profile!$E$19,100,Lookup_Lists!$D$151))*Lookup_Lists!$D$118+IF(OR(Brand_Profile!$E$20="",Brand_Profile!$E$20="Nasional"),100,IF(KOL_Database!$AE$9="",Lookup_Lists!$D$150,IF(KOL_Database!$AE$9=Brand_Profile!$E$20,100,IF(KOL_Database!$AD$9=Brand_Profile!$E$19,40,Lookup_Lists!$D$151))))*Lookup_Lists!$D$119+IF(OR(Brand_Profile!$E$21="",Brand_Profile!$E$21="Nasional"),100,IF(KOL_Database!$AF$9="",Lookup_Lists!$D$150,IF(KOL_Database!$AF$9=Brand_Profile!$E$21,100,IF(KOL_Database!$AE$9=Brand_Profile!$E$20,60,Lookup_Lists!$D$151))))*Lookup_Lists!$D$120)/(Lookup_Lists!$D$118+Lookup_Lists!$D$119+Lookup_Lists!$D$120),0)</f>
        <v>100</v>
      </c>
      <c r="R40" s="142">
        <f>IF(Brand_Profile!$E$68=0,Lookup_Lists!$D$150,ROUND((IF(Brand_Profile!$E$63="",0,IF(ISNUMBER(SEARCH(Brand_Profile!$E$63,KOL_Database!$AG$9)),1,0))+IF(Brand_Profile!$E$64="",0,IF(ISNUMBER(SEARCH(Brand_Profile!$E$64,KOL_Database!$AG$9)),1,0))+IF(Brand_Profile!$E$65="",0,IF(ISNUMBER(SEARCH(Brand_Profile!$E$65,KOL_Database!$AG$9)),1,0))+IF(Brand_Profile!$E$66="",0,IF(ISNUMBER(SEARCH(Brand_Profile!$E$66,KOL_Database!$AG$9)),1,0))+IF(Brand_Profile!$E$67="",0,IF(ISNUMBER(SEARCH(Brand_Profile!$E$67,KOL_Database!$AG$9)),1,0)))/Brand_Profile!$E$68*100,0))</f>
        <v>20</v>
      </c>
      <c r="S40" s="142">
        <f ca="1">ROUND((Matching_Engine!$O$40*Brand_Profile!$E$96+Matching_Engine!$P$40*Brand_Profile!$E$97+Matching_Engine!$Q$40*Brand_Profile!$E$98+Matching_Engine!$R$40*Brand_Profile!$E$99)/MAX(1,Brand_Profile!$E$96+Brand_Profile!$E$97+Brand_Profile!$E$98+Brand_Profile!$E$99),0)</f>
        <v>72</v>
      </c>
      <c r="T40" s="142">
        <f>IF(Brand_Profile!$E$33="",Lookup_Lists!$D$150,Matching_Engine!$BD$40)</f>
        <v>60</v>
      </c>
      <c r="U40" s="142">
        <f>IF(Brand_Profile!$E$34="",Lookup_Lists!$D$150,IF(Brand_Profile!$E$34=KOL_Database!$F$9,100,IF(Matching_Engine!$BE$40=KOL_Database!$E$9,75,IF(Matching_Engine!$BD$40&gt;=80,Lookup_Lists!$D$150,IF(Matching_Engine!$BD$40&gt;=60,35,Lookup_Lists!$D$151)))))</f>
        <v>35</v>
      </c>
      <c r="V40" s="142">
        <f>IF(Brand_Profile!$E$86=0,Lookup_Lists!$D$150,ROUND((IF(Brand_Profile!$E$81="",0,IF(ISNUMBER(SEARCH(Brand_Profile!$E$81,Matching_Engine!$BG$40)),1,0))+IF(Brand_Profile!$E$82="",0,IF(ISNUMBER(SEARCH(Brand_Profile!$E$82,Matching_Engine!$BG$40)),1,0))+IF(Brand_Profile!$E$83="",0,IF(ISNUMBER(SEARCH(Brand_Profile!$E$83,Matching_Engine!$BG$40)),1,0))+IF(Brand_Profile!$E$84="",0,IF(ISNUMBER(SEARCH(Brand_Profile!$E$84,Matching_Engine!$BG$40)),1,0))+IF(Brand_Profile!$E$85="",0,IF(ISNUMBER(SEARCH(Brand_Profile!$E$85,Matching_Engine!$BG$40)),1,0)))/Brand_Profile!$E$86*100,0))</f>
        <v>20</v>
      </c>
      <c r="W40" s="142">
        <f>IF(Brand_Profile!$E$39="",Lookup_Lists!$D$150,IFERROR(INDEX(Lookup_Lists!$B$237:$K$246,MATCH(Brand_Profile!$E$39,Lookup_Lists!$A$237:$A$246,0),MATCH(KOL_Database!$AJ$9,Lookup_Lists!$B$236:$K$236,0)),45))</f>
        <v>100</v>
      </c>
      <c r="X40" s="142">
        <f>ROUND((Matching_Engine!$T$40*Lookup_Lists!$D$121+Matching_Engine!$U$40*Lookup_Lists!$D$122+Matching_Engine!$V$40*Lookup_Lists!$D$123+Matching_Engine!$W$40*Lookup_Lists!$D$124)/(Lookup_Lists!$D$121+Lookup_Lists!$D$122+Lookup_Lists!$D$123+Lookup_Lists!$D$124),0)</f>
        <v>51</v>
      </c>
      <c r="Y40" s="142">
        <f>MIN(100,MAX(IFERROR(INDEX(Lookup_Lists!$B$202:$M$211,MATCH(Brand_Profile!$E$25,Lookup_Lists!$A$202:$A$211,0),MATCH(KOL_Database!$AK$9,Lookup_Lists!$B$201:$M$201,0)),40),IF(KOL_Database!$AK$9=Brand_Profile!$E$41,95,0)))</f>
        <v>35</v>
      </c>
      <c r="Z40" s="142">
        <f>IFERROR(INDEX(Lookup_Lists!$B$215:$K$222,MATCH(Brand_Profile!$E$27,Lookup_Lists!$A$215:$A$222,0),MATCH(KOL_Database!$AJ$9,Lookup_Lists!$B$214:$K$214,0)),45)</f>
        <v>70</v>
      </c>
      <c r="AA40" s="142">
        <f>ROUND((IF(Brand_Profile!$E$80=0,Lookup_Lists!$D$150,ROUND((IF(Brand_Profile!$E$75="",0,IF(ISNUMBER(SEARCH(Brand_Profile!$E$75,KOL_Database!$AL$9)),1,0))+IF(Brand_Profile!$E$76="",0,IF(ISNUMBER(SEARCH(Brand_Profile!$E$76,KOL_Database!$AL$9)),1,0))+IF(Brand_Profile!$E$77="",0,IF(ISNUMBER(SEARCH(Brand_Profile!$E$77,KOL_Database!$AL$9)),1,0))+IF(Brand_Profile!$E$78="",0,IF(ISNUMBER(SEARCH(Brand_Profile!$E$78,KOL_Database!$AL$9)),1,0))+IF(Brand_Profile!$E$79="",0,IF(ISNUMBER(SEARCH(Brand_Profile!$E$79,KOL_Database!$AL$9)),1,0)))/Brand_Profile!$E$80*100,0))+IF(Brand_Profile!$E$92=0,Lookup_Lists!$D$150,ROUND((IF(Brand_Profile!$E$87="",0,IF(ISNUMBER(SEARCH(Brand_Profile!$E$87,KOL_Database!$AL$9)),1,0))+IF(Brand_Profile!$E$88="",0,IF(ISNUMBER(SEARCH(Brand_Profile!$E$88,KOL_Database!$AL$9)),1,0))+IF(Brand_Profile!$E$89="",0,IF(ISNUMBER(SEARCH(Brand_Profile!$E$89,KOL_Database!$AL$9)),1,0))+IF(Brand_Profile!$E$90="",0,IF(ISNUMBER(SEARCH(Brand_Profile!$E$90,KOL_Database!$AL$9)),1,0))+IF(Brand_Profile!$E$91="",0,IF(ISNUMBER(SEARCH(Brand_Profile!$E$91,KOL_Database!$AL$9)),1,0)))/Brand_Profile!$E$92*100,0)))/2,0)</f>
        <v>20</v>
      </c>
      <c r="AB40" s="142">
        <f>IFERROR(INDEX(Lookup_Lists!$B$226:$K$233,MATCH(Brand_Profile!$E$30,Lookup_Lists!$A$226:$A$233,0),MATCH(KOL_Database!$AJ$9,Lookup_Lists!$B$225:$K$225,0)),45)</f>
        <v>65</v>
      </c>
      <c r="AC40" s="142">
        <f>ROUND((Matching_Engine!$Y$40*Lookup_Lists!$D$125+Matching_Engine!$Z$40*Lookup_Lists!$D$126+Matching_Engine!$AA$40*Lookup_Lists!$D$127+Matching_Engine!$AB$40*Lookup_Lists!$D$128)/(Lookup_Lists!$D$125+Lookup_Lists!$D$126+Lookup_Lists!$D$127+Lookup_Lists!$D$128),0)</f>
        <v>45</v>
      </c>
      <c r="AD40" s="142">
        <f>IF(KOL_Database!$K$9="",0,MIN(100,ROUND(KOL_Database!$K$9/Lookup_Lists!$D$141*100,0)))</f>
        <v>100</v>
      </c>
      <c r="AE40" s="142">
        <f>IF(KOL_Database!$R$9="",0,MIN(100,MAX(0,KOL_Database!$R$9)))</f>
        <v>70</v>
      </c>
      <c r="AF40" s="142">
        <f>IF(KOL_Database!$P$9="",0,MIN(100,MAX(0,KOL_Database!$P$9)))</f>
        <v>75</v>
      </c>
      <c r="AG40" s="142">
        <f>IF(KOL_Database!$Q$9="",0,MIN(100,MAX(0,KOL_Database!$Q$9)))</f>
        <v>67</v>
      </c>
      <c r="AH40" s="142">
        <f>IF(OR(KOL_Database!$J$9="",KOL_Database!$J$9=0,KOL_Database!$L$9=""),0,MIN(100,ROUND(KOL_Database!$L$9/KOL_Database!$J$9/Lookup_Lists!$D$144*100,0)))</f>
        <v>100</v>
      </c>
      <c r="AI40" s="142">
        <f>IF(KOL_Database!$N$9="",0,MIN(100,MAX(0,ROUND((KOL_Database!$N$9+2)/(Lookup_Lists!$D$145+2)*100,0))))</f>
        <v>56</v>
      </c>
      <c r="AJ40" s="142">
        <f>ROUND((Matching_Engine!$AD$40*Lookup_Lists!$D$129+Matching_Engine!$AE$40*Lookup_Lists!$D$130+Matching_Engine!$AF$40*Lookup_Lists!$D$131+Matching_Engine!$AG$40*Lookup_Lists!$D$132+Matching_Engine!$AH$40*Lookup_Lists!$D$133+Matching_Engine!$AI$40*Lookup_Lists!$D$134)/(Lookup_Lists!$D$129+Lookup_Lists!$D$130+Lookup_Lists!$D$131+Lookup_Lists!$D$132+Lookup_Lists!$D$133+Lookup_Lists!$D$134),0)</f>
        <v>84</v>
      </c>
      <c r="AK40" s="142">
        <f>IF(KOL_Database!$AT$9="",0,MIN(100,MAX(0,KOL_Database!$AT$9)))</f>
        <v>78</v>
      </c>
      <c r="AL40" s="142">
        <f>IF(KOL_Database!$AU$9="",0,KOL_Database!$AU$9)</f>
        <v>30</v>
      </c>
      <c r="AM40" s="89" t="str">
        <f>IF(KOL_Database!$AV$9="","None",KOL_Database!$AV$9)</f>
        <v>Low</v>
      </c>
      <c r="AN40" s="143">
        <f>IF(Matching_Engine!$AM$40="High",Lookup_Lists!$D$137,IF(Matching_Engine!$AM$40="Medium",Lookup_Lists!$D$138,IF(Matching_Engine!$AM$40="Low",Lookup_Lists!$D$139,Lookup_Lists!$D$140)))</f>
        <v>0.95</v>
      </c>
      <c r="AO40" s="142">
        <f>ROUND(MIN(100,MAX(0,(Matching_Engine!$AK$40*Lookup_Lists!$D$135+(100-Matching_Engine!$AL$40)*Lookup_Lists!$D$136)/(Lookup_Lists!$D$135+Lookup_Lists!$D$136)*Matching_Engine!$AN$40)),0)</f>
        <v>73</v>
      </c>
      <c r="AP40" s="13">
        <f ca="1">ROUND((Matching_Engine!$N$40*Lookup_Lists!$D$104+Matching_Engine!$S$40*Lookup_Lists!$D$105+Matching_Engine!$X$40*Lookup_Lists!$D$106+Matching_Engine!$AC$40*Lookup_Lists!$D$107+Matching_Engine!$AJ$40*Lookup_Lists!$D$108+Matching_Engine!$AO$40*Lookup_Lists!$D$109)/MAX(1,(Lookup_Lists!$D$104+Lookup_Lists!$D$105+Lookup_Lists!$D$106+Lookup_Lists!$D$107+Lookup_Lists!$D$108+Lookup_Lists!$D$109)),0)</f>
        <v>59</v>
      </c>
      <c r="AQ40" s="89" t="str">
        <f ca="1">IF(Matching_Engine!$AP$40&gt;=Lookup_Lists!$D$152,"Excellent Match",IF(Matching_Engine!$AP$40&gt;=Lookup_Lists!$D$153,"Strong Match",IF(Matching_Engine!$AP$40&gt;=Lookup_Lists!$D$154,"Good Match",IF(Matching_Engine!$AP$40&gt;=Lookup_Lists!$D$155,"Moderate Match","Low Match"))))</f>
        <v>Low Match</v>
      </c>
      <c r="AR40" s="142">
        <f>KOL_Database!$BE$9</f>
        <v>100</v>
      </c>
      <c r="AS40" s="89" t="str">
        <f>IF(Matching_Engine!$AR$40&gt;=Lookup_Lists!$D$159,"High",IF(Matching_Engine!$AR$40&gt;=Lookup_Lists!$D$160,"Medium","Limited Data"))</f>
        <v>High</v>
      </c>
      <c r="AT40" s="142">
        <f>ROUND((Matching_Engine!$N$40+Matching_Engine!$X$40+Matching_Engine!$AC$40)/3,0)</f>
        <v>43</v>
      </c>
      <c r="AU40" s="142">
        <f>ROUND(((100-Matching_Engine!$AL$40)*Lookup_Lists!$D$162+IF(KOL_Database!$BD$9="",Lookup_Lists!$D$150,KOL_Database!$BD$9)*Lookup_Lists!$D$163+Matching_Engine!$AI$40*Lookup_Lists!$D$164+Matching_Engine!$AD$40*Lookup_Lists!$D$165)/(Lookup_Lists!$D$162+Lookup_Lists!$D$163+Lookup_Lists!$D$164+Lookup_Lists!$D$165),0)</f>
        <v>79</v>
      </c>
      <c r="AV40" s="89" t="str">
        <f ca="1">IF(Matching_Engine!$AW$40="","PASS","EXCLUDED")</f>
        <v>EXCLUDED</v>
      </c>
      <c r="AW40" s="89" t="str">
        <f ca="1">IF(ISERROR(SEARCH(KOL_Database!$D$9,Brand_Profile!$E$32)),"Platform not in Preferred Platform",IF(AND(Brand_Profile!$E$36&gt;0,KOL_Database!$J$9&lt;Brand_Profile!$E$36),"Followers below Preferred Follower Range",IF(AND(Brand_Profile!$E$37&gt;0,KOL_Database!$J$9&gt;Brand_Profile!$E$37),"Followers above Preferred Follower Range",IF(AND(Brand_Profile!$E$38&gt;0,IF(KOL_Database!$K$9="",0,KOL_Database!$K$9)&lt;Brand_Profile!$E$38),"Engagement Rate below Minimum Engagement Rate",IF(ISERROR(SEARCH(KOL_Database!$G$9,Brand_Profile!$E$35)),"Tier not in Preferred Tier",IF(AND(Brand_Profile!$E$43&gt;0,Matching_Engine!$AE$40&lt;Brand_Profile!$E$43),"Audience Quality below Minimum Audience Quality",IF(AND(Brand_Profile!$E$44&gt;0,Matching_Engine!$AK$40&lt;Brand_Profile!$E$44),"Brand Safety below Minimum Brand Safety",IF(AND(Brand_Profile!$E$47="Yes",KOL_Database!$AD$9&lt;&gt;Brand_Profile!$E$19),"Audience Country does not match Target Country",IF(AND(Brand_Profile!$E$46="Yes",KOL_Database!$E$9&lt;&gt;Brand_Profile!$E$33),"Category is not the Preferred Category",IF(AND(Brand_Profile!$E$48&gt;0,Matching_Engine!$AL$40&gt;Brand_Profile!$E$48),"Competitor Saturation above Max Competitor Saturation",IF(AND(Brand_Profile!$E$50="Yes",KOL_Database!$AW$9="Yes"),"Already Selected",IF(AND(Brand_Profile!$E$51="Yes",KOL_Database!$AX$9="Yes"),"Already in Cart",IF(AND(Brand_Profile!$E$52="Yes",KOL_Database!$AY$9="Yes"),"Existing Partner",IF(AND(Brand_Profile!$E$53="Yes",KOL_Database!$AZ$9="Yes"),"Excluded Creator",IF(AND(Brand_Profile!$E$49&gt;0,Matching_Engine!$AP$40&lt;Brand_Profile!$E$49),"Brand Match below Minimum Brand Match","")))))))))))))))</f>
        <v>Tier not in Preferred Tier</v>
      </c>
      <c r="AX40" s="89" t="str">
        <f ca="1">IF(Matching_Engine!$AV$40="EXCLUDED","Excluded",IF(Matching_Engine!$AP$40&gt;=Lookup_Lists!$D$156,"Highly Recommended",IF(Matching_Engine!$AP$40&gt;=Lookup_Lists!$D$157,"Recommended",IF(Matching_Engine!$AP$40&gt;=Lookup_Lists!$D$158,"Consider","Low Priority"))))</f>
        <v>Excluded</v>
      </c>
      <c r="AY40" s="142" t="str">
        <f ca="1">IF(Matching_Engine!$AV$40="PASS",Matching_Engine!$AP$40,"")</f>
        <v/>
      </c>
      <c r="AZ40" s="89" t="str">
        <f>Matching_Engine!$A$40&amp;"|"&amp;Matching_Engine!$C$40</f>
        <v>BRAND-B|KOL-05</v>
      </c>
      <c r="BA40" s="89" t="str">
        <f>IFERROR(INDEX(Lookup_Lists!$B$51:$B$92,MATCH(Brand_Profile!$E$12,Lookup_Lists!$A$51:$A$92,0)),"")</f>
        <v>Beauty</v>
      </c>
      <c r="BB40" s="89" t="str">
        <f>IFERROR(INDEX(Lookup_Lists!$B$51:$B$92,MATCH(KOL_Database!$F$9,Lookup_Lists!$A$51:$A$92,0)),"")</f>
        <v>Food</v>
      </c>
      <c r="BC40" s="142">
        <f>IFERROR(INDEX(Lookup_Lists!$B$185:$O$198,MATCH(Matching_Engine!$BA$40,Lookup_Lists!$A$185:$A$198,0),MATCH(KOL_Database!$E$9,Lookup_Lists!$B$184:$O$184,0)),Lookup_Lists!$D$151)</f>
        <v>60</v>
      </c>
      <c r="BD40" s="142">
        <f>IFERROR(INDEX(Lookup_Lists!$B$185:$O$198,MATCH(Brand_Profile!$E$33,Lookup_Lists!$A$185:$A$198,0),MATCH(KOL_Database!$E$9,Lookup_Lists!$B$184:$O$184,0)),Lookup_Lists!$D$151)</f>
        <v>60</v>
      </c>
      <c r="BE40" s="89" t="str">
        <f>IFERROR(INDEX(Lookup_Lists!$B$51:$B$92,MATCH(Brand_Profile!$E$34,Lookup_Lists!$A$51:$A$92,0)),"")</f>
        <v>Beauty</v>
      </c>
      <c r="BF40" s="89" t="str">
        <f>KOL_Database!$AI$9&amp;", "&amp;KOL_Database!$AG$9&amp;", "&amp;KOL_Database!$F$9&amp;", "&amp;KOL_Database!$E$9</f>
        <v>Food, Cooking, Travel, Food, Cooking, Travel, Shopping, Entertainment, Culinary Review, Food</v>
      </c>
      <c r="BG40" s="89" t="str">
        <f>KOL_Database!$AI$9&amp;", "&amp;KOL_Database!$AG$9</f>
        <v>Food, Cooking, Travel, Food, Cooking, Travel, Shopping, Entertainment</v>
      </c>
    </row>
    <row r="41" spans="1:59">
      <c r="A41" s="101" t="s">
        <v>118</v>
      </c>
      <c r="B41" s="89" t="str">
        <f>Brand_Profile!$E$9</f>
        <v>Lumaya Skin</v>
      </c>
      <c r="C41" s="89" t="str">
        <f>KOL_Database!$A$10</f>
        <v>KOL-06</v>
      </c>
      <c r="D41" s="89" t="str">
        <f>KOL_Database!$B$10</f>
        <v>Ayu Lestari</v>
      </c>
      <c r="E41" s="89" t="str">
        <f>KOL_Database!$C$10</f>
        <v>@dapurayu</v>
      </c>
      <c r="F41" s="89" t="str">
        <f>KOL_Database!$D$10</f>
        <v>Instagram</v>
      </c>
      <c r="G41" s="89" t="str">
        <f>KOL_Database!$E$10</f>
        <v>Food</v>
      </c>
      <c r="H41" s="89" t="str">
        <f>KOL_Database!$G$10</f>
        <v>Mid-tier</v>
      </c>
      <c r="I41" s="140">
        <f>KOL_Database!$J$10</f>
        <v>64000</v>
      </c>
      <c r="J41" s="141">
        <f>KOL_Database!$K$10</f>
        <v>5.2</v>
      </c>
      <c r="K41" s="142">
        <f>IFERROR(INDEX(Lookup_Lists!$B$170:$O$181,MATCH(Brand_Profile!$E$10,Lookup_Lists!$A$170:$A$181,0),MATCH(KOL_Database!$E$10,Lookup_Lists!$B$169:$O$169,0)),Lookup_Lists!$D$151)</f>
        <v>40</v>
      </c>
      <c r="L41" s="142">
        <f>IF(KOL_Database!$F$10="",Matching_Engine!$BC$41,IF(Brand_Profile!$E$12=KOL_Database!$F$10,100,IF(Matching_Engine!$BA$41=KOL_Database!$E$10,80,IF(Matching_Engine!$BC$41&gt;=80,60,IF(Matching_Engine!$BC$41&gt;=60,40,Lookup_Lists!$D$151)))))</f>
        <v>40</v>
      </c>
      <c r="M41" s="142">
        <f>ROUND((IF(Brand_Profile!$E$62=0,Lookup_Lists!$D$150,ROUND((IF(Brand_Profile!$E$57="",0,IF(ISNUMBER(SEARCH(Brand_Profile!$E$57,Matching_Engine!$BF$41)),1,0))+IF(Brand_Profile!$E$58="",0,IF(ISNUMBER(SEARCH(Brand_Profile!$E$58,Matching_Engine!$BF$41)),1,0))+IF(Brand_Profile!$E$59="",0,IF(ISNUMBER(SEARCH(Brand_Profile!$E$59,Matching_Engine!$BF$41)),1,0))+IF(Brand_Profile!$E$60="",0,IF(ISNUMBER(SEARCH(Brand_Profile!$E$60,Matching_Engine!$BF$41)),1,0))+IF(Brand_Profile!$E$61="",0,IF(ISNUMBER(SEARCH(Brand_Profile!$E$61,Matching_Engine!$BF$41)),1,0)))/Brand_Profile!$E$62*100,0))+IF(Brand_Profile!$E$74=0,Lookup_Lists!$D$150,ROUND((IF(Brand_Profile!$E$69="",0,IF(ISNUMBER(SEARCH(Brand_Profile!$E$69,Matching_Engine!$BF$41)),1,0))+IF(Brand_Profile!$E$70="",0,IF(ISNUMBER(SEARCH(Brand_Profile!$E$70,Matching_Engine!$BF$41)),1,0))+IF(Brand_Profile!$E$71="",0,IF(ISNUMBER(SEARCH(Brand_Profile!$E$71,Matching_Engine!$BF$41)),1,0))+IF(Brand_Profile!$E$72="",0,IF(ISNUMBER(SEARCH(Brand_Profile!$E$72,Matching_Engine!$BF$41)),1,0))+IF(Brand_Profile!$E$73="",0,IF(ISNUMBER(SEARCH(Brand_Profile!$E$73,Matching_Engine!$BF$41)),1,0)))/Brand_Profile!$E$74*100,0)))/2,0)</f>
        <v>20</v>
      </c>
      <c r="N41" s="142">
        <f>ROUND((Matching_Engine!$K$41*Lookup_Lists!$D$110+Matching_Engine!$L$41*Lookup_Lists!$D$111+Matching_Engine!$M$41*Lookup_Lists!$D$112)/(Lookup_Lists!$D$110+Lookup_Lists!$D$111+Lookup_Lists!$D$112),0)</f>
        <v>34</v>
      </c>
      <c r="O41" s="142">
        <f ca="1">IF(Brand_Profile!$E$16="",Lookup_Lists!$D$150,MIN(100,ROUND((IFERROR(INDEX(KOL_Database!$W$10:KOL_Database!$AA$10,1,MATCH(Brand_Profile!$E$16,Lookup_Lists!$F$6:$F$10,0)),0)+0.5*IFERROR(INDEX(KOL_Database!$W$10:KOL_Database!$AA$10,1,MATCH(Brand_Profile!$E$17,Lookup_Lists!$F$6:$F$10,0)),0))/Lookup_Lists!$D$142*100,0)))</f>
        <v>100</v>
      </c>
      <c r="P41" s="142">
        <f>IF(OR(Brand_Profile!$E$18="",Brand_Profile!$E$18="Any"),100,IF(Brand_Profile!$E$18="Female",MIN(100,ROUND(KOL_Database!$AB$10/Lookup_Lists!$D$143*100,0)),IF(Brand_Profile!$E$18="Male",MIN(100,ROUND(KOL_Database!$AC$10/Lookup_Lists!$D$143*100,0)),MAX(0,ROUND(100-ABS(KOL_Database!$AB$10-50)*2,0)))))</f>
        <v>100</v>
      </c>
      <c r="Q41" s="142">
        <f>ROUND((IF(Brand_Profile!$E$19="",100,IF(KOL_Database!$AD$10=Brand_Profile!$E$19,100,Lookup_Lists!$D$151))*Lookup_Lists!$D$118+IF(OR(Brand_Profile!$E$20="",Brand_Profile!$E$20="Nasional"),100,IF(KOL_Database!$AE$10="",Lookup_Lists!$D$150,IF(KOL_Database!$AE$10=Brand_Profile!$E$20,100,IF(KOL_Database!$AD$10=Brand_Profile!$E$19,40,Lookup_Lists!$D$151))))*Lookup_Lists!$D$119+IF(OR(Brand_Profile!$E$21="",Brand_Profile!$E$21="Nasional"),100,IF(KOL_Database!$AF$10="",Lookup_Lists!$D$150,IF(KOL_Database!$AF$10=Brand_Profile!$E$21,100,IF(KOL_Database!$AE$10=Brand_Profile!$E$20,60,Lookup_Lists!$D$151))))*Lookup_Lists!$D$120)/(Lookup_Lists!$D$118+Lookup_Lists!$D$119+Lookup_Lists!$D$120),0)</f>
        <v>80</v>
      </c>
      <c r="R41" s="142">
        <f>IF(Brand_Profile!$E$68=0,Lookup_Lists!$D$150,ROUND((IF(Brand_Profile!$E$63="",0,IF(ISNUMBER(SEARCH(Brand_Profile!$E$63,KOL_Database!$AG$10)),1,0))+IF(Brand_Profile!$E$64="",0,IF(ISNUMBER(SEARCH(Brand_Profile!$E$64,KOL_Database!$AG$10)),1,0))+IF(Brand_Profile!$E$65="",0,IF(ISNUMBER(SEARCH(Brand_Profile!$E$65,KOL_Database!$AG$10)),1,0))+IF(Brand_Profile!$E$66="",0,IF(ISNUMBER(SEARCH(Brand_Profile!$E$66,KOL_Database!$AG$10)),1,0))+IF(Brand_Profile!$E$67="",0,IF(ISNUMBER(SEARCH(Brand_Profile!$E$67,KOL_Database!$AG$10)),1,0)))/Brand_Profile!$E$68*100,0))</f>
        <v>0</v>
      </c>
      <c r="S41" s="142">
        <f ca="1">ROUND((Matching_Engine!$O$41*Brand_Profile!$E$96+Matching_Engine!$P$41*Brand_Profile!$E$97+Matching_Engine!$Q$41*Brand_Profile!$E$98+Matching_Engine!$R$41*Brand_Profile!$E$99)/MAX(1,Brand_Profile!$E$96+Brand_Profile!$E$97+Brand_Profile!$E$98+Brand_Profile!$E$99),0)</f>
        <v>69</v>
      </c>
      <c r="T41" s="142">
        <f>IF(Brand_Profile!$E$33="",Lookup_Lists!$D$150,Matching_Engine!$BD$41)</f>
        <v>60</v>
      </c>
      <c r="U41" s="142">
        <f>IF(Brand_Profile!$E$34="",Lookup_Lists!$D$150,IF(Brand_Profile!$E$34=KOL_Database!$F$10,100,IF(Matching_Engine!$BE$41=KOL_Database!$E$10,75,IF(Matching_Engine!$BD$41&gt;=80,Lookup_Lists!$D$150,IF(Matching_Engine!$BD$41&gt;=60,35,Lookup_Lists!$D$151)))))</f>
        <v>35</v>
      </c>
      <c r="V41" s="142">
        <f>IF(Brand_Profile!$E$86=0,Lookup_Lists!$D$150,ROUND((IF(Brand_Profile!$E$81="",0,IF(ISNUMBER(SEARCH(Brand_Profile!$E$81,Matching_Engine!$BG$41)),1,0))+IF(Brand_Profile!$E$82="",0,IF(ISNUMBER(SEARCH(Brand_Profile!$E$82,Matching_Engine!$BG$41)),1,0))+IF(Brand_Profile!$E$83="",0,IF(ISNUMBER(SEARCH(Brand_Profile!$E$83,Matching_Engine!$BG$41)),1,0))+IF(Brand_Profile!$E$84="",0,IF(ISNUMBER(SEARCH(Brand_Profile!$E$84,Matching_Engine!$BG$41)),1,0))+IF(Brand_Profile!$E$85="",0,IF(ISNUMBER(SEARCH(Brand_Profile!$E$85,Matching_Engine!$BG$41)),1,0)))/Brand_Profile!$E$86*100,0))</f>
        <v>20</v>
      </c>
      <c r="W41" s="142">
        <f>IF(Brand_Profile!$E$39="",Lookup_Lists!$D$150,IFERROR(INDEX(Lookup_Lists!$B$237:$K$246,MATCH(Brand_Profile!$E$39,Lookup_Lists!$A$237:$A$246,0),MATCH(KOL_Database!$AJ$10,Lookup_Lists!$B$236:$K$236,0)),45))</f>
        <v>80</v>
      </c>
      <c r="X41" s="142">
        <f>ROUND((Matching_Engine!$T$41*Lookup_Lists!$D$121+Matching_Engine!$U$41*Lookup_Lists!$D$122+Matching_Engine!$V$41*Lookup_Lists!$D$123+Matching_Engine!$W$41*Lookup_Lists!$D$124)/(Lookup_Lists!$D$121+Lookup_Lists!$D$122+Lookup_Lists!$D$123+Lookup_Lists!$D$124),0)</f>
        <v>47</v>
      </c>
      <c r="Y41" s="142">
        <f>MIN(100,MAX(IFERROR(INDEX(Lookup_Lists!$B$202:$M$211,MATCH(Brand_Profile!$E$25,Lookup_Lists!$A$202:$A$211,0),MATCH(KOL_Database!$AK$10,Lookup_Lists!$B$201:$M$201,0)),40),IF(KOL_Database!$AK$10=Brand_Profile!$E$41,95,0)))</f>
        <v>35</v>
      </c>
      <c r="Z41" s="142">
        <f>IFERROR(INDEX(Lookup_Lists!$B$215:$K$222,MATCH(Brand_Profile!$E$27,Lookup_Lists!$A$215:$A$222,0),MATCH(KOL_Database!$AJ$10,Lookup_Lists!$B$214:$K$214,0)),45)</f>
        <v>65</v>
      </c>
      <c r="AA41" s="142">
        <f>ROUND((IF(Brand_Profile!$E$80=0,Lookup_Lists!$D$150,ROUND((IF(Brand_Profile!$E$75="",0,IF(ISNUMBER(SEARCH(Brand_Profile!$E$75,KOL_Database!$AL$10)),1,0))+IF(Brand_Profile!$E$76="",0,IF(ISNUMBER(SEARCH(Brand_Profile!$E$76,KOL_Database!$AL$10)),1,0))+IF(Brand_Profile!$E$77="",0,IF(ISNUMBER(SEARCH(Brand_Profile!$E$77,KOL_Database!$AL$10)),1,0))+IF(Brand_Profile!$E$78="",0,IF(ISNUMBER(SEARCH(Brand_Profile!$E$78,KOL_Database!$AL$10)),1,0))+IF(Brand_Profile!$E$79="",0,IF(ISNUMBER(SEARCH(Brand_Profile!$E$79,KOL_Database!$AL$10)),1,0)))/Brand_Profile!$E$80*100,0))+IF(Brand_Profile!$E$92=0,Lookup_Lists!$D$150,ROUND((IF(Brand_Profile!$E$87="",0,IF(ISNUMBER(SEARCH(Brand_Profile!$E$87,KOL_Database!$AL$10)),1,0))+IF(Brand_Profile!$E$88="",0,IF(ISNUMBER(SEARCH(Brand_Profile!$E$88,KOL_Database!$AL$10)),1,0))+IF(Brand_Profile!$E$89="",0,IF(ISNUMBER(SEARCH(Brand_Profile!$E$89,KOL_Database!$AL$10)),1,0))+IF(Brand_Profile!$E$90="",0,IF(ISNUMBER(SEARCH(Brand_Profile!$E$90,KOL_Database!$AL$10)),1,0))+IF(Brand_Profile!$E$91="",0,IF(ISNUMBER(SEARCH(Brand_Profile!$E$91,KOL_Database!$AL$10)),1,0)))/Brand_Profile!$E$92*100,0)))/2,0)</f>
        <v>20</v>
      </c>
      <c r="AB41" s="142">
        <f>IFERROR(INDEX(Lookup_Lists!$B$226:$K$233,MATCH(Brand_Profile!$E$30,Lookup_Lists!$A$226:$A$233,0),MATCH(KOL_Database!$AJ$10,Lookup_Lists!$B$225:$K$225,0)),45)</f>
        <v>70</v>
      </c>
      <c r="AC41" s="142">
        <f>ROUND((Matching_Engine!$Y$41*Lookup_Lists!$D$125+Matching_Engine!$Z$41*Lookup_Lists!$D$126+Matching_Engine!$AA$41*Lookup_Lists!$D$127+Matching_Engine!$AB$41*Lookup_Lists!$D$128)/(Lookup_Lists!$D$125+Lookup_Lists!$D$126+Lookup_Lists!$D$127+Lookup_Lists!$D$128),0)</f>
        <v>44</v>
      </c>
      <c r="AD41" s="142">
        <f>IF(KOL_Database!$K$10="",0,MIN(100,ROUND(KOL_Database!$K$10/Lookup_Lists!$D$141*100,0)))</f>
        <v>87</v>
      </c>
      <c r="AE41" s="142">
        <f>IF(KOL_Database!$R$10="",0,MIN(100,MAX(0,KOL_Database!$R$10)))</f>
        <v>73</v>
      </c>
      <c r="AF41" s="142">
        <f>IF(KOL_Database!$P$10="",0,MIN(100,MAX(0,KOL_Database!$P$10)))</f>
        <v>63</v>
      </c>
      <c r="AG41" s="142">
        <f>IF(KOL_Database!$Q$10="",0,MIN(100,MAX(0,KOL_Database!$Q$10)))</f>
        <v>58</v>
      </c>
      <c r="AH41" s="142">
        <f>IF(OR(KOL_Database!$J$10="",KOL_Database!$J$10=0,KOL_Database!$L$10=""),0,MIN(100,ROUND(KOL_Database!$L$10/KOL_Database!$J$10/Lookup_Lists!$D$144*100,0)))</f>
        <v>60</v>
      </c>
      <c r="AI41" s="142">
        <f>IF(KOL_Database!$N$10="",0,MIN(100,MAX(0,ROUND((KOL_Database!$N$10+2)/(Lookup_Lists!$D$145+2)*100,0))))</f>
        <v>80</v>
      </c>
      <c r="AJ41" s="142">
        <f>ROUND((Matching_Engine!$AD$41*Lookup_Lists!$D$129+Matching_Engine!$AE$41*Lookup_Lists!$D$130+Matching_Engine!$AF$41*Lookup_Lists!$D$131+Matching_Engine!$AG$41*Lookup_Lists!$D$132+Matching_Engine!$AH$41*Lookup_Lists!$D$133+Matching_Engine!$AI$41*Lookup_Lists!$D$134)/(Lookup_Lists!$D$129+Lookup_Lists!$D$130+Lookup_Lists!$D$131+Lookup_Lists!$D$132+Lookup_Lists!$D$133+Lookup_Lists!$D$134),0)</f>
        <v>73</v>
      </c>
      <c r="AK41" s="142">
        <f>IF(KOL_Database!$AT$10="",0,MIN(100,MAX(0,KOL_Database!$AT$10)))</f>
        <v>79</v>
      </c>
      <c r="AL41" s="142">
        <f>IF(KOL_Database!$AU$10="",0,KOL_Database!$AU$10)</f>
        <v>29</v>
      </c>
      <c r="AM41" s="89" t="str">
        <f>IF(KOL_Database!$AV$10="","None",KOL_Database!$AV$10)</f>
        <v>Low</v>
      </c>
      <c r="AN41" s="143">
        <f>IF(Matching_Engine!$AM$41="High",Lookup_Lists!$D$137,IF(Matching_Engine!$AM$41="Medium",Lookup_Lists!$D$138,IF(Matching_Engine!$AM$41="Low",Lookup_Lists!$D$139,Lookup_Lists!$D$140)))</f>
        <v>0.95</v>
      </c>
      <c r="AO41" s="142">
        <f>ROUND(MIN(100,MAX(0,(Matching_Engine!$AK$41*Lookup_Lists!$D$135+(100-Matching_Engine!$AL$41)*Lookup_Lists!$D$136)/(Lookup_Lists!$D$135+Lookup_Lists!$D$136)*Matching_Engine!$AN$41)),0)</f>
        <v>74</v>
      </c>
      <c r="AP41" s="13">
        <f ca="1">ROUND((Matching_Engine!$N$41*Lookup_Lists!$D$104+Matching_Engine!$S$41*Lookup_Lists!$D$105+Matching_Engine!$X$41*Lookup_Lists!$D$106+Matching_Engine!$AC$41*Lookup_Lists!$D$107+Matching_Engine!$AJ$41*Lookup_Lists!$D$108+Matching_Engine!$AO$41*Lookup_Lists!$D$109)/MAX(1,(Lookup_Lists!$D$104+Lookup_Lists!$D$105+Lookup_Lists!$D$106+Lookup_Lists!$D$107+Lookup_Lists!$D$108+Lookup_Lists!$D$109)),0)</f>
        <v>56</v>
      </c>
      <c r="AQ41" s="89" t="str">
        <f ca="1">IF(Matching_Engine!$AP$41&gt;=Lookup_Lists!$D$152,"Excellent Match",IF(Matching_Engine!$AP$41&gt;=Lookup_Lists!$D$153,"Strong Match",IF(Matching_Engine!$AP$41&gt;=Lookup_Lists!$D$154,"Good Match",IF(Matching_Engine!$AP$41&gt;=Lookup_Lists!$D$155,"Moderate Match","Low Match"))))</f>
        <v>Low Match</v>
      </c>
      <c r="AR41" s="142">
        <f>KOL_Database!$BE$10</f>
        <v>92</v>
      </c>
      <c r="AS41" s="89" t="str">
        <f>IF(Matching_Engine!$AR$41&gt;=Lookup_Lists!$D$159,"High",IF(Matching_Engine!$AR$41&gt;=Lookup_Lists!$D$160,"Medium","Limited Data"))</f>
        <v>Medium</v>
      </c>
      <c r="AT41" s="142">
        <f>ROUND((Matching_Engine!$N$41+Matching_Engine!$X$41+Matching_Engine!$AC$41)/3,0)</f>
        <v>42</v>
      </c>
      <c r="AU41" s="142">
        <f>ROUND(((100-Matching_Engine!$AL$41)*Lookup_Lists!$D$162+IF(KOL_Database!$BD$10="",Lookup_Lists!$D$150,KOL_Database!$BD$10)*Lookup_Lists!$D$163+Matching_Engine!$AI$41*Lookup_Lists!$D$164+Matching_Engine!$AD$41*Lookup_Lists!$D$165)/(Lookup_Lists!$D$162+Lookup_Lists!$D$163+Lookup_Lists!$D$164+Lookup_Lists!$D$165),0)</f>
        <v>72</v>
      </c>
      <c r="AV41" s="89" t="str">
        <f ca="1">IF(Matching_Engine!$AW$41="","PASS","EXCLUDED")</f>
        <v>PASS</v>
      </c>
      <c r="AW41" s="89" t="str">
        <f ca="1">IF(ISERROR(SEARCH(KOL_Database!$D$10,Brand_Profile!$E$32)),"Platform not in Preferred Platform",IF(AND(Brand_Profile!$E$36&gt;0,KOL_Database!$J$10&lt;Brand_Profile!$E$36),"Followers below Preferred Follower Range",IF(AND(Brand_Profile!$E$37&gt;0,KOL_Database!$J$10&gt;Brand_Profile!$E$37),"Followers above Preferred Follower Range",IF(AND(Brand_Profile!$E$38&gt;0,IF(KOL_Database!$K$10="",0,KOL_Database!$K$10)&lt;Brand_Profile!$E$38),"Engagement Rate below Minimum Engagement Rate",IF(ISERROR(SEARCH(KOL_Database!$G$10,Brand_Profile!$E$35)),"Tier not in Preferred Tier",IF(AND(Brand_Profile!$E$43&gt;0,Matching_Engine!$AE$41&lt;Brand_Profile!$E$43),"Audience Quality below Minimum Audience Quality",IF(AND(Brand_Profile!$E$44&gt;0,Matching_Engine!$AK$41&lt;Brand_Profile!$E$44),"Brand Safety below Minimum Brand Safety",IF(AND(Brand_Profile!$E$47="Yes",KOL_Database!$AD$10&lt;&gt;Brand_Profile!$E$19),"Audience Country does not match Target Country",IF(AND(Brand_Profile!$E$46="Yes",KOL_Database!$E$10&lt;&gt;Brand_Profile!$E$33),"Category is not the Preferred Category",IF(AND(Brand_Profile!$E$48&gt;0,Matching_Engine!$AL$41&gt;Brand_Profile!$E$48),"Competitor Saturation above Max Competitor Saturation",IF(AND(Brand_Profile!$E$50="Yes",KOL_Database!$AW$10="Yes"),"Already Selected",IF(AND(Brand_Profile!$E$51="Yes",KOL_Database!$AX$10="Yes"),"Already in Cart",IF(AND(Brand_Profile!$E$52="Yes",KOL_Database!$AY$10="Yes"),"Existing Partner",IF(AND(Brand_Profile!$E$53="Yes",KOL_Database!$AZ$10="Yes"),"Excluded Creator",IF(AND(Brand_Profile!$E$49&gt;0,Matching_Engine!$AP$41&lt;Brand_Profile!$E$49),"Brand Match below Minimum Brand Match","")))))))))))))))</f>
        <v/>
      </c>
      <c r="AX41" s="89" t="str">
        <f ca="1">IF(Matching_Engine!$AV$41="EXCLUDED","Excluded",IF(Matching_Engine!$AP$41&gt;=Lookup_Lists!$D$156,"Highly Recommended",IF(Matching_Engine!$AP$41&gt;=Lookup_Lists!$D$157,"Recommended",IF(Matching_Engine!$AP$41&gt;=Lookup_Lists!$D$158,"Consider","Low Priority"))))</f>
        <v>Low Priority</v>
      </c>
      <c r="AY41" s="142">
        <f ca="1">IF(Matching_Engine!$AV$41="PASS",Matching_Engine!$AP$41,"")</f>
        <v>56</v>
      </c>
      <c r="AZ41" s="89" t="str">
        <f>Matching_Engine!$A$41&amp;"|"&amp;Matching_Engine!$C$41</f>
        <v>BRAND-B|KOL-06</v>
      </c>
      <c r="BA41" s="89" t="str">
        <f>IFERROR(INDEX(Lookup_Lists!$B$51:$B$92,MATCH(Brand_Profile!$E$12,Lookup_Lists!$A$51:$A$92,0)),"")</f>
        <v>Beauty</v>
      </c>
      <c r="BB41" s="89" t="str">
        <f>IFERROR(INDEX(Lookup_Lists!$B$51:$B$92,MATCH(KOL_Database!$F$10,Lookup_Lists!$A$51:$A$92,0)),"")</f>
        <v>Food</v>
      </c>
      <c r="BC41" s="142">
        <f>IFERROR(INDEX(Lookup_Lists!$B$185:$O$198,MATCH(Matching_Engine!$BA$41,Lookup_Lists!$A$185:$A$198,0),MATCH(KOL_Database!$E$10,Lookup_Lists!$B$184:$O$184,0)),Lookup_Lists!$D$151)</f>
        <v>60</v>
      </c>
      <c r="BD41" s="142">
        <f>IFERROR(INDEX(Lookup_Lists!$B$185:$O$198,MATCH(Brand_Profile!$E$33,Lookup_Lists!$A$185:$A$198,0),MATCH(KOL_Database!$E$10,Lookup_Lists!$B$184:$O$184,0)),Lookup_Lists!$D$151)</f>
        <v>60</v>
      </c>
      <c r="BE41" s="89" t="str">
        <f>IFERROR(INDEX(Lookup_Lists!$B$51:$B$92,MATCH(Brand_Profile!$E$34,Lookup_Lists!$A$51:$A$92,0)),"")</f>
        <v>Beauty</v>
      </c>
      <c r="BF41" s="89" t="str">
        <f>KOL_Database!$AI$10&amp;", "&amp;KOL_Database!$AG$10&amp;", "&amp;KOL_Database!$F$10&amp;", "&amp;KOL_Database!$E$10</f>
        <v>Cooking, Food, Parenting, Cooking, Food, Parenting, Home Decor, Health, Home Cooking, Food</v>
      </c>
      <c r="BG41" s="89" t="str">
        <f>KOL_Database!$AI$10&amp;", "&amp;KOL_Database!$AG$10</f>
        <v>Cooking, Food, Parenting, Cooking, Food, Parenting, Home Decor, Health</v>
      </c>
    </row>
    <row r="42" spans="1:59">
      <c r="A42" s="101" t="s">
        <v>118</v>
      </c>
      <c r="B42" s="89" t="str">
        <f>Brand_Profile!$E$9</f>
        <v>Lumaya Skin</v>
      </c>
      <c r="C42" s="89" t="str">
        <f>KOL_Database!$A$11</f>
        <v>KOL-07</v>
      </c>
      <c r="D42" s="89" t="str">
        <f>KOL_Database!$B$11</f>
        <v>Fajar Ramadhan</v>
      </c>
      <c r="E42" s="89" t="str">
        <f>KOL_Database!$C$11</f>
        <v>@fajarfinance</v>
      </c>
      <c r="F42" s="89" t="str">
        <f>KOL_Database!$D$11</f>
        <v>Instagram</v>
      </c>
      <c r="G42" s="89" t="str">
        <f>KOL_Database!$E$11</f>
        <v>Finance</v>
      </c>
      <c r="H42" s="89" t="str">
        <f>KOL_Database!$G$11</f>
        <v>Macro</v>
      </c>
      <c r="I42" s="140">
        <f>KOL_Database!$J$11</f>
        <v>152000</v>
      </c>
      <c r="J42" s="141">
        <f>KOL_Database!$K$11</f>
        <v>3.2</v>
      </c>
      <c r="K42" s="142">
        <f>IFERROR(INDEX(Lookup_Lists!$B$170:$O$181,MATCH(Brand_Profile!$E$10,Lookup_Lists!$A$170:$A$181,0),MATCH(KOL_Database!$E$11,Lookup_Lists!$B$169:$O$169,0)),Lookup_Lists!$D$151)</f>
        <v>20</v>
      </c>
      <c r="L42" s="142">
        <f>IF(KOL_Database!$F$11="",Matching_Engine!$BC$42,IF(Brand_Profile!$E$12=KOL_Database!$F$11,100,IF(Matching_Engine!$BA$42=KOL_Database!$E$11,80,IF(Matching_Engine!$BC$42&gt;=80,60,IF(Matching_Engine!$BC$42&gt;=60,40,Lookup_Lists!$D$151)))))</f>
        <v>20</v>
      </c>
      <c r="M42" s="142">
        <f>ROUND((IF(Brand_Profile!$E$62=0,Lookup_Lists!$D$150,ROUND((IF(Brand_Profile!$E$57="",0,IF(ISNUMBER(SEARCH(Brand_Profile!$E$57,Matching_Engine!$BF$42)),1,0))+IF(Brand_Profile!$E$58="",0,IF(ISNUMBER(SEARCH(Brand_Profile!$E$58,Matching_Engine!$BF$42)),1,0))+IF(Brand_Profile!$E$59="",0,IF(ISNUMBER(SEARCH(Brand_Profile!$E$59,Matching_Engine!$BF$42)),1,0))+IF(Brand_Profile!$E$60="",0,IF(ISNUMBER(SEARCH(Brand_Profile!$E$60,Matching_Engine!$BF$42)),1,0))+IF(Brand_Profile!$E$61="",0,IF(ISNUMBER(SEARCH(Brand_Profile!$E$61,Matching_Engine!$BF$42)),1,0)))/Brand_Profile!$E$62*100,0))+IF(Brand_Profile!$E$74=0,Lookup_Lists!$D$150,ROUND((IF(Brand_Profile!$E$69="",0,IF(ISNUMBER(SEARCH(Brand_Profile!$E$69,Matching_Engine!$BF$42)),1,0))+IF(Brand_Profile!$E$70="",0,IF(ISNUMBER(SEARCH(Brand_Profile!$E$70,Matching_Engine!$BF$42)),1,0))+IF(Brand_Profile!$E$71="",0,IF(ISNUMBER(SEARCH(Brand_Profile!$E$71,Matching_Engine!$BF$42)),1,0))+IF(Brand_Profile!$E$72="",0,IF(ISNUMBER(SEARCH(Brand_Profile!$E$72,Matching_Engine!$BF$42)),1,0))+IF(Brand_Profile!$E$73="",0,IF(ISNUMBER(SEARCH(Brand_Profile!$E$73,Matching_Engine!$BF$42)),1,0)))/Brand_Profile!$E$74*100,0)))/2,0)</f>
        <v>0</v>
      </c>
      <c r="N42" s="142">
        <f>ROUND((Matching_Engine!$K$42*Lookup_Lists!$D$110+Matching_Engine!$L$42*Lookup_Lists!$D$111+Matching_Engine!$M$42*Lookup_Lists!$D$112)/(Lookup_Lists!$D$110+Lookup_Lists!$D$111+Lookup_Lists!$D$112),0)</f>
        <v>14</v>
      </c>
      <c r="O42" s="142">
        <f ca="1">IF(Brand_Profile!$E$16="",Lookup_Lists!$D$150,MIN(100,ROUND((IFERROR(INDEX(KOL_Database!$W$11:KOL_Database!$AA$11,1,MATCH(Brand_Profile!$E$16,Lookup_Lists!$F$6:$F$10,0)),0)+0.5*IFERROR(INDEX(KOL_Database!$W$11:KOL_Database!$AA$11,1,MATCH(Brand_Profile!$E$17,Lookup_Lists!$F$6:$F$10,0)),0))/Lookup_Lists!$D$142*100,0)))</f>
        <v>97</v>
      </c>
      <c r="P42" s="142">
        <f>IF(OR(Brand_Profile!$E$18="",Brand_Profile!$E$18="Any"),100,IF(Brand_Profile!$E$18="Female",MIN(100,ROUND(KOL_Database!$AB$11/Lookup_Lists!$D$143*100,0)),IF(Brand_Profile!$E$18="Male",MIN(100,ROUND(KOL_Database!$AC$11/Lookup_Lists!$D$143*100,0)),MAX(0,ROUND(100-ABS(KOL_Database!$AB$11-50)*2,0)))))</f>
        <v>32</v>
      </c>
      <c r="Q42" s="142">
        <f>ROUND((IF(Brand_Profile!$E$19="",100,IF(KOL_Database!$AD$11=Brand_Profile!$E$19,100,Lookup_Lists!$D$151))*Lookup_Lists!$D$118+IF(OR(Brand_Profile!$E$20="",Brand_Profile!$E$20="Nasional"),100,IF(KOL_Database!$AE$11="",Lookup_Lists!$D$150,IF(KOL_Database!$AE$11=Brand_Profile!$E$20,100,IF(KOL_Database!$AD$11=Brand_Profile!$E$19,40,Lookup_Lists!$D$151))))*Lookup_Lists!$D$119+IF(OR(Brand_Profile!$E$21="",Brand_Profile!$E$21="Nasional"),100,IF(KOL_Database!$AF$11="",Lookup_Lists!$D$150,IF(KOL_Database!$AF$11=Brand_Profile!$E$21,100,IF(KOL_Database!$AE$11=Brand_Profile!$E$20,60,Lookup_Lists!$D$151))))*Lookup_Lists!$D$120)/(Lookup_Lists!$D$118+Lookup_Lists!$D$119+Lookup_Lists!$D$120),0)</f>
        <v>100</v>
      </c>
      <c r="R42" s="142">
        <f>IF(Brand_Profile!$E$68=0,Lookup_Lists!$D$150,ROUND((IF(Brand_Profile!$E$63="",0,IF(ISNUMBER(SEARCH(Brand_Profile!$E$63,KOL_Database!$AG$11)),1,0))+IF(Brand_Profile!$E$64="",0,IF(ISNUMBER(SEARCH(Brand_Profile!$E$64,KOL_Database!$AG$11)),1,0))+IF(Brand_Profile!$E$65="",0,IF(ISNUMBER(SEARCH(Brand_Profile!$E$65,KOL_Database!$AG$11)),1,0))+IF(Brand_Profile!$E$66="",0,IF(ISNUMBER(SEARCH(Brand_Profile!$E$66,KOL_Database!$AG$11)),1,0))+IF(Brand_Profile!$E$67="",0,IF(ISNUMBER(SEARCH(Brand_Profile!$E$67,KOL_Database!$AG$11)),1,0)))/Brand_Profile!$E$68*100,0))</f>
        <v>0</v>
      </c>
      <c r="S42" s="142">
        <f ca="1">ROUND((Matching_Engine!$O$42*Brand_Profile!$E$96+Matching_Engine!$P$42*Brand_Profile!$E$97+Matching_Engine!$Q$42*Brand_Profile!$E$98+Matching_Engine!$R$42*Brand_Profile!$E$99)/MAX(1,Brand_Profile!$E$96+Brand_Profile!$E$97+Brand_Profile!$E$98+Brand_Profile!$E$99),0)</f>
        <v>55</v>
      </c>
      <c r="T42" s="142">
        <f>IF(Brand_Profile!$E$33="",Lookup_Lists!$D$150,Matching_Engine!$BD$42)</f>
        <v>20</v>
      </c>
      <c r="U42" s="142">
        <f>IF(Brand_Profile!$E$34="",Lookup_Lists!$D$150,IF(Brand_Profile!$E$34=KOL_Database!$F$11,100,IF(Matching_Engine!$BE$42=KOL_Database!$E$11,75,IF(Matching_Engine!$BD$42&gt;=80,Lookup_Lists!$D$150,IF(Matching_Engine!$BD$42&gt;=60,35,Lookup_Lists!$D$151)))))</f>
        <v>20</v>
      </c>
      <c r="V42" s="142">
        <f>IF(Brand_Profile!$E$86=0,Lookup_Lists!$D$150,ROUND((IF(Brand_Profile!$E$81="",0,IF(ISNUMBER(SEARCH(Brand_Profile!$E$81,Matching_Engine!$BG$42)),1,0))+IF(Brand_Profile!$E$82="",0,IF(ISNUMBER(SEARCH(Brand_Profile!$E$82,Matching_Engine!$BG$42)),1,0))+IF(Brand_Profile!$E$83="",0,IF(ISNUMBER(SEARCH(Brand_Profile!$E$83,Matching_Engine!$BG$42)),1,0))+IF(Brand_Profile!$E$84="",0,IF(ISNUMBER(SEARCH(Brand_Profile!$E$84,Matching_Engine!$BG$42)),1,0))+IF(Brand_Profile!$E$85="",0,IF(ISNUMBER(SEARCH(Brand_Profile!$E$85,Matching_Engine!$BG$42)),1,0)))/Brand_Profile!$E$86*100,0))</f>
        <v>0</v>
      </c>
      <c r="W42" s="142">
        <f>IF(Brand_Profile!$E$39="",Lookup_Lists!$D$150,IFERROR(INDEX(Lookup_Lists!$B$237:$K$246,MATCH(Brand_Profile!$E$39,Lookup_Lists!$A$237:$A$246,0),MATCH(KOL_Database!$AJ$11,Lookup_Lists!$B$236:$K$236,0)),45))</f>
        <v>80</v>
      </c>
      <c r="X42" s="142">
        <f>ROUND((Matching_Engine!$T$42*Lookup_Lists!$D$121+Matching_Engine!$U$42*Lookup_Lists!$D$122+Matching_Engine!$V$42*Lookup_Lists!$D$123+Matching_Engine!$W$42*Lookup_Lists!$D$124)/(Lookup_Lists!$D$121+Lookup_Lists!$D$122+Lookup_Lists!$D$123+Lookup_Lists!$D$124),0)</f>
        <v>26</v>
      </c>
      <c r="Y42" s="142">
        <f>MIN(100,MAX(IFERROR(INDEX(Lookup_Lists!$B$202:$M$211,MATCH(Brand_Profile!$E$25,Lookup_Lists!$A$202:$A$211,0),MATCH(KOL_Database!$AK$11,Lookup_Lists!$B$201:$M$201,0)),40),IF(KOL_Database!$AK$11=Brand_Profile!$E$41,95,0)))</f>
        <v>85</v>
      </c>
      <c r="Z42" s="142">
        <f>IFERROR(INDEX(Lookup_Lists!$B$215:$K$222,MATCH(Brand_Profile!$E$27,Lookup_Lists!$A$215:$A$222,0),MATCH(KOL_Database!$AJ$11,Lookup_Lists!$B$214:$K$214,0)),45)</f>
        <v>65</v>
      </c>
      <c r="AA42" s="142">
        <f>ROUND((IF(Brand_Profile!$E$80=0,Lookup_Lists!$D$150,ROUND((IF(Brand_Profile!$E$75="",0,IF(ISNUMBER(SEARCH(Brand_Profile!$E$75,KOL_Database!$AL$11)),1,0))+IF(Brand_Profile!$E$76="",0,IF(ISNUMBER(SEARCH(Brand_Profile!$E$76,KOL_Database!$AL$11)),1,0))+IF(Brand_Profile!$E$77="",0,IF(ISNUMBER(SEARCH(Brand_Profile!$E$77,KOL_Database!$AL$11)),1,0))+IF(Brand_Profile!$E$78="",0,IF(ISNUMBER(SEARCH(Brand_Profile!$E$78,KOL_Database!$AL$11)),1,0))+IF(Brand_Profile!$E$79="",0,IF(ISNUMBER(SEARCH(Brand_Profile!$E$79,KOL_Database!$AL$11)),1,0)))/Brand_Profile!$E$80*100,0))+IF(Brand_Profile!$E$92=0,Lookup_Lists!$D$150,ROUND((IF(Brand_Profile!$E$87="",0,IF(ISNUMBER(SEARCH(Brand_Profile!$E$87,KOL_Database!$AL$11)),1,0))+IF(Brand_Profile!$E$88="",0,IF(ISNUMBER(SEARCH(Brand_Profile!$E$88,KOL_Database!$AL$11)),1,0))+IF(Brand_Profile!$E$89="",0,IF(ISNUMBER(SEARCH(Brand_Profile!$E$89,KOL_Database!$AL$11)),1,0))+IF(Brand_Profile!$E$90="",0,IF(ISNUMBER(SEARCH(Brand_Profile!$E$90,KOL_Database!$AL$11)),1,0))+IF(Brand_Profile!$E$91="",0,IF(ISNUMBER(SEARCH(Brand_Profile!$E$91,KOL_Database!$AL$11)),1,0)))/Brand_Profile!$E$92*100,0)))/2,0)</f>
        <v>40</v>
      </c>
      <c r="AB42" s="142">
        <f>IFERROR(INDEX(Lookup_Lists!$B$226:$K$233,MATCH(Brand_Profile!$E$30,Lookup_Lists!$A$226:$A$233,0),MATCH(KOL_Database!$AJ$11,Lookup_Lists!$B$225:$K$225,0)),45)</f>
        <v>55</v>
      </c>
      <c r="AC42" s="142">
        <f>ROUND((Matching_Engine!$Y$42*Lookup_Lists!$D$125+Matching_Engine!$Z$42*Lookup_Lists!$D$126+Matching_Engine!$AA$42*Lookup_Lists!$D$127+Matching_Engine!$AB$42*Lookup_Lists!$D$128)/(Lookup_Lists!$D$125+Lookup_Lists!$D$126+Lookup_Lists!$D$127+Lookup_Lists!$D$128),0)</f>
        <v>64</v>
      </c>
      <c r="AD42" s="142">
        <f>IF(KOL_Database!$K$11="",0,MIN(100,ROUND(KOL_Database!$K$11/Lookup_Lists!$D$141*100,0)))</f>
        <v>53</v>
      </c>
      <c r="AE42" s="142">
        <f>IF(KOL_Database!$R$11="",0,MIN(100,MAX(0,KOL_Database!$R$11)))</f>
        <v>86</v>
      </c>
      <c r="AF42" s="142">
        <f>IF(KOL_Database!$P$11="",0,MIN(100,MAX(0,KOL_Database!$P$11)))</f>
        <v>83</v>
      </c>
      <c r="AG42" s="142">
        <f>IF(KOL_Database!$Q$11="",0,MIN(100,MAX(0,KOL_Database!$Q$11)))</f>
        <v>85</v>
      </c>
      <c r="AH42" s="142">
        <f>IF(OR(KOL_Database!$J$11="",KOL_Database!$J$11=0,KOL_Database!$L$11=""),0,MIN(100,ROUND(KOL_Database!$L$11/KOL_Database!$J$11/Lookup_Lists!$D$144*100,0)))</f>
        <v>70</v>
      </c>
      <c r="AI42" s="142">
        <f>IF(KOL_Database!$N$11="",0,MIN(100,MAX(0,ROUND((KOL_Database!$N$11+2)/(Lookup_Lists!$D$145+2)*100,0))))</f>
        <v>52</v>
      </c>
      <c r="AJ42" s="142">
        <f>ROUND((Matching_Engine!$AD$42*Lookup_Lists!$D$129+Matching_Engine!$AE$42*Lookup_Lists!$D$130+Matching_Engine!$AF$42*Lookup_Lists!$D$131+Matching_Engine!$AG$42*Lookup_Lists!$D$132+Matching_Engine!$AH$42*Lookup_Lists!$D$133+Matching_Engine!$AI$42*Lookup_Lists!$D$134)/(Lookup_Lists!$D$129+Lookup_Lists!$D$130+Lookup_Lists!$D$131+Lookup_Lists!$D$132+Lookup_Lists!$D$133+Lookup_Lists!$D$134),0)</f>
        <v>70</v>
      </c>
      <c r="AK42" s="142">
        <f>IF(KOL_Database!$AT$11="",0,MIN(100,MAX(0,KOL_Database!$AT$11)))</f>
        <v>93</v>
      </c>
      <c r="AL42" s="142">
        <f>IF(KOL_Database!$AU$11="",0,KOL_Database!$AU$11)</f>
        <v>60</v>
      </c>
      <c r="AM42" s="89" t="str">
        <f>IF(KOL_Database!$AV$11="","None",KOL_Database!$AV$11)</f>
        <v>None</v>
      </c>
      <c r="AN42" s="143">
        <f>IF(Matching_Engine!$AM$42="High",Lookup_Lists!$D$137,IF(Matching_Engine!$AM$42="Medium",Lookup_Lists!$D$138,IF(Matching_Engine!$AM$42="Low",Lookup_Lists!$D$139,Lookup_Lists!$D$140)))</f>
        <v>1</v>
      </c>
      <c r="AO42" s="142">
        <f>ROUND(MIN(100,MAX(0,(Matching_Engine!$AK$42*Lookup_Lists!$D$135+(100-Matching_Engine!$AL$42)*Lookup_Lists!$D$136)/(Lookup_Lists!$D$135+Lookup_Lists!$D$136)*Matching_Engine!$AN$42)),0)</f>
        <v>82</v>
      </c>
      <c r="AP42" s="13">
        <f ca="1">ROUND((Matching_Engine!$N$42*Lookup_Lists!$D$104+Matching_Engine!$S$42*Lookup_Lists!$D$105+Matching_Engine!$X$42*Lookup_Lists!$D$106+Matching_Engine!$AC$42*Lookup_Lists!$D$107+Matching_Engine!$AJ$42*Lookup_Lists!$D$108+Matching_Engine!$AO$42*Lookup_Lists!$D$109)/MAX(1,(Lookup_Lists!$D$104+Lookup_Lists!$D$105+Lookup_Lists!$D$106+Lookup_Lists!$D$107+Lookup_Lists!$D$108+Lookup_Lists!$D$109)),0)</f>
        <v>46</v>
      </c>
      <c r="AQ42" s="89" t="str">
        <f ca="1">IF(Matching_Engine!$AP$42&gt;=Lookup_Lists!$D$152,"Excellent Match",IF(Matching_Engine!$AP$42&gt;=Lookup_Lists!$D$153,"Strong Match",IF(Matching_Engine!$AP$42&gt;=Lookup_Lists!$D$154,"Good Match",IF(Matching_Engine!$AP$42&gt;=Lookup_Lists!$D$155,"Moderate Match","Low Match"))))</f>
        <v>Low Match</v>
      </c>
      <c r="AR42" s="142">
        <f>KOL_Database!$BE$11</f>
        <v>100</v>
      </c>
      <c r="AS42" s="89" t="str">
        <f>IF(Matching_Engine!$AR$42&gt;=Lookup_Lists!$D$159,"High",IF(Matching_Engine!$AR$42&gt;=Lookup_Lists!$D$160,"Medium","Limited Data"))</f>
        <v>High</v>
      </c>
      <c r="AT42" s="142">
        <f>ROUND((Matching_Engine!$N$42+Matching_Engine!$X$42+Matching_Engine!$AC$42)/3,0)</f>
        <v>35</v>
      </c>
      <c r="AU42" s="142">
        <f>ROUND(((100-Matching_Engine!$AL$42)*Lookup_Lists!$D$162+IF(KOL_Database!$BD$11="",Lookup_Lists!$D$150,KOL_Database!$BD$11)*Lookup_Lists!$D$163+Matching_Engine!$AI$42*Lookup_Lists!$D$164+Matching_Engine!$AD$42*Lookup_Lists!$D$165)/(Lookup_Lists!$D$162+Lookup_Lists!$D$163+Lookup_Lists!$D$164+Lookup_Lists!$D$165),0)</f>
        <v>47</v>
      </c>
      <c r="AV42" s="89" t="str">
        <f ca="1">IF(Matching_Engine!$AW$42="","PASS","EXCLUDED")</f>
        <v>EXCLUDED</v>
      </c>
      <c r="AW42" s="89" t="str">
        <f ca="1">IF(ISERROR(SEARCH(KOL_Database!$D$11,Brand_Profile!$E$32)),"Platform not in Preferred Platform",IF(AND(Brand_Profile!$E$36&gt;0,KOL_Database!$J$11&lt;Brand_Profile!$E$36),"Followers below Preferred Follower Range",IF(AND(Brand_Profile!$E$37&gt;0,KOL_Database!$J$11&gt;Brand_Profile!$E$37),"Followers above Preferred Follower Range",IF(AND(Brand_Profile!$E$38&gt;0,IF(KOL_Database!$K$11="",0,KOL_Database!$K$11)&lt;Brand_Profile!$E$38),"Engagement Rate below Minimum Engagement Rate",IF(ISERROR(SEARCH(KOL_Database!$G$11,Brand_Profile!$E$35)),"Tier not in Preferred Tier",IF(AND(Brand_Profile!$E$43&gt;0,Matching_Engine!$AE$42&lt;Brand_Profile!$E$43),"Audience Quality below Minimum Audience Quality",IF(AND(Brand_Profile!$E$44&gt;0,Matching_Engine!$AK$42&lt;Brand_Profile!$E$44),"Brand Safety below Minimum Brand Safety",IF(AND(Brand_Profile!$E$47="Yes",KOL_Database!$AD$11&lt;&gt;Brand_Profile!$E$19),"Audience Country does not match Target Country",IF(AND(Brand_Profile!$E$46="Yes",KOL_Database!$E$11&lt;&gt;Brand_Profile!$E$33),"Category is not the Preferred Category",IF(AND(Brand_Profile!$E$48&gt;0,Matching_Engine!$AL$42&gt;Brand_Profile!$E$48),"Competitor Saturation above Max Competitor Saturation",IF(AND(Brand_Profile!$E$50="Yes",KOL_Database!$AW$11="Yes"),"Already Selected",IF(AND(Brand_Profile!$E$51="Yes",KOL_Database!$AX$11="Yes"),"Already in Cart",IF(AND(Brand_Profile!$E$52="Yes",KOL_Database!$AY$11="Yes"),"Existing Partner",IF(AND(Brand_Profile!$E$53="Yes",KOL_Database!$AZ$11="Yes"),"Excluded Creator",IF(AND(Brand_Profile!$E$49&gt;0,Matching_Engine!$AP$42&lt;Brand_Profile!$E$49),"Brand Match below Minimum Brand Match","")))))))))))))))</f>
        <v>Tier not in Preferred Tier</v>
      </c>
      <c r="AX42" s="89" t="str">
        <f ca="1">IF(Matching_Engine!$AV$42="EXCLUDED","Excluded",IF(Matching_Engine!$AP$42&gt;=Lookup_Lists!$D$156,"Highly Recommended",IF(Matching_Engine!$AP$42&gt;=Lookup_Lists!$D$157,"Recommended",IF(Matching_Engine!$AP$42&gt;=Lookup_Lists!$D$158,"Consider","Low Priority"))))</f>
        <v>Excluded</v>
      </c>
      <c r="AY42" s="142" t="str">
        <f ca="1">IF(Matching_Engine!$AV$42="PASS",Matching_Engine!$AP$42,"")</f>
        <v/>
      </c>
      <c r="AZ42" s="89" t="str">
        <f>Matching_Engine!$A$42&amp;"|"&amp;Matching_Engine!$C$42</f>
        <v>BRAND-B|KOL-07</v>
      </c>
      <c r="BA42" s="89" t="str">
        <f>IFERROR(INDEX(Lookup_Lists!$B$51:$B$92,MATCH(Brand_Profile!$E$12,Lookup_Lists!$A$51:$A$92,0)),"")</f>
        <v>Beauty</v>
      </c>
      <c r="BB42" s="89" t="str">
        <f>IFERROR(INDEX(Lookup_Lists!$B$51:$B$92,MATCH(KOL_Database!$F$11,Lookup_Lists!$A$51:$A$92,0)),"")</f>
        <v>Finance</v>
      </c>
      <c r="BC42" s="142">
        <f>IFERROR(INDEX(Lookup_Lists!$B$185:$O$198,MATCH(Matching_Engine!$BA$42,Lookup_Lists!$A$185:$A$198,0),MATCH(KOL_Database!$E$11,Lookup_Lists!$B$184:$O$184,0)),Lookup_Lists!$D$151)</f>
        <v>20</v>
      </c>
      <c r="BD42" s="142">
        <f>IFERROR(INDEX(Lookup_Lists!$B$185:$O$198,MATCH(Brand_Profile!$E$33,Lookup_Lists!$A$185:$A$198,0),MATCH(KOL_Database!$E$11,Lookup_Lists!$B$184:$O$184,0)),Lookup_Lists!$D$151)</f>
        <v>20</v>
      </c>
      <c r="BE42" s="89" t="str">
        <f>IFERROR(INDEX(Lookup_Lists!$B$51:$B$92,MATCH(Brand_Profile!$E$34,Lookup_Lists!$A$51:$A$92,0)),"")</f>
        <v>Beauty</v>
      </c>
      <c r="BF42" s="89" t="str">
        <f>KOL_Database!$AI$11&amp;", "&amp;KOL_Database!$AG$11&amp;", "&amp;KOL_Database!$F$11&amp;", "&amp;KOL_Database!$E$11</f>
        <v>Finance, Business, Education, Finance, Business, Education, Technology, Productivity, Personal Finance, Finance</v>
      </c>
      <c r="BG42" s="89" t="str">
        <f>KOL_Database!$AI$11&amp;", "&amp;KOL_Database!$AG$11</f>
        <v>Finance, Business, Education, Finance, Business, Education, Technology, Productivity</v>
      </c>
    </row>
    <row r="43" spans="1:59">
      <c r="A43" s="101" t="s">
        <v>118</v>
      </c>
      <c r="B43" s="89" t="str">
        <f>Brand_Profile!$E$9</f>
        <v>Lumaya Skin</v>
      </c>
      <c r="C43" s="89" t="str">
        <f>KOL_Database!$A$12</f>
        <v>KOL-08</v>
      </c>
      <c r="D43" s="89" t="str">
        <f>KOL_Database!$B$12</f>
        <v>Tania Wijaya</v>
      </c>
      <c r="E43" s="89" t="str">
        <f>KOL_Database!$C$12</f>
        <v>@taniainvest</v>
      </c>
      <c r="F43" s="89" t="str">
        <f>KOL_Database!$D$12</f>
        <v>TikTok</v>
      </c>
      <c r="G43" s="89" t="str">
        <f>KOL_Database!$E$12</f>
        <v>Finance</v>
      </c>
      <c r="H43" s="89" t="str">
        <f>KOL_Database!$G$12</f>
        <v>Mid-tier</v>
      </c>
      <c r="I43" s="140">
        <f>KOL_Database!$J$12</f>
        <v>98000</v>
      </c>
      <c r="J43" s="141">
        <f>KOL_Database!$K$12</f>
        <v>5.6</v>
      </c>
      <c r="K43" s="142">
        <f>IFERROR(INDEX(Lookup_Lists!$B$170:$O$181,MATCH(Brand_Profile!$E$10,Lookup_Lists!$A$170:$A$181,0),MATCH(KOL_Database!$E$12,Lookup_Lists!$B$169:$O$169,0)),Lookup_Lists!$D$151)</f>
        <v>20</v>
      </c>
      <c r="L43" s="142">
        <f>IF(KOL_Database!$F$12="",Matching_Engine!$BC$43,IF(Brand_Profile!$E$12=KOL_Database!$F$12,100,IF(Matching_Engine!$BA$43=KOL_Database!$E$12,80,IF(Matching_Engine!$BC$43&gt;=80,60,IF(Matching_Engine!$BC$43&gt;=60,40,Lookup_Lists!$D$151)))))</f>
        <v>20</v>
      </c>
      <c r="M43" s="142">
        <f>ROUND((IF(Brand_Profile!$E$62=0,Lookup_Lists!$D$150,ROUND((IF(Brand_Profile!$E$57="",0,IF(ISNUMBER(SEARCH(Brand_Profile!$E$57,Matching_Engine!$BF$43)),1,0))+IF(Brand_Profile!$E$58="",0,IF(ISNUMBER(SEARCH(Brand_Profile!$E$58,Matching_Engine!$BF$43)),1,0))+IF(Brand_Profile!$E$59="",0,IF(ISNUMBER(SEARCH(Brand_Profile!$E$59,Matching_Engine!$BF$43)),1,0))+IF(Brand_Profile!$E$60="",0,IF(ISNUMBER(SEARCH(Brand_Profile!$E$60,Matching_Engine!$BF$43)),1,0))+IF(Brand_Profile!$E$61="",0,IF(ISNUMBER(SEARCH(Brand_Profile!$E$61,Matching_Engine!$BF$43)),1,0)))/Brand_Profile!$E$62*100,0))+IF(Brand_Profile!$E$74=0,Lookup_Lists!$D$150,ROUND((IF(Brand_Profile!$E$69="",0,IF(ISNUMBER(SEARCH(Brand_Profile!$E$69,Matching_Engine!$BF$43)),1,0))+IF(Brand_Profile!$E$70="",0,IF(ISNUMBER(SEARCH(Brand_Profile!$E$70,Matching_Engine!$BF$43)),1,0))+IF(Brand_Profile!$E$71="",0,IF(ISNUMBER(SEARCH(Brand_Profile!$E$71,Matching_Engine!$BF$43)),1,0))+IF(Brand_Profile!$E$72="",0,IF(ISNUMBER(SEARCH(Brand_Profile!$E$72,Matching_Engine!$BF$43)),1,0))+IF(Brand_Profile!$E$73="",0,IF(ISNUMBER(SEARCH(Brand_Profile!$E$73,Matching_Engine!$BF$43)),1,0)))/Brand_Profile!$E$74*100,0)))/2,0)</f>
        <v>20</v>
      </c>
      <c r="N43" s="142">
        <f>ROUND((Matching_Engine!$K$43*Lookup_Lists!$D$110+Matching_Engine!$L$43*Lookup_Lists!$D$111+Matching_Engine!$M$43*Lookup_Lists!$D$112)/(Lookup_Lists!$D$110+Lookup_Lists!$D$111+Lookup_Lists!$D$112),0)</f>
        <v>20</v>
      </c>
      <c r="O43" s="142">
        <f ca="1">IF(Brand_Profile!$E$16="",Lookup_Lists!$D$150,MIN(100,ROUND((IFERROR(INDEX(KOL_Database!$W$12:KOL_Database!$AA$12,1,MATCH(Brand_Profile!$E$16,Lookup_Lists!$F$6:$F$10,0)),0)+0.5*IFERROR(INDEX(KOL_Database!$W$12:KOL_Database!$AA$12,1,MATCH(Brand_Profile!$E$17,Lookup_Lists!$F$6:$F$10,0)),0))/Lookup_Lists!$D$142*100,0)))</f>
        <v>100</v>
      </c>
      <c r="P43" s="142">
        <f>IF(OR(Brand_Profile!$E$18="",Brand_Profile!$E$18="Any"),100,IF(Brand_Profile!$E$18="Female",MIN(100,ROUND(KOL_Database!$AB$12/Lookup_Lists!$D$143*100,0)),IF(Brand_Profile!$E$18="Male",MIN(100,ROUND(KOL_Database!$AC$12/Lookup_Lists!$D$143*100,0)),MAX(0,ROUND(100-ABS(KOL_Database!$AB$12-50)*2,0)))))</f>
        <v>100</v>
      </c>
      <c r="Q43" s="142">
        <f>ROUND((IF(Brand_Profile!$E$19="",100,IF(KOL_Database!$AD$12=Brand_Profile!$E$19,100,Lookup_Lists!$D$151))*Lookup_Lists!$D$118+IF(OR(Brand_Profile!$E$20="",Brand_Profile!$E$20="Nasional"),100,IF(KOL_Database!$AE$12="",Lookup_Lists!$D$150,IF(KOL_Database!$AE$12=Brand_Profile!$E$20,100,IF(KOL_Database!$AD$12=Brand_Profile!$E$19,40,Lookup_Lists!$D$151))))*Lookup_Lists!$D$119+IF(OR(Brand_Profile!$E$21="",Brand_Profile!$E$21="Nasional"),100,IF(KOL_Database!$AF$12="",Lookup_Lists!$D$150,IF(KOL_Database!$AF$12=Brand_Profile!$E$21,100,IF(KOL_Database!$AE$12=Brand_Profile!$E$20,60,Lookup_Lists!$D$151))))*Lookup_Lists!$D$120)/(Lookup_Lists!$D$118+Lookup_Lists!$D$119+Lookup_Lists!$D$120),0)</f>
        <v>100</v>
      </c>
      <c r="R43" s="142">
        <f>IF(Brand_Profile!$E$68=0,Lookup_Lists!$D$150,ROUND((IF(Brand_Profile!$E$63="",0,IF(ISNUMBER(SEARCH(Brand_Profile!$E$63,KOL_Database!$AG$12)),1,0))+IF(Brand_Profile!$E$64="",0,IF(ISNUMBER(SEARCH(Brand_Profile!$E$64,KOL_Database!$AG$12)),1,0))+IF(Brand_Profile!$E$65="",0,IF(ISNUMBER(SEARCH(Brand_Profile!$E$65,KOL_Database!$AG$12)),1,0))+IF(Brand_Profile!$E$66="",0,IF(ISNUMBER(SEARCH(Brand_Profile!$E$66,KOL_Database!$AG$12)),1,0))+IF(Brand_Profile!$E$67="",0,IF(ISNUMBER(SEARCH(Brand_Profile!$E$67,KOL_Database!$AG$12)),1,0)))/Brand_Profile!$E$68*100,0))</f>
        <v>20</v>
      </c>
      <c r="S43" s="142">
        <f ca="1">ROUND((Matching_Engine!$O$43*Brand_Profile!$E$96+Matching_Engine!$P$43*Brand_Profile!$E$97+Matching_Engine!$Q$43*Brand_Profile!$E$98+Matching_Engine!$R$43*Brand_Profile!$E$99)/MAX(1,Brand_Profile!$E$96+Brand_Profile!$E$97+Brand_Profile!$E$98+Brand_Profile!$E$99),0)</f>
        <v>79</v>
      </c>
      <c r="T43" s="142">
        <f>IF(Brand_Profile!$E$33="",Lookup_Lists!$D$150,Matching_Engine!$BD$43)</f>
        <v>20</v>
      </c>
      <c r="U43" s="142">
        <f>IF(Brand_Profile!$E$34="",Lookup_Lists!$D$150,IF(Brand_Profile!$E$34=KOL_Database!$F$12,100,IF(Matching_Engine!$BE$43=KOL_Database!$E$12,75,IF(Matching_Engine!$BD$43&gt;=80,Lookup_Lists!$D$150,IF(Matching_Engine!$BD$43&gt;=60,35,Lookup_Lists!$D$151)))))</f>
        <v>20</v>
      </c>
      <c r="V43" s="142">
        <f>IF(Brand_Profile!$E$86=0,Lookup_Lists!$D$150,ROUND((IF(Brand_Profile!$E$81="",0,IF(ISNUMBER(SEARCH(Brand_Profile!$E$81,Matching_Engine!$BG$43)),1,0))+IF(Brand_Profile!$E$82="",0,IF(ISNUMBER(SEARCH(Brand_Profile!$E$82,Matching_Engine!$BG$43)),1,0))+IF(Brand_Profile!$E$83="",0,IF(ISNUMBER(SEARCH(Brand_Profile!$E$83,Matching_Engine!$BG$43)),1,0))+IF(Brand_Profile!$E$84="",0,IF(ISNUMBER(SEARCH(Brand_Profile!$E$84,Matching_Engine!$BG$43)),1,0))+IF(Brand_Profile!$E$85="",0,IF(ISNUMBER(SEARCH(Brand_Profile!$E$85,Matching_Engine!$BG$43)),1,0)))/Brand_Profile!$E$86*100,0))</f>
        <v>20</v>
      </c>
      <c r="W43" s="142">
        <f>IF(Brand_Profile!$E$39="",Lookup_Lists!$D$150,IFERROR(INDEX(Lookup_Lists!$B$237:$K$246,MATCH(Brand_Profile!$E$39,Lookup_Lists!$A$237:$A$246,0),MATCH(KOL_Database!$AJ$12,Lookup_Lists!$B$236:$K$236,0)),45))</f>
        <v>80</v>
      </c>
      <c r="X43" s="142">
        <f>ROUND((Matching_Engine!$T$43*Lookup_Lists!$D$121+Matching_Engine!$U$43*Lookup_Lists!$D$122+Matching_Engine!$V$43*Lookup_Lists!$D$123+Matching_Engine!$W$43*Lookup_Lists!$D$124)/(Lookup_Lists!$D$121+Lookup_Lists!$D$122+Lookup_Lists!$D$123+Lookup_Lists!$D$124),0)</f>
        <v>32</v>
      </c>
      <c r="Y43" s="142">
        <f>MIN(100,MAX(IFERROR(INDEX(Lookup_Lists!$B$202:$M$211,MATCH(Brand_Profile!$E$25,Lookup_Lists!$A$202:$A$211,0),MATCH(KOL_Database!$AK$12,Lookup_Lists!$B$201:$M$201,0)),40),IF(KOL_Database!$AK$12=Brand_Profile!$E$41,95,0)))</f>
        <v>55</v>
      </c>
      <c r="Z43" s="142">
        <f>IFERROR(INDEX(Lookup_Lists!$B$215:$K$222,MATCH(Brand_Profile!$E$27,Lookup_Lists!$A$215:$A$222,0),MATCH(KOL_Database!$AJ$12,Lookup_Lists!$B$214:$K$214,0)),45)</f>
        <v>65</v>
      </c>
      <c r="AA43" s="142">
        <f>ROUND((IF(Brand_Profile!$E$80=0,Lookup_Lists!$D$150,ROUND((IF(Brand_Profile!$E$75="",0,IF(ISNUMBER(SEARCH(Brand_Profile!$E$75,KOL_Database!$AL$12)),1,0))+IF(Brand_Profile!$E$76="",0,IF(ISNUMBER(SEARCH(Brand_Profile!$E$76,KOL_Database!$AL$12)),1,0))+IF(Brand_Profile!$E$77="",0,IF(ISNUMBER(SEARCH(Brand_Profile!$E$77,KOL_Database!$AL$12)),1,0))+IF(Brand_Profile!$E$78="",0,IF(ISNUMBER(SEARCH(Brand_Profile!$E$78,KOL_Database!$AL$12)),1,0))+IF(Brand_Profile!$E$79="",0,IF(ISNUMBER(SEARCH(Brand_Profile!$E$79,KOL_Database!$AL$12)),1,0)))/Brand_Profile!$E$80*100,0))+IF(Brand_Profile!$E$92=0,Lookup_Lists!$D$150,ROUND((IF(Brand_Profile!$E$87="",0,IF(ISNUMBER(SEARCH(Brand_Profile!$E$87,KOL_Database!$AL$12)),1,0))+IF(Brand_Profile!$E$88="",0,IF(ISNUMBER(SEARCH(Brand_Profile!$E$88,KOL_Database!$AL$12)),1,0))+IF(Brand_Profile!$E$89="",0,IF(ISNUMBER(SEARCH(Brand_Profile!$E$89,KOL_Database!$AL$12)),1,0))+IF(Brand_Profile!$E$90="",0,IF(ISNUMBER(SEARCH(Brand_Profile!$E$90,KOL_Database!$AL$12)),1,0))+IF(Brand_Profile!$E$91="",0,IF(ISNUMBER(SEARCH(Brand_Profile!$E$91,KOL_Database!$AL$12)),1,0)))/Brand_Profile!$E$92*100,0)))/2,0)</f>
        <v>20</v>
      </c>
      <c r="AB43" s="142">
        <f>IFERROR(INDEX(Lookup_Lists!$B$226:$K$233,MATCH(Brand_Profile!$E$30,Lookup_Lists!$A$226:$A$233,0),MATCH(KOL_Database!$AJ$12,Lookup_Lists!$B$225:$K$225,0)),45)</f>
        <v>55</v>
      </c>
      <c r="AC43" s="142">
        <f>ROUND((Matching_Engine!$Y$43*Lookup_Lists!$D$125+Matching_Engine!$Z$43*Lookup_Lists!$D$126+Matching_Engine!$AA$43*Lookup_Lists!$D$127+Matching_Engine!$AB$43*Lookup_Lists!$D$128)/(Lookup_Lists!$D$125+Lookup_Lists!$D$126+Lookup_Lists!$D$127+Lookup_Lists!$D$128),0)</f>
        <v>49</v>
      </c>
      <c r="AD43" s="142">
        <f>IF(KOL_Database!$K$12="",0,MIN(100,ROUND(KOL_Database!$K$12/Lookup_Lists!$D$141*100,0)))</f>
        <v>93</v>
      </c>
      <c r="AE43" s="142">
        <f>IF(KOL_Database!$R$12="",0,MIN(100,MAX(0,KOL_Database!$R$12)))</f>
        <v>64</v>
      </c>
      <c r="AF43" s="142">
        <f>IF(KOL_Database!$P$12="",0,MIN(100,MAX(0,KOL_Database!$P$12)))</f>
        <v>77</v>
      </c>
      <c r="AG43" s="142">
        <f>IF(KOL_Database!$Q$12="",0,MIN(100,MAX(0,KOL_Database!$Q$12)))</f>
        <v>67</v>
      </c>
      <c r="AH43" s="142">
        <f>IF(OR(KOL_Database!$J$12="",KOL_Database!$J$12=0,KOL_Database!$L$12=""),0,MIN(100,ROUND(KOL_Database!$L$12/KOL_Database!$J$12/Lookup_Lists!$D$144*100,0)))</f>
        <v>100</v>
      </c>
      <c r="AI43" s="142">
        <f>IF(KOL_Database!$N$12="",0,MIN(100,MAX(0,ROUND((KOL_Database!$N$12+2)/(Lookup_Lists!$D$145+2)*100,0))))</f>
        <v>58</v>
      </c>
      <c r="AJ43" s="142">
        <f>ROUND((Matching_Engine!$AD$43*Lookup_Lists!$D$129+Matching_Engine!$AE$43*Lookup_Lists!$D$130+Matching_Engine!$AF$43*Lookup_Lists!$D$131+Matching_Engine!$AG$43*Lookup_Lists!$D$132+Matching_Engine!$AH$43*Lookup_Lists!$D$133+Matching_Engine!$AI$43*Lookup_Lists!$D$134)/(Lookup_Lists!$D$129+Lookup_Lists!$D$130+Lookup_Lists!$D$131+Lookup_Lists!$D$132+Lookup_Lists!$D$133+Lookup_Lists!$D$134),0)</f>
        <v>80</v>
      </c>
      <c r="AK43" s="142">
        <f>IF(KOL_Database!$AT$12="",0,MIN(100,MAX(0,KOL_Database!$AT$12)))</f>
        <v>72</v>
      </c>
      <c r="AL43" s="142">
        <f>IF(KOL_Database!$AU$12="",0,KOL_Database!$AU$12)</f>
        <v>14</v>
      </c>
      <c r="AM43" s="89" t="str">
        <f>IF(KOL_Database!$AV$12="","None",KOL_Database!$AV$12)</f>
        <v>Low</v>
      </c>
      <c r="AN43" s="143">
        <f>IF(Matching_Engine!$AM$43="High",Lookup_Lists!$D$137,IF(Matching_Engine!$AM$43="Medium",Lookup_Lists!$D$138,IF(Matching_Engine!$AM$43="Low",Lookup_Lists!$D$139,Lookup_Lists!$D$140)))</f>
        <v>0.95</v>
      </c>
      <c r="AO43" s="142">
        <f>ROUND(MIN(100,MAX(0,(Matching_Engine!$AK$43*Lookup_Lists!$D$135+(100-Matching_Engine!$AL$43)*Lookup_Lists!$D$136)/(Lookup_Lists!$D$135+Lookup_Lists!$D$136)*Matching_Engine!$AN$43)),0)</f>
        <v>71</v>
      </c>
      <c r="AP43" s="13">
        <f ca="1">ROUND((Matching_Engine!$N$43*Lookup_Lists!$D$104+Matching_Engine!$S$43*Lookup_Lists!$D$105+Matching_Engine!$X$43*Lookup_Lists!$D$106+Matching_Engine!$AC$43*Lookup_Lists!$D$107+Matching_Engine!$AJ$43*Lookup_Lists!$D$108+Matching_Engine!$AO$43*Lookup_Lists!$D$109)/MAX(1,(Lookup_Lists!$D$104+Lookup_Lists!$D$105+Lookup_Lists!$D$106+Lookup_Lists!$D$107+Lookup_Lists!$D$108+Lookup_Lists!$D$109)),0)</f>
        <v>54</v>
      </c>
      <c r="AQ43" s="89" t="str">
        <f ca="1">IF(Matching_Engine!$AP$43&gt;=Lookup_Lists!$D$152,"Excellent Match",IF(Matching_Engine!$AP$43&gt;=Lookup_Lists!$D$153,"Strong Match",IF(Matching_Engine!$AP$43&gt;=Lookup_Lists!$D$154,"Good Match",IF(Matching_Engine!$AP$43&gt;=Lookup_Lists!$D$155,"Moderate Match","Low Match"))))</f>
        <v>Low Match</v>
      </c>
      <c r="AR43" s="142">
        <f>KOL_Database!$BE$12</f>
        <v>100</v>
      </c>
      <c r="AS43" s="89" t="str">
        <f>IF(Matching_Engine!$AR$43&gt;=Lookup_Lists!$D$159,"High",IF(Matching_Engine!$AR$43&gt;=Lookup_Lists!$D$160,"Medium","Limited Data"))</f>
        <v>High</v>
      </c>
      <c r="AT43" s="142">
        <f>ROUND((Matching_Engine!$N$43+Matching_Engine!$X$43+Matching_Engine!$AC$43)/3,0)</f>
        <v>34</v>
      </c>
      <c r="AU43" s="142">
        <f>ROUND(((100-Matching_Engine!$AL$43)*Lookup_Lists!$D$162+IF(KOL_Database!$BD$12="",Lookup_Lists!$D$150,KOL_Database!$BD$12)*Lookup_Lists!$D$163+Matching_Engine!$AI$43*Lookup_Lists!$D$164+Matching_Engine!$AD$43*Lookup_Lists!$D$165)/(Lookup_Lists!$D$162+Lookup_Lists!$D$163+Lookup_Lists!$D$164+Lookup_Lists!$D$165),0)</f>
        <v>84</v>
      </c>
      <c r="AV43" s="89" t="str">
        <f ca="1">IF(Matching_Engine!$AW$43="","PASS","EXCLUDED")</f>
        <v>EXCLUDED</v>
      </c>
      <c r="AW43" s="89" t="str">
        <f ca="1">IF(ISERROR(SEARCH(KOL_Database!$D$12,Brand_Profile!$E$32)),"Platform not in Preferred Platform",IF(AND(Brand_Profile!$E$36&gt;0,KOL_Database!$J$12&lt;Brand_Profile!$E$36),"Followers below Preferred Follower Range",IF(AND(Brand_Profile!$E$37&gt;0,KOL_Database!$J$12&gt;Brand_Profile!$E$37),"Followers above Preferred Follower Range",IF(AND(Brand_Profile!$E$38&gt;0,IF(KOL_Database!$K$12="",0,KOL_Database!$K$12)&lt;Brand_Profile!$E$38),"Engagement Rate below Minimum Engagement Rate",IF(ISERROR(SEARCH(KOL_Database!$G$12,Brand_Profile!$E$35)),"Tier not in Preferred Tier",IF(AND(Brand_Profile!$E$43&gt;0,Matching_Engine!$AE$43&lt;Brand_Profile!$E$43),"Audience Quality below Minimum Audience Quality",IF(AND(Brand_Profile!$E$44&gt;0,Matching_Engine!$AK$43&lt;Brand_Profile!$E$44),"Brand Safety below Minimum Brand Safety",IF(AND(Brand_Profile!$E$47="Yes",KOL_Database!$AD$12&lt;&gt;Brand_Profile!$E$19),"Audience Country does not match Target Country",IF(AND(Brand_Profile!$E$46="Yes",KOL_Database!$E$12&lt;&gt;Brand_Profile!$E$33),"Category is not the Preferred Category",IF(AND(Brand_Profile!$E$48&gt;0,Matching_Engine!$AL$43&gt;Brand_Profile!$E$48),"Competitor Saturation above Max Competitor Saturation",IF(AND(Brand_Profile!$E$50="Yes",KOL_Database!$AW$12="Yes"),"Already Selected",IF(AND(Brand_Profile!$E$51="Yes",KOL_Database!$AX$12="Yes"),"Already in Cart",IF(AND(Brand_Profile!$E$52="Yes",KOL_Database!$AY$12="Yes"),"Existing Partner",IF(AND(Brand_Profile!$E$53="Yes",KOL_Database!$AZ$12="Yes"),"Excluded Creator",IF(AND(Brand_Profile!$E$49&gt;0,Matching_Engine!$AP$43&lt;Brand_Profile!$E$49),"Brand Match below Minimum Brand Match","")))))))))))))))</f>
        <v>Audience Quality below Minimum Audience Quality</v>
      </c>
      <c r="AX43" s="89" t="str">
        <f ca="1">IF(Matching_Engine!$AV$43="EXCLUDED","Excluded",IF(Matching_Engine!$AP$43&gt;=Lookup_Lists!$D$156,"Highly Recommended",IF(Matching_Engine!$AP$43&gt;=Lookup_Lists!$D$157,"Recommended",IF(Matching_Engine!$AP$43&gt;=Lookup_Lists!$D$158,"Consider","Low Priority"))))</f>
        <v>Excluded</v>
      </c>
      <c r="AY43" s="142" t="str">
        <f ca="1">IF(Matching_Engine!$AV$43="PASS",Matching_Engine!$AP$43,"")</f>
        <v/>
      </c>
      <c r="AZ43" s="89" t="str">
        <f>Matching_Engine!$A$43&amp;"|"&amp;Matching_Engine!$C$43</f>
        <v>BRAND-B|KOL-08</v>
      </c>
      <c r="BA43" s="89" t="str">
        <f>IFERROR(INDEX(Lookup_Lists!$B$51:$B$92,MATCH(Brand_Profile!$E$12,Lookup_Lists!$A$51:$A$92,0)),"")</f>
        <v>Beauty</v>
      </c>
      <c r="BB43" s="89" t="str">
        <f>IFERROR(INDEX(Lookup_Lists!$B$51:$B$92,MATCH(KOL_Database!$F$12,Lookup_Lists!$A$51:$A$92,0)),"")</f>
        <v>Finance</v>
      </c>
      <c r="BC43" s="142">
        <f>IFERROR(INDEX(Lookup_Lists!$B$185:$O$198,MATCH(Matching_Engine!$BA$43,Lookup_Lists!$A$185:$A$198,0),MATCH(KOL_Database!$E$12,Lookup_Lists!$B$184:$O$184,0)),Lookup_Lists!$D$151)</f>
        <v>20</v>
      </c>
      <c r="BD43" s="142">
        <f>IFERROR(INDEX(Lookup_Lists!$B$185:$O$198,MATCH(Brand_Profile!$E$33,Lookup_Lists!$A$185:$A$198,0),MATCH(KOL_Database!$E$12,Lookup_Lists!$B$184:$O$184,0)),Lookup_Lists!$D$151)</f>
        <v>20</v>
      </c>
      <c r="BE43" s="89" t="str">
        <f>IFERROR(INDEX(Lookup_Lists!$B$51:$B$92,MATCH(Brand_Profile!$E$34,Lookup_Lists!$A$51:$A$92,0)),"")</f>
        <v>Beauty</v>
      </c>
      <c r="BF43" s="89" t="str">
        <f>KOL_Database!$AI$12&amp;", "&amp;KOL_Database!$AG$12&amp;", "&amp;KOL_Database!$F$12&amp;", "&amp;KOL_Database!$E$12</f>
        <v>Finance, Business, Productivity, Finance, Business, Education, Productivity, Shopping, Investing, Finance</v>
      </c>
      <c r="BG43" s="89" t="str">
        <f>KOL_Database!$AI$12&amp;", "&amp;KOL_Database!$AG$12</f>
        <v>Finance, Business, Productivity, Finance, Business, Education, Productivity, Shopping</v>
      </c>
    </row>
    <row r="44" spans="1:59">
      <c r="A44" s="101" t="s">
        <v>118</v>
      </c>
      <c r="B44" s="89" t="str">
        <f>Brand_Profile!$E$9</f>
        <v>Lumaya Skin</v>
      </c>
      <c r="C44" s="89" t="str">
        <f>KOL_Database!$A$13</f>
        <v>KOL-09</v>
      </c>
      <c r="D44" s="89" t="str">
        <f>KOL_Database!$B$13</f>
        <v>Gilang Prakoso</v>
      </c>
      <c r="E44" s="89" t="str">
        <f>KOL_Database!$C$13</f>
        <v>@gilangbelajar</v>
      </c>
      <c r="F44" s="89" t="str">
        <f>KOL_Database!$D$13</f>
        <v>TikTok</v>
      </c>
      <c r="G44" s="89" t="str">
        <f>KOL_Database!$E$13</f>
        <v>Education</v>
      </c>
      <c r="H44" s="89" t="str">
        <f>KOL_Database!$G$13</f>
        <v>Macro</v>
      </c>
      <c r="I44" s="140">
        <f>KOL_Database!$J$13</f>
        <v>210000</v>
      </c>
      <c r="J44" s="141">
        <f>KOL_Database!$K$13</f>
        <v>6.8</v>
      </c>
      <c r="K44" s="142">
        <f>IFERROR(INDEX(Lookup_Lists!$B$170:$O$181,MATCH(Brand_Profile!$E$10,Lookup_Lists!$A$170:$A$181,0),MATCH(KOL_Database!$E$13,Lookup_Lists!$B$169:$O$169,0)),Lookup_Lists!$D$151)</f>
        <v>20</v>
      </c>
      <c r="L44" s="142">
        <f>IF(KOL_Database!$F$13="",Matching_Engine!$BC$44,IF(Brand_Profile!$E$12=KOL_Database!$F$13,100,IF(Matching_Engine!$BA$44=KOL_Database!$E$13,80,IF(Matching_Engine!$BC$44&gt;=80,60,IF(Matching_Engine!$BC$44&gt;=60,40,Lookup_Lists!$D$151)))))</f>
        <v>20</v>
      </c>
      <c r="M44" s="142">
        <f>ROUND((IF(Brand_Profile!$E$62=0,Lookup_Lists!$D$150,ROUND((IF(Brand_Profile!$E$57="",0,IF(ISNUMBER(SEARCH(Brand_Profile!$E$57,Matching_Engine!$BF$44)),1,0))+IF(Brand_Profile!$E$58="",0,IF(ISNUMBER(SEARCH(Brand_Profile!$E$58,Matching_Engine!$BF$44)),1,0))+IF(Brand_Profile!$E$59="",0,IF(ISNUMBER(SEARCH(Brand_Profile!$E$59,Matching_Engine!$BF$44)),1,0))+IF(Brand_Profile!$E$60="",0,IF(ISNUMBER(SEARCH(Brand_Profile!$E$60,Matching_Engine!$BF$44)),1,0))+IF(Brand_Profile!$E$61="",0,IF(ISNUMBER(SEARCH(Brand_Profile!$E$61,Matching_Engine!$BF$44)),1,0)))/Brand_Profile!$E$62*100,0))+IF(Brand_Profile!$E$74=0,Lookup_Lists!$D$150,ROUND((IF(Brand_Profile!$E$69="",0,IF(ISNUMBER(SEARCH(Brand_Profile!$E$69,Matching_Engine!$BF$44)),1,0))+IF(Brand_Profile!$E$70="",0,IF(ISNUMBER(SEARCH(Brand_Profile!$E$70,Matching_Engine!$BF$44)),1,0))+IF(Brand_Profile!$E$71="",0,IF(ISNUMBER(SEARCH(Brand_Profile!$E$71,Matching_Engine!$BF$44)),1,0))+IF(Brand_Profile!$E$72="",0,IF(ISNUMBER(SEARCH(Brand_Profile!$E$72,Matching_Engine!$BF$44)),1,0))+IF(Brand_Profile!$E$73="",0,IF(ISNUMBER(SEARCH(Brand_Profile!$E$73,Matching_Engine!$BF$44)),1,0)))/Brand_Profile!$E$74*100,0)))/2,0)</f>
        <v>0</v>
      </c>
      <c r="N44" s="142">
        <f>ROUND((Matching_Engine!$K$44*Lookup_Lists!$D$110+Matching_Engine!$L$44*Lookup_Lists!$D$111+Matching_Engine!$M$44*Lookup_Lists!$D$112)/(Lookup_Lists!$D$110+Lookup_Lists!$D$111+Lookup_Lists!$D$112),0)</f>
        <v>14</v>
      </c>
      <c r="O44" s="142">
        <f ca="1">IF(Brand_Profile!$E$16="",Lookup_Lists!$D$150,MIN(100,ROUND((IFERROR(INDEX(KOL_Database!$W$13:KOL_Database!$AA$13,1,MATCH(Brand_Profile!$E$16,Lookup_Lists!$F$6:$F$10,0)),0)+0.5*IFERROR(INDEX(KOL_Database!$W$13:KOL_Database!$AA$13,1,MATCH(Brand_Profile!$E$17,Lookup_Lists!$F$6:$F$10,0)),0))/Lookup_Lists!$D$142*100,0)))</f>
        <v>100</v>
      </c>
      <c r="P44" s="142">
        <f>IF(OR(Brand_Profile!$E$18="",Brand_Profile!$E$18="Any"),100,IF(Brand_Profile!$E$18="Female",MIN(100,ROUND(KOL_Database!$AB$13/Lookup_Lists!$D$143*100,0)),IF(Brand_Profile!$E$18="Male",MIN(100,ROUND(KOL_Database!$AC$13/Lookup_Lists!$D$143*100,0)),MAX(0,ROUND(100-ABS(KOL_Database!$AB$13-50)*2,0)))))</f>
        <v>80</v>
      </c>
      <c r="Q44" s="142">
        <f>ROUND((IF(Brand_Profile!$E$19="",100,IF(KOL_Database!$AD$13=Brand_Profile!$E$19,100,Lookup_Lists!$D$151))*Lookup_Lists!$D$118+IF(OR(Brand_Profile!$E$20="",Brand_Profile!$E$20="Nasional"),100,IF(KOL_Database!$AE$13="",Lookup_Lists!$D$150,IF(KOL_Database!$AE$13=Brand_Profile!$E$20,100,IF(KOL_Database!$AD$13=Brand_Profile!$E$19,40,Lookup_Lists!$D$151))))*Lookup_Lists!$D$119+IF(OR(Brand_Profile!$E$21="",Brand_Profile!$E$21="Nasional"),100,IF(KOL_Database!$AF$13="",Lookup_Lists!$D$150,IF(KOL_Database!$AF$13=Brand_Profile!$E$21,100,IF(KOL_Database!$AE$13=Brand_Profile!$E$20,60,Lookup_Lists!$D$151))))*Lookup_Lists!$D$120)/(Lookup_Lists!$D$118+Lookup_Lists!$D$119+Lookup_Lists!$D$120),0)</f>
        <v>80</v>
      </c>
      <c r="R44" s="142">
        <f>IF(Brand_Profile!$E$68=0,Lookup_Lists!$D$150,ROUND((IF(Brand_Profile!$E$63="",0,IF(ISNUMBER(SEARCH(Brand_Profile!$E$63,KOL_Database!$AG$13)),1,0))+IF(Brand_Profile!$E$64="",0,IF(ISNUMBER(SEARCH(Brand_Profile!$E$64,KOL_Database!$AG$13)),1,0))+IF(Brand_Profile!$E$65="",0,IF(ISNUMBER(SEARCH(Brand_Profile!$E$65,KOL_Database!$AG$13)),1,0))+IF(Brand_Profile!$E$66="",0,IF(ISNUMBER(SEARCH(Brand_Profile!$E$66,KOL_Database!$AG$13)),1,0))+IF(Brand_Profile!$E$67="",0,IF(ISNUMBER(SEARCH(Brand_Profile!$E$67,KOL_Database!$AG$13)),1,0)))/Brand_Profile!$E$68*100,0))</f>
        <v>0</v>
      </c>
      <c r="S44" s="142">
        <f ca="1">ROUND((Matching_Engine!$O$44*Brand_Profile!$E$96+Matching_Engine!$P$44*Brand_Profile!$E$97+Matching_Engine!$Q$44*Brand_Profile!$E$98+Matching_Engine!$R$44*Brand_Profile!$E$99)/MAX(1,Brand_Profile!$E$96+Brand_Profile!$E$97+Brand_Profile!$E$98+Brand_Profile!$E$99),0)</f>
        <v>63</v>
      </c>
      <c r="T44" s="142">
        <f>IF(Brand_Profile!$E$33="",Lookup_Lists!$D$150,Matching_Engine!$BD$44)</f>
        <v>20</v>
      </c>
      <c r="U44" s="142">
        <f>IF(Brand_Profile!$E$34="",Lookup_Lists!$D$150,IF(Brand_Profile!$E$34=KOL_Database!$F$13,100,IF(Matching_Engine!$BE$44=KOL_Database!$E$13,75,IF(Matching_Engine!$BD$44&gt;=80,Lookup_Lists!$D$150,IF(Matching_Engine!$BD$44&gt;=60,35,Lookup_Lists!$D$151)))))</f>
        <v>20</v>
      </c>
      <c r="V44" s="142">
        <f>IF(Brand_Profile!$E$86=0,Lookup_Lists!$D$150,ROUND((IF(Brand_Profile!$E$81="",0,IF(ISNUMBER(SEARCH(Brand_Profile!$E$81,Matching_Engine!$BG$44)),1,0))+IF(Brand_Profile!$E$82="",0,IF(ISNUMBER(SEARCH(Brand_Profile!$E$82,Matching_Engine!$BG$44)),1,0))+IF(Brand_Profile!$E$83="",0,IF(ISNUMBER(SEARCH(Brand_Profile!$E$83,Matching_Engine!$BG$44)),1,0))+IF(Brand_Profile!$E$84="",0,IF(ISNUMBER(SEARCH(Brand_Profile!$E$84,Matching_Engine!$BG$44)),1,0))+IF(Brand_Profile!$E$85="",0,IF(ISNUMBER(SEARCH(Brand_Profile!$E$85,Matching_Engine!$BG$44)),1,0)))/Brand_Profile!$E$86*100,0))</f>
        <v>0</v>
      </c>
      <c r="W44" s="142">
        <f>IF(Brand_Profile!$E$39="",Lookup_Lists!$D$150,IFERROR(INDEX(Lookup_Lists!$B$237:$K$246,MATCH(Brand_Profile!$E$39,Lookup_Lists!$A$237:$A$246,0),MATCH(KOL_Database!$AJ$13,Lookup_Lists!$B$236:$K$236,0)),45))</f>
        <v>80</v>
      </c>
      <c r="X44" s="142">
        <f>ROUND((Matching_Engine!$T$44*Lookup_Lists!$D$121+Matching_Engine!$U$44*Lookup_Lists!$D$122+Matching_Engine!$V$44*Lookup_Lists!$D$123+Matching_Engine!$W$44*Lookup_Lists!$D$124)/(Lookup_Lists!$D$121+Lookup_Lists!$D$122+Lookup_Lists!$D$123+Lookup_Lists!$D$124),0)</f>
        <v>26</v>
      </c>
      <c r="Y44" s="142">
        <f>MIN(100,MAX(IFERROR(INDEX(Lookup_Lists!$B$202:$M$211,MATCH(Brand_Profile!$E$25,Lookup_Lists!$A$202:$A$211,0),MATCH(KOL_Database!$AK$13,Lookup_Lists!$B$201:$M$201,0)),40),IF(KOL_Database!$AK$13=Brand_Profile!$E$41,95,0)))</f>
        <v>55</v>
      </c>
      <c r="Z44" s="142">
        <f>IFERROR(INDEX(Lookup_Lists!$B$215:$K$222,MATCH(Brand_Profile!$E$27,Lookup_Lists!$A$215:$A$222,0),MATCH(KOL_Database!$AJ$13,Lookup_Lists!$B$214:$K$214,0)),45)</f>
        <v>65</v>
      </c>
      <c r="AA44" s="142">
        <f>ROUND((IF(Brand_Profile!$E$80=0,Lookup_Lists!$D$150,ROUND((IF(Brand_Profile!$E$75="",0,IF(ISNUMBER(SEARCH(Brand_Profile!$E$75,KOL_Database!$AL$13)),1,0))+IF(Brand_Profile!$E$76="",0,IF(ISNUMBER(SEARCH(Brand_Profile!$E$76,KOL_Database!$AL$13)),1,0))+IF(Brand_Profile!$E$77="",0,IF(ISNUMBER(SEARCH(Brand_Profile!$E$77,KOL_Database!$AL$13)),1,0))+IF(Brand_Profile!$E$78="",0,IF(ISNUMBER(SEARCH(Brand_Profile!$E$78,KOL_Database!$AL$13)),1,0))+IF(Brand_Profile!$E$79="",0,IF(ISNUMBER(SEARCH(Brand_Profile!$E$79,KOL_Database!$AL$13)),1,0)))/Brand_Profile!$E$80*100,0))+IF(Brand_Profile!$E$92=0,Lookup_Lists!$D$150,ROUND((IF(Brand_Profile!$E$87="",0,IF(ISNUMBER(SEARCH(Brand_Profile!$E$87,KOL_Database!$AL$13)),1,0))+IF(Brand_Profile!$E$88="",0,IF(ISNUMBER(SEARCH(Brand_Profile!$E$88,KOL_Database!$AL$13)),1,0))+IF(Brand_Profile!$E$89="",0,IF(ISNUMBER(SEARCH(Brand_Profile!$E$89,KOL_Database!$AL$13)),1,0))+IF(Brand_Profile!$E$90="",0,IF(ISNUMBER(SEARCH(Brand_Profile!$E$90,KOL_Database!$AL$13)),1,0))+IF(Brand_Profile!$E$91="",0,IF(ISNUMBER(SEARCH(Brand_Profile!$E$91,KOL_Database!$AL$13)),1,0)))/Brand_Profile!$E$92*100,0)))/2,0)</f>
        <v>20</v>
      </c>
      <c r="AB44" s="142">
        <f>IFERROR(INDEX(Lookup_Lists!$B$226:$K$233,MATCH(Brand_Profile!$E$30,Lookup_Lists!$A$226:$A$233,0),MATCH(KOL_Database!$AJ$13,Lookup_Lists!$B$225:$K$225,0)),45)</f>
        <v>55</v>
      </c>
      <c r="AC44" s="142">
        <f>ROUND((Matching_Engine!$Y$44*Lookup_Lists!$D$125+Matching_Engine!$Z$44*Lookup_Lists!$D$126+Matching_Engine!$AA$44*Lookup_Lists!$D$127+Matching_Engine!$AB$44*Lookup_Lists!$D$128)/(Lookup_Lists!$D$125+Lookup_Lists!$D$126+Lookup_Lists!$D$127+Lookup_Lists!$D$128),0)</f>
        <v>49</v>
      </c>
      <c r="AD44" s="142">
        <f>IF(KOL_Database!$K$13="",0,MIN(100,ROUND(KOL_Database!$K$13/Lookup_Lists!$D$141*100,0)))</f>
        <v>100</v>
      </c>
      <c r="AE44" s="142">
        <f>IF(KOL_Database!$R$13="",0,MIN(100,MAX(0,KOL_Database!$R$13)))</f>
        <v>86</v>
      </c>
      <c r="AF44" s="142">
        <f>IF(KOL_Database!$P$13="",0,MIN(100,MAX(0,KOL_Database!$P$13)))</f>
        <v>85</v>
      </c>
      <c r="AG44" s="142">
        <f>IF(KOL_Database!$Q$13="",0,MIN(100,MAX(0,KOL_Database!$Q$13)))</f>
        <v>83</v>
      </c>
      <c r="AH44" s="142">
        <f>IF(OR(KOL_Database!$J$13="",KOL_Database!$J$13=0,KOL_Database!$L$13=""),0,MIN(100,ROUND(KOL_Database!$L$13/KOL_Database!$J$13/Lookup_Lists!$D$144*100,0)))</f>
        <v>100</v>
      </c>
      <c r="AI44" s="142">
        <f>IF(KOL_Database!$N$13="",0,MIN(100,MAX(0,ROUND((KOL_Database!$N$13+2)/(Lookup_Lists!$D$145+2)*100,0))))</f>
        <v>93</v>
      </c>
      <c r="AJ44" s="142">
        <f>ROUND((Matching_Engine!$AD$44*Lookup_Lists!$D$129+Matching_Engine!$AE$44*Lookup_Lists!$D$130+Matching_Engine!$AF$44*Lookup_Lists!$D$131+Matching_Engine!$AG$44*Lookup_Lists!$D$132+Matching_Engine!$AH$44*Lookup_Lists!$D$133+Matching_Engine!$AI$44*Lookup_Lists!$D$134)/(Lookup_Lists!$D$129+Lookup_Lists!$D$130+Lookup_Lists!$D$131+Lookup_Lists!$D$132+Lookup_Lists!$D$133+Lookup_Lists!$D$134),0)</f>
        <v>92</v>
      </c>
      <c r="AK44" s="142">
        <f>IF(KOL_Database!$AT$13="",0,MIN(100,MAX(0,KOL_Database!$AT$13)))</f>
        <v>92</v>
      </c>
      <c r="AL44" s="142">
        <f>IF(KOL_Database!$AU$13="",0,KOL_Database!$AU$13)</f>
        <v>61</v>
      </c>
      <c r="AM44" s="89" t="str">
        <f>IF(KOL_Database!$AV$13="","None",KOL_Database!$AV$13)</f>
        <v>None</v>
      </c>
      <c r="AN44" s="143">
        <f>IF(Matching_Engine!$AM$44="High",Lookup_Lists!$D$137,IF(Matching_Engine!$AM$44="Medium",Lookup_Lists!$D$138,IF(Matching_Engine!$AM$44="Low",Lookup_Lists!$D$139,Lookup_Lists!$D$140)))</f>
        <v>1</v>
      </c>
      <c r="AO44" s="142">
        <f>ROUND(MIN(100,MAX(0,(Matching_Engine!$AK$44*Lookup_Lists!$D$135+(100-Matching_Engine!$AL$44)*Lookup_Lists!$D$136)/(Lookup_Lists!$D$135+Lookup_Lists!$D$136)*Matching_Engine!$AN$44)),0)</f>
        <v>81</v>
      </c>
      <c r="AP44" s="13">
        <f ca="1">ROUND((Matching_Engine!$N$44*Lookup_Lists!$D$104+Matching_Engine!$S$44*Lookup_Lists!$D$105+Matching_Engine!$X$44*Lookup_Lists!$D$106+Matching_Engine!$AC$44*Lookup_Lists!$D$107+Matching_Engine!$AJ$44*Lookup_Lists!$D$108+Matching_Engine!$AO$44*Lookup_Lists!$D$109)/MAX(1,(Lookup_Lists!$D$104+Lookup_Lists!$D$105+Lookup_Lists!$D$106+Lookup_Lists!$D$107+Lookup_Lists!$D$108+Lookup_Lists!$D$109)),0)</f>
        <v>49</v>
      </c>
      <c r="AQ44" s="89" t="str">
        <f ca="1">IF(Matching_Engine!$AP$44&gt;=Lookup_Lists!$D$152,"Excellent Match",IF(Matching_Engine!$AP$44&gt;=Lookup_Lists!$D$153,"Strong Match",IF(Matching_Engine!$AP$44&gt;=Lookup_Lists!$D$154,"Good Match",IF(Matching_Engine!$AP$44&gt;=Lookup_Lists!$D$155,"Moderate Match","Low Match"))))</f>
        <v>Low Match</v>
      </c>
      <c r="AR44" s="142">
        <f>KOL_Database!$BE$13</f>
        <v>100</v>
      </c>
      <c r="AS44" s="89" t="str">
        <f>IF(Matching_Engine!$AR$44&gt;=Lookup_Lists!$D$159,"High",IF(Matching_Engine!$AR$44&gt;=Lookup_Lists!$D$160,"Medium","Limited Data"))</f>
        <v>High</v>
      </c>
      <c r="AT44" s="142">
        <f>ROUND((Matching_Engine!$N$44+Matching_Engine!$X$44+Matching_Engine!$AC$44)/3,0)</f>
        <v>30</v>
      </c>
      <c r="AU44" s="142">
        <f>ROUND(((100-Matching_Engine!$AL$44)*Lookup_Lists!$D$162+IF(KOL_Database!$BD$13="",Lookup_Lists!$D$150,KOL_Database!$BD$13)*Lookup_Lists!$D$163+Matching_Engine!$AI$44*Lookup_Lists!$D$164+Matching_Engine!$AD$44*Lookup_Lists!$D$165)/(Lookup_Lists!$D$162+Lookup_Lists!$D$163+Lookup_Lists!$D$164+Lookup_Lists!$D$165),0)</f>
        <v>77</v>
      </c>
      <c r="AV44" s="89" t="str">
        <f ca="1">IF(Matching_Engine!$AW$44="","PASS","EXCLUDED")</f>
        <v>EXCLUDED</v>
      </c>
      <c r="AW44" s="89" t="str">
        <f ca="1">IF(ISERROR(SEARCH(KOL_Database!$D$13,Brand_Profile!$E$32)),"Platform not in Preferred Platform",IF(AND(Brand_Profile!$E$36&gt;0,KOL_Database!$J$13&lt;Brand_Profile!$E$36),"Followers below Preferred Follower Range",IF(AND(Brand_Profile!$E$37&gt;0,KOL_Database!$J$13&gt;Brand_Profile!$E$37),"Followers above Preferred Follower Range",IF(AND(Brand_Profile!$E$38&gt;0,IF(KOL_Database!$K$13="",0,KOL_Database!$K$13)&lt;Brand_Profile!$E$38),"Engagement Rate below Minimum Engagement Rate",IF(ISERROR(SEARCH(KOL_Database!$G$13,Brand_Profile!$E$35)),"Tier not in Preferred Tier",IF(AND(Brand_Profile!$E$43&gt;0,Matching_Engine!$AE$44&lt;Brand_Profile!$E$43),"Audience Quality below Minimum Audience Quality",IF(AND(Brand_Profile!$E$44&gt;0,Matching_Engine!$AK$44&lt;Brand_Profile!$E$44),"Brand Safety below Minimum Brand Safety",IF(AND(Brand_Profile!$E$47="Yes",KOL_Database!$AD$13&lt;&gt;Brand_Profile!$E$19),"Audience Country does not match Target Country",IF(AND(Brand_Profile!$E$46="Yes",KOL_Database!$E$13&lt;&gt;Brand_Profile!$E$33),"Category is not the Preferred Category",IF(AND(Brand_Profile!$E$48&gt;0,Matching_Engine!$AL$44&gt;Brand_Profile!$E$48),"Competitor Saturation above Max Competitor Saturation",IF(AND(Brand_Profile!$E$50="Yes",KOL_Database!$AW$13="Yes"),"Already Selected",IF(AND(Brand_Profile!$E$51="Yes",KOL_Database!$AX$13="Yes"),"Already in Cart",IF(AND(Brand_Profile!$E$52="Yes",KOL_Database!$AY$13="Yes"),"Existing Partner",IF(AND(Brand_Profile!$E$53="Yes",KOL_Database!$AZ$13="Yes"),"Excluded Creator",IF(AND(Brand_Profile!$E$49&gt;0,Matching_Engine!$AP$44&lt;Brand_Profile!$E$49),"Brand Match below Minimum Brand Match","")))))))))))))))</f>
        <v>Tier not in Preferred Tier</v>
      </c>
      <c r="AX44" s="89" t="str">
        <f ca="1">IF(Matching_Engine!$AV$44="EXCLUDED","Excluded",IF(Matching_Engine!$AP$44&gt;=Lookup_Lists!$D$156,"Highly Recommended",IF(Matching_Engine!$AP$44&gt;=Lookup_Lists!$D$157,"Recommended",IF(Matching_Engine!$AP$44&gt;=Lookup_Lists!$D$158,"Consider","Low Priority"))))</f>
        <v>Excluded</v>
      </c>
      <c r="AY44" s="142" t="str">
        <f ca="1">IF(Matching_Engine!$AV$44="PASS",Matching_Engine!$AP$44,"")</f>
        <v/>
      </c>
      <c r="AZ44" s="89" t="str">
        <f>Matching_Engine!$A$44&amp;"|"&amp;Matching_Engine!$C$44</f>
        <v>BRAND-B|KOL-09</v>
      </c>
      <c r="BA44" s="89" t="str">
        <f>IFERROR(INDEX(Lookup_Lists!$B$51:$B$92,MATCH(Brand_Profile!$E$12,Lookup_Lists!$A$51:$A$92,0)),"")</f>
        <v>Beauty</v>
      </c>
      <c r="BB44" s="89" t="str">
        <f>IFERROR(INDEX(Lookup_Lists!$B$51:$B$92,MATCH(KOL_Database!$F$13,Lookup_Lists!$A$51:$A$92,0)),"")</f>
        <v>Education</v>
      </c>
      <c r="BC44" s="142">
        <f>IFERROR(INDEX(Lookup_Lists!$B$185:$O$198,MATCH(Matching_Engine!$BA$44,Lookup_Lists!$A$185:$A$198,0),MATCH(KOL_Database!$E$13,Lookup_Lists!$B$184:$O$184,0)),Lookup_Lists!$D$151)</f>
        <v>20</v>
      </c>
      <c r="BD44" s="142">
        <f>IFERROR(INDEX(Lookup_Lists!$B$185:$O$198,MATCH(Brand_Profile!$E$33,Lookup_Lists!$A$185:$A$198,0),MATCH(KOL_Database!$E$13,Lookup_Lists!$B$184:$O$184,0)),Lookup_Lists!$D$151)</f>
        <v>20</v>
      </c>
      <c r="BE44" s="89" t="str">
        <f>IFERROR(INDEX(Lookup_Lists!$B$51:$B$92,MATCH(Brand_Profile!$E$34,Lookup_Lists!$A$51:$A$92,0)),"")</f>
        <v>Beauty</v>
      </c>
      <c r="BF44" s="89" t="str">
        <f>KOL_Database!$AI$13&amp;", "&amp;KOL_Database!$AG$13&amp;", "&amp;KOL_Database!$F$13&amp;", "&amp;KOL_Database!$E$13</f>
        <v>Education, Productivity, Technology, Education, Productivity, Technology, Entertainment, Business, Study Tips, Education</v>
      </c>
      <c r="BG44" s="89" t="str">
        <f>KOL_Database!$AI$13&amp;", "&amp;KOL_Database!$AG$13</f>
        <v>Education, Productivity, Technology, Education, Productivity, Technology, Entertainment, Business</v>
      </c>
    </row>
    <row r="45" spans="1:59">
      <c r="A45" s="101" t="s">
        <v>118</v>
      </c>
      <c r="B45" s="89" t="str">
        <f>Brand_Profile!$E$9</f>
        <v>Lumaya Skin</v>
      </c>
      <c r="C45" s="89" t="str">
        <f>KOL_Database!$A$14</f>
        <v>KOL-10</v>
      </c>
      <c r="D45" s="89" t="str">
        <f>KOL_Database!$B$14</f>
        <v>Mira Handayani</v>
      </c>
      <c r="E45" s="89" t="str">
        <f>KOL_Database!$C$14</f>
        <v>@mirabahasa</v>
      </c>
      <c r="F45" s="89" t="str">
        <f>KOL_Database!$D$14</f>
        <v>Instagram</v>
      </c>
      <c r="G45" s="89" t="str">
        <f>KOL_Database!$E$14</f>
        <v>Education</v>
      </c>
      <c r="H45" s="89" t="str">
        <f>KOL_Database!$G$14</f>
        <v>Micro</v>
      </c>
      <c r="I45" s="140">
        <f>KOL_Database!$J$14</f>
        <v>42000</v>
      </c>
      <c r="J45" s="141">
        <f>KOL_Database!$K$14</f>
        <v>4.9</v>
      </c>
      <c r="K45" s="142">
        <f>IFERROR(INDEX(Lookup_Lists!$B$170:$O$181,MATCH(Brand_Profile!$E$10,Lookup_Lists!$A$170:$A$181,0),MATCH(KOL_Database!$E$14,Lookup_Lists!$B$169:$O$169,0)),Lookup_Lists!$D$151)</f>
        <v>20</v>
      </c>
      <c r="L45" s="142">
        <f>IF(KOL_Database!$F$14="",Matching_Engine!$BC$45,IF(Brand_Profile!$E$12=KOL_Database!$F$14,100,IF(Matching_Engine!$BA$45=KOL_Database!$E$14,80,IF(Matching_Engine!$BC$45&gt;=80,60,IF(Matching_Engine!$BC$45&gt;=60,40,Lookup_Lists!$D$151)))))</f>
        <v>20</v>
      </c>
      <c r="M45" s="142">
        <f>ROUND((IF(Brand_Profile!$E$62=0,Lookup_Lists!$D$150,ROUND((IF(Brand_Profile!$E$57="",0,IF(ISNUMBER(SEARCH(Brand_Profile!$E$57,Matching_Engine!$BF$45)),1,0))+IF(Brand_Profile!$E$58="",0,IF(ISNUMBER(SEARCH(Brand_Profile!$E$58,Matching_Engine!$BF$45)),1,0))+IF(Brand_Profile!$E$59="",0,IF(ISNUMBER(SEARCH(Brand_Profile!$E$59,Matching_Engine!$BF$45)),1,0))+IF(Brand_Profile!$E$60="",0,IF(ISNUMBER(SEARCH(Brand_Profile!$E$60,Matching_Engine!$BF$45)),1,0))+IF(Brand_Profile!$E$61="",0,IF(ISNUMBER(SEARCH(Brand_Profile!$E$61,Matching_Engine!$BF$45)),1,0)))/Brand_Profile!$E$62*100,0))+IF(Brand_Profile!$E$74=0,Lookup_Lists!$D$150,ROUND((IF(Brand_Profile!$E$69="",0,IF(ISNUMBER(SEARCH(Brand_Profile!$E$69,Matching_Engine!$BF$45)),1,0))+IF(Brand_Profile!$E$70="",0,IF(ISNUMBER(SEARCH(Brand_Profile!$E$70,Matching_Engine!$BF$45)),1,0))+IF(Brand_Profile!$E$71="",0,IF(ISNUMBER(SEARCH(Brand_Profile!$E$71,Matching_Engine!$BF$45)),1,0))+IF(Brand_Profile!$E$72="",0,IF(ISNUMBER(SEARCH(Brand_Profile!$E$72,Matching_Engine!$BF$45)),1,0))+IF(Brand_Profile!$E$73="",0,IF(ISNUMBER(SEARCH(Brand_Profile!$E$73,Matching_Engine!$BF$45)),1,0)))/Brand_Profile!$E$74*100,0)))/2,0)</f>
        <v>0</v>
      </c>
      <c r="N45" s="142">
        <f>ROUND((Matching_Engine!$K$45*Lookup_Lists!$D$110+Matching_Engine!$L$45*Lookup_Lists!$D$111+Matching_Engine!$M$45*Lookup_Lists!$D$112)/(Lookup_Lists!$D$110+Lookup_Lists!$D$111+Lookup_Lists!$D$112),0)</f>
        <v>14</v>
      </c>
      <c r="O45" s="142">
        <f ca="1">IF(Brand_Profile!$E$16="",Lookup_Lists!$D$150,MIN(100,ROUND((IFERROR(INDEX(KOL_Database!$W$14:KOL_Database!$AA$14,1,MATCH(Brand_Profile!$E$16,Lookup_Lists!$F$6:$F$10,0)),0)+0.5*IFERROR(INDEX(KOL_Database!$W$14:KOL_Database!$AA$14,1,MATCH(Brand_Profile!$E$17,Lookup_Lists!$F$6:$F$10,0)),0))/Lookup_Lists!$D$142*100,0)))</f>
        <v>100</v>
      </c>
      <c r="P45" s="142">
        <f>IF(OR(Brand_Profile!$E$18="",Brand_Profile!$E$18="Any"),100,IF(Brand_Profile!$E$18="Female",MIN(100,ROUND(KOL_Database!$AB$14/Lookup_Lists!$D$143*100,0)),IF(Brand_Profile!$E$18="Male",MIN(100,ROUND(KOL_Database!$AC$14/Lookup_Lists!$D$143*100,0)),MAX(0,ROUND(100-ABS(KOL_Database!$AB$14-50)*2,0)))))</f>
        <v>100</v>
      </c>
      <c r="Q45" s="142">
        <f>ROUND((IF(Brand_Profile!$E$19="",100,IF(KOL_Database!$AD$14=Brand_Profile!$E$19,100,Lookup_Lists!$D$151))*Lookup_Lists!$D$118+IF(OR(Brand_Profile!$E$20="",Brand_Profile!$E$20="Nasional"),100,IF(KOL_Database!$AE$14="",Lookup_Lists!$D$150,IF(KOL_Database!$AE$14=Brand_Profile!$E$20,100,IF(KOL_Database!$AD$14=Brand_Profile!$E$19,40,Lookup_Lists!$D$151))))*Lookup_Lists!$D$119+IF(OR(Brand_Profile!$E$21="",Brand_Profile!$E$21="Nasional"),100,IF(KOL_Database!$AF$14="",Lookup_Lists!$D$150,IF(KOL_Database!$AF$14=Brand_Profile!$E$21,100,IF(KOL_Database!$AE$14=Brand_Profile!$E$20,60,Lookup_Lists!$D$151))))*Lookup_Lists!$D$120)/(Lookup_Lists!$D$118+Lookup_Lists!$D$119+Lookup_Lists!$D$120),0)</f>
        <v>80</v>
      </c>
      <c r="R45" s="142">
        <f>IF(Brand_Profile!$E$68=0,Lookup_Lists!$D$150,ROUND((IF(Brand_Profile!$E$63="",0,IF(ISNUMBER(SEARCH(Brand_Profile!$E$63,KOL_Database!$AG$14)),1,0))+IF(Brand_Profile!$E$64="",0,IF(ISNUMBER(SEARCH(Brand_Profile!$E$64,KOL_Database!$AG$14)),1,0))+IF(Brand_Profile!$E$65="",0,IF(ISNUMBER(SEARCH(Brand_Profile!$E$65,KOL_Database!$AG$14)),1,0))+IF(Brand_Profile!$E$66="",0,IF(ISNUMBER(SEARCH(Brand_Profile!$E$66,KOL_Database!$AG$14)),1,0))+IF(Brand_Profile!$E$67="",0,IF(ISNUMBER(SEARCH(Brand_Profile!$E$67,KOL_Database!$AG$14)),1,0)))/Brand_Profile!$E$68*100,0))</f>
        <v>0</v>
      </c>
      <c r="S45" s="142">
        <f ca="1">ROUND((Matching_Engine!$O$45*Brand_Profile!$E$96+Matching_Engine!$P$45*Brand_Profile!$E$97+Matching_Engine!$Q$45*Brand_Profile!$E$98+Matching_Engine!$R$45*Brand_Profile!$E$99)/MAX(1,Brand_Profile!$E$96+Brand_Profile!$E$97+Brand_Profile!$E$98+Brand_Profile!$E$99),0)</f>
        <v>69</v>
      </c>
      <c r="T45" s="142">
        <f>IF(Brand_Profile!$E$33="",Lookup_Lists!$D$150,Matching_Engine!$BD$45)</f>
        <v>20</v>
      </c>
      <c r="U45" s="142">
        <f>IF(Brand_Profile!$E$34="",Lookup_Lists!$D$150,IF(Brand_Profile!$E$34=KOL_Database!$F$14,100,IF(Matching_Engine!$BE$45=KOL_Database!$E$14,75,IF(Matching_Engine!$BD$45&gt;=80,Lookup_Lists!$D$150,IF(Matching_Engine!$BD$45&gt;=60,35,Lookup_Lists!$D$151)))))</f>
        <v>20</v>
      </c>
      <c r="V45" s="142">
        <f>IF(Brand_Profile!$E$86=0,Lookup_Lists!$D$150,ROUND((IF(Brand_Profile!$E$81="",0,IF(ISNUMBER(SEARCH(Brand_Profile!$E$81,Matching_Engine!$BG$45)),1,0))+IF(Brand_Profile!$E$82="",0,IF(ISNUMBER(SEARCH(Brand_Profile!$E$82,Matching_Engine!$BG$45)),1,0))+IF(Brand_Profile!$E$83="",0,IF(ISNUMBER(SEARCH(Brand_Profile!$E$83,Matching_Engine!$BG$45)),1,0))+IF(Brand_Profile!$E$84="",0,IF(ISNUMBER(SEARCH(Brand_Profile!$E$84,Matching_Engine!$BG$45)),1,0))+IF(Brand_Profile!$E$85="",0,IF(ISNUMBER(SEARCH(Brand_Profile!$E$85,Matching_Engine!$BG$45)),1,0)))/Brand_Profile!$E$86*100,0))</f>
        <v>0</v>
      </c>
      <c r="W45" s="142">
        <f>IF(Brand_Profile!$E$39="",Lookup_Lists!$D$150,IFERROR(INDEX(Lookup_Lists!$B$237:$K$246,MATCH(Brand_Profile!$E$39,Lookup_Lists!$A$237:$A$246,0),MATCH(KOL_Database!$AJ$14,Lookup_Lists!$B$236:$K$236,0)),45))</f>
        <v>80</v>
      </c>
      <c r="X45" s="142">
        <f>ROUND((Matching_Engine!$T$45*Lookup_Lists!$D$121+Matching_Engine!$U$45*Lookup_Lists!$D$122+Matching_Engine!$V$45*Lookup_Lists!$D$123+Matching_Engine!$W$45*Lookup_Lists!$D$124)/(Lookup_Lists!$D$121+Lookup_Lists!$D$122+Lookup_Lists!$D$123+Lookup_Lists!$D$124),0)</f>
        <v>26</v>
      </c>
      <c r="Y45" s="142">
        <f>MIN(100,MAX(IFERROR(INDEX(Lookup_Lists!$B$202:$M$211,MATCH(Brand_Profile!$E$25,Lookup_Lists!$A$202:$A$211,0),MATCH(KOL_Database!$AK$14,Lookup_Lists!$B$201:$M$201,0)),40),IF(KOL_Database!$AK$14=Brand_Profile!$E$41,95,0)))</f>
        <v>55</v>
      </c>
      <c r="Z45" s="142">
        <f>IFERROR(INDEX(Lookup_Lists!$B$215:$K$222,MATCH(Brand_Profile!$E$27,Lookup_Lists!$A$215:$A$222,0),MATCH(KOL_Database!$AJ$14,Lookup_Lists!$B$214:$K$214,0)),45)</f>
        <v>65</v>
      </c>
      <c r="AA45" s="142">
        <f>ROUND((IF(Brand_Profile!$E$80=0,Lookup_Lists!$D$150,ROUND((IF(Brand_Profile!$E$75="",0,IF(ISNUMBER(SEARCH(Brand_Profile!$E$75,KOL_Database!$AL$14)),1,0))+IF(Brand_Profile!$E$76="",0,IF(ISNUMBER(SEARCH(Brand_Profile!$E$76,KOL_Database!$AL$14)),1,0))+IF(Brand_Profile!$E$77="",0,IF(ISNUMBER(SEARCH(Brand_Profile!$E$77,KOL_Database!$AL$14)),1,0))+IF(Brand_Profile!$E$78="",0,IF(ISNUMBER(SEARCH(Brand_Profile!$E$78,KOL_Database!$AL$14)),1,0))+IF(Brand_Profile!$E$79="",0,IF(ISNUMBER(SEARCH(Brand_Profile!$E$79,KOL_Database!$AL$14)),1,0)))/Brand_Profile!$E$80*100,0))+IF(Brand_Profile!$E$92=0,Lookup_Lists!$D$150,ROUND((IF(Brand_Profile!$E$87="",0,IF(ISNUMBER(SEARCH(Brand_Profile!$E$87,KOL_Database!$AL$14)),1,0))+IF(Brand_Profile!$E$88="",0,IF(ISNUMBER(SEARCH(Brand_Profile!$E$88,KOL_Database!$AL$14)),1,0))+IF(Brand_Profile!$E$89="",0,IF(ISNUMBER(SEARCH(Brand_Profile!$E$89,KOL_Database!$AL$14)),1,0))+IF(Brand_Profile!$E$90="",0,IF(ISNUMBER(SEARCH(Brand_Profile!$E$90,KOL_Database!$AL$14)),1,0))+IF(Brand_Profile!$E$91="",0,IF(ISNUMBER(SEARCH(Brand_Profile!$E$91,KOL_Database!$AL$14)),1,0)))/Brand_Profile!$E$92*100,0)))/2,0)</f>
        <v>40</v>
      </c>
      <c r="AB45" s="142">
        <f>IFERROR(INDEX(Lookup_Lists!$B$226:$K$233,MATCH(Brand_Profile!$E$30,Lookup_Lists!$A$226:$A$233,0),MATCH(KOL_Database!$AJ$14,Lookup_Lists!$B$225:$K$225,0)),45)</f>
        <v>70</v>
      </c>
      <c r="AC45" s="142">
        <f>ROUND((Matching_Engine!$Y$45*Lookup_Lists!$D$125+Matching_Engine!$Z$45*Lookup_Lists!$D$126+Matching_Engine!$AA$45*Lookup_Lists!$D$127+Matching_Engine!$AB$45*Lookup_Lists!$D$128)/(Lookup_Lists!$D$125+Lookup_Lists!$D$126+Lookup_Lists!$D$127+Lookup_Lists!$D$128),0)</f>
        <v>56</v>
      </c>
      <c r="AD45" s="142">
        <f>IF(KOL_Database!$K$14="",0,MIN(100,ROUND(KOL_Database!$K$14/Lookup_Lists!$D$141*100,0)))</f>
        <v>82</v>
      </c>
      <c r="AE45" s="142">
        <f>IF(KOL_Database!$R$14="",0,MIN(100,MAX(0,KOL_Database!$R$14)))</f>
        <v>75</v>
      </c>
      <c r="AF45" s="142">
        <f>IF(KOL_Database!$P$14="",0,MIN(100,MAX(0,KOL_Database!$P$14)))</f>
        <v>94</v>
      </c>
      <c r="AG45" s="142">
        <f>IF(KOL_Database!$Q$14="",0,MIN(100,MAX(0,KOL_Database!$Q$14)))</f>
        <v>85</v>
      </c>
      <c r="AH45" s="142">
        <f>IF(OR(KOL_Database!$J$14="",KOL_Database!$J$14=0,KOL_Database!$L$14=""),0,MIN(100,ROUND(KOL_Database!$L$14/KOL_Database!$J$14/Lookup_Lists!$D$144*100,0)))</f>
        <v>56</v>
      </c>
      <c r="AI45" s="142">
        <f>IF(KOL_Database!$N$14="",0,MIN(100,MAX(0,ROUND((KOL_Database!$N$14+2)/(Lookup_Lists!$D$145+2)*100,0))))</f>
        <v>36</v>
      </c>
      <c r="AJ45" s="142">
        <f>ROUND((Matching_Engine!$AD$45*Lookup_Lists!$D$129+Matching_Engine!$AE$45*Lookup_Lists!$D$130+Matching_Engine!$AF$45*Lookup_Lists!$D$131+Matching_Engine!$AG$45*Lookup_Lists!$D$132+Matching_Engine!$AH$45*Lookup_Lists!$D$133+Matching_Engine!$AI$45*Lookup_Lists!$D$134)/(Lookup_Lists!$D$129+Lookup_Lists!$D$130+Lookup_Lists!$D$131+Lookup_Lists!$D$132+Lookup_Lists!$D$133+Lookup_Lists!$D$134),0)</f>
        <v>78</v>
      </c>
      <c r="AK45" s="142">
        <f>IF(KOL_Database!$AT$14="",0,MIN(100,MAX(0,KOL_Database!$AT$14)))</f>
        <v>83</v>
      </c>
      <c r="AL45" s="142">
        <f>IF(KOL_Database!$AU$14="",0,KOL_Database!$AU$14)</f>
        <v>32</v>
      </c>
      <c r="AM45" s="89" t="str">
        <f>IF(KOL_Database!$AV$14="","None",KOL_Database!$AV$14)</f>
        <v>None</v>
      </c>
      <c r="AN45" s="143">
        <f>IF(Matching_Engine!$AM$45="High",Lookup_Lists!$D$137,IF(Matching_Engine!$AM$45="Medium",Lookup_Lists!$D$138,IF(Matching_Engine!$AM$45="Low",Lookup_Lists!$D$139,Lookup_Lists!$D$140)))</f>
        <v>1</v>
      </c>
      <c r="AO45" s="142">
        <f>ROUND(MIN(100,MAX(0,(Matching_Engine!$AK$45*Lookup_Lists!$D$135+(100-Matching_Engine!$AL$45)*Lookup_Lists!$D$136)/(Lookup_Lists!$D$135+Lookup_Lists!$D$136)*Matching_Engine!$AN$45)),0)</f>
        <v>80</v>
      </c>
      <c r="AP45" s="13">
        <f ca="1">ROUND((Matching_Engine!$N$45*Lookup_Lists!$D$104+Matching_Engine!$S$45*Lookup_Lists!$D$105+Matching_Engine!$X$45*Lookup_Lists!$D$106+Matching_Engine!$AC$45*Lookup_Lists!$D$107+Matching_Engine!$AJ$45*Lookup_Lists!$D$108+Matching_Engine!$AO$45*Lookup_Lists!$D$109)/MAX(1,(Lookup_Lists!$D$104+Lookup_Lists!$D$105+Lookup_Lists!$D$106+Lookup_Lists!$D$107+Lookup_Lists!$D$108+Lookup_Lists!$D$109)),0)</f>
        <v>50</v>
      </c>
      <c r="AQ45" s="89" t="str">
        <f ca="1">IF(Matching_Engine!$AP$45&gt;=Lookup_Lists!$D$152,"Excellent Match",IF(Matching_Engine!$AP$45&gt;=Lookup_Lists!$D$153,"Strong Match",IF(Matching_Engine!$AP$45&gt;=Lookup_Lists!$D$154,"Good Match",IF(Matching_Engine!$AP$45&gt;=Lookup_Lists!$D$155,"Moderate Match","Low Match"))))</f>
        <v>Low Match</v>
      </c>
      <c r="AR45" s="142">
        <f>KOL_Database!$BE$14</f>
        <v>92</v>
      </c>
      <c r="AS45" s="89" t="str">
        <f>IF(Matching_Engine!$AR$45&gt;=Lookup_Lists!$D$159,"High",IF(Matching_Engine!$AR$45&gt;=Lookup_Lists!$D$160,"Medium","Limited Data"))</f>
        <v>Medium</v>
      </c>
      <c r="AT45" s="142">
        <f>ROUND((Matching_Engine!$N$45+Matching_Engine!$X$45+Matching_Engine!$AC$45)/3,0)</f>
        <v>32</v>
      </c>
      <c r="AU45" s="142">
        <f>ROUND(((100-Matching_Engine!$AL$45)*Lookup_Lists!$D$162+IF(KOL_Database!$BD$14="",Lookup_Lists!$D$150,KOL_Database!$BD$14)*Lookup_Lists!$D$163+Matching_Engine!$AI$45*Lookup_Lists!$D$164+Matching_Engine!$AD$45*Lookup_Lists!$D$165)/(Lookup_Lists!$D$162+Lookup_Lists!$D$163+Lookup_Lists!$D$164+Lookup_Lists!$D$165),0)</f>
        <v>60</v>
      </c>
      <c r="AV45" s="89" t="str">
        <f ca="1">IF(Matching_Engine!$AW$45="","PASS","EXCLUDED")</f>
        <v>PASS</v>
      </c>
      <c r="AW45" s="89" t="str">
        <f ca="1">IF(ISERROR(SEARCH(KOL_Database!$D$14,Brand_Profile!$E$32)),"Platform not in Preferred Platform",IF(AND(Brand_Profile!$E$36&gt;0,KOL_Database!$J$14&lt;Brand_Profile!$E$36),"Followers below Preferred Follower Range",IF(AND(Brand_Profile!$E$37&gt;0,KOL_Database!$J$14&gt;Brand_Profile!$E$37),"Followers above Preferred Follower Range",IF(AND(Brand_Profile!$E$38&gt;0,IF(KOL_Database!$K$14="",0,KOL_Database!$K$14)&lt;Brand_Profile!$E$38),"Engagement Rate below Minimum Engagement Rate",IF(ISERROR(SEARCH(KOL_Database!$G$14,Brand_Profile!$E$35)),"Tier not in Preferred Tier",IF(AND(Brand_Profile!$E$43&gt;0,Matching_Engine!$AE$45&lt;Brand_Profile!$E$43),"Audience Quality below Minimum Audience Quality",IF(AND(Brand_Profile!$E$44&gt;0,Matching_Engine!$AK$45&lt;Brand_Profile!$E$44),"Brand Safety below Minimum Brand Safety",IF(AND(Brand_Profile!$E$47="Yes",KOL_Database!$AD$14&lt;&gt;Brand_Profile!$E$19),"Audience Country does not match Target Country",IF(AND(Brand_Profile!$E$46="Yes",KOL_Database!$E$14&lt;&gt;Brand_Profile!$E$33),"Category is not the Preferred Category",IF(AND(Brand_Profile!$E$48&gt;0,Matching_Engine!$AL$45&gt;Brand_Profile!$E$48),"Competitor Saturation above Max Competitor Saturation",IF(AND(Brand_Profile!$E$50="Yes",KOL_Database!$AW$14="Yes"),"Already Selected",IF(AND(Brand_Profile!$E$51="Yes",KOL_Database!$AX$14="Yes"),"Already in Cart",IF(AND(Brand_Profile!$E$52="Yes",KOL_Database!$AY$14="Yes"),"Existing Partner",IF(AND(Brand_Profile!$E$53="Yes",KOL_Database!$AZ$14="Yes"),"Excluded Creator",IF(AND(Brand_Profile!$E$49&gt;0,Matching_Engine!$AP$45&lt;Brand_Profile!$E$49),"Brand Match below Minimum Brand Match","")))))))))))))))</f>
        <v/>
      </c>
      <c r="AX45" s="89" t="str">
        <f ca="1">IF(Matching_Engine!$AV$45="EXCLUDED","Excluded",IF(Matching_Engine!$AP$45&gt;=Lookup_Lists!$D$156,"Highly Recommended",IF(Matching_Engine!$AP$45&gt;=Lookup_Lists!$D$157,"Recommended",IF(Matching_Engine!$AP$45&gt;=Lookup_Lists!$D$158,"Consider","Low Priority"))))</f>
        <v>Low Priority</v>
      </c>
      <c r="AY45" s="142">
        <f ca="1">IF(Matching_Engine!$AV$45="PASS",Matching_Engine!$AP$45,"")</f>
        <v>50</v>
      </c>
      <c r="AZ45" s="89" t="str">
        <f>Matching_Engine!$A$45&amp;"|"&amp;Matching_Engine!$C$45</f>
        <v>BRAND-B|KOL-10</v>
      </c>
      <c r="BA45" s="89" t="str">
        <f>IFERROR(INDEX(Lookup_Lists!$B$51:$B$92,MATCH(Brand_Profile!$E$12,Lookup_Lists!$A$51:$A$92,0)),"")</f>
        <v>Beauty</v>
      </c>
      <c r="BB45" s="89" t="str">
        <f>IFERROR(INDEX(Lookup_Lists!$B$51:$B$92,MATCH(KOL_Database!$F$14,Lookup_Lists!$A$51:$A$92,0)),"")</f>
        <v>Education</v>
      </c>
      <c r="BC45" s="142">
        <f>IFERROR(INDEX(Lookup_Lists!$B$185:$O$198,MATCH(Matching_Engine!$BA$45,Lookup_Lists!$A$185:$A$198,0),MATCH(KOL_Database!$E$14,Lookup_Lists!$B$184:$O$184,0)),Lookup_Lists!$D$151)</f>
        <v>20</v>
      </c>
      <c r="BD45" s="142">
        <f>IFERROR(INDEX(Lookup_Lists!$B$185:$O$198,MATCH(Brand_Profile!$E$33,Lookup_Lists!$A$185:$A$198,0),MATCH(KOL_Database!$E$14,Lookup_Lists!$B$184:$O$184,0)),Lookup_Lists!$D$151)</f>
        <v>20</v>
      </c>
      <c r="BE45" s="89" t="str">
        <f>IFERROR(INDEX(Lookup_Lists!$B$51:$B$92,MATCH(Brand_Profile!$E$34,Lookup_Lists!$A$51:$A$92,0)),"")</f>
        <v>Beauty</v>
      </c>
      <c r="BF45" s="89" t="str">
        <f>KOL_Database!$AI$14&amp;", "&amp;KOL_Database!$AG$14&amp;", "&amp;KOL_Database!$F$14&amp;", "&amp;KOL_Database!$E$14</f>
        <v>Education, Travel, Productivity, Education, Travel, Productivity, Entertainment, Technology, Language, Education</v>
      </c>
      <c r="BG45" s="89" t="str">
        <f>KOL_Database!$AI$14&amp;", "&amp;KOL_Database!$AG$14</f>
        <v>Education, Travel, Productivity, Education, Travel, Productivity, Entertainment, Technology</v>
      </c>
    </row>
    <row r="46" spans="1:59">
      <c r="A46" s="101" t="s">
        <v>118</v>
      </c>
      <c r="B46" s="89" t="str">
        <f>Brand_Profile!$E$9</f>
        <v>Lumaya Skin</v>
      </c>
      <c r="C46" s="89" t="str">
        <f>KOL_Database!$A$15</f>
        <v>KOL-11</v>
      </c>
      <c r="D46" s="89" t="str">
        <f>KOL_Database!$B$15</f>
        <v>Dimas Anggara</v>
      </c>
      <c r="E46" s="89" t="str">
        <f>KOL_Database!$C$15</f>
        <v>@dimasfit</v>
      </c>
      <c r="F46" s="89" t="str">
        <f>KOL_Database!$D$15</f>
        <v>Instagram</v>
      </c>
      <c r="G46" s="89" t="str">
        <f>KOL_Database!$E$15</f>
        <v>Fitness</v>
      </c>
      <c r="H46" s="89" t="str">
        <f>KOL_Database!$G$15</f>
        <v>Macro</v>
      </c>
      <c r="I46" s="140">
        <f>KOL_Database!$J$15</f>
        <v>178000</v>
      </c>
      <c r="J46" s="141">
        <f>KOL_Database!$K$15</f>
        <v>3.9</v>
      </c>
      <c r="K46" s="142">
        <f>IFERROR(INDEX(Lookup_Lists!$B$170:$O$181,MATCH(Brand_Profile!$E$10,Lookup_Lists!$A$170:$A$181,0),MATCH(KOL_Database!$E$15,Lookup_Lists!$B$169:$O$169,0)),Lookup_Lists!$D$151)</f>
        <v>60</v>
      </c>
      <c r="L46" s="142">
        <f>IF(KOL_Database!$F$15="",Matching_Engine!$BC$46,IF(Brand_Profile!$E$12=KOL_Database!$F$15,100,IF(Matching_Engine!$BA$46=KOL_Database!$E$15,80,IF(Matching_Engine!$BC$46&gt;=80,60,IF(Matching_Engine!$BC$46&gt;=60,40,Lookup_Lists!$D$151)))))</f>
        <v>40</v>
      </c>
      <c r="M46" s="142">
        <f>ROUND((IF(Brand_Profile!$E$62=0,Lookup_Lists!$D$150,ROUND((IF(Brand_Profile!$E$57="",0,IF(ISNUMBER(SEARCH(Brand_Profile!$E$57,Matching_Engine!$BF$46)),1,0))+IF(Brand_Profile!$E$58="",0,IF(ISNUMBER(SEARCH(Brand_Profile!$E$58,Matching_Engine!$BF$46)),1,0))+IF(Brand_Profile!$E$59="",0,IF(ISNUMBER(SEARCH(Brand_Profile!$E$59,Matching_Engine!$BF$46)),1,0))+IF(Brand_Profile!$E$60="",0,IF(ISNUMBER(SEARCH(Brand_Profile!$E$60,Matching_Engine!$BF$46)),1,0))+IF(Brand_Profile!$E$61="",0,IF(ISNUMBER(SEARCH(Brand_Profile!$E$61,Matching_Engine!$BF$46)),1,0)))/Brand_Profile!$E$62*100,0))+IF(Brand_Profile!$E$74=0,Lookup_Lists!$D$150,ROUND((IF(Brand_Profile!$E$69="",0,IF(ISNUMBER(SEARCH(Brand_Profile!$E$69,Matching_Engine!$BF$46)),1,0))+IF(Brand_Profile!$E$70="",0,IF(ISNUMBER(SEARCH(Brand_Profile!$E$70,Matching_Engine!$BF$46)),1,0))+IF(Brand_Profile!$E$71="",0,IF(ISNUMBER(SEARCH(Brand_Profile!$E$71,Matching_Engine!$BF$46)),1,0))+IF(Brand_Profile!$E$72="",0,IF(ISNUMBER(SEARCH(Brand_Profile!$E$72,Matching_Engine!$BF$46)),1,0))+IF(Brand_Profile!$E$73="",0,IF(ISNUMBER(SEARCH(Brand_Profile!$E$73,Matching_Engine!$BF$46)),1,0)))/Brand_Profile!$E$74*100,0)))/2,0)</f>
        <v>40</v>
      </c>
      <c r="N46" s="142">
        <f>ROUND((Matching_Engine!$K$46*Lookup_Lists!$D$110+Matching_Engine!$L$46*Lookup_Lists!$D$111+Matching_Engine!$M$46*Lookup_Lists!$D$112)/(Lookup_Lists!$D$110+Lookup_Lists!$D$111+Lookup_Lists!$D$112),0)</f>
        <v>48</v>
      </c>
      <c r="O46" s="142">
        <f ca="1">IF(Brand_Profile!$E$16="",Lookup_Lists!$D$150,MIN(100,ROUND((IFERROR(INDEX(KOL_Database!$W$15:KOL_Database!$AA$15,1,MATCH(Brand_Profile!$E$16,Lookup_Lists!$F$6:$F$10,0)),0)+0.5*IFERROR(INDEX(KOL_Database!$W$15:KOL_Database!$AA$15,1,MATCH(Brand_Profile!$E$17,Lookup_Lists!$F$6:$F$10,0)),0))/Lookup_Lists!$D$142*100,0)))</f>
        <v>100</v>
      </c>
      <c r="P46" s="142">
        <f>IF(OR(Brand_Profile!$E$18="",Brand_Profile!$E$18="Any"),100,IF(Brand_Profile!$E$18="Female",MIN(100,ROUND(KOL_Database!$AB$15/Lookup_Lists!$D$143*100,0)),IF(Brand_Profile!$E$18="Male",MIN(100,ROUND(KOL_Database!$AC$15/Lookup_Lists!$D$143*100,0)),MAX(0,ROUND(100-ABS(KOL_Database!$AB$15-50)*2,0)))))</f>
        <v>43</v>
      </c>
      <c r="Q46" s="142">
        <f>ROUND((IF(Brand_Profile!$E$19="",100,IF(KOL_Database!$AD$15=Brand_Profile!$E$19,100,Lookup_Lists!$D$151))*Lookup_Lists!$D$118+IF(OR(Brand_Profile!$E$20="",Brand_Profile!$E$20="Nasional"),100,IF(KOL_Database!$AE$15="",Lookup_Lists!$D$150,IF(KOL_Database!$AE$15=Brand_Profile!$E$20,100,IF(KOL_Database!$AD$15=Brand_Profile!$E$19,40,Lookup_Lists!$D$151))))*Lookup_Lists!$D$119+IF(OR(Brand_Profile!$E$21="",Brand_Profile!$E$21="Nasional"),100,IF(KOL_Database!$AF$15="",Lookup_Lists!$D$150,IF(KOL_Database!$AF$15=Brand_Profile!$E$21,100,IF(KOL_Database!$AE$15=Brand_Profile!$E$20,60,Lookup_Lists!$D$151))))*Lookup_Lists!$D$120)/(Lookup_Lists!$D$118+Lookup_Lists!$D$119+Lookup_Lists!$D$120),0)</f>
        <v>100</v>
      </c>
      <c r="R46" s="142">
        <f>IF(Brand_Profile!$E$68=0,Lookup_Lists!$D$150,ROUND((IF(Brand_Profile!$E$63="",0,IF(ISNUMBER(SEARCH(Brand_Profile!$E$63,KOL_Database!$AG$15)),1,0))+IF(Brand_Profile!$E$64="",0,IF(ISNUMBER(SEARCH(Brand_Profile!$E$64,KOL_Database!$AG$15)),1,0))+IF(Brand_Profile!$E$65="",0,IF(ISNUMBER(SEARCH(Brand_Profile!$E$65,KOL_Database!$AG$15)),1,0))+IF(Brand_Profile!$E$66="",0,IF(ISNUMBER(SEARCH(Brand_Profile!$E$66,KOL_Database!$AG$15)),1,0))+IF(Brand_Profile!$E$67="",0,IF(ISNUMBER(SEARCH(Brand_Profile!$E$67,KOL_Database!$AG$15)),1,0)))/Brand_Profile!$E$68*100,0))</f>
        <v>40</v>
      </c>
      <c r="S46" s="142">
        <f ca="1">ROUND((Matching_Engine!$O$46*Brand_Profile!$E$96+Matching_Engine!$P$46*Brand_Profile!$E$97+Matching_Engine!$Q$46*Brand_Profile!$E$98+Matching_Engine!$R$46*Brand_Profile!$E$99)/MAX(1,Brand_Profile!$E$96+Brand_Profile!$E$97+Brand_Profile!$E$98+Brand_Profile!$E$99),0)</f>
        <v>69</v>
      </c>
      <c r="T46" s="142">
        <f>IF(Brand_Profile!$E$33="",Lookup_Lists!$D$150,Matching_Engine!$BD$46)</f>
        <v>60</v>
      </c>
      <c r="U46" s="142">
        <f>IF(Brand_Profile!$E$34="",Lookup_Lists!$D$150,IF(Brand_Profile!$E$34=KOL_Database!$F$15,100,IF(Matching_Engine!$BE$46=KOL_Database!$E$15,75,IF(Matching_Engine!$BD$46&gt;=80,Lookup_Lists!$D$150,IF(Matching_Engine!$BD$46&gt;=60,35,Lookup_Lists!$D$151)))))</f>
        <v>35</v>
      </c>
      <c r="V46" s="142">
        <f>IF(Brand_Profile!$E$86=0,Lookup_Lists!$D$150,ROUND((IF(Brand_Profile!$E$81="",0,IF(ISNUMBER(SEARCH(Brand_Profile!$E$81,Matching_Engine!$BG$46)),1,0))+IF(Brand_Profile!$E$82="",0,IF(ISNUMBER(SEARCH(Brand_Profile!$E$82,Matching_Engine!$BG$46)),1,0))+IF(Brand_Profile!$E$83="",0,IF(ISNUMBER(SEARCH(Brand_Profile!$E$83,Matching_Engine!$BG$46)),1,0))+IF(Brand_Profile!$E$84="",0,IF(ISNUMBER(SEARCH(Brand_Profile!$E$84,Matching_Engine!$BG$46)),1,0))+IF(Brand_Profile!$E$85="",0,IF(ISNUMBER(SEARCH(Brand_Profile!$E$85,Matching_Engine!$BG$46)),1,0)))/Brand_Profile!$E$86*100,0))</f>
        <v>40</v>
      </c>
      <c r="W46" s="142">
        <f>IF(Brand_Profile!$E$39="",Lookup_Lists!$D$150,IFERROR(INDEX(Lookup_Lists!$B$237:$K$246,MATCH(Brand_Profile!$E$39,Lookup_Lists!$A$237:$A$246,0),MATCH(KOL_Database!$AJ$15,Lookup_Lists!$B$236:$K$236,0)),45))</f>
        <v>80</v>
      </c>
      <c r="X46" s="142">
        <f>ROUND((Matching_Engine!$T$46*Lookup_Lists!$D$121+Matching_Engine!$U$46*Lookup_Lists!$D$122+Matching_Engine!$V$46*Lookup_Lists!$D$123+Matching_Engine!$W$46*Lookup_Lists!$D$124)/(Lookup_Lists!$D$121+Lookup_Lists!$D$122+Lookup_Lists!$D$123+Lookup_Lists!$D$124),0)</f>
        <v>53</v>
      </c>
      <c r="Y46" s="142">
        <f>MIN(100,MAX(IFERROR(INDEX(Lookup_Lists!$B$202:$M$211,MATCH(Brand_Profile!$E$25,Lookup_Lists!$A$202:$A$211,0),MATCH(KOL_Database!$AK$15,Lookup_Lists!$B$201:$M$201,0)),40),IF(KOL_Database!$AK$15=Brand_Profile!$E$41,95,0)))</f>
        <v>85</v>
      </c>
      <c r="Z46" s="142">
        <f>IFERROR(INDEX(Lookup_Lists!$B$215:$K$222,MATCH(Brand_Profile!$E$27,Lookup_Lists!$A$215:$A$222,0),MATCH(KOL_Database!$AJ$15,Lookup_Lists!$B$214:$K$214,0)),45)</f>
        <v>60</v>
      </c>
      <c r="AA46" s="142">
        <f>ROUND((IF(Brand_Profile!$E$80=0,Lookup_Lists!$D$150,ROUND((IF(Brand_Profile!$E$75="",0,IF(ISNUMBER(SEARCH(Brand_Profile!$E$75,KOL_Database!$AL$15)),1,0))+IF(Brand_Profile!$E$76="",0,IF(ISNUMBER(SEARCH(Brand_Profile!$E$76,KOL_Database!$AL$15)),1,0))+IF(Brand_Profile!$E$77="",0,IF(ISNUMBER(SEARCH(Brand_Profile!$E$77,KOL_Database!$AL$15)),1,0))+IF(Brand_Profile!$E$78="",0,IF(ISNUMBER(SEARCH(Brand_Profile!$E$78,KOL_Database!$AL$15)),1,0))+IF(Brand_Profile!$E$79="",0,IF(ISNUMBER(SEARCH(Brand_Profile!$E$79,KOL_Database!$AL$15)),1,0)))/Brand_Profile!$E$80*100,0))+IF(Brand_Profile!$E$92=0,Lookup_Lists!$D$150,ROUND((IF(Brand_Profile!$E$87="",0,IF(ISNUMBER(SEARCH(Brand_Profile!$E$87,KOL_Database!$AL$15)),1,0))+IF(Brand_Profile!$E$88="",0,IF(ISNUMBER(SEARCH(Brand_Profile!$E$88,KOL_Database!$AL$15)),1,0))+IF(Brand_Profile!$E$89="",0,IF(ISNUMBER(SEARCH(Brand_Profile!$E$89,KOL_Database!$AL$15)),1,0))+IF(Brand_Profile!$E$90="",0,IF(ISNUMBER(SEARCH(Brand_Profile!$E$90,KOL_Database!$AL$15)),1,0))+IF(Brand_Profile!$E$91="",0,IF(ISNUMBER(SEARCH(Brand_Profile!$E$91,KOL_Database!$AL$15)),1,0)))/Brand_Profile!$E$92*100,0)))/2,0)</f>
        <v>60</v>
      </c>
      <c r="AB46" s="142">
        <f>IFERROR(INDEX(Lookup_Lists!$B$226:$K$233,MATCH(Brand_Profile!$E$30,Lookup_Lists!$A$226:$A$233,0),MATCH(KOL_Database!$AJ$15,Lookup_Lists!$B$225:$K$225,0)),45)</f>
        <v>75</v>
      </c>
      <c r="AC46" s="142">
        <f>ROUND((Matching_Engine!$Y$46*Lookup_Lists!$D$125+Matching_Engine!$Z$46*Lookup_Lists!$D$126+Matching_Engine!$AA$46*Lookup_Lists!$D$127+Matching_Engine!$AB$46*Lookup_Lists!$D$128)/(Lookup_Lists!$D$125+Lookup_Lists!$D$126+Lookup_Lists!$D$127+Lookup_Lists!$D$128),0)</f>
        <v>71</v>
      </c>
      <c r="AD46" s="142">
        <f>IF(KOL_Database!$K$15="",0,MIN(100,ROUND(KOL_Database!$K$15/Lookup_Lists!$D$141*100,0)))</f>
        <v>65</v>
      </c>
      <c r="AE46" s="142">
        <f>IF(KOL_Database!$R$15="",0,MIN(100,MAX(0,KOL_Database!$R$15)))</f>
        <v>61</v>
      </c>
      <c r="AF46" s="142">
        <f>IF(KOL_Database!$P$15="",0,MIN(100,MAX(0,KOL_Database!$P$15)))</f>
        <v>87</v>
      </c>
      <c r="AG46" s="142">
        <f>IF(KOL_Database!$Q$15="",0,MIN(100,MAX(0,KOL_Database!$Q$15)))</f>
        <v>79</v>
      </c>
      <c r="AH46" s="142">
        <f>IF(OR(KOL_Database!$J$15="",KOL_Database!$J$15=0,KOL_Database!$L$15=""),0,MIN(100,ROUND(KOL_Database!$L$15/KOL_Database!$J$15/Lookup_Lists!$D$144*100,0)))</f>
        <v>39</v>
      </c>
      <c r="AI46" s="142">
        <f>IF(KOL_Database!$N$15="",0,MIN(100,MAX(0,ROUND((KOL_Database!$N$15+2)/(Lookup_Lists!$D$145+2)*100,0))))</f>
        <v>40</v>
      </c>
      <c r="AJ46" s="142">
        <f>ROUND((Matching_Engine!$AD$46*Lookup_Lists!$D$129+Matching_Engine!$AE$46*Lookup_Lists!$D$130+Matching_Engine!$AF$46*Lookup_Lists!$D$131+Matching_Engine!$AG$46*Lookup_Lists!$D$132+Matching_Engine!$AH$46*Lookup_Lists!$D$133+Matching_Engine!$AI$46*Lookup_Lists!$D$134)/(Lookup_Lists!$D$129+Lookup_Lists!$D$130+Lookup_Lists!$D$131+Lookup_Lists!$D$132+Lookup_Lists!$D$133+Lookup_Lists!$D$134),0)</f>
        <v>66</v>
      </c>
      <c r="AK46" s="142">
        <f>IF(KOL_Database!$AT$15="",0,MIN(100,MAX(0,KOL_Database!$AT$15)))</f>
        <v>71</v>
      </c>
      <c r="AL46" s="142">
        <f>IF(KOL_Database!$AU$15="",0,KOL_Database!$AU$15)</f>
        <v>15</v>
      </c>
      <c r="AM46" s="89" t="str">
        <f>IF(KOL_Database!$AV$15="","None",KOL_Database!$AV$15)</f>
        <v>Low</v>
      </c>
      <c r="AN46" s="143">
        <f>IF(Matching_Engine!$AM$46="High",Lookup_Lists!$D$137,IF(Matching_Engine!$AM$46="Medium",Lookup_Lists!$D$138,IF(Matching_Engine!$AM$46="Low",Lookup_Lists!$D$139,Lookup_Lists!$D$140)))</f>
        <v>0.95</v>
      </c>
      <c r="AO46" s="142">
        <f>ROUND(MIN(100,MAX(0,(Matching_Engine!$AK$46*Lookup_Lists!$D$135+(100-Matching_Engine!$AL$46)*Lookup_Lists!$D$136)/(Lookup_Lists!$D$135+Lookup_Lists!$D$136)*Matching_Engine!$AN$46)),0)</f>
        <v>70</v>
      </c>
      <c r="AP46" s="13">
        <f ca="1">ROUND((Matching_Engine!$N$46*Lookup_Lists!$D$104+Matching_Engine!$S$46*Lookup_Lists!$D$105+Matching_Engine!$X$46*Lookup_Lists!$D$106+Matching_Engine!$AC$46*Lookup_Lists!$D$107+Matching_Engine!$AJ$46*Lookup_Lists!$D$108+Matching_Engine!$AO$46*Lookup_Lists!$D$109)/MAX(1,(Lookup_Lists!$D$104+Lookup_Lists!$D$105+Lookup_Lists!$D$106+Lookup_Lists!$D$107+Lookup_Lists!$D$108+Lookup_Lists!$D$109)),0)</f>
        <v>62</v>
      </c>
      <c r="AQ46" s="89" t="str">
        <f ca="1">IF(Matching_Engine!$AP$46&gt;=Lookup_Lists!$D$152,"Excellent Match",IF(Matching_Engine!$AP$46&gt;=Lookup_Lists!$D$153,"Strong Match",IF(Matching_Engine!$AP$46&gt;=Lookup_Lists!$D$154,"Good Match",IF(Matching_Engine!$AP$46&gt;=Lookup_Lists!$D$155,"Moderate Match","Low Match"))))</f>
        <v>Moderate Match</v>
      </c>
      <c r="AR46" s="142">
        <f>KOL_Database!$BE$15</f>
        <v>100</v>
      </c>
      <c r="AS46" s="89" t="str">
        <f>IF(Matching_Engine!$AR$46&gt;=Lookup_Lists!$D$159,"High",IF(Matching_Engine!$AR$46&gt;=Lookup_Lists!$D$160,"Medium","Limited Data"))</f>
        <v>High</v>
      </c>
      <c r="AT46" s="142">
        <f>ROUND((Matching_Engine!$N$46+Matching_Engine!$X$46+Matching_Engine!$AC$46)/3,0)</f>
        <v>57</v>
      </c>
      <c r="AU46" s="142">
        <f>ROUND(((100-Matching_Engine!$AL$46)*Lookup_Lists!$D$162+IF(KOL_Database!$BD$15="",Lookup_Lists!$D$150,KOL_Database!$BD$15)*Lookup_Lists!$D$163+Matching_Engine!$AI$46*Lookup_Lists!$D$164+Matching_Engine!$AD$46*Lookup_Lists!$D$165)/(Lookup_Lists!$D$162+Lookup_Lists!$D$163+Lookup_Lists!$D$164+Lookup_Lists!$D$165),0)</f>
        <v>56</v>
      </c>
      <c r="AV46" s="89" t="str">
        <f ca="1">IF(Matching_Engine!$AW$46="","PASS","EXCLUDED")</f>
        <v>EXCLUDED</v>
      </c>
      <c r="AW46" s="89" t="str">
        <f ca="1">IF(ISERROR(SEARCH(KOL_Database!$D$15,Brand_Profile!$E$32)),"Platform not in Preferred Platform",IF(AND(Brand_Profile!$E$36&gt;0,KOL_Database!$J$15&lt;Brand_Profile!$E$36),"Followers below Preferred Follower Range",IF(AND(Brand_Profile!$E$37&gt;0,KOL_Database!$J$15&gt;Brand_Profile!$E$37),"Followers above Preferred Follower Range",IF(AND(Brand_Profile!$E$38&gt;0,IF(KOL_Database!$K$15="",0,KOL_Database!$K$15)&lt;Brand_Profile!$E$38),"Engagement Rate below Minimum Engagement Rate",IF(ISERROR(SEARCH(KOL_Database!$G$15,Brand_Profile!$E$35)),"Tier not in Preferred Tier",IF(AND(Brand_Profile!$E$43&gt;0,Matching_Engine!$AE$46&lt;Brand_Profile!$E$43),"Audience Quality below Minimum Audience Quality",IF(AND(Brand_Profile!$E$44&gt;0,Matching_Engine!$AK$46&lt;Brand_Profile!$E$44),"Brand Safety below Minimum Brand Safety",IF(AND(Brand_Profile!$E$47="Yes",KOL_Database!$AD$15&lt;&gt;Brand_Profile!$E$19),"Audience Country does not match Target Country",IF(AND(Brand_Profile!$E$46="Yes",KOL_Database!$E$15&lt;&gt;Brand_Profile!$E$33),"Category is not the Preferred Category",IF(AND(Brand_Profile!$E$48&gt;0,Matching_Engine!$AL$46&gt;Brand_Profile!$E$48),"Competitor Saturation above Max Competitor Saturation",IF(AND(Brand_Profile!$E$50="Yes",KOL_Database!$AW$15="Yes"),"Already Selected",IF(AND(Brand_Profile!$E$51="Yes",KOL_Database!$AX$15="Yes"),"Already in Cart",IF(AND(Brand_Profile!$E$52="Yes",KOL_Database!$AY$15="Yes"),"Existing Partner",IF(AND(Brand_Profile!$E$53="Yes",KOL_Database!$AZ$15="Yes"),"Excluded Creator",IF(AND(Brand_Profile!$E$49&gt;0,Matching_Engine!$AP$46&lt;Brand_Profile!$E$49),"Brand Match below Minimum Brand Match","")))))))))))))))</f>
        <v>Tier not in Preferred Tier</v>
      </c>
      <c r="AX46" s="89" t="str">
        <f ca="1">IF(Matching_Engine!$AV$46="EXCLUDED","Excluded",IF(Matching_Engine!$AP$46&gt;=Lookup_Lists!$D$156,"Highly Recommended",IF(Matching_Engine!$AP$46&gt;=Lookup_Lists!$D$157,"Recommended",IF(Matching_Engine!$AP$46&gt;=Lookup_Lists!$D$158,"Consider","Low Priority"))))</f>
        <v>Excluded</v>
      </c>
      <c r="AY46" s="142" t="str">
        <f ca="1">IF(Matching_Engine!$AV$46="PASS",Matching_Engine!$AP$46,"")</f>
        <v/>
      </c>
      <c r="AZ46" s="89" t="str">
        <f>Matching_Engine!$A$46&amp;"|"&amp;Matching_Engine!$C$46</f>
        <v>BRAND-B|KOL-11</v>
      </c>
      <c r="BA46" s="89" t="str">
        <f>IFERROR(INDEX(Lookup_Lists!$B$51:$B$92,MATCH(Brand_Profile!$E$12,Lookup_Lists!$A$51:$A$92,0)),"")</f>
        <v>Beauty</v>
      </c>
      <c r="BB46" s="89" t="str">
        <f>IFERROR(INDEX(Lookup_Lists!$B$51:$B$92,MATCH(KOL_Database!$F$15,Lookup_Lists!$A$51:$A$92,0)),"")</f>
        <v>Fitness</v>
      </c>
      <c r="BC46" s="142">
        <f>IFERROR(INDEX(Lookup_Lists!$B$185:$O$198,MATCH(Matching_Engine!$BA$46,Lookup_Lists!$A$185:$A$198,0),MATCH(KOL_Database!$E$15,Lookup_Lists!$B$184:$O$184,0)),Lookup_Lists!$D$151)</f>
        <v>60</v>
      </c>
      <c r="BD46" s="142">
        <f>IFERROR(INDEX(Lookup_Lists!$B$185:$O$198,MATCH(Brand_Profile!$E$33,Lookup_Lists!$A$185:$A$198,0),MATCH(KOL_Database!$E$15,Lookup_Lists!$B$184:$O$184,0)),Lookup_Lists!$D$151)</f>
        <v>60</v>
      </c>
      <c r="BE46" s="89" t="str">
        <f>IFERROR(INDEX(Lookup_Lists!$B$51:$B$92,MATCH(Brand_Profile!$E$34,Lookup_Lists!$A$51:$A$92,0)),"")</f>
        <v>Beauty</v>
      </c>
      <c r="BF46" s="89" t="str">
        <f>KOL_Database!$AI$15&amp;", "&amp;KOL_Database!$AG$15&amp;", "&amp;KOL_Database!$F$15&amp;", "&amp;KOL_Database!$E$15</f>
        <v>Fitness, Health, Food, Fitness, Health, Food, Fashion, Shopping, Gym &amp; Strength, Fitness</v>
      </c>
      <c r="BG46" s="89" t="str">
        <f>KOL_Database!$AI$15&amp;", "&amp;KOL_Database!$AG$15</f>
        <v>Fitness, Health, Food, Fitness, Health, Food, Fashion, Shopping</v>
      </c>
    </row>
    <row r="47" spans="1:59">
      <c r="A47" s="101" t="s">
        <v>118</v>
      </c>
      <c r="B47" s="89" t="str">
        <f>Brand_Profile!$E$9</f>
        <v>Lumaya Skin</v>
      </c>
      <c r="C47" s="89" t="str">
        <f>KOL_Database!$A$16</f>
        <v>KOL-12</v>
      </c>
      <c r="D47" s="89" t="str">
        <f>KOL_Database!$B$16</f>
        <v>Rani Kusuma</v>
      </c>
      <c r="E47" s="89" t="str">
        <f>KOL_Database!$C$16</f>
        <v>@ranihomeworkout</v>
      </c>
      <c r="F47" s="89" t="str">
        <f>KOL_Database!$D$16</f>
        <v>TikTok</v>
      </c>
      <c r="G47" s="89" t="str">
        <f>KOL_Database!$E$16</f>
        <v>Fitness</v>
      </c>
      <c r="H47" s="89" t="str">
        <f>KOL_Database!$G$16</f>
        <v>Macro</v>
      </c>
      <c r="I47" s="140">
        <f>KOL_Database!$J$16</f>
        <v>305000</v>
      </c>
      <c r="J47" s="141">
        <f>KOL_Database!$K$16</f>
        <v>6.5</v>
      </c>
      <c r="K47" s="142">
        <f>IFERROR(INDEX(Lookup_Lists!$B$170:$O$181,MATCH(Brand_Profile!$E$10,Lookup_Lists!$A$170:$A$181,0),MATCH(KOL_Database!$E$16,Lookup_Lists!$B$169:$O$169,0)),Lookup_Lists!$D$151)</f>
        <v>60</v>
      </c>
      <c r="L47" s="142">
        <f>IF(KOL_Database!$F$16="",Matching_Engine!$BC$47,IF(Brand_Profile!$E$12=KOL_Database!$F$16,100,IF(Matching_Engine!$BA$47=KOL_Database!$E$16,80,IF(Matching_Engine!$BC$47&gt;=80,60,IF(Matching_Engine!$BC$47&gt;=60,40,Lookup_Lists!$D$151)))))</f>
        <v>40</v>
      </c>
      <c r="M47" s="142">
        <f>ROUND((IF(Brand_Profile!$E$62=0,Lookup_Lists!$D$150,ROUND((IF(Brand_Profile!$E$57="",0,IF(ISNUMBER(SEARCH(Brand_Profile!$E$57,Matching_Engine!$BF$47)),1,0))+IF(Brand_Profile!$E$58="",0,IF(ISNUMBER(SEARCH(Brand_Profile!$E$58,Matching_Engine!$BF$47)),1,0))+IF(Brand_Profile!$E$59="",0,IF(ISNUMBER(SEARCH(Brand_Profile!$E$59,Matching_Engine!$BF$47)),1,0))+IF(Brand_Profile!$E$60="",0,IF(ISNUMBER(SEARCH(Brand_Profile!$E$60,Matching_Engine!$BF$47)),1,0))+IF(Brand_Profile!$E$61="",0,IF(ISNUMBER(SEARCH(Brand_Profile!$E$61,Matching_Engine!$BF$47)),1,0)))/Brand_Profile!$E$62*100,0))+IF(Brand_Profile!$E$74=0,Lookup_Lists!$D$150,ROUND((IF(Brand_Profile!$E$69="",0,IF(ISNUMBER(SEARCH(Brand_Profile!$E$69,Matching_Engine!$BF$47)),1,0))+IF(Brand_Profile!$E$70="",0,IF(ISNUMBER(SEARCH(Brand_Profile!$E$70,Matching_Engine!$BF$47)),1,0))+IF(Brand_Profile!$E$71="",0,IF(ISNUMBER(SEARCH(Brand_Profile!$E$71,Matching_Engine!$BF$47)),1,0))+IF(Brand_Profile!$E$72="",0,IF(ISNUMBER(SEARCH(Brand_Profile!$E$72,Matching_Engine!$BF$47)),1,0))+IF(Brand_Profile!$E$73="",0,IF(ISNUMBER(SEARCH(Brand_Profile!$E$73,Matching_Engine!$BF$47)),1,0)))/Brand_Profile!$E$74*100,0)))/2,0)</f>
        <v>40</v>
      </c>
      <c r="N47" s="142">
        <f>ROUND((Matching_Engine!$K$47*Lookup_Lists!$D$110+Matching_Engine!$L$47*Lookup_Lists!$D$111+Matching_Engine!$M$47*Lookup_Lists!$D$112)/(Lookup_Lists!$D$110+Lookup_Lists!$D$111+Lookup_Lists!$D$112),0)</f>
        <v>48</v>
      </c>
      <c r="O47" s="142">
        <f ca="1">IF(Brand_Profile!$E$16="",Lookup_Lists!$D$150,MIN(100,ROUND((IFERROR(INDEX(KOL_Database!$W$16:KOL_Database!$AA$16,1,MATCH(Brand_Profile!$E$16,Lookup_Lists!$F$6:$F$10,0)),0)+0.5*IFERROR(INDEX(KOL_Database!$W$16:KOL_Database!$AA$16,1,MATCH(Brand_Profile!$E$17,Lookup_Lists!$F$6:$F$10,0)),0))/Lookup_Lists!$D$142*100,0)))</f>
        <v>100</v>
      </c>
      <c r="P47" s="142">
        <f>IF(OR(Brand_Profile!$E$18="",Brand_Profile!$E$18="Any"),100,IF(Brand_Profile!$E$18="Female",MIN(100,ROUND(KOL_Database!$AB$16/Lookup_Lists!$D$143*100,0)),IF(Brand_Profile!$E$18="Male",MIN(100,ROUND(KOL_Database!$AC$16/Lookup_Lists!$D$143*100,0)),MAX(0,ROUND(100-ABS(KOL_Database!$AB$16-50)*2,0)))))</f>
        <v>100</v>
      </c>
      <c r="Q47" s="142">
        <f>ROUND((IF(Brand_Profile!$E$19="",100,IF(KOL_Database!$AD$16=Brand_Profile!$E$19,100,Lookup_Lists!$D$151))*Lookup_Lists!$D$118+IF(OR(Brand_Profile!$E$20="",Brand_Profile!$E$20="Nasional"),100,IF(KOL_Database!$AE$16="",Lookup_Lists!$D$150,IF(KOL_Database!$AE$16=Brand_Profile!$E$20,100,IF(KOL_Database!$AD$16=Brand_Profile!$E$19,40,Lookup_Lists!$D$151))))*Lookup_Lists!$D$119+IF(OR(Brand_Profile!$E$21="",Brand_Profile!$E$21="Nasional"),100,IF(KOL_Database!$AF$16="",Lookup_Lists!$D$150,IF(KOL_Database!$AF$16=Brand_Profile!$E$21,100,IF(KOL_Database!$AE$16=Brand_Profile!$E$20,60,Lookup_Lists!$D$151))))*Lookup_Lists!$D$120)/(Lookup_Lists!$D$118+Lookup_Lists!$D$119+Lookup_Lists!$D$120),0)</f>
        <v>80</v>
      </c>
      <c r="R47" s="142">
        <f>IF(Brand_Profile!$E$68=0,Lookup_Lists!$D$150,ROUND((IF(Brand_Profile!$E$63="",0,IF(ISNUMBER(SEARCH(Brand_Profile!$E$63,KOL_Database!$AG$16)),1,0))+IF(Brand_Profile!$E$64="",0,IF(ISNUMBER(SEARCH(Brand_Profile!$E$64,KOL_Database!$AG$16)),1,0))+IF(Brand_Profile!$E$65="",0,IF(ISNUMBER(SEARCH(Brand_Profile!$E$65,KOL_Database!$AG$16)),1,0))+IF(Brand_Profile!$E$66="",0,IF(ISNUMBER(SEARCH(Brand_Profile!$E$66,KOL_Database!$AG$16)),1,0))+IF(Brand_Profile!$E$67="",0,IF(ISNUMBER(SEARCH(Brand_Profile!$E$67,KOL_Database!$AG$16)),1,0)))/Brand_Profile!$E$68*100,0))</f>
        <v>20</v>
      </c>
      <c r="S47" s="142">
        <f ca="1">ROUND((Matching_Engine!$O$47*Brand_Profile!$E$96+Matching_Engine!$P$47*Brand_Profile!$E$97+Matching_Engine!$Q$47*Brand_Profile!$E$98+Matching_Engine!$R$47*Brand_Profile!$E$99)/MAX(1,Brand_Profile!$E$96+Brand_Profile!$E$97+Brand_Profile!$E$98+Brand_Profile!$E$99),0)</f>
        <v>74</v>
      </c>
      <c r="T47" s="142">
        <f>IF(Brand_Profile!$E$33="",Lookup_Lists!$D$150,Matching_Engine!$BD$47)</f>
        <v>60</v>
      </c>
      <c r="U47" s="142">
        <f>IF(Brand_Profile!$E$34="",Lookup_Lists!$D$150,IF(Brand_Profile!$E$34=KOL_Database!$F$16,100,IF(Matching_Engine!$BE$47=KOL_Database!$E$16,75,IF(Matching_Engine!$BD$47&gt;=80,Lookup_Lists!$D$150,IF(Matching_Engine!$BD$47&gt;=60,35,Lookup_Lists!$D$151)))))</f>
        <v>35</v>
      </c>
      <c r="V47" s="142">
        <f>IF(Brand_Profile!$E$86=0,Lookup_Lists!$D$150,ROUND((IF(Brand_Profile!$E$81="",0,IF(ISNUMBER(SEARCH(Brand_Profile!$E$81,Matching_Engine!$BG$47)),1,0))+IF(Brand_Profile!$E$82="",0,IF(ISNUMBER(SEARCH(Brand_Profile!$E$82,Matching_Engine!$BG$47)),1,0))+IF(Brand_Profile!$E$83="",0,IF(ISNUMBER(SEARCH(Brand_Profile!$E$83,Matching_Engine!$BG$47)),1,0))+IF(Brand_Profile!$E$84="",0,IF(ISNUMBER(SEARCH(Brand_Profile!$E$84,Matching_Engine!$BG$47)),1,0))+IF(Brand_Profile!$E$85="",0,IF(ISNUMBER(SEARCH(Brand_Profile!$E$85,Matching_Engine!$BG$47)),1,0)))/Brand_Profile!$E$86*100,0))</f>
        <v>40</v>
      </c>
      <c r="W47" s="142">
        <f>IF(Brand_Profile!$E$39="",Lookup_Lists!$D$150,IFERROR(INDEX(Lookup_Lists!$B$237:$K$246,MATCH(Brand_Profile!$E$39,Lookup_Lists!$A$237:$A$246,0),MATCH(KOL_Database!$AJ$16,Lookup_Lists!$B$236:$K$236,0)),45))</f>
        <v>80</v>
      </c>
      <c r="X47" s="142">
        <f>ROUND((Matching_Engine!$T$47*Lookup_Lists!$D$121+Matching_Engine!$U$47*Lookup_Lists!$D$122+Matching_Engine!$V$47*Lookup_Lists!$D$123+Matching_Engine!$W$47*Lookup_Lists!$D$124)/(Lookup_Lists!$D$121+Lookup_Lists!$D$122+Lookup_Lists!$D$123+Lookup_Lists!$D$124),0)</f>
        <v>53</v>
      </c>
      <c r="Y47" s="142">
        <f>MIN(100,MAX(IFERROR(INDEX(Lookup_Lists!$B$202:$M$211,MATCH(Brand_Profile!$E$25,Lookup_Lists!$A$202:$A$211,0),MATCH(KOL_Database!$AK$16,Lookup_Lists!$B$201:$M$201,0)),40),IF(KOL_Database!$AK$16=Brand_Profile!$E$41,95,0)))</f>
        <v>65</v>
      </c>
      <c r="Z47" s="142">
        <f>IFERROR(INDEX(Lookup_Lists!$B$215:$K$222,MATCH(Brand_Profile!$E$27,Lookup_Lists!$A$215:$A$222,0),MATCH(KOL_Database!$AJ$16,Lookup_Lists!$B$214:$K$214,0)),45)</f>
        <v>65</v>
      </c>
      <c r="AA47" s="142">
        <f>ROUND((IF(Brand_Profile!$E$80=0,Lookup_Lists!$D$150,ROUND((IF(Brand_Profile!$E$75="",0,IF(ISNUMBER(SEARCH(Brand_Profile!$E$75,KOL_Database!$AL$16)),1,0))+IF(Brand_Profile!$E$76="",0,IF(ISNUMBER(SEARCH(Brand_Profile!$E$76,KOL_Database!$AL$16)),1,0))+IF(Brand_Profile!$E$77="",0,IF(ISNUMBER(SEARCH(Brand_Profile!$E$77,KOL_Database!$AL$16)),1,0))+IF(Brand_Profile!$E$78="",0,IF(ISNUMBER(SEARCH(Brand_Profile!$E$78,KOL_Database!$AL$16)),1,0))+IF(Brand_Profile!$E$79="",0,IF(ISNUMBER(SEARCH(Brand_Profile!$E$79,KOL_Database!$AL$16)),1,0)))/Brand_Profile!$E$80*100,0))+IF(Brand_Profile!$E$92=0,Lookup_Lists!$D$150,ROUND((IF(Brand_Profile!$E$87="",0,IF(ISNUMBER(SEARCH(Brand_Profile!$E$87,KOL_Database!$AL$16)),1,0))+IF(Brand_Profile!$E$88="",0,IF(ISNUMBER(SEARCH(Brand_Profile!$E$88,KOL_Database!$AL$16)),1,0))+IF(Brand_Profile!$E$89="",0,IF(ISNUMBER(SEARCH(Brand_Profile!$E$89,KOL_Database!$AL$16)),1,0))+IF(Brand_Profile!$E$90="",0,IF(ISNUMBER(SEARCH(Brand_Profile!$E$90,KOL_Database!$AL$16)),1,0))+IF(Brand_Profile!$E$91="",0,IF(ISNUMBER(SEARCH(Brand_Profile!$E$91,KOL_Database!$AL$16)),1,0)))/Brand_Profile!$E$92*100,0)))/2,0)</f>
        <v>20</v>
      </c>
      <c r="AB47" s="142">
        <f>IFERROR(INDEX(Lookup_Lists!$B$226:$K$233,MATCH(Brand_Profile!$E$30,Lookup_Lists!$A$226:$A$233,0),MATCH(KOL_Database!$AJ$16,Lookup_Lists!$B$225:$K$225,0)),45)</f>
        <v>70</v>
      </c>
      <c r="AC47" s="142">
        <f>ROUND((Matching_Engine!$Y$47*Lookup_Lists!$D$125+Matching_Engine!$Z$47*Lookup_Lists!$D$126+Matching_Engine!$AA$47*Lookup_Lists!$D$127+Matching_Engine!$AB$47*Lookup_Lists!$D$128)/(Lookup_Lists!$D$125+Lookup_Lists!$D$126+Lookup_Lists!$D$127+Lookup_Lists!$D$128),0)</f>
        <v>55</v>
      </c>
      <c r="AD47" s="142">
        <f>IF(KOL_Database!$K$16="",0,MIN(100,ROUND(KOL_Database!$K$16/Lookup_Lists!$D$141*100,0)))</f>
        <v>100</v>
      </c>
      <c r="AE47" s="142">
        <f>IF(KOL_Database!$R$16="",0,MIN(100,MAX(0,KOL_Database!$R$16)))</f>
        <v>80</v>
      </c>
      <c r="AF47" s="142">
        <f>IF(KOL_Database!$P$16="",0,MIN(100,MAX(0,KOL_Database!$P$16)))</f>
        <v>86</v>
      </c>
      <c r="AG47" s="142">
        <f>IF(KOL_Database!$Q$16="",0,MIN(100,MAX(0,KOL_Database!$Q$16)))</f>
        <v>88</v>
      </c>
      <c r="AH47" s="142">
        <f>IF(OR(KOL_Database!$J$16="",KOL_Database!$J$16=0,KOL_Database!$L$16=""),0,MIN(100,ROUND(KOL_Database!$L$16/KOL_Database!$J$16/Lookup_Lists!$D$144*100,0)))</f>
        <v>100</v>
      </c>
      <c r="AI47" s="142">
        <f>IF(KOL_Database!$N$16="",0,MIN(100,MAX(0,ROUND((KOL_Database!$N$16+2)/(Lookup_Lists!$D$145+2)*100,0))))</f>
        <v>47</v>
      </c>
      <c r="AJ47" s="142">
        <f>ROUND((Matching_Engine!$AD$47*Lookup_Lists!$D$129+Matching_Engine!$AE$47*Lookup_Lists!$D$130+Matching_Engine!$AF$47*Lookup_Lists!$D$131+Matching_Engine!$AG$47*Lookup_Lists!$D$132+Matching_Engine!$AH$47*Lookup_Lists!$D$133+Matching_Engine!$AI$47*Lookup_Lists!$D$134)/(Lookup_Lists!$D$129+Lookup_Lists!$D$130+Lookup_Lists!$D$131+Lookup_Lists!$D$132+Lookup_Lists!$D$133+Lookup_Lists!$D$134),0)</f>
        <v>89</v>
      </c>
      <c r="AK47" s="142">
        <f>IF(KOL_Database!$AT$16="",0,MIN(100,MAX(0,KOL_Database!$AT$16)))</f>
        <v>88</v>
      </c>
      <c r="AL47" s="142">
        <f>IF(KOL_Database!$AU$16="",0,KOL_Database!$AU$16)</f>
        <v>49</v>
      </c>
      <c r="AM47" s="89" t="str">
        <f>IF(KOL_Database!$AV$16="","None",KOL_Database!$AV$16)</f>
        <v>None</v>
      </c>
      <c r="AN47" s="143">
        <f>IF(Matching_Engine!$AM$47="High",Lookup_Lists!$D$137,IF(Matching_Engine!$AM$47="Medium",Lookup_Lists!$D$138,IF(Matching_Engine!$AM$47="Low",Lookup_Lists!$D$139,Lookup_Lists!$D$140)))</f>
        <v>1</v>
      </c>
      <c r="AO47" s="142">
        <f>ROUND(MIN(100,MAX(0,(Matching_Engine!$AK$47*Lookup_Lists!$D$135+(100-Matching_Engine!$AL$47)*Lookup_Lists!$D$136)/(Lookup_Lists!$D$135+Lookup_Lists!$D$136)*Matching_Engine!$AN$47)),0)</f>
        <v>81</v>
      </c>
      <c r="AP47" s="13">
        <f ca="1">ROUND((Matching_Engine!$N$47*Lookup_Lists!$D$104+Matching_Engine!$S$47*Lookup_Lists!$D$105+Matching_Engine!$X$47*Lookup_Lists!$D$106+Matching_Engine!$AC$47*Lookup_Lists!$D$107+Matching_Engine!$AJ$47*Lookup_Lists!$D$108+Matching_Engine!$AO$47*Lookup_Lists!$D$109)/MAX(1,(Lookup_Lists!$D$104+Lookup_Lists!$D$105+Lookup_Lists!$D$106+Lookup_Lists!$D$107+Lookup_Lists!$D$108+Lookup_Lists!$D$109)),0)</f>
        <v>65</v>
      </c>
      <c r="AQ47" s="89" t="str">
        <f ca="1">IF(Matching_Engine!$AP$47&gt;=Lookup_Lists!$D$152,"Excellent Match",IF(Matching_Engine!$AP$47&gt;=Lookup_Lists!$D$153,"Strong Match",IF(Matching_Engine!$AP$47&gt;=Lookup_Lists!$D$154,"Good Match",IF(Matching_Engine!$AP$47&gt;=Lookup_Lists!$D$155,"Moderate Match","Low Match"))))</f>
        <v>Moderate Match</v>
      </c>
      <c r="AR47" s="142">
        <f>KOL_Database!$BE$16</f>
        <v>100</v>
      </c>
      <c r="AS47" s="89" t="str">
        <f>IF(Matching_Engine!$AR$47&gt;=Lookup_Lists!$D$159,"High",IF(Matching_Engine!$AR$47&gt;=Lookup_Lists!$D$160,"Medium","Limited Data"))</f>
        <v>High</v>
      </c>
      <c r="AT47" s="142">
        <f>ROUND((Matching_Engine!$N$47+Matching_Engine!$X$47+Matching_Engine!$AC$47)/3,0)</f>
        <v>52</v>
      </c>
      <c r="AU47" s="142">
        <f>ROUND(((100-Matching_Engine!$AL$47)*Lookup_Lists!$D$162+IF(KOL_Database!$BD$16="",Lookup_Lists!$D$150,KOL_Database!$BD$16)*Lookup_Lists!$D$163+Matching_Engine!$AI$47*Lookup_Lists!$D$164+Matching_Engine!$AD$47*Lookup_Lists!$D$165)/(Lookup_Lists!$D$162+Lookup_Lists!$D$163+Lookup_Lists!$D$164+Lookup_Lists!$D$165),0)</f>
        <v>70</v>
      </c>
      <c r="AV47" s="89" t="str">
        <f ca="1">IF(Matching_Engine!$AW$47="","PASS","EXCLUDED")</f>
        <v>EXCLUDED</v>
      </c>
      <c r="AW47" s="89" t="str">
        <f ca="1">IF(ISERROR(SEARCH(KOL_Database!$D$16,Brand_Profile!$E$32)),"Platform not in Preferred Platform",IF(AND(Brand_Profile!$E$36&gt;0,KOL_Database!$J$16&lt;Brand_Profile!$E$36),"Followers below Preferred Follower Range",IF(AND(Brand_Profile!$E$37&gt;0,KOL_Database!$J$16&gt;Brand_Profile!$E$37),"Followers above Preferred Follower Range",IF(AND(Brand_Profile!$E$38&gt;0,IF(KOL_Database!$K$16="",0,KOL_Database!$K$16)&lt;Brand_Profile!$E$38),"Engagement Rate below Minimum Engagement Rate",IF(ISERROR(SEARCH(KOL_Database!$G$16,Brand_Profile!$E$35)),"Tier not in Preferred Tier",IF(AND(Brand_Profile!$E$43&gt;0,Matching_Engine!$AE$47&lt;Brand_Profile!$E$43),"Audience Quality below Minimum Audience Quality",IF(AND(Brand_Profile!$E$44&gt;0,Matching_Engine!$AK$47&lt;Brand_Profile!$E$44),"Brand Safety below Minimum Brand Safety",IF(AND(Brand_Profile!$E$47="Yes",KOL_Database!$AD$16&lt;&gt;Brand_Profile!$E$19),"Audience Country does not match Target Country",IF(AND(Brand_Profile!$E$46="Yes",KOL_Database!$E$16&lt;&gt;Brand_Profile!$E$33),"Category is not the Preferred Category",IF(AND(Brand_Profile!$E$48&gt;0,Matching_Engine!$AL$47&gt;Brand_Profile!$E$48),"Competitor Saturation above Max Competitor Saturation",IF(AND(Brand_Profile!$E$50="Yes",KOL_Database!$AW$16="Yes"),"Already Selected",IF(AND(Brand_Profile!$E$51="Yes",KOL_Database!$AX$16="Yes"),"Already in Cart",IF(AND(Brand_Profile!$E$52="Yes",KOL_Database!$AY$16="Yes"),"Existing Partner",IF(AND(Brand_Profile!$E$53="Yes",KOL_Database!$AZ$16="Yes"),"Excluded Creator",IF(AND(Brand_Profile!$E$49&gt;0,Matching_Engine!$AP$47&lt;Brand_Profile!$E$49),"Brand Match below Minimum Brand Match","")))))))))))))))</f>
        <v>Tier not in Preferred Tier</v>
      </c>
      <c r="AX47" s="89" t="str">
        <f ca="1">IF(Matching_Engine!$AV$47="EXCLUDED","Excluded",IF(Matching_Engine!$AP$47&gt;=Lookup_Lists!$D$156,"Highly Recommended",IF(Matching_Engine!$AP$47&gt;=Lookup_Lists!$D$157,"Recommended",IF(Matching_Engine!$AP$47&gt;=Lookup_Lists!$D$158,"Consider","Low Priority"))))</f>
        <v>Excluded</v>
      </c>
      <c r="AY47" s="142" t="str">
        <f ca="1">IF(Matching_Engine!$AV$47="PASS",Matching_Engine!$AP$47,"")</f>
        <v/>
      </c>
      <c r="AZ47" s="89" t="str">
        <f>Matching_Engine!$A$47&amp;"|"&amp;Matching_Engine!$C$47</f>
        <v>BRAND-B|KOL-12</v>
      </c>
      <c r="BA47" s="89" t="str">
        <f>IFERROR(INDEX(Lookup_Lists!$B$51:$B$92,MATCH(Brand_Profile!$E$12,Lookup_Lists!$A$51:$A$92,0)),"")</f>
        <v>Beauty</v>
      </c>
      <c r="BB47" s="89" t="str">
        <f>IFERROR(INDEX(Lookup_Lists!$B$51:$B$92,MATCH(KOL_Database!$F$16,Lookup_Lists!$A$51:$A$92,0)),"")</f>
        <v>Fitness</v>
      </c>
      <c r="BC47" s="142">
        <f>IFERROR(INDEX(Lookup_Lists!$B$185:$O$198,MATCH(Matching_Engine!$BA$47,Lookup_Lists!$A$185:$A$198,0),MATCH(KOL_Database!$E$16,Lookup_Lists!$B$184:$O$184,0)),Lookup_Lists!$D$151)</f>
        <v>60</v>
      </c>
      <c r="BD47" s="142">
        <f>IFERROR(INDEX(Lookup_Lists!$B$185:$O$198,MATCH(Brand_Profile!$E$33,Lookup_Lists!$A$185:$A$198,0),MATCH(KOL_Database!$E$16,Lookup_Lists!$B$184:$O$184,0)),Lookup_Lists!$D$151)</f>
        <v>60</v>
      </c>
      <c r="BE47" s="89" t="str">
        <f>IFERROR(INDEX(Lookup_Lists!$B$51:$B$92,MATCH(Brand_Profile!$E$34,Lookup_Lists!$A$51:$A$92,0)),"")</f>
        <v>Beauty</v>
      </c>
      <c r="BF47" s="89" t="str">
        <f>KOL_Database!$AI$16&amp;", "&amp;KOL_Database!$AG$16&amp;", "&amp;KOL_Database!$F$16&amp;", "&amp;KOL_Database!$E$16</f>
        <v>Fitness, Health, Food, Fitness, Health, Food, Beauty, Parenting, Home Workout, Fitness</v>
      </c>
      <c r="BG47" s="89" t="str">
        <f>KOL_Database!$AI$16&amp;", "&amp;KOL_Database!$AG$16</f>
        <v>Fitness, Health, Food, Fitness, Health, Food, Beauty, Parenting</v>
      </c>
    </row>
    <row r="48" spans="1:59">
      <c r="A48" s="101" t="s">
        <v>118</v>
      </c>
      <c r="B48" s="89" t="str">
        <f>Brand_Profile!$E$9</f>
        <v>Lumaya Skin</v>
      </c>
      <c r="C48" s="89" t="str">
        <f>KOL_Database!$A$17</f>
        <v>KOL-13</v>
      </c>
      <c r="D48" s="89" t="str">
        <f>KOL_Database!$B$17</f>
        <v>Kevin Halim</v>
      </c>
      <c r="E48" s="89" t="str">
        <f>KOL_Database!$C$17</f>
        <v>@kevinstyleid</v>
      </c>
      <c r="F48" s="89" t="str">
        <f>KOL_Database!$D$17</f>
        <v>Instagram</v>
      </c>
      <c r="G48" s="89" t="str">
        <f>KOL_Database!$E$17</f>
        <v>Fashion</v>
      </c>
      <c r="H48" s="89" t="str">
        <f>KOL_Database!$G$17</f>
        <v>Mid-tier</v>
      </c>
      <c r="I48" s="140">
        <f>KOL_Database!$J$17</f>
        <v>96000</v>
      </c>
      <c r="J48" s="141">
        <f>KOL_Database!$K$17</f>
        <v>3.4</v>
      </c>
      <c r="K48" s="142">
        <f>IFERROR(INDEX(Lookup_Lists!$B$170:$O$181,MATCH(Brand_Profile!$E$10,Lookup_Lists!$A$170:$A$181,0),MATCH(KOL_Database!$E$17,Lookup_Lists!$B$169:$O$169,0)),Lookup_Lists!$D$151)</f>
        <v>80</v>
      </c>
      <c r="L48" s="142">
        <f>IF(KOL_Database!$F$17="",Matching_Engine!$BC$48,IF(Brand_Profile!$E$12=KOL_Database!$F$17,100,IF(Matching_Engine!$BA$48=KOL_Database!$E$17,80,IF(Matching_Engine!$BC$48&gt;=80,60,IF(Matching_Engine!$BC$48&gt;=60,40,Lookup_Lists!$D$151)))))</f>
        <v>60</v>
      </c>
      <c r="M48" s="142">
        <f>ROUND((IF(Brand_Profile!$E$62=0,Lookup_Lists!$D$150,ROUND((IF(Brand_Profile!$E$57="",0,IF(ISNUMBER(SEARCH(Brand_Profile!$E$57,Matching_Engine!$BF$48)),1,0))+IF(Brand_Profile!$E$58="",0,IF(ISNUMBER(SEARCH(Brand_Profile!$E$58,Matching_Engine!$BF$48)),1,0))+IF(Brand_Profile!$E$59="",0,IF(ISNUMBER(SEARCH(Brand_Profile!$E$59,Matching_Engine!$BF$48)),1,0))+IF(Brand_Profile!$E$60="",0,IF(ISNUMBER(SEARCH(Brand_Profile!$E$60,Matching_Engine!$BF$48)),1,0))+IF(Brand_Profile!$E$61="",0,IF(ISNUMBER(SEARCH(Brand_Profile!$E$61,Matching_Engine!$BF$48)),1,0)))/Brand_Profile!$E$62*100,0))+IF(Brand_Profile!$E$74=0,Lookup_Lists!$D$150,ROUND((IF(Brand_Profile!$E$69="",0,IF(ISNUMBER(SEARCH(Brand_Profile!$E$69,Matching_Engine!$BF$48)),1,0))+IF(Brand_Profile!$E$70="",0,IF(ISNUMBER(SEARCH(Brand_Profile!$E$70,Matching_Engine!$BF$48)),1,0))+IF(Brand_Profile!$E$71="",0,IF(ISNUMBER(SEARCH(Brand_Profile!$E$71,Matching_Engine!$BF$48)),1,0))+IF(Brand_Profile!$E$72="",0,IF(ISNUMBER(SEARCH(Brand_Profile!$E$72,Matching_Engine!$BF$48)),1,0))+IF(Brand_Profile!$E$73="",0,IF(ISNUMBER(SEARCH(Brand_Profile!$E$73,Matching_Engine!$BF$48)),1,0)))/Brand_Profile!$E$74*100,0)))/2,0)</f>
        <v>40</v>
      </c>
      <c r="N48" s="142">
        <f>ROUND((Matching_Engine!$K$48*Lookup_Lists!$D$110+Matching_Engine!$L$48*Lookup_Lists!$D$111+Matching_Engine!$M$48*Lookup_Lists!$D$112)/(Lookup_Lists!$D$110+Lookup_Lists!$D$111+Lookup_Lists!$D$112),0)</f>
        <v>62</v>
      </c>
      <c r="O48" s="142">
        <f ca="1">IF(Brand_Profile!$E$16="",Lookup_Lists!$D$150,MIN(100,ROUND((IFERROR(INDEX(KOL_Database!$W$17:KOL_Database!$AA$17,1,MATCH(Brand_Profile!$E$16,Lookup_Lists!$F$6:$F$10,0)),0)+0.5*IFERROR(INDEX(KOL_Database!$W$17:KOL_Database!$AA$17,1,MATCH(Brand_Profile!$E$17,Lookup_Lists!$F$6:$F$10,0)),0))/Lookup_Lists!$D$142*100,0)))</f>
        <v>100</v>
      </c>
      <c r="P48" s="142">
        <f>IF(OR(Brand_Profile!$E$18="",Brand_Profile!$E$18="Any"),100,IF(Brand_Profile!$E$18="Female",MIN(100,ROUND(KOL_Database!$AB$17/Lookup_Lists!$D$143*100,0)),IF(Brand_Profile!$E$18="Male",MIN(100,ROUND(KOL_Database!$AC$17/Lookup_Lists!$D$143*100,0)),MAX(0,ROUND(100-ABS(KOL_Database!$AB$17-50)*2,0)))))</f>
        <v>51</v>
      </c>
      <c r="Q48" s="142">
        <f>ROUND((IF(Brand_Profile!$E$19="",100,IF(KOL_Database!$AD$17=Brand_Profile!$E$19,100,Lookup_Lists!$D$151))*Lookup_Lists!$D$118+IF(OR(Brand_Profile!$E$20="",Brand_Profile!$E$20="Nasional"),100,IF(KOL_Database!$AE$17="",Lookup_Lists!$D$150,IF(KOL_Database!$AE$17=Brand_Profile!$E$20,100,IF(KOL_Database!$AD$17=Brand_Profile!$E$19,40,Lookup_Lists!$D$151))))*Lookup_Lists!$D$119+IF(OR(Brand_Profile!$E$21="",Brand_Profile!$E$21="Nasional"),100,IF(KOL_Database!$AF$17="",Lookup_Lists!$D$150,IF(KOL_Database!$AF$17=Brand_Profile!$E$21,100,IF(KOL_Database!$AE$17=Brand_Profile!$E$20,60,Lookup_Lists!$D$151))))*Lookup_Lists!$D$120)/(Lookup_Lists!$D$118+Lookup_Lists!$D$119+Lookup_Lists!$D$120),0)</f>
        <v>100</v>
      </c>
      <c r="R48" s="142">
        <f>IF(Brand_Profile!$E$68=0,Lookup_Lists!$D$150,ROUND((IF(Brand_Profile!$E$63="",0,IF(ISNUMBER(SEARCH(Brand_Profile!$E$63,KOL_Database!$AG$17)),1,0))+IF(Brand_Profile!$E$64="",0,IF(ISNUMBER(SEARCH(Brand_Profile!$E$64,KOL_Database!$AG$17)),1,0))+IF(Brand_Profile!$E$65="",0,IF(ISNUMBER(SEARCH(Brand_Profile!$E$65,KOL_Database!$AG$17)),1,0))+IF(Brand_Profile!$E$66="",0,IF(ISNUMBER(SEARCH(Brand_Profile!$E$66,KOL_Database!$AG$17)),1,0))+IF(Brand_Profile!$E$67="",0,IF(ISNUMBER(SEARCH(Brand_Profile!$E$67,KOL_Database!$AG$17)),1,0)))/Brand_Profile!$E$68*100,0))</f>
        <v>60</v>
      </c>
      <c r="S48" s="142">
        <f ca="1">ROUND((Matching_Engine!$O$48*Brand_Profile!$E$96+Matching_Engine!$P$48*Brand_Profile!$E$97+Matching_Engine!$Q$48*Brand_Profile!$E$98+Matching_Engine!$R$48*Brand_Profile!$E$99)/MAX(1,Brand_Profile!$E$96+Brand_Profile!$E$97+Brand_Profile!$E$98+Brand_Profile!$E$99),0)</f>
        <v>76</v>
      </c>
      <c r="T48" s="142">
        <f>IF(Brand_Profile!$E$33="",Lookup_Lists!$D$150,Matching_Engine!$BD$48)</f>
        <v>80</v>
      </c>
      <c r="U48" s="142">
        <f>IF(Brand_Profile!$E$34="",Lookup_Lists!$D$150,IF(Brand_Profile!$E$34=KOL_Database!$F$17,100,IF(Matching_Engine!$BE$48=KOL_Database!$E$17,75,IF(Matching_Engine!$BD$48&gt;=80,Lookup_Lists!$D$150,IF(Matching_Engine!$BD$48&gt;=60,35,Lookup_Lists!$D$151)))))</f>
        <v>50</v>
      </c>
      <c r="V48" s="142">
        <f>IF(Brand_Profile!$E$86=0,Lookup_Lists!$D$150,ROUND((IF(Brand_Profile!$E$81="",0,IF(ISNUMBER(SEARCH(Brand_Profile!$E$81,Matching_Engine!$BG$48)),1,0))+IF(Brand_Profile!$E$82="",0,IF(ISNUMBER(SEARCH(Brand_Profile!$E$82,Matching_Engine!$BG$48)),1,0))+IF(Brand_Profile!$E$83="",0,IF(ISNUMBER(SEARCH(Brand_Profile!$E$83,Matching_Engine!$BG$48)),1,0))+IF(Brand_Profile!$E$84="",0,IF(ISNUMBER(SEARCH(Brand_Profile!$E$84,Matching_Engine!$BG$48)),1,0))+IF(Brand_Profile!$E$85="",0,IF(ISNUMBER(SEARCH(Brand_Profile!$E$85,Matching_Engine!$BG$48)),1,0)))/Brand_Profile!$E$86*100,0))</f>
        <v>40</v>
      </c>
      <c r="W48" s="142">
        <f>IF(Brand_Profile!$E$39="",Lookup_Lists!$D$150,IFERROR(INDEX(Lookup_Lists!$B$237:$K$246,MATCH(Brand_Profile!$E$39,Lookup_Lists!$A$237:$A$246,0),MATCH(KOL_Database!$AJ$17,Lookup_Lists!$B$236:$K$236,0)),45))</f>
        <v>45</v>
      </c>
      <c r="X48" s="142">
        <f>ROUND((Matching_Engine!$T$48*Lookup_Lists!$D$121+Matching_Engine!$U$48*Lookup_Lists!$D$122+Matching_Engine!$V$48*Lookup_Lists!$D$123+Matching_Engine!$W$48*Lookup_Lists!$D$124)/(Lookup_Lists!$D$121+Lookup_Lists!$D$122+Lookup_Lists!$D$123+Lookup_Lists!$D$124),0)</f>
        <v>55</v>
      </c>
      <c r="Y48" s="142">
        <f>MIN(100,MAX(IFERROR(INDEX(Lookup_Lists!$B$202:$M$211,MATCH(Brand_Profile!$E$25,Lookup_Lists!$A$202:$A$211,0),MATCH(KOL_Database!$AK$17,Lookup_Lists!$B$201:$M$201,0)),40),IF(KOL_Database!$AK$17=Brand_Profile!$E$41,95,0)))</f>
        <v>65</v>
      </c>
      <c r="Z48" s="142">
        <f>IFERROR(INDEX(Lookup_Lists!$B$215:$K$222,MATCH(Brand_Profile!$E$27,Lookup_Lists!$A$215:$A$222,0),MATCH(KOL_Database!$AJ$17,Lookup_Lists!$B$214:$K$214,0)),45)</f>
        <v>95</v>
      </c>
      <c r="AA48" s="142">
        <f>ROUND((IF(Brand_Profile!$E$80=0,Lookup_Lists!$D$150,ROUND((IF(Brand_Profile!$E$75="",0,IF(ISNUMBER(SEARCH(Brand_Profile!$E$75,KOL_Database!$AL$17)),1,0))+IF(Brand_Profile!$E$76="",0,IF(ISNUMBER(SEARCH(Brand_Profile!$E$76,KOL_Database!$AL$17)),1,0))+IF(Brand_Profile!$E$77="",0,IF(ISNUMBER(SEARCH(Brand_Profile!$E$77,KOL_Database!$AL$17)),1,0))+IF(Brand_Profile!$E$78="",0,IF(ISNUMBER(SEARCH(Brand_Profile!$E$78,KOL_Database!$AL$17)),1,0))+IF(Brand_Profile!$E$79="",0,IF(ISNUMBER(SEARCH(Brand_Profile!$E$79,KOL_Database!$AL$17)),1,0)))/Brand_Profile!$E$80*100,0))+IF(Brand_Profile!$E$92=0,Lookup_Lists!$D$150,ROUND((IF(Brand_Profile!$E$87="",0,IF(ISNUMBER(SEARCH(Brand_Profile!$E$87,KOL_Database!$AL$17)),1,0))+IF(Brand_Profile!$E$88="",0,IF(ISNUMBER(SEARCH(Brand_Profile!$E$88,KOL_Database!$AL$17)),1,0))+IF(Brand_Profile!$E$89="",0,IF(ISNUMBER(SEARCH(Brand_Profile!$E$89,KOL_Database!$AL$17)),1,0))+IF(Brand_Profile!$E$90="",0,IF(ISNUMBER(SEARCH(Brand_Profile!$E$90,KOL_Database!$AL$17)),1,0))+IF(Brand_Profile!$E$91="",0,IF(ISNUMBER(SEARCH(Brand_Profile!$E$91,KOL_Database!$AL$17)),1,0)))/Brand_Profile!$E$92*100,0)))/2,0)</f>
        <v>60</v>
      </c>
      <c r="AB48" s="142">
        <f>IFERROR(INDEX(Lookup_Lists!$B$226:$K$233,MATCH(Brand_Profile!$E$30,Lookup_Lists!$A$226:$A$233,0),MATCH(KOL_Database!$AJ$17,Lookup_Lists!$B$225:$K$225,0)),45)</f>
        <v>100</v>
      </c>
      <c r="AC48" s="142">
        <f>ROUND((Matching_Engine!$Y$48*Lookup_Lists!$D$125+Matching_Engine!$Z$48*Lookup_Lists!$D$126+Matching_Engine!$AA$48*Lookup_Lists!$D$127+Matching_Engine!$AB$48*Lookup_Lists!$D$128)/(Lookup_Lists!$D$125+Lookup_Lists!$D$126+Lookup_Lists!$D$127+Lookup_Lists!$D$128),0)</f>
        <v>77</v>
      </c>
      <c r="AD48" s="142">
        <f>IF(KOL_Database!$K$17="",0,MIN(100,ROUND(KOL_Database!$K$17/Lookup_Lists!$D$141*100,0)))</f>
        <v>57</v>
      </c>
      <c r="AE48" s="142">
        <f>IF(KOL_Database!$R$17="",0,MIN(100,MAX(0,KOL_Database!$R$17)))</f>
        <v>86</v>
      </c>
      <c r="AF48" s="142">
        <f>IF(KOL_Database!$P$17="",0,MIN(100,MAX(0,KOL_Database!$P$17)))</f>
        <v>64</v>
      </c>
      <c r="AG48" s="142">
        <f>IF(KOL_Database!$Q$17="",0,MIN(100,MAX(0,KOL_Database!$Q$17)))</f>
        <v>64</v>
      </c>
      <c r="AH48" s="142">
        <f>IF(OR(KOL_Database!$J$17="",KOL_Database!$J$17=0,KOL_Database!$L$17=""),0,MIN(100,ROUND(KOL_Database!$L$17/KOL_Database!$J$17/Lookup_Lists!$D$144*100,0)))</f>
        <v>70</v>
      </c>
      <c r="AI48" s="142">
        <f>IF(KOL_Database!$N$17="",0,MIN(100,MAX(0,ROUND((KOL_Database!$N$17+2)/(Lookup_Lists!$D$145+2)*100,0))))</f>
        <v>75</v>
      </c>
      <c r="AJ48" s="142">
        <f>ROUND((Matching_Engine!$AD$48*Lookup_Lists!$D$129+Matching_Engine!$AE$48*Lookup_Lists!$D$130+Matching_Engine!$AF$48*Lookup_Lists!$D$131+Matching_Engine!$AG$48*Lookup_Lists!$D$132+Matching_Engine!$AH$48*Lookup_Lists!$D$133+Matching_Engine!$AI$48*Lookup_Lists!$D$134)/(Lookup_Lists!$D$129+Lookup_Lists!$D$130+Lookup_Lists!$D$131+Lookup_Lists!$D$132+Lookup_Lists!$D$133+Lookup_Lists!$D$134),0)</f>
        <v>67</v>
      </c>
      <c r="AK48" s="142">
        <f>IF(KOL_Database!$AT$17="",0,MIN(100,MAX(0,KOL_Database!$AT$17)))</f>
        <v>89</v>
      </c>
      <c r="AL48" s="142">
        <f>IF(KOL_Database!$AU$17="",0,KOL_Database!$AU$17)</f>
        <v>54</v>
      </c>
      <c r="AM48" s="89" t="str">
        <f>IF(KOL_Database!$AV$17="","None",KOL_Database!$AV$17)</f>
        <v>None</v>
      </c>
      <c r="AN48" s="143">
        <f>IF(Matching_Engine!$AM$48="High",Lookup_Lists!$D$137,IF(Matching_Engine!$AM$48="Medium",Lookup_Lists!$D$138,IF(Matching_Engine!$AM$48="Low",Lookup_Lists!$D$139,Lookup_Lists!$D$140)))</f>
        <v>1</v>
      </c>
      <c r="AO48" s="142">
        <f>ROUND(MIN(100,MAX(0,(Matching_Engine!$AK$48*Lookup_Lists!$D$135+(100-Matching_Engine!$AL$48)*Lookup_Lists!$D$136)/(Lookup_Lists!$D$135+Lookup_Lists!$D$136)*Matching_Engine!$AN$48)),0)</f>
        <v>80</v>
      </c>
      <c r="AP48" s="13">
        <f ca="1">ROUND((Matching_Engine!$N$48*Lookup_Lists!$D$104+Matching_Engine!$S$48*Lookup_Lists!$D$105+Matching_Engine!$X$48*Lookup_Lists!$D$106+Matching_Engine!$AC$48*Lookup_Lists!$D$107+Matching_Engine!$AJ$48*Lookup_Lists!$D$108+Matching_Engine!$AO$48*Lookup_Lists!$D$109)/MAX(1,(Lookup_Lists!$D$104+Lookup_Lists!$D$105+Lookup_Lists!$D$106+Lookup_Lists!$D$107+Lookup_Lists!$D$108+Lookup_Lists!$D$109)),0)</f>
        <v>69</v>
      </c>
      <c r="AQ48" s="89" t="str">
        <f ca="1">IF(Matching_Engine!$AP$48&gt;=Lookup_Lists!$D$152,"Excellent Match",IF(Matching_Engine!$AP$48&gt;=Lookup_Lists!$D$153,"Strong Match",IF(Matching_Engine!$AP$48&gt;=Lookup_Lists!$D$154,"Good Match",IF(Matching_Engine!$AP$48&gt;=Lookup_Lists!$D$155,"Moderate Match","Low Match"))))</f>
        <v>Moderate Match</v>
      </c>
      <c r="AR48" s="142">
        <f>KOL_Database!$BE$17</f>
        <v>100</v>
      </c>
      <c r="AS48" s="89" t="str">
        <f>IF(Matching_Engine!$AR$48&gt;=Lookup_Lists!$D$159,"High",IF(Matching_Engine!$AR$48&gt;=Lookup_Lists!$D$160,"Medium","Limited Data"))</f>
        <v>High</v>
      </c>
      <c r="AT48" s="142">
        <f>ROUND((Matching_Engine!$N$48+Matching_Engine!$X$48+Matching_Engine!$AC$48)/3,0)</f>
        <v>65</v>
      </c>
      <c r="AU48" s="142">
        <f>ROUND(((100-Matching_Engine!$AL$48)*Lookup_Lists!$D$162+IF(KOL_Database!$BD$17="",Lookup_Lists!$D$150,KOL_Database!$BD$17)*Lookup_Lists!$D$163+Matching_Engine!$AI$48*Lookup_Lists!$D$164+Matching_Engine!$AD$48*Lookup_Lists!$D$165)/(Lookup_Lists!$D$162+Lookup_Lists!$D$163+Lookup_Lists!$D$164+Lookup_Lists!$D$165),0)</f>
        <v>51</v>
      </c>
      <c r="AV48" s="89" t="str">
        <f ca="1">IF(Matching_Engine!$AW$48="","PASS","EXCLUDED")</f>
        <v>PASS</v>
      </c>
      <c r="AW48" s="89" t="str">
        <f ca="1">IF(ISERROR(SEARCH(KOL_Database!$D$17,Brand_Profile!$E$32)),"Platform not in Preferred Platform",IF(AND(Brand_Profile!$E$36&gt;0,KOL_Database!$J$17&lt;Brand_Profile!$E$36),"Followers below Preferred Follower Range",IF(AND(Brand_Profile!$E$37&gt;0,KOL_Database!$J$17&gt;Brand_Profile!$E$37),"Followers above Preferred Follower Range",IF(AND(Brand_Profile!$E$38&gt;0,IF(KOL_Database!$K$17="",0,KOL_Database!$K$17)&lt;Brand_Profile!$E$38),"Engagement Rate below Minimum Engagement Rate",IF(ISERROR(SEARCH(KOL_Database!$G$17,Brand_Profile!$E$35)),"Tier not in Preferred Tier",IF(AND(Brand_Profile!$E$43&gt;0,Matching_Engine!$AE$48&lt;Brand_Profile!$E$43),"Audience Quality below Minimum Audience Quality",IF(AND(Brand_Profile!$E$44&gt;0,Matching_Engine!$AK$48&lt;Brand_Profile!$E$44),"Brand Safety below Minimum Brand Safety",IF(AND(Brand_Profile!$E$47="Yes",KOL_Database!$AD$17&lt;&gt;Brand_Profile!$E$19),"Audience Country does not match Target Country",IF(AND(Brand_Profile!$E$46="Yes",KOL_Database!$E$17&lt;&gt;Brand_Profile!$E$33),"Category is not the Preferred Category",IF(AND(Brand_Profile!$E$48&gt;0,Matching_Engine!$AL$48&gt;Brand_Profile!$E$48),"Competitor Saturation above Max Competitor Saturation",IF(AND(Brand_Profile!$E$50="Yes",KOL_Database!$AW$17="Yes"),"Already Selected",IF(AND(Brand_Profile!$E$51="Yes",KOL_Database!$AX$17="Yes"),"Already in Cart",IF(AND(Brand_Profile!$E$52="Yes",KOL_Database!$AY$17="Yes"),"Existing Partner",IF(AND(Brand_Profile!$E$53="Yes",KOL_Database!$AZ$17="Yes"),"Excluded Creator",IF(AND(Brand_Profile!$E$49&gt;0,Matching_Engine!$AP$48&lt;Brand_Profile!$E$49),"Brand Match below Minimum Brand Match","")))))))))))))))</f>
        <v/>
      </c>
      <c r="AX48" s="89" t="str">
        <f ca="1">IF(Matching_Engine!$AV$48="EXCLUDED","Excluded",IF(Matching_Engine!$AP$48&gt;=Lookup_Lists!$D$156,"Highly Recommended",IF(Matching_Engine!$AP$48&gt;=Lookup_Lists!$D$157,"Recommended",IF(Matching_Engine!$AP$48&gt;=Lookup_Lists!$D$158,"Consider","Low Priority"))))</f>
        <v>Consider</v>
      </c>
      <c r="AY48" s="142">
        <f ca="1">IF(Matching_Engine!$AV$48="PASS",Matching_Engine!$AP$48,"")</f>
        <v>69</v>
      </c>
      <c r="AZ48" s="89" t="str">
        <f>Matching_Engine!$A$48&amp;"|"&amp;Matching_Engine!$C$48</f>
        <v>BRAND-B|KOL-13</v>
      </c>
      <c r="BA48" s="89" t="str">
        <f>IFERROR(INDEX(Lookup_Lists!$B$51:$B$92,MATCH(Brand_Profile!$E$12,Lookup_Lists!$A$51:$A$92,0)),"")</f>
        <v>Beauty</v>
      </c>
      <c r="BB48" s="89" t="str">
        <f>IFERROR(INDEX(Lookup_Lists!$B$51:$B$92,MATCH(KOL_Database!$F$17,Lookup_Lists!$A$51:$A$92,0)),"")</f>
        <v>Fashion</v>
      </c>
      <c r="BC48" s="142">
        <f>IFERROR(INDEX(Lookup_Lists!$B$185:$O$198,MATCH(Matching_Engine!$BA$48,Lookup_Lists!$A$185:$A$198,0),MATCH(KOL_Database!$E$17,Lookup_Lists!$B$184:$O$184,0)),Lookup_Lists!$D$151)</f>
        <v>80</v>
      </c>
      <c r="BD48" s="142">
        <f>IFERROR(INDEX(Lookup_Lists!$B$185:$O$198,MATCH(Brand_Profile!$E$33,Lookup_Lists!$A$185:$A$198,0),MATCH(KOL_Database!$E$17,Lookup_Lists!$B$184:$O$184,0)),Lookup_Lists!$D$151)</f>
        <v>80</v>
      </c>
      <c r="BE48" s="89" t="str">
        <f>IFERROR(INDEX(Lookup_Lists!$B$51:$B$92,MATCH(Brand_Profile!$E$34,Lookup_Lists!$A$51:$A$92,0)),"")</f>
        <v>Beauty</v>
      </c>
      <c r="BF48" s="89" t="str">
        <f>KOL_Database!$AI$17&amp;", "&amp;KOL_Database!$AG$17&amp;", "&amp;KOL_Database!$F$17&amp;", "&amp;KOL_Database!$E$17</f>
        <v>Fashion, Shopping, Music, Fashion, Shopping, Music, Entertainment, Beauty, Streetwear, Fashion</v>
      </c>
      <c r="BG48" s="89" t="str">
        <f>KOL_Database!$AI$17&amp;", "&amp;KOL_Database!$AG$17</f>
        <v>Fashion, Shopping, Music, Fashion, Shopping, Music, Entertainment, Beauty</v>
      </c>
    </row>
    <row r="49" spans="1:59">
      <c r="A49" s="101" t="s">
        <v>118</v>
      </c>
      <c r="B49" s="89" t="str">
        <f>Brand_Profile!$E$9</f>
        <v>Lumaya Skin</v>
      </c>
      <c r="C49" s="89" t="str">
        <f>KOL_Database!$A$18</f>
        <v>KOL-14</v>
      </c>
      <c r="D49" s="89" t="str">
        <f>KOL_Database!$B$18</f>
        <v>Zahra Amelia</v>
      </c>
      <c r="E49" s="89" t="str">
        <f>KOL_Database!$C$18</f>
        <v>@zahrahijabstyle</v>
      </c>
      <c r="F49" s="89" t="str">
        <f>KOL_Database!$D$18</f>
        <v>Instagram</v>
      </c>
      <c r="G49" s="89" t="str">
        <f>KOL_Database!$E$18</f>
        <v>Fashion</v>
      </c>
      <c r="H49" s="89" t="str">
        <f>KOL_Database!$G$18</f>
        <v>Macro</v>
      </c>
      <c r="I49" s="140">
        <f>KOL_Database!$J$18</f>
        <v>268000</v>
      </c>
      <c r="J49" s="141">
        <f>KOL_Database!$K$18</f>
        <v>4.7</v>
      </c>
      <c r="K49" s="142">
        <f>IFERROR(INDEX(Lookup_Lists!$B$170:$O$181,MATCH(Brand_Profile!$E$10,Lookup_Lists!$A$170:$A$181,0),MATCH(KOL_Database!$E$18,Lookup_Lists!$B$169:$O$169,0)),Lookup_Lists!$D$151)</f>
        <v>80</v>
      </c>
      <c r="L49" s="142">
        <f>IF(KOL_Database!$F$18="",Matching_Engine!$BC$49,IF(Brand_Profile!$E$12=KOL_Database!$F$18,100,IF(Matching_Engine!$BA$49=KOL_Database!$E$18,80,IF(Matching_Engine!$BC$49&gt;=80,60,IF(Matching_Engine!$BC$49&gt;=60,40,Lookup_Lists!$D$151)))))</f>
        <v>60</v>
      </c>
      <c r="M49" s="142">
        <f>ROUND((IF(Brand_Profile!$E$62=0,Lookup_Lists!$D$150,ROUND((IF(Brand_Profile!$E$57="",0,IF(ISNUMBER(SEARCH(Brand_Profile!$E$57,Matching_Engine!$BF$49)),1,0))+IF(Brand_Profile!$E$58="",0,IF(ISNUMBER(SEARCH(Brand_Profile!$E$58,Matching_Engine!$BF$49)),1,0))+IF(Brand_Profile!$E$59="",0,IF(ISNUMBER(SEARCH(Brand_Profile!$E$59,Matching_Engine!$BF$49)),1,0))+IF(Brand_Profile!$E$60="",0,IF(ISNUMBER(SEARCH(Brand_Profile!$E$60,Matching_Engine!$BF$49)),1,0))+IF(Brand_Profile!$E$61="",0,IF(ISNUMBER(SEARCH(Brand_Profile!$E$61,Matching_Engine!$BF$49)),1,0)))/Brand_Profile!$E$62*100,0))+IF(Brand_Profile!$E$74=0,Lookup_Lists!$D$150,ROUND((IF(Brand_Profile!$E$69="",0,IF(ISNUMBER(SEARCH(Brand_Profile!$E$69,Matching_Engine!$BF$49)),1,0))+IF(Brand_Profile!$E$70="",0,IF(ISNUMBER(SEARCH(Brand_Profile!$E$70,Matching_Engine!$BF$49)),1,0))+IF(Brand_Profile!$E$71="",0,IF(ISNUMBER(SEARCH(Brand_Profile!$E$71,Matching_Engine!$BF$49)),1,0))+IF(Brand_Profile!$E$72="",0,IF(ISNUMBER(SEARCH(Brand_Profile!$E$72,Matching_Engine!$BF$49)),1,0))+IF(Brand_Profile!$E$73="",0,IF(ISNUMBER(SEARCH(Brand_Profile!$E$73,Matching_Engine!$BF$49)),1,0)))/Brand_Profile!$E$74*100,0)))/2,0)</f>
        <v>60</v>
      </c>
      <c r="N49" s="142">
        <f>ROUND((Matching_Engine!$K$49*Lookup_Lists!$D$110+Matching_Engine!$L$49*Lookup_Lists!$D$111+Matching_Engine!$M$49*Lookup_Lists!$D$112)/(Lookup_Lists!$D$110+Lookup_Lists!$D$111+Lookup_Lists!$D$112),0)</f>
        <v>68</v>
      </c>
      <c r="O49" s="142">
        <f ca="1">IF(Brand_Profile!$E$16="",Lookup_Lists!$D$150,MIN(100,ROUND((IFERROR(INDEX(KOL_Database!$W$18:KOL_Database!$AA$18,1,MATCH(Brand_Profile!$E$16,Lookup_Lists!$F$6:$F$10,0)),0)+0.5*IFERROR(INDEX(KOL_Database!$W$18:KOL_Database!$AA$18,1,MATCH(Brand_Profile!$E$17,Lookup_Lists!$F$6:$F$10,0)),0))/Lookup_Lists!$D$142*100,0)))</f>
        <v>100</v>
      </c>
      <c r="P49" s="142">
        <f>IF(OR(Brand_Profile!$E$18="",Brand_Profile!$E$18="Any"),100,IF(Brand_Profile!$E$18="Female",MIN(100,ROUND(KOL_Database!$AB$18/Lookup_Lists!$D$143*100,0)),IF(Brand_Profile!$E$18="Male",MIN(100,ROUND(KOL_Database!$AC$18/Lookup_Lists!$D$143*100,0)),MAX(0,ROUND(100-ABS(KOL_Database!$AB$18-50)*2,0)))))</f>
        <v>100</v>
      </c>
      <c r="Q49" s="142">
        <f>ROUND((IF(Brand_Profile!$E$19="",100,IF(KOL_Database!$AD$18=Brand_Profile!$E$19,100,Lookup_Lists!$D$151))*Lookup_Lists!$D$118+IF(OR(Brand_Profile!$E$20="",Brand_Profile!$E$20="Nasional"),100,IF(KOL_Database!$AE$18="",Lookup_Lists!$D$150,IF(KOL_Database!$AE$18=Brand_Profile!$E$20,100,IF(KOL_Database!$AD$18=Brand_Profile!$E$19,40,Lookup_Lists!$D$151))))*Lookup_Lists!$D$119+IF(OR(Brand_Profile!$E$21="",Brand_Profile!$E$21="Nasional"),100,IF(KOL_Database!$AF$18="",Lookup_Lists!$D$150,IF(KOL_Database!$AF$18=Brand_Profile!$E$21,100,IF(KOL_Database!$AE$18=Brand_Profile!$E$20,60,Lookup_Lists!$D$151))))*Lookup_Lists!$D$120)/(Lookup_Lists!$D$118+Lookup_Lists!$D$119+Lookup_Lists!$D$120),0)</f>
        <v>80</v>
      </c>
      <c r="R49" s="142">
        <f>IF(Brand_Profile!$E$68=0,Lookup_Lists!$D$150,ROUND((IF(Brand_Profile!$E$63="",0,IF(ISNUMBER(SEARCH(Brand_Profile!$E$63,KOL_Database!$AG$18)),1,0))+IF(Brand_Profile!$E$64="",0,IF(ISNUMBER(SEARCH(Brand_Profile!$E$64,KOL_Database!$AG$18)),1,0))+IF(Brand_Profile!$E$65="",0,IF(ISNUMBER(SEARCH(Brand_Profile!$E$65,KOL_Database!$AG$18)),1,0))+IF(Brand_Profile!$E$66="",0,IF(ISNUMBER(SEARCH(Brand_Profile!$E$66,KOL_Database!$AG$18)),1,0))+IF(Brand_Profile!$E$67="",0,IF(ISNUMBER(SEARCH(Brand_Profile!$E$67,KOL_Database!$AG$18)),1,0)))/Brand_Profile!$E$68*100,0))</f>
        <v>80</v>
      </c>
      <c r="S49" s="142">
        <f ca="1">ROUND((Matching_Engine!$O$49*Brand_Profile!$E$96+Matching_Engine!$P$49*Brand_Profile!$E$97+Matching_Engine!$Q$49*Brand_Profile!$E$98+Matching_Engine!$R$49*Brand_Profile!$E$99)/MAX(1,Brand_Profile!$E$96+Brand_Profile!$E$97+Brand_Profile!$E$98+Brand_Profile!$E$99),0)</f>
        <v>90</v>
      </c>
      <c r="T49" s="142">
        <f>IF(Brand_Profile!$E$33="",Lookup_Lists!$D$150,Matching_Engine!$BD$49)</f>
        <v>80</v>
      </c>
      <c r="U49" s="142">
        <f>IF(Brand_Profile!$E$34="",Lookup_Lists!$D$150,IF(Brand_Profile!$E$34=KOL_Database!$F$18,100,IF(Matching_Engine!$BE$49=KOL_Database!$E$18,75,IF(Matching_Engine!$BD$49&gt;=80,Lookup_Lists!$D$150,IF(Matching_Engine!$BD$49&gt;=60,35,Lookup_Lists!$D$151)))))</f>
        <v>50</v>
      </c>
      <c r="V49" s="142">
        <f>IF(Brand_Profile!$E$86=0,Lookup_Lists!$D$150,ROUND((IF(Brand_Profile!$E$81="",0,IF(ISNUMBER(SEARCH(Brand_Profile!$E$81,Matching_Engine!$BG$49)),1,0))+IF(Brand_Profile!$E$82="",0,IF(ISNUMBER(SEARCH(Brand_Profile!$E$82,Matching_Engine!$BG$49)),1,0))+IF(Brand_Profile!$E$83="",0,IF(ISNUMBER(SEARCH(Brand_Profile!$E$83,Matching_Engine!$BG$49)),1,0))+IF(Brand_Profile!$E$84="",0,IF(ISNUMBER(SEARCH(Brand_Profile!$E$84,Matching_Engine!$BG$49)),1,0))+IF(Brand_Profile!$E$85="",0,IF(ISNUMBER(SEARCH(Brand_Profile!$E$85,Matching_Engine!$BG$49)),1,0)))/Brand_Profile!$E$86*100,0))</f>
        <v>60</v>
      </c>
      <c r="W49" s="142">
        <f>IF(Brand_Profile!$E$39="",Lookup_Lists!$D$150,IFERROR(INDEX(Lookup_Lists!$B$237:$K$246,MATCH(Brand_Profile!$E$39,Lookup_Lists!$A$237:$A$246,0),MATCH(KOL_Database!$AJ$18,Lookup_Lists!$B$236:$K$236,0)),45))</f>
        <v>45</v>
      </c>
      <c r="X49" s="142">
        <f>ROUND((Matching_Engine!$T$49*Lookup_Lists!$D$121+Matching_Engine!$U$49*Lookup_Lists!$D$122+Matching_Engine!$V$49*Lookup_Lists!$D$123+Matching_Engine!$W$49*Lookup_Lists!$D$124)/(Lookup_Lists!$D$121+Lookup_Lists!$D$122+Lookup_Lists!$D$123+Lookup_Lists!$D$124),0)</f>
        <v>61</v>
      </c>
      <c r="Y49" s="142">
        <f>MIN(100,MAX(IFERROR(INDEX(Lookup_Lists!$B$202:$M$211,MATCH(Brand_Profile!$E$25,Lookup_Lists!$A$202:$A$211,0),MATCH(KOL_Database!$AK$18,Lookup_Lists!$B$201:$M$201,0)),40),IF(KOL_Database!$AK$18=Brand_Profile!$E$41,95,0)))</f>
        <v>100</v>
      </c>
      <c r="Z49" s="142">
        <f>IFERROR(INDEX(Lookup_Lists!$B$215:$K$222,MATCH(Brand_Profile!$E$27,Lookup_Lists!$A$215:$A$222,0),MATCH(KOL_Database!$AJ$18,Lookup_Lists!$B$214:$K$214,0)),45)</f>
        <v>95</v>
      </c>
      <c r="AA49" s="142">
        <f>ROUND((IF(Brand_Profile!$E$80=0,Lookup_Lists!$D$150,ROUND((IF(Brand_Profile!$E$75="",0,IF(ISNUMBER(SEARCH(Brand_Profile!$E$75,KOL_Database!$AL$18)),1,0))+IF(Brand_Profile!$E$76="",0,IF(ISNUMBER(SEARCH(Brand_Profile!$E$76,KOL_Database!$AL$18)),1,0))+IF(Brand_Profile!$E$77="",0,IF(ISNUMBER(SEARCH(Brand_Profile!$E$77,KOL_Database!$AL$18)),1,0))+IF(Brand_Profile!$E$78="",0,IF(ISNUMBER(SEARCH(Brand_Profile!$E$78,KOL_Database!$AL$18)),1,0))+IF(Brand_Profile!$E$79="",0,IF(ISNUMBER(SEARCH(Brand_Profile!$E$79,KOL_Database!$AL$18)),1,0)))/Brand_Profile!$E$80*100,0))+IF(Brand_Profile!$E$92=0,Lookup_Lists!$D$150,ROUND((IF(Brand_Profile!$E$87="",0,IF(ISNUMBER(SEARCH(Brand_Profile!$E$87,KOL_Database!$AL$18)),1,0))+IF(Brand_Profile!$E$88="",0,IF(ISNUMBER(SEARCH(Brand_Profile!$E$88,KOL_Database!$AL$18)),1,0))+IF(Brand_Profile!$E$89="",0,IF(ISNUMBER(SEARCH(Brand_Profile!$E$89,KOL_Database!$AL$18)),1,0))+IF(Brand_Profile!$E$90="",0,IF(ISNUMBER(SEARCH(Brand_Profile!$E$90,KOL_Database!$AL$18)),1,0))+IF(Brand_Profile!$E$91="",0,IF(ISNUMBER(SEARCH(Brand_Profile!$E$91,KOL_Database!$AL$18)),1,0)))/Brand_Profile!$E$92*100,0)))/2,0)</f>
        <v>80</v>
      </c>
      <c r="AB49" s="142">
        <f>IFERROR(INDEX(Lookup_Lists!$B$226:$K$233,MATCH(Brand_Profile!$E$30,Lookup_Lists!$A$226:$A$233,0),MATCH(KOL_Database!$AJ$18,Lookup_Lists!$B$225:$K$225,0)),45)</f>
        <v>100</v>
      </c>
      <c r="AC49" s="142">
        <f>ROUND((Matching_Engine!$Y$49*Lookup_Lists!$D$125+Matching_Engine!$Z$49*Lookup_Lists!$D$126+Matching_Engine!$AA$49*Lookup_Lists!$D$127+Matching_Engine!$AB$49*Lookup_Lists!$D$128)/(Lookup_Lists!$D$125+Lookup_Lists!$D$126+Lookup_Lists!$D$127+Lookup_Lists!$D$128),0)</f>
        <v>94</v>
      </c>
      <c r="AD49" s="142">
        <f>IF(KOL_Database!$K$18="",0,MIN(100,ROUND(KOL_Database!$K$18/Lookup_Lists!$D$141*100,0)))</f>
        <v>78</v>
      </c>
      <c r="AE49" s="142">
        <f>IF(KOL_Database!$R$18="",0,MIN(100,MAX(0,KOL_Database!$R$18)))</f>
        <v>62</v>
      </c>
      <c r="AF49" s="142">
        <f>IF(KOL_Database!$P$18="",0,MIN(100,MAX(0,KOL_Database!$P$18)))</f>
        <v>93</v>
      </c>
      <c r="AG49" s="142">
        <f>IF(KOL_Database!$Q$18="",0,MIN(100,MAX(0,KOL_Database!$Q$18)))</f>
        <v>92</v>
      </c>
      <c r="AH49" s="142">
        <f>IF(OR(KOL_Database!$J$18="",KOL_Database!$J$18=0,KOL_Database!$L$18=""),0,MIN(100,ROUND(KOL_Database!$L$18/KOL_Database!$J$18/Lookup_Lists!$D$144*100,0)))</f>
        <v>45</v>
      </c>
      <c r="AI49" s="142">
        <f>IF(KOL_Database!$N$18="",0,MIN(100,MAX(0,ROUND((KOL_Database!$N$18+2)/(Lookup_Lists!$D$145+2)*100,0))))</f>
        <v>67</v>
      </c>
      <c r="AJ49" s="142">
        <f>ROUND((Matching_Engine!$AD$49*Lookup_Lists!$D$129+Matching_Engine!$AE$49*Lookup_Lists!$D$130+Matching_Engine!$AF$49*Lookup_Lists!$D$131+Matching_Engine!$AG$49*Lookup_Lists!$D$132+Matching_Engine!$AH$49*Lookup_Lists!$D$133+Matching_Engine!$AI$49*Lookup_Lists!$D$134)/(Lookup_Lists!$D$129+Lookup_Lists!$D$130+Lookup_Lists!$D$131+Lookup_Lists!$D$132+Lookup_Lists!$D$133+Lookup_Lists!$D$134),0)</f>
        <v>75</v>
      </c>
      <c r="AK49" s="142">
        <f>IF(KOL_Database!$AT$18="",0,MIN(100,MAX(0,KOL_Database!$AT$18)))</f>
        <v>72</v>
      </c>
      <c r="AL49" s="142">
        <f>IF(KOL_Database!$AU$18="",0,KOL_Database!$AU$18)</f>
        <v>15</v>
      </c>
      <c r="AM49" s="89" t="str">
        <f>IF(KOL_Database!$AV$18="","None",KOL_Database!$AV$18)</f>
        <v>Low</v>
      </c>
      <c r="AN49" s="143">
        <f>IF(Matching_Engine!$AM$49="High",Lookup_Lists!$D$137,IF(Matching_Engine!$AM$49="Medium",Lookup_Lists!$D$138,IF(Matching_Engine!$AM$49="Low",Lookup_Lists!$D$139,Lookup_Lists!$D$140)))</f>
        <v>0.95</v>
      </c>
      <c r="AO49" s="142">
        <f>ROUND(MIN(100,MAX(0,(Matching_Engine!$AK$49*Lookup_Lists!$D$135+(100-Matching_Engine!$AL$49)*Lookup_Lists!$D$136)/(Lookup_Lists!$D$135+Lookup_Lists!$D$136)*Matching_Engine!$AN$49)),0)</f>
        <v>71</v>
      </c>
      <c r="AP49" s="13">
        <f ca="1">ROUND((Matching_Engine!$N$49*Lookup_Lists!$D$104+Matching_Engine!$S$49*Lookup_Lists!$D$105+Matching_Engine!$X$49*Lookup_Lists!$D$106+Matching_Engine!$AC$49*Lookup_Lists!$D$107+Matching_Engine!$AJ$49*Lookup_Lists!$D$108+Matching_Engine!$AO$49*Lookup_Lists!$D$109)/MAX(1,(Lookup_Lists!$D$104+Lookup_Lists!$D$105+Lookup_Lists!$D$106+Lookup_Lists!$D$107+Lookup_Lists!$D$108+Lookup_Lists!$D$109)),0)</f>
        <v>77</v>
      </c>
      <c r="AQ49" s="89" t="str">
        <f ca="1">IF(Matching_Engine!$AP$49&gt;=Lookup_Lists!$D$152,"Excellent Match",IF(Matching_Engine!$AP$49&gt;=Lookup_Lists!$D$153,"Strong Match",IF(Matching_Engine!$AP$49&gt;=Lookup_Lists!$D$154,"Good Match",IF(Matching_Engine!$AP$49&gt;=Lookup_Lists!$D$155,"Moderate Match","Low Match"))))</f>
        <v>Good Match</v>
      </c>
      <c r="AR49" s="142">
        <f>KOL_Database!$BE$18</f>
        <v>100</v>
      </c>
      <c r="AS49" s="89" t="str">
        <f>IF(Matching_Engine!$AR$49&gt;=Lookup_Lists!$D$159,"High",IF(Matching_Engine!$AR$49&gt;=Lookup_Lists!$D$160,"Medium","Limited Data"))</f>
        <v>High</v>
      </c>
      <c r="AT49" s="142">
        <f>ROUND((Matching_Engine!$N$49+Matching_Engine!$X$49+Matching_Engine!$AC$49)/3,0)</f>
        <v>74</v>
      </c>
      <c r="AU49" s="142">
        <f>ROUND(((100-Matching_Engine!$AL$49)*Lookup_Lists!$D$162+IF(KOL_Database!$BD$18="",Lookup_Lists!$D$150,KOL_Database!$BD$18)*Lookup_Lists!$D$163+Matching_Engine!$AI$49*Lookup_Lists!$D$164+Matching_Engine!$AD$49*Lookup_Lists!$D$165)/(Lookup_Lists!$D$162+Lookup_Lists!$D$163+Lookup_Lists!$D$164+Lookup_Lists!$D$165),0)</f>
        <v>70</v>
      </c>
      <c r="AV49" s="89" t="str">
        <f ca="1">IF(Matching_Engine!$AW$49="","PASS","EXCLUDED")</f>
        <v>EXCLUDED</v>
      </c>
      <c r="AW49" s="89" t="str">
        <f ca="1">IF(ISERROR(SEARCH(KOL_Database!$D$18,Brand_Profile!$E$32)),"Platform not in Preferred Platform",IF(AND(Brand_Profile!$E$36&gt;0,KOL_Database!$J$18&lt;Brand_Profile!$E$36),"Followers below Preferred Follower Range",IF(AND(Brand_Profile!$E$37&gt;0,KOL_Database!$J$18&gt;Brand_Profile!$E$37),"Followers above Preferred Follower Range",IF(AND(Brand_Profile!$E$38&gt;0,IF(KOL_Database!$K$18="",0,KOL_Database!$K$18)&lt;Brand_Profile!$E$38),"Engagement Rate below Minimum Engagement Rate",IF(ISERROR(SEARCH(KOL_Database!$G$18,Brand_Profile!$E$35)),"Tier not in Preferred Tier",IF(AND(Brand_Profile!$E$43&gt;0,Matching_Engine!$AE$49&lt;Brand_Profile!$E$43),"Audience Quality below Minimum Audience Quality",IF(AND(Brand_Profile!$E$44&gt;0,Matching_Engine!$AK$49&lt;Brand_Profile!$E$44),"Brand Safety below Minimum Brand Safety",IF(AND(Brand_Profile!$E$47="Yes",KOL_Database!$AD$18&lt;&gt;Brand_Profile!$E$19),"Audience Country does not match Target Country",IF(AND(Brand_Profile!$E$46="Yes",KOL_Database!$E$18&lt;&gt;Brand_Profile!$E$33),"Category is not the Preferred Category",IF(AND(Brand_Profile!$E$48&gt;0,Matching_Engine!$AL$49&gt;Brand_Profile!$E$48),"Competitor Saturation above Max Competitor Saturation",IF(AND(Brand_Profile!$E$50="Yes",KOL_Database!$AW$18="Yes"),"Already Selected",IF(AND(Brand_Profile!$E$51="Yes",KOL_Database!$AX$18="Yes"),"Already in Cart",IF(AND(Brand_Profile!$E$52="Yes",KOL_Database!$AY$18="Yes"),"Existing Partner",IF(AND(Brand_Profile!$E$53="Yes",KOL_Database!$AZ$18="Yes"),"Excluded Creator",IF(AND(Brand_Profile!$E$49&gt;0,Matching_Engine!$AP$49&lt;Brand_Profile!$E$49),"Brand Match below Minimum Brand Match","")))))))))))))))</f>
        <v>Tier not in Preferred Tier</v>
      </c>
      <c r="AX49" s="89" t="str">
        <f ca="1">IF(Matching_Engine!$AV$49="EXCLUDED","Excluded",IF(Matching_Engine!$AP$49&gt;=Lookup_Lists!$D$156,"Highly Recommended",IF(Matching_Engine!$AP$49&gt;=Lookup_Lists!$D$157,"Recommended",IF(Matching_Engine!$AP$49&gt;=Lookup_Lists!$D$158,"Consider","Low Priority"))))</f>
        <v>Excluded</v>
      </c>
      <c r="AY49" s="142" t="str">
        <f ca="1">IF(Matching_Engine!$AV$49="PASS",Matching_Engine!$AP$49,"")</f>
        <v/>
      </c>
      <c r="AZ49" s="89" t="str">
        <f>Matching_Engine!$A$49&amp;"|"&amp;Matching_Engine!$C$49</f>
        <v>BRAND-B|KOL-14</v>
      </c>
      <c r="BA49" s="89" t="str">
        <f>IFERROR(INDEX(Lookup_Lists!$B$51:$B$92,MATCH(Brand_Profile!$E$12,Lookup_Lists!$A$51:$A$92,0)),"")</f>
        <v>Beauty</v>
      </c>
      <c r="BB49" s="89" t="str">
        <f>IFERROR(INDEX(Lookup_Lists!$B$51:$B$92,MATCH(KOL_Database!$F$18,Lookup_Lists!$A$51:$A$92,0)),"")</f>
        <v>Fashion</v>
      </c>
      <c r="BC49" s="142">
        <f>IFERROR(INDEX(Lookup_Lists!$B$185:$O$198,MATCH(Matching_Engine!$BA$49,Lookup_Lists!$A$185:$A$198,0),MATCH(KOL_Database!$E$18,Lookup_Lists!$B$184:$O$184,0)),Lookup_Lists!$D$151)</f>
        <v>80</v>
      </c>
      <c r="BD49" s="142">
        <f>IFERROR(INDEX(Lookup_Lists!$B$185:$O$198,MATCH(Brand_Profile!$E$33,Lookup_Lists!$A$185:$A$198,0),MATCH(KOL_Database!$E$18,Lookup_Lists!$B$184:$O$184,0)),Lookup_Lists!$D$151)</f>
        <v>80</v>
      </c>
      <c r="BE49" s="89" t="str">
        <f>IFERROR(INDEX(Lookup_Lists!$B$51:$B$92,MATCH(Brand_Profile!$E$34,Lookup_Lists!$A$51:$A$92,0)),"")</f>
        <v>Beauty</v>
      </c>
      <c r="BF49" s="89" t="str">
        <f>KOL_Database!$AI$18&amp;", "&amp;KOL_Database!$AG$18&amp;", "&amp;KOL_Database!$F$18&amp;", "&amp;KOL_Database!$E$18</f>
        <v>Fashion, Beauty, Shopping, Fashion, Beauty, Shopping, Skincare, Travel, Hijab Fashion, Fashion</v>
      </c>
      <c r="BG49" s="89" t="str">
        <f>KOL_Database!$AI$18&amp;", "&amp;KOL_Database!$AG$18</f>
        <v>Fashion, Beauty, Shopping, Fashion, Beauty, Shopping, Skincare, Travel</v>
      </c>
    </row>
    <row r="50" spans="1:59">
      <c r="A50" s="101" t="s">
        <v>118</v>
      </c>
      <c r="B50" s="89" t="str">
        <f>Brand_Profile!$E$9</f>
        <v>Lumaya Skin</v>
      </c>
      <c r="C50" s="89" t="str">
        <f>KOL_Database!$A$19</f>
        <v>KOL-15</v>
      </c>
      <c r="D50" s="89" t="str">
        <f>KOL_Database!$B$19</f>
        <v>Andini Rahma</v>
      </c>
      <c r="E50" s="89" t="str">
        <f>KOL_Database!$C$19</f>
        <v>@andinidaily</v>
      </c>
      <c r="F50" s="89" t="str">
        <f>KOL_Database!$D$19</f>
        <v>Instagram</v>
      </c>
      <c r="G50" s="89" t="str">
        <f>KOL_Database!$E$19</f>
        <v>Lifestyle</v>
      </c>
      <c r="H50" s="89" t="str">
        <f>KOL_Database!$G$19</f>
        <v>Mid-tier</v>
      </c>
      <c r="I50" s="140">
        <f>KOL_Database!$J$19</f>
        <v>58000</v>
      </c>
      <c r="J50" s="141">
        <f>KOL_Database!$K$19</f>
        <v>5.8</v>
      </c>
      <c r="K50" s="142">
        <f>IFERROR(INDEX(Lookup_Lists!$B$170:$O$181,MATCH(Brand_Profile!$E$10,Lookup_Lists!$A$170:$A$181,0),MATCH(KOL_Database!$E$19,Lookup_Lists!$B$169:$O$169,0)),Lookup_Lists!$D$151)</f>
        <v>80</v>
      </c>
      <c r="L50" s="142">
        <f>IF(KOL_Database!$F$19="",Matching_Engine!$BC$50,IF(Brand_Profile!$E$12=KOL_Database!$F$19,100,IF(Matching_Engine!$BA$50=KOL_Database!$E$19,80,IF(Matching_Engine!$BC$50&gt;=80,60,IF(Matching_Engine!$BC$50&gt;=60,40,Lookup_Lists!$D$151)))))</f>
        <v>60</v>
      </c>
      <c r="M50" s="142">
        <f>ROUND((IF(Brand_Profile!$E$62=0,Lookup_Lists!$D$150,ROUND((IF(Brand_Profile!$E$57="",0,IF(ISNUMBER(SEARCH(Brand_Profile!$E$57,Matching_Engine!$BF$50)),1,0))+IF(Brand_Profile!$E$58="",0,IF(ISNUMBER(SEARCH(Brand_Profile!$E$58,Matching_Engine!$BF$50)),1,0))+IF(Brand_Profile!$E$59="",0,IF(ISNUMBER(SEARCH(Brand_Profile!$E$59,Matching_Engine!$BF$50)),1,0))+IF(Brand_Profile!$E$60="",0,IF(ISNUMBER(SEARCH(Brand_Profile!$E$60,Matching_Engine!$BF$50)),1,0))+IF(Brand_Profile!$E$61="",0,IF(ISNUMBER(SEARCH(Brand_Profile!$E$61,Matching_Engine!$BF$50)),1,0)))/Brand_Profile!$E$62*100,0))+IF(Brand_Profile!$E$74=0,Lookup_Lists!$D$150,ROUND((IF(Brand_Profile!$E$69="",0,IF(ISNUMBER(SEARCH(Brand_Profile!$E$69,Matching_Engine!$BF$50)),1,0))+IF(Brand_Profile!$E$70="",0,IF(ISNUMBER(SEARCH(Brand_Profile!$E$70,Matching_Engine!$BF$50)),1,0))+IF(Brand_Profile!$E$71="",0,IF(ISNUMBER(SEARCH(Brand_Profile!$E$71,Matching_Engine!$BF$50)),1,0))+IF(Brand_Profile!$E$72="",0,IF(ISNUMBER(SEARCH(Brand_Profile!$E$72,Matching_Engine!$BF$50)),1,0))+IF(Brand_Profile!$E$73="",0,IF(ISNUMBER(SEARCH(Brand_Profile!$E$73,Matching_Engine!$BF$50)),1,0)))/Brand_Profile!$E$74*100,0)))/2,0)</f>
        <v>40</v>
      </c>
      <c r="N50" s="142">
        <f>ROUND((Matching_Engine!$K$50*Lookup_Lists!$D$110+Matching_Engine!$L$50*Lookup_Lists!$D$111+Matching_Engine!$M$50*Lookup_Lists!$D$112)/(Lookup_Lists!$D$110+Lookup_Lists!$D$111+Lookup_Lists!$D$112),0)</f>
        <v>62</v>
      </c>
      <c r="O50" s="142">
        <f ca="1">IF(Brand_Profile!$E$16="",Lookup_Lists!$D$150,MIN(100,ROUND((IFERROR(INDEX(KOL_Database!$W$19:KOL_Database!$AA$19,1,MATCH(Brand_Profile!$E$16,Lookup_Lists!$F$6:$F$10,0)),0)+0.5*IFERROR(INDEX(KOL_Database!$W$19:KOL_Database!$AA$19,1,MATCH(Brand_Profile!$E$17,Lookup_Lists!$F$6:$F$10,0)),0))/Lookup_Lists!$D$142*100,0)))</f>
        <v>100</v>
      </c>
      <c r="P50" s="142">
        <f>IF(OR(Brand_Profile!$E$18="",Brand_Profile!$E$18="Any"),100,IF(Brand_Profile!$E$18="Female",MIN(100,ROUND(KOL_Database!$AB$19/Lookup_Lists!$D$143*100,0)),IF(Brand_Profile!$E$18="Male",MIN(100,ROUND(KOL_Database!$AC$19/Lookup_Lists!$D$143*100,0)),MAX(0,ROUND(100-ABS(KOL_Database!$AB$19-50)*2,0)))))</f>
        <v>100</v>
      </c>
      <c r="Q50" s="142">
        <f>ROUND((IF(Brand_Profile!$E$19="",100,IF(KOL_Database!$AD$19=Brand_Profile!$E$19,100,Lookup_Lists!$D$151))*Lookup_Lists!$D$118+IF(OR(Brand_Profile!$E$20="",Brand_Profile!$E$20="Nasional"),100,IF(KOL_Database!$AE$19="",Lookup_Lists!$D$150,IF(KOL_Database!$AE$19=Brand_Profile!$E$20,100,IF(KOL_Database!$AD$19=Brand_Profile!$E$19,40,Lookup_Lists!$D$151))))*Lookup_Lists!$D$119+IF(OR(Brand_Profile!$E$21="",Brand_Profile!$E$21="Nasional"),100,IF(KOL_Database!$AF$19="",Lookup_Lists!$D$150,IF(KOL_Database!$AF$19=Brand_Profile!$E$21,100,IF(KOL_Database!$AE$19=Brand_Profile!$E$20,60,Lookup_Lists!$D$151))))*Lookup_Lists!$D$120)/(Lookup_Lists!$D$118+Lookup_Lists!$D$119+Lookup_Lists!$D$120),0)</f>
        <v>100</v>
      </c>
      <c r="R50" s="142">
        <f>IF(Brand_Profile!$E$68=0,Lookup_Lists!$D$150,ROUND((IF(Brand_Profile!$E$63="",0,IF(ISNUMBER(SEARCH(Brand_Profile!$E$63,KOL_Database!$AG$19)),1,0))+IF(Brand_Profile!$E$64="",0,IF(ISNUMBER(SEARCH(Brand_Profile!$E$64,KOL_Database!$AG$19)),1,0))+IF(Brand_Profile!$E$65="",0,IF(ISNUMBER(SEARCH(Brand_Profile!$E$65,KOL_Database!$AG$19)),1,0))+IF(Brand_Profile!$E$66="",0,IF(ISNUMBER(SEARCH(Brand_Profile!$E$66,KOL_Database!$AG$19)),1,0))+IF(Brand_Profile!$E$67="",0,IF(ISNUMBER(SEARCH(Brand_Profile!$E$67,KOL_Database!$AG$19)),1,0)))/Brand_Profile!$E$68*100,0))</f>
        <v>60</v>
      </c>
      <c r="S50" s="142">
        <f ca="1">ROUND((Matching_Engine!$O$50*Brand_Profile!$E$96+Matching_Engine!$P$50*Brand_Profile!$E$97+Matching_Engine!$Q$50*Brand_Profile!$E$98+Matching_Engine!$R$50*Brand_Profile!$E$99)/MAX(1,Brand_Profile!$E$96+Brand_Profile!$E$97+Brand_Profile!$E$98+Brand_Profile!$E$99),0)</f>
        <v>90</v>
      </c>
      <c r="T50" s="142">
        <f>IF(Brand_Profile!$E$33="",Lookup_Lists!$D$150,Matching_Engine!$BD$50)</f>
        <v>80</v>
      </c>
      <c r="U50" s="142">
        <f>IF(Brand_Profile!$E$34="",Lookup_Lists!$D$150,IF(Brand_Profile!$E$34=KOL_Database!$F$19,100,IF(Matching_Engine!$BE$50=KOL_Database!$E$19,75,IF(Matching_Engine!$BD$50&gt;=80,Lookup_Lists!$D$150,IF(Matching_Engine!$BD$50&gt;=60,35,Lookup_Lists!$D$151)))))</f>
        <v>50</v>
      </c>
      <c r="V50" s="142">
        <f>IF(Brand_Profile!$E$86=0,Lookup_Lists!$D$150,ROUND((IF(Brand_Profile!$E$81="",0,IF(ISNUMBER(SEARCH(Brand_Profile!$E$81,Matching_Engine!$BG$50)),1,0))+IF(Brand_Profile!$E$82="",0,IF(ISNUMBER(SEARCH(Brand_Profile!$E$82,Matching_Engine!$BG$50)),1,0))+IF(Brand_Profile!$E$83="",0,IF(ISNUMBER(SEARCH(Brand_Profile!$E$83,Matching_Engine!$BG$50)),1,0))+IF(Brand_Profile!$E$84="",0,IF(ISNUMBER(SEARCH(Brand_Profile!$E$84,Matching_Engine!$BG$50)),1,0))+IF(Brand_Profile!$E$85="",0,IF(ISNUMBER(SEARCH(Brand_Profile!$E$85,Matching_Engine!$BG$50)),1,0)))/Brand_Profile!$E$86*100,0))</f>
        <v>40</v>
      </c>
      <c r="W50" s="142">
        <f>IF(Brand_Profile!$E$39="",Lookup_Lists!$D$150,IFERROR(INDEX(Lookup_Lists!$B$237:$K$246,MATCH(Brand_Profile!$E$39,Lookup_Lists!$A$237:$A$246,0),MATCH(KOL_Database!$AJ$19,Lookup_Lists!$B$236:$K$236,0)),45))</f>
        <v>45</v>
      </c>
      <c r="X50" s="142">
        <f>ROUND((Matching_Engine!$T$50*Lookup_Lists!$D$121+Matching_Engine!$U$50*Lookup_Lists!$D$122+Matching_Engine!$V$50*Lookup_Lists!$D$123+Matching_Engine!$W$50*Lookup_Lists!$D$124)/(Lookup_Lists!$D$121+Lookup_Lists!$D$122+Lookup_Lists!$D$123+Lookup_Lists!$D$124),0)</f>
        <v>55</v>
      </c>
      <c r="Y50" s="142">
        <f>MIN(100,MAX(IFERROR(INDEX(Lookup_Lists!$B$202:$M$211,MATCH(Brand_Profile!$E$25,Lookup_Lists!$A$202:$A$211,0),MATCH(KOL_Database!$AK$19,Lookup_Lists!$B$201:$M$201,0)),40),IF(KOL_Database!$AK$19=Brand_Profile!$E$41,95,0)))</f>
        <v>35</v>
      </c>
      <c r="Z50" s="142">
        <f>IFERROR(INDEX(Lookup_Lists!$B$215:$K$222,MATCH(Brand_Profile!$E$27,Lookup_Lists!$A$215:$A$222,0),MATCH(KOL_Database!$AJ$19,Lookup_Lists!$B$214:$K$214,0)),45)</f>
        <v>75</v>
      </c>
      <c r="AA50" s="142">
        <f>ROUND((IF(Brand_Profile!$E$80=0,Lookup_Lists!$D$150,ROUND((IF(Brand_Profile!$E$75="",0,IF(ISNUMBER(SEARCH(Brand_Profile!$E$75,KOL_Database!$AL$19)),1,0))+IF(Brand_Profile!$E$76="",0,IF(ISNUMBER(SEARCH(Brand_Profile!$E$76,KOL_Database!$AL$19)),1,0))+IF(Brand_Profile!$E$77="",0,IF(ISNUMBER(SEARCH(Brand_Profile!$E$77,KOL_Database!$AL$19)),1,0))+IF(Brand_Profile!$E$78="",0,IF(ISNUMBER(SEARCH(Brand_Profile!$E$78,KOL_Database!$AL$19)),1,0))+IF(Brand_Profile!$E$79="",0,IF(ISNUMBER(SEARCH(Brand_Profile!$E$79,KOL_Database!$AL$19)),1,0)))/Brand_Profile!$E$80*100,0))+IF(Brand_Profile!$E$92=0,Lookup_Lists!$D$150,ROUND((IF(Brand_Profile!$E$87="",0,IF(ISNUMBER(SEARCH(Brand_Profile!$E$87,KOL_Database!$AL$19)),1,0))+IF(Brand_Profile!$E$88="",0,IF(ISNUMBER(SEARCH(Brand_Profile!$E$88,KOL_Database!$AL$19)),1,0))+IF(Brand_Profile!$E$89="",0,IF(ISNUMBER(SEARCH(Brand_Profile!$E$89,KOL_Database!$AL$19)),1,0))+IF(Brand_Profile!$E$90="",0,IF(ISNUMBER(SEARCH(Brand_Profile!$E$90,KOL_Database!$AL$19)),1,0))+IF(Brand_Profile!$E$91="",0,IF(ISNUMBER(SEARCH(Brand_Profile!$E$91,KOL_Database!$AL$19)),1,0)))/Brand_Profile!$E$92*100,0)))/2,0)</f>
        <v>20</v>
      </c>
      <c r="AB50" s="142">
        <f>IFERROR(INDEX(Lookup_Lists!$B$226:$K$233,MATCH(Brand_Profile!$E$30,Lookup_Lists!$A$226:$A$233,0),MATCH(KOL_Database!$AJ$19,Lookup_Lists!$B$225:$K$225,0)),45)</f>
        <v>85</v>
      </c>
      <c r="AC50" s="142">
        <f>ROUND((Matching_Engine!$Y$50*Lookup_Lists!$D$125+Matching_Engine!$Z$50*Lookup_Lists!$D$126+Matching_Engine!$AA$50*Lookup_Lists!$D$127+Matching_Engine!$AB$50*Lookup_Lists!$D$128)/(Lookup_Lists!$D$125+Lookup_Lists!$D$126+Lookup_Lists!$D$127+Lookup_Lists!$D$128),0)</f>
        <v>49</v>
      </c>
      <c r="AD50" s="142">
        <f>IF(KOL_Database!$K$19="",0,MIN(100,ROUND(KOL_Database!$K$19/Lookup_Lists!$D$141*100,0)))</f>
        <v>97</v>
      </c>
      <c r="AE50" s="142">
        <f>IF(KOL_Database!$R$19="",0,MIN(100,MAX(0,KOL_Database!$R$19)))</f>
        <v>79</v>
      </c>
      <c r="AF50" s="142">
        <f>IF(KOL_Database!$P$19="",0,MIN(100,MAX(0,KOL_Database!$P$19)))</f>
        <v>54</v>
      </c>
      <c r="AG50" s="142">
        <f>IF(KOL_Database!$Q$19="",0,MIN(100,MAX(0,KOL_Database!$Q$19)))</f>
        <v>49</v>
      </c>
      <c r="AH50" s="142">
        <f>IF(OR(KOL_Database!$J$19="",KOL_Database!$J$19=0,KOL_Database!$L$19=""),0,MIN(100,ROUND(KOL_Database!$L$19/KOL_Database!$J$19/Lookup_Lists!$D$144*100,0)))</f>
        <v>68</v>
      </c>
      <c r="AI50" s="142">
        <f>IF(KOL_Database!$N$19="",0,MIN(100,MAX(0,ROUND((KOL_Database!$N$19+2)/(Lookup_Lists!$D$145+2)*100,0))))</f>
        <v>28</v>
      </c>
      <c r="AJ50" s="142">
        <f>ROUND((Matching_Engine!$AD$50*Lookup_Lists!$D$129+Matching_Engine!$AE$50*Lookup_Lists!$D$130+Matching_Engine!$AF$50*Lookup_Lists!$D$131+Matching_Engine!$AG$50*Lookup_Lists!$D$132+Matching_Engine!$AH$50*Lookup_Lists!$D$133+Matching_Engine!$AI$50*Lookup_Lists!$D$134)/(Lookup_Lists!$D$129+Lookup_Lists!$D$130+Lookup_Lists!$D$131+Lookup_Lists!$D$132+Lookup_Lists!$D$133+Lookup_Lists!$D$134),0)</f>
        <v>74</v>
      </c>
      <c r="AK50" s="142">
        <f>IF(KOL_Database!$AT$19="",0,MIN(100,MAX(0,KOL_Database!$AT$19)))</f>
        <v>87</v>
      </c>
      <c r="AL50" s="142">
        <f>IF(KOL_Database!$AU$19="",0,KOL_Database!$AU$19)</f>
        <v>47</v>
      </c>
      <c r="AM50" s="89" t="str">
        <f>IF(KOL_Database!$AV$19="","None",KOL_Database!$AV$19)</f>
        <v>None</v>
      </c>
      <c r="AN50" s="143">
        <f>IF(Matching_Engine!$AM$50="High",Lookup_Lists!$D$137,IF(Matching_Engine!$AM$50="Medium",Lookup_Lists!$D$138,IF(Matching_Engine!$AM$50="Low",Lookup_Lists!$D$139,Lookup_Lists!$D$140)))</f>
        <v>1</v>
      </c>
      <c r="AO50" s="142">
        <f>ROUND(MIN(100,MAX(0,(Matching_Engine!$AK$50*Lookup_Lists!$D$135+(100-Matching_Engine!$AL$50)*Lookup_Lists!$D$136)/(Lookup_Lists!$D$135+Lookup_Lists!$D$136)*Matching_Engine!$AN$50)),0)</f>
        <v>80</v>
      </c>
      <c r="AP50" s="13">
        <f ca="1">ROUND((Matching_Engine!$N$50*Lookup_Lists!$D$104+Matching_Engine!$S$50*Lookup_Lists!$D$105+Matching_Engine!$X$50*Lookup_Lists!$D$106+Matching_Engine!$AC$50*Lookup_Lists!$D$107+Matching_Engine!$AJ$50*Lookup_Lists!$D$108+Matching_Engine!$AO$50*Lookup_Lists!$D$109)/MAX(1,(Lookup_Lists!$D$104+Lookup_Lists!$D$105+Lookup_Lists!$D$106+Lookup_Lists!$D$107+Lookup_Lists!$D$108+Lookup_Lists!$D$109)),0)</f>
        <v>71</v>
      </c>
      <c r="AQ50" s="89" t="str">
        <f ca="1">IF(Matching_Engine!$AP$50&gt;=Lookup_Lists!$D$152,"Excellent Match",IF(Matching_Engine!$AP$50&gt;=Lookup_Lists!$D$153,"Strong Match",IF(Matching_Engine!$AP$50&gt;=Lookup_Lists!$D$154,"Good Match",IF(Matching_Engine!$AP$50&gt;=Lookup_Lists!$D$155,"Moderate Match","Low Match"))))</f>
        <v>Good Match</v>
      </c>
      <c r="AR50" s="142">
        <f>KOL_Database!$BE$19</f>
        <v>83</v>
      </c>
      <c r="AS50" s="89" t="str">
        <f>IF(Matching_Engine!$AR$50&gt;=Lookup_Lists!$D$159,"High",IF(Matching_Engine!$AR$50&gt;=Lookup_Lists!$D$160,"Medium","Limited Data"))</f>
        <v>Limited Data</v>
      </c>
      <c r="AT50" s="142">
        <f>ROUND((Matching_Engine!$N$50+Matching_Engine!$X$50+Matching_Engine!$AC$50)/3,0)</f>
        <v>55</v>
      </c>
      <c r="AU50" s="142">
        <f>ROUND(((100-Matching_Engine!$AL$50)*Lookup_Lists!$D$162+IF(KOL_Database!$BD$19="",Lookup_Lists!$D$150,KOL_Database!$BD$19)*Lookup_Lists!$D$163+Matching_Engine!$AI$50*Lookup_Lists!$D$164+Matching_Engine!$AD$50*Lookup_Lists!$D$165)/(Lookup_Lists!$D$162+Lookup_Lists!$D$163+Lookup_Lists!$D$164+Lookup_Lists!$D$165),0)</f>
        <v>53</v>
      </c>
      <c r="AV50" s="89" t="str">
        <f ca="1">IF(Matching_Engine!$AW$50="","PASS","EXCLUDED")</f>
        <v>PASS</v>
      </c>
      <c r="AW50" s="89" t="str">
        <f ca="1">IF(ISERROR(SEARCH(KOL_Database!$D$19,Brand_Profile!$E$32)),"Platform not in Preferred Platform",IF(AND(Brand_Profile!$E$36&gt;0,KOL_Database!$J$19&lt;Brand_Profile!$E$36),"Followers below Preferred Follower Range",IF(AND(Brand_Profile!$E$37&gt;0,KOL_Database!$J$19&gt;Brand_Profile!$E$37),"Followers above Preferred Follower Range",IF(AND(Brand_Profile!$E$38&gt;0,IF(KOL_Database!$K$19="",0,KOL_Database!$K$19)&lt;Brand_Profile!$E$38),"Engagement Rate below Minimum Engagement Rate",IF(ISERROR(SEARCH(KOL_Database!$G$19,Brand_Profile!$E$35)),"Tier not in Preferred Tier",IF(AND(Brand_Profile!$E$43&gt;0,Matching_Engine!$AE$50&lt;Brand_Profile!$E$43),"Audience Quality below Minimum Audience Quality",IF(AND(Brand_Profile!$E$44&gt;0,Matching_Engine!$AK$50&lt;Brand_Profile!$E$44),"Brand Safety below Minimum Brand Safety",IF(AND(Brand_Profile!$E$47="Yes",KOL_Database!$AD$19&lt;&gt;Brand_Profile!$E$19),"Audience Country does not match Target Country",IF(AND(Brand_Profile!$E$46="Yes",KOL_Database!$E$19&lt;&gt;Brand_Profile!$E$33),"Category is not the Preferred Category",IF(AND(Brand_Profile!$E$48&gt;0,Matching_Engine!$AL$50&gt;Brand_Profile!$E$48),"Competitor Saturation above Max Competitor Saturation",IF(AND(Brand_Profile!$E$50="Yes",KOL_Database!$AW$19="Yes"),"Already Selected",IF(AND(Brand_Profile!$E$51="Yes",KOL_Database!$AX$19="Yes"),"Already in Cart",IF(AND(Brand_Profile!$E$52="Yes",KOL_Database!$AY$19="Yes"),"Existing Partner",IF(AND(Brand_Profile!$E$53="Yes",KOL_Database!$AZ$19="Yes"),"Excluded Creator",IF(AND(Brand_Profile!$E$49&gt;0,Matching_Engine!$AP$50&lt;Brand_Profile!$E$49),"Brand Match below Minimum Brand Match","")))))))))))))))</f>
        <v/>
      </c>
      <c r="AX50" s="89" t="str">
        <f ca="1">IF(Matching_Engine!$AV$50="EXCLUDED","Excluded",IF(Matching_Engine!$AP$50&gt;=Lookup_Lists!$D$156,"Highly Recommended",IF(Matching_Engine!$AP$50&gt;=Lookup_Lists!$D$157,"Recommended",IF(Matching_Engine!$AP$50&gt;=Lookup_Lists!$D$158,"Consider","Low Priority"))))</f>
        <v>Consider</v>
      </c>
      <c r="AY50" s="142">
        <f ca="1">IF(Matching_Engine!$AV$50="PASS",Matching_Engine!$AP$50,"")</f>
        <v>71</v>
      </c>
      <c r="AZ50" s="89" t="str">
        <f>Matching_Engine!$A$50&amp;"|"&amp;Matching_Engine!$C$50</f>
        <v>BRAND-B|KOL-15</v>
      </c>
      <c r="BA50" s="89" t="str">
        <f>IFERROR(INDEX(Lookup_Lists!$B$51:$B$92,MATCH(Brand_Profile!$E$12,Lookup_Lists!$A$51:$A$92,0)),"")</f>
        <v>Beauty</v>
      </c>
      <c r="BB50" s="89" t="str">
        <f>IFERROR(INDEX(Lookup_Lists!$B$51:$B$92,MATCH(KOL_Database!$F$19,Lookup_Lists!$A$51:$A$92,0)),"")</f>
        <v>Lifestyle</v>
      </c>
      <c r="BC50" s="142">
        <f>IFERROR(INDEX(Lookup_Lists!$B$185:$O$198,MATCH(Matching_Engine!$BA$50,Lookup_Lists!$A$185:$A$198,0),MATCH(KOL_Database!$E$19,Lookup_Lists!$B$184:$O$184,0)),Lookup_Lists!$D$151)</f>
        <v>80</v>
      </c>
      <c r="BD50" s="142">
        <f>IFERROR(INDEX(Lookup_Lists!$B$185:$O$198,MATCH(Brand_Profile!$E$33,Lookup_Lists!$A$185:$A$198,0),MATCH(KOL_Database!$E$19,Lookup_Lists!$B$184:$O$184,0)),Lookup_Lists!$D$151)</f>
        <v>80</v>
      </c>
      <c r="BE50" s="89" t="str">
        <f>IFERROR(INDEX(Lookup_Lists!$B$51:$B$92,MATCH(Brand_Profile!$E$34,Lookup_Lists!$A$51:$A$92,0)),"")</f>
        <v>Beauty</v>
      </c>
      <c r="BF50" s="89" t="str">
        <f>KOL_Database!$AI$19&amp;", "&amp;KOL_Database!$AG$19&amp;", "&amp;KOL_Database!$F$19&amp;", "&amp;KOL_Database!$E$19</f>
        <v>Shopping, Food, Beauty, Shopping, Food, Beauty, Travel, Fashion, Daily Vlog, Lifestyle</v>
      </c>
      <c r="BG50" s="89" t="str">
        <f>KOL_Database!$AI$19&amp;", "&amp;KOL_Database!$AG$19</f>
        <v>Shopping, Food, Beauty, Shopping, Food, Beauty, Travel, Fashion</v>
      </c>
    </row>
    <row r="51" spans="1:59">
      <c r="A51" s="101" t="s">
        <v>118</v>
      </c>
      <c r="B51" s="89" t="str">
        <f>Brand_Profile!$E$9</f>
        <v>Lumaya Skin</v>
      </c>
      <c r="C51" s="89" t="str">
        <f>KOL_Database!$A$20</f>
        <v>KOL-16</v>
      </c>
      <c r="D51" s="89" t="str">
        <f>KOL_Database!$B$20</f>
        <v>Yoga Pratama</v>
      </c>
      <c r="E51" s="89" t="str">
        <f>KOL_Database!$C$20</f>
        <v>@yogaminimal</v>
      </c>
      <c r="F51" s="89" t="str">
        <f>KOL_Database!$D$20</f>
        <v>TikTok</v>
      </c>
      <c r="G51" s="89" t="str">
        <f>KOL_Database!$E$20</f>
        <v>Lifestyle</v>
      </c>
      <c r="H51" s="89" t="str">
        <f>KOL_Database!$G$20</f>
        <v>Macro</v>
      </c>
      <c r="I51" s="140">
        <f>KOL_Database!$J$20</f>
        <v>143000</v>
      </c>
      <c r="J51" s="141">
        <f>KOL_Database!$K$20</f>
        <v>7.3</v>
      </c>
      <c r="K51" s="142">
        <f>IFERROR(INDEX(Lookup_Lists!$B$170:$O$181,MATCH(Brand_Profile!$E$10,Lookup_Lists!$A$170:$A$181,0),MATCH(KOL_Database!$E$20,Lookup_Lists!$B$169:$O$169,0)),Lookup_Lists!$D$151)</f>
        <v>80</v>
      </c>
      <c r="L51" s="142">
        <f>IF(KOL_Database!$F$20="",Matching_Engine!$BC$51,IF(Brand_Profile!$E$12=KOL_Database!$F$20,100,IF(Matching_Engine!$BA$51=KOL_Database!$E$20,80,IF(Matching_Engine!$BC$51&gt;=80,60,IF(Matching_Engine!$BC$51&gt;=60,40,Lookup_Lists!$D$151)))))</f>
        <v>60</v>
      </c>
      <c r="M51" s="142">
        <f>ROUND((IF(Brand_Profile!$E$62=0,Lookup_Lists!$D$150,ROUND((IF(Brand_Profile!$E$57="",0,IF(ISNUMBER(SEARCH(Brand_Profile!$E$57,Matching_Engine!$BF$51)),1,0))+IF(Brand_Profile!$E$58="",0,IF(ISNUMBER(SEARCH(Brand_Profile!$E$58,Matching_Engine!$BF$51)),1,0))+IF(Brand_Profile!$E$59="",0,IF(ISNUMBER(SEARCH(Brand_Profile!$E$59,Matching_Engine!$BF$51)),1,0))+IF(Brand_Profile!$E$60="",0,IF(ISNUMBER(SEARCH(Brand_Profile!$E$60,Matching_Engine!$BF$51)),1,0))+IF(Brand_Profile!$E$61="",0,IF(ISNUMBER(SEARCH(Brand_Profile!$E$61,Matching_Engine!$BF$51)),1,0)))/Brand_Profile!$E$62*100,0))+IF(Brand_Profile!$E$74=0,Lookup_Lists!$D$150,ROUND((IF(Brand_Profile!$E$69="",0,IF(ISNUMBER(SEARCH(Brand_Profile!$E$69,Matching_Engine!$BF$51)),1,0))+IF(Brand_Profile!$E$70="",0,IF(ISNUMBER(SEARCH(Brand_Profile!$E$70,Matching_Engine!$BF$51)),1,0))+IF(Brand_Profile!$E$71="",0,IF(ISNUMBER(SEARCH(Brand_Profile!$E$71,Matching_Engine!$BF$51)),1,0))+IF(Brand_Profile!$E$72="",0,IF(ISNUMBER(SEARCH(Brand_Profile!$E$72,Matching_Engine!$BF$51)),1,0))+IF(Brand_Profile!$E$73="",0,IF(ISNUMBER(SEARCH(Brand_Profile!$E$73,Matching_Engine!$BF$51)),1,0)))/Brand_Profile!$E$74*100,0)))/2,0)</f>
        <v>20</v>
      </c>
      <c r="N51" s="142">
        <f>ROUND((Matching_Engine!$K$51*Lookup_Lists!$D$110+Matching_Engine!$L$51*Lookup_Lists!$D$111+Matching_Engine!$M$51*Lookup_Lists!$D$112)/(Lookup_Lists!$D$110+Lookup_Lists!$D$111+Lookup_Lists!$D$112),0)</f>
        <v>56</v>
      </c>
      <c r="O51" s="142">
        <f ca="1">IF(Brand_Profile!$E$16="",Lookup_Lists!$D$150,MIN(100,ROUND((IFERROR(INDEX(KOL_Database!$W$20:KOL_Database!$AA$20,1,MATCH(Brand_Profile!$E$16,Lookup_Lists!$F$6:$F$10,0)),0)+0.5*IFERROR(INDEX(KOL_Database!$W$20:KOL_Database!$AA$20,1,MATCH(Brand_Profile!$E$17,Lookup_Lists!$F$6:$F$10,0)),0))/Lookup_Lists!$D$142*100,0)))</f>
        <v>100</v>
      </c>
      <c r="P51" s="142">
        <f>IF(OR(Brand_Profile!$E$18="",Brand_Profile!$E$18="Any"),100,IF(Brand_Profile!$E$18="Female",MIN(100,ROUND(KOL_Database!$AB$20/Lookup_Lists!$D$143*100,0)),IF(Brand_Profile!$E$18="Male",MIN(100,ROUND(KOL_Database!$AC$20/Lookup_Lists!$D$143*100,0)),MAX(0,ROUND(100-ABS(KOL_Database!$AB$20-50)*2,0)))))</f>
        <v>77</v>
      </c>
      <c r="Q51" s="142">
        <f>ROUND((IF(Brand_Profile!$E$19="",100,IF(KOL_Database!$AD$20=Brand_Profile!$E$19,100,Lookup_Lists!$D$151))*Lookup_Lists!$D$118+IF(OR(Brand_Profile!$E$20="",Brand_Profile!$E$20="Nasional"),100,IF(KOL_Database!$AE$20="",Lookup_Lists!$D$150,IF(KOL_Database!$AE$20=Brand_Profile!$E$20,100,IF(KOL_Database!$AD$20=Brand_Profile!$E$19,40,Lookup_Lists!$D$151))))*Lookup_Lists!$D$119+IF(OR(Brand_Profile!$E$21="",Brand_Profile!$E$21="Nasional"),100,IF(KOL_Database!$AF$20="",Lookup_Lists!$D$150,IF(KOL_Database!$AF$20=Brand_Profile!$E$21,100,IF(KOL_Database!$AE$20=Brand_Profile!$E$20,60,Lookup_Lists!$D$151))))*Lookup_Lists!$D$120)/(Lookup_Lists!$D$118+Lookup_Lists!$D$119+Lookup_Lists!$D$120),0)</f>
        <v>80</v>
      </c>
      <c r="R51" s="142">
        <f>IF(Brand_Profile!$E$68=0,Lookup_Lists!$D$150,ROUND((IF(Brand_Profile!$E$63="",0,IF(ISNUMBER(SEARCH(Brand_Profile!$E$63,KOL_Database!$AG$20)),1,0))+IF(Brand_Profile!$E$64="",0,IF(ISNUMBER(SEARCH(Brand_Profile!$E$64,KOL_Database!$AG$20)),1,0))+IF(Brand_Profile!$E$65="",0,IF(ISNUMBER(SEARCH(Brand_Profile!$E$65,KOL_Database!$AG$20)),1,0))+IF(Brand_Profile!$E$66="",0,IF(ISNUMBER(SEARCH(Brand_Profile!$E$66,KOL_Database!$AG$20)),1,0))+IF(Brand_Profile!$E$67="",0,IF(ISNUMBER(SEARCH(Brand_Profile!$E$67,KOL_Database!$AG$20)),1,0)))/Brand_Profile!$E$68*100,0))</f>
        <v>0</v>
      </c>
      <c r="S51" s="142">
        <f ca="1">ROUND((Matching_Engine!$O$51*Brand_Profile!$E$96+Matching_Engine!$P$51*Brand_Profile!$E$97+Matching_Engine!$Q$51*Brand_Profile!$E$98+Matching_Engine!$R$51*Brand_Profile!$E$99)/MAX(1,Brand_Profile!$E$96+Brand_Profile!$E$97+Brand_Profile!$E$98+Brand_Profile!$E$99),0)</f>
        <v>63</v>
      </c>
      <c r="T51" s="142">
        <f>IF(Brand_Profile!$E$33="",Lookup_Lists!$D$150,Matching_Engine!$BD$51)</f>
        <v>80</v>
      </c>
      <c r="U51" s="142">
        <f>IF(Brand_Profile!$E$34="",Lookup_Lists!$D$150,IF(Brand_Profile!$E$34=KOL_Database!$F$20,100,IF(Matching_Engine!$BE$51=KOL_Database!$E$20,75,IF(Matching_Engine!$BD$51&gt;=80,Lookup_Lists!$D$150,IF(Matching_Engine!$BD$51&gt;=60,35,Lookup_Lists!$D$151)))))</f>
        <v>50</v>
      </c>
      <c r="V51" s="142">
        <f>IF(Brand_Profile!$E$86=0,Lookup_Lists!$D$150,ROUND((IF(Brand_Profile!$E$81="",0,IF(ISNUMBER(SEARCH(Brand_Profile!$E$81,Matching_Engine!$BG$51)),1,0))+IF(Brand_Profile!$E$82="",0,IF(ISNUMBER(SEARCH(Brand_Profile!$E$82,Matching_Engine!$BG$51)),1,0))+IF(Brand_Profile!$E$83="",0,IF(ISNUMBER(SEARCH(Brand_Profile!$E$83,Matching_Engine!$BG$51)),1,0))+IF(Brand_Profile!$E$84="",0,IF(ISNUMBER(SEARCH(Brand_Profile!$E$84,Matching_Engine!$BG$51)),1,0))+IF(Brand_Profile!$E$85="",0,IF(ISNUMBER(SEARCH(Brand_Profile!$E$85,Matching_Engine!$BG$51)),1,0)))/Brand_Profile!$E$86*100,0))</f>
        <v>20</v>
      </c>
      <c r="W51" s="142">
        <f>IF(Brand_Profile!$E$39="",Lookup_Lists!$D$150,IFERROR(INDEX(Lookup_Lists!$B$237:$K$246,MATCH(Brand_Profile!$E$39,Lookup_Lists!$A$237:$A$246,0),MATCH(KOL_Database!$AJ$20,Lookup_Lists!$B$236:$K$236,0)),45))</f>
        <v>45</v>
      </c>
      <c r="X51" s="142">
        <f>ROUND((Matching_Engine!$T$51*Lookup_Lists!$D$121+Matching_Engine!$U$51*Lookup_Lists!$D$122+Matching_Engine!$V$51*Lookup_Lists!$D$123+Matching_Engine!$W$51*Lookup_Lists!$D$124)/(Lookup_Lists!$D$121+Lookup_Lists!$D$122+Lookup_Lists!$D$123+Lookup_Lists!$D$124),0)</f>
        <v>49</v>
      </c>
      <c r="Y51" s="142">
        <f>MIN(100,MAX(IFERROR(INDEX(Lookup_Lists!$B$202:$M$211,MATCH(Brand_Profile!$E$25,Lookup_Lists!$A$202:$A$211,0),MATCH(KOL_Database!$AK$20,Lookup_Lists!$B$201:$M$201,0)),40),IF(KOL_Database!$AK$20=Brand_Profile!$E$41,95,0)))</f>
        <v>65</v>
      </c>
      <c r="Z51" s="142">
        <f>IFERROR(INDEX(Lookup_Lists!$B$215:$K$222,MATCH(Brand_Profile!$E$27,Lookup_Lists!$A$215:$A$222,0),MATCH(KOL_Database!$AJ$20,Lookup_Lists!$B$214:$K$214,0)),45)</f>
        <v>85</v>
      </c>
      <c r="AA51" s="142">
        <f>ROUND((IF(Brand_Profile!$E$80=0,Lookup_Lists!$D$150,ROUND((IF(Brand_Profile!$E$75="",0,IF(ISNUMBER(SEARCH(Brand_Profile!$E$75,KOL_Database!$AL$20)),1,0))+IF(Brand_Profile!$E$76="",0,IF(ISNUMBER(SEARCH(Brand_Profile!$E$76,KOL_Database!$AL$20)),1,0))+IF(Brand_Profile!$E$77="",0,IF(ISNUMBER(SEARCH(Brand_Profile!$E$77,KOL_Database!$AL$20)),1,0))+IF(Brand_Profile!$E$78="",0,IF(ISNUMBER(SEARCH(Brand_Profile!$E$78,KOL_Database!$AL$20)),1,0))+IF(Brand_Profile!$E$79="",0,IF(ISNUMBER(SEARCH(Brand_Profile!$E$79,KOL_Database!$AL$20)),1,0)))/Brand_Profile!$E$80*100,0))+IF(Brand_Profile!$E$92=0,Lookup_Lists!$D$150,ROUND((IF(Brand_Profile!$E$87="",0,IF(ISNUMBER(SEARCH(Brand_Profile!$E$87,KOL_Database!$AL$20)),1,0))+IF(Brand_Profile!$E$88="",0,IF(ISNUMBER(SEARCH(Brand_Profile!$E$88,KOL_Database!$AL$20)),1,0))+IF(Brand_Profile!$E$89="",0,IF(ISNUMBER(SEARCH(Brand_Profile!$E$89,KOL_Database!$AL$20)),1,0))+IF(Brand_Profile!$E$90="",0,IF(ISNUMBER(SEARCH(Brand_Profile!$E$90,KOL_Database!$AL$20)),1,0))+IF(Brand_Profile!$E$91="",0,IF(ISNUMBER(SEARCH(Brand_Profile!$E$91,KOL_Database!$AL$20)),1,0)))/Brand_Profile!$E$92*100,0)))/2,0)</f>
        <v>60</v>
      </c>
      <c r="AB51" s="142">
        <f>IFERROR(INDEX(Lookup_Lists!$B$226:$K$233,MATCH(Brand_Profile!$E$30,Lookup_Lists!$A$226:$A$233,0),MATCH(KOL_Database!$AJ$20,Lookup_Lists!$B$225:$K$225,0)),45)</f>
        <v>70</v>
      </c>
      <c r="AC51" s="142">
        <f>ROUND((Matching_Engine!$Y$51*Lookup_Lists!$D$125+Matching_Engine!$Z$51*Lookup_Lists!$D$126+Matching_Engine!$AA$51*Lookup_Lists!$D$127+Matching_Engine!$AB$51*Lookup_Lists!$D$128)/(Lookup_Lists!$D$125+Lookup_Lists!$D$126+Lookup_Lists!$D$127+Lookup_Lists!$D$128),0)</f>
        <v>70</v>
      </c>
      <c r="AD51" s="142">
        <f>IF(KOL_Database!$K$20="",0,MIN(100,ROUND(KOL_Database!$K$20/Lookup_Lists!$D$141*100,0)))</f>
        <v>100</v>
      </c>
      <c r="AE51" s="142">
        <f>IF(KOL_Database!$R$20="",0,MIN(100,MAX(0,KOL_Database!$R$20)))</f>
        <v>72</v>
      </c>
      <c r="AF51" s="142">
        <f>IF(KOL_Database!$P$20="",0,MIN(100,MAX(0,KOL_Database!$P$20)))</f>
        <v>69</v>
      </c>
      <c r="AG51" s="142">
        <f>IF(KOL_Database!$Q$20="",0,MIN(100,MAX(0,KOL_Database!$Q$20)))</f>
        <v>58</v>
      </c>
      <c r="AH51" s="142">
        <f>IF(OR(KOL_Database!$J$20="",KOL_Database!$J$20=0,KOL_Database!$L$20=""),0,MIN(100,ROUND(KOL_Database!$L$20/KOL_Database!$J$20/Lookup_Lists!$D$144*100,0)))</f>
        <v>100</v>
      </c>
      <c r="AI51" s="142">
        <f>IF(KOL_Database!$N$20="",0,MIN(100,MAX(0,ROUND((KOL_Database!$N$20+2)/(Lookup_Lists!$D$145+2)*100,0))))</f>
        <v>36</v>
      </c>
      <c r="AJ51" s="142">
        <f>ROUND((Matching_Engine!$AD$51*Lookup_Lists!$D$129+Matching_Engine!$AE$51*Lookup_Lists!$D$130+Matching_Engine!$AF$51*Lookup_Lists!$D$131+Matching_Engine!$AG$51*Lookup_Lists!$D$132+Matching_Engine!$AH$51*Lookup_Lists!$D$133+Matching_Engine!$AI$51*Lookup_Lists!$D$134)/(Lookup_Lists!$D$129+Lookup_Lists!$D$130+Lookup_Lists!$D$131+Lookup_Lists!$D$132+Lookup_Lists!$D$133+Lookup_Lists!$D$134),0)</f>
        <v>81</v>
      </c>
      <c r="AK51" s="142">
        <f>IF(KOL_Database!$AT$20="",0,MIN(100,MAX(0,KOL_Database!$AT$20)))</f>
        <v>80</v>
      </c>
      <c r="AL51" s="142">
        <f>IF(KOL_Database!$AU$20="",0,KOL_Database!$AU$20)</f>
        <v>27</v>
      </c>
      <c r="AM51" s="89" t="str">
        <f>IF(KOL_Database!$AV$20="","None",KOL_Database!$AV$20)</f>
        <v>Low</v>
      </c>
      <c r="AN51" s="143">
        <f>IF(Matching_Engine!$AM$51="High",Lookup_Lists!$D$137,IF(Matching_Engine!$AM$51="Medium",Lookup_Lists!$D$138,IF(Matching_Engine!$AM$51="Low",Lookup_Lists!$D$139,Lookup_Lists!$D$140)))</f>
        <v>0.95</v>
      </c>
      <c r="AO51" s="142">
        <f>ROUND(MIN(100,MAX(0,(Matching_Engine!$AK$51*Lookup_Lists!$D$135+(100-Matching_Engine!$AL$51)*Lookup_Lists!$D$136)/(Lookup_Lists!$D$135+Lookup_Lists!$D$136)*Matching_Engine!$AN$51)),0)</f>
        <v>75</v>
      </c>
      <c r="AP51" s="13">
        <f ca="1">ROUND((Matching_Engine!$N$51*Lookup_Lists!$D$104+Matching_Engine!$S$51*Lookup_Lists!$D$105+Matching_Engine!$X$51*Lookup_Lists!$D$106+Matching_Engine!$AC$51*Lookup_Lists!$D$107+Matching_Engine!$AJ$51*Lookup_Lists!$D$108+Matching_Engine!$AO$51*Lookup_Lists!$D$109)/MAX(1,(Lookup_Lists!$D$104+Lookup_Lists!$D$105+Lookup_Lists!$D$106+Lookup_Lists!$D$107+Lookup_Lists!$D$108+Lookup_Lists!$D$109)),0)</f>
        <v>63</v>
      </c>
      <c r="AQ51" s="89" t="str">
        <f ca="1">IF(Matching_Engine!$AP$51&gt;=Lookup_Lists!$D$152,"Excellent Match",IF(Matching_Engine!$AP$51&gt;=Lookup_Lists!$D$153,"Strong Match",IF(Matching_Engine!$AP$51&gt;=Lookup_Lists!$D$154,"Good Match",IF(Matching_Engine!$AP$51&gt;=Lookup_Lists!$D$155,"Moderate Match","Low Match"))))</f>
        <v>Moderate Match</v>
      </c>
      <c r="AR51" s="142">
        <f>KOL_Database!$BE$20</f>
        <v>100</v>
      </c>
      <c r="AS51" s="89" t="str">
        <f>IF(Matching_Engine!$AR$51&gt;=Lookup_Lists!$D$159,"High",IF(Matching_Engine!$AR$51&gt;=Lookup_Lists!$D$160,"Medium","Limited Data"))</f>
        <v>High</v>
      </c>
      <c r="AT51" s="142">
        <f>ROUND((Matching_Engine!$N$51+Matching_Engine!$X$51+Matching_Engine!$AC$51)/3,0)</f>
        <v>58</v>
      </c>
      <c r="AU51" s="142">
        <f>ROUND(((100-Matching_Engine!$AL$51)*Lookup_Lists!$D$162+IF(KOL_Database!$BD$20="",Lookup_Lists!$D$150,KOL_Database!$BD$20)*Lookup_Lists!$D$163+Matching_Engine!$AI$51*Lookup_Lists!$D$164+Matching_Engine!$AD$51*Lookup_Lists!$D$165)/(Lookup_Lists!$D$162+Lookup_Lists!$D$163+Lookup_Lists!$D$164+Lookup_Lists!$D$165),0)</f>
        <v>75</v>
      </c>
      <c r="AV51" s="89" t="str">
        <f ca="1">IF(Matching_Engine!$AW$51="","PASS","EXCLUDED")</f>
        <v>EXCLUDED</v>
      </c>
      <c r="AW51" s="89" t="str">
        <f ca="1">IF(ISERROR(SEARCH(KOL_Database!$D$20,Brand_Profile!$E$32)),"Platform not in Preferred Platform",IF(AND(Brand_Profile!$E$36&gt;0,KOL_Database!$J$20&lt;Brand_Profile!$E$36),"Followers below Preferred Follower Range",IF(AND(Brand_Profile!$E$37&gt;0,KOL_Database!$J$20&gt;Brand_Profile!$E$37),"Followers above Preferred Follower Range",IF(AND(Brand_Profile!$E$38&gt;0,IF(KOL_Database!$K$20="",0,KOL_Database!$K$20)&lt;Brand_Profile!$E$38),"Engagement Rate below Minimum Engagement Rate",IF(ISERROR(SEARCH(KOL_Database!$G$20,Brand_Profile!$E$35)),"Tier not in Preferred Tier",IF(AND(Brand_Profile!$E$43&gt;0,Matching_Engine!$AE$51&lt;Brand_Profile!$E$43),"Audience Quality below Minimum Audience Quality",IF(AND(Brand_Profile!$E$44&gt;0,Matching_Engine!$AK$51&lt;Brand_Profile!$E$44),"Brand Safety below Minimum Brand Safety",IF(AND(Brand_Profile!$E$47="Yes",KOL_Database!$AD$20&lt;&gt;Brand_Profile!$E$19),"Audience Country does not match Target Country",IF(AND(Brand_Profile!$E$46="Yes",KOL_Database!$E$20&lt;&gt;Brand_Profile!$E$33),"Category is not the Preferred Category",IF(AND(Brand_Profile!$E$48&gt;0,Matching_Engine!$AL$51&gt;Brand_Profile!$E$48),"Competitor Saturation above Max Competitor Saturation",IF(AND(Brand_Profile!$E$50="Yes",KOL_Database!$AW$20="Yes"),"Already Selected",IF(AND(Brand_Profile!$E$51="Yes",KOL_Database!$AX$20="Yes"),"Already in Cart",IF(AND(Brand_Profile!$E$52="Yes",KOL_Database!$AY$20="Yes"),"Existing Partner",IF(AND(Brand_Profile!$E$53="Yes",KOL_Database!$AZ$20="Yes"),"Excluded Creator",IF(AND(Brand_Profile!$E$49&gt;0,Matching_Engine!$AP$51&lt;Brand_Profile!$E$49),"Brand Match below Minimum Brand Match","")))))))))))))))</f>
        <v>Tier not in Preferred Tier</v>
      </c>
      <c r="AX51" s="89" t="str">
        <f ca="1">IF(Matching_Engine!$AV$51="EXCLUDED","Excluded",IF(Matching_Engine!$AP$51&gt;=Lookup_Lists!$D$156,"Highly Recommended",IF(Matching_Engine!$AP$51&gt;=Lookup_Lists!$D$157,"Recommended",IF(Matching_Engine!$AP$51&gt;=Lookup_Lists!$D$158,"Consider","Low Priority"))))</f>
        <v>Excluded</v>
      </c>
      <c r="AY51" s="142" t="str">
        <f ca="1">IF(Matching_Engine!$AV$51="PASS",Matching_Engine!$AP$51,"")</f>
        <v/>
      </c>
      <c r="AZ51" s="89" t="str">
        <f>Matching_Engine!$A$51&amp;"|"&amp;Matching_Engine!$C$51</f>
        <v>BRAND-B|KOL-16</v>
      </c>
      <c r="BA51" s="89" t="str">
        <f>IFERROR(INDEX(Lookup_Lists!$B$51:$B$92,MATCH(Brand_Profile!$E$12,Lookup_Lists!$A$51:$A$92,0)),"")</f>
        <v>Beauty</v>
      </c>
      <c r="BB51" s="89" t="str">
        <f>IFERROR(INDEX(Lookup_Lists!$B$51:$B$92,MATCH(KOL_Database!$F$20,Lookup_Lists!$A$51:$A$92,0)),"")</f>
        <v>Lifestyle</v>
      </c>
      <c r="BC51" s="142">
        <f>IFERROR(INDEX(Lookup_Lists!$B$185:$O$198,MATCH(Matching_Engine!$BA$51,Lookup_Lists!$A$185:$A$198,0),MATCH(KOL_Database!$E$20,Lookup_Lists!$B$184:$O$184,0)),Lookup_Lists!$D$151)</f>
        <v>80</v>
      </c>
      <c r="BD51" s="142">
        <f>IFERROR(INDEX(Lookup_Lists!$B$185:$O$198,MATCH(Brand_Profile!$E$33,Lookup_Lists!$A$185:$A$198,0),MATCH(KOL_Database!$E$20,Lookup_Lists!$B$184:$O$184,0)),Lookup_Lists!$D$151)</f>
        <v>80</v>
      </c>
      <c r="BE51" s="89" t="str">
        <f>IFERROR(INDEX(Lookup_Lists!$B$51:$B$92,MATCH(Brand_Profile!$E$34,Lookup_Lists!$A$51:$A$92,0)),"")</f>
        <v>Beauty</v>
      </c>
      <c r="BF51" s="89" t="str">
        <f>KOL_Database!$AI$20&amp;", "&amp;KOL_Database!$AG$20&amp;", "&amp;KOL_Database!$F$20&amp;", "&amp;KOL_Database!$E$20</f>
        <v>Productivity, Education, Finance, Productivity, Education, Finance, Technology, Health, Self Improvement, Lifestyle</v>
      </c>
      <c r="BG51" s="89" t="str">
        <f>KOL_Database!$AI$20&amp;", "&amp;KOL_Database!$AG$20</f>
        <v>Productivity, Education, Finance, Productivity, Education, Finance, Technology, Health</v>
      </c>
    </row>
    <row r="52" spans="1:59">
      <c r="A52" s="101" t="s">
        <v>118</v>
      </c>
      <c r="B52" s="89" t="str">
        <f>Brand_Profile!$E$9</f>
        <v>Lumaya Skin</v>
      </c>
      <c r="C52" s="89" t="str">
        <f>KOL_Database!$A$21</f>
        <v>KOL-17</v>
      </c>
      <c r="D52" s="89" t="str">
        <f>KOL_Database!$B$21</f>
        <v>Sinta Maharani</v>
      </c>
      <c r="E52" s="89" t="str">
        <f>KOL_Database!$C$21</f>
        <v>@sintajalanjalan</v>
      </c>
      <c r="F52" s="89" t="str">
        <f>KOL_Database!$D$21</f>
        <v>Instagram</v>
      </c>
      <c r="G52" s="89" t="str">
        <f>KOL_Database!$E$21</f>
        <v>Travel</v>
      </c>
      <c r="H52" s="89" t="str">
        <f>KOL_Database!$G$21</f>
        <v>Macro</v>
      </c>
      <c r="I52" s="140">
        <f>KOL_Database!$J$21</f>
        <v>187000</v>
      </c>
      <c r="J52" s="141">
        <f>KOL_Database!$K$21</f>
        <v>4.1</v>
      </c>
      <c r="K52" s="142">
        <f>IFERROR(INDEX(Lookup_Lists!$B$170:$O$181,MATCH(Brand_Profile!$E$10,Lookup_Lists!$A$170:$A$181,0),MATCH(KOL_Database!$E$21,Lookup_Lists!$B$169:$O$169,0)),Lookup_Lists!$D$151)</f>
        <v>40</v>
      </c>
      <c r="L52" s="142">
        <f>IF(KOL_Database!$F$21="",Matching_Engine!$BC$52,IF(Brand_Profile!$E$12=KOL_Database!$F$21,100,IF(Matching_Engine!$BA$52=KOL_Database!$E$21,80,IF(Matching_Engine!$BC$52&gt;=80,60,IF(Matching_Engine!$BC$52&gt;=60,40,Lookup_Lists!$D$151)))))</f>
        <v>40</v>
      </c>
      <c r="M52" s="142">
        <f>ROUND((IF(Brand_Profile!$E$62=0,Lookup_Lists!$D$150,ROUND((IF(Brand_Profile!$E$57="",0,IF(ISNUMBER(SEARCH(Brand_Profile!$E$57,Matching_Engine!$BF$52)),1,0))+IF(Brand_Profile!$E$58="",0,IF(ISNUMBER(SEARCH(Brand_Profile!$E$58,Matching_Engine!$BF$52)),1,0))+IF(Brand_Profile!$E$59="",0,IF(ISNUMBER(SEARCH(Brand_Profile!$E$59,Matching_Engine!$BF$52)),1,0))+IF(Brand_Profile!$E$60="",0,IF(ISNUMBER(SEARCH(Brand_Profile!$E$60,Matching_Engine!$BF$52)),1,0))+IF(Brand_Profile!$E$61="",0,IF(ISNUMBER(SEARCH(Brand_Profile!$E$61,Matching_Engine!$BF$52)),1,0)))/Brand_Profile!$E$62*100,0))+IF(Brand_Profile!$E$74=0,Lookup_Lists!$D$150,ROUND((IF(Brand_Profile!$E$69="",0,IF(ISNUMBER(SEARCH(Brand_Profile!$E$69,Matching_Engine!$BF$52)),1,0))+IF(Brand_Profile!$E$70="",0,IF(ISNUMBER(SEARCH(Brand_Profile!$E$70,Matching_Engine!$BF$52)),1,0))+IF(Brand_Profile!$E$71="",0,IF(ISNUMBER(SEARCH(Brand_Profile!$E$71,Matching_Engine!$BF$52)),1,0))+IF(Brand_Profile!$E$72="",0,IF(ISNUMBER(SEARCH(Brand_Profile!$E$72,Matching_Engine!$BF$52)),1,0))+IF(Brand_Profile!$E$73="",0,IF(ISNUMBER(SEARCH(Brand_Profile!$E$73,Matching_Engine!$BF$52)),1,0)))/Brand_Profile!$E$74*100,0)))/2,0)</f>
        <v>20</v>
      </c>
      <c r="N52" s="142">
        <f>ROUND((Matching_Engine!$K$52*Lookup_Lists!$D$110+Matching_Engine!$L$52*Lookup_Lists!$D$111+Matching_Engine!$M$52*Lookup_Lists!$D$112)/(Lookup_Lists!$D$110+Lookup_Lists!$D$111+Lookup_Lists!$D$112),0)</f>
        <v>34</v>
      </c>
      <c r="O52" s="142">
        <f ca="1">IF(Brand_Profile!$E$16="",Lookup_Lists!$D$150,MIN(100,ROUND((IFERROR(INDEX(KOL_Database!$W$21:KOL_Database!$AA$21,1,MATCH(Brand_Profile!$E$16,Lookup_Lists!$F$6:$F$10,0)),0)+0.5*IFERROR(INDEX(KOL_Database!$W$21:KOL_Database!$AA$21,1,MATCH(Brand_Profile!$E$17,Lookup_Lists!$F$6:$F$10,0)),0))/Lookup_Lists!$D$142*100,0)))</f>
        <v>97</v>
      </c>
      <c r="P52" s="142">
        <f>IF(OR(Brand_Profile!$E$18="",Brand_Profile!$E$18="Any"),100,IF(Brand_Profile!$E$18="Female",MIN(100,ROUND(KOL_Database!$AB$21/Lookup_Lists!$D$143*100,0)),IF(Brand_Profile!$E$18="Male",MIN(100,ROUND(KOL_Database!$AC$21/Lookup_Lists!$D$143*100,0)),MAX(0,ROUND(100-ABS(KOL_Database!$AB$21-50)*2,0)))))</f>
        <v>100</v>
      </c>
      <c r="Q52" s="142">
        <f>ROUND((IF(Brand_Profile!$E$19="",100,IF(KOL_Database!$AD$21=Brand_Profile!$E$19,100,Lookup_Lists!$D$151))*Lookup_Lists!$D$118+IF(OR(Brand_Profile!$E$20="",Brand_Profile!$E$20="Nasional"),100,IF(KOL_Database!$AE$21="",Lookup_Lists!$D$150,IF(KOL_Database!$AE$21=Brand_Profile!$E$20,100,IF(KOL_Database!$AD$21=Brand_Profile!$E$19,40,Lookup_Lists!$D$151))))*Lookup_Lists!$D$119+IF(OR(Brand_Profile!$E$21="",Brand_Profile!$E$21="Nasional"),100,IF(KOL_Database!$AF$21="",Lookup_Lists!$D$150,IF(KOL_Database!$AF$21=Brand_Profile!$E$21,100,IF(KOL_Database!$AE$21=Brand_Profile!$E$20,60,Lookup_Lists!$D$151))))*Lookup_Lists!$D$120)/(Lookup_Lists!$D$118+Lookup_Lists!$D$119+Lookup_Lists!$D$120),0)</f>
        <v>80</v>
      </c>
      <c r="R52" s="142">
        <f>IF(Brand_Profile!$E$68=0,Lookup_Lists!$D$150,ROUND((IF(Brand_Profile!$E$63="",0,IF(ISNUMBER(SEARCH(Brand_Profile!$E$63,KOL_Database!$AG$21)),1,0))+IF(Brand_Profile!$E$64="",0,IF(ISNUMBER(SEARCH(Brand_Profile!$E$64,KOL_Database!$AG$21)),1,0))+IF(Brand_Profile!$E$65="",0,IF(ISNUMBER(SEARCH(Brand_Profile!$E$65,KOL_Database!$AG$21)),1,0))+IF(Brand_Profile!$E$66="",0,IF(ISNUMBER(SEARCH(Brand_Profile!$E$66,KOL_Database!$AG$21)),1,0))+IF(Brand_Profile!$E$67="",0,IF(ISNUMBER(SEARCH(Brand_Profile!$E$67,KOL_Database!$AG$21)),1,0)))/Brand_Profile!$E$68*100,0))</f>
        <v>40</v>
      </c>
      <c r="S52" s="142">
        <f ca="1">ROUND((Matching_Engine!$O$52*Brand_Profile!$E$96+Matching_Engine!$P$52*Brand_Profile!$E$97+Matching_Engine!$Q$52*Brand_Profile!$E$98+Matching_Engine!$R$52*Brand_Profile!$E$99)/MAX(1,Brand_Profile!$E$96+Brand_Profile!$E$97+Brand_Profile!$E$98+Brand_Profile!$E$99),0)</f>
        <v>79</v>
      </c>
      <c r="T52" s="142">
        <f>IF(Brand_Profile!$E$33="",Lookup_Lists!$D$150,Matching_Engine!$BD$52)</f>
        <v>60</v>
      </c>
      <c r="U52" s="142">
        <f>IF(Brand_Profile!$E$34="",Lookup_Lists!$D$150,IF(Brand_Profile!$E$34=KOL_Database!$F$21,100,IF(Matching_Engine!$BE$52=KOL_Database!$E$21,75,IF(Matching_Engine!$BD$52&gt;=80,Lookup_Lists!$D$150,IF(Matching_Engine!$BD$52&gt;=60,35,Lookup_Lists!$D$151)))))</f>
        <v>35</v>
      </c>
      <c r="V52" s="142">
        <f>IF(Brand_Profile!$E$86=0,Lookup_Lists!$D$150,ROUND((IF(Brand_Profile!$E$81="",0,IF(ISNUMBER(SEARCH(Brand_Profile!$E$81,Matching_Engine!$BG$52)),1,0))+IF(Brand_Profile!$E$82="",0,IF(ISNUMBER(SEARCH(Brand_Profile!$E$82,Matching_Engine!$BG$52)),1,0))+IF(Brand_Profile!$E$83="",0,IF(ISNUMBER(SEARCH(Brand_Profile!$E$83,Matching_Engine!$BG$52)),1,0))+IF(Brand_Profile!$E$84="",0,IF(ISNUMBER(SEARCH(Brand_Profile!$E$84,Matching_Engine!$BG$52)),1,0))+IF(Brand_Profile!$E$85="",0,IF(ISNUMBER(SEARCH(Brand_Profile!$E$85,Matching_Engine!$BG$52)),1,0)))/Brand_Profile!$E$86*100,0))</f>
        <v>20</v>
      </c>
      <c r="W52" s="142">
        <f>IF(Brand_Profile!$E$39="",Lookup_Lists!$D$150,IFERROR(INDEX(Lookup_Lists!$B$237:$K$246,MATCH(Brand_Profile!$E$39,Lookup_Lists!$A$237:$A$246,0),MATCH(KOL_Database!$AJ$21,Lookup_Lists!$B$236:$K$236,0)),45))</f>
        <v>45</v>
      </c>
      <c r="X52" s="142">
        <f>ROUND((Matching_Engine!$T$52*Lookup_Lists!$D$121+Matching_Engine!$U$52*Lookup_Lists!$D$122+Matching_Engine!$V$52*Lookup_Lists!$D$123+Matching_Engine!$W$52*Lookup_Lists!$D$124)/(Lookup_Lists!$D$121+Lookup_Lists!$D$122+Lookup_Lists!$D$123+Lookup_Lists!$D$124),0)</f>
        <v>40</v>
      </c>
      <c r="Y52" s="142">
        <f>MIN(100,MAX(IFERROR(INDEX(Lookup_Lists!$B$202:$M$211,MATCH(Brand_Profile!$E$25,Lookup_Lists!$A$202:$A$211,0),MATCH(KOL_Database!$AK$21,Lookup_Lists!$B$201:$M$201,0)),40),IF(KOL_Database!$AK$21=Brand_Profile!$E$41,95,0)))</f>
        <v>100</v>
      </c>
      <c r="Z52" s="142">
        <f>IFERROR(INDEX(Lookup_Lists!$B$215:$K$222,MATCH(Brand_Profile!$E$27,Lookup_Lists!$A$215:$A$222,0),MATCH(KOL_Database!$AJ$21,Lookup_Lists!$B$214:$K$214,0)),45)</f>
        <v>95</v>
      </c>
      <c r="AA52" s="142">
        <f>ROUND((IF(Brand_Profile!$E$80=0,Lookup_Lists!$D$150,ROUND((IF(Brand_Profile!$E$75="",0,IF(ISNUMBER(SEARCH(Brand_Profile!$E$75,KOL_Database!$AL$21)),1,0))+IF(Brand_Profile!$E$76="",0,IF(ISNUMBER(SEARCH(Brand_Profile!$E$76,KOL_Database!$AL$21)),1,0))+IF(Brand_Profile!$E$77="",0,IF(ISNUMBER(SEARCH(Brand_Profile!$E$77,KOL_Database!$AL$21)),1,0))+IF(Brand_Profile!$E$78="",0,IF(ISNUMBER(SEARCH(Brand_Profile!$E$78,KOL_Database!$AL$21)),1,0))+IF(Brand_Profile!$E$79="",0,IF(ISNUMBER(SEARCH(Brand_Profile!$E$79,KOL_Database!$AL$21)),1,0)))/Brand_Profile!$E$80*100,0))+IF(Brand_Profile!$E$92=0,Lookup_Lists!$D$150,ROUND((IF(Brand_Profile!$E$87="",0,IF(ISNUMBER(SEARCH(Brand_Profile!$E$87,KOL_Database!$AL$21)),1,0))+IF(Brand_Profile!$E$88="",0,IF(ISNUMBER(SEARCH(Brand_Profile!$E$88,KOL_Database!$AL$21)),1,0))+IF(Brand_Profile!$E$89="",0,IF(ISNUMBER(SEARCH(Brand_Profile!$E$89,KOL_Database!$AL$21)),1,0))+IF(Brand_Profile!$E$90="",0,IF(ISNUMBER(SEARCH(Brand_Profile!$E$90,KOL_Database!$AL$21)),1,0))+IF(Brand_Profile!$E$91="",0,IF(ISNUMBER(SEARCH(Brand_Profile!$E$91,KOL_Database!$AL$21)),1,0)))/Brand_Profile!$E$92*100,0)))/2,0)</f>
        <v>40</v>
      </c>
      <c r="AB52" s="142">
        <f>IFERROR(INDEX(Lookup_Lists!$B$226:$K$233,MATCH(Brand_Profile!$E$30,Lookup_Lists!$A$226:$A$233,0),MATCH(KOL_Database!$AJ$21,Lookup_Lists!$B$225:$K$225,0)),45)</f>
        <v>100</v>
      </c>
      <c r="AC52" s="142">
        <f>ROUND((Matching_Engine!$Y$52*Lookup_Lists!$D$125+Matching_Engine!$Z$52*Lookup_Lists!$D$126+Matching_Engine!$AA$52*Lookup_Lists!$D$127+Matching_Engine!$AB$52*Lookup_Lists!$D$128)/(Lookup_Lists!$D$125+Lookup_Lists!$D$126+Lookup_Lists!$D$127+Lookup_Lists!$D$128),0)</f>
        <v>84</v>
      </c>
      <c r="AD52" s="142">
        <f>IF(KOL_Database!$K$21="",0,MIN(100,ROUND(KOL_Database!$K$21/Lookup_Lists!$D$141*100,0)))</f>
        <v>68</v>
      </c>
      <c r="AE52" s="142">
        <f>IF(KOL_Database!$R$21="",0,MIN(100,MAX(0,KOL_Database!$R$21)))</f>
        <v>79</v>
      </c>
      <c r="AF52" s="142">
        <f>IF(KOL_Database!$P$21="",0,MIN(100,MAX(0,KOL_Database!$P$21)))</f>
        <v>60</v>
      </c>
      <c r="AG52" s="142">
        <f>IF(KOL_Database!$Q$21="",0,MIN(100,MAX(0,KOL_Database!$Q$21)))</f>
        <v>55</v>
      </c>
      <c r="AH52" s="142">
        <f>IF(OR(KOL_Database!$J$21="",KOL_Database!$J$21=0,KOL_Database!$L$21=""),0,MIN(100,ROUND(KOL_Database!$L$21/KOL_Database!$J$21/Lookup_Lists!$D$144*100,0)))</f>
        <v>68</v>
      </c>
      <c r="AI52" s="142">
        <f>IF(KOL_Database!$N$21="",0,MIN(100,MAX(0,ROUND((KOL_Database!$N$21+2)/(Lookup_Lists!$D$145+2)*100,0))))</f>
        <v>58</v>
      </c>
      <c r="AJ52" s="142">
        <f>ROUND((Matching_Engine!$AD$52*Lookup_Lists!$D$129+Matching_Engine!$AE$52*Lookup_Lists!$D$130+Matching_Engine!$AF$52*Lookup_Lists!$D$131+Matching_Engine!$AG$52*Lookup_Lists!$D$132+Matching_Engine!$AH$52*Lookup_Lists!$D$133+Matching_Engine!$AI$52*Lookup_Lists!$D$134)/(Lookup_Lists!$D$129+Lookup_Lists!$D$130+Lookup_Lists!$D$131+Lookup_Lists!$D$132+Lookup_Lists!$D$133+Lookup_Lists!$D$134),0)</f>
        <v>67</v>
      </c>
      <c r="AK52" s="142">
        <f>IF(KOL_Database!$AT$21="",0,MIN(100,MAX(0,KOL_Database!$AT$21)))</f>
        <v>83</v>
      </c>
      <c r="AL52" s="142">
        <f>IF(KOL_Database!$AU$21="",0,KOL_Database!$AU$21)</f>
        <v>41</v>
      </c>
      <c r="AM52" s="89" t="str">
        <f>IF(KOL_Database!$AV$21="","None",KOL_Database!$AV$21)</f>
        <v>None</v>
      </c>
      <c r="AN52" s="143">
        <f>IF(Matching_Engine!$AM$52="High",Lookup_Lists!$D$137,IF(Matching_Engine!$AM$52="Medium",Lookup_Lists!$D$138,IF(Matching_Engine!$AM$52="Low",Lookup_Lists!$D$139,Lookup_Lists!$D$140)))</f>
        <v>1</v>
      </c>
      <c r="AO52" s="142">
        <f>ROUND(MIN(100,MAX(0,(Matching_Engine!$AK$52*Lookup_Lists!$D$135+(100-Matching_Engine!$AL$52)*Lookup_Lists!$D$136)/(Lookup_Lists!$D$135+Lookup_Lists!$D$136)*Matching_Engine!$AN$52)),0)</f>
        <v>78</v>
      </c>
      <c r="AP52" s="13">
        <f ca="1">ROUND((Matching_Engine!$N$52*Lookup_Lists!$D$104+Matching_Engine!$S$52*Lookup_Lists!$D$105+Matching_Engine!$X$52*Lookup_Lists!$D$106+Matching_Engine!$AC$52*Lookup_Lists!$D$107+Matching_Engine!$AJ$52*Lookup_Lists!$D$108+Matching_Engine!$AO$52*Lookup_Lists!$D$109)/MAX(1,(Lookup_Lists!$D$104+Lookup_Lists!$D$105+Lookup_Lists!$D$106+Lookup_Lists!$D$107+Lookup_Lists!$D$108+Lookup_Lists!$D$109)),0)</f>
        <v>61</v>
      </c>
      <c r="AQ52" s="89" t="str">
        <f ca="1">IF(Matching_Engine!$AP$52&gt;=Lookup_Lists!$D$152,"Excellent Match",IF(Matching_Engine!$AP$52&gt;=Lookup_Lists!$D$153,"Strong Match",IF(Matching_Engine!$AP$52&gt;=Lookup_Lists!$D$154,"Good Match",IF(Matching_Engine!$AP$52&gt;=Lookup_Lists!$D$155,"Moderate Match","Low Match"))))</f>
        <v>Moderate Match</v>
      </c>
      <c r="AR52" s="142">
        <f>KOL_Database!$BE$21</f>
        <v>100</v>
      </c>
      <c r="AS52" s="89" t="str">
        <f>IF(Matching_Engine!$AR$52&gt;=Lookup_Lists!$D$159,"High",IF(Matching_Engine!$AR$52&gt;=Lookup_Lists!$D$160,"Medium","Limited Data"))</f>
        <v>High</v>
      </c>
      <c r="AT52" s="142">
        <f>ROUND((Matching_Engine!$N$52+Matching_Engine!$X$52+Matching_Engine!$AC$52)/3,0)</f>
        <v>53</v>
      </c>
      <c r="AU52" s="142">
        <f>ROUND(((100-Matching_Engine!$AL$52)*Lookup_Lists!$D$162+IF(KOL_Database!$BD$21="",Lookup_Lists!$D$150,KOL_Database!$BD$21)*Lookup_Lists!$D$163+Matching_Engine!$AI$52*Lookup_Lists!$D$164+Matching_Engine!$AD$52*Lookup_Lists!$D$165)/(Lookup_Lists!$D$162+Lookup_Lists!$D$163+Lookup_Lists!$D$164+Lookup_Lists!$D$165),0)</f>
        <v>59</v>
      </c>
      <c r="AV52" s="89" t="str">
        <f ca="1">IF(Matching_Engine!$AW$52="","PASS","EXCLUDED")</f>
        <v>EXCLUDED</v>
      </c>
      <c r="AW52" s="89" t="str">
        <f ca="1">IF(ISERROR(SEARCH(KOL_Database!$D$21,Brand_Profile!$E$32)),"Platform not in Preferred Platform",IF(AND(Brand_Profile!$E$36&gt;0,KOL_Database!$J$21&lt;Brand_Profile!$E$36),"Followers below Preferred Follower Range",IF(AND(Brand_Profile!$E$37&gt;0,KOL_Database!$J$21&gt;Brand_Profile!$E$37),"Followers above Preferred Follower Range",IF(AND(Brand_Profile!$E$38&gt;0,IF(KOL_Database!$K$21="",0,KOL_Database!$K$21)&lt;Brand_Profile!$E$38),"Engagement Rate below Minimum Engagement Rate",IF(ISERROR(SEARCH(KOL_Database!$G$21,Brand_Profile!$E$35)),"Tier not in Preferred Tier",IF(AND(Brand_Profile!$E$43&gt;0,Matching_Engine!$AE$52&lt;Brand_Profile!$E$43),"Audience Quality below Minimum Audience Quality",IF(AND(Brand_Profile!$E$44&gt;0,Matching_Engine!$AK$52&lt;Brand_Profile!$E$44),"Brand Safety below Minimum Brand Safety",IF(AND(Brand_Profile!$E$47="Yes",KOL_Database!$AD$21&lt;&gt;Brand_Profile!$E$19),"Audience Country does not match Target Country",IF(AND(Brand_Profile!$E$46="Yes",KOL_Database!$E$21&lt;&gt;Brand_Profile!$E$33),"Category is not the Preferred Category",IF(AND(Brand_Profile!$E$48&gt;0,Matching_Engine!$AL$52&gt;Brand_Profile!$E$48),"Competitor Saturation above Max Competitor Saturation",IF(AND(Brand_Profile!$E$50="Yes",KOL_Database!$AW$21="Yes"),"Already Selected",IF(AND(Brand_Profile!$E$51="Yes",KOL_Database!$AX$21="Yes"),"Already in Cart",IF(AND(Brand_Profile!$E$52="Yes",KOL_Database!$AY$21="Yes"),"Existing Partner",IF(AND(Brand_Profile!$E$53="Yes",KOL_Database!$AZ$21="Yes"),"Excluded Creator",IF(AND(Brand_Profile!$E$49&gt;0,Matching_Engine!$AP$52&lt;Brand_Profile!$E$49),"Brand Match below Minimum Brand Match","")))))))))))))))</f>
        <v>Tier not in Preferred Tier</v>
      </c>
      <c r="AX52" s="89" t="str">
        <f ca="1">IF(Matching_Engine!$AV$52="EXCLUDED","Excluded",IF(Matching_Engine!$AP$52&gt;=Lookup_Lists!$D$156,"Highly Recommended",IF(Matching_Engine!$AP$52&gt;=Lookup_Lists!$D$157,"Recommended",IF(Matching_Engine!$AP$52&gt;=Lookup_Lists!$D$158,"Consider","Low Priority"))))</f>
        <v>Excluded</v>
      </c>
      <c r="AY52" s="142" t="str">
        <f ca="1">IF(Matching_Engine!$AV$52="PASS",Matching_Engine!$AP$52,"")</f>
        <v/>
      </c>
      <c r="AZ52" s="89" t="str">
        <f>Matching_Engine!$A$52&amp;"|"&amp;Matching_Engine!$C$52</f>
        <v>BRAND-B|KOL-17</v>
      </c>
      <c r="BA52" s="89" t="str">
        <f>IFERROR(INDEX(Lookup_Lists!$B$51:$B$92,MATCH(Brand_Profile!$E$12,Lookup_Lists!$A$51:$A$92,0)),"")</f>
        <v>Beauty</v>
      </c>
      <c r="BB52" s="89" t="str">
        <f>IFERROR(INDEX(Lookup_Lists!$B$51:$B$92,MATCH(KOL_Database!$F$21,Lookup_Lists!$A$51:$A$92,0)),"")</f>
        <v>Travel</v>
      </c>
      <c r="BC52" s="142">
        <f>IFERROR(INDEX(Lookup_Lists!$B$185:$O$198,MATCH(Matching_Engine!$BA$52,Lookup_Lists!$A$185:$A$198,0),MATCH(KOL_Database!$E$21,Lookup_Lists!$B$184:$O$184,0)),Lookup_Lists!$D$151)</f>
        <v>60</v>
      </c>
      <c r="BD52" s="142">
        <f>IFERROR(INDEX(Lookup_Lists!$B$185:$O$198,MATCH(Brand_Profile!$E$33,Lookup_Lists!$A$185:$A$198,0),MATCH(KOL_Database!$E$21,Lookup_Lists!$B$184:$O$184,0)),Lookup_Lists!$D$151)</f>
        <v>60</v>
      </c>
      <c r="BE52" s="89" t="str">
        <f>IFERROR(INDEX(Lookup_Lists!$B$51:$B$92,MATCH(Brand_Profile!$E$34,Lookup_Lists!$A$51:$A$92,0)),"")</f>
        <v>Beauty</v>
      </c>
      <c r="BF52" s="89" t="str">
        <f>KOL_Database!$AI$21&amp;", "&amp;KOL_Database!$AG$21&amp;", "&amp;KOL_Database!$F$21&amp;", "&amp;KOL_Database!$E$21</f>
        <v>Travel, Food, Shopping, Travel, Food, Shopping, Fashion, Entertainment, Domestic Travel, Travel</v>
      </c>
      <c r="BG52" s="89" t="str">
        <f>KOL_Database!$AI$21&amp;", "&amp;KOL_Database!$AG$21</f>
        <v>Travel, Food, Shopping, Travel, Food, Shopping, Fashion, Entertainment</v>
      </c>
    </row>
    <row r="53" spans="1:59">
      <c r="A53" s="101" t="s">
        <v>118</v>
      </c>
      <c r="B53" s="89" t="str">
        <f>Brand_Profile!$E$9</f>
        <v>Lumaya Skin</v>
      </c>
      <c r="C53" s="89" t="str">
        <f>KOL_Database!$A$22</f>
        <v>KOL-18</v>
      </c>
      <c r="D53" s="89" t="str">
        <f>KOL_Database!$B$22</f>
        <v>Reza Fadillah</v>
      </c>
      <c r="E53" s="89" t="str">
        <f>KOL_Database!$C$22</f>
        <v>@rezabudgettrip</v>
      </c>
      <c r="F53" s="89" t="str">
        <f>KOL_Database!$D$22</f>
        <v>TikTok</v>
      </c>
      <c r="G53" s="89" t="str">
        <f>KOL_Database!$E$22</f>
        <v>Travel</v>
      </c>
      <c r="H53" s="89" t="str">
        <f>KOL_Database!$G$22</f>
        <v>Mid-tier</v>
      </c>
      <c r="I53" s="140">
        <f>KOL_Database!$J$22</f>
        <v>72000</v>
      </c>
      <c r="J53" s="141">
        <f>KOL_Database!$K$22</f>
        <v>6.9</v>
      </c>
      <c r="K53" s="142">
        <f>IFERROR(INDEX(Lookup_Lists!$B$170:$O$181,MATCH(Brand_Profile!$E$10,Lookup_Lists!$A$170:$A$181,0),MATCH(KOL_Database!$E$22,Lookup_Lists!$B$169:$O$169,0)),Lookup_Lists!$D$151)</f>
        <v>40</v>
      </c>
      <c r="L53" s="142">
        <f>IF(KOL_Database!$F$22="",Matching_Engine!$BC$53,IF(Brand_Profile!$E$12=KOL_Database!$F$22,100,IF(Matching_Engine!$BA$53=KOL_Database!$E$22,80,IF(Matching_Engine!$BC$53&gt;=80,60,IF(Matching_Engine!$BC$53&gt;=60,40,Lookup_Lists!$D$151)))))</f>
        <v>40</v>
      </c>
      <c r="M53" s="142">
        <f>ROUND((IF(Brand_Profile!$E$62=0,Lookup_Lists!$D$150,ROUND((IF(Brand_Profile!$E$57="",0,IF(ISNUMBER(SEARCH(Brand_Profile!$E$57,Matching_Engine!$BF$53)),1,0))+IF(Brand_Profile!$E$58="",0,IF(ISNUMBER(SEARCH(Brand_Profile!$E$58,Matching_Engine!$BF$53)),1,0))+IF(Brand_Profile!$E$59="",0,IF(ISNUMBER(SEARCH(Brand_Profile!$E$59,Matching_Engine!$BF$53)),1,0))+IF(Brand_Profile!$E$60="",0,IF(ISNUMBER(SEARCH(Brand_Profile!$E$60,Matching_Engine!$BF$53)),1,0))+IF(Brand_Profile!$E$61="",0,IF(ISNUMBER(SEARCH(Brand_Profile!$E$61,Matching_Engine!$BF$53)),1,0)))/Brand_Profile!$E$62*100,0))+IF(Brand_Profile!$E$74=0,Lookup_Lists!$D$150,ROUND((IF(Brand_Profile!$E$69="",0,IF(ISNUMBER(SEARCH(Brand_Profile!$E$69,Matching_Engine!$BF$53)),1,0))+IF(Brand_Profile!$E$70="",0,IF(ISNUMBER(SEARCH(Brand_Profile!$E$70,Matching_Engine!$BF$53)),1,0))+IF(Brand_Profile!$E$71="",0,IF(ISNUMBER(SEARCH(Brand_Profile!$E$71,Matching_Engine!$BF$53)),1,0))+IF(Brand_Profile!$E$72="",0,IF(ISNUMBER(SEARCH(Brand_Profile!$E$72,Matching_Engine!$BF$53)),1,0))+IF(Brand_Profile!$E$73="",0,IF(ISNUMBER(SEARCH(Brand_Profile!$E$73,Matching_Engine!$BF$53)),1,0)))/Brand_Profile!$E$74*100,0)))/2,0)</f>
        <v>20</v>
      </c>
      <c r="N53" s="142">
        <f>ROUND((Matching_Engine!$K$53*Lookup_Lists!$D$110+Matching_Engine!$L$53*Lookup_Lists!$D$111+Matching_Engine!$M$53*Lookup_Lists!$D$112)/(Lookup_Lists!$D$110+Lookup_Lists!$D$111+Lookup_Lists!$D$112),0)</f>
        <v>34</v>
      </c>
      <c r="O53" s="142">
        <f ca="1">IF(Brand_Profile!$E$16="",Lookup_Lists!$D$150,MIN(100,ROUND((IFERROR(INDEX(KOL_Database!$W$22:KOL_Database!$AA$22,1,MATCH(Brand_Profile!$E$16,Lookup_Lists!$F$6:$F$10,0)),0)+0.5*IFERROR(INDEX(KOL_Database!$W$22:KOL_Database!$AA$22,1,MATCH(Brand_Profile!$E$17,Lookup_Lists!$F$6:$F$10,0)),0))/Lookup_Lists!$D$142*100,0)))</f>
        <v>100</v>
      </c>
      <c r="P53" s="142">
        <f>IF(OR(Brand_Profile!$E$18="",Brand_Profile!$E$18="Any"),100,IF(Brand_Profile!$E$18="Female",MIN(100,ROUND(KOL_Database!$AB$22/Lookup_Lists!$D$143*100,0)),IF(Brand_Profile!$E$18="Male",MIN(100,ROUND(KOL_Database!$AC$22/Lookup_Lists!$D$143*100,0)),MAX(0,ROUND(100-ABS(KOL_Database!$AB$22-50)*2,0)))))</f>
        <v>69</v>
      </c>
      <c r="Q53" s="142">
        <f>ROUND((IF(Brand_Profile!$E$19="",100,IF(KOL_Database!$AD$22=Brand_Profile!$E$19,100,Lookup_Lists!$D$151))*Lookup_Lists!$D$118+IF(OR(Brand_Profile!$E$20="",Brand_Profile!$E$20="Nasional"),100,IF(KOL_Database!$AE$22="",Lookup_Lists!$D$150,IF(KOL_Database!$AE$22=Brand_Profile!$E$20,100,IF(KOL_Database!$AD$22=Brand_Profile!$E$19,40,Lookup_Lists!$D$151))))*Lookup_Lists!$D$119+IF(OR(Brand_Profile!$E$21="",Brand_Profile!$E$21="Nasional"),100,IF(KOL_Database!$AF$22="",Lookup_Lists!$D$150,IF(KOL_Database!$AF$22=Brand_Profile!$E$21,100,IF(KOL_Database!$AE$22=Brand_Profile!$E$20,60,Lookup_Lists!$D$151))))*Lookup_Lists!$D$120)/(Lookup_Lists!$D$118+Lookup_Lists!$D$119+Lookup_Lists!$D$120),0)</f>
        <v>80</v>
      </c>
      <c r="R53" s="142">
        <f>IF(Brand_Profile!$E$68=0,Lookup_Lists!$D$150,ROUND((IF(Brand_Profile!$E$63="",0,IF(ISNUMBER(SEARCH(Brand_Profile!$E$63,KOL_Database!$AG$22)),1,0))+IF(Brand_Profile!$E$64="",0,IF(ISNUMBER(SEARCH(Brand_Profile!$E$64,KOL_Database!$AG$22)),1,0))+IF(Brand_Profile!$E$65="",0,IF(ISNUMBER(SEARCH(Brand_Profile!$E$65,KOL_Database!$AG$22)),1,0))+IF(Brand_Profile!$E$66="",0,IF(ISNUMBER(SEARCH(Brand_Profile!$E$66,KOL_Database!$AG$22)),1,0))+IF(Brand_Profile!$E$67="",0,IF(ISNUMBER(SEARCH(Brand_Profile!$E$67,KOL_Database!$AG$22)),1,0)))/Brand_Profile!$E$68*100,0))</f>
        <v>20</v>
      </c>
      <c r="S53" s="142">
        <f ca="1">ROUND((Matching_Engine!$O$53*Brand_Profile!$E$96+Matching_Engine!$P$53*Brand_Profile!$E$97+Matching_Engine!$Q$53*Brand_Profile!$E$98+Matching_Engine!$R$53*Brand_Profile!$E$99)/MAX(1,Brand_Profile!$E$96+Brand_Profile!$E$97+Brand_Profile!$E$98+Brand_Profile!$E$99),0)</f>
        <v>66</v>
      </c>
      <c r="T53" s="142">
        <f>IF(Brand_Profile!$E$33="",Lookup_Lists!$D$150,Matching_Engine!$BD$53)</f>
        <v>60</v>
      </c>
      <c r="U53" s="142">
        <f>IF(Brand_Profile!$E$34="",Lookup_Lists!$D$150,IF(Brand_Profile!$E$34=KOL_Database!$F$22,100,IF(Matching_Engine!$BE$53=KOL_Database!$E$22,75,IF(Matching_Engine!$BD$53&gt;=80,Lookup_Lists!$D$150,IF(Matching_Engine!$BD$53&gt;=60,35,Lookup_Lists!$D$151)))))</f>
        <v>35</v>
      </c>
      <c r="V53" s="142">
        <f>IF(Brand_Profile!$E$86=0,Lookup_Lists!$D$150,ROUND((IF(Brand_Profile!$E$81="",0,IF(ISNUMBER(SEARCH(Brand_Profile!$E$81,Matching_Engine!$BG$53)),1,0))+IF(Brand_Profile!$E$82="",0,IF(ISNUMBER(SEARCH(Brand_Profile!$E$82,Matching_Engine!$BG$53)),1,0))+IF(Brand_Profile!$E$83="",0,IF(ISNUMBER(SEARCH(Brand_Profile!$E$83,Matching_Engine!$BG$53)),1,0))+IF(Brand_Profile!$E$84="",0,IF(ISNUMBER(SEARCH(Brand_Profile!$E$84,Matching_Engine!$BG$53)),1,0))+IF(Brand_Profile!$E$85="",0,IF(ISNUMBER(SEARCH(Brand_Profile!$E$85,Matching_Engine!$BG$53)),1,0)))/Brand_Profile!$E$86*100,0))</f>
        <v>20</v>
      </c>
      <c r="W53" s="142">
        <f>IF(Brand_Profile!$E$39="",Lookup_Lists!$D$150,IFERROR(INDEX(Lookup_Lists!$B$237:$K$246,MATCH(Brand_Profile!$E$39,Lookup_Lists!$A$237:$A$246,0),MATCH(KOL_Database!$AJ$22,Lookup_Lists!$B$236:$K$236,0)),45))</f>
        <v>45</v>
      </c>
      <c r="X53" s="142">
        <f>ROUND((Matching_Engine!$T$53*Lookup_Lists!$D$121+Matching_Engine!$U$53*Lookup_Lists!$D$122+Matching_Engine!$V$53*Lookup_Lists!$D$123+Matching_Engine!$W$53*Lookup_Lists!$D$124)/(Lookup_Lists!$D$121+Lookup_Lists!$D$122+Lookup_Lists!$D$123+Lookup_Lists!$D$124),0)</f>
        <v>40</v>
      </c>
      <c r="Y53" s="142">
        <f>MIN(100,MAX(IFERROR(INDEX(Lookup_Lists!$B$202:$M$211,MATCH(Brand_Profile!$E$25,Lookup_Lists!$A$202:$A$211,0),MATCH(KOL_Database!$AK$22,Lookup_Lists!$B$201:$M$201,0)),40),IF(KOL_Database!$AK$22=Brand_Profile!$E$41,95,0)))</f>
        <v>25</v>
      </c>
      <c r="Z53" s="142">
        <f>IFERROR(INDEX(Lookup_Lists!$B$215:$K$222,MATCH(Brand_Profile!$E$27,Lookup_Lists!$A$215:$A$222,0),MATCH(KOL_Database!$AJ$22,Lookup_Lists!$B$214:$K$214,0)),45)</f>
        <v>75</v>
      </c>
      <c r="AA53" s="142">
        <f>ROUND((IF(Brand_Profile!$E$80=0,Lookup_Lists!$D$150,ROUND((IF(Brand_Profile!$E$75="",0,IF(ISNUMBER(SEARCH(Brand_Profile!$E$75,KOL_Database!$AL$22)),1,0))+IF(Brand_Profile!$E$76="",0,IF(ISNUMBER(SEARCH(Brand_Profile!$E$76,KOL_Database!$AL$22)),1,0))+IF(Brand_Profile!$E$77="",0,IF(ISNUMBER(SEARCH(Brand_Profile!$E$77,KOL_Database!$AL$22)),1,0))+IF(Brand_Profile!$E$78="",0,IF(ISNUMBER(SEARCH(Brand_Profile!$E$78,KOL_Database!$AL$22)),1,0))+IF(Brand_Profile!$E$79="",0,IF(ISNUMBER(SEARCH(Brand_Profile!$E$79,KOL_Database!$AL$22)),1,0)))/Brand_Profile!$E$80*100,0))+IF(Brand_Profile!$E$92=0,Lookup_Lists!$D$150,ROUND((IF(Brand_Profile!$E$87="",0,IF(ISNUMBER(SEARCH(Brand_Profile!$E$87,KOL_Database!$AL$22)),1,0))+IF(Brand_Profile!$E$88="",0,IF(ISNUMBER(SEARCH(Brand_Profile!$E$88,KOL_Database!$AL$22)),1,0))+IF(Brand_Profile!$E$89="",0,IF(ISNUMBER(SEARCH(Brand_Profile!$E$89,KOL_Database!$AL$22)),1,0))+IF(Brand_Profile!$E$90="",0,IF(ISNUMBER(SEARCH(Brand_Profile!$E$90,KOL_Database!$AL$22)),1,0))+IF(Brand_Profile!$E$91="",0,IF(ISNUMBER(SEARCH(Brand_Profile!$E$91,KOL_Database!$AL$22)),1,0)))/Brand_Profile!$E$92*100,0)))/2,0)</f>
        <v>20</v>
      </c>
      <c r="AB53" s="142">
        <f>IFERROR(INDEX(Lookup_Lists!$B$226:$K$233,MATCH(Brand_Profile!$E$30,Lookup_Lists!$A$226:$A$233,0),MATCH(KOL_Database!$AJ$22,Lookup_Lists!$B$225:$K$225,0)),45)</f>
        <v>85</v>
      </c>
      <c r="AC53" s="142">
        <f>ROUND((Matching_Engine!$Y$53*Lookup_Lists!$D$125+Matching_Engine!$Z$53*Lookup_Lists!$D$126+Matching_Engine!$AA$53*Lookup_Lists!$D$127+Matching_Engine!$AB$53*Lookup_Lists!$D$128)/(Lookup_Lists!$D$125+Lookup_Lists!$D$126+Lookup_Lists!$D$127+Lookup_Lists!$D$128),0)</f>
        <v>45</v>
      </c>
      <c r="AD53" s="142">
        <f>IF(KOL_Database!$K$22="",0,MIN(100,ROUND(KOL_Database!$K$22/Lookup_Lists!$D$141*100,0)))</f>
        <v>100</v>
      </c>
      <c r="AE53" s="142">
        <f>IF(KOL_Database!$R$22="",0,MIN(100,MAX(0,KOL_Database!$R$22)))</f>
        <v>82</v>
      </c>
      <c r="AF53" s="142">
        <f>IF(KOL_Database!$P$22="",0,MIN(100,MAX(0,KOL_Database!$P$22)))</f>
        <v>79</v>
      </c>
      <c r="AG53" s="142">
        <f>IF(KOL_Database!$Q$22="",0,MIN(100,MAX(0,KOL_Database!$Q$22)))</f>
        <v>74</v>
      </c>
      <c r="AH53" s="142">
        <f>IF(OR(KOL_Database!$J$22="",KOL_Database!$J$22=0,KOL_Database!$L$22=""),0,MIN(100,ROUND(KOL_Database!$L$22/KOL_Database!$J$22/Lookup_Lists!$D$144*100,0)))</f>
        <v>100</v>
      </c>
      <c r="AI53" s="142">
        <f>IF(KOL_Database!$N$22="",0,MIN(100,MAX(0,ROUND((KOL_Database!$N$22+2)/(Lookup_Lists!$D$145+2)*100,0))))</f>
        <v>38</v>
      </c>
      <c r="AJ53" s="142">
        <f>ROUND((Matching_Engine!$AD$53*Lookup_Lists!$D$129+Matching_Engine!$AE$53*Lookup_Lists!$D$130+Matching_Engine!$AF$53*Lookup_Lists!$D$131+Matching_Engine!$AG$53*Lookup_Lists!$D$132+Matching_Engine!$AH$53*Lookup_Lists!$D$133+Matching_Engine!$AI$53*Lookup_Lists!$D$134)/(Lookup_Lists!$D$129+Lookup_Lists!$D$130+Lookup_Lists!$D$131+Lookup_Lists!$D$132+Lookup_Lists!$D$133+Lookup_Lists!$D$134),0)</f>
        <v>87</v>
      </c>
      <c r="AK53" s="142">
        <f>IF(KOL_Database!$AT$22="",0,MIN(100,MAX(0,KOL_Database!$AT$22)))</f>
        <v>86</v>
      </c>
      <c r="AL53" s="142">
        <f>IF(KOL_Database!$AU$22="",0,KOL_Database!$AU$22)</f>
        <v>47</v>
      </c>
      <c r="AM53" s="89" t="str">
        <f>IF(KOL_Database!$AV$22="","None",KOL_Database!$AV$22)</f>
        <v>None</v>
      </c>
      <c r="AN53" s="143">
        <f>IF(Matching_Engine!$AM$53="High",Lookup_Lists!$D$137,IF(Matching_Engine!$AM$53="Medium",Lookup_Lists!$D$138,IF(Matching_Engine!$AM$53="Low",Lookup_Lists!$D$139,Lookup_Lists!$D$140)))</f>
        <v>1</v>
      </c>
      <c r="AO53" s="142">
        <f>ROUND(MIN(100,MAX(0,(Matching_Engine!$AK$53*Lookup_Lists!$D$135+(100-Matching_Engine!$AL$53)*Lookup_Lists!$D$136)/(Lookup_Lists!$D$135+Lookup_Lists!$D$136)*Matching_Engine!$AN$53)),0)</f>
        <v>79</v>
      </c>
      <c r="AP53" s="13">
        <f ca="1">ROUND((Matching_Engine!$N$53*Lookup_Lists!$D$104+Matching_Engine!$S$53*Lookup_Lists!$D$105+Matching_Engine!$X$53*Lookup_Lists!$D$106+Matching_Engine!$AC$53*Lookup_Lists!$D$107+Matching_Engine!$AJ$53*Lookup_Lists!$D$108+Matching_Engine!$AO$53*Lookup_Lists!$D$109)/MAX(1,(Lookup_Lists!$D$104+Lookup_Lists!$D$105+Lookup_Lists!$D$106+Lookup_Lists!$D$107+Lookup_Lists!$D$108+Lookup_Lists!$D$109)),0)</f>
        <v>56</v>
      </c>
      <c r="AQ53" s="89" t="str">
        <f ca="1">IF(Matching_Engine!$AP$53&gt;=Lookup_Lists!$D$152,"Excellent Match",IF(Matching_Engine!$AP$53&gt;=Lookup_Lists!$D$153,"Strong Match",IF(Matching_Engine!$AP$53&gt;=Lookup_Lists!$D$154,"Good Match",IF(Matching_Engine!$AP$53&gt;=Lookup_Lists!$D$155,"Moderate Match","Low Match"))))</f>
        <v>Low Match</v>
      </c>
      <c r="AR53" s="142">
        <f>KOL_Database!$BE$22</f>
        <v>92</v>
      </c>
      <c r="AS53" s="89" t="str">
        <f>IF(Matching_Engine!$AR$53&gt;=Lookup_Lists!$D$159,"High",IF(Matching_Engine!$AR$53&gt;=Lookup_Lists!$D$160,"Medium","Limited Data"))</f>
        <v>Medium</v>
      </c>
      <c r="AT53" s="142">
        <f>ROUND((Matching_Engine!$N$53+Matching_Engine!$X$53+Matching_Engine!$AC$53)/3,0)</f>
        <v>40</v>
      </c>
      <c r="AU53" s="142">
        <f>ROUND(((100-Matching_Engine!$AL$53)*Lookup_Lists!$D$162+IF(KOL_Database!$BD$22="",Lookup_Lists!$D$150,KOL_Database!$BD$22)*Lookup_Lists!$D$163+Matching_Engine!$AI$53*Lookup_Lists!$D$164+Matching_Engine!$AD$53*Lookup_Lists!$D$165)/(Lookup_Lists!$D$162+Lookup_Lists!$D$163+Lookup_Lists!$D$164+Lookup_Lists!$D$165),0)</f>
        <v>68</v>
      </c>
      <c r="AV53" s="89" t="str">
        <f ca="1">IF(Matching_Engine!$AW$53="","PASS","EXCLUDED")</f>
        <v>PASS</v>
      </c>
      <c r="AW53" s="89" t="str">
        <f ca="1">IF(ISERROR(SEARCH(KOL_Database!$D$22,Brand_Profile!$E$32)),"Platform not in Preferred Platform",IF(AND(Brand_Profile!$E$36&gt;0,KOL_Database!$J$22&lt;Brand_Profile!$E$36),"Followers below Preferred Follower Range",IF(AND(Brand_Profile!$E$37&gt;0,KOL_Database!$J$22&gt;Brand_Profile!$E$37),"Followers above Preferred Follower Range",IF(AND(Brand_Profile!$E$38&gt;0,IF(KOL_Database!$K$22="",0,KOL_Database!$K$22)&lt;Brand_Profile!$E$38),"Engagement Rate below Minimum Engagement Rate",IF(ISERROR(SEARCH(KOL_Database!$G$22,Brand_Profile!$E$35)),"Tier not in Preferred Tier",IF(AND(Brand_Profile!$E$43&gt;0,Matching_Engine!$AE$53&lt;Brand_Profile!$E$43),"Audience Quality below Minimum Audience Quality",IF(AND(Brand_Profile!$E$44&gt;0,Matching_Engine!$AK$53&lt;Brand_Profile!$E$44),"Brand Safety below Minimum Brand Safety",IF(AND(Brand_Profile!$E$47="Yes",KOL_Database!$AD$22&lt;&gt;Brand_Profile!$E$19),"Audience Country does not match Target Country",IF(AND(Brand_Profile!$E$46="Yes",KOL_Database!$E$22&lt;&gt;Brand_Profile!$E$33),"Category is not the Preferred Category",IF(AND(Brand_Profile!$E$48&gt;0,Matching_Engine!$AL$53&gt;Brand_Profile!$E$48),"Competitor Saturation above Max Competitor Saturation",IF(AND(Brand_Profile!$E$50="Yes",KOL_Database!$AW$22="Yes"),"Already Selected",IF(AND(Brand_Profile!$E$51="Yes",KOL_Database!$AX$22="Yes"),"Already in Cart",IF(AND(Brand_Profile!$E$52="Yes",KOL_Database!$AY$22="Yes"),"Existing Partner",IF(AND(Brand_Profile!$E$53="Yes",KOL_Database!$AZ$22="Yes"),"Excluded Creator",IF(AND(Brand_Profile!$E$49&gt;0,Matching_Engine!$AP$53&lt;Brand_Profile!$E$49),"Brand Match below Minimum Brand Match","")))))))))))))))</f>
        <v/>
      </c>
      <c r="AX53" s="89" t="str">
        <f ca="1">IF(Matching_Engine!$AV$53="EXCLUDED","Excluded",IF(Matching_Engine!$AP$53&gt;=Lookup_Lists!$D$156,"Highly Recommended",IF(Matching_Engine!$AP$53&gt;=Lookup_Lists!$D$157,"Recommended",IF(Matching_Engine!$AP$53&gt;=Lookup_Lists!$D$158,"Consider","Low Priority"))))</f>
        <v>Low Priority</v>
      </c>
      <c r="AY53" s="142">
        <f ca="1">IF(Matching_Engine!$AV$53="PASS",Matching_Engine!$AP$53,"")</f>
        <v>56</v>
      </c>
      <c r="AZ53" s="89" t="str">
        <f>Matching_Engine!$A$53&amp;"|"&amp;Matching_Engine!$C$53</f>
        <v>BRAND-B|KOL-18</v>
      </c>
      <c r="BA53" s="89" t="str">
        <f>IFERROR(INDEX(Lookup_Lists!$B$51:$B$92,MATCH(Brand_Profile!$E$12,Lookup_Lists!$A$51:$A$92,0)),"")</f>
        <v>Beauty</v>
      </c>
      <c r="BB53" s="89" t="str">
        <f>IFERROR(INDEX(Lookup_Lists!$B$51:$B$92,MATCH(KOL_Database!$F$22,Lookup_Lists!$A$51:$A$92,0)),"")</f>
        <v>Travel</v>
      </c>
      <c r="BC53" s="142">
        <f>IFERROR(INDEX(Lookup_Lists!$B$185:$O$198,MATCH(Matching_Engine!$BA$53,Lookup_Lists!$A$185:$A$198,0),MATCH(KOL_Database!$E$22,Lookup_Lists!$B$184:$O$184,0)),Lookup_Lists!$D$151)</f>
        <v>60</v>
      </c>
      <c r="BD53" s="142">
        <f>IFERROR(INDEX(Lookup_Lists!$B$185:$O$198,MATCH(Brand_Profile!$E$33,Lookup_Lists!$A$185:$A$198,0),MATCH(KOL_Database!$E$22,Lookup_Lists!$B$184:$O$184,0)),Lookup_Lists!$D$151)</f>
        <v>60</v>
      </c>
      <c r="BE53" s="89" t="str">
        <f>IFERROR(INDEX(Lookup_Lists!$B$51:$B$92,MATCH(Brand_Profile!$E$34,Lookup_Lists!$A$51:$A$92,0)),"")</f>
        <v>Beauty</v>
      </c>
      <c r="BF53" s="89" t="str">
        <f>KOL_Database!$AI$22&amp;", "&amp;KOL_Database!$AG$22&amp;", "&amp;KOL_Database!$F$22&amp;", "&amp;KOL_Database!$E$22</f>
        <v>Travel, Food, Entertainment, Travel, Food, Productivity, Entertainment, Shopping, Budget Travel, Travel</v>
      </c>
      <c r="BG53" s="89" t="str">
        <f>KOL_Database!$AI$22&amp;", "&amp;KOL_Database!$AG$22</f>
        <v>Travel, Food, Entertainment, Travel, Food, Productivity, Entertainment, Shopping</v>
      </c>
    </row>
    <row r="54" spans="1:59">
      <c r="A54" s="101" t="s">
        <v>118</v>
      </c>
      <c r="B54" s="89" t="str">
        <f>Brand_Profile!$E$9</f>
        <v>Lumaya Skin</v>
      </c>
      <c r="C54" s="89" t="str">
        <f>KOL_Database!$A$23</f>
        <v>KOL-19</v>
      </c>
      <c r="D54" s="89" t="str">
        <f>KOL_Database!$B$23</f>
        <v>Putri Amanda</v>
      </c>
      <c r="E54" s="89" t="str">
        <f>KOL_Database!$C$23</f>
        <v>@putrimomlife</v>
      </c>
      <c r="F54" s="89" t="str">
        <f>KOL_Database!$D$23</f>
        <v>Instagram</v>
      </c>
      <c r="G54" s="89" t="str">
        <f>KOL_Database!$E$23</f>
        <v>Parenting</v>
      </c>
      <c r="H54" s="89" t="str">
        <f>KOL_Database!$G$23</f>
        <v>Macro</v>
      </c>
      <c r="I54" s="140">
        <f>KOL_Database!$J$23</f>
        <v>134000</v>
      </c>
      <c r="J54" s="141">
        <f>KOL_Database!$K$23</f>
        <v>4.6</v>
      </c>
      <c r="K54" s="142">
        <f>IFERROR(INDEX(Lookup_Lists!$B$170:$O$181,MATCH(Brand_Profile!$E$10,Lookup_Lists!$A$170:$A$181,0),MATCH(KOL_Database!$E$23,Lookup_Lists!$B$169:$O$169,0)),Lookup_Lists!$D$151)</f>
        <v>40</v>
      </c>
      <c r="L54" s="142">
        <f>IF(KOL_Database!$F$23="",Matching_Engine!$BC$54,IF(Brand_Profile!$E$12=KOL_Database!$F$23,100,IF(Matching_Engine!$BA$54=KOL_Database!$E$23,80,IF(Matching_Engine!$BC$54&gt;=80,60,IF(Matching_Engine!$BC$54&gt;=60,40,Lookup_Lists!$D$151)))))</f>
        <v>60</v>
      </c>
      <c r="M54" s="142">
        <f>ROUND((IF(Brand_Profile!$E$62=0,Lookup_Lists!$D$150,ROUND((IF(Brand_Profile!$E$57="",0,IF(ISNUMBER(SEARCH(Brand_Profile!$E$57,Matching_Engine!$BF$54)),1,0))+IF(Brand_Profile!$E$58="",0,IF(ISNUMBER(SEARCH(Brand_Profile!$E$58,Matching_Engine!$BF$54)),1,0))+IF(Brand_Profile!$E$59="",0,IF(ISNUMBER(SEARCH(Brand_Profile!$E$59,Matching_Engine!$BF$54)),1,0))+IF(Brand_Profile!$E$60="",0,IF(ISNUMBER(SEARCH(Brand_Profile!$E$60,Matching_Engine!$BF$54)),1,0))+IF(Brand_Profile!$E$61="",0,IF(ISNUMBER(SEARCH(Brand_Profile!$E$61,Matching_Engine!$BF$54)),1,0)))/Brand_Profile!$E$62*100,0))+IF(Brand_Profile!$E$74=0,Lookup_Lists!$D$150,ROUND((IF(Brand_Profile!$E$69="",0,IF(ISNUMBER(SEARCH(Brand_Profile!$E$69,Matching_Engine!$BF$54)),1,0))+IF(Brand_Profile!$E$70="",0,IF(ISNUMBER(SEARCH(Brand_Profile!$E$70,Matching_Engine!$BF$54)),1,0))+IF(Brand_Profile!$E$71="",0,IF(ISNUMBER(SEARCH(Brand_Profile!$E$71,Matching_Engine!$BF$54)),1,0))+IF(Brand_Profile!$E$72="",0,IF(ISNUMBER(SEARCH(Brand_Profile!$E$72,Matching_Engine!$BF$54)),1,0))+IF(Brand_Profile!$E$73="",0,IF(ISNUMBER(SEARCH(Brand_Profile!$E$73,Matching_Engine!$BF$54)),1,0)))/Brand_Profile!$E$74*100,0)))/2,0)</f>
        <v>40</v>
      </c>
      <c r="N54" s="142">
        <f>ROUND((Matching_Engine!$K$54*Lookup_Lists!$D$110+Matching_Engine!$L$54*Lookup_Lists!$D$111+Matching_Engine!$M$54*Lookup_Lists!$D$112)/(Lookup_Lists!$D$110+Lookup_Lists!$D$111+Lookup_Lists!$D$112),0)</f>
        <v>46</v>
      </c>
      <c r="O54" s="142">
        <f ca="1">IF(Brand_Profile!$E$16="",Lookup_Lists!$D$150,MIN(100,ROUND((IFERROR(INDEX(KOL_Database!$W$23:KOL_Database!$AA$23,1,MATCH(Brand_Profile!$E$16,Lookup_Lists!$F$6:$F$10,0)),0)+0.5*IFERROR(INDEX(KOL_Database!$W$23:KOL_Database!$AA$23,1,MATCH(Brand_Profile!$E$17,Lookup_Lists!$F$6:$F$10,0)),0))/Lookup_Lists!$D$142*100,0)))</f>
        <v>100</v>
      </c>
      <c r="P54" s="142">
        <f>IF(OR(Brand_Profile!$E$18="",Brand_Profile!$E$18="Any"),100,IF(Brand_Profile!$E$18="Female",MIN(100,ROUND(KOL_Database!$AB$23/Lookup_Lists!$D$143*100,0)),IF(Brand_Profile!$E$18="Male",MIN(100,ROUND(KOL_Database!$AC$23/Lookup_Lists!$D$143*100,0)),MAX(0,ROUND(100-ABS(KOL_Database!$AB$23-50)*2,0)))))</f>
        <v>100</v>
      </c>
      <c r="Q54" s="142">
        <f>ROUND((IF(Brand_Profile!$E$19="",100,IF(KOL_Database!$AD$23=Brand_Profile!$E$19,100,Lookup_Lists!$D$151))*Lookup_Lists!$D$118+IF(OR(Brand_Profile!$E$20="",Brand_Profile!$E$20="Nasional"),100,IF(KOL_Database!$AE$23="",Lookup_Lists!$D$150,IF(KOL_Database!$AE$23=Brand_Profile!$E$20,100,IF(KOL_Database!$AD$23=Brand_Profile!$E$19,40,Lookup_Lists!$D$151))))*Lookup_Lists!$D$119+IF(OR(Brand_Profile!$E$21="",Brand_Profile!$E$21="Nasional"),100,IF(KOL_Database!$AF$23="",Lookup_Lists!$D$150,IF(KOL_Database!$AF$23=Brand_Profile!$E$21,100,IF(KOL_Database!$AE$23=Brand_Profile!$E$20,60,Lookup_Lists!$D$151))))*Lookup_Lists!$D$120)/(Lookup_Lists!$D$118+Lookup_Lists!$D$119+Lookup_Lists!$D$120),0)</f>
        <v>80</v>
      </c>
      <c r="R54" s="142">
        <f>IF(Brand_Profile!$E$68=0,Lookup_Lists!$D$150,ROUND((IF(Brand_Profile!$E$63="",0,IF(ISNUMBER(SEARCH(Brand_Profile!$E$63,KOL_Database!$AG$23)),1,0))+IF(Brand_Profile!$E$64="",0,IF(ISNUMBER(SEARCH(Brand_Profile!$E$64,KOL_Database!$AG$23)),1,0))+IF(Brand_Profile!$E$65="",0,IF(ISNUMBER(SEARCH(Brand_Profile!$E$65,KOL_Database!$AG$23)),1,0))+IF(Brand_Profile!$E$66="",0,IF(ISNUMBER(SEARCH(Brand_Profile!$E$66,KOL_Database!$AG$23)),1,0))+IF(Brand_Profile!$E$67="",0,IF(ISNUMBER(SEARCH(Brand_Profile!$E$67,KOL_Database!$AG$23)),1,0)))/Brand_Profile!$E$68*100,0))</f>
        <v>20</v>
      </c>
      <c r="S54" s="142">
        <f ca="1">ROUND((Matching_Engine!$O$54*Brand_Profile!$E$96+Matching_Engine!$P$54*Brand_Profile!$E$97+Matching_Engine!$Q$54*Brand_Profile!$E$98+Matching_Engine!$R$54*Brand_Profile!$E$99)/MAX(1,Brand_Profile!$E$96+Brand_Profile!$E$97+Brand_Profile!$E$98+Brand_Profile!$E$99),0)</f>
        <v>74</v>
      </c>
      <c r="T54" s="142">
        <f>IF(Brand_Profile!$E$33="",Lookup_Lists!$D$150,Matching_Engine!$BD$54)</f>
        <v>80</v>
      </c>
      <c r="U54" s="142">
        <f>IF(Brand_Profile!$E$34="",Lookup_Lists!$D$150,IF(Brand_Profile!$E$34=KOL_Database!$F$23,100,IF(Matching_Engine!$BE$54=KOL_Database!$E$23,75,IF(Matching_Engine!$BD$54&gt;=80,Lookup_Lists!$D$150,IF(Matching_Engine!$BD$54&gt;=60,35,Lookup_Lists!$D$151)))))</f>
        <v>50</v>
      </c>
      <c r="V54" s="142">
        <f>IF(Brand_Profile!$E$86=0,Lookup_Lists!$D$150,ROUND((IF(Brand_Profile!$E$81="",0,IF(ISNUMBER(SEARCH(Brand_Profile!$E$81,Matching_Engine!$BG$54)),1,0))+IF(Brand_Profile!$E$82="",0,IF(ISNUMBER(SEARCH(Brand_Profile!$E$82,Matching_Engine!$BG$54)),1,0))+IF(Brand_Profile!$E$83="",0,IF(ISNUMBER(SEARCH(Brand_Profile!$E$83,Matching_Engine!$BG$54)),1,0))+IF(Brand_Profile!$E$84="",0,IF(ISNUMBER(SEARCH(Brand_Profile!$E$84,Matching_Engine!$BG$54)),1,0))+IF(Brand_Profile!$E$85="",0,IF(ISNUMBER(SEARCH(Brand_Profile!$E$85,Matching_Engine!$BG$54)),1,0)))/Brand_Profile!$E$86*100,0))</f>
        <v>40</v>
      </c>
      <c r="W54" s="142">
        <f>IF(Brand_Profile!$E$39="",Lookup_Lists!$D$150,IFERROR(INDEX(Lookup_Lists!$B$237:$K$246,MATCH(Brand_Profile!$E$39,Lookup_Lists!$A$237:$A$246,0),MATCH(KOL_Database!$AJ$23,Lookup_Lists!$B$236:$K$236,0)),45))</f>
        <v>45</v>
      </c>
      <c r="X54" s="142">
        <f>ROUND((Matching_Engine!$T$54*Lookup_Lists!$D$121+Matching_Engine!$U$54*Lookup_Lists!$D$122+Matching_Engine!$V$54*Lookup_Lists!$D$123+Matching_Engine!$W$54*Lookup_Lists!$D$124)/(Lookup_Lists!$D$121+Lookup_Lists!$D$122+Lookup_Lists!$D$123+Lookup_Lists!$D$124),0)</f>
        <v>55</v>
      </c>
      <c r="Y54" s="142">
        <f>MIN(100,MAX(IFERROR(INDEX(Lookup_Lists!$B$202:$M$211,MATCH(Brand_Profile!$E$25,Lookup_Lists!$A$202:$A$211,0),MATCH(KOL_Database!$AK$23,Lookup_Lists!$B$201:$M$201,0)),40),IF(KOL_Database!$AK$23=Brand_Profile!$E$41,95,0)))</f>
        <v>35</v>
      </c>
      <c r="Z54" s="142">
        <f>IFERROR(INDEX(Lookup_Lists!$B$215:$K$222,MATCH(Brand_Profile!$E$27,Lookup_Lists!$A$215:$A$222,0),MATCH(KOL_Database!$AJ$23,Lookup_Lists!$B$214:$K$214,0)),45)</f>
        <v>85</v>
      </c>
      <c r="AA54" s="142">
        <f>ROUND((IF(Brand_Profile!$E$80=0,Lookup_Lists!$D$150,ROUND((IF(Brand_Profile!$E$75="",0,IF(ISNUMBER(SEARCH(Brand_Profile!$E$75,KOL_Database!$AL$23)),1,0))+IF(Brand_Profile!$E$76="",0,IF(ISNUMBER(SEARCH(Brand_Profile!$E$76,KOL_Database!$AL$23)),1,0))+IF(Brand_Profile!$E$77="",0,IF(ISNUMBER(SEARCH(Brand_Profile!$E$77,KOL_Database!$AL$23)),1,0))+IF(Brand_Profile!$E$78="",0,IF(ISNUMBER(SEARCH(Brand_Profile!$E$78,KOL_Database!$AL$23)),1,0))+IF(Brand_Profile!$E$79="",0,IF(ISNUMBER(SEARCH(Brand_Profile!$E$79,KOL_Database!$AL$23)),1,0)))/Brand_Profile!$E$80*100,0))+IF(Brand_Profile!$E$92=0,Lookup_Lists!$D$150,ROUND((IF(Brand_Profile!$E$87="",0,IF(ISNUMBER(SEARCH(Brand_Profile!$E$87,KOL_Database!$AL$23)),1,0))+IF(Brand_Profile!$E$88="",0,IF(ISNUMBER(SEARCH(Brand_Profile!$E$88,KOL_Database!$AL$23)),1,0))+IF(Brand_Profile!$E$89="",0,IF(ISNUMBER(SEARCH(Brand_Profile!$E$89,KOL_Database!$AL$23)),1,0))+IF(Brand_Profile!$E$90="",0,IF(ISNUMBER(SEARCH(Brand_Profile!$E$90,KOL_Database!$AL$23)),1,0))+IF(Brand_Profile!$E$91="",0,IF(ISNUMBER(SEARCH(Brand_Profile!$E$91,KOL_Database!$AL$23)),1,0)))/Brand_Profile!$E$92*100,0)))/2,0)</f>
        <v>40</v>
      </c>
      <c r="AB54" s="142">
        <f>IFERROR(INDEX(Lookup_Lists!$B$226:$K$233,MATCH(Brand_Profile!$E$30,Lookup_Lists!$A$226:$A$233,0),MATCH(KOL_Database!$AJ$23,Lookup_Lists!$B$225:$K$225,0)),45)</f>
        <v>70</v>
      </c>
      <c r="AC54" s="142">
        <f>ROUND((Matching_Engine!$Y$54*Lookup_Lists!$D$125+Matching_Engine!$Z$54*Lookup_Lists!$D$126+Matching_Engine!$AA$54*Lookup_Lists!$D$127+Matching_Engine!$AB$54*Lookup_Lists!$D$128)/(Lookup_Lists!$D$125+Lookup_Lists!$D$126+Lookup_Lists!$D$127+Lookup_Lists!$D$128),0)</f>
        <v>54</v>
      </c>
      <c r="AD54" s="142">
        <f>IF(KOL_Database!$K$23="",0,MIN(100,ROUND(KOL_Database!$K$23/Lookup_Lists!$D$141*100,0)))</f>
        <v>77</v>
      </c>
      <c r="AE54" s="142">
        <f>IF(KOL_Database!$R$23="",0,MIN(100,MAX(0,KOL_Database!$R$23)))</f>
        <v>79</v>
      </c>
      <c r="AF54" s="142">
        <f>IF(KOL_Database!$P$23="",0,MIN(100,MAX(0,KOL_Database!$P$23)))</f>
        <v>52</v>
      </c>
      <c r="AG54" s="142">
        <f>IF(KOL_Database!$Q$23="",0,MIN(100,MAX(0,KOL_Database!$Q$23)))</f>
        <v>47</v>
      </c>
      <c r="AH54" s="142">
        <f>IF(OR(KOL_Database!$J$23="",KOL_Database!$J$23=0,KOL_Database!$L$23=""),0,MIN(100,ROUND(KOL_Database!$L$23/KOL_Database!$J$23/Lookup_Lists!$D$144*100,0)))</f>
        <v>69</v>
      </c>
      <c r="AI54" s="142">
        <f>IF(KOL_Database!$N$23="",0,MIN(100,MAX(0,ROUND((KOL_Database!$N$23+2)/(Lookup_Lists!$D$145+2)*100,0))))</f>
        <v>27</v>
      </c>
      <c r="AJ54" s="142">
        <f>ROUND((Matching_Engine!$AD$54*Lookup_Lists!$D$129+Matching_Engine!$AE$54*Lookup_Lists!$D$130+Matching_Engine!$AF$54*Lookup_Lists!$D$131+Matching_Engine!$AG$54*Lookup_Lists!$D$132+Matching_Engine!$AH$54*Lookup_Lists!$D$133+Matching_Engine!$AI$54*Lookup_Lists!$D$134)/(Lookup_Lists!$D$129+Lookup_Lists!$D$130+Lookup_Lists!$D$131+Lookup_Lists!$D$132+Lookup_Lists!$D$133+Lookup_Lists!$D$134),0)</f>
        <v>66</v>
      </c>
      <c r="AK54" s="142">
        <f>IF(KOL_Database!$AT$23="",0,MIN(100,MAX(0,KOL_Database!$AT$23)))</f>
        <v>86</v>
      </c>
      <c r="AL54" s="142">
        <f>IF(KOL_Database!$AU$23="",0,KOL_Database!$AU$23)</f>
        <v>48</v>
      </c>
      <c r="AM54" s="89" t="str">
        <f>IF(KOL_Database!$AV$23="","None",KOL_Database!$AV$23)</f>
        <v>None</v>
      </c>
      <c r="AN54" s="143">
        <f>IF(Matching_Engine!$AM$54="High",Lookup_Lists!$D$137,IF(Matching_Engine!$AM$54="Medium",Lookup_Lists!$D$138,IF(Matching_Engine!$AM$54="Low",Lookup_Lists!$D$139,Lookup_Lists!$D$140)))</f>
        <v>1</v>
      </c>
      <c r="AO54" s="142">
        <f>ROUND(MIN(100,MAX(0,(Matching_Engine!$AK$54*Lookup_Lists!$D$135+(100-Matching_Engine!$AL$54)*Lookup_Lists!$D$136)/(Lookup_Lists!$D$135+Lookup_Lists!$D$136)*Matching_Engine!$AN$54)),0)</f>
        <v>79</v>
      </c>
      <c r="AP54" s="13">
        <f ca="1">ROUND((Matching_Engine!$N$54*Lookup_Lists!$D$104+Matching_Engine!$S$54*Lookup_Lists!$D$105+Matching_Engine!$X$54*Lookup_Lists!$D$106+Matching_Engine!$AC$54*Lookup_Lists!$D$107+Matching_Engine!$AJ$54*Lookup_Lists!$D$108+Matching_Engine!$AO$54*Lookup_Lists!$D$109)/MAX(1,(Lookup_Lists!$D$104+Lookup_Lists!$D$105+Lookup_Lists!$D$106+Lookup_Lists!$D$107+Lookup_Lists!$D$108+Lookup_Lists!$D$109)),0)</f>
        <v>62</v>
      </c>
      <c r="AQ54" s="89" t="str">
        <f ca="1">IF(Matching_Engine!$AP$54&gt;=Lookup_Lists!$D$152,"Excellent Match",IF(Matching_Engine!$AP$54&gt;=Lookup_Lists!$D$153,"Strong Match",IF(Matching_Engine!$AP$54&gt;=Lookup_Lists!$D$154,"Good Match",IF(Matching_Engine!$AP$54&gt;=Lookup_Lists!$D$155,"Moderate Match","Low Match"))))</f>
        <v>Moderate Match</v>
      </c>
      <c r="AR54" s="142">
        <f>KOL_Database!$BE$23</f>
        <v>100</v>
      </c>
      <c r="AS54" s="89" t="str">
        <f>IF(Matching_Engine!$AR$54&gt;=Lookup_Lists!$D$159,"High",IF(Matching_Engine!$AR$54&gt;=Lookup_Lists!$D$160,"Medium","Limited Data"))</f>
        <v>High</v>
      </c>
      <c r="AT54" s="142">
        <f>ROUND((Matching_Engine!$N$54+Matching_Engine!$X$54+Matching_Engine!$AC$54)/3,0)</f>
        <v>52</v>
      </c>
      <c r="AU54" s="142">
        <f>ROUND(((100-Matching_Engine!$AL$54)*Lookup_Lists!$D$162+IF(KOL_Database!$BD$23="",Lookup_Lists!$D$150,KOL_Database!$BD$23)*Lookup_Lists!$D$163+Matching_Engine!$AI$54*Lookup_Lists!$D$164+Matching_Engine!$AD$54*Lookup_Lists!$D$165)/(Lookup_Lists!$D$162+Lookup_Lists!$D$163+Lookup_Lists!$D$164+Lookup_Lists!$D$165),0)</f>
        <v>55</v>
      </c>
      <c r="AV54" s="89" t="str">
        <f ca="1">IF(Matching_Engine!$AW$54="","PASS","EXCLUDED")</f>
        <v>EXCLUDED</v>
      </c>
      <c r="AW54" s="89" t="str">
        <f ca="1">IF(ISERROR(SEARCH(KOL_Database!$D$23,Brand_Profile!$E$32)),"Platform not in Preferred Platform",IF(AND(Brand_Profile!$E$36&gt;0,KOL_Database!$J$23&lt;Brand_Profile!$E$36),"Followers below Preferred Follower Range",IF(AND(Brand_Profile!$E$37&gt;0,KOL_Database!$J$23&gt;Brand_Profile!$E$37),"Followers above Preferred Follower Range",IF(AND(Brand_Profile!$E$38&gt;0,IF(KOL_Database!$K$23="",0,KOL_Database!$K$23)&lt;Brand_Profile!$E$38),"Engagement Rate below Minimum Engagement Rate",IF(ISERROR(SEARCH(KOL_Database!$G$23,Brand_Profile!$E$35)),"Tier not in Preferred Tier",IF(AND(Brand_Profile!$E$43&gt;0,Matching_Engine!$AE$54&lt;Brand_Profile!$E$43),"Audience Quality below Minimum Audience Quality",IF(AND(Brand_Profile!$E$44&gt;0,Matching_Engine!$AK$54&lt;Brand_Profile!$E$44),"Brand Safety below Minimum Brand Safety",IF(AND(Brand_Profile!$E$47="Yes",KOL_Database!$AD$23&lt;&gt;Brand_Profile!$E$19),"Audience Country does not match Target Country",IF(AND(Brand_Profile!$E$46="Yes",KOL_Database!$E$23&lt;&gt;Brand_Profile!$E$33),"Category is not the Preferred Category",IF(AND(Brand_Profile!$E$48&gt;0,Matching_Engine!$AL$54&gt;Brand_Profile!$E$48),"Competitor Saturation above Max Competitor Saturation",IF(AND(Brand_Profile!$E$50="Yes",KOL_Database!$AW$23="Yes"),"Already Selected",IF(AND(Brand_Profile!$E$51="Yes",KOL_Database!$AX$23="Yes"),"Already in Cart",IF(AND(Brand_Profile!$E$52="Yes",KOL_Database!$AY$23="Yes"),"Existing Partner",IF(AND(Brand_Profile!$E$53="Yes",KOL_Database!$AZ$23="Yes"),"Excluded Creator",IF(AND(Brand_Profile!$E$49&gt;0,Matching_Engine!$AP$54&lt;Brand_Profile!$E$49),"Brand Match below Minimum Brand Match","")))))))))))))))</f>
        <v>Tier not in Preferred Tier</v>
      </c>
      <c r="AX54" s="89" t="str">
        <f ca="1">IF(Matching_Engine!$AV$54="EXCLUDED","Excluded",IF(Matching_Engine!$AP$54&gt;=Lookup_Lists!$D$156,"Highly Recommended",IF(Matching_Engine!$AP$54&gt;=Lookup_Lists!$D$157,"Recommended",IF(Matching_Engine!$AP$54&gt;=Lookup_Lists!$D$158,"Consider","Low Priority"))))</f>
        <v>Excluded</v>
      </c>
      <c r="AY54" s="142" t="str">
        <f ca="1">IF(Matching_Engine!$AV$54="PASS",Matching_Engine!$AP$54,"")</f>
        <v/>
      </c>
      <c r="AZ54" s="89" t="str">
        <f>Matching_Engine!$A$54&amp;"|"&amp;Matching_Engine!$C$54</f>
        <v>BRAND-B|KOL-19</v>
      </c>
      <c r="BA54" s="89" t="str">
        <f>IFERROR(INDEX(Lookup_Lists!$B$51:$B$92,MATCH(Brand_Profile!$E$12,Lookup_Lists!$A$51:$A$92,0)),"")</f>
        <v>Beauty</v>
      </c>
      <c r="BB54" s="89" t="str">
        <f>IFERROR(INDEX(Lookup_Lists!$B$51:$B$92,MATCH(KOL_Database!$F$23,Lookup_Lists!$A$51:$A$92,0)),"")</f>
        <v>Parenting</v>
      </c>
      <c r="BC54" s="142">
        <f>IFERROR(INDEX(Lookup_Lists!$B$185:$O$198,MATCH(Matching_Engine!$BA$54,Lookup_Lists!$A$185:$A$198,0),MATCH(KOL_Database!$E$23,Lookup_Lists!$B$184:$O$184,0)),Lookup_Lists!$D$151)</f>
        <v>80</v>
      </c>
      <c r="BD54" s="142">
        <f>IFERROR(INDEX(Lookup_Lists!$B$185:$O$198,MATCH(Brand_Profile!$E$33,Lookup_Lists!$A$185:$A$198,0),MATCH(KOL_Database!$E$23,Lookup_Lists!$B$184:$O$184,0)),Lookup_Lists!$D$151)</f>
        <v>80</v>
      </c>
      <c r="BE54" s="89" t="str">
        <f>IFERROR(INDEX(Lookup_Lists!$B$51:$B$92,MATCH(Brand_Profile!$E$34,Lookup_Lists!$A$51:$A$92,0)),"")</f>
        <v>Beauty</v>
      </c>
      <c r="BF54" s="89" t="str">
        <f>KOL_Database!$AI$23&amp;", "&amp;KOL_Database!$AG$23&amp;", "&amp;KOL_Database!$F$23&amp;", "&amp;KOL_Database!$E$23</f>
        <v>Parenting, Health, Cooking, Parenting, Health, Cooking, Home Decor, Shopping, Momlife, Parenting</v>
      </c>
      <c r="BG54" s="89" t="str">
        <f>KOL_Database!$AI$23&amp;", "&amp;KOL_Database!$AG$23</f>
        <v>Parenting, Health, Cooking, Parenting, Health, Cooking, Home Decor, Shopping</v>
      </c>
    </row>
    <row r="55" spans="1:59">
      <c r="A55" s="101" t="s">
        <v>118</v>
      </c>
      <c r="B55" s="89" t="str">
        <f>Brand_Profile!$E$9</f>
        <v>Lumaya Skin</v>
      </c>
      <c r="C55" s="89" t="str">
        <f>KOL_Database!$A$24</f>
        <v>KOL-20</v>
      </c>
      <c r="D55" s="89" t="str">
        <f>KOL_Database!$B$24</f>
        <v>Hendra Wijoyo</v>
      </c>
      <c r="E55" s="89" t="str">
        <f>KOL_Database!$C$24</f>
        <v>@hendrakeluarga</v>
      </c>
      <c r="F55" s="89" t="str">
        <f>KOL_Database!$D$24</f>
        <v>TikTok</v>
      </c>
      <c r="G55" s="89" t="str">
        <f>KOL_Database!$E$24</f>
        <v>Parenting</v>
      </c>
      <c r="H55" s="89" t="str">
        <f>KOL_Database!$G$24</f>
        <v>Mid-tier</v>
      </c>
      <c r="I55" s="140">
        <f>KOL_Database!$J$24</f>
        <v>89000</v>
      </c>
      <c r="J55" s="141">
        <f>KOL_Database!$K$24</f>
        <v>5.4</v>
      </c>
      <c r="K55" s="142">
        <f>IFERROR(INDEX(Lookup_Lists!$B$170:$O$181,MATCH(Brand_Profile!$E$10,Lookup_Lists!$A$170:$A$181,0),MATCH(KOL_Database!$E$24,Lookup_Lists!$B$169:$O$169,0)),Lookup_Lists!$D$151)</f>
        <v>40</v>
      </c>
      <c r="L55" s="142">
        <f>IF(KOL_Database!$F$24="",Matching_Engine!$BC$55,IF(Brand_Profile!$E$12=KOL_Database!$F$24,100,IF(Matching_Engine!$BA$55=KOL_Database!$E$24,80,IF(Matching_Engine!$BC$55&gt;=80,60,IF(Matching_Engine!$BC$55&gt;=60,40,Lookup_Lists!$D$151)))))</f>
        <v>60</v>
      </c>
      <c r="M55" s="142">
        <f>ROUND((IF(Brand_Profile!$E$62=0,Lookup_Lists!$D$150,ROUND((IF(Brand_Profile!$E$57="",0,IF(ISNUMBER(SEARCH(Brand_Profile!$E$57,Matching_Engine!$BF$55)),1,0))+IF(Brand_Profile!$E$58="",0,IF(ISNUMBER(SEARCH(Brand_Profile!$E$58,Matching_Engine!$BF$55)),1,0))+IF(Brand_Profile!$E$59="",0,IF(ISNUMBER(SEARCH(Brand_Profile!$E$59,Matching_Engine!$BF$55)),1,0))+IF(Brand_Profile!$E$60="",0,IF(ISNUMBER(SEARCH(Brand_Profile!$E$60,Matching_Engine!$BF$55)),1,0))+IF(Brand_Profile!$E$61="",0,IF(ISNUMBER(SEARCH(Brand_Profile!$E$61,Matching_Engine!$BF$55)),1,0)))/Brand_Profile!$E$62*100,0))+IF(Brand_Profile!$E$74=0,Lookup_Lists!$D$150,ROUND((IF(Brand_Profile!$E$69="",0,IF(ISNUMBER(SEARCH(Brand_Profile!$E$69,Matching_Engine!$BF$55)),1,0))+IF(Brand_Profile!$E$70="",0,IF(ISNUMBER(SEARCH(Brand_Profile!$E$70,Matching_Engine!$BF$55)),1,0))+IF(Brand_Profile!$E$71="",0,IF(ISNUMBER(SEARCH(Brand_Profile!$E$71,Matching_Engine!$BF$55)),1,0))+IF(Brand_Profile!$E$72="",0,IF(ISNUMBER(SEARCH(Brand_Profile!$E$72,Matching_Engine!$BF$55)),1,0))+IF(Brand_Profile!$E$73="",0,IF(ISNUMBER(SEARCH(Brand_Profile!$E$73,Matching_Engine!$BF$55)),1,0)))/Brand_Profile!$E$74*100,0)))/2,0)</f>
        <v>0</v>
      </c>
      <c r="N55" s="142">
        <f>ROUND((Matching_Engine!$K$55*Lookup_Lists!$D$110+Matching_Engine!$L$55*Lookup_Lists!$D$111+Matching_Engine!$M$55*Lookup_Lists!$D$112)/(Lookup_Lists!$D$110+Lookup_Lists!$D$111+Lookup_Lists!$D$112),0)</f>
        <v>34</v>
      </c>
      <c r="O55" s="142">
        <f ca="1">IF(Brand_Profile!$E$16="",Lookup_Lists!$D$150,MIN(100,ROUND((IFERROR(INDEX(KOL_Database!$W$24:KOL_Database!$AA$24,1,MATCH(Brand_Profile!$E$16,Lookup_Lists!$F$6:$F$10,0)),0)+0.5*IFERROR(INDEX(KOL_Database!$W$24:KOL_Database!$AA$24,1,MATCH(Brand_Profile!$E$17,Lookup_Lists!$F$6:$F$10,0)),0))/Lookup_Lists!$D$142*100,0)))</f>
        <v>73</v>
      </c>
      <c r="P55" s="142">
        <f>IF(OR(Brand_Profile!$E$18="",Brand_Profile!$E$18="Any"),100,IF(Brand_Profile!$E$18="Female",MIN(100,ROUND(KOL_Database!$AB$24/Lookup_Lists!$D$143*100,0)),IF(Brand_Profile!$E$18="Male",MIN(100,ROUND(KOL_Database!$AC$24/Lookup_Lists!$D$143*100,0)),MAX(0,ROUND(100-ABS(KOL_Database!$AB$24-50)*2,0)))))</f>
        <v>82</v>
      </c>
      <c r="Q55" s="142">
        <f>ROUND((IF(Brand_Profile!$E$19="",100,IF(KOL_Database!$AD$24=Brand_Profile!$E$19,100,Lookup_Lists!$D$151))*Lookup_Lists!$D$118+IF(OR(Brand_Profile!$E$20="",Brand_Profile!$E$20="Nasional"),100,IF(KOL_Database!$AE$24="",Lookup_Lists!$D$150,IF(KOL_Database!$AE$24=Brand_Profile!$E$20,100,IF(KOL_Database!$AD$24=Brand_Profile!$E$19,40,Lookup_Lists!$D$151))))*Lookup_Lists!$D$119+IF(OR(Brand_Profile!$E$21="",Brand_Profile!$E$21="Nasional"),100,IF(KOL_Database!$AF$24="",Lookup_Lists!$D$150,IF(KOL_Database!$AF$24=Brand_Profile!$E$21,100,IF(KOL_Database!$AE$24=Brand_Profile!$E$20,60,Lookup_Lists!$D$151))))*Lookup_Lists!$D$120)/(Lookup_Lists!$D$118+Lookup_Lists!$D$119+Lookup_Lists!$D$120),0)</f>
        <v>80</v>
      </c>
      <c r="R55" s="142">
        <f>IF(Brand_Profile!$E$68=0,Lookup_Lists!$D$150,ROUND((IF(Brand_Profile!$E$63="",0,IF(ISNUMBER(SEARCH(Brand_Profile!$E$63,KOL_Database!$AG$24)),1,0))+IF(Brand_Profile!$E$64="",0,IF(ISNUMBER(SEARCH(Brand_Profile!$E$64,KOL_Database!$AG$24)),1,0))+IF(Brand_Profile!$E$65="",0,IF(ISNUMBER(SEARCH(Brand_Profile!$E$65,KOL_Database!$AG$24)),1,0))+IF(Brand_Profile!$E$66="",0,IF(ISNUMBER(SEARCH(Brand_Profile!$E$66,KOL_Database!$AG$24)),1,0))+IF(Brand_Profile!$E$67="",0,IF(ISNUMBER(SEARCH(Brand_Profile!$E$67,KOL_Database!$AG$24)),1,0)))/Brand_Profile!$E$68*100,0))</f>
        <v>0</v>
      </c>
      <c r="S55" s="142">
        <f ca="1">ROUND((Matching_Engine!$O$55*Brand_Profile!$E$96+Matching_Engine!$P$55*Brand_Profile!$E$97+Matching_Engine!$Q$55*Brand_Profile!$E$98+Matching_Engine!$R$55*Brand_Profile!$E$99)/MAX(1,Brand_Profile!$E$96+Brand_Profile!$E$97+Brand_Profile!$E$98+Brand_Profile!$E$99),0)</f>
        <v>58</v>
      </c>
      <c r="T55" s="142">
        <f>IF(Brand_Profile!$E$33="",Lookup_Lists!$D$150,Matching_Engine!$BD$55)</f>
        <v>80</v>
      </c>
      <c r="U55" s="142">
        <f>IF(Brand_Profile!$E$34="",Lookup_Lists!$D$150,IF(Brand_Profile!$E$34=KOL_Database!$F$24,100,IF(Matching_Engine!$BE$55=KOL_Database!$E$24,75,IF(Matching_Engine!$BD$55&gt;=80,Lookup_Lists!$D$150,IF(Matching_Engine!$BD$55&gt;=60,35,Lookup_Lists!$D$151)))))</f>
        <v>50</v>
      </c>
      <c r="V55" s="142">
        <f>IF(Brand_Profile!$E$86=0,Lookup_Lists!$D$150,ROUND((IF(Brand_Profile!$E$81="",0,IF(ISNUMBER(SEARCH(Brand_Profile!$E$81,Matching_Engine!$BG$55)),1,0))+IF(Brand_Profile!$E$82="",0,IF(ISNUMBER(SEARCH(Brand_Profile!$E$82,Matching_Engine!$BG$55)),1,0))+IF(Brand_Profile!$E$83="",0,IF(ISNUMBER(SEARCH(Brand_Profile!$E$83,Matching_Engine!$BG$55)),1,0))+IF(Brand_Profile!$E$84="",0,IF(ISNUMBER(SEARCH(Brand_Profile!$E$84,Matching_Engine!$BG$55)),1,0))+IF(Brand_Profile!$E$85="",0,IF(ISNUMBER(SEARCH(Brand_Profile!$E$85,Matching_Engine!$BG$55)),1,0)))/Brand_Profile!$E$86*100,0))</f>
        <v>0</v>
      </c>
      <c r="W55" s="142">
        <f>IF(Brand_Profile!$E$39="",Lookup_Lists!$D$150,IFERROR(INDEX(Lookup_Lists!$B$237:$K$246,MATCH(Brand_Profile!$E$39,Lookup_Lists!$A$237:$A$246,0),MATCH(KOL_Database!$AJ$24,Lookup_Lists!$B$236:$K$236,0)),45))</f>
        <v>45</v>
      </c>
      <c r="X55" s="142">
        <f>ROUND((Matching_Engine!$T$55*Lookup_Lists!$D$121+Matching_Engine!$U$55*Lookup_Lists!$D$122+Matching_Engine!$V$55*Lookup_Lists!$D$123+Matching_Engine!$W$55*Lookup_Lists!$D$124)/(Lookup_Lists!$D$121+Lookup_Lists!$D$122+Lookup_Lists!$D$123+Lookup_Lists!$D$124),0)</f>
        <v>43</v>
      </c>
      <c r="Y55" s="142">
        <f>MIN(100,MAX(IFERROR(INDEX(Lookup_Lists!$B$202:$M$211,MATCH(Brand_Profile!$E$25,Lookup_Lists!$A$202:$A$211,0),MATCH(KOL_Database!$AK$24,Lookup_Lists!$B$201:$M$201,0)),40),IF(KOL_Database!$AK$24=Brand_Profile!$E$41,95,0)))</f>
        <v>20</v>
      </c>
      <c r="Z55" s="142">
        <f>IFERROR(INDEX(Lookup_Lists!$B$215:$K$222,MATCH(Brand_Profile!$E$27,Lookup_Lists!$A$215:$A$222,0),MATCH(KOL_Database!$AJ$24,Lookup_Lists!$B$214:$K$214,0)),45)</f>
        <v>60</v>
      </c>
      <c r="AA55" s="142">
        <f>ROUND((IF(Brand_Profile!$E$80=0,Lookup_Lists!$D$150,ROUND((IF(Brand_Profile!$E$75="",0,IF(ISNUMBER(SEARCH(Brand_Profile!$E$75,KOL_Database!$AL$24)),1,0))+IF(Brand_Profile!$E$76="",0,IF(ISNUMBER(SEARCH(Brand_Profile!$E$76,KOL_Database!$AL$24)),1,0))+IF(Brand_Profile!$E$77="",0,IF(ISNUMBER(SEARCH(Brand_Profile!$E$77,KOL_Database!$AL$24)),1,0))+IF(Brand_Profile!$E$78="",0,IF(ISNUMBER(SEARCH(Brand_Profile!$E$78,KOL_Database!$AL$24)),1,0))+IF(Brand_Profile!$E$79="",0,IF(ISNUMBER(SEARCH(Brand_Profile!$E$79,KOL_Database!$AL$24)),1,0)))/Brand_Profile!$E$80*100,0))+IF(Brand_Profile!$E$92=0,Lookup_Lists!$D$150,ROUND((IF(Brand_Profile!$E$87="",0,IF(ISNUMBER(SEARCH(Brand_Profile!$E$87,KOL_Database!$AL$24)),1,0))+IF(Brand_Profile!$E$88="",0,IF(ISNUMBER(SEARCH(Brand_Profile!$E$88,KOL_Database!$AL$24)),1,0))+IF(Brand_Profile!$E$89="",0,IF(ISNUMBER(SEARCH(Brand_Profile!$E$89,KOL_Database!$AL$24)),1,0))+IF(Brand_Profile!$E$90="",0,IF(ISNUMBER(SEARCH(Brand_Profile!$E$90,KOL_Database!$AL$24)),1,0))+IF(Brand_Profile!$E$91="",0,IF(ISNUMBER(SEARCH(Brand_Profile!$E$91,KOL_Database!$AL$24)),1,0)))/Brand_Profile!$E$92*100,0)))/2,0)</f>
        <v>0</v>
      </c>
      <c r="AB55" s="142">
        <f>IFERROR(INDEX(Lookup_Lists!$B$226:$K$233,MATCH(Brand_Profile!$E$30,Lookup_Lists!$A$226:$A$233,0),MATCH(KOL_Database!$AJ$24,Lookup_Lists!$B$225:$K$225,0)),45)</f>
        <v>70</v>
      </c>
      <c r="AC55" s="142">
        <f>ROUND((Matching_Engine!$Y$55*Lookup_Lists!$D$125+Matching_Engine!$Z$55*Lookup_Lists!$D$126+Matching_Engine!$AA$55*Lookup_Lists!$D$127+Matching_Engine!$AB$55*Lookup_Lists!$D$128)/(Lookup_Lists!$D$125+Lookup_Lists!$D$126+Lookup_Lists!$D$127+Lookup_Lists!$D$128),0)</f>
        <v>33</v>
      </c>
      <c r="AD55" s="142">
        <f>IF(KOL_Database!$K$24="",0,MIN(100,ROUND(KOL_Database!$K$24/Lookup_Lists!$D$141*100,0)))</f>
        <v>90</v>
      </c>
      <c r="AE55" s="142">
        <f>IF(KOL_Database!$R$24="",0,MIN(100,MAX(0,KOL_Database!$R$24)))</f>
        <v>85</v>
      </c>
      <c r="AF55" s="142">
        <f>IF(KOL_Database!$P$24="",0,MIN(100,MAX(0,KOL_Database!$P$24)))</f>
        <v>55</v>
      </c>
      <c r="AG55" s="142">
        <f>IF(KOL_Database!$Q$24="",0,MIN(100,MAX(0,KOL_Database!$Q$24)))</f>
        <v>47</v>
      </c>
      <c r="AH55" s="142">
        <f>IF(OR(KOL_Database!$J$24="",KOL_Database!$J$24=0,KOL_Database!$L$24=""),0,MIN(100,ROUND(KOL_Database!$L$24/KOL_Database!$J$24/Lookup_Lists!$D$144*100,0)))</f>
        <v>100</v>
      </c>
      <c r="AI55" s="142">
        <f>IF(KOL_Database!$N$24="",0,MIN(100,MAX(0,ROUND((KOL_Database!$N$24+2)/(Lookup_Lists!$D$145+2)*100,0))))</f>
        <v>25</v>
      </c>
      <c r="AJ55" s="142">
        <f>ROUND((Matching_Engine!$AD$55*Lookup_Lists!$D$129+Matching_Engine!$AE$55*Lookup_Lists!$D$130+Matching_Engine!$AF$55*Lookup_Lists!$D$131+Matching_Engine!$AG$55*Lookup_Lists!$D$132+Matching_Engine!$AH$55*Lookup_Lists!$D$133+Matching_Engine!$AI$55*Lookup_Lists!$D$134)/(Lookup_Lists!$D$129+Lookup_Lists!$D$130+Lookup_Lists!$D$131+Lookup_Lists!$D$132+Lookup_Lists!$D$133+Lookup_Lists!$D$134),0)</f>
        <v>75</v>
      </c>
      <c r="AK55" s="142">
        <f>IF(KOL_Database!$AT$24="",0,MIN(100,MAX(0,KOL_Database!$AT$24)))</f>
        <v>92</v>
      </c>
      <c r="AL55" s="142">
        <f>IF(KOL_Database!$AU$24="",0,KOL_Database!$AU$24)</f>
        <v>58</v>
      </c>
      <c r="AM55" s="89" t="str">
        <f>IF(KOL_Database!$AV$24="","None",KOL_Database!$AV$24)</f>
        <v>None</v>
      </c>
      <c r="AN55" s="143">
        <f>IF(Matching_Engine!$AM$55="High",Lookup_Lists!$D$137,IF(Matching_Engine!$AM$55="Medium",Lookup_Lists!$D$138,IF(Matching_Engine!$AM$55="Low",Lookup_Lists!$D$139,Lookup_Lists!$D$140)))</f>
        <v>1</v>
      </c>
      <c r="AO55" s="142">
        <f>ROUND(MIN(100,MAX(0,(Matching_Engine!$AK$55*Lookup_Lists!$D$135+(100-Matching_Engine!$AL$55)*Lookup_Lists!$D$136)/(Lookup_Lists!$D$135+Lookup_Lists!$D$136)*Matching_Engine!$AN$55)),0)</f>
        <v>82</v>
      </c>
      <c r="AP55" s="13">
        <f ca="1">ROUND((Matching_Engine!$N$55*Lookup_Lists!$D$104+Matching_Engine!$S$55*Lookup_Lists!$D$105+Matching_Engine!$X$55*Lookup_Lists!$D$106+Matching_Engine!$AC$55*Lookup_Lists!$D$107+Matching_Engine!$AJ$55*Lookup_Lists!$D$108+Matching_Engine!$AO$55*Lookup_Lists!$D$109)/MAX(1,(Lookup_Lists!$D$104+Lookup_Lists!$D$105+Lookup_Lists!$D$106+Lookup_Lists!$D$107+Lookup_Lists!$D$108+Lookup_Lists!$D$109)),0)</f>
        <v>52</v>
      </c>
      <c r="AQ55" s="89" t="str">
        <f ca="1">IF(Matching_Engine!$AP$55&gt;=Lookup_Lists!$D$152,"Excellent Match",IF(Matching_Engine!$AP$55&gt;=Lookup_Lists!$D$153,"Strong Match",IF(Matching_Engine!$AP$55&gt;=Lookup_Lists!$D$154,"Good Match",IF(Matching_Engine!$AP$55&gt;=Lookup_Lists!$D$155,"Moderate Match","Low Match"))))</f>
        <v>Low Match</v>
      </c>
      <c r="AR55" s="142">
        <f>KOL_Database!$BE$24</f>
        <v>100</v>
      </c>
      <c r="AS55" s="89" t="str">
        <f>IF(Matching_Engine!$AR$55&gt;=Lookup_Lists!$D$159,"High",IF(Matching_Engine!$AR$55&gt;=Lookup_Lists!$D$160,"Medium","Limited Data"))</f>
        <v>High</v>
      </c>
      <c r="AT55" s="142">
        <f>ROUND((Matching_Engine!$N$55+Matching_Engine!$X$55+Matching_Engine!$AC$55)/3,0)</f>
        <v>37</v>
      </c>
      <c r="AU55" s="142">
        <f>ROUND(((100-Matching_Engine!$AL$55)*Lookup_Lists!$D$162+IF(KOL_Database!$BD$24="",Lookup_Lists!$D$150,KOL_Database!$BD$24)*Lookup_Lists!$D$163+Matching_Engine!$AI$55*Lookup_Lists!$D$164+Matching_Engine!$AD$55*Lookup_Lists!$D$165)/(Lookup_Lists!$D$162+Lookup_Lists!$D$163+Lookup_Lists!$D$164+Lookup_Lists!$D$165),0)</f>
        <v>59</v>
      </c>
      <c r="AV55" s="89" t="str">
        <f ca="1">IF(Matching_Engine!$AW$55="","PASS","EXCLUDED")</f>
        <v>PASS</v>
      </c>
      <c r="AW55" s="89" t="str">
        <f ca="1">IF(ISERROR(SEARCH(KOL_Database!$D$24,Brand_Profile!$E$32)),"Platform not in Preferred Platform",IF(AND(Brand_Profile!$E$36&gt;0,KOL_Database!$J$24&lt;Brand_Profile!$E$36),"Followers below Preferred Follower Range",IF(AND(Brand_Profile!$E$37&gt;0,KOL_Database!$J$24&gt;Brand_Profile!$E$37),"Followers above Preferred Follower Range",IF(AND(Brand_Profile!$E$38&gt;0,IF(KOL_Database!$K$24="",0,KOL_Database!$K$24)&lt;Brand_Profile!$E$38),"Engagement Rate below Minimum Engagement Rate",IF(ISERROR(SEARCH(KOL_Database!$G$24,Brand_Profile!$E$35)),"Tier not in Preferred Tier",IF(AND(Brand_Profile!$E$43&gt;0,Matching_Engine!$AE$55&lt;Brand_Profile!$E$43),"Audience Quality below Minimum Audience Quality",IF(AND(Brand_Profile!$E$44&gt;0,Matching_Engine!$AK$55&lt;Brand_Profile!$E$44),"Brand Safety below Minimum Brand Safety",IF(AND(Brand_Profile!$E$47="Yes",KOL_Database!$AD$24&lt;&gt;Brand_Profile!$E$19),"Audience Country does not match Target Country",IF(AND(Brand_Profile!$E$46="Yes",KOL_Database!$E$24&lt;&gt;Brand_Profile!$E$33),"Category is not the Preferred Category",IF(AND(Brand_Profile!$E$48&gt;0,Matching_Engine!$AL$55&gt;Brand_Profile!$E$48),"Competitor Saturation above Max Competitor Saturation",IF(AND(Brand_Profile!$E$50="Yes",KOL_Database!$AW$24="Yes"),"Already Selected",IF(AND(Brand_Profile!$E$51="Yes",KOL_Database!$AX$24="Yes"),"Already in Cart",IF(AND(Brand_Profile!$E$52="Yes",KOL_Database!$AY$24="Yes"),"Existing Partner",IF(AND(Brand_Profile!$E$53="Yes",KOL_Database!$AZ$24="Yes"),"Excluded Creator",IF(AND(Brand_Profile!$E$49&gt;0,Matching_Engine!$AP$55&lt;Brand_Profile!$E$49),"Brand Match below Minimum Brand Match","")))))))))))))))</f>
        <v/>
      </c>
      <c r="AX55" s="89" t="str">
        <f ca="1">IF(Matching_Engine!$AV$55="EXCLUDED","Excluded",IF(Matching_Engine!$AP$55&gt;=Lookup_Lists!$D$156,"Highly Recommended",IF(Matching_Engine!$AP$55&gt;=Lookup_Lists!$D$157,"Recommended",IF(Matching_Engine!$AP$55&gt;=Lookup_Lists!$D$158,"Consider","Low Priority"))))</f>
        <v>Low Priority</v>
      </c>
      <c r="AY55" s="142">
        <f ca="1">IF(Matching_Engine!$AV$55="PASS",Matching_Engine!$AP$55,"")</f>
        <v>52</v>
      </c>
      <c r="AZ55" s="89" t="str">
        <f>Matching_Engine!$A$55&amp;"|"&amp;Matching_Engine!$C$55</f>
        <v>BRAND-B|KOL-20</v>
      </c>
      <c r="BA55" s="89" t="str">
        <f>IFERROR(INDEX(Lookup_Lists!$B$51:$B$92,MATCH(Brand_Profile!$E$12,Lookup_Lists!$A$51:$A$92,0)),"")</f>
        <v>Beauty</v>
      </c>
      <c r="BB55" s="89" t="str">
        <f>IFERROR(INDEX(Lookup_Lists!$B$51:$B$92,MATCH(KOL_Database!$F$24,Lookup_Lists!$A$51:$A$92,0)),"")</f>
        <v>Parenting</v>
      </c>
      <c r="BC55" s="142">
        <f>IFERROR(INDEX(Lookup_Lists!$B$185:$O$198,MATCH(Matching_Engine!$BA$55,Lookup_Lists!$A$185:$A$198,0),MATCH(KOL_Database!$E$24,Lookup_Lists!$B$184:$O$184,0)),Lookup_Lists!$D$151)</f>
        <v>80</v>
      </c>
      <c r="BD55" s="142">
        <f>IFERROR(INDEX(Lookup_Lists!$B$185:$O$198,MATCH(Brand_Profile!$E$33,Lookup_Lists!$A$185:$A$198,0),MATCH(KOL_Database!$E$24,Lookup_Lists!$B$184:$O$184,0)),Lookup_Lists!$D$151)</f>
        <v>80</v>
      </c>
      <c r="BE55" s="89" t="str">
        <f>IFERROR(INDEX(Lookup_Lists!$B$51:$B$92,MATCH(Brand_Profile!$E$34,Lookup_Lists!$A$51:$A$92,0)),"")</f>
        <v>Beauty</v>
      </c>
      <c r="BF55" s="89" t="str">
        <f>KOL_Database!$AI$24&amp;", "&amp;KOL_Database!$AG$24&amp;", "&amp;KOL_Database!$F$24&amp;", "&amp;KOL_Database!$E$24</f>
        <v>Parenting, Food, Entertainment, Parenting, Food, Entertainment, Home Decor, Education, Kids &amp; Family, Parenting</v>
      </c>
      <c r="BG55" s="89" t="str">
        <f>KOL_Database!$AI$24&amp;", "&amp;KOL_Database!$AG$24</f>
        <v>Parenting, Food, Entertainment, Parenting, Food, Entertainment, Home Decor, Education</v>
      </c>
    </row>
    <row r="56" spans="1:59">
      <c r="A56" s="101" t="s">
        <v>118</v>
      </c>
      <c r="B56" s="89" t="str">
        <f>Brand_Profile!$E$9</f>
        <v>Lumaya Skin</v>
      </c>
      <c r="C56" s="89" t="str">
        <f>KOL_Database!$A$25</f>
        <v>KOL-21</v>
      </c>
      <c r="D56" s="89" t="str">
        <f>KOL_Database!$B$25</f>
        <v>Bagas Setiawan</v>
      </c>
      <c r="E56" s="89" t="str">
        <f>KOL_Database!$C$25</f>
        <v>@bagaskomedi</v>
      </c>
      <c r="F56" s="89" t="str">
        <f>KOL_Database!$D$25</f>
        <v>TikTok</v>
      </c>
      <c r="G56" s="89" t="str">
        <f>KOL_Database!$E$25</f>
        <v>Entertainment</v>
      </c>
      <c r="H56" s="89" t="str">
        <f>KOL_Database!$G$25</f>
        <v>Mega</v>
      </c>
      <c r="I56" s="140">
        <f>KOL_Database!$J$25</f>
        <v>1240000</v>
      </c>
      <c r="J56" s="141">
        <f>KOL_Database!$K$25</f>
        <v>9.2</v>
      </c>
      <c r="K56" s="142">
        <f>IFERROR(INDEX(Lookup_Lists!$B$170:$O$181,MATCH(Brand_Profile!$E$10,Lookup_Lists!$A$170:$A$181,0),MATCH(KOL_Database!$E$25,Lookup_Lists!$B$169:$O$169,0)),Lookup_Lists!$D$151)</f>
        <v>40</v>
      </c>
      <c r="L56" s="142">
        <f>IF(KOL_Database!$F$25="",Matching_Engine!$BC$56,IF(Brand_Profile!$E$12=KOL_Database!$F$25,100,IF(Matching_Engine!$BA$56=KOL_Database!$E$25,80,IF(Matching_Engine!$BC$56&gt;=80,60,IF(Matching_Engine!$BC$56&gt;=60,40,Lookup_Lists!$D$151)))))</f>
        <v>20</v>
      </c>
      <c r="M56" s="142">
        <f>ROUND((IF(Brand_Profile!$E$62=0,Lookup_Lists!$D$150,ROUND((IF(Brand_Profile!$E$57="",0,IF(ISNUMBER(SEARCH(Brand_Profile!$E$57,Matching_Engine!$BF$56)),1,0))+IF(Brand_Profile!$E$58="",0,IF(ISNUMBER(SEARCH(Brand_Profile!$E$58,Matching_Engine!$BF$56)),1,0))+IF(Brand_Profile!$E$59="",0,IF(ISNUMBER(SEARCH(Brand_Profile!$E$59,Matching_Engine!$BF$56)),1,0))+IF(Brand_Profile!$E$60="",0,IF(ISNUMBER(SEARCH(Brand_Profile!$E$60,Matching_Engine!$BF$56)),1,0))+IF(Brand_Profile!$E$61="",0,IF(ISNUMBER(SEARCH(Brand_Profile!$E$61,Matching_Engine!$BF$56)),1,0)))/Brand_Profile!$E$62*100,0))+IF(Brand_Profile!$E$74=0,Lookup_Lists!$D$150,ROUND((IF(Brand_Profile!$E$69="",0,IF(ISNUMBER(SEARCH(Brand_Profile!$E$69,Matching_Engine!$BF$56)),1,0))+IF(Brand_Profile!$E$70="",0,IF(ISNUMBER(SEARCH(Brand_Profile!$E$70,Matching_Engine!$BF$56)),1,0))+IF(Brand_Profile!$E$71="",0,IF(ISNUMBER(SEARCH(Brand_Profile!$E$71,Matching_Engine!$BF$56)),1,0))+IF(Brand_Profile!$E$72="",0,IF(ISNUMBER(SEARCH(Brand_Profile!$E$72,Matching_Engine!$BF$56)),1,0))+IF(Brand_Profile!$E$73="",0,IF(ISNUMBER(SEARCH(Brand_Profile!$E$73,Matching_Engine!$BF$56)),1,0)))/Brand_Profile!$E$74*100,0)))/2,0)</f>
        <v>20</v>
      </c>
      <c r="N56" s="142">
        <f>ROUND((Matching_Engine!$K$56*Lookup_Lists!$D$110+Matching_Engine!$L$56*Lookup_Lists!$D$111+Matching_Engine!$M$56*Lookup_Lists!$D$112)/(Lookup_Lists!$D$110+Lookup_Lists!$D$111+Lookup_Lists!$D$112),0)</f>
        <v>28</v>
      </c>
      <c r="O56" s="142">
        <f ca="1">IF(Brand_Profile!$E$16="",Lookup_Lists!$D$150,MIN(100,ROUND((IFERROR(INDEX(KOL_Database!$W$25:KOL_Database!$AA$25,1,MATCH(Brand_Profile!$E$16,Lookup_Lists!$F$6:$F$10,0)),0)+0.5*IFERROR(INDEX(KOL_Database!$W$25:KOL_Database!$AA$25,1,MATCH(Brand_Profile!$E$17,Lookup_Lists!$F$6:$F$10,0)),0))/Lookup_Lists!$D$142*100,0)))</f>
        <v>100</v>
      </c>
      <c r="P56" s="142">
        <f>IF(OR(Brand_Profile!$E$18="",Brand_Profile!$E$18="Any"),100,IF(Brand_Profile!$E$18="Female",MIN(100,ROUND(KOL_Database!$AB$25/Lookup_Lists!$D$143*100,0)),IF(Brand_Profile!$E$18="Male",MIN(100,ROUND(KOL_Database!$AC$25/Lookup_Lists!$D$143*100,0)),MAX(0,ROUND(100-ABS(KOL_Database!$AB$25-50)*2,0)))))</f>
        <v>71</v>
      </c>
      <c r="Q56" s="142">
        <f>ROUND((IF(Brand_Profile!$E$19="",100,IF(KOL_Database!$AD$25=Brand_Profile!$E$19,100,Lookup_Lists!$D$151))*Lookup_Lists!$D$118+IF(OR(Brand_Profile!$E$20="",Brand_Profile!$E$20="Nasional"),100,IF(KOL_Database!$AE$25="",Lookup_Lists!$D$150,IF(KOL_Database!$AE$25=Brand_Profile!$E$20,100,IF(KOL_Database!$AD$25=Brand_Profile!$E$19,40,Lookup_Lists!$D$151))))*Lookup_Lists!$D$119+IF(OR(Brand_Profile!$E$21="",Brand_Profile!$E$21="Nasional"),100,IF(KOL_Database!$AF$25="",Lookup_Lists!$D$150,IF(KOL_Database!$AF$25=Brand_Profile!$E$21,100,IF(KOL_Database!$AE$25=Brand_Profile!$E$20,60,Lookup_Lists!$D$151))))*Lookup_Lists!$D$120)/(Lookup_Lists!$D$118+Lookup_Lists!$D$119+Lookup_Lists!$D$120),0)</f>
        <v>90</v>
      </c>
      <c r="R56" s="142">
        <f>IF(Brand_Profile!$E$68=0,Lookup_Lists!$D$150,ROUND((IF(Brand_Profile!$E$63="",0,IF(ISNUMBER(SEARCH(Brand_Profile!$E$63,KOL_Database!$AG$25)),1,0))+IF(Brand_Profile!$E$64="",0,IF(ISNUMBER(SEARCH(Brand_Profile!$E$64,KOL_Database!$AG$25)),1,0))+IF(Brand_Profile!$E$65="",0,IF(ISNUMBER(SEARCH(Brand_Profile!$E$65,KOL_Database!$AG$25)),1,0))+IF(Brand_Profile!$E$66="",0,IF(ISNUMBER(SEARCH(Brand_Profile!$E$66,KOL_Database!$AG$25)),1,0))+IF(Brand_Profile!$E$67="",0,IF(ISNUMBER(SEARCH(Brand_Profile!$E$67,KOL_Database!$AG$25)),1,0)))/Brand_Profile!$E$68*100,0))</f>
        <v>20</v>
      </c>
      <c r="S56" s="142">
        <f ca="1">ROUND((Matching_Engine!$O$56*Brand_Profile!$E$96+Matching_Engine!$P$56*Brand_Profile!$E$97+Matching_Engine!$Q$56*Brand_Profile!$E$98+Matching_Engine!$R$56*Brand_Profile!$E$99)/MAX(1,Brand_Profile!$E$96+Brand_Profile!$E$97+Brand_Profile!$E$98+Brand_Profile!$E$99),0)</f>
        <v>69</v>
      </c>
      <c r="T56" s="142">
        <f>IF(Brand_Profile!$E$33="",Lookup_Lists!$D$150,Matching_Engine!$BD$56)</f>
        <v>40</v>
      </c>
      <c r="U56" s="142">
        <f>IF(Brand_Profile!$E$34="",Lookup_Lists!$D$150,IF(Brand_Profile!$E$34=KOL_Database!$F$25,100,IF(Matching_Engine!$BE$56=KOL_Database!$E$25,75,IF(Matching_Engine!$BD$56&gt;=80,Lookup_Lists!$D$150,IF(Matching_Engine!$BD$56&gt;=60,35,Lookup_Lists!$D$151)))))</f>
        <v>20</v>
      </c>
      <c r="V56" s="142">
        <f>IF(Brand_Profile!$E$86=0,Lookup_Lists!$D$150,ROUND((IF(Brand_Profile!$E$81="",0,IF(ISNUMBER(SEARCH(Brand_Profile!$E$81,Matching_Engine!$BG$56)),1,0))+IF(Brand_Profile!$E$82="",0,IF(ISNUMBER(SEARCH(Brand_Profile!$E$82,Matching_Engine!$BG$56)),1,0))+IF(Brand_Profile!$E$83="",0,IF(ISNUMBER(SEARCH(Brand_Profile!$E$83,Matching_Engine!$BG$56)),1,0))+IF(Brand_Profile!$E$84="",0,IF(ISNUMBER(SEARCH(Brand_Profile!$E$84,Matching_Engine!$BG$56)),1,0))+IF(Brand_Profile!$E$85="",0,IF(ISNUMBER(SEARCH(Brand_Profile!$E$85,Matching_Engine!$BG$56)),1,0)))/Brand_Profile!$E$86*100,0))</f>
        <v>20</v>
      </c>
      <c r="W56" s="142">
        <f>IF(Brand_Profile!$E$39="",Lookup_Lists!$D$150,IFERROR(INDEX(Lookup_Lists!$B$237:$K$246,MATCH(Brand_Profile!$E$39,Lookup_Lists!$A$237:$A$246,0),MATCH(KOL_Database!$AJ$25,Lookup_Lists!$B$236:$K$236,0)),45))</f>
        <v>45</v>
      </c>
      <c r="X56" s="142">
        <f>ROUND((Matching_Engine!$T$56*Lookup_Lists!$D$121+Matching_Engine!$U$56*Lookup_Lists!$D$122+Matching_Engine!$V$56*Lookup_Lists!$D$123+Matching_Engine!$W$56*Lookup_Lists!$D$124)/(Lookup_Lists!$D$121+Lookup_Lists!$D$122+Lookup_Lists!$D$123+Lookup_Lists!$D$124),0)</f>
        <v>31</v>
      </c>
      <c r="Y56" s="142">
        <f>MIN(100,MAX(IFERROR(INDEX(Lookup_Lists!$B$202:$M$211,MATCH(Brand_Profile!$E$25,Lookup_Lists!$A$202:$A$211,0),MATCH(KOL_Database!$AK$25,Lookup_Lists!$B$201:$M$201,0)),40),IF(KOL_Database!$AK$25=Brand_Profile!$E$41,95,0)))</f>
        <v>20</v>
      </c>
      <c r="Z56" s="142">
        <f>IFERROR(INDEX(Lookup_Lists!$B$215:$K$222,MATCH(Brand_Profile!$E$27,Lookup_Lists!$A$215:$A$222,0),MATCH(KOL_Database!$AJ$25,Lookup_Lists!$B$214:$K$214,0)),45)</f>
        <v>35</v>
      </c>
      <c r="AA56" s="142">
        <f>ROUND((IF(Brand_Profile!$E$80=0,Lookup_Lists!$D$150,ROUND((IF(Brand_Profile!$E$75="",0,IF(ISNUMBER(SEARCH(Brand_Profile!$E$75,KOL_Database!$AL$25)),1,0))+IF(Brand_Profile!$E$76="",0,IF(ISNUMBER(SEARCH(Brand_Profile!$E$76,KOL_Database!$AL$25)),1,0))+IF(Brand_Profile!$E$77="",0,IF(ISNUMBER(SEARCH(Brand_Profile!$E$77,KOL_Database!$AL$25)),1,0))+IF(Brand_Profile!$E$78="",0,IF(ISNUMBER(SEARCH(Brand_Profile!$E$78,KOL_Database!$AL$25)),1,0))+IF(Brand_Profile!$E$79="",0,IF(ISNUMBER(SEARCH(Brand_Profile!$E$79,KOL_Database!$AL$25)),1,0)))/Brand_Profile!$E$80*100,0))+IF(Brand_Profile!$E$92=0,Lookup_Lists!$D$150,ROUND((IF(Brand_Profile!$E$87="",0,IF(ISNUMBER(SEARCH(Brand_Profile!$E$87,KOL_Database!$AL$25)),1,0))+IF(Brand_Profile!$E$88="",0,IF(ISNUMBER(SEARCH(Brand_Profile!$E$88,KOL_Database!$AL$25)),1,0))+IF(Brand_Profile!$E$89="",0,IF(ISNUMBER(SEARCH(Brand_Profile!$E$89,KOL_Database!$AL$25)),1,0))+IF(Brand_Profile!$E$90="",0,IF(ISNUMBER(SEARCH(Brand_Profile!$E$90,KOL_Database!$AL$25)),1,0))+IF(Brand_Profile!$E$91="",0,IF(ISNUMBER(SEARCH(Brand_Profile!$E$91,KOL_Database!$AL$25)),1,0)))/Brand_Profile!$E$92*100,0)))/2,0)</f>
        <v>20</v>
      </c>
      <c r="AB56" s="142">
        <f>IFERROR(INDEX(Lookup_Lists!$B$226:$K$233,MATCH(Brand_Profile!$E$30,Lookup_Lists!$A$226:$A$233,0),MATCH(KOL_Database!$AJ$25,Lookup_Lists!$B$225:$K$225,0)),45)</f>
        <v>55</v>
      </c>
      <c r="AC56" s="142">
        <f>ROUND((Matching_Engine!$Y$56*Lookup_Lists!$D$125+Matching_Engine!$Z$56*Lookup_Lists!$D$126+Matching_Engine!$AA$56*Lookup_Lists!$D$127+Matching_Engine!$AB$56*Lookup_Lists!$D$128)/(Lookup_Lists!$D$125+Lookup_Lists!$D$126+Lookup_Lists!$D$127+Lookup_Lists!$D$128),0)</f>
        <v>29</v>
      </c>
      <c r="AD56" s="142">
        <f>IF(KOL_Database!$K$25="",0,MIN(100,ROUND(KOL_Database!$K$25/Lookup_Lists!$D$141*100,0)))</f>
        <v>100</v>
      </c>
      <c r="AE56" s="142">
        <f>IF(KOL_Database!$R$25="",0,MIN(100,MAX(0,KOL_Database!$R$25)))</f>
        <v>76</v>
      </c>
      <c r="AF56" s="142">
        <f>IF(KOL_Database!$P$25="",0,MIN(100,MAX(0,KOL_Database!$P$25)))</f>
        <v>63</v>
      </c>
      <c r="AG56" s="142">
        <f>IF(KOL_Database!$Q$25="",0,MIN(100,MAX(0,KOL_Database!$Q$25)))</f>
        <v>52</v>
      </c>
      <c r="AH56" s="142">
        <f>IF(OR(KOL_Database!$J$25="",KOL_Database!$J$25=0,KOL_Database!$L$25=""),0,MIN(100,ROUND(KOL_Database!$L$25/KOL_Database!$J$25/Lookup_Lists!$D$144*100,0)))</f>
        <v>100</v>
      </c>
      <c r="AI56" s="142">
        <f>IF(KOL_Database!$N$25="",0,MIN(100,MAX(0,ROUND((KOL_Database!$N$25+2)/(Lookup_Lists!$D$145+2)*100,0))))</f>
        <v>42</v>
      </c>
      <c r="AJ56" s="142">
        <f>ROUND((Matching_Engine!$AD$56*Lookup_Lists!$D$129+Matching_Engine!$AE$56*Lookup_Lists!$D$130+Matching_Engine!$AF$56*Lookup_Lists!$D$131+Matching_Engine!$AG$56*Lookup_Lists!$D$132+Matching_Engine!$AH$56*Lookup_Lists!$D$133+Matching_Engine!$AI$56*Lookup_Lists!$D$134)/(Lookup_Lists!$D$129+Lookup_Lists!$D$130+Lookup_Lists!$D$131+Lookup_Lists!$D$132+Lookup_Lists!$D$133+Lookup_Lists!$D$134),0)</f>
        <v>80</v>
      </c>
      <c r="AK56" s="142">
        <f>IF(KOL_Database!$AT$25="",0,MIN(100,MAX(0,KOL_Database!$AT$25)))</f>
        <v>62</v>
      </c>
      <c r="AL56" s="142">
        <f>IF(KOL_Database!$AU$25="",0,KOL_Database!$AU$25)</f>
        <v>88</v>
      </c>
      <c r="AM56" s="89" t="str">
        <f>IF(KOL_Database!$AV$25="","None",KOL_Database!$AV$25)</f>
        <v>Medium</v>
      </c>
      <c r="AN56" s="143">
        <f>IF(Matching_Engine!$AM$56="High",Lookup_Lists!$D$137,IF(Matching_Engine!$AM$56="Medium",Lookup_Lists!$D$138,IF(Matching_Engine!$AM$56="Low",Lookup_Lists!$D$139,Lookup_Lists!$D$140)))</f>
        <v>0.85</v>
      </c>
      <c r="AO56" s="142">
        <f>ROUND(MIN(100,MAX(0,(Matching_Engine!$AK$56*Lookup_Lists!$D$135+(100-Matching_Engine!$AL$56)*Lookup_Lists!$D$136)/(Lookup_Lists!$D$135+Lookup_Lists!$D$136)*Matching_Engine!$AN$56)),0)</f>
        <v>44</v>
      </c>
      <c r="AP56" s="13">
        <f ca="1">ROUND((Matching_Engine!$N$56*Lookup_Lists!$D$104+Matching_Engine!$S$56*Lookup_Lists!$D$105+Matching_Engine!$X$56*Lookup_Lists!$D$106+Matching_Engine!$AC$56*Lookup_Lists!$D$107+Matching_Engine!$AJ$56*Lookup_Lists!$D$108+Matching_Engine!$AO$56*Lookup_Lists!$D$109)/MAX(1,(Lookup_Lists!$D$104+Lookup_Lists!$D$105+Lookup_Lists!$D$106+Lookup_Lists!$D$107+Lookup_Lists!$D$108+Lookup_Lists!$D$109)),0)</f>
        <v>48</v>
      </c>
      <c r="AQ56" s="89" t="str">
        <f ca="1">IF(Matching_Engine!$AP$56&gt;=Lookup_Lists!$D$152,"Excellent Match",IF(Matching_Engine!$AP$56&gt;=Lookup_Lists!$D$153,"Strong Match",IF(Matching_Engine!$AP$56&gt;=Lookup_Lists!$D$154,"Good Match",IF(Matching_Engine!$AP$56&gt;=Lookup_Lists!$D$155,"Moderate Match","Low Match"))))</f>
        <v>Low Match</v>
      </c>
      <c r="AR56" s="142">
        <f>KOL_Database!$BE$25</f>
        <v>100</v>
      </c>
      <c r="AS56" s="89" t="str">
        <f>IF(Matching_Engine!$AR$56&gt;=Lookup_Lists!$D$159,"High",IF(Matching_Engine!$AR$56&gt;=Lookup_Lists!$D$160,"Medium","Limited Data"))</f>
        <v>High</v>
      </c>
      <c r="AT56" s="142">
        <f>ROUND((Matching_Engine!$N$56+Matching_Engine!$X$56+Matching_Engine!$AC$56)/3,0)</f>
        <v>29</v>
      </c>
      <c r="AU56" s="142">
        <f>ROUND(((100-Matching_Engine!$AL$56)*Lookup_Lists!$D$162+IF(KOL_Database!$BD$25="",Lookup_Lists!$D$150,KOL_Database!$BD$25)*Lookup_Lists!$D$163+Matching_Engine!$AI$56*Lookup_Lists!$D$164+Matching_Engine!$AD$56*Lookup_Lists!$D$165)/(Lookup_Lists!$D$162+Lookup_Lists!$D$163+Lookup_Lists!$D$164+Lookup_Lists!$D$165),0)</f>
        <v>55</v>
      </c>
      <c r="AV56" s="89" t="str">
        <f ca="1">IF(Matching_Engine!$AW$56="","PASS","EXCLUDED")</f>
        <v>EXCLUDED</v>
      </c>
      <c r="AW56" s="89" t="str">
        <f ca="1">IF(ISERROR(SEARCH(KOL_Database!$D$25,Brand_Profile!$E$32)),"Platform not in Preferred Platform",IF(AND(Brand_Profile!$E$36&gt;0,KOL_Database!$J$25&lt;Brand_Profile!$E$36),"Followers below Preferred Follower Range",IF(AND(Brand_Profile!$E$37&gt;0,KOL_Database!$J$25&gt;Brand_Profile!$E$37),"Followers above Preferred Follower Range",IF(AND(Brand_Profile!$E$38&gt;0,IF(KOL_Database!$K$25="",0,KOL_Database!$K$25)&lt;Brand_Profile!$E$38),"Engagement Rate below Minimum Engagement Rate",IF(ISERROR(SEARCH(KOL_Database!$G$25,Brand_Profile!$E$35)),"Tier not in Preferred Tier",IF(AND(Brand_Profile!$E$43&gt;0,Matching_Engine!$AE$56&lt;Brand_Profile!$E$43),"Audience Quality below Minimum Audience Quality",IF(AND(Brand_Profile!$E$44&gt;0,Matching_Engine!$AK$56&lt;Brand_Profile!$E$44),"Brand Safety below Minimum Brand Safety",IF(AND(Brand_Profile!$E$47="Yes",KOL_Database!$AD$25&lt;&gt;Brand_Profile!$E$19),"Audience Country does not match Target Country",IF(AND(Brand_Profile!$E$46="Yes",KOL_Database!$E$25&lt;&gt;Brand_Profile!$E$33),"Category is not the Preferred Category",IF(AND(Brand_Profile!$E$48&gt;0,Matching_Engine!$AL$56&gt;Brand_Profile!$E$48),"Competitor Saturation above Max Competitor Saturation",IF(AND(Brand_Profile!$E$50="Yes",KOL_Database!$AW$25="Yes"),"Already Selected",IF(AND(Brand_Profile!$E$51="Yes",KOL_Database!$AX$25="Yes"),"Already in Cart",IF(AND(Brand_Profile!$E$52="Yes",KOL_Database!$AY$25="Yes"),"Existing Partner",IF(AND(Brand_Profile!$E$53="Yes",KOL_Database!$AZ$25="Yes"),"Excluded Creator",IF(AND(Brand_Profile!$E$49&gt;0,Matching_Engine!$AP$56&lt;Brand_Profile!$E$49),"Brand Match below Minimum Brand Match","")))))))))))))))</f>
        <v>Followers above Preferred Follower Range</v>
      </c>
      <c r="AX56" s="89" t="str">
        <f ca="1">IF(Matching_Engine!$AV$56="EXCLUDED","Excluded",IF(Matching_Engine!$AP$56&gt;=Lookup_Lists!$D$156,"Highly Recommended",IF(Matching_Engine!$AP$56&gt;=Lookup_Lists!$D$157,"Recommended",IF(Matching_Engine!$AP$56&gt;=Lookup_Lists!$D$158,"Consider","Low Priority"))))</f>
        <v>Excluded</v>
      </c>
      <c r="AY56" s="142" t="str">
        <f ca="1">IF(Matching_Engine!$AV$56="PASS",Matching_Engine!$AP$56,"")</f>
        <v/>
      </c>
      <c r="AZ56" s="89" t="str">
        <f>Matching_Engine!$A$56&amp;"|"&amp;Matching_Engine!$C$56</f>
        <v>BRAND-B|KOL-21</v>
      </c>
      <c r="BA56" s="89" t="str">
        <f>IFERROR(INDEX(Lookup_Lists!$B$51:$B$92,MATCH(Brand_Profile!$E$12,Lookup_Lists!$A$51:$A$92,0)),"")</f>
        <v>Beauty</v>
      </c>
      <c r="BB56" s="89" t="str">
        <f>IFERROR(INDEX(Lookup_Lists!$B$51:$B$92,MATCH(KOL_Database!$F$25,Lookup_Lists!$A$51:$A$92,0)),"")</f>
        <v>Entertainment</v>
      </c>
      <c r="BC56" s="142">
        <f>IFERROR(INDEX(Lookup_Lists!$B$185:$O$198,MATCH(Matching_Engine!$BA$56,Lookup_Lists!$A$185:$A$198,0),MATCH(KOL_Database!$E$25,Lookup_Lists!$B$184:$O$184,0)),Lookup_Lists!$D$151)</f>
        <v>40</v>
      </c>
      <c r="BD56" s="142">
        <f>IFERROR(INDEX(Lookup_Lists!$B$185:$O$198,MATCH(Brand_Profile!$E$33,Lookup_Lists!$A$185:$A$198,0),MATCH(KOL_Database!$E$25,Lookup_Lists!$B$184:$O$184,0)),Lookup_Lists!$D$151)</f>
        <v>40</v>
      </c>
      <c r="BE56" s="89" t="str">
        <f>IFERROR(INDEX(Lookup_Lists!$B$51:$B$92,MATCH(Brand_Profile!$E$34,Lookup_Lists!$A$51:$A$92,0)),"")</f>
        <v>Beauty</v>
      </c>
      <c r="BF56" s="89" t="str">
        <f>KOL_Database!$AI$25&amp;", "&amp;KOL_Database!$AG$25&amp;", "&amp;KOL_Database!$F$25&amp;", "&amp;KOL_Database!$E$25</f>
        <v>Entertainment, Music, Food, Entertainment, Music, Food, Gaming, Shopping, Comedy, Entertainment</v>
      </c>
      <c r="BG56" s="89" t="str">
        <f>KOL_Database!$AI$25&amp;", "&amp;KOL_Database!$AG$25</f>
        <v>Entertainment, Music, Food, Entertainment, Music, Food, Gaming, Shopping</v>
      </c>
    </row>
    <row r="57" spans="1:59">
      <c r="A57" s="101" t="s">
        <v>118</v>
      </c>
      <c r="B57" s="89" t="str">
        <f>Brand_Profile!$E$9</f>
        <v>Lumaya Skin</v>
      </c>
      <c r="C57" s="89" t="str">
        <f>KOL_Database!$A$26</f>
        <v>KOL-22</v>
      </c>
      <c r="D57" s="89" t="str">
        <f>KOL_Database!$B$26</f>
        <v>Nabila Kirana</v>
      </c>
      <c r="E57" s="89" t="str">
        <f>KOL_Database!$C$26</f>
        <v>@nabilamusic</v>
      </c>
      <c r="F57" s="89" t="str">
        <f>KOL_Database!$D$26</f>
        <v>Instagram</v>
      </c>
      <c r="G57" s="89" t="str">
        <f>KOL_Database!$E$26</f>
        <v>Entertainment</v>
      </c>
      <c r="H57" s="89" t="str">
        <f>KOL_Database!$G$26</f>
        <v>Macro</v>
      </c>
      <c r="I57" s="140">
        <f>KOL_Database!$J$26</f>
        <v>420000</v>
      </c>
      <c r="J57" s="141">
        <f>KOL_Database!$K$26</f>
        <v>3.6</v>
      </c>
      <c r="K57" s="142">
        <f>IFERROR(INDEX(Lookup_Lists!$B$170:$O$181,MATCH(Brand_Profile!$E$10,Lookup_Lists!$A$170:$A$181,0),MATCH(KOL_Database!$E$26,Lookup_Lists!$B$169:$O$169,0)),Lookup_Lists!$D$151)</f>
        <v>40</v>
      </c>
      <c r="L57" s="142">
        <f>IF(KOL_Database!$F$26="",Matching_Engine!$BC$57,IF(Brand_Profile!$E$12=KOL_Database!$F$26,100,IF(Matching_Engine!$BA$57=KOL_Database!$E$26,80,IF(Matching_Engine!$BC$57&gt;=80,60,IF(Matching_Engine!$BC$57&gt;=60,40,Lookup_Lists!$D$151)))))</f>
        <v>20</v>
      </c>
      <c r="M57" s="142">
        <f>ROUND((IF(Brand_Profile!$E$62=0,Lookup_Lists!$D$150,ROUND((IF(Brand_Profile!$E$57="",0,IF(ISNUMBER(SEARCH(Brand_Profile!$E$57,Matching_Engine!$BF$57)),1,0))+IF(Brand_Profile!$E$58="",0,IF(ISNUMBER(SEARCH(Brand_Profile!$E$58,Matching_Engine!$BF$57)),1,0))+IF(Brand_Profile!$E$59="",0,IF(ISNUMBER(SEARCH(Brand_Profile!$E$59,Matching_Engine!$BF$57)),1,0))+IF(Brand_Profile!$E$60="",0,IF(ISNUMBER(SEARCH(Brand_Profile!$E$60,Matching_Engine!$BF$57)),1,0))+IF(Brand_Profile!$E$61="",0,IF(ISNUMBER(SEARCH(Brand_Profile!$E$61,Matching_Engine!$BF$57)),1,0)))/Brand_Profile!$E$62*100,0))+IF(Brand_Profile!$E$74=0,Lookup_Lists!$D$150,ROUND((IF(Brand_Profile!$E$69="",0,IF(ISNUMBER(SEARCH(Brand_Profile!$E$69,Matching_Engine!$BF$57)),1,0))+IF(Brand_Profile!$E$70="",0,IF(ISNUMBER(SEARCH(Brand_Profile!$E$70,Matching_Engine!$BF$57)),1,0))+IF(Brand_Profile!$E$71="",0,IF(ISNUMBER(SEARCH(Brand_Profile!$E$71,Matching_Engine!$BF$57)),1,0))+IF(Brand_Profile!$E$72="",0,IF(ISNUMBER(SEARCH(Brand_Profile!$E$72,Matching_Engine!$BF$57)),1,0))+IF(Brand_Profile!$E$73="",0,IF(ISNUMBER(SEARCH(Brand_Profile!$E$73,Matching_Engine!$BF$57)),1,0)))/Brand_Profile!$E$74*100,0)))/2,0)</f>
        <v>40</v>
      </c>
      <c r="N57" s="142">
        <f>ROUND((Matching_Engine!$K$57*Lookup_Lists!$D$110+Matching_Engine!$L$57*Lookup_Lists!$D$111+Matching_Engine!$M$57*Lookup_Lists!$D$112)/(Lookup_Lists!$D$110+Lookup_Lists!$D$111+Lookup_Lists!$D$112),0)</f>
        <v>34</v>
      </c>
      <c r="O57" s="142">
        <f ca="1">IF(Brand_Profile!$E$16="",Lookup_Lists!$D$150,MIN(100,ROUND((IFERROR(INDEX(KOL_Database!$W$26:KOL_Database!$AA$26,1,MATCH(Brand_Profile!$E$16,Lookup_Lists!$F$6:$F$10,0)),0)+0.5*IFERROR(INDEX(KOL_Database!$W$26:KOL_Database!$AA$26,1,MATCH(Brand_Profile!$E$17,Lookup_Lists!$F$6:$F$10,0)),0))/Lookup_Lists!$D$142*100,0)))</f>
        <v>100</v>
      </c>
      <c r="P57" s="142">
        <f>IF(OR(Brand_Profile!$E$18="",Brand_Profile!$E$18="Any"),100,IF(Brand_Profile!$E$18="Female",MIN(100,ROUND(KOL_Database!$AB$26/Lookup_Lists!$D$143*100,0)),IF(Brand_Profile!$E$18="Male",MIN(100,ROUND(KOL_Database!$AC$26/Lookup_Lists!$D$143*100,0)),MAX(0,ROUND(100-ABS(KOL_Database!$AB$26-50)*2,0)))))</f>
        <v>100</v>
      </c>
      <c r="Q57" s="142">
        <f>ROUND((IF(Brand_Profile!$E$19="",100,IF(KOL_Database!$AD$26=Brand_Profile!$E$19,100,Lookup_Lists!$D$151))*Lookup_Lists!$D$118+IF(OR(Brand_Profile!$E$20="",Brand_Profile!$E$20="Nasional"),100,IF(KOL_Database!$AE$26="",Lookup_Lists!$D$150,IF(KOL_Database!$AE$26=Brand_Profile!$E$20,100,IF(KOL_Database!$AD$26=Brand_Profile!$E$19,40,Lookup_Lists!$D$151))))*Lookup_Lists!$D$119+IF(OR(Brand_Profile!$E$21="",Brand_Profile!$E$21="Nasional"),100,IF(KOL_Database!$AF$26="",Lookup_Lists!$D$150,IF(KOL_Database!$AF$26=Brand_Profile!$E$21,100,IF(KOL_Database!$AE$26=Brand_Profile!$E$20,60,Lookup_Lists!$D$151))))*Lookup_Lists!$D$120)/(Lookup_Lists!$D$118+Lookup_Lists!$D$119+Lookup_Lists!$D$120),0)</f>
        <v>100</v>
      </c>
      <c r="R57" s="142">
        <f>IF(Brand_Profile!$E$68=0,Lookup_Lists!$D$150,ROUND((IF(Brand_Profile!$E$63="",0,IF(ISNUMBER(SEARCH(Brand_Profile!$E$63,KOL_Database!$AG$26)),1,0))+IF(Brand_Profile!$E$64="",0,IF(ISNUMBER(SEARCH(Brand_Profile!$E$64,KOL_Database!$AG$26)),1,0))+IF(Brand_Profile!$E$65="",0,IF(ISNUMBER(SEARCH(Brand_Profile!$E$65,KOL_Database!$AG$26)),1,0))+IF(Brand_Profile!$E$66="",0,IF(ISNUMBER(SEARCH(Brand_Profile!$E$66,KOL_Database!$AG$26)),1,0))+IF(Brand_Profile!$E$67="",0,IF(ISNUMBER(SEARCH(Brand_Profile!$E$67,KOL_Database!$AG$26)),1,0)))/Brand_Profile!$E$68*100,0))</f>
        <v>60</v>
      </c>
      <c r="S57" s="142">
        <f ca="1">ROUND((Matching_Engine!$O$57*Brand_Profile!$E$96+Matching_Engine!$P$57*Brand_Profile!$E$97+Matching_Engine!$Q$57*Brand_Profile!$E$98+Matching_Engine!$R$57*Brand_Profile!$E$99)/MAX(1,Brand_Profile!$E$96+Brand_Profile!$E$97+Brand_Profile!$E$98+Brand_Profile!$E$99),0)</f>
        <v>90</v>
      </c>
      <c r="T57" s="142">
        <f>IF(Brand_Profile!$E$33="",Lookup_Lists!$D$150,Matching_Engine!$BD$57)</f>
        <v>40</v>
      </c>
      <c r="U57" s="142">
        <f>IF(Brand_Profile!$E$34="",Lookup_Lists!$D$150,IF(Brand_Profile!$E$34=KOL_Database!$F$26,100,IF(Matching_Engine!$BE$57=KOL_Database!$E$26,75,IF(Matching_Engine!$BD$57&gt;=80,Lookup_Lists!$D$150,IF(Matching_Engine!$BD$57&gt;=60,35,Lookup_Lists!$D$151)))))</f>
        <v>20</v>
      </c>
      <c r="V57" s="142">
        <f>IF(Brand_Profile!$E$86=0,Lookup_Lists!$D$150,ROUND((IF(Brand_Profile!$E$81="",0,IF(ISNUMBER(SEARCH(Brand_Profile!$E$81,Matching_Engine!$BG$57)),1,0))+IF(Brand_Profile!$E$82="",0,IF(ISNUMBER(SEARCH(Brand_Profile!$E$82,Matching_Engine!$BG$57)),1,0))+IF(Brand_Profile!$E$83="",0,IF(ISNUMBER(SEARCH(Brand_Profile!$E$83,Matching_Engine!$BG$57)),1,0))+IF(Brand_Profile!$E$84="",0,IF(ISNUMBER(SEARCH(Brand_Profile!$E$84,Matching_Engine!$BG$57)),1,0))+IF(Brand_Profile!$E$85="",0,IF(ISNUMBER(SEARCH(Brand_Profile!$E$85,Matching_Engine!$BG$57)),1,0)))/Brand_Profile!$E$86*100,0))</f>
        <v>40</v>
      </c>
      <c r="W57" s="142">
        <f>IF(Brand_Profile!$E$39="",Lookup_Lists!$D$150,IFERROR(INDEX(Lookup_Lists!$B$237:$K$246,MATCH(Brand_Profile!$E$39,Lookup_Lists!$A$237:$A$246,0),MATCH(KOL_Database!$AJ$26,Lookup_Lists!$B$236:$K$236,0)),45))</f>
        <v>45</v>
      </c>
      <c r="X57" s="142">
        <f>ROUND((Matching_Engine!$T$57*Lookup_Lists!$D$121+Matching_Engine!$U$57*Lookup_Lists!$D$122+Matching_Engine!$V$57*Lookup_Lists!$D$123+Matching_Engine!$W$57*Lookup_Lists!$D$124)/(Lookup_Lists!$D$121+Lookup_Lists!$D$122+Lookup_Lists!$D$123+Lookup_Lists!$D$124),0)</f>
        <v>37</v>
      </c>
      <c r="Y57" s="142">
        <f>MIN(100,MAX(IFERROR(INDEX(Lookup_Lists!$B$202:$M$211,MATCH(Brand_Profile!$E$25,Lookup_Lists!$A$202:$A$211,0),MATCH(KOL_Database!$AK$26,Lookup_Lists!$B$201:$M$201,0)),40),IF(KOL_Database!$AK$26=Brand_Profile!$E$41,95,0)))</f>
        <v>65</v>
      </c>
      <c r="Z57" s="142">
        <f>IFERROR(INDEX(Lookup_Lists!$B$215:$K$222,MATCH(Brand_Profile!$E$27,Lookup_Lists!$A$215:$A$222,0),MATCH(KOL_Database!$AJ$26,Lookup_Lists!$B$214:$K$214,0)),45)</f>
        <v>95</v>
      </c>
      <c r="AA57" s="142">
        <f>ROUND((IF(Brand_Profile!$E$80=0,Lookup_Lists!$D$150,ROUND((IF(Brand_Profile!$E$75="",0,IF(ISNUMBER(SEARCH(Brand_Profile!$E$75,KOL_Database!$AL$26)),1,0))+IF(Brand_Profile!$E$76="",0,IF(ISNUMBER(SEARCH(Brand_Profile!$E$76,KOL_Database!$AL$26)),1,0))+IF(Brand_Profile!$E$77="",0,IF(ISNUMBER(SEARCH(Brand_Profile!$E$77,KOL_Database!$AL$26)),1,0))+IF(Brand_Profile!$E$78="",0,IF(ISNUMBER(SEARCH(Brand_Profile!$E$78,KOL_Database!$AL$26)),1,0))+IF(Brand_Profile!$E$79="",0,IF(ISNUMBER(SEARCH(Brand_Profile!$E$79,KOL_Database!$AL$26)),1,0)))/Brand_Profile!$E$80*100,0))+IF(Brand_Profile!$E$92=0,Lookup_Lists!$D$150,ROUND((IF(Brand_Profile!$E$87="",0,IF(ISNUMBER(SEARCH(Brand_Profile!$E$87,KOL_Database!$AL$26)),1,0))+IF(Brand_Profile!$E$88="",0,IF(ISNUMBER(SEARCH(Brand_Profile!$E$88,KOL_Database!$AL$26)),1,0))+IF(Brand_Profile!$E$89="",0,IF(ISNUMBER(SEARCH(Brand_Profile!$E$89,KOL_Database!$AL$26)),1,0))+IF(Brand_Profile!$E$90="",0,IF(ISNUMBER(SEARCH(Brand_Profile!$E$90,KOL_Database!$AL$26)),1,0))+IF(Brand_Profile!$E$91="",0,IF(ISNUMBER(SEARCH(Brand_Profile!$E$91,KOL_Database!$AL$26)),1,0)))/Brand_Profile!$E$92*100,0)))/2,0)</f>
        <v>40</v>
      </c>
      <c r="AB57" s="142">
        <f>IFERROR(INDEX(Lookup_Lists!$B$226:$K$233,MATCH(Brand_Profile!$E$30,Lookup_Lists!$A$226:$A$233,0),MATCH(KOL_Database!$AJ$26,Lookup_Lists!$B$225:$K$225,0)),45)</f>
        <v>100</v>
      </c>
      <c r="AC57" s="142">
        <f>ROUND((Matching_Engine!$Y$57*Lookup_Lists!$D$125+Matching_Engine!$Z$57*Lookup_Lists!$D$126+Matching_Engine!$AA$57*Lookup_Lists!$D$127+Matching_Engine!$AB$57*Lookup_Lists!$D$128)/(Lookup_Lists!$D$125+Lookup_Lists!$D$126+Lookup_Lists!$D$127+Lookup_Lists!$D$128),0)</f>
        <v>72</v>
      </c>
      <c r="AD57" s="142">
        <f>IF(KOL_Database!$K$26="",0,MIN(100,ROUND(KOL_Database!$K$26/Lookup_Lists!$D$141*100,0)))</f>
        <v>60</v>
      </c>
      <c r="AE57" s="142">
        <f>IF(KOL_Database!$R$26="",0,MIN(100,MAX(0,KOL_Database!$R$26)))</f>
        <v>75</v>
      </c>
      <c r="AF57" s="142">
        <f>IF(KOL_Database!$P$26="",0,MIN(100,MAX(0,KOL_Database!$P$26)))</f>
        <v>74</v>
      </c>
      <c r="AG57" s="142">
        <f>IF(KOL_Database!$Q$26="",0,MIN(100,MAX(0,KOL_Database!$Q$26)))</f>
        <v>69</v>
      </c>
      <c r="AH57" s="142">
        <f>IF(OR(KOL_Database!$J$26="",KOL_Database!$J$26=0,KOL_Database!$L$26=""),0,MIN(100,ROUND(KOL_Database!$L$26/KOL_Database!$J$26/Lookup_Lists!$D$144*100,0)))</f>
        <v>62</v>
      </c>
      <c r="AI57" s="142">
        <f>IF(KOL_Database!$N$26="",0,MIN(100,MAX(0,ROUND((KOL_Database!$N$26+2)/(Lookup_Lists!$D$145+2)*100,0))))</f>
        <v>44</v>
      </c>
      <c r="AJ57" s="142">
        <f>ROUND((Matching_Engine!$AD$57*Lookup_Lists!$D$129+Matching_Engine!$AE$57*Lookup_Lists!$D$130+Matching_Engine!$AF$57*Lookup_Lists!$D$131+Matching_Engine!$AG$57*Lookup_Lists!$D$132+Matching_Engine!$AH$57*Lookup_Lists!$D$133+Matching_Engine!$AI$57*Lookup_Lists!$D$134)/(Lookup_Lists!$D$129+Lookup_Lists!$D$130+Lookup_Lists!$D$131+Lookup_Lists!$D$132+Lookup_Lists!$D$133+Lookup_Lists!$D$134),0)</f>
        <v>66</v>
      </c>
      <c r="AK57" s="142">
        <f>IF(KOL_Database!$AT$26="",0,MIN(100,MAX(0,KOL_Database!$AT$26)))</f>
        <v>55</v>
      </c>
      <c r="AL57" s="142">
        <f>IF(KOL_Database!$AU$26="",0,KOL_Database!$AU$26)</f>
        <v>40</v>
      </c>
      <c r="AM57" s="89" t="str">
        <f>IF(KOL_Database!$AV$26="","None",KOL_Database!$AV$26)</f>
        <v>High</v>
      </c>
      <c r="AN57" s="143">
        <f>IF(Matching_Engine!$AM$57="High",Lookup_Lists!$D$137,IF(Matching_Engine!$AM$57="Medium",Lookup_Lists!$D$138,IF(Matching_Engine!$AM$57="Low",Lookup_Lists!$D$139,Lookup_Lists!$D$140)))</f>
        <v>0.6</v>
      </c>
      <c r="AO57" s="142">
        <f>ROUND(MIN(100,MAX(0,(Matching_Engine!$AK$57*Lookup_Lists!$D$135+(100-Matching_Engine!$AL$57)*Lookup_Lists!$D$136)/(Lookup_Lists!$D$135+Lookup_Lists!$D$136)*Matching_Engine!$AN$57)),0)</f>
        <v>34</v>
      </c>
      <c r="AP57" s="13">
        <f ca="1">ROUND((Matching_Engine!$N$57*Lookup_Lists!$D$104+Matching_Engine!$S$57*Lookup_Lists!$D$105+Matching_Engine!$X$57*Lookup_Lists!$D$106+Matching_Engine!$AC$57*Lookup_Lists!$D$107+Matching_Engine!$AJ$57*Lookup_Lists!$D$108+Matching_Engine!$AO$57*Lookup_Lists!$D$109)/MAX(1,(Lookup_Lists!$D$104+Lookup_Lists!$D$105+Lookup_Lists!$D$106+Lookup_Lists!$D$107+Lookup_Lists!$D$108+Lookup_Lists!$D$109)),0)</f>
        <v>58</v>
      </c>
      <c r="AQ57" s="89" t="str">
        <f ca="1">IF(Matching_Engine!$AP$57&gt;=Lookup_Lists!$D$152,"Excellent Match",IF(Matching_Engine!$AP$57&gt;=Lookup_Lists!$D$153,"Strong Match",IF(Matching_Engine!$AP$57&gt;=Lookup_Lists!$D$154,"Good Match",IF(Matching_Engine!$AP$57&gt;=Lookup_Lists!$D$155,"Moderate Match","Low Match"))))</f>
        <v>Low Match</v>
      </c>
      <c r="AR57" s="142">
        <f>KOL_Database!$BE$26</f>
        <v>100</v>
      </c>
      <c r="AS57" s="89" t="str">
        <f>IF(Matching_Engine!$AR$57&gt;=Lookup_Lists!$D$159,"High",IF(Matching_Engine!$AR$57&gt;=Lookup_Lists!$D$160,"Medium","Limited Data"))</f>
        <v>High</v>
      </c>
      <c r="AT57" s="142">
        <f>ROUND((Matching_Engine!$N$57+Matching_Engine!$X$57+Matching_Engine!$AC$57)/3,0)</f>
        <v>48</v>
      </c>
      <c r="AU57" s="142">
        <f>ROUND(((100-Matching_Engine!$AL$57)*Lookup_Lists!$D$162+IF(KOL_Database!$BD$26="",Lookup_Lists!$D$150,KOL_Database!$BD$26)*Lookup_Lists!$D$163+Matching_Engine!$AI$57*Lookup_Lists!$D$164+Matching_Engine!$AD$57*Lookup_Lists!$D$165)/(Lookup_Lists!$D$162+Lookup_Lists!$D$163+Lookup_Lists!$D$164+Lookup_Lists!$D$165),0)</f>
        <v>52</v>
      </c>
      <c r="AV57" s="89" t="str">
        <f ca="1">IF(Matching_Engine!$AW$57="","PASS","EXCLUDED")</f>
        <v>EXCLUDED</v>
      </c>
      <c r="AW57" s="89" t="str">
        <f ca="1">IF(ISERROR(SEARCH(KOL_Database!$D$26,Brand_Profile!$E$32)),"Platform not in Preferred Platform",IF(AND(Brand_Profile!$E$36&gt;0,KOL_Database!$J$26&lt;Brand_Profile!$E$36),"Followers below Preferred Follower Range",IF(AND(Brand_Profile!$E$37&gt;0,KOL_Database!$J$26&gt;Brand_Profile!$E$37),"Followers above Preferred Follower Range",IF(AND(Brand_Profile!$E$38&gt;0,IF(KOL_Database!$K$26="",0,KOL_Database!$K$26)&lt;Brand_Profile!$E$38),"Engagement Rate below Minimum Engagement Rate",IF(ISERROR(SEARCH(KOL_Database!$G$26,Brand_Profile!$E$35)),"Tier not in Preferred Tier",IF(AND(Brand_Profile!$E$43&gt;0,Matching_Engine!$AE$57&lt;Brand_Profile!$E$43),"Audience Quality below Minimum Audience Quality",IF(AND(Brand_Profile!$E$44&gt;0,Matching_Engine!$AK$57&lt;Brand_Profile!$E$44),"Brand Safety below Minimum Brand Safety",IF(AND(Brand_Profile!$E$47="Yes",KOL_Database!$AD$26&lt;&gt;Brand_Profile!$E$19),"Audience Country does not match Target Country",IF(AND(Brand_Profile!$E$46="Yes",KOL_Database!$E$26&lt;&gt;Brand_Profile!$E$33),"Category is not the Preferred Category",IF(AND(Brand_Profile!$E$48&gt;0,Matching_Engine!$AL$57&gt;Brand_Profile!$E$48),"Competitor Saturation above Max Competitor Saturation",IF(AND(Brand_Profile!$E$50="Yes",KOL_Database!$AW$26="Yes"),"Already Selected",IF(AND(Brand_Profile!$E$51="Yes",KOL_Database!$AX$26="Yes"),"Already in Cart",IF(AND(Brand_Profile!$E$52="Yes",KOL_Database!$AY$26="Yes"),"Existing Partner",IF(AND(Brand_Profile!$E$53="Yes",KOL_Database!$AZ$26="Yes"),"Excluded Creator",IF(AND(Brand_Profile!$E$49&gt;0,Matching_Engine!$AP$57&lt;Brand_Profile!$E$49),"Brand Match below Minimum Brand Match","")))))))))))))))</f>
        <v>Tier not in Preferred Tier</v>
      </c>
      <c r="AX57" s="89" t="str">
        <f ca="1">IF(Matching_Engine!$AV$57="EXCLUDED","Excluded",IF(Matching_Engine!$AP$57&gt;=Lookup_Lists!$D$156,"Highly Recommended",IF(Matching_Engine!$AP$57&gt;=Lookup_Lists!$D$157,"Recommended",IF(Matching_Engine!$AP$57&gt;=Lookup_Lists!$D$158,"Consider","Low Priority"))))</f>
        <v>Excluded</v>
      </c>
      <c r="AY57" s="142" t="str">
        <f ca="1">IF(Matching_Engine!$AV$57="PASS",Matching_Engine!$AP$57,"")</f>
        <v/>
      </c>
      <c r="AZ57" s="89" t="str">
        <f>Matching_Engine!$A$57&amp;"|"&amp;Matching_Engine!$C$57</f>
        <v>BRAND-B|KOL-22</v>
      </c>
      <c r="BA57" s="89" t="str">
        <f>IFERROR(INDEX(Lookup_Lists!$B$51:$B$92,MATCH(Brand_Profile!$E$12,Lookup_Lists!$A$51:$A$92,0)),"")</f>
        <v>Beauty</v>
      </c>
      <c r="BB57" s="89" t="str">
        <f>IFERROR(INDEX(Lookup_Lists!$B$51:$B$92,MATCH(KOL_Database!$F$26,Lookup_Lists!$A$51:$A$92,0)),"")</f>
        <v>Entertainment</v>
      </c>
      <c r="BC57" s="142">
        <f>IFERROR(INDEX(Lookup_Lists!$B$185:$O$198,MATCH(Matching_Engine!$BA$57,Lookup_Lists!$A$185:$A$198,0),MATCH(KOL_Database!$E$26,Lookup_Lists!$B$184:$O$184,0)),Lookup_Lists!$D$151)</f>
        <v>40</v>
      </c>
      <c r="BD57" s="142">
        <f>IFERROR(INDEX(Lookup_Lists!$B$185:$O$198,MATCH(Brand_Profile!$E$33,Lookup_Lists!$A$185:$A$198,0),MATCH(KOL_Database!$E$26,Lookup_Lists!$B$184:$O$184,0)),Lookup_Lists!$D$151)</f>
        <v>40</v>
      </c>
      <c r="BE57" s="89" t="str">
        <f>IFERROR(INDEX(Lookup_Lists!$B$51:$B$92,MATCH(Brand_Profile!$E$34,Lookup_Lists!$A$51:$A$92,0)),"")</f>
        <v>Beauty</v>
      </c>
      <c r="BF57" s="89" t="str">
        <f>KOL_Database!$AI$26&amp;", "&amp;KOL_Database!$AG$26&amp;", "&amp;KOL_Database!$F$26&amp;", "&amp;KOL_Database!$E$26</f>
        <v>Music, Entertainment, Fashion, Music, Entertainment, Fashion, Beauty, Shopping, Music, Entertainment</v>
      </c>
      <c r="BG57" s="89" t="str">
        <f>KOL_Database!$AI$26&amp;", "&amp;KOL_Database!$AG$26</f>
        <v>Music, Entertainment, Fashion, Music, Entertainment, Fashion, Beauty, Shopping</v>
      </c>
    </row>
    <row r="58" spans="1:59">
      <c r="A58" s="101" t="s">
        <v>118</v>
      </c>
      <c r="B58" s="89" t="str">
        <f>Brand_Profile!$E$9</f>
        <v>Lumaya Skin</v>
      </c>
      <c r="C58" s="89" t="str">
        <f>KOL_Database!$A$27</f>
        <v>KOL-23</v>
      </c>
      <c r="D58" s="89" t="str">
        <f>KOL_Database!$B$27</f>
        <v>Arya Mahendra</v>
      </c>
      <c r="E58" s="89" t="str">
        <f>KOL_Database!$C$27</f>
        <v>@aryagaming</v>
      </c>
      <c r="F58" s="89" t="str">
        <f>KOL_Database!$D$27</f>
        <v>TikTok</v>
      </c>
      <c r="G58" s="89" t="str">
        <f>KOL_Database!$E$27</f>
        <v>Gaming</v>
      </c>
      <c r="H58" s="89" t="str">
        <f>KOL_Database!$G$27</f>
        <v>Macro</v>
      </c>
      <c r="I58" s="140">
        <f>KOL_Database!$J$27</f>
        <v>640000</v>
      </c>
      <c r="J58" s="141">
        <f>KOL_Database!$K$27</f>
        <v>7.8</v>
      </c>
      <c r="K58" s="142">
        <f>IFERROR(INDEX(Lookup_Lists!$B$170:$O$181,MATCH(Brand_Profile!$E$10,Lookup_Lists!$A$170:$A$181,0),MATCH(KOL_Database!$E$27,Lookup_Lists!$B$169:$O$169,0)),Lookup_Lists!$D$151)</f>
        <v>20</v>
      </c>
      <c r="L58" s="142">
        <f>IF(KOL_Database!$F$27="",Matching_Engine!$BC$58,IF(Brand_Profile!$E$12=KOL_Database!$F$27,100,IF(Matching_Engine!$BA$58=KOL_Database!$E$27,80,IF(Matching_Engine!$BC$58&gt;=80,60,IF(Matching_Engine!$BC$58&gt;=60,40,Lookup_Lists!$D$151)))))</f>
        <v>20</v>
      </c>
      <c r="M58" s="142">
        <f>ROUND((IF(Brand_Profile!$E$62=0,Lookup_Lists!$D$150,ROUND((IF(Brand_Profile!$E$57="",0,IF(ISNUMBER(SEARCH(Brand_Profile!$E$57,Matching_Engine!$BF$58)),1,0))+IF(Brand_Profile!$E$58="",0,IF(ISNUMBER(SEARCH(Brand_Profile!$E$58,Matching_Engine!$BF$58)),1,0))+IF(Brand_Profile!$E$59="",0,IF(ISNUMBER(SEARCH(Brand_Profile!$E$59,Matching_Engine!$BF$58)),1,0))+IF(Brand_Profile!$E$60="",0,IF(ISNUMBER(SEARCH(Brand_Profile!$E$60,Matching_Engine!$BF$58)),1,0))+IF(Brand_Profile!$E$61="",0,IF(ISNUMBER(SEARCH(Brand_Profile!$E$61,Matching_Engine!$BF$58)),1,0)))/Brand_Profile!$E$62*100,0))+IF(Brand_Profile!$E$74=0,Lookup_Lists!$D$150,ROUND((IF(Brand_Profile!$E$69="",0,IF(ISNUMBER(SEARCH(Brand_Profile!$E$69,Matching_Engine!$BF$58)),1,0))+IF(Brand_Profile!$E$70="",0,IF(ISNUMBER(SEARCH(Brand_Profile!$E$70,Matching_Engine!$BF$58)),1,0))+IF(Brand_Profile!$E$71="",0,IF(ISNUMBER(SEARCH(Brand_Profile!$E$71,Matching_Engine!$BF$58)),1,0))+IF(Brand_Profile!$E$72="",0,IF(ISNUMBER(SEARCH(Brand_Profile!$E$72,Matching_Engine!$BF$58)),1,0))+IF(Brand_Profile!$E$73="",0,IF(ISNUMBER(SEARCH(Brand_Profile!$E$73,Matching_Engine!$BF$58)),1,0)))/Brand_Profile!$E$74*100,0)))/2,0)</f>
        <v>20</v>
      </c>
      <c r="N58" s="142">
        <f>ROUND((Matching_Engine!$K$58*Lookup_Lists!$D$110+Matching_Engine!$L$58*Lookup_Lists!$D$111+Matching_Engine!$M$58*Lookup_Lists!$D$112)/(Lookup_Lists!$D$110+Lookup_Lists!$D$111+Lookup_Lists!$D$112),0)</f>
        <v>20</v>
      </c>
      <c r="O58" s="142">
        <f ca="1">IF(Brand_Profile!$E$16="",Lookup_Lists!$D$150,MIN(100,ROUND((IFERROR(INDEX(KOL_Database!$W$27:KOL_Database!$AA$27,1,MATCH(Brand_Profile!$E$16,Lookup_Lists!$F$6:$F$10,0)),0)+0.5*IFERROR(INDEX(KOL_Database!$W$27:KOL_Database!$AA$27,1,MATCH(Brand_Profile!$E$17,Lookup_Lists!$F$6:$F$10,0)),0))/Lookup_Lists!$D$142*100,0)))</f>
        <v>100</v>
      </c>
      <c r="P58" s="142">
        <f>IF(OR(Brand_Profile!$E$18="",Brand_Profile!$E$18="Any"),100,IF(Brand_Profile!$E$18="Female",MIN(100,ROUND(KOL_Database!$AB$27/Lookup_Lists!$D$143*100,0)),IF(Brand_Profile!$E$18="Male",MIN(100,ROUND(KOL_Database!$AC$27/Lookup_Lists!$D$143*100,0)),MAX(0,ROUND(100-ABS(KOL_Database!$AB$27-50)*2,0)))))</f>
        <v>43</v>
      </c>
      <c r="Q58" s="142">
        <f>ROUND((IF(Brand_Profile!$E$19="",100,IF(KOL_Database!$AD$27=Brand_Profile!$E$19,100,Lookup_Lists!$D$151))*Lookup_Lists!$D$118+IF(OR(Brand_Profile!$E$20="",Brand_Profile!$E$20="Nasional"),100,IF(KOL_Database!$AE$27="",Lookup_Lists!$D$150,IF(KOL_Database!$AE$27=Brand_Profile!$E$20,100,IF(KOL_Database!$AD$27=Brand_Profile!$E$19,40,Lookup_Lists!$D$151))))*Lookup_Lists!$D$119+IF(OR(Brand_Profile!$E$21="",Brand_Profile!$E$21="Nasional"),100,IF(KOL_Database!$AF$27="",Lookup_Lists!$D$150,IF(KOL_Database!$AF$27=Brand_Profile!$E$21,100,IF(KOL_Database!$AE$27=Brand_Profile!$E$20,60,Lookup_Lists!$D$151))))*Lookup_Lists!$D$120)/(Lookup_Lists!$D$118+Lookup_Lists!$D$119+Lookup_Lists!$D$120),0)</f>
        <v>90</v>
      </c>
      <c r="R58" s="142">
        <f>IF(Brand_Profile!$E$68=0,Lookup_Lists!$D$150,ROUND((IF(Brand_Profile!$E$63="",0,IF(ISNUMBER(SEARCH(Brand_Profile!$E$63,KOL_Database!$AG$27)),1,0))+IF(Brand_Profile!$E$64="",0,IF(ISNUMBER(SEARCH(Brand_Profile!$E$64,KOL_Database!$AG$27)),1,0))+IF(Brand_Profile!$E$65="",0,IF(ISNUMBER(SEARCH(Brand_Profile!$E$65,KOL_Database!$AG$27)),1,0))+IF(Brand_Profile!$E$66="",0,IF(ISNUMBER(SEARCH(Brand_Profile!$E$66,KOL_Database!$AG$27)),1,0))+IF(Brand_Profile!$E$67="",0,IF(ISNUMBER(SEARCH(Brand_Profile!$E$67,KOL_Database!$AG$27)),1,0)))/Brand_Profile!$E$68*100,0))</f>
        <v>20</v>
      </c>
      <c r="S58" s="142">
        <f ca="1">ROUND((Matching_Engine!$O$58*Brand_Profile!$E$96+Matching_Engine!$P$58*Brand_Profile!$E$97+Matching_Engine!$Q$58*Brand_Profile!$E$98+Matching_Engine!$R$58*Brand_Profile!$E$99)/MAX(1,Brand_Profile!$E$96+Brand_Profile!$E$97+Brand_Profile!$E$98+Brand_Profile!$E$99),0)</f>
        <v>61</v>
      </c>
      <c r="T58" s="142">
        <f>IF(Brand_Profile!$E$33="",Lookup_Lists!$D$150,Matching_Engine!$BD$58)</f>
        <v>20</v>
      </c>
      <c r="U58" s="142">
        <f>IF(Brand_Profile!$E$34="",Lookup_Lists!$D$150,IF(Brand_Profile!$E$34=KOL_Database!$F$27,100,IF(Matching_Engine!$BE$58=KOL_Database!$E$27,75,IF(Matching_Engine!$BD$58&gt;=80,Lookup_Lists!$D$150,IF(Matching_Engine!$BD$58&gt;=60,35,Lookup_Lists!$D$151)))))</f>
        <v>20</v>
      </c>
      <c r="V58" s="142">
        <f>IF(Brand_Profile!$E$86=0,Lookup_Lists!$D$150,ROUND((IF(Brand_Profile!$E$81="",0,IF(ISNUMBER(SEARCH(Brand_Profile!$E$81,Matching_Engine!$BG$58)),1,0))+IF(Brand_Profile!$E$82="",0,IF(ISNUMBER(SEARCH(Brand_Profile!$E$82,Matching_Engine!$BG$58)),1,0))+IF(Brand_Profile!$E$83="",0,IF(ISNUMBER(SEARCH(Brand_Profile!$E$83,Matching_Engine!$BG$58)),1,0))+IF(Brand_Profile!$E$84="",0,IF(ISNUMBER(SEARCH(Brand_Profile!$E$84,Matching_Engine!$BG$58)),1,0))+IF(Brand_Profile!$E$85="",0,IF(ISNUMBER(SEARCH(Brand_Profile!$E$85,Matching_Engine!$BG$58)),1,0)))/Brand_Profile!$E$86*100,0))</f>
        <v>20</v>
      </c>
      <c r="W58" s="142">
        <f>IF(Brand_Profile!$E$39="",Lookup_Lists!$D$150,IFERROR(INDEX(Lookup_Lists!$B$237:$K$246,MATCH(Brand_Profile!$E$39,Lookup_Lists!$A$237:$A$246,0),MATCH(KOL_Database!$AJ$27,Lookup_Lists!$B$236:$K$236,0)),45))</f>
        <v>45</v>
      </c>
      <c r="X58" s="142">
        <f>ROUND((Matching_Engine!$T$58*Lookup_Lists!$D$121+Matching_Engine!$U$58*Lookup_Lists!$D$122+Matching_Engine!$V$58*Lookup_Lists!$D$123+Matching_Engine!$W$58*Lookup_Lists!$D$124)/(Lookup_Lists!$D$121+Lookup_Lists!$D$122+Lookup_Lists!$D$123+Lookup_Lists!$D$124),0)</f>
        <v>25</v>
      </c>
      <c r="Y58" s="142">
        <f>MIN(100,MAX(IFERROR(INDEX(Lookup_Lists!$B$202:$M$211,MATCH(Brand_Profile!$E$25,Lookup_Lists!$A$202:$A$211,0),MATCH(KOL_Database!$AK$27,Lookup_Lists!$B$201:$M$201,0)),40),IF(KOL_Database!$AK$27=Brand_Profile!$E$41,95,0)))</f>
        <v>30</v>
      </c>
      <c r="Z58" s="142">
        <f>IFERROR(INDEX(Lookup_Lists!$B$215:$K$222,MATCH(Brand_Profile!$E$27,Lookup_Lists!$A$215:$A$222,0),MATCH(KOL_Database!$AJ$27,Lookup_Lists!$B$214:$K$214,0)),45)</f>
        <v>60</v>
      </c>
      <c r="AA58" s="142">
        <f>ROUND((IF(Brand_Profile!$E$80=0,Lookup_Lists!$D$150,ROUND((IF(Brand_Profile!$E$75="",0,IF(ISNUMBER(SEARCH(Brand_Profile!$E$75,KOL_Database!$AL$27)),1,0))+IF(Brand_Profile!$E$76="",0,IF(ISNUMBER(SEARCH(Brand_Profile!$E$76,KOL_Database!$AL$27)),1,0))+IF(Brand_Profile!$E$77="",0,IF(ISNUMBER(SEARCH(Brand_Profile!$E$77,KOL_Database!$AL$27)),1,0))+IF(Brand_Profile!$E$78="",0,IF(ISNUMBER(SEARCH(Brand_Profile!$E$78,KOL_Database!$AL$27)),1,0))+IF(Brand_Profile!$E$79="",0,IF(ISNUMBER(SEARCH(Brand_Profile!$E$79,KOL_Database!$AL$27)),1,0)))/Brand_Profile!$E$80*100,0))+IF(Brand_Profile!$E$92=0,Lookup_Lists!$D$150,ROUND((IF(Brand_Profile!$E$87="",0,IF(ISNUMBER(SEARCH(Brand_Profile!$E$87,KOL_Database!$AL$27)),1,0))+IF(Brand_Profile!$E$88="",0,IF(ISNUMBER(SEARCH(Brand_Profile!$E$88,KOL_Database!$AL$27)),1,0))+IF(Brand_Profile!$E$89="",0,IF(ISNUMBER(SEARCH(Brand_Profile!$E$89,KOL_Database!$AL$27)),1,0))+IF(Brand_Profile!$E$90="",0,IF(ISNUMBER(SEARCH(Brand_Profile!$E$90,KOL_Database!$AL$27)),1,0))+IF(Brand_Profile!$E$91="",0,IF(ISNUMBER(SEARCH(Brand_Profile!$E$91,KOL_Database!$AL$27)),1,0)))/Brand_Profile!$E$92*100,0)))/2,0)</f>
        <v>0</v>
      </c>
      <c r="AB58" s="142">
        <f>IFERROR(INDEX(Lookup_Lists!$B$226:$K$233,MATCH(Brand_Profile!$E$30,Lookup_Lists!$A$226:$A$233,0),MATCH(KOL_Database!$AJ$27,Lookup_Lists!$B$225:$K$225,0)),45)</f>
        <v>70</v>
      </c>
      <c r="AC58" s="142">
        <f>ROUND((Matching_Engine!$Y$58*Lookup_Lists!$D$125+Matching_Engine!$Z$58*Lookup_Lists!$D$126+Matching_Engine!$AA$58*Lookup_Lists!$D$127+Matching_Engine!$AB$58*Lookup_Lists!$D$128)/(Lookup_Lists!$D$125+Lookup_Lists!$D$126+Lookup_Lists!$D$127+Lookup_Lists!$D$128),0)</f>
        <v>36</v>
      </c>
      <c r="AD58" s="142">
        <f>IF(KOL_Database!$K$27="",0,MIN(100,ROUND(KOL_Database!$K$27/Lookup_Lists!$D$141*100,0)))</f>
        <v>100</v>
      </c>
      <c r="AE58" s="142">
        <f>IF(KOL_Database!$R$27="",0,MIN(100,MAX(0,KOL_Database!$R$27)))</f>
        <v>73</v>
      </c>
      <c r="AF58" s="142">
        <f>IF(KOL_Database!$P$27="",0,MIN(100,MAX(0,KOL_Database!$P$27)))</f>
        <v>93</v>
      </c>
      <c r="AG58" s="142">
        <f>IF(KOL_Database!$Q$27="",0,MIN(100,MAX(0,KOL_Database!$Q$27)))</f>
        <v>48</v>
      </c>
      <c r="AH58" s="142">
        <f>IF(OR(KOL_Database!$J$27="",KOL_Database!$J$27=0,KOL_Database!$L$27=""),0,MIN(100,ROUND(KOL_Database!$L$27/KOL_Database!$J$27/Lookup_Lists!$D$144*100,0)))</f>
        <v>100</v>
      </c>
      <c r="AI58" s="142">
        <f>IF(KOL_Database!$N$27="",0,MIN(100,MAX(0,ROUND((KOL_Database!$N$27+2)/(Lookup_Lists!$D$145+2)*100,0))))</f>
        <v>52</v>
      </c>
      <c r="AJ58" s="142">
        <f>ROUND((Matching_Engine!$AD$58*Lookup_Lists!$D$129+Matching_Engine!$AE$58*Lookup_Lists!$D$130+Matching_Engine!$AF$58*Lookup_Lists!$D$131+Matching_Engine!$AG$58*Lookup_Lists!$D$132+Matching_Engine!$AH$58*Lookup_Lists!$D$133+Matching_Engine!$AI$58*Lookup_Lists!$D$134)/(Lookup_Lists!$D$129+Lookup_Lists!$D$130+Lookup_Lists!$D$131+Lookup_Lists!$D$132+Lookup_Lists!$D$133+Lookup_Lists!$D$134),0)</f>
        <v>86</v>
      </c>
      <c r="AK58" s="142">
        <f>IF(KOL_Database!$AT$27="",0,MIN(100,MAX(0,KOL_Database!$AT$27)))</f>
        <v>82</v>
      </c>
      <c r="AL58" s="142">
        <f>IF(KOL_Database!$AU$27="",0,KOL_Database!$AU$27)</f>
        <v>35</v>
      </c>
      <c r="AM58" s="89" t="str">
        <f>IF(KOL_Database!$AV$27="","None",KOL_Database!$AV$27)</f>
        <v>None</v>
      </c>
      <c r="AN58" s="143">
        <f>IF(Matching_Engine!$AM$58="High",Lookup_Lists!$D$137,IF(Matching_Engine!$AM$58="Medium",Lookup_Lists!$D$138,IF(Matching_Engine!$AM$58="Low",Lookup_Lists!$D$139,Lookup_Lists!$D$140)))</f>
        <v>1</v>
      </c>
      <c r="AO58" s="142">
        <f>ROUND(MIN(100,MAX(0,(Matching_Engine!$AK$58*Lookup_Lists!$D$135+(100-Matching_Engine!$AL$58)*Lookup_Lists!$D$136)/(Lookup_Lists!$D$135+Lookup_Lists!$D$136)*Matching_Engine!$AN$58)),0)</f>
        <v>79</v>
      </c>
      <c r="AP58" s="13">
        <f ca="1">ROUND((Matching_Engine!$N$58*Lookup_Lists!$D$104+Matching_Engine!$S$58*Lookup_Lists!$D$105+Matching_Engine!$X$58*Lookup_Lists!$D$106+Matching_Engine!$AC$58*Lookup_Lists!$D$107+Matching_Engine!$AJ$58*Lookup_Lists!$D$108+Matching_Engine!$AO$58*Lookup_Lists!$D$109)/MAX(1,(Lookup_Lists!$D$104+Lookup_Lists!$D$105+Lookup_Lists!$D$106+Lookup_Lists!$D$107+Lookup_Lists!$D$108+Lookup_Lists!$D$109)),0)</f>
        <v>47</v>
      </c>
      <c r="AQ58" s="89" t="str">
        <f ca="1">IF(Matching_Engine!$AP$58&gt;=Lookup_Lists!$D$152,"Excellent Match",IF(Matching_Engine!$AP$58&gt;=Lookup_Lists!$D$153,"Strong Match",IF(Matching_Engine!$AP$58&gt;=Lookup_Lists!$D$154,"Good Match",IF(Matching_Engine!$AP$58&gt;=Lookup_Lists!$D$155,"Moderate Match","Low Match"))))</f>
        <v>Low Match</v>
      </c>
      <c r="AR58" s="142">
        <f>KOL_Database!$BE$27</f>
        <v>100</v>
      </c>
      <c r="AS58" s="89" t="str">
        <f>IF(Matching_Engine!$AR$58&gt;=Lookup_Lists!$D$159,"High",IF(Matching_Engine!$AR$58&gt;=Lookup_Lists!$D$160,"Medium","Limited Data"))</f>
        <v>High</v>
      </c>
      <c r="AT58" s="142">
        <f>ROUND((Matching_Engine!$N$58+Matching_Engine!$X$58+Matching_Engine!$AC$58)/3,0)</f>
        <v>27</v>
      </c>
      <c r="AU58" s="142">
        <f>ROUND(((100-Matching_Engine!$AL$58)*Lookup_Lists!$D$162+IF(KOL_Database!$BD$27="",Lookup_Lists!$D$150,KOL_Database!$BD$27)*Lookup_Lists!$D$163+Matching_Engine!$AI$58*Lookup_Lists!$D$164+Matching_Engine!$AD$58*Lookup_Lists!$D$165)/(Lookup_Lists!$D$162+Lookup_Lists!$D$163+Lookup_Lists!$D$164+Lookup_Lists!$D$165),0)</f>
        <v>76</v>
      </c>
      <c r="AV58" s="89" t="str">
        <f ca="1">IF(Matching_Engine!$AW$58="","PASS","EXCLUDED")</f>
        <v>EXCLUDED</v>
      </c>
      <c r="AW58" s="89" t="str">
        <f ca="1">IF(ISERROR(SEARCH(KOL_Database!$D$27,Brand_Profile!$E$32)),"Platform not in Preferred Platform",IF(AND(Brand_Profile!$E$36&gt;0,KOL_Database!$J$27&lt;Brand_Profile!$E$36),"Followers below Preferred Follower Range",IF(AND(Brand_Profile!$E$37&gt;0,KOL_Database!$J$27&gt;Brand_Profile!$E$37),"Followers above Preferred Follower Range",IF(AND(Brand_Profile!$E$38&gt;0,IF(KOL_Database!$K$27="",0,KOL_Database!$K$27)&lt;Brand_Profile!$E$38),"Engagement Rate below Minimum Engagement Rate",IF(ISERROR(SEARCH(KOL_Database!$G$27,Brand_Profile!$E$35)),"Tier not in Preferred Tier",IF(AND(Brand_Profile!$E$43&gt;0,Matching_Engine!$AE$58&lt;Brand_Profile!$E$43),"Audience Quality below Minimum Audience Quality",IF(AND(Brand_Profile!$E$44&gt;0,Matching_Engine!$AK$58&lt;Brand_Profile!$E$44),"Brand Safety below Minimum Brand Safety",IF(AND(Brand_Profile!$E$47="Yes",KOL_Database!$AD$27&lt;&gt;Brand_Profile!$E$19),"Audience Country does not match Target Country",IF(AND(Brand_Profile!$E$46="Yes",KOL_Database!$E$27&lt;&gt;Brand_Profile!$E$33),"Category is not the Preferred Category",IF(AND(Brand_Profile!$E$48&gt;0,Matching_Engine!$AL$58&gt;Brand_Profile!$E$48),"Competitor Saturation above Max Competitor Saturation",IF(AND(Brand_Profile!$E$50="Yes",KOL_Database!$AW$27="Yes"),"Already Selected",IF(AND(Brand_Profile!$E$51="Yes",KOL_Database!$AX$27="Yes"),"Already in Cart",IF(AND(Brand_Profile!$E$52="Yes",KOL_Database!$AY$27="Yes"),"Existing Partner",IF(AND(Brand_Profile!$E$53="Yes",KOL_Database!$AZ$27="Yes"),"Excluded Creator",IF(AND(Brand_Profile!$E$49&gt;0,Matching_Engine!$AP$58&lt;Brand_Profile!$E$49),"Brand Match below Minimum Brand Match","")))))))))))))))</f>
        <v>Followers above Preferred Follower Range</v>
      </c>
      <c r="AX58" s="89" t="str">
        <f ca="1">IF(Matching_Engine!$AV$58="EXCLUDED","Excluded",IF(Matching_Engine!$AP$58&gt;=Lookup_Lists!$D$156,"Highly Recommended",IF(Matching_Engine!$AP$58&gt;=Lookup_Lists!$D$157,"Recommended",IF(Matching_Engine!$AP$58&gt;=Lookup_Lists!$D$158,"Consider","Low Priority"))))</f>
        <v>Excluded</v>
      </c>
      <c r="AY58" s="142" t="str">
        <f ca="1">IF(Matching_Engine!$AV$58="PASS",Matching_Engine!$AP$58,"")</f>
        <v/>
      </c>
      <c r="AZ58" s="89" t="str">
        <f>Matching_Engine!$A$58&amp;"|"&amp;Matching_Engine!$C$58</f>
        <v>BRAND-B|KOL-23</v>
      </c>
      <c r="BA58" s="89" t="str">
        <f>IFERROR(INDEX(Lookup_Lists!$B$51:$B$92,MATCH(Brand_Profile!$E$12,Lookup_Lists!$A$51:$A$92,0)),"")</f>
        <v>Beauty</v>
      </c>
      <c r="BB58" s="89" t="str">
        <f>IFERROR(INDEX(Lookup_Lists!$B$51:$B$92,MATCH(KOL_Database!$F$27,Lookup_Lists!$A$51:$A$92,0)),"")</f>
        <v>Gaming</v>
      </c>
      <c r="BC58" s="142">
        <f>IFERROR(INDEX(Lookup_Lists!$B$185:$O$198,MATCH(Matching_Engine!$BA$58,Lookup_Lists!$A$185:$A$198,0),MATCH(KOL_Database!$E$27,Lookup_Lists!$B$184:$O$184,0)),Lookup_Lists!$D$151)</f>
        <v>20</v>
      </c>
      <c r="BD58" s="142">
        <f>IFERROR(INDEX(Lookup_Lists!$B$185:$O$198,MATCH(Brand_Profile!$E$33,Lookup_Lists!$A$185:$A$198,0),MATCH(KOL_Database!$E$27,Lookup_Lists!$B$184:$O$184,0)),Lookup_Lists!$D$151)</f>
        <v>20</v>
      </c>
      <c r="BE58" s="89" t="str">
        <f>IFERROR(INDEX(Lookup_Lists!$B$51:$B$92,MATCH(Brand_Profile!$E$34,Lookup_Lists!$A$51:$A$92,0)),"")</f>
        <v>Beauty</v>
      </c>
      <c r="BF58" s="89" t="str">
        <f>KOL_Database!$AI$27&amp;", "&amp;KOL_Database!$AG$27&amp;", "&amp;KOL_Database!$F$27&amp;", "&amp;KOL_Database!$E$27</f>
        <v>Gaming, Technology, Entertainment, Gaming, Technology, Entertainment, Music, Shopping, Mobile Gaming, Gaming</v>
      </c>
      <c r="BG58" s="89" t="str">
        <f>KOL_Database!$AI$27&amp;", "&amp;KOL_Database!$AG$27</f>
        <v>Gaming, Technology, Entertainment, Gaming, Technology, Entertainment, Music, Shopping</v>
      </c>
    </row>
    <row r="59" spans="1:59">
      <c r="A59" s="101" t="s">
        <v>118</v>
      </c>
      <c r="B59" s="89" t="str">
        <f>Brand_Profile!$E$9</f>
        <v>Lumaya Skin</v>
      </c>
      <c r="C59" s="89" t="str">
        <f>KOL_Database!$A$28</f>
        <v>KOL-24</v>
      </c>
      <c r="D59" s="89" t="str">
        <f>KOL_Database!$B$28</f>
        <v>Rio Saputra</v>
      </c>
      <c r="E59" s="89" t="str">
        <f>KOL_Database!$C$28</f>
        <v>@riopcbuild</v>
      </c>
      <c r="F59" s="89" t="str">
        <f>KOL_Database!$D$28</f>
        <v>Instagram</v>
      </c>
      <c r="G59" s="89" t="str">
        <f>KOL_Database!$E$28</f>
        <v>Gaming</v>
      </c>
      <c r="H59" s="89" t="str">
        <f>KOL_Database!$G$28</f>
        <v>Mid-tier</v>
      </c>
      <c r="I59" s="140">
        <f>KOL_Database!$J$28</f>
        <v>51000</v>
      </c>
      <c r="J59" s="141">
        <f>KOL_Database!$K$28</f>
        <v>4.2</v>
      </c>
      <c r="K59" s="142">
        <f>IFERROR(INDEX(Lookup_Lists!$B$170:$O$181,MATCH(Brand_Profile!$E$10,Lookup_Lists!$A$170:$A$181,0),MATCH(KOL_Database!$E$28,Lookup_Lists!$B$169:$O$169,0)),Lookup_Lists!$D$151)</f>
        <v>20</v>
      </c>
      <c r="L59" s="142">
        <f>IF(KOL_Database!$F$28="",Matching_Engine!$BC$59,IF(Brand_Profile!$E$12=KOL_Database!$F$28,100,IF(Matching_Engine!$BA$59=KOL_Database!$E$28,80,IF(Matching_Engine!$BC$59&gt;=80,60,IF(Matching_Engine!$BC$59&gt;=60,40,Lookup_Lists!$D$151)))))</f>
        <v>20</v>
      </c>
      <c r="M59" s="142">
        <f>ROUND((IF(Brand_Profile!$E$62=0,Lookup_Lists!$D$150,ROUND((IF(Brand_Profile!$E$57="",0,IF(ISNUMBER(SEARCH(Brand_Profile!$E$57,Matching_Engine!$BF$59)),1,0))+IF(Brand_Profile!$E$58="",0,IF(ISNUMBER(SEARCH(Brand_Profile!$E$58,Matching_Engine!$BF$59)),1,0))+IF(Brand_Profile!$E$59="",0,IF(ISNUMBER(SEARCH(Brand_Profile!$E$59,Matching_Engine!$BF$59)),1,0))+IF(Brand_Profile!$E$60="",0,IF(ISNUMBER(SEARCH(Brand_Profile!$E$60,Matching_Engine!$BF$59)),1,0))+IF(Brand_Profile!$E$61="",0,IF(ISNUMBER(SEARCH(Brand_Profile!$E$61,Matching_Engine!$BF$59)),1,0)))/Brand_Profile!$E$62*100,0))+IF(Brand_Profile!$E$74=0,Lookup_Lists!$D$150,ROUND((IF(Brand_Profile!$E$69="",0,IF(ISNUMBER(SEARCH(Brand_Profile!$E$69,Matching_Engine!$BF$59)),1,0))+IF(Brand_Profile!$E$70="",0,IF(ISNUMBER(SEARCH(Brand_Profile!$E$70,Matching_Engine!$BF$59)),1,0))+IF(Brand_Profile!$E$71="",0,IF(ISNUMBER(SEARCH(Brand_Profile!$E$71,Matching_Engine!$BF$59)),1,0))+IF(Brand_Profile!$E$72="",0,IF(ISNUMBER(SEARCH(Brand_Profile!$E$72,Matching_Engine!$BF$59)),1,0))+IF(Brand_Profile!$E$73="",0,IF(ISNUMBER(SEARCH(Brand_Profile!$E$73,Matching_Engine!$BF$59)),1,0)))/Brand_Profile!$E$74*100,0)))/2,0)</f>
        <v>20</v>
      </c>
      <c r="N59" s="142">
        <f>ROUND((Matching_Engine!$K$59*Lookup_Lists!$D$110+Matching_Engine!$L$59*Lookup_Lists!$D$111+Matching_Engine!$M$59*Lookup_Lists!$D$112)/(Lookup_Lists!$D$110+Lookup_Lists!$D$111+Lookup_Lists!$D$112),0)</f>
        <v>20</v>
      </c>
      <c r="O59" s="142">
        <f ca="1">IF(Brand_Profile!$E$16="",Lookup_Lists!$D$150,MIN(100,ROUND((IFERROR(INDEX(KOL_Database!$W$28:KOL_Database!$AA$28,1,MATCH(Brand_Profile!$E$16,Lookup_Lists!$F$6:$F$10,0)),0)+0.5*IFERROR(INDEX(KOL_Database!$W$28:KOL_Database!$AA$28,1,MATCH(Brand_Profile!$E$17,Lookup_Lists!$F$6:$F$10,0)),0))/Lookup_Lists!$D$142*100,0)))</f>
        <v>100</v>
      </c>
      <c r="P59" s="142">
        <f>IF(OR(Brand_Profile!$E$18="",Brand_Profile!$E$18="Any"),100,IF(Brand_Profile!$E$18="Female",MIN(100,ROUND(KOL_Database!$AB$28/Lookup_Lists!$D$143*100,0)),IF(Brand_Profile!$E$18="Male",MIN(100,ROUND(KOL_Database!$AC$28/Lookup_Lists!$D$143*100,0)),MAX(0,ROUND(100-ABS(KOL_Database!$AB$28-50)*2,0)))))</f>
        <v>45</v>
      </c>
      <c r="Q59" s="142">
        <f>ROUND((IF(Brand_Profile!$E$19="",100,IF(KOL_Database!$AD$28=Brand_Profile!$E$19,100,Lookup_Lists!$D$151))*Lookup_Lists!$D$118+IF(OR(Brand_Profile!$E$20="",Brand_Profile!$E$20="Nasional"),100,IF(KOL_Database!$AE$28="",Lookup_Lists!$D$150,IF(KOL_Database!$AE$28=Brand_Profile!$E$20,100,IF(KOL_Database!$AD$28=Brand_Profile!$E$19,40,Lookup_Lists!$D$151))))*Lookup_Lists!$D$119+IF(OR(Brand_Profile!$E$21="",Brand_Profile!$E$21="Nasional"),100,IF(KOL_Database!$AF$28="",Lookup_Lists!$D$150,IF(KOL_Database!$AF$28=Brand_Profile!$E$21,100,IF(KOL_Database!$AE$28=Brand_Profile!$E$20,60,Lookup_Lists!$D$151))))*Lookup_Lists!$D$120)/(Lookup_Lists!$D$118+Lookup_Lists!$D$119+Lookup_Lists!$D$120),0)</f>
        <v>88</v>
      </c>
      <c r="R59" s="142">
        <f>IF(Brand_Profile!$E$68=0,Lookup_Lists!$D$150,ROUND((IF(Brand_Profile!$E$63="",0,IF(ISNUMBER(SEARCH(Brand_Profile!$E$63,KOL_Database!$AG$28)),1,0))+IF(Brand_Profile!$E$64="",0,IF(ISNUMBER(SEARCH(Brand_Profile!$E$64,KOL_Database!$AG$28)),1,0))+IF(Brand_Profile!$E$65="",0,IF(ISNUMBER(SEARCH(Brand_Profile!$E$65,KOL_Database!$AG$28)),1,0))+IF(Brand_Profile!$E$66="",0,IF(ISNUMBER(SEARCH(Brand_Profile!$E$66,KOL_Database!$AG$28)),1,0))+IF(Brand_Profile!$E$67="",0,IF(ISNUMBER(SEARCH(Brand_Profile!$E$67,KOL_Database!$AG$28)),1,0)))/Brand_Profile!$E$68*100,0))</f>
        <v>20</v>
      </c>
      <c r="S59" s="142">
        <f ca="1">ROUND((Matching_Engine!$O$59*Brand_Profile!$E$96+Matching_Engine!$P$59*Brand_Profile!$E$97+Matching_Engine!$Q$59*Brand_Profile!$E$98+Matching_Engine!$R$59*Brand_Profile!$E$99)/MAX(1,Brand_Profile!$E$96+Brand_Profile!$E$97+Brand_Profile!$E$98+Brand_Profile!$E$99),0)</f>
        <v>61</v>
      </c>
      <c r="T59" s="142">
        <f>IF(Brand_Profile!$E$33="",Lookup_Lists!$D$150,Matching_Engine!$BD$59)</f>
        <v>20</v>
      </c>
      <c r="U59" s="142">
        <f>IF(Brand_Profile!$E$34="",Lookup_Lists!$D$150,IF(Brand_Profile!$E$34=KOL_Database!$F$28,100,IF(Matching_Engine!$BE$59=KOL_Database!$E$28,75,IF(Matching_Engine!$BD$59&gt;=80,Lookup_Lists!$D$150,IF(Matching_Engine!$BD$59&gt;=60,35,Lookup_Lists!$D$151)))))</f>
        <v>20</v>
      </c>
      <c r="V59" s="142">
        <f>IF(Brand_Profile!$E$86=0,Lookup_Lists!$D$150,ROUND((IF(Brand_Profile!$E$81="",0,IF(ISNUMBER(SEARCH(Brand_Profile!$E$81,Matching_Engine!$BG$59)),1,0))+IF(Brand_Profile!$E$82="",0,IF(ISNUMBER(SEARCH(Brand_Profile!$E$82,Matching_Engine!$BG$59)),1,0))+IF(Brand_Profile!$E$83="",0,IF(ISNUMBER(SEARCH(Brand_Profile!$E$83,Matching_Engine!$BG$59)),1,0))+IF(Brand_Profile!$E$84="",0,IF(ISNUMBER(SEARCH(Brand_Profile!$E$84,Matching_Engine!$BG$59)),1,0))+IF(Brand_Profile!$E$85="",0,IF(ISNUMBER(SEARCH(Brand_Profile!$E$85,Matching_Engine!$BG$59)),1,0)))/Brand_Profile!$E$86*100,0))</f>
        <v>20</v>
      </c>
      <c r="W59" s="142">
        <f>IF(Brand_Profile!$E$39="",Lookup_Lists!$D$150,IFERROR(INDEX(Lookup_Lists!$B$237:$K$246,MATCH(Brand_Profile!$E$39,Lookup_Lists!$A$237:$A$246,0),MATCH(KOL_Database!$AJ$28,Lookup_Lists!$B$236:$K$236,0)),45))</f>
        <v>80</v>
      </c>
      <c r="X59" s="142">
        <f>ROUND((Matching_Engine!$T$59*Lookup_Lists!$D$121+Matching_Engine!$U$59*Lookup_Lists!$D$122+Matching_Engine!$V$59*Lookup_Lists!$D$123+Matching_Engine!$W$59*Lookup_Lists!$D$124)/(Lookup_Lists!$D$121+Lookup_Lists!$D$122+Lookup_Lists!$D$123+Lookup_Lists!$D$124),0)</f>
        <v>32</v>
      </c>
      <c r="Y59" s="142">
        <f>MIN(100,MAX(IFERROR(INDEX(Lookup_Lists!$B$202:$M$211,MATCH(Brand_Profile!$E$25,Lookup_Lists!$A$202:$A$211,0),MATCH(KOL_Database!$AK$28,Lookup_Lists!$B$201:$M$201,0)),40),IF(KOL_Database!$AK$28=Brand_Profile!$E$41,95,0)))</f>
        <v>50</v>
      </c>
      <c r="Z59" s="142">
        <f>IFERROR(INDEX(Lookup_Lists!$B$215:$K$222,MATCH(Brand_Profile!$E$27,Lookup_Lists!$A$215:$A$222,0),MATCH(KOL_Database!$AJ$28,Lookup_Lists!$B$214:$K$214,0)),45)</f>
        <v>60</v>
      </c>
      <c r="AA59" s="142">
        <f>ROUND((IF(Brand_Profile!$E$80=0,Lookup_Lists!$D$150,ROUND((IF(Brand_Profile!$E$75="",0,IF(ISNUMBER(SEARCH(Brand_Profile!$E$75,KOL_Database!$AL$28)),1,0))+IF(Brand_Profile!$E$76="",0,IF(ISNUMBER(SEARCH(Brand_Profile!$E$76,KOL_Database!$AL$28)),1,0))+IF(Brand_Profile!$E$77="",0,IF(ISNUMBER(SEARCH(Brand_Profile!$E$77,KOL_Database!$AL$28)),1,0))+IF(Brand_Profile!$E$78="",0,IF(ISNUMBER(SEARCH(Brand_Profile!$E$78,KOL_Database!$AL$28)),1,0))+IF(Brand_Profile!$E$79="",0,IF(ISNUMBER(SEARCH(Brand_Profile!$E$79,KOL_Database!$AL$28)),1,0)))/Brand_Profile!$E$80*100,0))+IF(Brand_Profile!$E$92=0,Lookup_Lists!$D$150,ROUND((IF(Brand_Profile!$E$87="",0,IF(ISNUMBER(SEARCH(Brand_Profile!$E$87,KOL_Database!$AL$28)),1,0))+IF(Brand_Profile!$E$88="",0,IF(ISNUMBER(SEARCH(Brand_Profile!$E$88,KOL_Database!$AL$28)),1,0))+IF(Brand_Profile!$E$89="",0,IF(ISNUMBER(SEARCH(Brand_Profile!$E$89,KOL_Database!$AL$28)),1,0))+IF(Brand_Profile!$E$90="",0,IF(ISNUMBER(SEARCH(Brand_Profile!$E$90,KOL_Database!$AL$28)),1,0))+IF(Brand_Profile!$E$91="",0,IF(ISNUMBER(SEARCH(Brand_Profile!$E$91,KOL_Database!$AL$28)),1,0)))/Brand_Profile!$E$92*100,0)))/2,0)</f>
        <v>40</v>
      </c>
      <c r="AB59" s="142">
        <f>IFERROR(INDEX(Lookup_Lists!$B$226:$K$233,MATCH(Brand_Profile!$E$30,Lookup_Lists!$A$226:$A$233,0),MATCH(KOL_Database!$AJ$28,Lookup_Lists!$B$225:$K$225,0)),45)</f>
        <v>75</v>
      </c>
      <c r="AC59" s="142">
        <f>ROUND((Matching_Engine!$Y$59*Lookup_Lists!$D$125+Matching_Engine!$Z$59*Lookup_Lists!$D$126+Matching_Engine!$AA$59*Lookup_Lists!$D$127+Matching_Engine!$AB$59*Lookup_Lists!$D$128)/(Lookup_Lists!$D$125+Lookup_Lists!$D$126+Lookup_Lists!$D$127+Lookup_Lists!$D$128),0)</f>
        <v>54</v>
      </c>
      <c r="AD59" s="142">
        <f>IF(KOL_Database!$K$28="",0,MIN(100,ROUND(KOL_Database!$K$28/Lookup_Lists!$D$141*100,0)))</f>
        <v>70</v>
      </c>
      <c r="AE59" s="142">
        <f>IF(KOL_Database!$R$28="",0,MIN(100,MAX(0,KOL_Database!$R$28)))</f>
        <v>74</v>
      </c>
      <c r="AF59" s="142">
        <f>IF(KOL_Database!$P$28="",0,MIN(100,MAX(0,KOL_Database!$P$28)))</f>
        <v>62</v>
      </c>
      <c r="AG59" s="142">
        <f>IF(KOL_Database!$Q$28="",0,MIN(100,MAX(0,KOL_Database!$Q$28)))</f>
        <v>58</v>
      </c>
      <c r="AH59" s="142">
        <f>IF(OR(KOL_Database!$J$28="",KOL_Database!$J$28=0,KOL_Database!$L$28=""),0,MIN(100,ROUND(KOL_Database!$L$28/KOL_Database!$J$28/Lookup_Lists!$D$144*100,0)))</f>
        <v>62</v>
      </c>
      <c r="AI59" s="142">
        <f>IF(KOL_Database!$N$28="",0,MIN(100,MAX(0,ROUND((KOL_Database!$N$28+2)/(Lookup_Lists!$D$145+2)*100,0))))</f>
        <v>55</v>
      </c>
      <c r="AJ59" s="142">
        <f>ROUND((Matching_Engine!$AD$59*Lookup_Lists!$D$129+Matching_Engine!$AE$59*Lookup_Lists!$D$130+Matching_Engine!$AF$59*Lookup_Lists!$D$131+Matching_Engine!$AG$59*Lookup_Lists!$D$132+Matching_Engine!$AH$59*Lookup_Lists!$D$133+Matching_Engine!$AI$59*Lookup_Lists!$D$134)/(Lookup_Lists!$D$129+Lookup_Lists!$D$130+Lookup_Lists!$D$131+Lookup_Lists!$D$132+Lookup_Lists!$D$133+Lookup_Lists!$D$134),0)</f>
        <v>66</v>
      </c>
      <c r="AK59" s="142">
        <f>IF(KOL_Database!$AT$28="",0,MIN(100,MAX(0,KOL_Database!$AT$28)))</f>
        <v>82</v>
      </c>
      <c r="AL59" s="142">
        <f>IF(KOL_Database!$AU$28="",0,KOL_Database!$AU$28)</f>
        <v>38</v>
      </c>
      <c r="AM59" s="89" t="str">
        <f>IF(KOL_Database!$AV$28="","None",KOL_Database!$AV$28)</f>
        <v>None</v>
      </c>
      <c r="AN59" s="143">
        <f>IF(Matching_Engine!$AM$59="High",Lookup_Lists!$D$137,IF(Matching_Engine!$AM$59="Medium",Lookup_Lists!$D$138,IF(Matching_Engine!$AM$59="Low",Lookup_Lists!$D$139,Lookup_Lists!$D$140)))</f>
        <v>1</v>
      </c>
      <c r="AO59" s="142">
        <f>ROUND(MIN(100,MAX(0,(Matching_Engine!$AK$59*Lookup_Lists!$D$135+(100-Matching_Engine!$AL$59)*Lookup_Lists!$D$136)/(Lookup_Lists!$D$135+Lookup_Lists!$D$136)*Matching_Engine!$AN$59)),0)</f>
        <v>78</v>
      </c>
      <c r="AP59" s="13">
        <f ca="1">ROUND((Matching_Engine!$N$59*Lookup_Lists!$D$104+Matching_Engine!$S$59*Lookup_Lists!$D$105+Matching_Engine!$X$59*Lookup_Lists!$D$106+Matching_Engine!$AC$59*Lookup_Lists!$D$107+Matching_Engine!$AJ$59*Lookup_Lists!$D$108+Matching_Engine!$AO$59*Lookup_Lists!$D$109)/MAX(1,(Lookup_Lists!$D$104+Lookup_Lists!$D$105+Lookup_Lists!$D$106+Lookup_Lists!$D$107+Lookup_Lists!$D$108+Lookup_Lists!$D$109)),0)</f>
        <v>49</v>
      </c>
      <c r="AQ59" s="89" t="str">
        <f ca="1">IF(Matching_Engine!$AP$59&gt;=Lookup_Lists!$D$152,"Excellent Match",IF(Matching_Engine!$AP$59&gt;=Lookup_Lists!$D$153,"Strong Match",IF(Matching_Engine!$AP$59&gt;=Lookup_Lists!$D$154,"Good Match",IF(Matching_Engine!$AP$59&gt;=Lookup_Lists!$D$155,"Moderate Match","Low Match"))))</f>
        <v>Low Match</v>
      </c>
      <c r="AR59" s="142">
        <f>KOL_Database!$BE$28</f>
        <v>92</v>
      </c>
      <c r="AS59" s="89" t="str">
        <f>IF(Matching_Engine!$AR$59&gt;=Lookup_Lists!$D$159,"High",IF(Matching_Engine!$AR$59&gt;=Lookup_Lists!$D$160,"Medium","Limited Data"))</f>
        <v>Medium</v>
      </c>
      <c r="AT59" s="142">
        <f>ROUND((Matching_Engine!$N$59+Matching_Engine!$X$59+Matching_Engine!$AC$59)/3,0)</f>
        <v>35</v>
      </c>
      <c r="AU59" s="142">
        <f>ROUND(((100-Matching_Engine!$AL$59)*Lookup_Lists!$D$162+IF(KOL_Database!$BD$28="",Lookup_Lists!$D$150,KOL_Database!$BD$28)*Lookup_Lists!$D$163+Matching_Engine!$AI$59*Lookup_Lists!$D$164+Matching_Engine!$AD$59*Lookup_Lists!$D$165)/(Lookup_Lists!$D$162+Lookup_Lists!$D$163+Lookup_Lists!$D$164+Lookup_Lists!$D$165),0)</f>
        <v>56</v>
      </c>
      <c r="AV59" s="89" t="str">
        <f ca="1">IF(Matching_Engine!$AW$59="","PASS","EXCLUDED")</f>
        <v>PASS</v>
      </c>
      <c r="AW59" s="89" t="str">
        <f ca="1">IF(ISERROR(SEARCH(KOL_Database!$D$28,Brand_Profile!$E$32)),"Platform not in Preferred Platform",IF(AND(Brand_Profile!$E$36&gt;0,KOL_Database!$J$28&lt;Brand_Profile!$E$36),"Followers below Preferred Follower Range",IF(AND(Brand_Profile!$E$37&gt;0,KOL_Database!$J$28&gt;Brand_Profile!$E$37),"Followers above Preferred Follower Range",IF(AND(Brand_Profile!$E$38&gt;0,IF(KOL_Database!$K$28="",0,KOL_Database!$K$28)&lt;Brand_Profile!$E$38),"Engagement Rate below Minimum Engagement Rate",IF(ISERROR(SEARCH(KOL_Database!$G$28,Brand_Profile!$E$35)),"Tier not in Preferred Tier",IF(AND(Brand_Profile!$E$43&gt;0,Matching_Engine!$AE$59&lt;Brand_Profile!$E$43),"Audience Quality below Minimum Audience Quality",IF(AND(Brand_Profile!$E$44&gt;0,Matching_Engine!$AK$59&lt;Brand_Profile!$E$44),"Brand Safety below Minimum Brand Safety",IF(AND(Brand_Profile!$E$47="Yes",KOL_Database!$AD$28&lt;&gt;Brand_Profile!$E$19),"Audience Country does not match Target Country",IF(AND(Brand_Profile!$E$46="Yes",KOL_Database!$E$28&lt;&gt;Brand_Profile!$E$33),"Category is not the Preferred Category",IF(AND(Brand_Profile!$E$48&gt;0,Matching_Engine!$AL$59&gt;Brand_Profile!$E$48),"Competitor Saturation above Max Competitor Saturation",IF(AND(Brand_Profile!$E$50="Yes",KOL_Database!$AW$28="Yes"),"Already Selected",IF(AND(Brand_Profile!$E$51="Yes",KOL_Database!$AX$28="Yes"),"Already in Cart",IF(AND(Brand_Profile!$E$52="Yes",KOL_Database!$AY$28="Yes"),"Existing Partner",IF(AND(Brand_Profile!$E$53="Yes",KOL_Database!$AZ$28="Yes"),"Excluded Creator",IF(AND(Brand_Profile!$E$49&gt;0,Matching_Engine!$AP$59&lt;Brand_Profile!$E$49),"Brand Match below Minimum Brand Match","")))))))))))))))</f>
        <v/>
      </c>
      <c r="AX59" s="89" t="str">
        <f ca="1">IF(Matching_Engine!$AV$59="EXCLUDED","Excluded",IF(Matching_Engine!$AP$59&gt;=Lookup_Lists!$D$156,"Highly Recommended",IF(Matching_Engine!$AP$59&gt;=Lookup_Lists!$D$157,"Recommended",IF(Matching_Engine!$AP$59&gt;=Lookup_Lists!$D$158,"Consider","Low Priority"))))</f>
        <v>Low Priority</v>
      </c>
      <c r="AY59" s="142">
        <f ca="1">IF(Matching_Engine!$AV$59="PASS",Matching_Engine!$AP$59,"")</f>
        <v>49</v>
      </c>
      <c r="AZ59" s="89" t="str">
        <f>Matching_Engine!$A$59&amp;"|"&amp;Matching_Engine!$C$59</f>
        <v>BRAND-B|KOL-24</v>
      </c>
      <c r="BA59" s="89" t="str">
        <f>IFERROR(INDEX(Lookup_Lists!$B$51:$B$92,MATCH(Brand_Profile!$E$12,Lookup_Lists!$A$51:$A$92,0)),"")</f>
        <v>Beauty</v>
      </c>
      <c r="BB59" s="89" t="str">
        <f>IFERROR(INDEX(Lookup_Lists!$B$51:$B$92,MATCH(KOL_Database!$F$28,Lookup_Lists!$A$51:$A$92,0)),"")</f>
        <v>Gaming</v>
      </c>
      <c r="BC59" s="142">
        <f>IFERROR(INDEX(Lookup_Lists!$B$185:$O$198,MATCH(Matching_Engine!$BA$59,Lookup_Lists!$A$185:$A$198,0),MATCH(KOL_Database!$E$28,Lookup_Lists!$B$184:$O$184,0)),Lookup_Lists!$D$151)</f>
        <v>20</v>
      </c>
      <c r="BD59" s="142">
        <f>IFERROR(INDEX(Lookup_Lists!$B$185:$O$198,MATCH(Brand_Profile!$E$33,Lookup_Lists!$A$185:$A$198,0),MATCH(KOL_Database!$E$28,Lookup_Lists!$B$184:$O$184,0)),Lookup_Lists!$D$151)</f>
        <v>20</v>
      </c>
      <c r="BE59" s="89" t="str">
        <f>IFERROR(INDEX(Lookup_Lists!$B$51:$B$92,MATCH(Brand_Profile!$E$34,Lookup_Lists!$A$51:$A$92,0)),"")</f>
        <v>Beauty</v>
      </c>
      <c r="BF59" s="89" t="str">
        <f>KOL_Database!$AI$28&amp;", "&amp;KOL_Database!$AG$28&amp;", "&amp;KOL_Database!$F$28&amp;", "&amp;KOL_Database!$E$28</f>
        <v>Gaming, Technology, Productivity, Gaming, Technology, Productivity, Entertainment, Shopping, PC &amp; Console, Gaming</v>
      </c>
      <c r="BG59" s="89" t="str">
        <f>KOL_Database!$AI$28&amp;", "&amp;KOL_Database!$AG$28</f>
        <v>Gaming, Technology, Productivity, Gaming, Technology, Productivity, Entertainment, Shopping</v>
      </c>
    </row>
    <row r="60" spans="1:59">
      <c r="A60" s="101" t="s">
        <v>118</v>
      </c>
      <c r="B60" s="89" t="str">
        <f>Brand_Profile!$E$9</f>
        <v>Lumaya Skin</v>
      </c>
      <c r="C60" s="89" t="str">
        <f>KOL_Database!$A$29</f>
        <v>KOL-25</v>
      </c>
      <c r="D60" s="89" t="str">
        <f>KOL_Database!$B$29</f>
        <v>Denny Kurniawan</v>
      </c>
      <c r="E60" s="89" t="str">
        <f>KOL_Database!$C$29</f>
        <v>@dennymotovlog</v>
      </c>
      <c r="F60" s="89" t="str">
        <f>KOL_Database!$D$29</f>
        <v>TikTok</v>
      </c>
      <c r="G60" s="89" t="str">
        <f>KOL_Database!$E$29</f>
        <v>Automotive</v>
      </c>
      <c r="H60" s="89" t="str">
        <f>KOL_Database!$G$29</f>
        <v>Macro</v>
      </c>
      <c r="I60" s="140">
        <f>KOL_Database!$J$29</f>
        <v>228000</v>
      </c>
      <c r="J60" s="141">
        <f>KOL_Database!$K$29</f>
        <v>5.1</v>
      </c>
      <c r="K60" s="142">
        <f>IFERROR(INDEX(Lookup_Lists!$B$170:$O$181,MATCH(Brand_Profile!$E$10,Lookup_Lists!$A$170:$A$181,0),MATCH(KOL_Database!$E$29,Lookup_Lists!$B$169:$O$169,0)),Lookup_Lists!$D$151)</f>
        <v>20</v>
      </c>
      <c r="L60" s="142">
        <f>IF(KOL_Database!$F$29="",Matching_Engine!$BC$60,IF(Brand_Profile!$E$12=KOL_Database!$F$29,100,IF(Matching_Engine!$BA$60=KOL_Database!$E$29,80,IF(Matching_Engine!$BC$60&gt;=80,60,IF(Matching_Engine!$BC$60&gt;=60,40,Lookup_Lists!$D$151)))))</f>
        <v>20</v>
      </c>
      <c r="M60" s="142">
        <f>ROUND((IF(Brand_Profile!$E$62=0,Lookup_Lists!$D$150,ROUND((IF(Brand_Profile!$E$57="",0,IF(ISNUMBER(SEARCH(Brand_Profile!$E$57,Matching_Engine!$BF$60)),1,0))+IF(Brand_Profile!$E$58="",0,IF(ISNUMBER(SEARCH(Brand_Profile!$E$58,Matching_Engine!$BF$60)),1,0))+IF(Brand_Profile!$E$59="",0,IF(ISNUMBER(SEARCH(Brand_Profile!$E$59,Matching_Engine!$BF$60)),1,0))+IF(Brand_Profile!$E$60="",0,IF(ISNUMBER(SEARCH(Brand_Profile!$E$60,Matching_Engine!$BF$60)),1,0))+IF(Brand_Profile!$E$61="",0,IF(ISNUMBER(SEARCH(Brand_Profile!$E$61,Matching_Engine!$BF$60)),1,0)))/Brand_Profile!$E$62*100,0))+IF(Brand_Profile!$E$74=0,Lookup_Lists!$D$150,ROUND((IF(Brand_Profile!$E$69="",0,IF(ISNUMBER(SEARCH(Brand_Profile!$E$69,Matching_Engine!$BF$60)),1,0))+IF(Brand_Profile!$E$70="",0,IF(ISNUMBER(SEARCH(Brand_Profile!$E$70,Matching_Engine!$BF$60)),1,0))+IF(Brand_Profile!$E$71="",0,IF(ISNUMBER(SEARCH(Brand_Profile!$E$71,Matching_Engine!$BF$60)),1,0))+IF(Brand_Profile!$E$72="",0,IF(ISNUMBER(SEARCH(Brand_Profile!$E$72,Matching_Engine!$BF$60)),1,0))+IF(Brand_Profile!$E$73="",0,IF(ISNUMBER(SEARCH(Brand_Profile!$E$73,Matching_Engine!$BF$60)),1,0)))/Brand_Profile!$E$74*100,0)))/2,0)</f>
        <v>20</v>
      </c>
      <c r="N60" s="142">
        <f>ROUND((Matching_Engine!$K$60*Lookup_Lists!$D$110+Matching_Engine!$L$60*Lookup_Lists!$D$111+Matching_Engine!$M$60*Lookup_Lists!$D$112)/(Lookup_Lists!$D$110+Lookup_Lists!$D$111+Lookup_Lists!$D$112),0)</f>
        <v>20</v>
      </c>
      <c r="O60" s="142">
        <f ca="1">IF(Brand_Profile!$E$16="",Lookup_Lists!$D$150,MIN(100,ROUND((IFERROR(INDEX(KOL_Database!$W$29:KOL_Database!$AA$29,1,MATCH(Brand_Profile!$E$16,Lookup_Lists!$F$6:$F$10,0)),0)+0.5*IFERROR(INDEX(KOL_Database!$W$29:KOL_Database!$AA$29,1,MATCH(Brand_Profile!$E$17,Lookup_Lists!$F$6:$F$10,0)),0))/Lookup_Lists!$D$142*100,0)))</f>
        <v>100</v>
      </c>
      <c r="P60" s="142">
        <f>IF(OR(Brand_Profile!$E$18="",Brand_Profile!$E$18="Any"),100,IF(Brand_Profile!$E$18="Female",MIN(100,ROUND(KOL_Database!$AB$29/Lookup_Lists!$D$143*100,0)),IF(Brand_Profile!$E$18="Male",MIN(100,ROUND(KOL_Database!$AC$29/Lookup_Lists!$D$143*100,0)),MAX(0,ROUND(100-ABS(KOL_Database!$AB$29-50)*2,0)))))</f>
        <v>34</v>
      </c>
      <c r="Q60" s="142">
        <f>ROUND((IF(Brand_Profile!$E$19="",100,IF(KOL_Database!$AD$29=Brand_Profile!$E$19,100,Lookup_Lists!$D$151))*Lookup_Lists!$D$118+IF(OR(Brand_Profile!$E$20="",Brand_Profile!$E$20="Nasional"),100,IF(KOL_Database!$AE$29="",Lookup_Lists!$D$150,IF(KOL_Database!$AE$29=Brand_Profile!$E$20,100,IF(KOL_Database!$AD$29=Brand_Profile!$E$19,40,Lookup_Lists!$D$151))))*Lookup_Lists!$D$119+IF(OR(Brand_Profile!$E$21="",Brand_Profile!$E$21="Nasional"),100,IF(KOL_Database!$AF$29="",Lookup_Lists!$D$150,IF(KOL_Database!$AF$29=Brand_Profile!$E$21,100,IF(KOL_Database!$AE$29=Brand_Profile!$E$20,60,Lookup_Lists!$D$151))))*Lookup_Lists!$D$120)/(Lookup_Lists!$D$118+Lookup_Lists!$D$119+Lookup_Lists!$D$120),0)</f>
        <v>80</v>
      </c>
      <c r="R60" s="142">
        <f>IF(Brand_Profile!$E$68=0,Lookup_Lists!$D$150,ROUND((IF(Brand_Profile!$E$63="",0,IF(ISNUMBER(SEARCH(Brand_Profile!$E$63,KOL_Database!$AG$29)),1,0))+IF(Brand_Profile!$E$64="",0,IF(ISNUMBER(SEARCH(Brand_Profile!$E$64,KOL_Database!$AG$29)),1,0))+IF(Brand_Profile!$E$65="",0,IF(ISNUMBER(SEARCH(Brand_Profile!$E$65,KOL_Database!$AG$29)),1,0))+IF(Brand_Profile!$E$66="",0,IF(ISNUMBER(SEARCH(Brand_Profile!$E$66,KOL_Database!$AG$29)),1,0))+IF(Brand_Profile!$E$67="",0,IF(ISNUMBER(SEARCH(Brand_Profile!$E$67,KOL_Database!$AG$29)),1,0)))/Brand_Profile!$E$68*100,0))</f>
        <v>20</v>
      </c>
      <c r="S60" s="142">
        <f ca="1">ROUND((Matching_Engine!$O$60*Brand_Profile!$E$96+Matching_Engine!$P$60*Brand_Profile!$E$97+Matching_Engine!$Q$60*Brand_Profile!$E$98+Matching_Engine!$R$60*Brand_Profile!$E$99)/MAX(1,Brand_Profile!$E$96+Brand_Profile!$E$97+Brand_Profile!$E$98+Brand_Profile!$E$99),0)</f>
        <v>56</v>
      </c>
      <c r="T60" s="142">
        <f>IF(Brand_Profile!$E$33="",Lookup_Lists!$D$150,Matching_Engine!$BD$60)</f>
        <v>20</v>
      </c>
      <c r="U60" s="142">
        <f>IF(Brand_Profile!$E$34="",Lookup_Lists!$D$150,IF(Brand_Profile!$E$34=KOL_Database!$F$29,100,IF(Matching_Engine!$BE$60=KOL_Database!$E$29,75,IF(Matching_Engine!$BD$60&gt;=80,Lookup_Lists!$D$150,IF(Matching_Engine!$BD$60&gt;=60,35,Lookup_Lists!$D$151)))))</f>
        <v>20</v>
      </c>
      <c r="V60" s="142">
        <f>IF(Brand_Profile!$E$86=0,Lookup_Lists!$D$150,ROUND((IF(Brand_Profile!$E$81="",0,IF(ISNUMBER(SEARCH(Brand_Profile!$E$81,Matching_Engine!$BG$60)),1,0))+IF(Brand_Profile!$E$82="",0,IF(ISNUMBER(SEARCH(Brand_Profile!$E$82,Matching_Engine!$BG$60)),1,0))+IF(Brand_Profile!$E$83="",0,IF(ISNUMBER(SEARCH(Brand_Profile!$E$83,Matching_Engine!$BG$60)),1,0))+IF(Brand_Profile!$E$84="",0,IF(ISNUMBER(SEARCH(Brand_Profile!$E$84,Matching_Engine!$BG$60)),1,0))+IF(Brand_Profile!$E$85="",0,IF(ISNUMBER(SEARCH(Brand_Profile!$E$85,Matching_Engine!$BG$60)),1,0)))/Brand_Profile!$E$86*100,0))</f>
        <v>20</v>
      </c>
      <c r="W60" s="142">
        <f>IF(Brand_Profile!$E$39="",Lookup_Lists!$D$150,IFERROR(INDEX(Lookup_Lists!$B$237:$K$246,MATCH(Brand_Profile!$E$39,Lookup_Lists!$A$237:$A$246,0),MATCH(KOL_Database!$AJ$29,Lookup_Lists!$B$236:$K$236,0)),45))</f>
        <v>45</v>
      </c>
      <c r="X60" s="142">
        <f>ROUND((Matching_Engine!$T$60*Lookup_Lists!$D$121+Matching_Engine!$U$60*Lookup_Lists!$D$122+Matching_Engine!$V$60*Lookup_Lists!$D$123+Matching_Engine!$W$60*Lookup_Lists!$D$124)/(Lookup_Lists!$D$121+Lookup_Lists!$D$122+Lookup_Lists!$D$123+Lookup_Lists!$D$124),0)</f>
        <v>25</v>
      </c>
      <c r="Y60" s="142">
        <f>MIN(100,MAX(IFERROR(INDEX(Lookup_Lists!$B$202:$M$211,MATCH(Brand_Profile!$E$25,Lookup_Lists!$A$202:$A$211,0),MATCH(KOL_Database!$AK$29,Lookup_Lists!$B$201:$M$201,0)),40),IF(KOL_Database!$AK$29=Brand_Profile!$E$41,95,0)))</f>
        <v>25</v>
      </c>
      <c r="Z60" s="142">
        <f>IFERROR(INDEX(Lookup_Lists!$B$215:$K$222,MATCH(Brand_Profile!$E$27,Lookup_Lists!$A$215:$A$222,0),MATCH(KOL_Database!$AJ$29,Lookup_Lists!$B$214:$K$214,0)),45)</f>
        <v>75</v>
      </c>
      <c r="AA60" s="142">
        <f>ROUND((IF(Brand_Profile!$E$80=0,Lookup_Lists!$D$150,ROUND((IF(Brand_Profile!$E$75="",0,IF(ISNUMBER(SEARCH(Brand_Profile!$E$75,KOL_Database!$AL$29)),1,0))+IF(Brand_Profile!$E$76="",0,IF(ISNUMBER(SEARCH(Brand_Profile!$E$76,KOL_Database!$AL$29)),1,0))+IF(Brand_Profile!$E$77="",0,IF(ISNUMBER(SEARCH(Brand_Profile!$E$77,KOL_Database!$AL$29)),1,0))+IF(Brand_Profile!$E$78="",0,IF(ISNUMBER(SEARCH(Brand_Profile!$E$78,KOL_Database!$AL$29)),1,0))+IF(Brand_Profile!$E$79="",0,IF(ISNUMBER(SEARCH(Brand_Profile!$E$79,KOL_Database!$AL$29)),1,0)))/Brand_Profile!$E$80*100,0))+IF(Brand_Profile!$E$92=0,Lookup_Lists!$D$150,ROUND((IF(Brand_Profile!$E$87="",0,IF(ISNUMBER(SEARCH(Brand_Profile!$E$87,KOL_Database!$AL$29)),1,0))+IF(Brand_Profile!$E$88="",0,IF(ISNUMBER(SEARCH(Brand_Profile!$E$88,KOL_Database!$AL$29)),1,0))+IF(Brand_Profile!$E$89="",0,IF(ISNUMBER(SEARCH(Brand_Profile!$E$89,KOL_Database!$AL$29)),1,0))+IF(Brand_Profile!$E$90="",0,IF(ISNUMBER(SEARCH(Brand_Profile!$E$90,KOL_Database!$AL$29)),1,0))+IF(Brand_Profile!$E$91="",0,IF(ISNUMBER(SEARCH(Brand_Profile!$E$91,KOL_Database!$AL$29)),1,0)))/Brand_Profile!$E$92*100,0)))/2,0)</f>
        <v>0</v>
      </c>
      <c r="AB60" s="142">
        <f>IFERROR(INDEX(Lookup_Lists!$B$226:$K$233,MATCH(Brand_Profile!$E$30,Lookup_Lists!$A$226:$A$233,0),MATCH(KOL_Database!$AJ$29,Lookup_Lists!$B$225:$K$225,0)),45)</f>
        <v>85</v>
      </c>
      <c r="AC60" s="142">
        <f>ROUND((Matching_Engine!$Y$60*Lookup_Lists!$D$125+Matching_Engine!$Z$60*Lookup_Lists!$D$126+Matching_Engine!$AA$60*Lookup_Lists!$D$127+Matching_Engine!$AB$60*Lookup_Lists!$D$128)/(Lookup_Lists!$D$125+Lookup_Lists!$D$126+Lookup_Lists!$D$127+Lookup_Lists!$D$128),0)</f>
        <v>40</v>
      </c>
      <c r="AD60" s="142">
        <f>IF(KOL_Database!$K$29="",0,MIN(100,ROUND(KOL_Database!$K$29/Lookup_Lists!$D$141*100,0)))</f>
        <v>85</v>
      </c>
      <c r="AE60" s="142">
        <f>IF(KOL_Database!$R$29="",0,MIN(100,MAX(0,KOL_Database!$R$29)))</f>
        <v>73</v>
      </c>
      <c r="AF60" s="142">
        <f>IF(KOL_Database!$P$29="",0,MIN(100,MAX(0,KOL_Database!$P$29)))</f>
        <v>64</v>
      </c>
      <c r="AG60" s="142">
        <f>IF(KOL_Database!$Q$29="",0,MIN(100,MAX(0,KOL_Database!$Q$29)))</f>
        <v>58</v>
      </c>
      <c r="AH60" s="142">
        <f>IF(OR(KOL_Database!$J$29="",KOL_Database!$J$29=0,KOL_Database!$L$29=""),0,MIN(100,ROUND(KOL_Database!$L$29/KOL_Database!$J$29/Lookup_Lists!$D$144*100,0)))</f>
        <v>100</v>
      </c>
      <c r="AI60" s="142">
        <f>IF(KOL_Database!$N$29="",0,MIN(100,MAX(0,ROUND((KOL_Database!$N$29+2)/(Lookup_Lists!$D$145+2)*100,0))))</f>
        <v>93</v>
      </c>
      <c r="AJ60" s="142">
        <f>ROUND((Matching_Engine!$AD$60*Lookup_Lists!$D$129+Matching_Engine!$AE$60*Lookup_Lists!$D$130+Matching_Engine!$AF$60*Lookup_Lists!$D$131+Matching_Engine!$AG$60*Lookup_Lists!$D$132+Matching_Engine!$AH$60*Lookup_Lists!$D$133+Matching_Engine!$AI$60*Lookup_Lists!$D$134)/(Lookup_Lists!$D$129+Lookup_Lists!$D$130+Lookup_Lists!$D$131+Lookup_Lists!$D$132+Lookup_Lists!$D$133+Lookup_Lists!$D$134),0)</f>
        <v>78</v>
      </c>
      <c r="AK60" s="142">
        <f>IF(KOL_Database!$AT$29="",0,MIN(100,MAX(0,KOL_Database!$AT$29)))</f>
        <v>80</v>
      </c>
      <c r="AL60" s="142">
        <f>IF(KOL_Database!$AU$29="",0,KOL_Database!$AU$29)</f>
        <v>28</v>
      </c>
      <c r="AM60" s="89" t="str">
        <f>IF(KOL_Database!$AV$29="","None",KOL_Database!$AV$29)</f>
        <v>Low</v>
      </c>
      <c r="AN60" s="143">
        <f>IF(Matching_Engine!$AM$60="High",Lookup_Lists!$D$137,IF(Matching_Engine!$AM$60="Medium",Lookup_Lists!$D$138,IF(Matching_Engine!$AM$60="Low",Lookup_Lists!$D$139,Lookup_Lists!$D$140)))</f>
        <v>0.95</v>
      </c>
      <c r="AO60" s="142">
        <f>ROUND(MIN(100,MAX(0,(Matching_Engine!$AK$60*Lookup_Lists!$D$135+(100-Matching_Engine!$AL$60)*Lookup_Lists!$D$136)/(Lookup_Lists!$D$135+Lookup_Lists!$D$136)*Matching_Engine!$AN$60)),0)</f>
        <v>74</v>
      </c>
      <c r="AP60" s="13">
        <f ca="1">ROUND((Matching_Engine!$N$60*Lookup_Lists!$D$104+Matching_Engine!$S$60*Lookup_Lists!$D$105+Matching_Engine!$X$60*Lookup_Lists!$D$106+Matching_Engine!$AC$60*Lookup_Lists!$D$107+Matching_Engine!$AJ$60*Lookup_Lists!$D$108+Matching_Engine!$AO$60*Lookup_Lists!$D$109)/MAX(1,(Lookup_Lists!$D$104+Lookup_Lists!$D$105+Lookup_Lists!$D$106+Lookup_Lists!$D$107+Lookup_Lists!$D$108+Lookup_Lists!$D$109)),0)</f>
        <v>45</v>
      </c>
      <c r="AQ60" s="89" t="str">
        <f ca="1">IF(Matching_Engine!$AP$60&gt;=Lookup_Lists!$D$152,"Excellent Match",IF(Matching_Engine!$AP$60&gt;=Lookup_Lists!$D$153,"Strong Match",IF(Matching_Engine!$AP$60&gt;=Lookup_Lists!$D$154,"Good Match",IF(Matching_Engine!$AP$60&gt;=Lookup_Lists!$D$155,"Moderate Match","Low Match"))))</f>
        <v>Low Match</v>
      </c>
      <c r="AR60" s="142">
        <f>KOL_Database!$BE$29</f>
        <v>100</v>
      </c>
      <c r="AS60" s="89" t="str">
        <f>IF(Matching_Engine!$AR$60&gt;=Lookup_Lists!$D$159,"High",IF(Matching_Engine!$AR$60&gt;=Lookup_Lists!$D$160,"Medium","Limited Data"))</f>
        <v>High</v>
      </c>
      <c r="AT60" s="142">
        <f>ROUND((Matching_Engine!$N$60+Matching_Engine!$X$60+Matching_Engine!$AC$60)/3,0)</f>
        <v>28</v>
      </c>
      <c r="AU60" s="142">
        <f>ROUND(((100-Matching_Engine!$AL$60)*Lookup_Lists!$D$162+IF(KOL_Database!$BD$29="",Lookup_Lists!$D$150,KOL_Database!$BD$29)*Lookup_Lists!$D$163+Matching_Engine!$AI$60*Lookup_Lists!$D$164+Matching_Engine!$AD$60*Lookup_Lists!$D$165)/(Lookup_Lists!$D$162+Lookup_Lists!$D$163+Lookup_Lists!$D$164+Lookup_Lists!$D$165),0)</f>
        <v>86</v>
      </c>
      <c r="AV60" s="89" t="str">
        <f ca="1">IF(Matching_Engine!$AW$60="","PASS","EXCLUDED")</f>
        <v>EXCLUDED</v>
      </c>
      <c r="AW60" s="89" t="str">
        <f ca="1">IF(ISERROR(SEARCH(KOL_Database!$D$29,Brand_Profile!$E$32)),"Platform not in Preferred Platform",IF(AND(Brand_Profile!$E$36&gt;0,KOL_Database!$J$29&lt;Brand_Profile!$E$36),"Followers below Preferred Follower Range",IF(AND(Brand_Profile!$E$37&gt;0,KOL_Database!$J$29&gt;Brand_Profile!$E$37),"Followers above Preferred Follower Range",IF(AND(Brand_Profile!$E$38&gt;0,IF(KOL_Database!$K$29="",0,KOL_Database!$K$29)&lt;Brand_Profile!$E$38),"Engagement Rate below Minimum Engagement Rate",IF(ISERROR(SEARCH(KOL_Database!$G$29,Brand_Profile!$E$35)),"Tier not in Preferred Tier",IF(AND(Brand_Profile!$E$43&gt;0,Matching_Engine!$AE$60&lt;Brand_Profile!$E$43),"Audience Quality below Minimum Audience Quality",IF(AND(Brand_Profile!$E$44&gt;0,Matching_Engine!$AK$60&lt;Brand_Profile!$E$44),"Brand Safety below Minimum Brand Safety",IF(AND(Brand_Profile!$E$47="Yes",KOL_Database!$AD$29&lt;&gt;Brand_Profile!$E$19),"Audience Country does not match Target Country",IF(AND(Brand_Profile!$E$46="Yes",KOL_Database!$E$29&lt;&gt;Brand_Profile!$E$33),"Category is not the Preferred Category",IF(AND(Brand_Profile!$E$48&gt;0,Matching_Engine!$AL$60&gt;Brand_Profile!$E$48),"Competitor Saturation above Max Competitor Saturation",IF(AND(Brand_Profile!$E$50="Yes",KOL_Database!$AW$29="Yes"),"Already Selected",IF(AND(Brand_Profile!$E$51="Yes",KOL_Database!$AX$29="Yes"),"Already in Cart",IF(AND(Brand_Profile!$E$52="Yes",KOL_Database!$AY$29="Yes"),"Existing Partner",IF(AND(Brand_Profile!$E$53="Yes",KOL_Database!$AZ$29="Yes"),"Excluded Creator",IF(AND(Brand_Profile!$E$49&gt;0,Matching_Engine!$AP$60&lt;Brand_Profile!$E$49),"Brand Match below Minimum Brand Match","")))))))))))))))</f>
        <v>Tier not in Preferred Tier</v>
      </c>
      <c r="AX60" s="89" t="str">
        <f ca="1">IF(Matching_Engine!$AV$60="EXCLUDED","Excluded",IF(Matching_Engine!$AP$60&gt;=Lookup_Lists!$D$156,"Highly Recommended",IF(Matching_Engine!$AP$60&gt;=Lookup_Lists!$D$157,"Recommended",IF(Matching_Engine!$AP$60&gt;=Lookup_Lists!$D$158,"Consider","Low Priority"))))</f>
        <v>Excluded</v>
      </c>
      <c r="AY60" s="142" t="str">
        <f ca="1">IF(Matching_Engine!$AV$60="PASS",Matching_Engine!$AP$60,"")</f>
        <v/>
      </c>
      <c r="AZ60" s="89" t="str">
        <f>Matching_Engine!$A$60&amp;"|"&amp;Matching_Engine!$C$60</f>
        <v>BRAND-B|KOL-25</v>
      </c>
      <c r="BA60" s="89" t="str">
        <f>IFERROR(INDEX(Lookup_Lists!$B$51:$B$92,MATCH(Brand_Profile!$E$12,Lookup_Lists!$A$51:$A$92,0)),"")</f>
        <v>Beauty</v>
      </c>
      <c r="BB60" s="89" t="str">
        <f>IFERROR(INDEX(Lookup_Lists!$B$51:$B$92,MATCH(KOL_Database!$F$29,Lookup_Lists!$A$51:$A$92,0)),"")</f>
        <v>Automotive</v>
      </c>
      <c r="BC60" s="142">
        <f>IFERROR(INDEX(Lookup_Lists!$B$185:$O$198,MATCH(Matching_Engine!$BA$60,Lookup_Lists!$A$185:$A$198,0),MATCH(KOL_Database!$E$29,Lookup_Lists!$B$184:$O$184,0)),Lookup_Lists!$D$151)</f>
        <v>20</v>
      </c>
      <c r="BD60" s="142">
        <f>IFERROR(INDEX(Lookup_Lists!$B$185:$O$198,MATCH(Brand_Profile!$E$33,Lookup_Lists!$A$185:$A$198,0),MATCH(KOL_Database!$E$29,Lookup_Lists!$B$184:$O$184,0)),Lookup_Lists!$D$151)</f>
        <v>20</v>
      </c>
      <c r="BE60" s="89" t="str">
        <f>IFERROR(INDEX(Lookup_Lists!$B$51:$B$92,MATCH(Brand_Profile!$E$34,Lookup_Lists!$A$51:$A$92,0)),"")</f>
        <v>Beauty</v>
      </c>
      <c r="BF60" s="89" t="str">
        <f>KOL_Database!$AI$29&amp;", "&amp;KOL_Database!$AG$29&amp;", "&amp;KOL_Database!$F$29&amp;", "&amp;KOL_Database!$E$29</f>
        <v>Automotive, Travel, Entertainment, Automotive, Travel, Entertainment, Technology, Shopping, Motorcycle, Automotive</v>
      </c>
      <c r="BG60" s="89" t="str">
        <f>KOL_Database!$AI$29&amp;", "&amp;KOL_Database!$AG$29</f>
        <v>Automotive, Travel, Entertainment, Automotive, Travel, Entertainment, Technology, Shopping</v>
      </c>
    </row>
    <row r="61" spans="1:59">
      <c r="A61" s="101" t="s">
        <v>118</v>
      </c>
      <c r="B61" s="89" t="str">
        <f>Brand_Profile!$E$9</f>
        <v>Lumaya Skin</v>
      </c>
      <c r="C61" s="89" t="str">
        <f>KOL_Database!$A$30</f>
        <v>KOL-26</v>
      </c>
      <c r="D61" s="89" t="str">
        <f>KOL_Database!$B$30</f>
        <v>Wisnu Adi</v>
      </c>
      <c r="E61" s="89" t="str">
        <f>KOL_Database!$C$30</f>
        <v>@wisnucarreview</v>
      </c>
      <c r="F61" s="89" t="str">
        <f>KOL_Database!$D$30</f>
        <v>Instagram</v>
      </c>
      <c r="G61" s="89" t="str">
        <f>KOL_Database!$E$30</f>
        <v>Automotive</v>
      </c>
      <c r="H61" s="89" t="str">
        <f>KOL_Database!$G$30</f>
        <v>Mid-tier</v>
      </c>
      <c r="I61" s="140">
        <f>KOL_Database!$J$30</f>
        <v>76000</v>
      </c>
      <c r="J61" s="141">
        <f>KOL_Database!$K$30</f>
        <v>2.9</v>
      </c>
      <c r="K61" s="142">
        <f>IFERROR(INDEX(Lookup_Lists!$B$170:$O$181,MATCH(Brand_Profile!$E$10,Lookup_Lists!$A$170:$A$181,0),MATCH(KOL_Database!$E$30,Lookup_Lists!$B$169:$O$169,0)),Lookup_Lists!$D$151)</f>
        <v>20</v>
      </c>
      <c r="L61" s="142">
        <f>IF(KOL_Database!$F$30="",Matching_Engine!$BC$61,IF(Brand_Profile!$E$12=KOL_Database!$F$30,100,IF(Matching_Engine!$BA$61=KOL_Database!$E$30,80,IF(Matching_Engine!$BC$61&gt;=80,60,IF(Matching_Engine!$BC$61&gt;=60,40,Lookup_Lists!$D$151)))))</f>
        <v>20</v>
      </c>
      <c r="M61" s="142">
        <f>ROUND((IF(Brand_Profile!$E$62=0,Lookup_Lists!$D$150,ROUND((IF(Brand_Profile!$E$57="",0,IF(ISNUMBER(SEARCH(Brand_Profile!$E$57,Matching_Engine!$BF$61)),1,0))+IF(Brand_Profile!$E$58="",0,IF(ISNUMBER(SEARCH(Brand_Profile!$E$58,Matching_Engine!$BF$61)),1,0))+IF(Brand_Profile!$E$59="",0,IF(ISNUMBER(SEARCH(Brand_Profile!$E$59,Matching_Engine!$BF$61)),1,0))+IF(Brand_Profile!$E$60="",0,IF(ISNUMBER(SEARCH(Brand_Profile!$E$60,Matching_Engine!$BF$61)),1,0))+IF(Brand_Profile!$E$61="",0,IF(ISNUMBER(SEARCH(Brand_Profile!$E$61,Matching_Engine!$BF$61)),1,0)))/Brand_Profile!$E$62*100,0))+IF(Brand_Profile!$E$74=0,Lookup_Lists!$D$150,ROUND((IF(Brand_Profile!$E$69="",0,IF(ISNUMBER(SEARCH(Brand_Profile!$E$69,Matching_Engine!$BF$61)),1,0))+IF(Brand_Profile!$E$70="",0,IF(ISNUMBER(SEARCH(Brand_Profile!$E$70,Matching_Engine!$BF$61)),1,0))+IF(Brand_Profile!$E$71="",0,IF(ISNUMBER(SEARCH(Brand_Profile!$E$71,Matching_Engine!$BF$61)),1,0))+IF(Brand_Profile!$E$72="",0,IF(ISNUMBER(SEARCH(Brand_Profile!$E$72,Matching_Engine!$BF$61)),1,0))+IF(Brand_Profile!$E$73="",0,IF(ISNUMBER(SEARCH(Brand_Profile!$E$73,Matching_Engine!$BF$61)),1,0)))/Brand_Profile!$E$74*100,0)))/2,0)</f>
        <v>0</v>
      </c>
      <c r="N61" s="142">
        <f>ROUND((Matching_Engine!$K$61*Lookup_Lists!$D$110+Matching_Engine!$L$61*Lookup_Lists!$D$111+Matching_Engine!$M$61*Lookup_Lists!$D$112)/(Lookup_Lists!$D$110+Lookup_Lists!$D$111+Lookup_Lists!$D$112),0)</f>
        <v>14</v>
      </c>
      <c r="O61" s="142">
        <f ca="1">IF(Brand_Profile!$E$16="",Lookup_Lists!$D$150,MIN(100,ROUND((IFERROR(INDEX(KOL_Database!$W$30:KOL_Database!$AA$30,1,MATCH(Brand_Profile!$E$16,Lookup_Lists!$F$6:$F$10,0)),0)+0.5*IFERROR(INDEX(KOL_Database!$W$30:KOL_Database!$AA$30,1,MATCH(Brand_Profile!$E$17,Lookup_Lists!$F$6:$F$10,0)),0))/Lookup_Lists!$D$142*100,0)))</f>
        <v>74</v>
      </c>
      <c r="P61" s="142">
        <f>IF(OR(Brand_Profile!$E$18="",Brand_Profile!$E$18="Any"),100,IF(Brand_Profile!$E$18="Female",MIN(100,ROUND(KOL_Database!$AB$30/Lookup_Lists!$D$143*100,0)),IF(Brand_Profile!$E$18="Male",MIN(100,ROUND(KOL_Database!$AC$30/Lookup_Lists!$D$143*100,0)),MAX(0,ROUND(100-ABS(KOL_Database!$AB$30-50)*2,0)))))</f>
        <v>45</v>
      </c>
      <c r="Q61" s="142">
        <f>ROUND((IF(Brand_Profile!$E$19="",100,IF(KOL_Database!$AD$30=Brand_Profile!$E$19,100,Lookup_Lists!$D$151))*Lookup_Lists!$D$118+IF(OR(Brand_Profile!$E$20="",Brand_Profile!$E$20="Nasional"),100,IF(KOL_Database!$AE$30="",Lookup_Lists!$D$150,IF(KOL_Database!$AE$30=Brand_Profile!$E$20,100,IF(KOL_Database!$AD$30=Brand_Profile!$E$19,40,Lookup_Lists!$D$151))))*Lookup_Lists!$D$119+IF(OR(Brand_Profile!$E$21="",Brand_Profile!$E$21="Nasional"),100,IF(KOL_Database!$AF$30="",Lookup_Lists!$D$150,IF(KOL_Database!$AF$30=Brand_Profile!$E$21,100,IF(KOL_Database!$AE$30=Brand_Profile!$E$20,60,Lookup_Lists!$D$151))))*Lookup_Lists!$D$120)/(Lookup_Lists!$D$118+Lookup_Lists!$D$119+Lookup_Lists!$D$120),0)</f>
        <v>100</v>
      </c>
      <c r="R61" s="142">
        <f>IF(Brand_Profile!$E$68=0,Lookup_Lists!$D$150,ROUND((IF(Brand_Profile!$E$63="",0,IF(ISNUMBER(SEARCH(Brand_Profile!$E$63,KOL_Database!$AG$30)),1,0))+IF(Brand_Profile!$E$64="",0,IF(ISNUMBER(SEARCH(Brand_Profile!$E$64,KOL_Database!$AG$30)),1,0))+IF(Brand_Profile!$E$65="",0,IF(ISNUMBER(SEARCH(Brand_Profile!$E$65,KOL_Database!$AG$30)),1,0))+IF(Brand_Profile!$E$66="",0,IF(ISNUMBER(SEARCH(Brand_Profile!$E$66,KOL_Database!$AG$30)),1,0))+IF(Brand_Profile!$E$67="",0,IF(ISNUMBER(SEARCH(Brand_Profile!$E$67,KOL_Database!$AG$30)),1,0)))/Brand_Profile!$E$68*100,0))</f>
        <v>0</v>
      </c>
      <c r="S61" s="142">
        <f ca="1">ROUND((Matching_Engine!$O$61*Brand_Profile!$E$96+Matching_Engine!$P$61*Brand_Profile!$E$97+Matching_Engine!$Q$61*Brand_Profile!$E$98+Matching_Engine!$R$61*Brand_Profile!$E$99)/MAX(1,Brand_Profile!$E$96+Brand_Profile!$E$97+Brand_Profile!$E$98+Brand_Profile!$E$99),0)</f>
        <v>54</v>
      </c>
      <c r="T61" s="142">
        <f>IF(Brand_Profile!$E$33="",Lookup_Lists!$D$150,Matching_Engine!$BD$61)</f>
        <v>20</v>
      </c>
      <c r="U61" s="142">
        <f>IF(Brand_Profile!$E$34="",Lookup_Lists!$D$150,IF(Brand_Profile!$E$34=KOL_Database!$F$30,100,IF(Matching_Engine!$BE$61=KOL_Database!$E$30,75,IF(Matching_Engine!$BD$61&gt;=80,Lookup_Lists!$D$150,IF(Matching_Engine!$BD$61&gt;=60,35,Lookup_Lists!$D$151)))))</f>
        <v>20</v>
      </c>
      <c r="V61" s="142">
        <f>IF(Brand_Profile!$E$86=0,Lookup_Lists!$D$150,ROUND((IF(Brand_Profile!$E$81="",0,IF(ISNUMBER(SEARCH(Brand_Profile!$E$81,Matching_Engine!$BG$61)),1,0))+IF(Brand_Profile!$E$82="",0,IF(ISNUMBER(SEARCH(Brand_Profile!$E$82,Matching_Engine!$BG$61)),1,0))+IF(Brand_Profile!$E$83="",0,IF(ISNUMBER(SEARCH(Brand_Profile!$E$83,Matching_Engine!$BG$61)),1,0))+IF(Brand_Profile!$E$84="",0,IF(ISNUMBER(SEARCH(Brand_Profile!$E$84,Matching_Engine!$BG$61)),1,0))+IF(Brand_Profile!$E$85="",0,IF(ISNUMBER(SEARCH(Brand_Profile!$E$85,Matching_Engine!$BG$61)),1,0)))/Brand_Profile!$E$86*100,0))</f>
        <v>0</v>
      </c>
      <c r="W61" s="142">
        <f>IF(Brand_Profile!$E$39="",Lookup_Lists!$D$150,IFERROR(INDEX(Lookup_Lists!$B$237:$K$246,MATCH(Brand_Profile!$E$39,Lookup_Lists!$A$237:$A$246,0),MATCH(KOL_Database!$AJ$30,Lookup_Lists!$B$236:$K$236,0)),45))</f>
        <v>100</v>
      </c>
      <c r="X61" s="142">
        <f>ROUND((Matching_Engine!$T$61*Lookup_Lists!$D$121+Matching_Engine!$U$61*Lookup_Lists!$D$122+Matching_Engine!$V$61*Lookup_Lists!$D$123+Matching_Engine!$W$61*Lookup_Lists!$D$124)/(Lookup_Lists!$D$121+Lookup_Lists!$D$122+Lookup_Lists!$D$123+Lookup_Lists!$D$124),0)</f>
        <v>30</v>
      </c>
      <c r="Y61" s="142">
        <f>MIN(100,MAX(IFERROR(INDEX(Lookup_Lists!$B$202:$M$211,MATCH(Brand_Profile!$E$25,Lookup_Lists!$A$202:$A$211,0),MATCH(KOL_Database!$AK$30,Lookup_Lists!$B$201:$M$201,0)),40),IF(KOL_Database!$AK$30=Brand_Profile!$E$41,95,0)))</f>
        <v>85</v>
      </c>
      <c r="Z61" s="142">
        <f>IFERROR(INDEX(Lookup_Lists!$B$215:$K$222,MATCH(Brand_Profile!$E$27,Lookup_Lists!$A$215:$A$222,0),MATCH(KOL_Database!$AJ$30,Lookup_Lists!$B$214:$K$214,0)),45)</f>
        <v>70</v>
      </c>
      <c r="AA61" s="142">
        <f>ROUND((IF(Brand_Profile!$E$80=0,Lookup_Lists!$D$150,ROUND((IF(Brand_Profile!$E$75="",0,IF(ISNUMBER(SEARCH(Brand_Profile!$E$75,KOL_Database!$AL$30)),1,0))+IF(Brand_Profile!$E$76="",0,IF(ISNUMBER(SEARCH(Brand_Profile!$E$76,KOL_Database!$AL$30)),1,0))+IF(Brand_Profile!$E$77="",0,IF(ISNUMBER(SEARCH(Brand_Profile!$E$77,KOL_Database!$AL$30)),1,0))+IF(Brand_Profile!$E$78="",0,IF(ISNUMBER(SEARCH(Brand_Profile!$E$78,KOL_Database!$AL$30)),1,0))+IF(Brand_Profile!$E$79="",0,IF(ISNUMBER(SEARCH(Brand_Profile!$E$79,KOL_Database!$AL$30)),1,0)))/Brand_Profile!$E$80*100,0))+IF(Brand_Profile!$E$92=0,Lookup_Lists!$D$150,ROUND((IF(Brand_Profile!$E$87="",0,IF(ISNUMBER(SEARCH(Brand_Profile!$E$87,KOL_Database!$AL$30)),1,0))+IF(Brand_Profile!$E$88="",0,IF(ISNUMBER(SEARCH(Brand_Profile!$E$88,KOL_Database!$AL$30)),1,0))+IF(Brand_Profile!$E$89="",0,IF(ISNUMBER(SEARCH(Brand_Profile!$E$89,KOL_Database!$AL$30)),1,0))+IF(Brand_Profile!$E$90="",0,IF(ISNUMBER(SEARCH(Brand_Profile!$E$90,KOL_Database!$AL$30)),1,0))+IF(Brand_Profile!$E$91="",0,IF(ISNUMBER(SEARCH(Brand_Profile!$E$91,KOL_Database!$AL$30)),1,0)))/Brand_Profile!$E$92*100,0)))/2,0)</f>
        <v>40</v>
      </c>
      <c r="AB61" s="142">
        <f>IFERROR(INDEX(Lookup_Lists!$B$226:$K$233,MATCH(Brand_Profile!$E$30,Lookup_Lists!$A$226:$A$233,0),MATCH(KOL_Database!$AJ$30,Lookup_Lists!$B$225:$K$225,0)),45)</f>
        <v>65</v>
      </c>
      <c r="AC61" s="142">
        <f>ROUND((Matching_Engine!$Y$61*Lookup_Lists!$D$125+Matching_Engine!$Z$61*Lookup_Lists!$D$126+Matching_Engine!$AA$61*Lookup_Lists!$D$127+Matching_Engine!$AB$61*Lookup_Lists!$D$128)/(Lookup_Lists!$D$125+Lookup_Lists!$D$126+Lookup_Lists!$D$127+Lookup_Lists!$D$128),0)</f>
        <v>67</v>
      </c>
      <c r="AD61" s="142">
        <f>IF(KOL_Database!$K$30="",0,MIN(100,ROUND(KOL_Database!$K$30/Lookup_Lists!$D$141*100,0)))</f>
        <v>48</v>
      </c>
      <c r="AE61" s="142">
        <f>IF(KOL_Database!$R$30="",0,MIN(100,MAX(0,KOL_Database!$R$30)))</f>
        <v>64</v>
      </c>
      <c r="AF61" s="142">
        <f>IF(KOL_Database!$P$30="",0,MIN(100,MAX(0,KOL_Database!$P$30)))</f>
        <v>48</v>
      </c>
      <c r="AG61" s="142">
        <f>IF(KOL_Database!$Q$30="",0,MIN(100,MAX(0,KOL_Database!$Q$30)))</f>
        <v>51</v>
      </c>
      <c r="AH61" s="142">
        <f>IF(OR(KOL_Database!$J$30="",KOL_Database!$J$30=0,KOL_Database!$L$30=""),0,MIN(100,ROUND(KOL_Database!$L$30/KOL_Database!$J$30/Lookup_Lists!$D$144*100,0)))</f>
        <v>43</v>
      </c>
      <c r="AI61" s="142">
        <f>IF(KOL_Database!$N$30="",0,MIN(100,MAX(0,ROUND((KOL_Database!$N$30+2)/(Lookup_Lists!$D$145+2)*100,0))))</f>
        <v>57</v>
      </c>
      <c r="AJ61" s="142">
        <f>ROUND((Matching_Engine!$AD$61*Lookup_Lists!$D$129+Matching_Engine!$AE$61*Lookup_Lists!$D$130+Matching_Engine!$AF$61*Lookup_Lists!$D$131+Matching_Engine!$AG$61*Lookup_Lists!$D$132+Matching_Engine!$AH$61*Lookup_Lists!$D$133+Matching_Engine!$AI$61*Lookup_Lists!$D$134)/(Lookup_Lists!$D$129+Lookup_Lists!$D$130+Lookup_Lists!$D$131+Lookup_Lists!$D$132+Lookup_Lists!$D$133+Lookup_Lists!$D$134),0)</f>
        <v>51</v>
      </c>
      <c r="AK61" s="142">
        <f>IF(KOL_Database!$AT$30="",0,MIN(100,MAX(0,KOL_Database!$AT$30)))</f>
        <v>71</v>
      </c>
      <c r="AL61" s="142">
        <f>IF(KOL_Database!$AU$30="",0,KOL_Database!$AU$30)</f>
        <v>13</v>
      </c>
      <c r="AM61" s="89" t="str">
        <f>IF(KOL_Database!$AV$30="","None",KOL_Database!$AV$30)</f>
        <v>Low</v>
      </c>
      <c r="AN61" s="143">
        <f>IF(Matching_Engine!$AM$61="High",Lookup_Lists!$D$137,IF(Matching_Engine!$AM$61="Medium",Lookup_Lists!$D$138,IF(Matching_Engine!$AM$61="Low",Lookup_Lists!$D$139,Lookup_Lists!$D$140)))</f>
        <v>0.95</v>
      </c>
      <c r="AO61" s="142">
        <f>ROUND(MIN(100,MAX(0,(Matching_Engine!$AK$61*Lookup_Lists!$D$135+(100-Matching_Engine!$AL$61)*Lookup_Lists!$D$136)/(Lookup_Lists!$D$135+Lookup_Lists!$D$136)*Matching_Engine!$AN$61)),0)</f>
        <v>70</v>
      </c>
      <c r="AP61" s="13">
        <f ca="1">ROUND((Matching_Engine!$N$61*Lookup_Lists!$D$104+Matching_Engine!$S$61*Lookup_Lists!$D$105+Matching_Engine!$X$61*Lookup_Lists!$D$106+Matching_Engine!$AC$61*Lookup_Lists!$D$107+Matching_Engine!$AJ$61*Lookup_Lists!$D$108+Matching_Engine!$AO$61*Lookup_Lists!$D$109)/MAX(1,(Lookup_Lists!$D$104+Lookup_Lists!$D$105+Lookup_Lists!$D$106+Lookup_Lists!$D$107+Lookup_Lists!$D$108+Lookup_Lists!$D$109)),0)</f>
        <v>44</v>
      </c>
      <c r="AQ61" s="89" t="str">
        <f ca="1">IF(Matching_Engine!$AP$61&gt;=Lookup_Lists!$D$152,"Excellent Match",IF(Matching_Engine!$AP$61&gt;=Lookup_Lists!$D$153,"Strong Match",IF(Matching_Engine!$AP$61&gt;=Lookup_Lists!$D$154,"Good Match",IF(Matching_Engine!$AP$61&gt;=Lookup_Lists!$D$155,"Moderate Match","Low Match"))))</f>
        <v>Low Match</v>
      </c>
      <c r="AR61" s="142">
        <f>KOL_Database!$BE$30</f>
        <v>100</v>
      </c>
      <c r="AS61" s="89" t="str">
        <f>IF(Matching_Engine!$AR$61&gt;=Lookup_Lists!$D$159,"High",IF(Matching_Engine!$AR$61&gt;=Lookup_Lists!$D$160,"Medium","Limited Data"))</f>
        <v>High</v>
      </c>
      <c r="AT61" s="142">
        <f>ROUND((Matching_Engine!$N$61+Matching_Engine!$X$61+Matching_Engine!$AC$61)/3,0)</f>
        <v>37</v>
      </c>
      <c r="AU61" s="142">
        <f>ROUND(((100-Matching_Engine!$AL$61)*Lookup_Lists!$D$162+IF(KOL_Database!$BD$30="",Lookup_Lists!$D$150,KOL_Database!$BD$30)*Lookup_Lists!$D$163+Matching_Engine!$AI$61*Lookup_Lists!$D$164+Matching_Engine!$AD$61*Lookup_Lists!$D$165)/(Lookup_Lists!$D$162+Lookup_Lists!$D$163+Lookup_Lists!$D$164+Lookup_Lists!$D$165),0)</f>
        <v>61</v>
      </c>
      <c r="AV61" s="89" t="str">
        <f ca="1">IF(Matching_Engine!$AW$61="","PASS","EXCLUDED")</f>
        <v>EXCLUDED</v>
      </c>
      <c r="AW61" s="89" t="str">
        <f ca="1">IF(ISERROR(SEARCH(KOL_Database!$D$30,Brand_Profile!$E$32)),"Platform not in Preferred Platform",IF(AND(Brand_Profile!$E$36&gt;0,KOL_Database!$J$30&lt;Brand_Profile!$E$36),"Followers below Preferred Follower Range",IF(AND(Brand_Profile!$E$37&gt;0,KOL_Database!$J$30&gt;Brand_Profile!$E$37),"Followers above Preferred Follower Range",IF(AND(Brand_Profile!$E$38&gt;0,IF(KOL_Database!$K$30="",0,KOL_Database!$K$30)&lt;Brand_Profile!$E$38),"Engagement Rate below Minimum Engagement Rate",IF(ISERROR(SEARCH(KOL_Database!$G$30,Brand_Profile!$E$35)),"Tier not in Preferred Tier",IF(AND(Brand_Profile!$E$43&gt;0,Matching_Engine!$AE$61&lt;Brand_Profile!$E$43),"Audience Quality below Minimum Audience Quality",IF(AND(Brand_Profile!$E$44&gt;0,Matching_Engine!$AK$61&lt;Brand_Profile!$E$44),"Brand Safety below Minimum Brand Safety",IF(AND(Brand_Profile!$E$47="Yes",KOL_Database!$AD$30&lt;&gt;Brand_Profile!$E$19),"Audience Country does not match Target Country",IF(AND(Brand_Profile!$E$46="Yes",KOL_Database!$E$30&lt;&gt;Brand_Profile!$E$33),"Category is not the Preferred Category",IF(AND(Brand_Profile!$E$48&gt;0,Matching_Engine!$AL$61&gt;Brand_Profile!$E$48),"Competitor Saturation above Max Competitor Saturation",IF(AND(Brand_Profile!$E$50="Yes",KOL_Database!$AW$30="Yes"),"Already Selected",IF(AND(Brand_Profile!$E$51="Yes",KOL_Database!$AX$30="Yes"),"Already in Cart",IF(AND(Brand_Profile!$E$52="Yes",KOL_Database!$AY$30="Yes"),"Existing Partner",IF(AND(Brand_Profile!$E$53="Yes",KOL_Database!$AZ$30="Yes"),"Excluded Creator",IF(AND(Brand_Profile!$E$49&gt;0,Matching_Engine!$AP$61&lt;Brand_Profile!$E$49),"Brand Match below Minimum Brand Match","")))))))))))))))</f>
        <v>Engagement Rate below Minimum Engagement Rate</v>
      </c>
      <c r="AX61" s="89" t="str">
        <f ca="1">IF(Matching_Engine!$AV$61="EXCLUDED","Excluded",IF(Matching_Engine!$AP$61&gt;=Lookup_Lists!$D$156,"Highly Recommended",IF(Matching_Engine!$AP$61&gt;=Lookup_Lists!$D$157,"Recommended",IF(Matching_Engine!$AP$61&gt;=Lookup_Lists!$D$158,"Consider","Low Priority"))))</f>
        <v>Excluded</v>
      </c>
      <c r="AY61" s="142" t="str">
        <f ca="1">IF(Matching_Engine!$AV$61="PASS",Matching_Engine!$AP$61,"")</f>
        <v/>
      </c>
      <c r="AZ61" s="89" t="str">
        <f>Matching_Engine!$A$61&amp;"|"&amp;Matching_Engine!$C$61</f>
        <v>BRAND-B|KOL-26</v>
      </c>
      <c r="BA61" s="89" t="str">
        <f>IFERROR(INDEX(Lookup_Lists!$B$51:$B$92,MATCH(Brand_Profile!$E$12,Lookup_Lists!$A$51:$A$92,0)),"")</f>
        <v>Beauty</v>
      </c>
      <c r="BB61" s="89" t="str">
        <f>IFERROR(INDEX(Lookup_Lists!$B$51:$B$92,MATCH(KOL_Database!$F$30,Lookup_Lists!$A$51:$A$92,0)),"")</f>
        <v>Automotive</v>
      </c>
      <c r="BC61" s="142">
        <f>IFERROR(INDEX(Lookup_Lists!$B$185:$O$198,MATCH(Matching_Engine!$BA$61,Lookup_Lists!$A$185:$A$198,0),MATCH(KOL_Database!$E$30,Lookup_Lists!$B$184:$O$184,0)),Lookup_Lists!$D$151)</f>
        <v>20</v>
      </c>
      <c r="BD61" s="142">
        <f>IFERROR(INDEX(Lookup_Lists!$B$185:$O$198,MATCH(Brand_Profile!$E$33,Lookup_Lists!$A$185:$A$198,0),MATCH(KOL_Database!$E$30,Lookup_Lists!$B$184:$O$184,0)),Lookup_Lists!$D$151)</f>
        <v>20</v>
      </c>
      <c r="BE61" s="89" t="str">
        <f>IFERROR(INDEX(Lookup_Lists!$B$51:$B$92,MATCH(Brand_Profile!$E$34,Lookup_Lists!$A$51:$A$92,0)),"")</f>
        <v>Beauty</v>
      </c>
      <c r="BF61" s="89" t="str">
        <f>KOL_Database!$AI$30&amp;", "&amp;KOL_Database!$AG$30&amp;", "&amp;KOL_Database!$F$30&amp;", "&amp;KOL_Database!$E$30</f>
        <v>Automotive, Technology, Finance, Automotive, Technology, Finance, Travel, Business, Car Review, Automotive</v>
      </c>
      <c r="BG61" s="89" t="str">
        <f>KOL_Database!$AI$30&amp;", "&amp;KOL_Database!$AG$30</f>
        <v>Automotive, Technology, Finance, Automotive, Technology, Finance, Travel, Business</v>
      </c>
    </row>
    <row r="62" spans="1:59">
      <c r="A62" s="101" t="s">
        <v>118</v>
      </c>
      <c r="B62" s="89" t="str">
        <f>Brand_Profile!$E$9</f>
        <v>Lumaya Skin</v>
      </c>
      <c r="C62" s="89" t="str">
        <f>KOL_Database!$A$31</f>
        <v>KOL-27</v>
      </c>
      <c r="D62" s="89" t="str">
        <f>KOL_Database!$B$31</f>
        <v>Laras Ayu</v>
      </c>
      <c r="E62" s="89" t="str">
        <f>KOL_Database!$C$31</f>
        <v>@larasinterior</v>
      </c>
      <c r="F62" s="89" t="str">
        <f>KOL_Database!$D$31</f>
        <v>Instagram</v>
      </c>
      <c r="G62" s="89" t="str">
        <f>KOL_Database!$E$31</f>
        <v>Home &amp; Living</v>
      </c>
      <c r="H62" s="89" t="str">
        <f>KOL_Database!$G$31</f>
        <v>Micro</v>
      </c>
      <c r="I62" s="140">
        <f>KOL_Database!$J$31</f>
        <v>46000</v>
      </c>
      <c r="J62" s="141">
        <f>KOL_Database!$K$31</f>
        <v>4.4</v>
      </c>
      <c r="K62" s="142">
        <f>IFERROR(INDEX(Lookup_Lists!$B$170:$O$181,MATCH(Brand_Profile!$E$10,Lookup_Lists!$A$170:$A$181,0),MATCH(KOL_Database!$E$31,Lookup_Lists!$B$169:$O$169,0)),Lookup_Lists!$D$151)</f>
        <v>40</v>
      </c>
      <c r="L62" s="142">
        <f>IF(KOL_Database!$F$31="",Matching_Engine!$BC$62,IF(Brand_Profile!$E$12=KOL_Database!$F$31,100,IF(Matching_Engine!$BA$62=KOL_Database!$E$31,80,IF(Matching_Engine!$BC$62&gt;=80,60,IF(Matching_Engine!$BC$62&gt;=60,40,Lookup_Lists!$D$151)))))</f>
        <v>40</v>
      </c>
      <c r="M62" s="142">
        <f>ROUND((IF(Brand_Profile!$E$62=0,Lookup_Lists!$D$150,ROUND((IF(Brand_Profile!$E$57="",0,IF(ISNUMBER(SEARCH(Brand_Profile!$E$57,Matching_Engine!$BF$62)),1,0))+IF(Brand_Profile!$E$58="",0,IF(ISNUMBER(SEARCH(Brand_Profile!$E$58,Matching_Engine!$BF$62)),1,0))+IF(Brand_Profile!$E$59="",0,IF(ISNUMBER(SEARCH(Brand_Profile!$E$59,Matching_Engine!$BF$62)),1,0))+IF(Brand_Profile!$E$60="",0,IF(ISNUMBER(SEARCH(Brand_Profile!$E$60,Matching_Engine!$BF$62)),1,0))+IF(Brand_Profile!$E$61="",0,IF(ISNUMBER(SEARCH(Brand_Profile!$E$61,Matching_Engine!$BF$62)),1,0)))/Brand_Profile!$E$62*100,0))+IF(Brand_Profile!$E$74=0,Lookup_Lists!$D$150,ROUND((IF(Brand_Profile!$E$69="",0,IF(ISNUMBER(SEARCH(Brand_Profile!$E$69,Matching_Engine!$BF$62)),1,0))+IF(Brand_Profile!$E$70="",0,IF(ISNUMBER(SEARCH(Brand_Profile!$E$70,Matching_Engine!$BF$62)),1,0))+IF(Brand_Profile!$E$71="",0,IF(ISNUMBER(SEARCH(Brand_Profile!$E$71,Matching_Engine!$BF$62)),1,0))+IF(Brand_Profile!$E$72="",0,IF(ISNUMBER(SEARCH(Brand_Profile!$E$72,Matching_Engine!$BF$62)),1,0))+IF(Brand_Profile!$E$73="",0,IF(ISNUMBER(SEARCH(Brand_Profile!$E$73,Matching_Engine!$BF$62)),1,0)))/Brand_Profile!$E$74*100,0)))/2,0)</f>
        <v>20</v>
      </c>
      <c r="N62" s="142">
        <f>ROUND((Matching_Engine!$K$62*Lookup_Lists!$D$110+Matching_Engine!$L$62*Lookup_Lists!$D$111+Matching_Engine!$M$62*Lookup_Lists!$D$112)/(Lookup_Lists!$D$110+Lookup_Lists!$D$111+Lookup_Lists!$D$112),0)</f>
        <v>34</v>
      </c>
      <c r="O62" s="142">
        <f ca="1">IF(Brand_Profile!$E$16="",Lookup_Lists!$D$150,MIN(100,ROUND((IFERROR(INDEX(KOL_Database!$W$31:KOL_Database!$AA$31,1,MATCH(Brand_Profile!$E$16,Lookup_Lists!$F$6:$F$10,0)),0)+0.5*IFERROR(INDEX(KOL_Database!$W$31:KOL_Database!$AA$31,1,MATCH(Brand_Profile!$E$17,Lookup_Lists!$F$6:$F$10,0)),0))/Lookup_Lists!$D$142*100,0)))</f>
        <v>98</v>
      </c>
      <c r="P62" s="142">
        <f>IF(OR(Brand_Profile!$E$18="",Brand_Profile!$E$18="Any"),100,IF(Brand_Profile!$E$18="Female",MIN(100,ROUND(KOL_Database!$AB$31/Lookup_Lists!$D$143*100,0)),IF(Brand_Profile!$E$18="Male",MIN(100,ROUND(KOL_Database!$AC$31/Lookup_Lists!$D$143*100,0)),MAX(0,ROUND(100-ABS(KOL_Database!$AB$31-50)*2,0)))))</f>
        <v>100</v>
      </c>
      <c r="Q62" s="142">
        <f>ROUND((IF(Brand_Profile!$E$19="",100,IF(KOL_Database!$AD$31=Brand_Profile!$E$19,100,Lookup_Lists!$D$151))*Lookup_Lists!$D$118+IF(OR(Brand_Profile!$E$20="",Brand_Profile!$E$20="Nasional"),100,IF(KOL_Database!$AE$31="",Lookup_Lists!$D$150,IF(KOL_Database!$AE$31=Brand_Profile!$E$20,100,IF(KOL_Database!$AD$31=Brand_Profile!$E$19,40,Lookup_Lists!$D$151))))*Lookup_Lists!$D$119+IF(OR(Brand_Profile!$E$21="",Brand_Profile!$E$21="Nasional"),100,IF(KOL_Database!$AF$31="",Lookup_Lists!$D$150,IF(KOL_Database!$AF$31=Brand_Profile!$E$21,100,IF(KOL_Database!$AE$31=Brand_Profile!$E$20,60,Lookup_Lists!$D$151))))*Lookup_Lists!$D$120)/(Lookup_Lists!$D$118+Lookup_Lists!$D$119+Lookup_Lists!$D$120),0)</f>
        <v>80</v>
      </c>
      <c r="R62" s="142">
        <f>IF(Brand_Profile!$E$68=0,Lookup_Lists!$D$150,ROUND((IF(Brand_Profile!$E$63="",0,IF(ISNUMBER(SEARCH(Brand_Profile!$E$63,KOL_Database!$AG$31)),1,0))+IF(Brand_Profile!$E$64="",0,IF(ISNUMBER(SEARCH(Brand_Profile!$E$64,KOL_Database!$AG$31)),1,0))+IF(Brand_Profile!$E$65="",0,IF(ISNUMBER(SEARCH(Brand_Profile!$E$65,KOL_Database!$AG$31)),1,0))+IF(Brand_Profile!$E$66="",0,IF(ISNUMBER(SEARCH(Brand_Profile!$E$66,KOL_Database!$AG$31)),1,0))+IF(Brand_Profile!$E$67="",0,IF(ISNUMBER(SEARCH(Brand_Profile!$E$67,KOL_Database!$AG$31)),1,0)))/Brand_Profile!$E$68*100,0))</f>
        <v>40</v>
      </c>
      <c r="S62" s="142">
        <f ca="1">ROUND((Matching_Engine!$O$62*Brand_Profile!$E$96+Matching_Engine!$P$62*Brand_Profile!$E$97+Matching_Engine!$Q$62*Brand_Profile!$E$98+Matching_Engine!$R$62*Brand_Profile!$E$99)/MAX(1,Brand_Profile!$E$96+Brand_Profile!$E$97+Brand_Profile!$E$98+Brand_Profile!$E$99),0)</f>
        <v>79</v>
      </c>
      <c r="T62" s="142">
        <f>IF(Brand_Profile!$E$33="",Lookup_Lists!$D$150,Matching_Engine!$BD$62)</f>
        <v>60</v>
      </c>
      <c r="U62" s="142">
        <f>IF(Brand_Profile!$E$34="",Lookup_Lists!$D$150,IF(Brand_Profile!$E$34=KOL_Database!$F$31,100,IF(Matching_Engine!$BE$62=KOL_Database!$E$31,75,IF(Matching_Engine!$BD$62&gt;=80,Lookup_Lists!$D$150,IF(Matching_Engine!$BD$62&gt;=60,35,Lookup_Lists!$D$151)))))</f>
        <v>35</v>
      </c>
      <c r="V62" s="142">
        <f>IF(Brand_Profile!$E$86=0,Lookup_Lists!$D$150,ROUND((IF(Brand_Profile!$E$81="",0,IF(ISNUMBER(SEARCH(Brand_Profile!$E$81,Matching_Engine!$BG$62)),1,0))+IF(Brand_Profile!$E$82="",0,IF(ISNUMBER(SEARCH(Brand_Profile!$E$82,Matching_Engine!$BG$62)),1,0))+IF(Brand_Profile!$E$83="",0,IF(ISNUMBER(SEARCH(Brand_Profile!$E$83,Matching_Engine!$BG$62)),1,0))+IF(Brand_Profile!$E$84="",0,IF(ISNUMBER(SEARCH(Brand_Profile!$E$84,Matching_Engine!$BG$62)),1,0))+IF(Brand_Profile!$E$85="",0,IF(ISNUMBER(SEARCH(Brand_Profile!$E$85,Matching_Engine!$BG$62)),1,0)))/Brand_Profile!$E$86*100,0))</f>
        <v>20</v>
      </c>
      <c r="W62" s="142">
        <f>IF(Brand_Profile!$E$39="",Lookup_Lists!$D$150,IFERROR(INDEX(Lookup_Lists!$B$237:$K$246,MATCH(Brand_Profile!$E$39,Lookup_Lists!$A$237:$A$246,0),MATCH(KOL_Database!$AJ$31,Lookup_Lists!$B$236:$K$236,0)),45))</f>
        <v>45</v>
      </c>
      <c r="X62" s="142">
        <f>ROUND((Matching_Engine!$T$62*Lookup_Lists!$D$121+Matching_Engine!$U$62*Lookup_Lists!$D$122+Matching_Engine!$V$62*Lookup_Lists!$D$123+Matching_Engine!$W$62*Lookup_Lists!$D$124)/(Lookup_Lists!$D$121+Lookup_Lists!$D$122+Lookup_Lists!$D$123+Lookup_Lists!$D$124),0)</f>
        <v>40</v>
      </c>
      <c r="Y62" s="142">
        <f>MIN(100,MAX(IFERROR(INDEX(Lookup_Lists!$B$202:$M$211,MATCH(Brand_Profile!$E$25,Lookup_Lists!$A$202:$A$211,0),MATCH(KOL_Database!$AK$31,Lookup_Lists!$B$201:$M$201,0)),40),IF(KOL_Database!$AK$31=Brand_Profile!$E$41,95,0)))</f>
        <v>100</v>
      </c>
      <c r="Z62" s="142">
        <f>IFERROR(INDEX(Lookup_Lists!$B$215:$K$222,MATCH(Brand_Profile!$E$27,Lookup_Lists!$A$215:$A$222,0),MATCH(KOL_Database!$AJ$31,Lookup_Lists!$B$214:$K$214,0)),45)</f>
        <v>95</v>
      </c>
      <c r="AA62" s="142">
        <f>ROUND((IF(Brand_Profile!$E$80=0,Lookup_Lists!$D$150,ROUND((IF(Brand_Profile!$E$75="",0,IF(ISNUMBER(SEARCH(Brand_Profile!$E$75,KOL_Database!$AL$31)),1,0))+IF(Brand_Profile!$E$76="",0,IF(ISNUMBER(SEARCH(Brand_Profile!$E$76,KOL_Database!$AL$31)),1,0))+IF(Brand_Profile!$E$77="",0,IF(ISNUMBER(SEARCH(Brand_Profile!$E$77,KOL_Database!$AL$31)),1,0))+IF(Brand_Profile!$E$78="",0,IF(ISNUMBER(SEARCH(Brand_Profile!$E$78,KOL_Database!$AL$31)),1,0))+IF(Brand_Profile!$E$79="",0,IF(ISNUMBER(SEARCH(Brand_Profile!$E$79,KOL_Database!$AL$31)),1,0)))/Brand_Profile!$E$80*100,0))+IF(Brand_Profile!$E$92=0,Lookup_Lists!$D$150,ROUND((IF(Brand_Profile!$E$87="",0,IF(ISNUMBER(SEARCH(Brand_Profile!$E$87,KOL_Database!$AL$31)),1,0))+IF(Brand_Profile!$E$88="",0,IF(ISNUMBER(SEARCH(Brand_Profile!$E$88,KOL_Database!$AL$31)),1,0))+IF(Brand_Profile!$E$89="",0,IF(ISNUMBER(SEARCH(Brand_Profile!$E$89,KOL_Database!$AL$31)),1,0))+IF(Brand_Profile!$E$90="",0,IF(ISNUMBER(SEARCH(Brand_Profile!$E$90,KOL_Database!$AL$31)),1,0))+IF(Brand_Profile!$E$91="",0,IF(ISNUMBER(SEARCH(Brand_Profile!$E$91,KOL_Database!$AL$31)),1,0)))/Brand_Profile!$E$92*100,0)))/2,0)</f>
        <v>40</v>
      </c>
      <c r="AB62" s="142">
        <f>IFERROR(INDEX(Lookup_Lists!$B$226:$K$233,MATCH(Brand_Profile!$E$30,Lookup_Lists!$A$226:$A$233,0),MATCH(KOL_Database!$AJ$31,Lookup_Lists!$B$225:$K$225,0)),45)</f>
        <v>100</v>
      </c>
      <c r="AC62" s="142">
        <f>ROUND((Matching_Engine!$Y$62*Lookup_Lists!$D$125+Matching_Engine!$Z$62*Lookup_Lists!$D$126+Matching_Engine!$AA$62*Lookup_Lists!$D$127+Matching_Engine!$AB$62*Lookup_Lists!$D$128)/(Lookup_Lists!$D$125+Lookup_Lists!$D$126+Lookup_Lists!$D$127+Lookup_Lists!$D$128),0)</f>
        <v>84</v>
      </c>
      <c r="AD62" s="142">
        <f>IF(KOL_Database!$K$31="",0,MIN(100,ROUND(KOL_Database!$K$31/Lookup_Lists!$D$141*100,0)))</f>
        <v>73</v>
      </c>
      <c r="AE62" s="142">
        <f>IF(KOL_Database!$R$31="",0,MIN(100,MAX(0,KOL_Database!$R$31)))</f>
        <v>88</v>
      </c>
      <c r="AF62" s="142">
        <f>IF(KOL_Database!$P$31="",0,MIN(100,MAX(0,KOL_Database!$P$31)))</f>
        <v>52</v>
      </c>
      <c r="AG62" s="142">
        <f>IF(KOL_Database!$Q$31="",0,MIN(100,MAX(0,KOL_Database!$Q$31)))</f>
        <v>49</v>
      </c>
      <c r="AH62" s="142">
        <f>IF(OR(KOL_Database!$J$31="",KOL_Database!$J$31=0,KOL_Database!$L$31=""),0,MIN(100,ROUND(KOL_Database!$L$31/KOL_Database!$J$31/Lookup_Lists!$D$144*100,0)))</f>
        <v>73</v>
      </c>
      <c r="AI62" s="142">
        <f>IF(KOL_Database!$N$31="",0,MIN(100,MAX(0,ROUND((KOL_Database!$N$31+2)/(Lookup_Lists!$D$145+2)*100,0))))</f>
        <v>54</v>
      </c>
      <c r="AJ62" s="142">
        <f>ROUND((Matching_Engine!$AD$62*Lookup_Lists!$D$129+Matching_Engine!$AE$62*Lookup_Lists!$D$130+Matching_Engine!$AF$62*Lookup_Lists!$D$131+Matching_Engine!$AG$62*Lookup_Lists!$D$132+Matching_Engine!$AH$62*Lookup_Lists!$D$133+Matching_Engine!$AI$62*Lookup_Lists!$D$134)/(Lookup_Lists!$D$129+Lookup_Lists!$D$130+Lookup_Lists!$D$131+Lookup_Lists!$D$132+Lookup_Lists!$D$133+Lookup_Lists!$D$134),0)</f>
        <v>68</v>
      </c>
      <c r="AK62" s="142">
        <f>IF(KOL_Database!$AT$31="",0,MIN(100,MAX(0,KOL_Database!$AT$31)))</f>
        <v>92</v>
      </c>
      <c r="AL62" s="142">
        <f>IF(KOL_Database!$AU$31="",0,KOL_Database!$AU$31)</f>
        <v>64</v>
      </c>
      <c r="AM62" s="89" t="str">
        <f>IF(KOL_Database!$AV$31="","None",KOL_Database!$AV$31)</f>
        <v>None</v>
      </c>
      <c r="AN62" s="143">
        <f>IF(Matching_Engine!$AM$62="High",Lookup_Lists!$D$137,IF(Matching_Engine!$AM$62="Medium",Lookup_Lists!$D$138,IF(Matching_Engine!$AM$62="Low",Lookup_Lists!$D$139,Lookup_Lists!$D$140)))</f>
        <v>1</v>
      </c>
      <c r="AO62" s="142">
        <f>ROUND(MIN(100,MAX(0,(Matching_Engine!$AK$62*Lookup_Lists!$D$135+(100-Matching_Engine!$AL$62)*Lookup_Lists!$D$136)/(Lookup_Lists!$D$135+Lookup_Lists!$D$136)*Matching_Engine!$AN$62)),0)</f>
        <v>81</v>
      </c>
      <c r="AP62" s="13">
        <f ca="1">ROUND((Matching_Engine!$N$62*Lookup_Lists!$D$104+Matching_Engine!$S$62*Lookup_Lists!$D$105+Matching_Engine!$X$62*Lookup_Lists!$D$106+Matching_Engine!$AC$62*Lookup_Lists!$D$107+Matching_Engine!$AJ$62*Lookup_Lists!$D$108+Matching_Engine!$AO$62*Lookup_Lists!$D$109)/MAX(1,(Lookup_Lists!$D$104+Lookup_Lists!$D$105+Lookup_Lists!$D$106+Lookup_Lists!$D$107+Lookup_Lists!$D$108+Lookup_Lists!$D$109)),0)</f>
        <v>62</v>
      </c>
      <c r="AQ62" s="89" t="str">
        <f ca="1">IF(Matching_Engine!$AP$62&gt;=Lookup_Lists!$D$152,"Excellent Match",IF(Matching_Engine!$AP$62&gt;=Lookup_Lists!$D$153,"Strong Match",IF(Matching_Engine!$AP$62&gt;=Lookup_Lists!$D$154,"Good Match",IF(Matching_Engine!$AP$62&gt;=Lookup_Lists!$D$155,"Moderate Match","Low Match"))))</f>
        <v>Moderate Match</v>
      </c>
      <c r="AR62" s="142">
        <f>KOL_Database!$BE$31</f>
        <v>92</v>
      </c>
      <c r="AS62" s="89" t="str">
        <f>IF(Matching_Engine!$AR$62&gt;=Lookup_Lists!$D$159,"High",IF(Matching_Engine!$AR$62&gt;=Lookup_Lists!$D$160,"Medium","Limited Data"))</f>
        <v>Medium</v>
      </c>
      <c r="AT62" s="142">
        <f>ROUND((Matching_Engine!$N$62+Matching_Engine!$X$62+Matching_Engine!$AC$62)/3,0)</f>
        <v>53</v>
      </c>
      <c r="AU62" s="142">
        <f>ROUND(((100-Matching_Engine!$AL$62)*Lookup_Lists!$D$162+IF(KOL_Database!$BD$31="",Lookup_Lists!$D$150,KOL_Database!$BD$31)*Lookup_Lists!$D$163+Matching_Engine!$AI$62*Lookup_Lists!$D$164+Matching_Engine!$AD$62*Lookup_Lists!$D$165)/(Lookup_Lists!$D$162+Lookup_Lists!$D$163+Lookup_Lists!$D$164+Lookup_Lists!$D$165),0)</f>
        <v>50</v>
      </c>
      <c r="AV62" s="89" t="str">
        <f ca="1">IF(Matching_Engine!$AW$62="","PASS","EXCLUDED")</f>
        <v>PASS</v>
      </c>
      <c r="AW62" s="89" t="str">
        <f ca="1">IF(ISERROR(SEARCH(KOL_Database!$D$31,Brand_Profile!$E$32)),"Platform not in Preferred Platform",IF(AND(Brand_Profile!$E$36&gt;0,KOL_Database!$J$31&lt;Brand_Profile!$E$36),"Followers below Preferred Follower Range",IF(AND(Brand_Profile!$E$37&gt;0,KOL_Database!$J$31&gt;Brand_Profile!$E$37),"Followers above Preferred Follower Range",IF(AND(Brand_Profile!$E$38&gt;0,IF(KOL_Database!$K$31="",0,KOL_Database!$K$31)&lt;Brand_Profile!$E$38),"Engagement Rate below Minimum Engagement Rate",IF(ISERROR(SEARCH(KOL_Database!$G$31,Brand_Profile!$E$35)),"Tier not in Preferred Tier",IF(AND(Brand_Profile!$E$43&gt;0,Matching_Engine!$AE$62&lt;Brand_Profile!$E$43),"Audience Quality below Minimum Audience Quality",IF(AND(Brand_Profile!$E$44&gt;0,Matching_Engine!$AK$62&lt;Brand_Profile!$E$44),"Brand Safety below Minimum Brand Safety",IF(AND(Brand_Profile!$E$47="Yes",KOL_Database!$AD$31&lt;&gt;Brand_Profile!$E$19),"Audience Country does not match Target Country",IF(AND(Brand_Profile!$E$46="Yes",KOL_Database!$E$31&lt;&gt;Brand_Profile!$E$33),"Category is not the Preferred Category",IF(AND(Brand_Profile!$E$48&gt;0,Matching_Engine!$AL$62&gt;Brand_Profile!$E$48),"Competitor Saturation above Max Competitor Saturation",IF(AND(Brand_Profile!$E$50="Yes",KOL_Database!$AW$31="Yes"),"Already Selected",IF(AND(Brand_Profile!$E$51="Yes",KOL_Database!$AX$31="Yes"),"Already in Cart",IF(AND(Brand_Profile!$E$52="Yes",KOL_Database!$AY$31="Yes"),"Existing Partner",IF(AND(Brand_Profile!$E$53="Yes",KOL_Database!$AZ$31="Yes"),"Excluded Creator",IF(AND(Brand_Profile!$E$49&gt;0,Matching_Engine!$AP$62&lt;Brand_Profile!$E$49),"Brand Match below Minimum Brand Match","")))))))))))))))</f>
        <v/>
      </c>
      <c r="AX62" s="89" t="str">
        <f ca="1">IF(Matching_Engine!$AV$62="EXCLUDED","Excluded",IF(Matching_Engine!$AP$62&gt;=Lookup_Lists!$D$156,"Highly Recommended",IF(Matching_Engine!$AP$62&gt;=Lookup_Lists!$D$157,"Recommended",IF(Matching_Engine!$AP$62&gt;=Lookup_Lists!$D$158,"Consider","Low Priority"))))</f>
        <v>Consider</v>
      </c>
      <c r="AY62" s="142">
        <f ca="1">IF(Matching_Engine!$AV$62="PASS",Matching_Engine!$AP$62,"")</f>
        <v>62</v>
      </c>
      <c r="AZ62" s="89" t="str">
        <f>Matching_Engine!$A$62&amp;"|"&amp;Matching_Engine!$C$62</f>
        <v>BRAND-B|KOL-27</v>
      </c>
      <c r="BA62" s="89" t="str">
        <f>IFERROR(INDEX(Lookup_Lists!$B$51:$B$92,MATCH(Brand_Profile!$E$12,Lookup_Lists!$A$51:$A$92,0)),"")</f>
        <v>Beauty</v>
      </c>
      <c r="BB62" s="89" t="str">
        <f>IFERROR(INDEX(Lookup_Lists!$B$51:$B$92,MATCH(KOL_Database!$F$31,Lookup_Lists!$A$51:$A$92,0)),"")</f>
        <v>Home &amp; Living</v>
      </c>
      <c r="BC62" s="142">
        <f>IFERROR(INDEX(Lookup_Lists!$B$185:$O$198,MATCH(Matching_Engine!$BA$62,Lookup_Lists!$A$185:$A$198,0),MATCH(KOL_Database!$E$31,Lookup_Lists!$B$184:$O$184,0)),Lookup_Lists!$D$151)</f>
        <v>60</v>
      </c>
      <c r="BD62" s="142">
        <f>IFERROR(INDEX(Lookup_Lists!$B$185:$O$198,MATCH(Brand_Profile!$E$33,Lookup_Lists!$A$185:$A$198,0),MATCH(KOL_Database!$E$31,Lookup_Lists!$B$184:$O$184,0)),Lookup_Lists!$D$151)</f>
        <v>60</v>
      </c>
      <c r="BE62" s="89" t="str">
        <f>IFERROR(INDEX(Lookup_Lists!$B$51:$B$92,MATCH(Brand_Profile!$E$34,Lookup_Lists!$A$51:$A$92,0)),"")</f>
        <v>Beauty</v>
      </c>
      <c r="BF62" s="89" t="str">
        <f>KOL_Database!$AI$31&amp;", "&amp;KOL_Database!$AG$31&amp;", "&amp;KOL_Database!$F$31&amp;", "&amp;KOL_Database!$E$31</f>
        <v>Home Decor, Shopping, Parenting, Home Decor, Shopping, Parenting, Food, Fashion, Interior, Home &amp; Living</v>
      </c>
      <c r="BG62" s="89" t="str">
        <f>KOL_Database!$AI$31&amp;", "&amp;KOL_Database!$AG$31</f>
        <v>Home Decor, Shopping, Parenting, Home Decor, Shopping, Parenting, Food, Fashion</v>
      </c>
    </row>
    <row r="63" spans="1:59">
      <c r="A63" s="101" t="s">
        <v>118</v>
      </c>
      <c r="B63" s="89" t="str">
        <f>Brand_Profile!$E$9</f>
        <v>Lumaya Skin</v>
      </c>
      <c r="C63" s="89" t="str">
        <f>KOL_Database!$A$32</f>
        <v>KOL-28</v>
      </c>
      <c r="D63" s="89" t="str">
        <f>KOL_Database!$B$32</f>
        <v>Tiara Nisrina</v>
      </c>
      <c r="E63" s="89" t="str">
        <f>KOL_Database!$C$32</f>
        <v>@tiararapihin</v>
      </c>
      <c r="F63" s="89" t="str">
        <f>KOL_Database!$D$32</f>
        <v>TikTok</v>
      </c>
      <c r="G63" s="89" t="str">
        <f>KOL_Database!$E$32</f>
        <v>Home &amp; Living</v>
      </c>
      <c r="H63" s="89" t="str">
        <f>KOL_Database!$G$32</f>
        <v>Macro</v>
      </c>
      <c r="I63" s="140">
        <f>KOL_Database!$J$32</f>
        <v>118000</v>
      </c>
      <c r="J63" s="141">
        <f>KOL_Database!$K$32</f>
        <v>6.1</v>
      </c>
      <c r="K63" s="142">
        <f>IFERROR(INDEX(Lookup_Lists!$B$170:$O$181,MATCH(Brand_Profile!$E$10,Lookup_Lists!$A$170:$A$181,0),MATCH(KOL_Database!$E$32,Lookup_Lists!$B$169:$O$169,0)),Lookup_Lists!$D$151)</f>
        <v>40</v>
      </c>
      <c r="L63" s="142">
        <f>IF(KOL_Database!$F$32="",Matching_Engine!$BC$63,IF(Brand_Profile!$E$12=KOL_Database!$F$32,100,IF(Matching_Engine!$BA$63=KOL_Database!$E$32,80,IF(Matching_Engine!$BC$63&gt;=80,60,IF(Matching_Engine!$BC$63&gt;=60,40,Lookup_Lists!$D$151)))))</f>
        <v>40</v>
      </c>
      <c r="M63" s="142">
        <f>ROUND((IF(Brand_Profile!$E$62=0,Lookup_Lists!$D$150,ROUND((IF(Brand_Profile!$E$57="",0,IF(ISNUMBER(SEARCH(Brand_Profile!$E$57,Matching_Engine!$BF$63)),1,0))+IF(Brand_Profile!$E$58="",0,IF(ISNUMBER(SEARCH(Brand_Profile!$E$58,Matching_Engine!$BF$63)),1,0))+IF(Brand_Profile!$E$59="",0,IF(ISNUMBER(SEARCH(Brand_Profile!$E$59,Matching_Engine!$BF$63)),1,0))+IF(Brand_Profile!$E$60="",0,IF(ISNUMBER(SEARCH(Brand_Profile!$E$60,Matching_Engine!$BF$63)),1,0))+IF(Brand_Profile!$E$61="",0,IF(ISNUMBER(SEARCH(Brand_Profile!$E$61,Matching_Engine!$BF$63)),1,0)))/Brand_Profile!$E$62*100,0))+IF(Brand_Profile!$E$74=0,Lookup_Lists!$D$150,ROUND((IF(Brand_Profile!$E$69="",0,IF(ISNUMBER(SEARCH(Brand_Profile!$E$69,Matching_Engine!$BF$63)),1,0))+IF(Brand_Profile!$E$70="",0,IF(ISNUMBER(SEARCH(Brand_Profile!$E$70,Matching_Engine!$BF$63)),1,0))+IF(Brand_Profile!$E$71="",0,IF(ISNUMBER(SEARCH(Brand_Profile!$E$71,Matching_Engine!$BF$63)),1,0))+IF(Brand_Profile!$E$72="",0,IF(ISNUMBER(SEARCH(Brand_Profile!$E$72,Matching_Engine!$BF$63)),1,0))+IF(Brand_Profile!$E$73="",0,IF(ISNUMBER(SEARCH(Brand_Profile!$E$73,Matching_Engine!$BF$63)),1,0)))/Brand_Profile!$E$74*100,0)))/2,0)</f>
        <v>20</v>
      </c>
      <c r="N63" s="142">
        <f>ROUND((Matching_Engine!$K$63*Lookup_Lists!$D$110+Matching_Engine!$L$63*Lookup_Lists!$D$111+Matching_Engine!$M$63*Lookup_Lists!$D$112)/(Lookup_Lists!$D$110+Lookup_Lists!$D$111+Lookup_Lists!$D$112),0)</f>
        <v>34</v>
      </c>
      <c r="O63" s="142">
        <f ca="1">IF(Brand_Profile!$E$16="",Lookup_Lists!$D$150,MIN(100,ROUND((IFERROR(INDEX(KOL_Database!$W$32:KOL_Database!$AA$32,1,MATCH(Brand_Profile!$E$16,Lookup_Lists!$F$6:$F$10,0)),0)+0.5*IFERROR(INDEX(KOL_Database!$W$32:KOL_Database!$AA$32,1,MATCH(Brand_Profile!$E$17,Lookup_Lists!$F$6:$F$10,0)),0))/Lookup_Lists!$D$142*100,0)))</f>
        <v>100</v>
      </c>
      <c r="P63" s="142">
        <f>IF(OR(Brand_Profile!$E$18="",Brand_Profile!$E$18="Any"),100,IF(Brand_Profile!$E$18="Female",MIN(100,ROUND(KOL_Database!$AB$32/Lookup_Lists!$D$143*100,0)),IF(Brand_Profile!$E$18="Male",MIN(100,ROUND(KOL_Database!$AC$32/Lookup_Lists!$D$143*100,0)),MAX(0,ROUND(100-ABS(KOL_Database!$AB$32-50)*2,0)))))</f>
        <v>100</v>
      </c>
      <c r="Q63" s="142">
        <f>ROUND((IF(Brand_Profile!$E$19="",100,IF(KOL_Database!$AD$32=Brand_Profile!$E$19,100,Lookup_Lists!$D$151))*Lookup_Lists!$D$118+IF(OR(Brand_Profile!$E$20="",Brand_Profile!$E$20="Nasional"),100,IF(KOL_Database!$AE$32="",Lookup_Lists!$D$150,IF(KOL_Database!$AE$32=Brand_Profile!$E$20,100,IF(KOL_Database!$AD$32=Brand_Profile!$E$19,40,Lookup_Lists!$D$151))))*Lookup_Lists!$D$119+IF(OR(Brand_Profile!$E$21="",Brand_Profile!$E$21="Nasional"),100,IF(KOL_Database!$AF$32="",Lookup_Lists!$D$150,IF(KOL_Database!$AF$32=Brand_Profile!$E$21,100,IF(KOL_Database!$AE$32=Brand_Profile!$E$20,60,Lookup_Lists!$D$151))))*Lookup_Lists!$D$120)/(Lookup_Lists!$D$118+Lookup_Lists!$D$119+Lookup_Lists!$D$120),0)</f>
        <v>100</v>
      </c>
      <c r="R63" s="142">
        <f>IF(Brand_Profile!$E$68=0,Lookup_Lists!$D$150,ROUND((IF(Brand_Profile!$E$63="",0,IF(ISNUMBER(SEARCH(Brand_Profile!$E$63,KOL_Database!$AG$32)),1,0))+IF(Brand_Profile!$E$64="",0,IF(ISNUMBER(SEARCH(Brand_Profile!$E$64,KOL_Database!$AG$32)),1,0))+IF(Brand_Profile!$E$65="",0,IF(ISNUMBER(SEARCH(Brand_Profile!$E$65,KOL_Database!$AG$32)),1,0))+IF(Brand_Profile!$E$66="",0,IF(ISNUMBER(SEARCH(Brand_Profile!$E$66,KOL_Database!$AG$32)),1,0))+IF(Brand_Profile!$E$67="",0,IF(ISNUMBER(SEARCH(Brand_Profile!$E$67,KOL_Database!$AG$32)),1,0)))/Brand_Profile!$E$68*100,0))</f>
        <v>20</v>
      </c>
      <c r="S63" s="142">
        <f ca="1">ROUND((Matching_Engine!$O$63*Brand_Profile!$E$96+Matching_Engine!$P$63*Brand_Profile!$E$97+Matching_Engine!$Q$63*Brand_Profile!$E$98+Matching_Engine!$R$63*Brand_Profile!$E$99)/MAX(1,Brand_Profile!$E$96+Brand_Profile!$E$97+Brand_Profile!$E$98+Brand_Profile!$E$99),0)</f>
        <v>79</v>
      </c>
      <c r="T63" s="142">
        <f>IF(Brand_Profile!$E$33="",Lookup_Lists!$D$150,Matching_Engine!$BD$63)</f>
        <v>60</v>
      </c>
      <c r="U63" s="142">
        <f>IF(Brand_Profile!$E$34="",Lookup_Lists!$D$150,IF(Brand_Profile!$E$34=KOL_Database!$F$32,100,IF(Matching_Engine!$BE$63=KOL_Database!$E$32,75,IF(Matching_Engine!$BD$63&gt;=80,Lookup_Lists!$D$150,IF(Matching_Engine!$BD$63&gt;=60,35,Lookup_Lists!$D$151)))))</f>
        <v>35</v>
      </c>
      <c r="V63" s="142">
        <f>IF(Brand_Profile!$E$86=0,Lookup_Lists!$D$150,ROUND((IF(Brand_Profile!$E$81="",0,IF(ISNUMBER(SEARCH(Brand_Profile!$E$81,Matching_Engine!$BG$63)),1,0))+IF(Brand_Profile!$E$82="",0,IF(ISNUMBER(SEARCH(Brand_Profile!$E$82,Matching_Engine!$BG$63)),1,0))+IF(Brand_Profile!$E$83="",0,IF(ISNUMBER(SEARCH(Brand_Profile!$E$83,Matching_Engine!$BG$63)),1,0))+IF(Brand_Profile!$E$84="",0,IF(ISNUMBER(SEARCH(Brand_Profile!$E$84,Matching_Engine!$BG$63)),1,0))+IF(Brand_Profile!$E$85="",0,IF(ISNUMBER(SEARCH(Brand_Profile!$E$85,Matching_Engine!$BG$63)),1,0)))/Brand_Profile!$E$86*100,0))</f>
        <v>20</v>
      </c>
      <c r="W63" s="142">
        <f>IF(Brand_Profile!$E$39="",Lookup_Lists!$D$150,IFERROR(INDEX(Lookup_Lists!$B$237:$K$246,MATCH(Brand_Profile!$E$39,Lookup_Lists!$A$237:$A$246,0),MATCH(KOL_Database!$AJ$32,Lookup_Lists!$B$236:$K$236,0)),45))</f>
        <v>80</v>
      </c>
      <c r="X63" s="142">
        <f>ROUND((Matching_Engine!$T$63*Lookup_Lists!$D$121+Matching_Engine!$U$63*Lookup_Lists!$D$122+Matching_Engine!$V$63*Lookup_Lists!$D$123+Matching_Engine!$W$63*Lookup_Lists!$D$124)/(Lookup_Lists!$D$121+Lookup_Lists!$D$122+Lookup_Lists!$D$123+Lookup_Lists!$D$124),0)</f>
        <v>47</v>
      </c>
      <c r="Y63" s="142">
        <f>MIN(100,MAX(IFERROR(INDEX(Lookup_Lists!$B$202:$M$211,MATCH(Brand_Profile!$E$25,Lookup_Lists!$A$202:$A$211,0),MATCH(KOL_Database!$AK$32,Lookup_Lists!$B$201:$M$201,0)),40),IF(KOL_Database!$AK$32=Brand_Profile!$E$41,95,0)))</f>
        <v>35</v>
      </c>
      <c r="Z63" s="142">
        <f>IFERROR(INDEX(Lookup_Lists!$B$215:$K$222,MATCH(Brand_Profile!$E$27,Lookup_Lists!$A$215:$A$222,0),MATCH(KOL_Database!$AJ$32,Lookup_Lists!$B$214:$K$214,0)),45)</f>
        <v>65</v>
      </c>
      <c r="AA63" s="142">
        <f>ROUND((IF(Brand_Profile!$E$80=0,Lookup_Lists!$D$150,ROUND((IF(Brand_Profile!$E$75="",0,IF(ISNUMBER(SEARCH(Brand_Profile!$E$75,KOL_Database!$AL$32)),1,0))+IF(Brand_Profile!$E$76="",0,IF(ISNUMBER(SEARCH(Brand_Profile!$E$76,KOL_Database!$AL$32)),1,0))+IF(Brand_Profile!$E$77="",0,IF(ISNUMBER(SEARCH(Brand_Profile!$E$77,KOL_Database!$AL$32)),1,0))+IF(Brand_Profile!$E$78="",0,IF(ISNUMBER(SEARCH(Brand_Profile!$E$78,KOL_Database!$AL$32)),1,0))+IF(Brand_Profile!$E$79="",0,IF(ISNUMBER(SEARCH(Brand_Profile!$E$79,KOL_Database!$AL$32)),1,0)))/Brand_Profile!$E$80*100,0))+IF(Brand_Profile!$E$92=0,Lookup_Lists!$D$150,ROUND((IF(Brand_Profile!$E$87="",0,IF(ISNUMBER(SEARCH(Brand_Profile!$E$87,KOL_Database!$AL$32)),1,0))+IF(Brand_Profile!$E$88="",0,IF(ISNUMBER(SEARCH(Brand_Profile!$E$88,KOL_Database!$AL$32)),1,0))+IF(Brand_Profile!$E$89="",0,IF(ISNUMBER(SEARCH(Brand_Profile!$E$89,KOL_Database!$AL$32)),1,0))+IF(Brand_Profile!$E$90="",0,IF(ISNUMBER(SEARCH(Brand_Profile!$E$90,KOL_Database!$AL$32)),1,0))+IF(Brand_Profile!$E$91="",0,IF(ISNUMBER(SEARCH(Brand_Profile!$E$91,KOL_Database!$AL$32)),1,0)))/Brand_Profile!$E$92*100,0)))/2,0)</f>
        <v>20</v>
      </c>
      <c r="AB63" s="142">
        <f>IFERROR(INDEX(Lookup_Lists!$B$226:$K$233,MATCH(Brand_Profile!$E$30,Lookup_Lists!$A$226:$A$233,0),MATCH(KOL_Database!$AJ$32,Lookup_Lists!$B$225:$K$225,0)),45)</f>
        <v>70</v>
      </c>
      <c r="AC63" s="142">
        <f>ROUND((Matching_Engine!$Y$63*Lookup_Lists!$D$125+Matching_Engine!$Z$63*Lookup_Lists!$D$126+Matching_Engine!$AA$63*Lookup_Lists!$D$127+Matching_Engine!$AB$63*Lookup_Lists!$D$128)/(Lookup_Lists!$D$125+Lookup_Lists!$D$126+Lookup_Lists!$D$127+Lookup_Lists!$D$128),0)</f>
        <v>44</v>
      </c>
      <c r="AD63" s="142">
        <f>IF(KOL_Database!$K$32="",0,MIN(100,ROUND(KOL_Database!$K$32/Lookup_Lists!$D$141*100,0)))</f>
        <v>100</v>
      </c>
      <c r="AE63" s="142">
        <f>IF(KOL_Database!$R$32="",0,MIN(100,MAX(0,KOL_Database!$R$32)))</f>
        <v>81</v>
      </c>
      <c r="AF63" s="142">
        <f>IF(KOL_Database!$P$32="",0,MIN(100,MAX(0,KOL_Database!$P$32)))</f>
        <v>77</v>
      </c>
      <c r="AG63" s="142">
        <f>IF(KOL_Database!$Q$32="",0,MIN(100,MAX(0,KOL_Database!$Q$32)))</f>
        <v>75</v>
      </c>
      <c r="AH63" s="142">
        <f>IF(OR(KOL_Database!$J$32="",KOL_Database!$J$32=0,KOL_Database!$L$32=""),0,MIN(100,ROUND(KOL_Database!$L$32/KOL_Database!$J$32/Lookup_Lists!$D$144*100,0)))</f>
        <v>100</v>
      </c>
      <c r="AI63" s="142">
        <f>IF(KOL_Database!$N$32="",0,MIN(100,MAX(0,ROUND((KOL_Database!$N$32+2)/(Lookup_Lists!$D$145+2)*100,0))))</f>
        <v>60</v>
      </c>
      <c r="AJ63" s="142">
        <f>ROUND((Matching_Engine!$AD$63*Lookup_Lists!$D$129+Matching_Engine!$AE$63*Lookup_Lists!$D$130+Matching_Engine!$AF$63*Lookup_Lists!$D$131+Matching_Engine!$AG$63*Lookup_Lists!$D$132+Matching_Engine!$AH$63*Lookup_Lists!$D$133+Matching_Engine!$AI$63*Lookup_Lists!$D$134)/(Lookup_Lists!$D$129+Lookup_Lists!$D$130+Lookup_Lists!$D$131+Lookup_Lists!$D$132+Lookup_Lists!$D$133+Lookup_Lists!$D$134),0)</f>
        <v>87</v>
      </c>
      <c r="AK63" s="142">
        <f>IF(KOL_Database!$AT$32="",0,MIN(100,MAX(0,KOL_Database!$AT$32)))</f>
        <v>85</v>
      </c>
      <c r="AL63" s="142">
        <f>IF(KOL_Database!$AU$32="",0,KOL_Database!$AU$32)</f>
        <v>42</v>
      </c>
      <c r="AM63" s="89" t="str">
        <f>IF(KOL_Database!$AV$32="","None",KOL_Database!$AV$32)</f>
        <v>None</v>
      </c>
      <c r="AN63" s="143">
        <f>IF(Matching_Engine!$AM$63="High",Lookup_Lists!$D$137,IF(Matching_Engine!$AM$63="Medium",Lookup_Lists!$D$138,IF(Matching_Engine!$AM$63="Low",Lookup_Lists!$D$139,Lookup_Lists!$D$140)))</f>
        <v>1</v>
      </c>
      <c r="AO63" s="142">
        <f>ROUND(MIN(100,MAX(0,(Matching_Engine!$AK$63*Lookup_Lists!$D$135+(100-Matching_Engine!$AL$63)*Lookup_Lists!$D$136)/(Lookup_Lists!$D$135+Lookup_Lists!$D$136)*Matching_Engine!$AN$63)),0)</f>
        <v>80</v>
      </c>
      <c r="AP63" s="13">
        <f ca="1">ROUND((Matching_Engine!$N$63*Lookup_Lists!$D$104+Matching_Engine!$S$63*Lookup_Lists!$D$105+Matching_Engine!$X$63*Lookup_Lists!$D$106+Matching_Engine!$AC$63*Lookup_Lists!$D$107+Matching_Engine!$AJ$63*Lookup_Lists!$D$108+Matching_Engine!$AO$63*Lookup_Lists!$D$109)/MAX(1,(Lookup_Lists!$D$104+Lookup_Lists!$D$105+Lookup_Lists!$D$106+Lookup_Lists!$D$107+Lookup_Lists!$D$108+Lookup_Lists!$D$109)),0)</f>
        <v>61</v>
      </c>
      <c r="AQ63" s="89" t="str">
        <f ca="1">IF(Matching_Engine!$AP$63&gt;=Lookup_Lists!$D$152,"Excellent Match",IF(Matching_Engine!$AP$63&gt;=Lookup_Lists!$D$153,"Strong Match",IF(Matching_Engine!$AP$63&gt;=Lookup_Lists!$D$154,"Good Match",IF(Matching_Engine!$AP$63&gt;=Lookup_Lists!$D$155,"Moderate Match","Low Match"))))</f>
        <v>Moderate Match</v>
      </c>
      <c r="AR63" s="142">
        <f>KOL_Database!$BE$32</f>
        <v>100</v>
      </c>
      <c r="AS63" s="89" t="str">
        <f>IF(Matching_Engine!$AR$63&gt;=Lookup_Lists!$D$159,"High",IF(Matching_Engine!$AR$63&gt;=Lookup_Lists!$D$160,"Medium","Limited Data"))</f>
        <v>High</v>
      </c>
      <c r="AT63" s="142">
        <f>ROUND((Matching_Engine!$N$63+Matching_Engine!$X$63+Matching_Engine!$AC$63)/3,0)</f>
        <v>42</v>
      </c>
      <c r="AU63" s="142">
        <f>ROUND(((100-Matching_Engine!$AL$63)*Lookup_Lists!$D$162+IF(KOL_Database!$BD$32="",Lookup_Lists!$D$150,KOL_Database!$BD$32)*Lookup_Lists!$D$163+Matching_Engine!$AI$63*Lookup_Lists!$D$164+Matching_Engine!$AD$63*Lookup_Lists!$D$165)/(Lookup_Lists!$D$162+Lookup_Lists!$D$163+Lookup_Lists!$D$164+Lookup_Lists!$D$165),0)</f>
        <v>75</v>
      </c>
      <c r="AV63" s="89" t="str">
        <f ca="1">IF(Matching_Engine!$AW$63="","PASS","EXCLUDED")</f>
        <v>EXCLUDED</v>
      </c>
      <c r="AW63" s="89" t="str">
        <f ca="1">IF(ISERROR(SEARCH(KOL_Database!$D$32,Brand_Profile!$E$32)),"Platform not in Preferred Platform",IF(AND(Brand_Profile!$E$36&gt;0,KOL_Database!$J$32&lt;Brand_Profile!$E$36),"Followers below Preferred Follower Range",IF(AND(Brand_Profile!$E$37&gt;0,KOL_Database!$J$32&gt;Brand_Profile!$E$37),"Followers above Preferred Follower Range",IF(AND(Brand_Profile!$E$38&gt;0,IF(KOL_Database!$K$32="",0,KOL_Database!$K$32)&lt;Brand_Profile!$E$38),"Engagement Rate below Minimum Engagement Rate",IF(ISERROR(SEARCH(KOL_Database!$G$32,Brand_Profile!$E$35)),"Tier not in Preferred Tier",IF(AND(Brand_Profile!$E$43&gt;0,Matching_Engine!$AE$63&lt;Brand_Profile!$E$43),"Audience Quality below Minimum Audience Quality",IF(AND(Brand_Profile!$E$44&gt;0,Matching_Engine!$AK$63&lt;Brand_Profile!$E$44),"Brand Safety below Minimum Brand Safety",IF(AND(Brand_Profile!$E$47="Yes",KOL_Database!$AD$32&lt;&gt;Brand_Profile!$E$19),"Audience Country does not match Target Country",IF(AND(Brand_Profile!$E$46="Yes",KOL_Database!$E$32&lt;&gt;Brand_Profile!$E$33),"Category is not the Preferred Category",IF(AND(Brand_Profile!$E$48&gt;0,Matching_Engine!$AL$63&gt;Brand_Profile!$E$48),"Competitor Saturation above Max Competitor Saturation",IF(AND(Brand_Profile!$E$50="Yes",KOL_Database!$AW$32="Yes"),"Already Selected",IF(AND(Brand_Profile!$E$51="Yes",KOL_Database!$AX$32="Yes"),"Already in Cart",IF(AND(Brand_Profile!$E$52="Yes",KOL_Database!$AY$32="Yes"),"Existing Partner",IF(AND(Brand_Profile!$E$53="Yes",KOL_Database!$AZ$32="Yes"),"Excluded Creator",IF(AND(Brand_Profile!$E$49&gt;0,Matching_Engine!$AP$63&lt;Brand_Profile!$E$49),"Brand Match below Minimum Brand Match","")))))))))))))))</f>
        <v>Tier not in Preferred Tier</v>
      </c>
      <c r="AX63" s="89" t="str">
        <f ca="1">IF(Matching_Engine!$AV$63="EXCLUDED","Excluded",IF(Matching_Engine!$AP$63&gt;=Lookup_Lists!$D$156,"Highly Recommended",IF(Matching_Engine!$AP$63&gt;=Lookup_Lists!$D$157,"Recommended",IF(Matching_Engine!$AP$63&gt;=Lookup_Lists!$D$158,"Consider","Low Priority"))))</f>
        <v>Excluded</v>
      </c>
      <c r="AY63" s="142" t="str">
        <f ca="1">IF(Matching_Engine!$AV$63="PASS",Matching_Engine!$AP$63,"")</f>
        <v/>
      </c>
      <c r="AZ63" s="89" t="str">
        <f>Matching_Engine!$A$63&amp;"|"&amp;Matching_Engine!$C$63</f>
        <v>BRAND-B|KOL-28</v>
      </c>
      <c r="BA63" s="89" t="str">
        <f>IFERROR(INDEX(Lookup_Lists!$B$51:$B$92,MATCH(Brand_Profile!$E$12,Lookup_Lists!$A$51:$A$92,0)),"")</f>
        <v>Beauty</v>
      </c>
      <c r="BB63" s="89" t="str">
        <f>IFERROR(INDEX(Lookup_Lists!$B$51:$B$92,MATCH(KOL_Database!$F$32,Lookup_Lists!$A$51:$A$92,0)),"")</f>
        <v>Home &amp; Living</v>
      </c>
      <c r="BC63" s="142">
        <f>IFERROR(INDEX(Lookup_Lists!$B$185:$O$198,MATCH(Matching_Engine!$BA$63,Lookup_Lists!$A$185:$A$198,0),MATCH(KOL_Database!$E$32,Lookup_Lists!$B$184:$O$184,0)),Lookup_Lists!$D$151)</f>
        <v>60</v>
      </c>
      <c r="BD63" s="142">
        <f>IFERROR(INDEX(Lookup_Lists!$B$185:$O$198,MATCH(Brand_Profile!$E$33,Lookup_Lists!$A$185:$A$198,0),MATCH(KOL_Database!$E$32,Lookup_Lists!$B$184:$O$184,0)),Lookup_Lists!$D$151)</f>
        <v>60</v>
      </c>
      <c r="BE63" s="89" t="str">
        <f>IFERROR(INDEX(Lookup_Lists!$B$51:$B$92,MATCH(Brand_Profile!$E$34,Lookup_Lists!$A$51:$A$92,0)),"")</f>
        <v>Beauty</v>
      </c>
      <c r="BF63" s="89" t="str">
        <f>KOL_Database!$AI$32&amp;", "&amp;KOL_Database!$AG$32&amp;", "&amp;KOL_Database!$F$32&amp;", "&amp;KOL_Database!$E$32</f>
        <v>Home Decor, Productivity, Shopping, Home Decor, Shopping, Productivity, Parenting, Cooking, Home Organization, Home &amp; Living</v>
      </c>
      <c r="BG63" s="89" t="str">
        <f>KOL_Database!$AI$32&amp;", "&amp;KOL_Database!$AG$32</f>
        <v>Home Decor, Productivity, Shopping, Home Decor, Shopping, Productivity, Parenting, Cooking</v>
      </c>
    </row>
    <row r="64" spans="1:59">
      <c r="A64" s="101" t="s">
        <v>118</v>
      </c>
      <c r="B64" s="89" t="str">
        <f>Brand_Profile!$E$9</f>
        <v>Lumaya Skin</v>
      </c>
      <c r="C64" s="89" t="str">
        <f>KOL_Database!$A$33</f>
        <v>KOL-29</v>
      </c>
      <c r="D64" s="89" t="str">
        <f>KOL_Database!$B$33</f>
        <v>Sekar Ayu</v>
      </c>
      <c r="E64" s="89" t="str">
        <f>KOL_Database!$C$33</f>
        <v>@sekarskincarejujur</v>
      </c>
      <c r="F64" s="89" t="str">
        <f>KOL_Database!$D$33</f>
        <v>TikTok</v>
      </c>
      <c r="G64" s="89" t="str">
        <f>KOL_Database!$E$33</f>
        <v>Beauty</v>
      </c>
      <c r="H64" s="89" t="str">
        <f>KOL_Database!$G$33</f>
        <v>Micro</v>
      </c>
      <c r="I64" s="140">
        <f>KOL_Database!$J$33</f>
        <v>27000</v>
      </c>
      <c r="J64" s="141">
        <f>KOL_Database!$K$33</f>
        <v>8.9</v>
      </c>
      <c r="K64" s="142">
        <f>IFERROR(INDEX(Lookup_Lists!$B$170:$O$181,MATCH(Brand_Profile!$E$10,Lookup_Lists!$A$170:$A$181,0),MATCH(KOL_Database!$E$33,Lookup_Lists!$B$169:$O$169,0)),Lookup_Lists!$D$151)</f>
        <v>100</v>
      </c>
      <c r="L64" s="142">
        <f>IF(KOL_Database!$F$33="",Matching_Engine!$BC$64,IF(Brand_Profile!$E$12=KOL_Database!$F$33,100,IF(Matching_Engine!$BA$64=KOL_Database!$E$33,80,IF(Matching_Engine!$BC$64&gt;=80,60,IF(Matching_Engine!$BC$64&gt;=60,40,Lookup_Lists!$D$151)))))</f>
        <v>100</v>
      </c>
      <c r="M64" s="142">
        <f>ROUND((IF(Brand_Profile!$E$62=0,Lookup_Lists!$D$150,ROUND((IF(Brand_Profile!$E$57="",0,IF(ISNUMBER(SEARCH(Brand_Profile!$E$57,Matching_Engine!$BF$64)),1,0))+IF(Brand_Profile!$E$58="",0,IF(ISNUMBER(SEARCH(Brand_Profile!$E$58,Matching_Engine!$BF$64)),1,0))+IF(Brand_Profile!$E$59="",0,IF(ISNUMBER(SEARCH(Brand_Profile!$E$59,Matching_Engine!$BF$64)),1,0))+IF(Brand_Profile!$E$60="",0,IF(ISNUMBER(SEARCH(Brand_Profile!$E$60,Matching_Engine!$BF$64)),1,0))+IF(Brand_Profile!$E$61="",0,IF(ISNUMBER(SEARCH(Brand_Profile!$E$61,Matching_Engine!$BF$64)),1,0)))/Brand_Profile!$E$62*100,0))+IF(Brand_Profile!$E$74=0,Lookup_Lists!$D$150,ROUND((IF(Brand_Profile!$E$69="",0,IF(ISNUMBER(SEARCH(Brand_Profile!$E$69,Matching_Engine!$BF$64)),1,0))+IF(Brand_Profile!$E$70="",0,IF(ISNUMBER(SEARCH(Brand_Profile!$E$70,Matching_Engine!$BF$64)),1,0))+IF(Brand_Profile!$E$71="",0,IF(ISNUMBER(SEARCH(Brand_Profile!$E$71,Matching_Engine!$BF$64)),1,0))+IF(Brand_Profile!$E$72="",0,IF(ISNUMBER(SEARCH(Brand_Profile!$E$72,Matching_Engine!$BF$64)),1,0))+IF(Brand_Profile!$E$73="",0,IF(ISNUMBER(SEARCH(Brand_Profile!$E$73,Matching_Engine!$BF$64)),1,0)))/Brand_Profile!$E$74*100,0)))/2,0)</f>
        <v>100</v>
      </c>
      <c r="N64" s="142">
        <f>ROUND((Matching_Engine!$K$64*Lookup_Lists!$D$110+Matching_Engine!$L$64*Lookup_Lists!$D$111+Matching_Engine!$M$64*Lookup_Lists!$D$112)/(Lookup_Lists!$D$110+Lookup_Lists!$D$111+Lookup_Lists!$D$112),0)</f>
        <v>100</v>
      </c>
      <c r="O64" s="142">
        <f ca="1">IF(Brand_Profile!$E$16="",Lookup_Lists!$D$150,MIN(100,ROUND((IFERROR(INDEX(KOL_Database!$W$33:KOL_Database!$AA$33,1,MATCH(Brand_Profile!$E$16,Lookup_Lists!$F$6:$F$10,0)),0)+0.5*IFERROR(INDEX(KOL_Database!$W$33:KOL_Database!$AA$33,1,MATCH(Brand_Profile!$E$17,Lookup_Lists!$F$6:$F$10,0)),0))/Lookup_Lists!$D$142*100,0)))</f>
        <v>100</v>
      </c>
      <c r="P64" s="142">
        <f>IF(OR(Brand_Profile!$E$18="",Brand_Profile!$E$18="Any"),100,IF(Brand_Profile!$E$18="Female",MIN(100,ROUND(KOL_Database!$AB$33/Lookup_Lists!$D$143*100,0)),IF(Brand_Profile!$E$18="Male",MIN(100,ROUND(KOL_Database!$AC$33/Lookup_Lists!$D$143*100,0)),MAX(0,ROUND(100-ABS(KOL_Database!$AB$33-50)*2,0)))))</f>
        <v>100</v>
      </c>
      <c r="Q64" s="142">
        <f>ROUND((IF(Brand_Profile!$E$19="",100,IF(KOL_Database!$AD$33=Brand_Profile!$E$19,100,Lookup_Lists!$D$151))*Lookup_Lists!$D$118+IF(OR(Brand_Profile!$E$20="",Brand_Profile!$E$20="Nasional"),100,IF(KOL_Database!$AE$33="",Lookup_Lists!$D$150,IF(KOL_Database!$AE$33=Brand_Profile!$E$20,100,IF(KOL_Database!$AD$33=Brand_Profile!$E$19,40,Lookup_Lists!$D$151))))*Lookup_Lists!$D$119+IF(OR(Brand_Profile!$E$21="",Brand_Profile!$E$21="Nasional"),100,IF(KOL_Database!$AF$33="",Lookup_Lists!$D$150,IF(KOL_Database!$AF$33=Brand_Profile!$E$21,100,IF(KOL_Database!$AE$33=Brand_Profile!$E$20,60,Lookup_Lists!$D$151))))*Lookup_Lists!$D$120)/(Lookup_Lists!$D$118+Lookup_Lists!$D$119+Lookup_Lists!$D$120),0)</f>
        <v>80</v>
      </c>
      <c r="R64" s="142">
        <f>IF(Brand_Profile!$E$68=0,Lookup_Lists!$D$150,ROUND((IF(Brand_Profile!$E$63="",0,IF(ISNUMBER(SEARCH(Brand_Profile!$E$63,KOL_Database!$AG$33)),1,0))+IF(Brand_Profile!$E$64="",0,IF(ISNUMBER(SEARCH(Brand_Profile!$E$64,KOL_Database!$AG$33)),1,0))+IF(Brand_Profile!$E$65="",0,IF(ISNUMBER(SEARCH(Brand_Profile!$E$65,KOL_Database!$AG$33)),1,0))+IF(Brand_Profile!$E$66="",0,IF(ISNUMBER(SEARCH(Brand_Profile!$E$66,KOL_Database!$AG$33)),1,0))+IF(Brand_Profile!$E$67="",0,IF(ISNUMBER(SEARCH(Brand_Profile!$E$67,KOL_Database!$AG$33)),1,0)))/Brand_Profile!$E$68*100,0))</f>
        <v>80</v>
      </c>
      <c r="S64" s="142">
        <f ca="1">ROUND((Matching_Engine!$O$64*Brand_Profile!$E$96+Matching_Engine!$P$64*Brand_Profile!$E$97+Matching_Engine!$Q$64*Brand_Profile!$E$98+Matching_Engine!$R$64*Brand_Profile!$E$99)/MAX(1,Brand_Profile!$E$96+Brand_Profile!$E$97+Brand_Profile!$E$98+Brand_Profile!$E$99),0)</f>
        <v>90</v>
      </c>
      <c r="T64" s="142">
        <f>IF(Brand_Profile!$E$33="",Lookup_Lists!$D$150,Matching_Engine!$BD$64)</f>
        <v>100</v>
      </c>
      <c r="U64" s="142">
        <f>IF(Brand_Profile!$E$34="",Lookup_Lists!$D$150,IF(Brand_Profile!$E$34=KOL_Database!$F$33,100,IF(Matching_Engine!$BE$64=KOL_Database!$E$33,75,IF(Matching_Engine!$BD$64&gt;=80,Lookup_Lists!$D$150,IF(Matching_Engine!$BD$64&gt;=60,35,Lookup_Lists!$D$151)))))</f>
        <v>100</v>
      </c>
      <c r="V64" s="142">
        <f>IF(Brand_Profile!$E$86=0,Lookup_Lists!$D$150,ROUND((IF(Brand_Profile!$E$81="",0,IF(ISNUMBER(SEARCH(Brand_Profile!$E$81,Matching_Engine!$BG$64)),1,0))+IF(Brand_Profile!$E$82="",0,IF(ISNUMBER(SEARCH(Brand_Profile!$E$82,Matching_Engine!$BG$64)),1,0))+IF(Brand_Profile!$E$83="",0,IF(ISNUMBER(SEARCH(Brand_Profile!$E$83,Matching_Engine!$BG$64)),1,0))+IF(Brand_Profile!$E$84="",0,IF(ISNUMBER(SEARCH(Brand_Profile!$E$84,Matching_Engine!$BG$64)),1,0))+IF(Brand_Profile!$E$85="",0,IF(ISNUMBER(SEARCH(Brand_Profile!$E$85,Matching_Engine!$BG$64)),1,0)))/Brand_Profile!$E$86*100,0))</f>
        <v>100</v>
      </c>
      <c r="W64" s="142">
        <f>IF(Brand_Profile!$E$39="",Lookup_Lists!$D$150,IFERROR(INDEX(Lookup_Lists!$B$237:$K$246,MATCH(Brand_Profile!$E$39,Lookup_Lists!$A$237:$A$246,0),MATCH(KOL_Database!$AJ$33,Lookup_Lists!$B$236:$K$236,0)),45))</f>
        <v>100</v>
      </c>
      <c r="X64" s="142">
        <f>ROUND((Matching_Engine!$T$64*Lookup_Lists!$D$121+Matching_Engine!$U$64*Lookup_Lists!$D$122+Matching_Engine!$V$64*Lookup_Lists!$D$123+Matching_Engine!$W$64*Lookup_Lists!$D$124)/(Lookup_Lists!$D$121+Lookup_Lists!$D$122+Lookup_Lists!$D$123+Lookup_Lists!$D$124),0)</f>
        <v>100</v>
      </c>
      <c r="Y64" s="142">
        <f>MIN(100,MAX(IFERROR(INDEX(Lookup_Lists!$B$202:$M$211,MATCH(Brand_Profile!$E$25,Lookup_Lists!$A$202:$A$211,0),MATCH(KOL_Database!$AK$33,Lookup_Lists!$B$201:$M$201,0)),40),IF(KOL_Database!$AK$33=Brand_Profile!$E$41,95,0)))</f>
        <v>35</v>
      </c>
      <c r="Z64" s="142">
        <f>IFERROR(INDEX(Lookup_Lists!$B$215:$K$222,MATCH(Brand_Profile!$E$27,Lookup_Lists!$A$215:$A$222,0),MATCH(KOL_Database!$AJ$33,Lookup_Lists!$B$214:$K$214,0)),45)</f>
        <v>70</v>
      </c>
      <c r="AA64" s="142">
        <f>ROUND((IF(Brand_Profile!$E$80=0,Lookup_Lists!$D$150,ROUND((IF(Brand_Profile!$E$75="",0,IF(ISNUMBER(SEARCH(Brand_Profile!$E$75,KOL_Database!$AL$33)),1,0))+IF(Brand_Profile!$E$76="",0,IF(ISNUMBER(SEARCH(Brand_Profile!$E$76,KOL_Database!$AL$33)),1,0))+IF(Brand_Profile!$E$77="",0,IF(ISNUMBER(SEARCH(Brand_Profile!$E$77,KOL_Database!$AL$33)),1,0))+IF(Brand_Profile!$E$78="",0,IF(ISNUMBER(SEARCH(Brand_Profile!$E$78,KOL_Database!$AL$33)),1,0))+IF(Brand_Profile!$E$79="",0,IF(ISNUMBER(SEARCH(Brand_Profile!$E$79,KOL_Database!$AL$33)),1,0)))/Brand_Profile!$E$80*100,0))+IF(Brand_Profile!$E$92=0,Lookup_Lists!$D$150,ROUND((IF(Brand_Profile!$E$87="",0,IF(ISNUMBER(SEARCH(Brand_Profile!$E$87,KOL_Database!$AL$33)),1,0))+IF(Brand_Profile!$E$88="",0,IF(ISNUMBER(SEARCH(Brand_Profile!$E$88,KOL_Database!$AL$33)),1,0))+IF(Brand_Profile!$E$89="",0,IF(ISNUMBER(SEARCH(Brand_Profile!$E$89,KOL_Database!$AL$33)),1,0))+IF(Brand_Profile!$E$90="",0,IF(ISNUMBER(SEARCH(Brand_Profile!$E$90,KOL_Database!$AL$33)),1,0))+IF(Brand_Profile!$E$91="",0,IF(ISNUMBER(SEARCH(Brand_Profile!$E$91,KOL_Database!$AL$33)),1,0)))/Brand_Profile!$E$92*100,0)))/2,0)</f>
        <v>60</v>
      </c>
      <c r="AB64" s="142">
        <f>IFERROR(INDEX(Lookup_Lists!$B$226:$K$233,MATCH(Brand_Profile!$E$30,Lookup_Lists!$A$226:$A$233,0),MATCH(KOL_Database!$AJ$33,Lookup_Lists!$B$225:$K$225,0)),45)</f>
        <v>65</v>
      </c>
      <c r="AC64" s="142">
        <f>ROUND((Matching_Engine!$Y$64*Lookup_Lists!$D$125+Matching_Engine!$Z$64*Lookup_Lists!$D$126+Matching_Engine!$AA$64*Lookup_Lists!$D$127+Matching_Engine!$AB$64*Lookup_Lists!$D$128)/(Lookup_Lists!$D$125+Lookup_Lists!$D$126+Lookup_Lists!$D$127+Lookup_Lists!$D$128),0)</f>
        <v>55</v>
      </c>
      <c r="AD64" s="142">
        <f>IF(KOL_Database!$K$33="",0,MIN(100,ROUND(KOL_Database!$K$33/Lookup_Lists!$D$141*100,0)))</f>
        <v>100</v>
      </c>
      <c r="AE64" s="142">
        <f>IF(KOL_Database!$R$33="",0,MIN(100,MAX(0,KOL_Database!$R$33)))</f>
        <v>91</v>
      </c>
      <c r="AF64" s="142">
        <f>IF(KOL_Database!$P$33="",0,MIN(100,MAX(0,KOL_Database!$P$33)))</f>
        <v>88</v>
      </c>
      <c r="AG64" s="142">
        <f>IF(KOL_Database!$Q$33="",0,MIN(100,MAX(0,KOL_Database!$Q$33)))</f>
        <v>46</v>
      </c>
      <c r="AH64" s="142">
        <f>IF(OR(KOL_Database!$J$33="",KOL_Database!$J$33=0,KOL_Database!$L$33=""),0,MIN(100,ROUND(KOL_Database!$L$33/KOL_Database!$J$33/Lookup_Lists!$D$144*100,0)))</f>
        <v>100</v>
      </c>
      <c r="AI64" s="142">
        <f>IF(KOL_Database!$N$33="",0,MIN(100,MAX(0,ROUND((KOL_Database!$N$33+2)/(Lookup_Lists!$D$145+2)*100,0))))</f>
        <v>57</v>
      </c>
      <c r="AJ64" s="142">
        <f>ROUND((Matching_Engine!$AD$64*Lookup_Lists!$D$129+Matching_Engine!$AE$64*Lookup_Lists!$D$130+Matching_Engine!$AF$64*Lookup_Lists!$D$131+Matching_Engine!$AG$64*Lookup_Lists!$D$132+Matching_Engine!$AH$64*Lookup_Lists!$D$133+Matching_Engine!$AI$64*Lookup_Lists!$D$134)/(Lookup_Lists!$D$129+Lookup_Lists!$D$130+Lookup_Lists!$D$131+Lookup_Lists!$D$132+Lookup_Lists!$D$133+Lookup_Lists!$D$134),0)</f>
        <v>88</v>
      </c>
      <c r="AK64" s="142">
        <f>IF(KOL_Database!$AT$33="",0,MIN(100,MAX(0,KOL_Database!$AT$33)))</f>
        <v>94</v>
      </c>
      <c r="AL64" s="142">
        <f>IF(KOL_Database!$AU$33="",0,KOL_Database!$AU$33)</f>
        <v>12</v>
      </c>
      <c r="AM64" s="89" t="str">
        <f>IF(KOL_Database!$AV$33="","None",KOL_Database!$AV$33)</f>
        <v>None</v>
      </c>
      <c r="AN64" s="143">
        <f>IF(Matching_Engine!$AM$64="High",Lookup_Lists!$D$137,IF(Matching_Engine!$AM$64="Medium",Lookup_Lists!$D$138,IF(Matching_Engine!$AM$64="Low",Lookup_Lists!$D$139,Lookup_Lists!$D$140)))</f>
        <v>1</v>
      </c>
      <c r="AO64" s="142">
        <f>ROUND(MIN(100,MAX(0,(Matching_Engine!$AK$64*Lookup_Lists!$D$135+(100-Matching_Engine!$AL$64)*Lookup_Lists!$D$136)/(Lookup_Lists!$D$135+Lookup_Lists!$D$136)*Matching_Engine!$AN$64)),0)</f>
        <v>93</v>
      </c>
      <c r="AP64" s="13">
        <f ca="1">ROUND((Matching_Engine!$N$64*Lookup_Lists!$D$104+Matching_Engine!$S$64*Lookup_Lists!$D$105+Matching_Engine!$X$64*Lookup_Lists!$D$106+Matching_Engine!$AC$64*Lookup_Lists!$D$107+Matching_Engine!$AJ$64*Lookup_Lists!$D$108+Matching_Engine!$AO$64*Lookup_Lists!$D$109)/MAX(1,(Lookup_Lists!$D$104+Lookup_Lists!$D$105+Lookup_Lists!$D$106+Lookup_Lists!$D$107+Lookup_Lists!$D$108+Lookup_Lists!$D$109)),0)</f>
        <v>91</v>
      </c>
      <c r="AQ64" s="89" t="str">
        <f ca="1">IF(Matching_Engine!$AP$64&gt;=Lookup_Lists!$D$152,"Excellent Match",IF(Matching_Engine!$AP$64&gt;=Lookup_Lists!$D$153,"Strong Match",IF(Matching_Engine!$AP$64&gt;=Lookup_Lists!$D$154,"Good Match",IF(Matching_Engine!$AP$64&gt;=Lookup_Lists!$D$155,"Moderate Match","Low Match"))))</f>
        <v>Excellent Match</v>
      </c>
      <c r="AR64" s="142">
        <f>KOL_Database!$BE$33</f>
        <v>100</v>
      </c>
      <c r="AS64" s="89" t="str">
        <f>IF(Matching_Engine!$AR$64&gt;=Lookup_Lists!$D$159,"High",IF(Matching_Engine!$AR$64&gt;=Lookup_Lists!$D$160,"Medium","Limited Data"))</f>
        <v>High</v>
      </c>
      <c r="AT64" s="142">
        <f>ROUND((Matching_Engine!$N$64+Matching_Engine!$X$64+Matching_Engine!$AC$64)/3,0)</f>
        <v>85</v>
      </c>
      <c r="AU64" s="142">
        <f>ROUND(((100-Matching_Engine!$AL$64)*Lookup_Lists!$D$162+IF(KOL_Database!$BD$33="",Lookup_Lists!$D$150,KOL_Database!$BD$33)*Lookup_Lists!$D$163+Matching_Engine!$AI$64*Lookup_Lists!$D$164+Matching_Engine!$AD$64*Lookup_Lists!$D$165)/(Lookup_Lists!$D$162+Lookup_Lists!$D$163+Lookup_Lists!$D$164+Lookup_Lists!$D$165),0)</f>
        <v>85</v>
      </c>
      <c r="AV64" s="89" t="str">
        <f ca="1">IF(Matching_Engine!$AW$64="","PASS","EXCLUDED")</f>
        <v>PASS</v>
      </c>
      <c r="AW64" s="89" t="str">
        <f ca="1">IF(ISERROR(SEARCH(KOL_Database!$D$33,Brand_Profile!$E$32)),"Platform not in Preferred Platform",IF(AND(Brand_Profile!$E$36&gt;0,KOL_Database!$J$33&lt;Brand_Profile!$E$36),"Followers below Preferred Follower Range",IF(AND(Brand_Profile!$E$37&gt;0,KOL_Database!$J$33&gt;Brand_Profile!$E$37),"Followers above Preferred Follower Range",IF(AND(Brand_Profile!$E$38&gt;0,IF(KOL_Database!$K$33="",0,KOL_Database!$K$33)&lt;Brand_Profile!$E$38),"Engagement Rate below Minimum Engagement Rate",IF(ISERROR(SEARCH(KOL_Database!$G$33,Brand_Profile!$E$35)),"Tier not in Preferred Tier",IF(AND(Brand_Profile!$E$43&gt;0,Matching_Engine!$AE$64&lt;Brand_Profile!$E$43),"Audience Quality below Minimum Audience Quality",IF(AND(Brand_Profile!$E$44&gt;0,Matching_Engine!$AK$64&lt;Brand_Profile!$E$44),"Brand Safety below Minimum Brand Safety",IF(AND(Brand_Profile!$E$47="Yes",KOL_Database!$AD$33&lt;&gt;Brand_Profile!$E$19),"Audience Country does not match Target Country",IF(AND(Brand_Profile!$E$46="Yes",KOL_Database!$E$33&lt;&gt;Brand_Profile!$E$33),"Category is not the Preferred Category",IF(AND(Brand_Profile!$E$48&gt;0,Matching_Engine!$AL$64&gt;Brand_Profile!$E$48),"Competitor Saturation above Max Competitor Saturation",IF(AND(Brand_Profile!$E$50="Yes",KOL_Database!$AW$33="Yes"),"Already Selected",IF(AND(Brand_Profile!$E$51="Yes",KOL_Database!$AX$33="Yes"),"Already in Cart",IF(AND(Brand_Profile!$E$52="Yes",KOL_Database!$AY$33="Yes"),"Existing Partner",IF(AND(Brand_Profile!$E$53="Yes",KOL_Database!$AZ$33="Yes"),"Excluded Creator",IF(AND(Brand_Profile!$E$49&gt;0,Matching_Engine!$AP$64&lt;Brand_Profile!$E$49),"Brand Match below Minimum Brand Match","")))))))))))))))</f>
        <v/>
      </c>
      <c r="AX64" s="89" t="str">
        <f ca="1">IF(Matching_Engine!$AV$64="EXCLUDED","Excluded",IF(Matching_Engine!$AP$64&gt;=Lookup_Lists!$D$156,"Highly Recommended",IF(Matching_Engine!$AP$64&gt;=Lookup_Lists!$D$157,"Recommended",IF(Matching_Engine!$AP$64&gt;=Lookup_Lists!$D$158,"Consider","Low Priority"))))</f>
        <v>Highly Recommended</v>
      </c>
      <c r="AY64" s="142">
        <f ca="1">IF(Matching_Engine!$AV$64="PASS",Matching_Engine!$AP$64,"")</f>
        <v>91</v>
      </c>
      <c r="AZ64" s="89" t="str">
        <f>Matching_Engine!$A$64&amp;"|"&amp;Matching_Engine!$C$64</f>
        <v>BRAND-B|KOL-29</v>
      </c>
      <c r="BA64" s="89" t="str">
        <f>IFERROR(INDEX(Lookup_Lists!$B$51:$B$92,MATCH(Brand_Profile!$E$12,Lookup_Lists!$A$51:$A$92,0)),"")</f>
        <v>Beauty</v>
      </c>
      <c r="BB64" s="89" t="str">
        <f>IFERROR(INDEX(Lookup_Lists!$B$51:$B$92,MATCH(KOL_Database!$F$33,Lookup_Lists!$A$51:$A$92,0)),"")</f>
        <v>Beauty</v>
      </c>
      <c r="BC64" s="142">
        <f>IFERROR(INDEX(Lookup_Lists!$B$185:$O$198,MATCH(Matching_Engine!$BA$64,Lookup_Lists!$A$185:$A$198,0),MATCH(KOL_Database!$E$33,Lookup_Lists!$B$184:$O$184,0)),Lookup_Lists!$D$151)</f>
        <v>100</v>
      </c>
      <c r="BD64" s="142">
        <f>IFERROR(INDEX(Lookup_Lists!$B$185:$O$198,MATCH(Brand_Profile!$E$33,Lookup_Lists!$A$185:$A$198,0),MATCH(KOL_Database!$E$33,Lookup_Lists!$B$184:$O$184,0)),Lookup_Lists!$D$151)</f>
        <v>100</v>
      </c>
      <c r="BE64" s="89" t="str">
        <f>IFERROR(INDEX(Lookup_Lists!$B$51:$B$92,MATCH(Brand_Profile!$E$34,Lookup_Lists!$A$51:$A$92,0)),"")</f>
        <v>Beauty</v>
      </c>
      <c r="BF64" s="89" t="str">
        <f>KOL_Database!$AI$33&amp;", "&amp;KOL_Database!$AG$33&amp;", "&amp;KOL_Database!$F$33&amp;", "&amp;KOL_Database!$E$33</f>
        <v>Skincare, Beauty, Health, Skincare, Beauty, Health, Shopping, Makeup, Skincare, Beauty</v>
      </c>
      <c r="BG64" s="89" t="str">
        <f>KOL_Database!$AI$33&amp;", "&amp;KOL_Database!$AG$33</f>
        <v>Skincare, Beauty, Health, Skincare, Beauty, Health, Shopping, Makeup</v>
      </c>
    </row>
    <row r="65" spans="1:59">
      <c r="A65" s="101" t="s">
        <v>118</v>
      </c>
      <c r="B65" s="89" t="str">
        <f>Brand_Profile!$E$9</f>
        <v>Lumaya Skin</v>
      </c>
      <c r="C65" s="89" t="str">
        <f>KOL_Database!$A$34</f>
        <v>KOL-30</v>
      </c>
      <c r="D65" s="89" t="str">
        <f>KOL_Database!$B$34</f>
        <v>Ibnu Faisal</v>
      </c>
      <c r="E65" s="89" t="str">
        <f>KOL_Database!$C$34</f>
        <v>@ibnubisnis</v>
      </c>
      <c r="F65" s="89" t="str">
        <f>KOL_Database!$D$34</f>
        <v>Instagram</v>
      </c>
      <c r="G65" s="89" t="str">
        <f>KOL_Database!$E$34</f>
        <v>Finance</v>
      </c>
      <c r="H65" s="89" t="str">
        <f>KOL_Database!$G$34</f>
        <v>Macro</v>
      </c>
      <c r="I65" s="140">
        <f>KOL_Database!$J$34</f>
        <v>355000</v>
      </c>
      <c r="J65" s="141">
        <f>KOL_Database!$K$34</f>
        <v>2.6</v>
      </c>
      <c r="K65" s="142">
        <f>IFERROR(INDEX(Lookup_Lists!$B$170:$O$181,MATCH(Brand_Profile!$E$10,Lookup_Lists!$A$170:$A$181,0),MATCH(KOL_Database!$E$34,Lookup_Lists!$B$169:$O$169,0)),Lookup_Lists!$D$151)</f>
        <v>20</v>
      </c>
      <c r="L65" s="142">
        <f>IF(KOL_Database!$F$34="",Matching_Engine!$BC$65,IF(Brand_Profile!$E$12=KOL_Database!$F$34,100,IF(Matching_Engine!$BA$65=KOL_Database!$E$34,80,IF(Matching_Engine!$BC$65&gt;=80,60,IF(Matching_Engine!$BC$65&gt;=60,40,Lookup_Lists!$D$151)))))</f>
        <v>20</v>
      </c>
      <c r="M65" s="142">
        <f>ROUND((IF(Brand_Profile!$E$62=0,Lookup_Lists!$D$150,ROUND((IF(Brand_Profile!$E$57="",0,IF(ISNUMBER(SEARCH(Brand_Profile!$E$57,Matching_Engine!$BF$65)),1,0))+IF(Brand_Profile!$E$58="",0,IF(ISNUMBER(SEARCH(Brand_Profile!$E$58,Matching_Engine!$BF$65)),1,0))+IF(Brand_Profile!$E$59="",0,IF(ISNUMBER(SEARCH(Brand_Profile!$E$59,Matching_Engine!$BF$65)),1,0))+IF(Brand_Profile!$E$60="",0,IF(ISNUMBER(SEARCH(Brand_Profile!$E$60,Matching_Engine!$BF$65)),1,0))+IF(Brand_Profile!$E$61="",0,IF(ISNUMBER(SEARCH(Brand_Profile!$E$61,Matching_Engine!$BF$65)),1,0)))/Brand_Profile!$E$62*100,0))+IF(Brand_Profile!$E$74=0,Lookup_Lists!$D$150,ROUND((IF(Brand_Profile!$E$69="",0,IF(ISNUMBER(SEARCH(Brand_Profile!$E$69,Matching_Engine!$BF$65)),1,0))+IF(Brand_Profile!$E$70="",0,IF(ISNUMBER(SEARCH(Brand_Profile!$E$70,Matching_Engine!$BF$65)),1,0))+IF(Brand_Profile!$E$71="",0,IF(ISNUMBER(SEARCH(Brand_Profile!$E$71,Matching_Engine!$BF$65)),1,0))+IF(Brand_Profile!$E$72="",0,IF(ISNUMBER(SEARCH(Brand_Profile!$E$72,Matching_Engine!$BF$65)),1,0))+IF(Brand_Profile!$E$73="",0,IF(ISNUMBER(SEARCH(Brand_Profile!$E$73,Matching_Engine!$BF$65)),1,0)))/Brand_Profile!$E$74*100,0)))/2,0)</f>
        <v>0</v>
      </c>
      <c r="N65" s="142">
        <f>ROUND((Matching_Engine!$K$65*Lookup_Lists!$D$110+Matching_Engine!$L$65*Lookup_Lists!$D$111+Matching_Engine!$M$65*Lookup_Lists!$D$112)/(Lookup_Lists!$D$110+Lookup_Lists!$D$111+Lookup_Lists!$D$112),0)</f>
        <v>14</v>
      </c>
      <c r="O65" s="142">
        <f ca="1">IF(Brand_Profile!$E$16="",Lookup_Lists!$D$150,MIN(100,ROUND((IFERROR(INDEX(KOL_Database!$W$34:KOL_Database!$AA$34,1,MATCH(Brand_Profile!$E$16,Lookup_Lists!$F$6:$F$10,0)),0)+0.5*IFERROR(INDEX(KOL_Database!$W$34:KOL_Database!$AA$34,1,MATCH(Brand_Profile!$E$17,Lookup_Lists!$F$6:$F$10,0)),0))/Lookup_Lists!$D$142*100,0)))</f>
        <v>73</v>
      </c>
      <c r="P65" s="142">
        <f>IF(OR(Brand_Profile!$E$18="",Brand_Profile!$E$18="Any"),100,IF(Brand_Profile!$E$18="Female",MIN(100,ROUND(KOL_Database!$AB$34/Lookup_Lists!$D$143*100,0)),IF(Brand_Profile!$E$18="Male",MIN(100,ROUND(KOL_Database!$AC$34/Lookup_Lists!$D$143*100,0)),MAX(0,ROUND(100-ABS(KOL_Database!$AB$34-50)*2,0)))))</f>
        <v>32</v>
      </c>
      <c r="Q65" s="142">
        <f>ROUND((IF(Brand_Profile!$E$19="",100,IF(KOL_Database!$AD$34=Brand_Profile!$E$19,100,Lookup_Lists!$D$151))*Lookup_Lists!$D$118+IF(OR(Brand_Profile!$E$20="",Brand_Profile!$E$20="Nasional"),100,IF(KOL_Database!$AE$34="",Lookup_Lists!$D$150,IF(KOL_Database!$AE$34=Brand_Profile!$E$20,100,IF(KOL_Database!$AD$34=Brand_Profile!$E$19,40,Lookup_Lists!$D$151))))*Lookup_Lists!$D$119+IF(OR(Brand_Profile!$E$21="",Brand_Profile!$E$21="Nasional"),100,IF(KOL_Database!$AF$34="",Lookup_Lists!$D$150,IF(KOL_Database!$AF$34=Brand_Profile!$E$21,100,IF(KOL_Database!$AE$34=Brand_Profile!$E$20,60,Lookup_Lists!$D$151))))*Lookup_Lists!$D$120)/(Lookup_Lists!$D$118+Lookup_Lists!$D$119+Lookup_Lists!$D$120),0)</f>
        <v>100</v>
      </c>
      <c r="R65" s="142">
        <f>IF(Brand_Profile!$E$68=0,Lookup_Lists!$D$150,ROUND((IF(Brand_Profile!$E$63="",0,IF(ISNUMBER(SEARCH(Brand_Profile!$E$63,KOL_Database!$AG$34)),1,0))+IF(Brand_Profile!$E$64="",0,IF(ISNUMBER(SEARCH(Brand_Profile!$E$64,KOL_Database!$AG$34)),1,0))+IF(Brand_Profile!$E$65="",0,IF(ISNUMBER(SEARCH(Brand_Profile!$E$65,KOL_Database!$AG$34)),1,0))+IF(Brand_Profile!$E$66="",0,IF(ISNUMBER(SEARCH(Brand_Profile!$E$66,KOL_Database!$AG$34)),1,0))+IF(Brand_Profile!$E$67="",0,IF(ISNUMBER(SEARCH(Brand_Profile!$E$67,KOL_Database!$AG$34)),1,0)))/Brand_Profile!$E$68*100,0))</f>
        <v>0</v>
      </c>
      <c r="S65" s="142">
        <f ca="1">ROUND((Matching_Engine!$O$65*Brand_Profile!$E$96+Matching_Engine!$P$65*Brand_Profile!$E$97+Matching_Engine!$Q$65*Brand_Profile!$E$98+Matching_Engine!$R$65*Brand_Profile!$E$99)/MAX(1,Brand_Profile!$E$96+Brand_Profile!$E$97+Brand_Profile!$E$98+Brand_Profile!$E$99),0)</f>
        <v>50</v>
      </c>
      <c r="T65" s="142">
        <f>IF(Brand_Profile!$E$33="",Lookup_Lists!$D$150,Matching_Engine!$BD$65)</f>
        <v>20</v>
      </c>
      <c r="U65" s="142">
        <f>IF(Brand_Profile!$E$34="",Lookup_Lists!$D$150,IF(Brand_Profile!$E$34=KOL_Database!$F$34,100,IF(Matching_Engine!$BE$65=KOL_Database!$E$34,75,IF(Matching_Engine!$BD$65&gt;=80,Lookup_Lists!$D$150,IF(Matching_Engine!$BD$65&gt;=60,35,Lookup_Lists!$D$151)))))</f>
        <v>20</v>
      </c>
      <c r="V65" s="142">
        <f>IF(Brand_Profile!$E$86=0,Lookup_Lists!$D$150,ROUND((IF(Brand_Profile!$E$81="",0,IF(ISNUMBER(SEARCH(Brand_Profile!$E$81,Matching_Engine!$BG$65)),1,0))+IF(Brand_Profile!$E$82="",0,IF(ISNUMBER(SEARCH(Brand_Profile!$E$82,Matching_Engine!$BG$65)),1,0))+IF(Brand_Profile!$E$83="",0,IF(ISNUMBER(SEARCH(Brand_Profile!$E$83,Matching_Engine!$BG$65)),1,0))+IF(Brand_Profile!$E$84="",0,IF(ISNUMBER(SEARCH(Brand_Profile!$E$84,Matching_Engine!$BG$65)),1,0))+IF(Brand_Profile!$E$85="",0,IF(ISNUMBER(SEARCH(Brand_Profile!$E$85,Matching_Engine!$BG$65)),1,0)))/Brand_Profile!$E$86*100,0))</f>
        <v>0</v>
      </c>
      <c r="W65" s="142">
        <f>IF(Brand_Profile!$E$39="",Lookup_Lists!$D$150,IFERROR(INDEX(Lookup_Lists!$B$237:$K$246,MATCH(Brand_Profile!$E$39,Lookup_Lists!$A$237:$A$246,0),MATCH(KOL_Database!$AJ$34,Lookup_Lists!$B$236:$K$236,0)),45))</f>
        <v>80</v>
      </c>
      <c r="X65" s="142">
        <f>ROUND((Matching_Engine!$T$65*Lookup_Lists!$D$121+Matching_Engine!$U$65*Lookup_Lists!$D$122+Matching_Engine!$V$65*Lookup_Lists!$D$123+Matching_Engine!$W$65*Lookup_Lists!$D$124)/(Lookup_Lists!$D$121+Lookup_Lists!$D$122+Lookup_Lists!$D$123+Lookup_Lists!$D$124),0)</f>
        <v>26</v>
      </c>
      <c r="Y65" s="142">
        <f>MIN(100,MAX(IFERROR(INDEX(Lookup_Lists!$B$202:$M$211,MATCH(Brand_Profile!$E$25,Lookup_Lists!$A$202:$A$211,0),MATCH(KOL_Database!$AK$34,Lookup_Lists!$B$201:$M$201,0)),40),IF(KOL_Database!$AK$34=Brand_Profile!$E$41,95,0)))</f>
        <v>85</v>
      </c>
      <c r="Z65" s="142">
        <f>IFERROR(INDEX(Lookup_Lists!$B$215:$K$222,MATCH(Brand_Profile!$E$27,Lookup_Lists!$A$215:$A$222,0),MATCH(KOL_Database!$AJ$34,Lookup_Lists!$B$214:$K$214,0)),45)</f>
        <v>60</v>
      </c>
      <c r="AA65" s="142">
        <f>ROUND((IF(Brand_Profile!$E$80=0,Lookup_Lists!$D$150,ROUND((IF(Brand_Profile!$E$75="",0,IF(ISNUMBER(SEARCH(Brand_Profile!$E$75,KOL_Database!$AL$34)),1,0))+IF(Brand_Profile!$E$76="",0,IF(ISNUMBER(SEARCH(Brand_Profile!$E$76,KOL_Database!$AL$34)),1,0))+IF(Brand_Profile!$E$77="",0,IF(ISNUMBER(SEARCH(Brand_Profile!$E$77,KOL_Database!$AL$34)),1,0))+IF(Brand_Profile!$E$78="",0,IF(ISNUMBER(SEARCH(Brand_Profile!$E$78,KOL_Database!$AL$34)),1,0))+IF(Brand_Profile!$E$79="",0,IF(ISNUMBER(SEARCH(Brand_Profile!$E$79,KOL_Database!$AL$34)),1,0)))/Brand_Profile!$E$80*100,0))+IF(Brand_Profile!$E$92=0,Lookup_Lists!$D$150,ROUND((IF(Brand_Profile!$E$87="",0,IF(ISNUMBER(SEARCH(Brand_Profile!$E$87,KOL_Database!$AL$34)),1,0))+IF(Brand_Profile!$E$88="",0,IF(ISNUMBER(SEARCH(Brand_Profile!$E$88,KOL_Database!$AL$34)),1,0))+IF(Brand_Profile!$E$89="",0,IF(ISNUMBER(SEARCH(Brand_Profile!$E$89,KOL_Database!$AL$34)),1,0))+IF(Brand_Profile!$E$90="",0,IF(ISNUMBER(SEARCH(Brand_Profile!$E$90,KOL_Database!$AL$34)),1,0))+IF(Brand_Profile!$E$91="",0,IF(ISNUMBER(SEARCH(Brand_Profile!$E$91,KOL_Database!$AL$34)),1,0)))/Brand_Profile!$E$92*100,0)))/2,0)</f>
        <v>40</v>
      </c>
      <c r="AB65" s="142">
        <f>IFERROR(INDEX(Lookup_Lists!$B$226:$K$233,MATCH(Brand_Profile!$E$30,Lookup_Lists!$A$226:$A$233,0),MATCH(KOL_Database!$AJ$34,Lookup_Lists!$B$225:$K$225,0)),45)</f>
        <v>50</v>
      </c>
      <c r="AC65" s="142">
        <f>ROUND((Matching_Engine!$Y$65*Lookup_Lists!$D$125+Matching_Engine!$Z$65*Lookup_Lists!$D$126+Matching_Engine!$AA$65*Lookup_Lists!$D$127+Matching_Engine!$AB$65*Lookup_Lists!$D$128)/(Lookup_Lists!$D$125+Lookup_Lists!$D$126+Lookup_Lists!$D$127+Lookup_Lists!$D$128),0)</f>
        <v>62</v>
      </c>
      <c r="AD65" s="142">
        <f>IF(KOL_Database!$K$34="",0,MIN(100,ROUND(KOL_Database!$K$34/Lookup_Lists!$D$141*100,0)))</f>
        <v>43</v>
      </c>
      <c r="AE65" s="142">
        <f>IF(KOL_Database!$R$34="",0,MIN(100,MAX(0,KOL_Database!$R$34)))</f>
        <v>66</v>
      </c>
      <c r="AF65" s="142">
        <f>IF(KOL_Database!$P$34="",0,MIN(100,MAX(0,KOL_Database!$P$34)))</f>
        <v>53</v>
      </c>
      <c r="AG65" s="142">
        <f>IF(KOL_Database!$Q$34="",0,MIN(100,MAX(0,KOL_Database!$Q$34)))</f>
        <v>88</v>
      </c>
      <c r="AH65" s="142">
        <f>IF(OR(KOL_Database!$J$34="",KOL_Database!$J$34=0,KOL_Database!$L$34=""),0,MIN(100,ROUND(KOL_Database!$L$34/KOL_Database!$J$34/Lookup_Lists!$D$144*100,0)))</f>
        <v>47</v>
      </c>
      <c r="AI65" s="142">
        <f>IF(KOL_Database!$N$34="",0,MIN(100,MAX(0,ROUND((KOL_Database!$N$34+2)/(Lookup_Lists!$D$145+2)*100,0))))</f>
        <v>41</v>
      </c>
      <c r="AJ65" s="142">
        <f>ROUND((Matching_Engine!$AD$65*Lookup_Lists!$D$129+Matching_Engine!$AE$65*Lookup_Lists!$D$130+Matching_Engine!$AF$65*Lookup_Lists!$D$131+Matching_Engine!$AG$65*Lookup_Lists!$D$132+Matching_Engine!$AH$65*Lookup_Lists!$D$133+Matching_Engine!$AI$65*Lookup_Lists!$D$134)/(Lookup_Lists!$D$129+Lookup_Lists!$D$130+Lookup_Lists!$D$131+Lookup_Lists!$D$132+Lookup_Lists!$D$133+Lookup_Lists!$D$134),0)</f>
        <v>54</v>
      </c>
      <c r="AK65" s="142">
        <f>IF(KOL_Database!$AT$34="",0,MIN(100,MAX(0,KOL_Database!$AT$34)))</f>
        <v>75</v>
      </c>
      <c r="AL65" s="142">
        <f>IF(KOL_Database!$AU$34="",0,KOL_Database!$AU$34)</f>
        <v>21</v>
      </c>
      <c r="AM65" s="89" t="str">
        <f>IF(KOL_Database!$AV$34="","None",KOL_Database!$AV$34)</f>
        <v>Low</v>
      </c>
      <c r="AN65" s="143">
        <f>IF(Matching_Engine!$AM$65="High",Lookup_Lists!$D$137,IF(Matching_Engine!$AM$65="Medium",Lookup_Lists!$D$138,IF(Matching_Engine!$AM$65="Low",Lookup_Lists!$D$139,Lookup_Lists!$D$140)))</f>
        <v>0.95</v>
      </c>
      <c r="AO65" s="142">
        <f>ROUND(MIN(100,MAX(0,(Matching_Engine!$AK$65*Lookup_Lists!$D$135+(100-Matching_Engine!$AL$65)*Lookup_Lists!$D$136)/(Lookup_Lists!$D$135+Lookup_Lists!$D$136)*Matching_Engine!$AN$65)),0)</f>
        <v>72</v>
      </c>
      <c r="AP65" s="13">
        <f ca="1">ROUND((Matching_Engine!$N$65*Lookup_Lists!$D$104+Matching_Engine!$S$65*Lookup_Lists!$D$105+Matching_Engine!$X$65*Lookup_Lists!$D$106+Matching_Engine!$AC$65*Lookup_Lists!$D$107+Matching_Engine!$AJ$65*Lookup_Lists!$D$108+Matching_Engine!$AO$65*Lookup_Lists!$D$109)/MAX(1,(Lookup_Lists!$D$104+Lookup_Lists!$D$105+Lookup_Lists!$D$106+Lookup_Lists!$D$107+Lookup_Lists!$D$108+Lookup_Lists!$D$109)),0)</f>
        <v>42</v>
      </c>
      <c r="AQ65" s="89" t="str">
        <f ca="1">IF(Matching_Engine!$AP$65&gt;=Lookup_Lists!$D$152,"Excellent Match",IF(Matching_Engine!$AP$65&gt;=Lookup_Lists!$D$153,"Strong Match",IF(Matching_Engine!$AP$65&gt;=Lookup_Lists!$D$154,"Good Match",IF(Matching_Engine!$AP$65&gt;=Lookup_Lists!$D$155,"Moderate Match","Low Match"))))</f>
        <v>Low Match</v>
      </c>
      <c r="AR65" s="142">
        <f>KOL_Database!$BE$34</f>
        <v>92</v>
      </c>
      <c r="AS65" s="89" t="str">
        <f>IF(Matching_Engine!$AR$65&gt;=Lookup_Lists!$D$159,"High",IF(Matching_Engine!$AR$65&gt;=Lookup_Lists!$D$160,"Medium","Limited Data"))</f>
        <v>Medium</v>
      </c>
      <c r="AT65" s="142">
        <f>ROUND((Matching_Engine!$N$65+Matching_Engine!$X$65+Matching_Engine!$AC$65)/3,0)</f>
        <v>34</v>
      </c>
      <c r="AU65" s="142">
        <f>ROUND(((100-Matching_Engine!$AL$65)*Lookup_Lists!$D$162+IF(KOL_Database!$BD$34="",Lookup_Lists!$D$150,KOL_Database!$BD$34)*Lookup_Lists!$D$163+Matching_Engine!$AI$65*Lookup_Lists!$D$164+Matching_Engine!$AD$65*Lookup_Lists!$D$165)/(Lookup_Lists!$D$162+Lookup_Lists!$D$163+Lookup_Lists!$D$164+Lookup_Lists!$D$165),0)</f>
        <v>49</v>
      </c>
      <c r="AV65" s="89" t="str">
        <f ca="1">IF(Matching_Engine!$AW$65="","PASS","EXCLUDED")</f>
        <v>EXCLUDED</v>
      </c>
      <c r="AW65" s="89" t="str">
        <f ca="1">IF(ISERROR(SEARCH(KOL_Database!$D$34,Brand_Profile!$E$32)),"Platform not in Preferred Platform",IF(AND(Brand_Profile!$E$36&gt;0,KOL_Database!$J$34&lt;Brand_Profile!$E$36),"Followers below Preferred Follower Range",IF(AND(Brand_Profile!$E$37&gt;0,KOL_Database!$J$34&gt;Brand_Profile!$E$37),"Followers above Preferred Follower Range",IF(AND(Brand_Profile!$E$38&gt;0,IF(KOL_Database!$K$34="",0,KOL_Database!$K$34)&lt;Brand_Profile!$E$38),"Engagement Rate below Minimum Engagement Rate",IF(ISERROR(SEARCH(KOL_Database!$G$34,Brand_Profile!$E$35)),"Tier not in Preferred Tier",IF(AND(Brand_Profile!$E$43&gt;0,Matching_Engine!$AE$65&lt;Brand_Profile!$E$43),"Audience Quality below Minimum Audience Quality",IF(AND(Brand_Profile!$E$44&gt;0,Matching_Engine!$AK$65&lt;Brand_Profile!$E$44),"Brand Safety below Minimum Brand Safety",IF(AND(Brand_Profile!$E$47="Yes",KOL_Database!$AD$34&lt;&gt;Brand_Profile!$E$19),"Audience Country does not match Target Country",IF(AND(Brand_Profile!$E$46="Yes",KOL_Database!$E$34&lt;&gt;Brand_Profile!$E$33),"Category is not the Preferred Category",IF(AND(Brand_Profile!$E$48&gt;0,Matching_Engine!$AL$65&gt;Brand_Profile!$E$48),"Competitor Saturation above Max Competitor Saturation",IF(AND(Brand_Profile!$E$50="Yes",KOL_Database!$AW$34="Yes"),"Already Selected",IF(AND(Brand_Profile!$E$51="Yes",KOL_Database!$AX$34="Yes"),"Already in Cart",IF(AND(Brand_Profile!$E$52="Yes",KOL_Database!$AY$34="Yes"),"Existing Partner",IF(AND(Brand_Profile!$E$53="Yes",KOL_Database!$AZ$34="Yes"),"Excluded Creator",IF(AND(Brand_Profile!$E$49&gt;0,Matching_Engine!$AP$65&lt;Brand_Profile!$E$49),"Brand Match below Minimum Brand Match","")))))))))))))))</f>
        <v>Engagement Rate below Minimum Engagement Rate</v>
      </c>
      <c r="AX65" s="89" t="str">
        <f ca="1">IF(Matching_Engine!$AV$65="EXCLUDED","Excluded",IF(Matching_Engine!$AP$65&gt;=Lookup_Lists!$D$156,"Highly Recommended",IF(Matching_Engine!$AP$65&gt;=Lookup_Lists!$D$157,"Recommended",IF(Matching_Engine!$AP$65&gt;=Lookup_Lists!$D$158,"Consider","Low Priority"))))</f>
        <v>Excluded</v>
      </c>
      <c r="AY65" s="142" t="str">
        <f ca="1">IF(Matching_Engine!$AV$65="PASS",Matching_Engine!$AP$65,"")</f>
        <v/>
      </c>
      <c r="AZ65" s="89" t="str">
        <f>Matching_Engine!$A$65&amp;"|"&amp;Matching_Engine!$C$65</f>
        <v>BRAND-B|KOL-30</v>
      </c>
      <c r="BA65" s="89" t="str">
        <f>IFERROR(INDEX(Lookup_Lists!$B$51:$B$92,MATCH(Brand_Profile!$E$12,Lookup_Lists!$A$51:$A$92,0)),"")</f>
        <v>Beauty</v>
      </c>
      <c r="BB65" s="89" t="str">
        <f>IFERROR(INDEX(Lookup_Lists!$B$51:$B$92,MATCH(KOL_Database!$F$34,Lookup_Lists!$A$51:$A$92,0)),"")</f>
        <v>Finance</v>
      </c>
      <c r="BC65" s="142">
        <f>IFERROR(INDEX(Lookup_Lists!$B$185:$O$198,MATCH(Matching_Engine!$BA$65,Lookup_Lists!$A$185:$A$198,0),MATCH(KOL_Database!$E$34,Lookup_Lists!$B$184:$O$184,0)),Lookup_Lists!$D$151)</f>
        <v>20</v>
      </c>
      <c r="BD65" s="142">
        <f>IFERROR(INDEX(Lookup_Lists!$B$185:$O$198,MATCH(Brand_Profile!$E$33,Lookup_Lists!$A$185:$A$198,0),MATCH(KOL_Database!$E$34,Lookup_Lists!$B$184:$O$184,0)),Lookup_Lists!$D$151)</f>
        <v>20</v>
      </c>
      <c r="BE65" s="89" t="str">
        <f>IFERROR(INDEX(Lookup_Lists!$B$51:$B$92,MATCH(Brand_Profile!$E$34,Lookup_Lists!$A$51:$A$92,0)),"")</f>
        <v>Beauty</v>
      </c>
      <c r="BF65" s="89" t="str">
        <f>KOL_Database!$AI$34&amp;", "&amp;KOL_Database!$AG$34&amp;", "&amp;KOL_Database!$F$34&amp;", "&amp;KOL_Database!$E$34</f>
        <v>Business, Finance, Education, Business, Finance, Education, Technology, Productivity, Business, Finance</v>
      </c>
      <c r="BG65" s="89" t="str">
        <f>KOL_Database!$AI$34&amp;", "&amp;KOL_Database!$AG$34</f>
        <v>Business, Finance, Education, Business, Finance, Education, Technology, Productivity</v>
      </c>
    </row>
    <row r="66" spans="1:59">
      <c r="A66" s="101" t="s">
        <v>119</v>
      </c>
      <c r="B66" s="89" t="str">
        <f>Brand_Profile!$F$9</f>
        <v>Rasa Nusantara</v>
      </c>
      <c r="C66" s="89" t="str">
        <f>KOL_Database!$A$5</f>
        <v>KOL-01</v>
      </c>
      <c r="D66" s="89" t="str">
        <f>KOL_Database!$B$5</f>
        <v>Ardi Nugraha</v>
      </c>
      <c r="E66" s="89" t="str">
        <f>KOL_Database!$C$5</f>
        <v>@ardidigital</v>
      </c>
      <c r="F66" s="89" t="str">
        <f>KOL_Database!$D$5</f>
        <v>Instagram</v>
      </c>
      <c r="G66" s="89" t="str">
        <f>KOL_Database!$E$5</f>
        <v>Tech</v>
      </c>
      <c r="H66" s="89" t="str">
        <f>KOL_Database!$G$5</f>
        <v>Macro</v>
      </c>
      <c r="I66" s="140">
        <f>KOL_Database!$J$5</f>
        <v>128000</v>
      </c>
      <c r="J66" s="141">
        <f>KOL_Database!$K$5</f>
        <v>3.8</v>
      </c>
      <c r="K66" s="142">
        <f>IFERROR(INDEX(Lookup_Lists!$B$170:$O$181,MATCH(Brand_Profile!$F$10,Lookup_Lists!$A$170:$A$181,0),MATCH(KOL_Database!$E$5,Lookup_Lists!$B$169:$O$169,0)),Lookup_Lists!$D$151)</f>
        <v>20</v>
      </c>
      <c r="L66" s="142">
        <f>IF(KOL_Database!$F$5="",Matching_Engine!$BC$66,IF(Brand_Profile!$F$12=KOL_Database!$F$5,100,IF(Matching_Engine!$BA$66=KOL_Database!$E$5,80,IF(Matching_Engine!$BC$66&gt;=80,60,IF(Matching_Engine!$BC$66&gt;=60,40,Lookup_Lists!$D$151)))))</f>
        <v>20</v>
      </c>
      <c r="M66" s="142">
        <f>ROUND((IF(Brand_Profile!$F$62=0,Lookup_Lists!$D$150,ROUND((IF(Brand_Profile!$F$57="",0,IF(ISNUMBER(SEARCH(Brand_Profile!$F$57,Matching_Engine!$BF$66)),1,0))+IF(Brand_Profile!$F$58="",0,IF(ISNUMBER(SEARCH(Brand_Profile!$F$58,Matching_Engine!$BF$66)),1,0))+IF(Brand_Profile!$F$59="",0,IF(ISNUMBER(SEARCH(Brand_Profile!$F$59,Matching_Engine!$BF$66)),1,0))+IF(Brand_Profile!$F$60="",0,IF(ISNUMBER(SEARCH(Brand_Profile!$F$60,Matching_Engine!$BF$66)),1,0))+IF(Brand_Profile!$F$61="",0,IF(ISNUMBER(SEARCH(Brand_Profile!$F$61,Matching_Engine!$BF$66)),1,0)))/Brand_Profile!$F$62*100,0))+IF(Brand_Profile!$F$74=0,Lookup_Lists!$D$150,ROUND((IF(Brand_Profile!$F$69="",0,IF(ISNUMBER(SEARCH(Brand_Profile!$F$69,Matching_Engine!$BF$66)),1,0))+IF(Brand_Profile!$F$70="",0,IF(ISNUMBER(SEARCH(Brand_Profile!$F$70,Matching_Engine!$BF$66)),1,0))+IF(Brand_Profile!$F$71="",0,IF(ISNUMBER(SEARCH(Brand_Profile!$F$71,Matching_Engine!$BF$66)),1,0))+IF(Brand_Profile!$F$72="",0,IF(ISNUMBER(SEARCH(Brand_Profile!$F$72,Matching_Engine!$BF$66)),1,0))+IF(Brand_Profile!$F$73="",0,IF(ISNUMBER(SEARCH(Brand_Profile!$F$73,Matching_Engine!$BF$66)),1,0)))/Brand_Profile!$F$74*100,0)))/2,0)</f>
        <v>20</v>
      </c>
      <c r="N66" s="142">
        <f>ROUND((Matching_Engine!$K$66*Lookup_Lists!$D$110+Matching_Engine!$L$66*Lookup_Lists!$D$111+Matching_Engine!$M$66*Lookup_Lists!$D$112)/(Lookup_Lists!$D$110+Lookup_Lists!$D$111+Lookup_Lists!$D$112),0)</f>
        <v>20</v>
      </c>
      <c r="O66" s="142">
        <f ca="1">IF(Brand_Profile!$F$16="",Lookup_Lists!$D$150,MIN(100,ROUND((IFERROR(INDEX(KOL_Database!$W$5:KOL_Database!$AA$5,1,MATCH(Brand_Profile!$F$16,Lookup_Lists!$F$6:$F$10,0)),0)+0.5*IFERROR(INDEX(KOL_Database!$W$5:KOL_Database!$AA$5,1,MATCH(Brand_Profile!$F$17,Lookup_Lists!$F$6:$F$10,0)),0))/Lookup_Lists!$D$142*100,0)))</f>
        <v>100</v>
      </c>
      <c r="P66" s="142">
        <f>IF(OR(Brand_Profile!$F$18="",Brand_Profile!$F$18="Any"),100,IF(Brand_Profile!$F$18="Female",MIN(100,ROUND(KOL_Database!$AB$5/Lookup_Lists!$D$143*100,0)),IF(Brand_Profile!$F$18="Male",MIN(100,ROUND(KOL_Database!$AC$5/Lookup_Lists!$D$143*100,0)),MAX(0,ROUND(100-ABS(KOL_Database!$AB$5-50)*2,0)))))</f>
        <v>40</v>
      </c>
      <c r="Q66" s="142">
        <f>ROUND((IF(Brand_Profile!$F$19="",100,IF(KOL_Database!$AD$5=Brand_Profile!$F$19,100,Lookup_Lists!$D$151))*Lookup_Lists!$D$118+IF(OR(Brand_Profile!$F$20="",Brand_Profile!$F$20="Nasional"),100,IF(KOL_Database!$AE$5="",Lookup_Lists!$D$150,IF(KOL_Database!$AE$5=Brand_Profile!$F$20,100,IF(KOL_Database!$AD$5=Brand_Profile!$F$19,40,Lookup_Lists!$D$151))))*Lookup_Lists!$D$119+IF(OR(Brand_Profile!$F$21="",Brand_Profile!$F$21="Nasional"),100,IF(KOL_Database!$AF$5="",Lookup_Lists!$D$150,IF(KOL_Database!$AF$5=Brand_Profile!$F$21,100,IF(KOL_Database!$AE$5=Brand_Profile!$F$20,60,Lookup_Lists!$D$151))))*Lookup_Lists!$D$120)/(Lookup_Lists!$D$118+Lookup_Lists!$D$119+Lookup_Lists!$D$120),0)</f>
        <v>100</v>
      </c>
      <c r="R66" s="142">
        <f>IF(Brand_Profile!$F$68=0,Lookup_Lists!$D$150,ROUND((IF(Brand_Profile!$F$63="",0,IF(ISNUMBER(SEARCH(Brand_Profile!$F$63,KOL_Database!$AG$5)),1,0))+IF(Brand_Profile!$F$64="",0,IF(ISNUMBER(SEARCH(Brand_Profile!$F$64,KOL_Database!$AG$5)),1,0))+IF(Brand_Profile!$F$65="",0,IF(ISNUMBER(SEARCH(Brand_Profile!$F$65,KOL_Database!$AG$5)),1,0))+IF(Brand_Profile!$F$66="",0,IF(ISNUMBER(SEARCH(Brand_Profile!$F$66,KOL_Database!$AG$5)),1,0))+IF(Brand_Profile!$F$67="",0,IF(ISNUMBER(SEARCH(Brand_Profile!$F$67,KOL_Database!$AG$5)),1,0)))/Brand_Profile!$F$68*100,0))</f>
        <v>0</v>
      </c>
      <c r="S66" s="142">
        <f ca="1">ROUND((Matching_Engine!$O$66*Brand_Profile!$F$96+Matching_Engine!$P$66*Brand_Profile!$F$97+Matching_Engine!$Q$66*Brand_Profile!$F$98+Matching_Engine!$R$66*Brand_Profile!$F$99)/MAX(1,Brand_Profile!$F$96+Brand_Profile!$F$97+Brand_Profile!$F$98+Brand_Profile!$F$99),0)</f>
        <v>67</v>
      </c>
      <c r="T66" s="142">
        <f>IF(Brand_Profile!$F$33="",Lookup_Lists!$D$150,Matching_Engine!$BD$66)</f>
        <v>20</v>
      </c>
      <c r="U66" s="142">
        <f>IF(Brand_Profile!$F$34="",Lookup_Lists!$D$150,IF(Brand_Profile!$F$34=KOL_Database!$F$5,100,IF(Matching_Engine!$BE$66=KOL_Database!$E$5,75,IF(Matching_Engine!$BD$66&gt;=80,Lookup_Lists!$D$150,IF(Matching_Engine!$BD$66&gt;=60,35,Lookup_Lists!$D$151)))))</f>
        <v>20</v>
      </c>
      <c r="V66" s="142">
        <f>IF(Brand_Profile!$F$86=0,Lookup_Lists!$D$150,ROUND((IF(Brand_Profile!$F$81="",0,IF(ISNUMBER(SEARCH(Brand_Profile!$F$81,Matching_Engine!$BG$66)),1,0))+IF(Brand_Profile!$F$82="",0,IF(ISNUMBER(SEARCH(Brand_Profile!$F$82,Matching_Engine!$BG$66)),1,0))+IF(Brand_Profile!$F$83="",0,IF(ISNUMBER(SEARCH(Brand_Profile!$F$83,Matching_Engine!$BG$66)),1,0))+IF(Brand_Profile!$F$84="",0,IF(ISNUMBER(SEARCH(Brand_Profile!$F$84,Matching_Engine!$BG$66)),1,0))+IF(Brand_Profile!$F$85="",0,IF(ISNUMBER(SEARCH(Brand_Profile!$F$85,Matching_Engine!$BG$66)),1,0)))/Brand_Profile!$F$86*100,0))</f>
        <v>0</v>
      </c>
      <c r="W66" s="142">
        <f>IF(Brand_Profile!$F$39="",Lookup_Lists!$D$150,IFERROR(INDEX(Lookup_Lists!$B$237:$K$246,MATCH(Brand_Profile!$F$39,Lookup_Lists!$A$237:$A$246,0),MATCH(KOL_Database!$AJ$5,Lookup_Lists!$B$236:$K$236,0)),45))</f>
        <v>45</v>
      </c>
      <c r="X66" s="142">
        <f>ROUND((Matching_Engine!$T$66*Lookup_Lists!$D$121+Matching_Engine!$U$66*Lookup_Lists!$D$122+Matching_Engine!$V$66*Lookup_Lists!$D$123+Matching_Engine!$W$66*Lookup_Lists!$D$124)/(Lookup_Lists!$D$121+Lookup_Lists!$D$122+Lookup_Lists!$D$123+Lookup_Lists!$D$124),0)</f>
        <v>19</v>
      </c>
      <c r="Y66" s="142">
        <f>MIN(100,MAX(IFERROR(INDEX(Lookup_Lists!$B$202:$M$211,MATCH(Brand_Profile!$F$25,Lookup_Lists!$A$202:$A$211,0),MATCH(KOL_Database!$AK$5,Lookup_Lists!$B$201:$M$201,0)),40),IF(KOL_Database!$AK$5=Brand_Profile!$F$41,95,0)))</f>
        <v>60</v>
      </c>
      <c r="Z66" s="142">
        <f>IFERROR(INDEX(Lookup_Lists!$B$215:$K$222,MATCH(Brand_Profile!$F$27,Lookup_Lists!$A$215:$A$222,0),MATCH(KOL_Database!$AJ$5,Lookup_Lists!$B$214:$K$214,0)),45)</f>
        <v>65</v>
      </c>
      <c r="AA66" s="142">
        <f>ROUND((IF(Brand_Profile!$F$80=0,Lookup_Lists!$D$150,ROUND((IF(Brand_Profile!$F$75="",0,IF(ISNUMBER(SEARCH(Brand_Profile!$F$75,KOL_Database!$AL$5)),1,0))+IF(Brand_Profile!$F$76="",0,IF(ISNUMBER(SEARCH(Brand_Profile!$F$76,KOL_Database!$AL$5)),1,0))+IF(Brand_Profile!$F$77="",0,IF(ISNUMBER(SEARCH(Brand_Profile!$F$77,KOL_Database!$AL$5)),1,0))+IF(Brand_Profile!$F$78="",0,IF(ISNUMBER(SEARCH(Brand_Profile!$F$78,KOL_Database!$AL$5)),1,0))+IF(Brand_Profile!$F$79="",0,IF(ISNUMBER(SEARCH(Brand_Profile!$F$79,KOL_Database!$AL$5)),1,0)))/Brand_Profile!$F$80*100,0))+IF(Brand_Profile!$F$92=0,Lookup_Lists!$D$150,ROUND((IF(Brand_Profile!$F$87="",0,IF(ISNUMBER(SEARCH(Brand_Profile!$F$87,KOL_Database!$AL$5)),1,0))+IF(Brand_Profile!$F$88="",0,IF(ISNUMBER(SEARCH(Brand_Profile!$F$88,KOL_Database!$AL$5)),1,0))+IF(Brand_Profile!$F$89="",0,IF(ISNUMBER(SEARCH(Brand_Profile!$F$89,KOL_Database!$AL$5)),1,0))+IF(Brand_Profile!$F$90="",0,IF(ISNUMBER(SEARCH(Brand_Profile!$F$90,KOL_Database!$AL$5)),1,0))+IF(Brand_Profile!$F$91="",0,IF(ISNUMBER(SEARCH(Brand_Profile!$F$91,KOL_Database!$AL$5)),1,0)))/Brand_Profile!$F$92*100,0)))/2,0)</f>
        <v>0</v>
      </c>
      <c r="AB66" s="142">
        <f>IFERROR(INDEX(Lookup_Lists!$B$226:$K$233,MATCH(Brand_Profile!$F$30,Lookup_Lists!$A$226:$A$233,0),MATCH(KOL_Database!$AJ$5,Lookup_Lists!$B$225:$K$225,0)),45)</f>
        <v>60</v>
      </c>
      <c r="AC66" s="142">
        <f>ROUND((Matching_Engine!$Y$66*Lookup_Lists!$D$125+Matching_Engine!$Z$66*Lookup_Lists!$D$126+Matching_Engine!$AA$66*Lookup_Lists!$D$127+Matching_Engine!$AB$66*Lookup_Lists!$D$128)/(Lookup_Lists!$D$125+Lookup_Lists!$D$126+Lookup_Lists!$D$127+Lookup_Lists!$D$128),0)</f>
        <v>46</v>
      </c>
      <c r="AD66" s="142">
        <f>IF(KOL_Database!$K$5="",0,MIN(100,ROUND(KOL_Database!$K$5/Lookup_Lists!$D$141*100,0)))</f>
        <v>63</v>
      </c>
      <c r="AE66" s="142">
        <f>IF(KOL_Database!$R$5="",0,MIN(100,MAX(0,KOL_Database!$R$5)))</f>
        <v>83</v>
      </c>
      <c r="AF66" s="142">
        <f>IF(KOL_Database!$P$5="",0,MIN(100,MAX(0,KOL_Database!$P$5)))</f>
        <v>73</v>
      </c>
      <c r="AG66" s="142">
        <f>IF(KOL_Database!$Q$5="",0,MIN(100,MAX(0,KOL_Database!$Q$5)))</f>
        <v>66</v>
      </c>
      <c r="AH66" s="142">
        <f>IF(OR(KOL_Database!$J$5="",KOL_Database!$J$5=0,KOL_Database!$L$5=""),0,MIN(100,ROUND(KOL_Database!$L$5/KOL_Database!$J$5/Lookup_Lists!$D$144*100,0)))</f>
        <v>72</v>
      </c>
      <c r="AI66" s="142">
        <f>IF(KOL_Database!$N$5="",0,MIN(100,MAX(0,ROUND((KOL_Database!$N$5+2)/(Lookup_Lists!$D$145+2)*100,0))))</f>
        <v>47</v>
      </c>
      <c r="AJ66" s="142">
        <f>ROUND((Matching_Engine!$AD$66*Lookup_Lists!$D$129+Matching_Engine!$AE$66*Lookup_Lists!$D$130+Matching_Engine!$AF$66*Lookup_Lists!$D$131+Matching_Engine!$AG$66*Lookup_Lists!$D$132+Matching_Engine!$AH$66*Lookup_Lists!$D$133+Matching_Engine!$AI$66*Lookup_Lists!$D$134)/(Lookup_Lists!$D$129+Lookup_Lists!$D$130+Lookup_Lists!$D$131+Lookup_Lists!$D$132+Lookup_Lists!$D$133+Lookup_Lists!$D$134),0)</f>
        <v>69</v>
      </c>
      <c r="AK66" s="142">
        <f>IF(KOL_Database!$AT$5="",0,MIN(100,MAX(0,KOL_Database!$AT$5)))</f>
        <v>90</v>
      </c>
      <c r="AL66" s="142">
        <f>IF(KOL_Database!$AU$5="",0,KOL_Database!$AU$5)</f>
        <v>56</v>
      </c>
      <c r="AM66" s="89" t="str">
        <f>IF(KOL_Database!$AV$5="","None",KOL_Database!$AV$5)</f>
        <v>None</v>
      </c>
      <c r="AN66" s="143">
        <f>IF(Matching_Engine!$AM$66="High",Lookup_Lists!$D$137,IF(Matching_Engine!$AM$66="Medium",Lookup_Lists!$D$138,IF(Matching_Engine!$AM$66="Low",Lookup_Lists!$D$139,Lookup_Lists!$D$140)))</f>
        <v>1</v>
      </c>
      <c r="AO66" s="142">
        <f>ROUND(MIN(100,MAX(0,(Matching_Engine!$AK$66*Lookup_Lists!$D$135+(100-Matching_Engine!$AL$66)*Lookup_Lists!$D$136)/(Lookup_Lists!$D$135+Lookup_Lists!$D$136)*Matching_Engine!$AN$66)),0)</f>
        <v>81</v>
      </c>
      <c r="AP66" s="13">
        <f ca="1">ROUND((Matching_Engine!$N$66*Lookup_Lists!$D$104+Matching_Engine!$S$66*Lookup_Lists!$D$105+Matching_Engine!$X$66*Lookup_Lists!$D$106+Matching_Engine!$AC$66*Lookup_Lists!$D$107+Matching_Engine!$AJ$66*Lookup_Lists!$D$108+Matching_Engine!$AO$66*Lookup_Lists!$D$109)/MAX(1,(Lookup_Lists!$D$104+Lookup_Lists!$D$105+Lookup_Lists!$D$106+Lookup_Lists!$D$107+Lookup_Lists!$D$108+Lookup_Lists!$D$109)),0)</f>
        <v>48</v>
      </c>
      <c r="AQ66" s="89" t="str">
        <f ca="1">IF(Matching_Engine!$AP$66&gt;=Lookup_Lists!$D$152,"Excellent Match",IF(Matching_Engine!$AP$66&gt;=Lookup_Lists!$D$153,"Strong Match",IF(Matching_Engine!$AP$66&gt;=Lookup_Lists!$D$154,"Good Match",IF(Matching_Engine!$AP$66&gt;=Lookup_Lists!$D$155,"Moderate Match","Low Match"))))</f>
        <v>Low Match</v>
      </c>
      <c r="AR66" s="142">
        <f>KOL_Database!$BE$5</f>
        <v>100</v>
      </c>
      <c r="AS66" s="89" t="str">
        <f>IF(Matching_Engine!$AR$66&gt;=Lookup_Lists!$D$159,"High",IF(Matching_Engine!$AR$66&gt;=Lookup_Lists!$D$160,"Medium","Limited Data"))</f>
        <v>High</v>
      </c>
      <c r="AT66" s="142">
        <f>ROUND((Matching_Engine!$N$66+Matching_Engine!$X$66+Matching_Engine!$AC$66)/3,0)</f>
        <v>28</v>
      </c>
      <c r="AU66" s="142">
        <f>ROUND(((100-Matching_Engine!$AL$66)*Lookup_Lists!$D$162+IF(KOL_Database!$BD$5="",Lookup_Lists!$D$150,KOL_Database!$BD$5)*Lookup_Lists!$D$163+Matching_Engine!$AI$66*Lookup_Lists!$D$164+Matching_Engine!$AD$66*Lookup_Lists!$D$165)/(Lookup_Lists!$D$162+Lookup_Lists!$D$163+Lookup_Lists!$D$164+Lookup_Lists!$D$165),0)</f>
        <v>54</v>
      </c>
      <c r="AV66" s="89" t="str">
        <f ca="1">IF(Matching_Engine!$AW$66="","PASS","EXCLUDED")</f>
        <v>EXCLUDED</v>
      </c>
      <c r="AW66" s="89" t="str">
        <f ca="1">IF(ISERROR(SEARCH(KOL_Database!$D$5,Brand_Profile!$F$32)),"Platform not in Preferred Platform",IF(AND(Brand_Profile!$F$36&gt;0,KOL_Database!$J$5&lt;Brand_Profile!$F$36),"Followers below Preferred Follower Range",IF(AND(Brand_Profile!$F$37&gt;0,KOL_Database!$J$5&gt;Brand_Profile!$F$37),"Followers above Preferred Follower Range",IF(AND(Brand_Profile!$F$38&gt;0,IF(KOL_Database!$K$5="",0,KOL_Database!$K$5)&lt;Brand_Profile!$F$38),"Engagement Rate below Minimum Engagement Rate",IF(ISERROR(SEARCH(KOL_Database!$G$5,Brand_Profile!$F$35)),"Tier not in Preferred Tier",IF(AND(Brand_Profile!$F$43&gt;0,Matching_Engine!$AE$66&lt;Brand_Profile!$F$43),"Audience Quality below Minimum Audience Quality",IF(AND(Brand_Profile!$F$44&gt;0,Matching_Engine!$AK$66&lt;Brand_Profile!$F$44),"Brand Safety below Minimum Brand Safety",IF(AND(Brand_Profile!$F$47="Yes",KOL_Database!$AD$5&lt;&gt;Brand_Profile!$F$19),"Audience Country does not match Target Country",IF(AND(Brand_Profile!$F$46="Yes",KOL_Database!$E$5&lt;&gt;Brand_Profile!$F$33),"Category is not the Preferred Category",IF(AND(Brand_Profile!$F$48&gt;0,Matching_Engine!$AL$66&gt;Brand_Profile!$F$48),"Competitor Saturation above Max Competitor Saturation",IF(AND(Brand_Profile!$F$50="Yes",KOL_Database!$AW$5="Yes"),"Already Selected",IF(AND(Brand_Profile!$F$51="Yes",KOL_Database!$AX$5="Yes"),"Already in Cart",IF(AND(Brand_Profile!$F$52="Yes",KOL_Database!$AY$5="Yes"),"Existing Partner",IF(AND(Brand_Profile!$F$53="Yes",KOL_Database!$AZ$5="Yes"),"Excluded Creator",IF(AND(Brand_Profile!$F$49&gt;0,Matching_Engine!$AP$66&lt;Brand_Profile!$F$49),"Brand Match below Minimum Brand Match","")))))))))))))))</f>
        <v>Tier not in Preferred Tier</v>
      </c>
      <c r="AX66" s="89" t="str">
        <f ca="1">IF(Matching_Engine!$AV$66="EXCLUDED","Excluded",IF(Matching_Engine!$AP$66&gt;=Lookup_Lists!$D$156,"Highly Recommended",IF(Matching_Engine!$AP$66&gt;=Lookup_Lists!$D$157,"Recommended",IF(Matching_Engine!$AP$66&gt;=Lookup_Lists!$D$158,"Consider","Low Priority"))))</f>
        <v>Excluded</v>
      </c>
      <c r="AY66" s="142" t="str">
        <f ca="1">IF(Matching_Engine!$AV$66="PASS",Matching_Engine!$AP$66,"")</f>
        <v/>
      </c>
      <c r="AZ66" s="89" t="str">
        <f>Matching_Engine!$A$66&amp;"|"&amp;Matching_Engine!$C$66</f>
        <v>BRAND-C|KOL-01</v>
      </c>
      <c r="BA66" s="89" t="str">
        <f>IFERROR(INDEX(Lookup_Lists!$B$51:$B$92,MATCH(Brand_Profile!$F$12,Lookup_Lists!$A$51:$A$92,0)),"")</f>
        <v>Food</v>
      </c>
      <c r="BB66" s="89" t="str">
        <f>IFERROR(INDEX(Lookup_Lists!$B$51:$B$92,MATCH(KOL_Database!$F$5,Lookup_Lists!$A$51:$A$92,0)),"")</f>
        <v>Tech</v>
      </c>
      <c r="BC66" s="142">
        <f>IFERROR(INDEX(Lookup_Lists!$B$185:$O$198,MATCH(Matching_Engine!$BA$66,Lookup_Lists!$A$185:$A$198,0),MATCH(KOL_Database!$E$5,Lookup_Lists!$B$184:$O$184,0)),Lookup_Lists!$D$151)</f>
        <v>20</v>
      </c>
      <c r="BD66" s="142">
        <f>IFERROR(INDEX(Lookup_Lists!$B$185:$O$198,MATCH(Brand_Profile!$F$33,Lookup_Lists!$A$185:$A$198,0),MATCH(KOL_Database!$E$5,Lookup_Lists!$B$184:$O$184,0)),Lookup_Lists!$D$151)</f>
        <v>20</v>
      </c>
      <c r="BE66" s="89" t="str">
        <f>IFERROR(INDEX(Lookup_Lists!$B$51:$B$92,MATCH(Brand_Profile!$F$34,Lookup_Lists!$A$51:$A$92,0)),"")</f>
        <v>Food</v>
      </c>
      <c r="BF66" s="89" t="str">
        <f>KOL_Database!$AI$5&amp;", "&amp;KOL_Database!$AG$5&amp;", "&amp;KOL_Database!$F$5&amp;", "&amp;KOL_Database!$E$5</f>
        <v>Technology, Productivity, Business, Technology, Productivity, Business, Gaming, Shopping, Gadget Review, Tech</v>
      </c>
      <c r="BG66" s="89" t="str">
        <f>KOL_Database!$AI$5&amp;", "&amp;KOL_Database!$AG$5</f>
        <v>Technology, Productivity, Business, Technology, Productivity, Business, Gaming, Shopping</v>
      </c>
    </row>
    <row r="67" spans="1:59">
      <c r="A67" s="101" t="s">
        <v>119</v>
      </c>
      <c r="B67" s="89" t="str">
        <f>Brand_Profile!$F$9</f>
        <v>Rasa Nusantara</v>
      </c>
      <c r="C67" s="89" t="str">
        <f>KOL_Database!$A$6</f>
        <v>KOL-02</v>
      </c>
      <c r="D67" s="89" t="str">
        <f>KOL_Database!$B$6</f>
        <v>Rifqi Pratama</v>
      </c>
      <c r="E67" s="89" t="str">
        <f>KOL_Database!$C$6</f>
        <v>@rifqi.codes</v>
      </c>
      <c r="F67" s="89" t="str">
        <f>KOL_Database!$D$6</f>
        <v>TikTok</v>
      </c>
      <c r="G67" s="89" t="str">
        <f>KOL_Database!$E$6</f>
        <v>Tech</v>
      </c>
      <c r="H67" s="89" t="str">
        <f>KOL_Database!$G$6</f>
        <v>Mid-tier</v>
      </c>
      <c r="I67" s="140">
        <f>KOL_Database!$J$6</f>
        <v>86000</v>
      </c>
      <c r="J67" s="141">
        <f>KOL_Database!$K$6</f>
        <v>6.2</v>
      </c>
      <c r="K67" s="142">
        <f>IFERROR(INDEX(Lookup_Lists!$B$170:$O$181,MATCH(Brand_Profile!$F$10,Lookup_Lists!$A$170:$A$181,0),MATCH(KOL_Database!$E$6,Lookup_Lists!$B$169:$O$169,0)),Lookup_Lists!$D$151)</f>
        <v>20</v>
      </c>
      <c r="L67" s="142">
        <f>IF(KOL_Database!$F$6="",Matching_Engine!$BC$67,IF(Brand_Profile!$F$12=KOL_Database!$F$6,100,IF(Matching_Engine!$BA$67=KOL_Database!$E$6,80,IF(Matching_Engine!$BC$67&gt;=80,60,IF(Matching_Engine!$BC$67&gt;=60,40,Lookup_Lists!$D$151)))))</f>
        <v>20</v>
      </c>
      <c r="M67" s="142">
        <f>ROUND((IF(Brand_Profile!$F$62=0,Lookup_Lists!$D$150,ROUND((IF(Brand_Profile!$F$57="",0,IF(ISNUMBER(SEARCH(Brand_Profile!$F$57,Matching_Engine!$BF$67)),1,0))+IF(Brand_Profile!$F$58="",0,IF(ISNUMBER(SEARCH(Brand_Profile!$F$58,Matching_Engine!$BF$67)),1,0))+IF(Brand_Profile!$F$59="",0,IF(ISNUMBER(SEARCH(Brand_Profile!$F$59,Matching_Engine!$BF$67)),1,0))+IF(Brand_Profile!$F$60="",0,IF(ISNUMBER(SEARCH(Brand_Profile!$F$60,Matching_Engine!$BF$67)),1,0))+IF(Brand_Profile!$F$61="",0,IF(ISNUMBER(SEARCH(Brand_Profile!$F$61,Matching_Engine!$BF$67)),1,0)))/Brand_Profile!$F$62*100,0))+IF(Brand_Profile!$F$74=0,Lookup_Lists!$D$150,ROUND((IF(Brand_Profile!$F$69="",0,IF(ISNUMBER(SEARCH(Brand_Profile!$F$69,Matching_Engine!$BF$67)),1,0))+IF(Brand_Profile!$F$70="",0,IF(ISNUMBER(SEARCH(Brand_Profile!$F$70,Matching_Engine!$BF$67)),1,0))+IF(Brand_Profile!$F$71="",0,IF(ISNUMBER(SEARCH(Brand_Profile!$F$71,Matching_Engine!$BF$67)),1,0))+IF(Brand_Profile!$F$72="",0,IF(ISNUMBER(SEARCH(Brand_Profile!$F$72,Matching_Engine!$BF$67)),1,0))+IF(Brand_Profile!$F$73="",0,IF(ISNUMBER(SEARCH(Brand_Profile!$F$73,Matching_Engine!$BF$67)),1,0)))/Brand_Profile!$F$74*100,0)))/2,0)</f>
        <v>0</v>
      </c>
      <c r="N67" s="142">
        <f>ROUND((Matching_Engine!$K$67*Lookup_Lists!$D$110+Matching_Engine!$L$67*Lookup_Lists!$D$111+Matching_Engine!$M$67*Lookup_Lists!$D$112)/(Lookup_Lists!$D$110+Lookup_Lists!$D$111+Lookup_Lists!$D$112),0)</f>
        <v>14</v>
      </c>
      <c r="O67" s="142">
        <f ca="1">IF(Brand_Profile!$F$16="",Lookup_Lists!$D$150,MIN(100,ROUND((IFERROR(INDEX(KOL_Database!$W$6:KOL_Database!$AA$6,1,MATCH(Brand_Profile!$F$16,Lookup_Lists!$F$6:$F$10,0)),0)+0.5*IFERROR(INDEX(KOL_Database!$W$6:KOL_Database!$AA$6,1,MATCH(Brand_Profile!$F$17,Lookup_Lists!$F$6:$F$10,0)),0))/Lookup_Lists!$D$142*100,0)))</f>
        <v>88</v>
      </c>
      <c r="P67" s="142">
        <f>IF(OR(Brand_Profile!$F$18="",Brand_Profile!$F$18="Any"),100,IF(Brand_Profile!$F$18="Female",MIN(100,ROUND(KOL_Database!$AB$6/Lookup_Lists!$D$143*100,0)),IF(Brand_Profile!$F$18="Male",MIN(100,ROUND(KOL_Database!$AC$6/Lookup_Lists!$D$143*100,0)),MAX(0,ROUND(100-ABS(KOL_Database!$AB$6-50)*2,0)))))</f>
        <v>52</v>
      </c>
      <c r="Q67" s="142">
        <f>ROUND((IF(Brand_Profile!$F$19="",100,IF(KOL_Database!$AD$6=Brand_Profile!$F$19,100,Lookup_Lists!$D$151))*Lookup_Lists!$D$118+IF(OR(Brand_Profile!$F$20="",Brand_Profile!$F$20="Nasional"),100,IF(KOL_Database!$AE$6="",Lookup_Lists!$D$150,IF(KOL_Database!$AE$6=Brand_Profile!$F$20,100,IF(KOL_Database!$AD$6=Brand_Profile!$F$19,40,Lookup_Lists!$D$151))))*Lookup_Lists!$D$119+IF(OR(Brand_Profile!$F$21="",Brand_Profile!$F$21="Nasional"),100,IF(KOL_Database!$AF$6="",Lookup_Lists!$D$150,IF(KOL_Database!$AF$6=Brand_Profile!$F$21,100,IF(KOL_Database!$AE$6=Brand_Profile!$F$20,60,Lookup_Lists!$D$151))))*Lookup_Lists!$D$120)/(Lookup_Lists!$D$118+Lookup_Lists!$D$119+Lookup_Lists!$D$120),0)</f>
        <v>100</v>
      </c>
      <c r="R67" s="142">
        <f>IF(Brand_Profile!$F$68=0,Lookup_Lists!$D$150,ROUND((IF(Brand_Profile!$F$63="",0,IF(ISNUMBER(SEARCH(Brand_Profile!$F$63,KOL_Database!$AG$6)),1,0))+IF(Brand_Profile!$F$64="",0,IF(ISNUMBER(SEARCH(Brand_Profile!$F$64,KOL_Database!$AG$6)),1,0))+IF(Brand_Profile!$F$65="",0,IF(ISNUMBER(SEARCH(Brand_Profile!$F$65,KOL_Database!$AG$6)),1,0))+IF(Brand_Profile!$F$66="",0,IF(ISNUMBER(SEARCH(Brand_Profile!$F$66,KOL_Database!$AG$6)),1,0))+IF(Brand_Profile!$F$67="",0,IF(ISNUMBER(SEARCH(Brand_Profile!$F$67,KOL_Database!$AG$6)),1,0)))/Brand_Profile!$F$68*100,0))</f>
        <v>0</v>
      </c>
      <c r="S67" s="142">
        <f ca="1">ROUND((Matching_Engine!$O$67*Brand_Profile!$F$96+Matching_Engine!$P$67*Brand_Profile!$F$97+Matching_Engine!$Q$67*Brand_Profile!$F$98+Matching_Engine!$R$67*Brand_Profile!$F$99)/MAX(1,Brand_Profile!$F$96+Brand_Profile!$F$97+Brand_Profile!$F$98+Brand_Profile!$F$99),0)</f>
        <v>64</v>
      </c>
      <c r="T67" s="142">
        <f>IF(Brand_Profile!$F$33="",Lookup_Lists!$D$150,Matching_Engine!$BD$67)</f>
        <v>20</v>
      </c>
      <c r="U67" s="142">
        <f>IF(Brand_Profile!$F$34="",Lookup_Lists!$D$150,IF(Brand_Profile!$F$34=KOL_Database!$F$6,100,IF(Matching_Engine!$BE$67=KOL_Database!$E$6,75,IF(Matching_Engine!$BD$67&gt;=80,Lookup_Lists!$D$150,IF(Matching_Engine!$BD$67&gt;=60,35,Lookup_Lists!$D$151)))))</f>
        <v>20</v>
      </c>
      <c r="V67" s="142">
        <f>IF(Brand_Profile!$F$86=0,Lookup_Lists!$D$150,ROUND((IF(Brand_Profile!$F$81="",0,IF(ISNUMBER(SEARCH(Brand_Profile!$F$81,Matching_Engine!$BG$67)),1,0))+IF(Brand_Profile!$F$82="",0,IF(ISNUMBER(SEARCH(Brand_Profile!$F$82,Matching_Engine!$BG$67)),1,0))+IF(Brand_Profile!$F$83="",0,IF(ISNUMBER(SEARCH(Brand_Profile!$F$83,Matching_Engine!$BG$67)),1,0))+IF(Brand_Profile!$F$84="",0,IF(ISNUMBER(SEARCH(Brand_Profile!$F$84,Matching_Engine!$BG$67)),1,0))+IF(Brand_Profile!$F$85="",0,IF(ISNUMBER(SEARCH(Brand_Profile!$F$85,Matching_Engine!$BG$67)),1,0)))/Brand_Profile!$F$86*100,0))</f>
        <v>0</v>
      </c>
      <c r="W67" s="142">
        <f>IF(Brand_Profile!$F$39="",Lookup_Lists!$D$150,IFERROR(INDEX(Lookup_Lists!$B$237:$K$246,MATCH(Brand_Profile!$F$39,Lookup_Lists!$A$237:$A$246,0),MATCH(KOL_Database!$AJ$6,Lookup_Lists!$B$236:$K$236,0)),45))</f>
        <v>45</v>
      </c>
      <c r="X67" s="142">
        <f>ROUND((Matching_Engine!$T$67*Lookup_Lists!$D$121+Matching_Engine!$U$67*Lookup_Lists!$D$122+Matching_Engine!$V$67*Lookup_Lists!$D$123+Matching_Engine!$W$67*Lookup_Lists!$D$124)/(Lookup_Lists!$D$121+Lookup_Lists!$D$122+Lookup_Lists!$D$123+Lookup_Lists!$D$124),0)</f>
        <v>19</v>
      </c>
      <c r="Y67" s="142">
        <f>MIN(100,MAX(IFERROR(INDEX(Lookup_Lists!$B$202:$M$211,MATCH(Brand_Profile!$F$25,Lookup_Lists!$A$202:$A$211,0),MATCH(KOL_Database!$AK$6,Lookup_Lists!$B$201:$M$201,0)),40),IF(KOL_Database!$AK$6=Brand_Profile!$F$41,95,0)))</f>
        <v>60</v>
      </c>
      <c r="Z67" s="142">
        <f>IFERROR(INDEX(Lookup_Lists!$B$215:$K$222,MATCH(Brand_Profile!$F$27,Lookup_Lists!$A$215:$A$222,0),MATCH(KOL_Database!$AJ$6,Lookup_Lists!$B$214:$K$214,0)),45)</f>
        <v>60</v>
      </c>
      <c r="AA67" s="142">
        <f>ROUND((IF(Brand_Profile!$F$80=0,Lookup_Lists!$D$150,ROUND((IF(Brand_Profile!$F$75="",0,IF(ISNUMBER(SEARCH(Brand_Profile!$F$75,KOL_Database!$AL$6)),1,0))+IF(Brand_Profile!$F$76="",0,IF(ISNUMBER(SEARCH(Brand_Profile!$F$76,KOL_Database!$AL$6)),1,0))+IF(Brand_Profile!$F$77="",0,IF(ISNUMBER(SEARCH(Brand_Profile!$F$77,KOL_Database!$AL$6)),1,0))+IF(Brand_Profile!$F$78="",0,IF(ISNUMBER(SEARCH(Brand_Profile!$F$78,KOL_Database!$AL$6)),1,0))+IF(Brand_Profile!$F$79="",0,IF(ISNUMBER(SEARCH(Brand_Profile!$F$79,KOL_Database!$AL$6)),1,0)))/Brand_Profile!$F$80*100,0))+IF(Brand_Profile!$F$92=0,Lookup_Lists!$D$150,ROUND((IF(Brand_Profile!$F$87="",0,IF(ISNUMBER(SEARCH(Brand_Profile!$F$87,KOL_Database!$AL$6)),1,0))+IF(Brand_Profile!$F$88="",0,IF(ISNUMBER(SEARCH(Brand_Profile!$F$88,KOL_Database!$AL$6)),1,0))+IF(Brand_Profile!$F$89="",0,IF(ISNUMBER(SEARCH(Brand_Profile!$F$89,KOL_Database!$AL$6)),1,0))+IF(Brand_Profile!$F$90="",0,IF(ISNUMBER(SEARCH(Brand_Profile!$F$90,KOL_Database!$AL$6)),1,0))+IF(Brand_Profile!$F$91="",0,IF(ISNUMBER(SEARCH(Brand_Profile!$F$91,KOL_Database!$AL$6)),1,0)))/Brand_Profile!$F$92*100,0)))/2,0)</f>
        <v>0</v>
      </c>
      <c r="AB67" s="142">
        <f>IFERROR(INDEX(Lookup_Lists!$B$226:$K$233,MATCH(Brand_Profile!$F$30,Lookup_Lists!$A$226:$A$233,0),MATCH(KOL_Database!$AJ$6,Lookup_Lists!$B$225:$K$225,0)),45)</f>
        <v>60</v>
      </c>
      <c r="AC67" s="142">
        <f>ROUND((Matching_Engine!$Y$67*Lookup_Lists!$D$125+Matching_Engine!$Z$67*Lookup_Lists!$D$126+Matching_Engine!$AA$67*Lookup_Lists!$D$127+Matching_Engine!$AB$67*Lookup_Lists!$D$128)/(Lookup_Lists!$D$125+Lookup_Lists!$D$126+Lookup_Lists!$D$127+Lookup_Lists!$D$128),0)</f>
        <v>45</v>
      </c>
      <c r="AD67" s="142">
        <f>IF(KOL_Database!$K$6="",0,MIN(100,ROUND(KOL_Database!$K$6/Lookup_Lists!$D$141*100,0)))</f>
        <v>100</v>
      </c>
      <c r="AE67" s="142">
        <f>IF(KOL_Database!$R$6="",0,MIN(100,MAX(0,KOL_Database!$R$6)))</f>
        <v>75</v>
      </c>
      <c r="AF67" s="142">
        <f>IF(KOL_Database!$P$6="",0,MIN(100,MAX(0,KOL_Database!$P$6)))</f>
        <v>56</v>
      </c>
      <c r="AG67" s="142">
        <f>IF(KOL_Database!$Q$6="",0,MIN(100,MAX(0,KOL_Database!$Q$6)))</f>
        <v>92</v>
      </c>
      <c r="AH67" s="142">
        <f>IF(OR(KOL_Database!$J$6="",KOL_Database!$J$6=0,KOL_Database!$L$6=""),0,MIN(100,ROUND(KOL_Database!$L$6/KOL_Database!$J$6/Lookup_Lists!$D$144*100,0)))</f>
        <v>100</v>
      </c>
      <c r="AI67" s="142">
        <f>IF(KOL_Database!$N$6="",0,MIN(100,MAX(0,ROUND((KOL_Database!$N$6+2)/(Lookup_Lists!$D$145+2)*100,0))))</f>
        <v>69</v>
      </c>
      <c r="AJ67" s="142">
        <f>ROUND((Matching_Engine!$AD$67*Lookup_Lists!$D$129+Matching_Engine!$AE$67*Lookup_Lists!$D$130+Matching_Engine!$AF$67*Lookup_Lists!$D$131+Matching_Engine!$AG$67*Lookup_Lists!$D$132+Matching_Engine!$AH$67*Lookup_Lists!$D$133+Matching_Engine!$AI$67*Lookup_Lists!$D$134)/(Lookup_Lists!$D$129+Lookup_Lists!$D$130+Lookup_Lists!$D$131+Lookup_Lists!$D$132+Lookup_Lists!$D$133+Lookup_Lists!$D$134),0)</f>
        <v>84</v>
      </c>
      <c r="AK67" s="142">
        <f>IF(KOL_Database!$AT$6="",0,MIN(100,MAX(0,KOL_Database!$AT$6)))</f>
        <v>82</v>
      </c>
      <c r="AL67" s="142">
        <f>IF(KOL_Database!$AU$6="",0,KOL_Database!$AU$6)</f>
        <v>40</v>
      </c>
      <c r="AM67" s="89" t="str">
        <f>IF(KOL_Database!$AV$6="","None",KOL_Database!$AV$6)</f>
        <v>None</v>
      </c>
      <c r="AN67" s="143">
        <f>IF(Matching_Engine!$AM$67="High",Lookup_Lists!$D$137,IF(Matching_Engine!$AM$67="Medium",Lookup_Lists!$D$138,IF(Matching_Engine!$AM$67="Low",Lookup_Lists!$D$139,Lookup_Lists!$D$140)))</f>
        <v>1</v>
      </c>
      <c r="AO67" s="142">
        <f>ROUND(MIN(100,MAX(0,(Matching_Engine!$AK$67*Lookup_Lists!$D$135+(100-Matching_Engine!$AL$67)*Lookup_Lists!$D$136)/(Lookup_Lists!$D$135+Lookup_Lists!$D$136)*Matching_Engine!$AN$67)),0)</f>
        <v>78</v>
      </c>
      <c r="AP67" s="13">
        <f ca="1">ROUND((Matching_Engine!$N$67*Lookup_Lists!$D$104+Matching_Engine!$S$67*Lookup_Lists!$D$105+Matching_Engine!$X$67*Lookup_Lists!$D$106+Matching_Engine!$AC$67*Lookup_Lists!$D$107+Matching_Engine!$AJ$67*Lookup_Lists!$D$108+Matching_Engine!$AO$67*Lookup_Lists!$D$109)/MAX(1,(Lookup_Lists!$D$104+Lookup_Lists!$D$105+Lookup_Lists!$D$106+Lookup_Lists!$D$107+Lookup_Lists!$D$108+Lookup_Lists!$D$109)),0)</f>
        <v>47</v>
      </c>
      <c r="AQ67" s="89" t="str">
        <f ca="1">IF(Matching_Engine!$AP$67&gt;=Lookup_Lists!$D$152,"Excellent Match",IF(Matching_Engine!$AP$67&gt;=Lookup_Lists!$D$153,"Strong Match",IF(Matching_Engine!$AP$67&gt;=Lookup_Lists!$D$154,"Good Match",IF(Matching_Engine!$AP$67&gt;=Lookup_Lists!$D$155,"Moderate Match","Low Match"))))</f>
        <v>Low Match</v>
      </c>
      <c r="AR67" s="142">
        <f>KOL_Database!$BE$6</f>
        <v>100</v>
      </c>
      <c r="AS67" s="89" t="str">
        <f>IF(Matching_Engine!$AR$67&gt;=Lookup_Lists!$D$159,"High",IF(Matching_Engine!$AR$67&gt;=Lookup_Lists!$D$160,"Medium","Limited Data"))</f>
        <v>High</v>
      </c>
      <c r="AT67" s="142">
        <f>ROUND((Matching_Engine!$N$67+Matching_Engine!$X$67+Matching_Engine!$AC$67)/3,0)</f>
        <v>26</v>
      </c>
      <c r="AU67" s="142">
        <f>ROUND(((100-Matching_Engine!$AL$67)*Lookup_Lists!$D$162+IF(KOL_Database!$BD$6="",Lookup_Lists!$D$150,KOL_Database!$BD$6)*Lookup_Lists!$D$163+Matching_Engine!$AI$67*Lookup_Lists!$D$164+Matching_Engine!$AD$67*Lookup_Lists!$D$165)/(Lookup_Lists!$D$162+Lookup_Lists!$D$163+Lookup_Lists!$D$164+Lookup_Lists!$D$165),0)</f>
        <v>78</v>
      </c>
      <c r="AV67" s="89" t="str">
        <f ca="1">IF(Matching_Engine!$AW$67="","PASS","EXCLUDED")</f>
        <v>PASS</v>
      </c>
      <c r="AW67" s="89" t="str">
        <f ca="1">IF(ISERROR(SEARCH(KOL_Database!$D$6,Brand_Profile!$F$32)),"Platform not in Preferred Platform",IF(AND(Brand_Profile!$F$36&gt;0,KOL_Database!$J$6&lt;Brand_Profile!$F$36),"Followers below Preferred Follower Range",IF(AND(Brand_Profile!$F$37&gt;0,KOL_Database!$J$6&gt;Brand_Profile!$F$37),"Followers above Preferred Follower Range",IF(AND(Brand_Profile!$F$38&gt;0,IF(KOL_Database!$K$6="",0,KOL_Database!$K$6)&lt;Brand_Profile!$F$38),"Engagement Rate below Minimum Engagement Rate",IF(ISERROR(SEARCH(KOL_Database!$G$6,Brand_Profile!$F$35)),"Tier not in Preferred Tier",IF(AND(Brand_Profile!$F$43&gt;0,Matching_Engine!$AE$67&lt;Brand_Profile!$F$43),"Audience Quality below Minimum Audience Quality",IF(AND(Brand_Profile!$F$44&gt;0,Matching_Engine!$AK$67&lt;Brand_Profile!$F$44),"Brand Safety below Minimum Brand Safety",IF(AND(Brand_Profile!$F$47="Yes",KOL_Database!$AD$6&lt;&gt;Brand_Profile!$F$19),"Audience Country does not match Target Country",IF(AND(Brand_Profile!$F$46="Yes",KOL_Database!$E$6&lt;&gt;Brand_Profile!$F$33),"Category is not the Preferred Category",IF(AND(Brand_Profile!$F$48&gt;0,Matching_Engine!$AL$67&gt;Brand_Profile!$F$48),"Competitor Saturation above Max Competitor Saturation",IF(AND(Brand_Profile!$F$50="Yes",KOL_Database!$AW$6="Yes"),"Already Selected",IF(AND(Brand_Profile!$F$51="Yes",KOL_Database!$AX$6="Yes"),"Already in Cart",IF(AND(Brand_Profile!$F$52="Yes",KOL_Database!$AY$6="Yes"),"Existing Partner",IF(AND(Brand_Profile!$F$53="Yes",KOL_Database!$AZ$6="Yes"),"Excluded Creator",IF(AND(Brand_Profile!$F$49&gt;0,Matching_Engine!$AP$67&lt;Brand_Profile!$F$49),"Brand Match below Minimum Brand Match","")))))))))))))))</f>
        <v/>
      </c>
      <c r="AX67" s="89" t="str">
        <f ca="1">IF(Matching_Engine!$AV$67="EXCLUDED","Excluded",IF(Matching_Engine!$AP$67&gt;=Lookup_Lists!$D$156,"Highly Recommended",IF(Matching_Engine!$AP$67&gt;=Lookup_Lists!$D$157,"Recommended",IF(Matching_Engine!$AP$67&gt;=Lookup_Lists!$D$158,"Consider","Low Priority"))))</f>
        <v>Low Priority</v>
      </c>
      <c r="AY67" s="142">
        <f ca="1">IF(Matching_Engine!$AV$67="PASS",Matching_Engine!$AP$67,"")</f>
        <v>47</v>
      </c>
      <c r="AZ67" s="89" t="str">
        <f>Matching_Engine!$A$67&amp;"|"&amp;Matching_Engine!$C$67</f>
        <v>BRAND-C|KOL-02</v>
      </c>
      <c r="BA67" s="89" t="str">
        <f>IFERROR(INDEX(Lookup_Lists!$B$51:$B$92,MATCH(Brand_Profile!$F$12,Lookup_Lists!$A$51:$A$92,0)),"")</f>
        <v>Food</v>
      </c>
      <c r="BB67" s="89" t="str">
        <f>IFERROR(INDEX(Lookup_Lists!$B$51:$B$92,MATCH(KOL_Database!$F$6,Lookup_Lists!$A$51:$A$92,0)),"")</f>
        <v>Tech</v>
      </c>
      <c r="BC67" s="142">
        <f>IFERROR(INDEX(Lookup_Lists!$B$185:$O$198,MATCH(Matching_Engine!$BA$67,Lookup_Lists!$A$185:$A$198,0),MATCH(KOL_Database!$E$6,Lookup_Lists!$B$184:$O$184,0)),Lookup_Lists!$D$151)</f>
        <v>20</v>
      </c>
      <c r="BD67" s="142">
        <f>IFERROR(INDEX(Lookup_Lists!$B$185:$O$198,MATCH(Brand_Profile!$F$33,Lookup_Lists!$A$185:$A$198,0),MATCH(KOL_Database!$E$6,Lookup_Lists!$B$184:$O$184,0)),Lookup_Lists!$D$151)</f>
        <v>20</v>
      </c>
      <c r="BE67" s="89" t="str">
        <f>IFERROR(INDEX(Lookup_Lists!$B$51:$B$92,MATCH(Brand_Profile!$F$34,Lookup_Lists!$A$51:$A$92,0)),"")</f>
        <v>Food</v>
      </c>
      <c r="BF67" s="89" t="str">
        <f>KOL_Database!$AI$6&amp;", "&amp;KOL_Database!$AG$6&amp;", "&amp;KOL_Database!$F$6&amp;", "&amp;KOL_Database!$E$6</f>
        <v>Technology, Productivity, Education, Business, Technology, Productivity, Education, Business, Finance, Software &amp; SaaS, Tech</v>
      </c>
      <c r="BG67" s="89" t="str">
        <f>KOL_Database!$AI$6&amp;", "&amp;KOL_Database!$AG$6</f>
        <v>Technology, Productivity, Education, Business, Technology, Productivity, Education, Business, Finance</v>
      </c>
    </row>
    <row r="68" spans="1:59">
      <c r="A68" s="101" t="s">
        <v>119</v>
      </c>
      <c r="B68" s="89" t="str">
        <f>Brand_Profile!$F$9</f>
        <v>Rasa Nusantara</v>
      </c>
      <c r="C68" s="89" t="str">
        <f>KOL_Database!$A$7</f>
        <v>KOL-03</v>
      </c>
      <c r="D68" s="89" t="str">
        <f>KOL_Database!$B$7</f>
        <v>Salsa Aulia</v>
      </c>
      <c r="E68" s="89" t="str">
        <f>KOL_Database!$C$7</f>
        <v>@salsabeautydiary</v>
      </c>
      <c r="F68" s="89" t="str">
        <f>KOL_Database!$D$7</f>
        <v>Instagram</v>
      </c>
      <c r="G68" s="89" t="str">
        <f>KOL_Database!$E$7</f>
        <v>Beauty</v>
      </c>
      <c r="H68" s="89" t="str">
        <f>KOL_Database!$G$7</f>
        <v>Macro</v>
      </c>
      <c r="I68" s="140">
        <f>KOL_Database!$J$7</f>
        <v>240000</v>
      </c>
      <c r="J68" s="141">
        <f>KOL_Database!$K$7</f>
        <v>4.4</v>
      </c>
      <c r="K68" s="142">
        <f>IFERROR(INDEX(Lookup_Lists!$B$170:$O$181,MATCH(Brand_Profile!$F$10,Lookup_Lists!$A$170:$A$181,0),MATCH(KOL_Database!$E$7,Lookup_Lists!$B$169:$O$169,0)),Lookup_Lists!$D$151)</f>
        <v>40</v>
      </c>
      <c r="L68" s="142">
        <f>IF(KOL_Database!$F$7="",Matching_Engine!$BC$68,IF(Brand_Profile!$F$12=KOL_Database!$F$7,100,IF(Matching_Engine!$BA$68=KOL_Database!$E$7,80,IF(Matching_Engine!$BC$68&gt;=80,60,IF(Matching_Engine!$BC$68&gt;=60,40,Lookup_Lists!$D$151)))))</f>
        <v>40</v>
      </c>
      <c r="M68" s="142">
        <f>ROUND((IF(Brand_Profile!$F$62=0,Lookup_Lists!$D$150,ROUND((IF(Brand_Profile!$F$57="",0,IF(ISNUMBER(SEARCH(Brand_Profile!$F$57,Matching_Engine!$BF$68)),1,0))+IF(Brand_Profile!$F$58="",0,IF(ISNUMBER(SEARCH(Brand_Profile!$F$58,Matching_Engine!$BF$68)),1,0))+IF(Brand_Profile!$F$59="",0,IF(ISNUMBER(SEARCH(Brand_Profile!$F$59,Matching_Engine!$BF$68)),1,0))+IF(Brand_Profile!$F$60="",0,IF(ISNUMBER(SEARCH(Brand_Profile!$F$60,Matching_Engine!$BF$68)),1,0))+IF(Brand_Profile!$F$61="",0,IF(ISNUMBER(SEARCH(Brand_Profile!$F$61,Matching_Engine!$BF$68)),1,0)))/Brand_Profile!$F$62*100,0))+IF(Brand_Profile!$F$74=0,Lookup_Lists!$D$150,ROUND((IF(Brand_Profile!$F$69="",0,IF(ISNUMBER(SEARCH(Brand_Profile!$F$69,Matching_Engine!$BF$68)),1,0))+IF(Brand_Profile!$F$70="",0,IF(ISNUMBER(SEARCH(Brand_Profile!$F$70,Matching_Engine!$BF$68)),1,0))+IF(Brand_Profile!$F$71="",0,IF(ISNUMBER(SEARCH(Brand_Profile!$F$71,Matching_Engine!$BF$68)),1,0))+IF(Brand_Profile!$F$72="",0,IF(ISNUMBER(SEARCH(Brand_Profile!$F$72,Matching_Engine!$BF$68)),1,0))+IF(Brand_Profile!$F$73="",0,IF(ISNUMBER(SEARCH(Brand_Profile!$F$73,Matching_Engine!$BF$68)),1,0)))/Brand_Profile!$F$74*100,0)))/2,0)</f>
        <v>20</v>
      </c>
      <c r="N68" s="142">
        <f>ROUND((Matching_Engine!$K$68*Lookup_Lists!$D$110+Matching_Engine!$L$68*Lookup_Lists!$D$111+Matching_Engine!$M$68*Lookup_Lists!$D$112)/(Lookup_Lists!$D$110+Lookup_Lists!$D$111+Lookup_Lists!$D$112),0)</f>
        <v>34</v>
      </c>
      <c r="O68" s="142">
        <f ca="1">IF(Brand_Profile!$F$16="",Lookup_Lists!$D$150,MIN(100,ROUND((IFERROR(INDEX(KOL_Database!$W$7:KOL_Database!$AA$7,1,MATCH(Brand_Profile!$F$16,Lookup_Lists!$F$6:$F$10,0)),0)+0.5*IFERROR(INDEX(KOL_Database!$W$7:KOL_Database!$AA$7,1,MATCH(Brand_Profile!$F$17,Lookup_Lists!$F$6:$F$10,0)),0))/Lookup_Lists!$D$142*100,0)))</f>
        <v>93</v>
      </c>
      <c r="P68" s="142">
        <f>IF(OR(Brand_Profile!$F$18="",Brand_Profile!$F$18="Any"),100,IF(Brand_Profile!$F$18="Female",MIN(100,ROUND(KOL_Database!$AB$7/Lookup_Lists!$D$143*100,0)),IF(Brand_Profile!$F$18="Male",MIN(100,ROUND(KOL_Database!$AC$7/Lookup_Lists!$D$143*100,0)),MAX(0,ROUND(100-ABS(KOL_Database!$AB$7-50)*2,0)))))</f>
        <v>28</v>
      </c>
      <c r="Q68" s="142">
        <f>ROUND((IF(Brand_Profile!$F$19="",100,IF(KOL_Database!$AD$7=Brand_Profile!$F$19,100,Lookup_Lists!$D$151))*Lookup_Lists!$D$118+IF(OR(Brand_Profile!$F$20="",Brand_Profile!$F$20="Nasional"),100,IF(KOL_Database!$AE$7="",Lookup_Lists!$D$150,IF(KOL_Database!$AE$7=Brand_Profile!$F$20,100,IF(KOL_Database!$AD$7=Brand_Profile!$F$19,40,Lookup_Lists!$D$151))))*Lookup_Lists!$D$119+IF(OR(Brand_Profile!$F$21="",Brand_Profile!$F$21="Nasional"),100,IF(KOL_Database!$AF$7="",Lookup_Lists!$D$150,IF(KOL_Database!$AF$7=Brand_Profile!$F$21,100,IF(KOL_Database!$AE$7=Brand_Profile!$F$20,60,Lookup_Lists!$D$151))))*Lookup_Lists!$D$120)/(Lookup_Lists!$D$118+Lookup_Lists!$D$119+Lookup_Lists!$D$120),0)</f>
        <v>100</v>
      </c>
      <c r="R68" s="142">
        <f>IF(Brand_Profile!$F$68=0,Lookup_Lists!$D$150,ROUND((IF(Brand_Profile!$F$63="",0,IF(ISNUMBER(SEARCH(Brand_Profile!$F$63,KOL_Database!$AG$7)),1,0))+IF(Brand_Profile!$F$64="",0,IF(ISNUMBER(SEARCH(Brand_Profile!$F$64,KOL_Database!$AG$7)),1,0))+IF(Brand_Profile!$F$65="",0,IF(ISNUMBER(SEARCH(Brand_Profile!$F$65,KOL_Database!$AG$7)),1,0))+IF(Brand_Profile!$F$66="",0,IF(ISNUMBER(SEARCH(Brand_Profile!$F$66,KOL_Database!$AG$7)),1,0))+IF(Brand_Profile!$F$67="",0,IF(ISNUMBER(SEARCH(Brand_Profile!$F$67,KOL_Database!$AG$7)),1,0)))/Brand_Profile!$F$68*100,0))</f>
        <v>0</v>
      </c>
      <c r="S68" s="142">
        <f ca="1">ROUND((Matching_Engine!$O$68*Brand_Profile!$F$96+Matching_Engine!$P$68*Brand_Profile!$F$97+Matching_Engine!$Q$68*Brand_Profile!$F$98+Matching_Engine!$R$68*Brand_Profile!$F$99)/MAX(1,Brand_Profile!$F$96+Brand_Profile!$F$97+Brand_Profile!$F$98+Brand_Profile!$F$99),0)</f>
        <v>63</v>
      </c>
      <c r="T68" s="142">
        <f>IF(Brand_Profile!$F$33="",Lookup_Lists!$D$150,Matching_Engine!$BD$68)</f>
        <v>60</v>
      </c>
      <c r="U68" s="142">
        <f>IF(Brand_Profile!$F$34="",Lookup_Lists!$D$150,IF(Brand_Profile!$F$34=KOL_Database!$F$7,100,IF(Matching_Engine!$BE$68=KOL_Database!$E$7,75,IF(Matching_Engine!$BD$68&gt;=80,Lookup_Lists!$D$150,IF(Matching_Engine!$BD$68&gt;=60,35,Lookup_Lists!$D$151)))))</f>
        <v>35</v>
      </c>
      <c r="V68" s="142">
        <f>IF(Brand_Profile!$F$86=0,Lookup_Lists!$D$150,ROUND((IF(Brand_Profile!$F$81="",0,IF(ISNUMBER(SEARCH(Brand_Profile!$F$81,Matching_Engine!$BG$68)),1,0))+IF(Brand_Profile!$F$82="",0,IF(ISNUMBER(SEARCH(Brand_Profile!$F$82,Matching_Engine!$BG$68)),1,0))+IF(Brand_Profile!$F$83="",0,IF(ISNUMBER(SEARCH(Brand_Profile!$F$83,Matching_Engine!$BG$68)),1,0))+IF(Brand_Profile!$F$84="",0,IF(ISNUMBER(SEARCH(Brand_Profile!$F$84,Matching_Engine!$BG$68)),1,0))+IF(Brand_Profile!$F$85="",0,IF(ISNUMBER(SEARCH(Brand_Profile!$F$85,Matching_Engine!$BG$68)),1,0)))/Brand_Profile!$F$86*100,0))</f>
        <v>0</v>
      </c>
      <c r="W68" s="142">
        <f>IF(Brand_Profile!$F$39="",Lookup_Lists!$D$150,IFERROR(INDEX(Lookup_Lists!$B$237:$K$246,MATCH(Brand_Profile!$F$39,Lookup_Lists!$A$237:$A$246,0),MATCH(KOL_Database!$AJ$7,Lookup_Lists!$B$236:$K$236,0)),45))</f>
        <v>45</v>
      </c>
      <c r="X68" s="142">
        <f>ROUND((Matching_Engine!$T$68*Lookup_Lists!$D$121+Matching_Engine!$U$68*Lookup_Lists!$D$122+Matching_Engine!$V$68*Lookup_Lists!$D$123+Matching_Engine!$W$68*Lookup_Lists!$D$124)/(Lookup_Lists!$D$121+Lookup_Lists!$D$122+Lookup_Lists!$D$123+Lookup_Lists!$D$124),0)</f>
        <v>34</v>
      </c>
      <c r="Y68" s="142">
        <f>MIN(100,MAX(IFERROR(INDEX(Lookup_Lists!$B$202:$M$211,MATCH(Brand_Profile!$F$25,Lookup_Lists!$A$202:$A$211,0),MATCH(KOL_Database!$AK$7,Lookup_Lists!$B$201:$M$201,0)),40),IF(KOL_Database!$AK$7=Brand_Profile!$F$41,95,0)))</f>
        <v>60</v>
      </c>
      <c r="Z68" s="142">
        <f>IFERROR(INDEX(Lookup_Lists!$B$215:$K$222,MATCH(Brand_Profile!$F$27,Lookup_Lists!$A$215:$A$222,0),MATCH(KOL_Database!$AJ$7,Lookup_Lists!$B$214:$K$214,0)),45)</f>
        <v>65</v>
      </c>
      <c r="AA68" s="142">
        <f>ROUND((IF(Brand_Profile!$F$80=0,Lookup_Lists!$D$150,ROUND((IF(Brand_Profile!$F$75="",0,IF(ISNUMBER(SEARCH(Brand_Profile!$F$75,KOL_Database!$AL$7)),1,0))+IF(Brand_Profile!$F$76="",0,IF(ISNUMBER(SEARCH(Brand_Profile!$F$76,KOL_Database!$AL$7)),1,0))+IF(Brand_Profile!$F$77="",0,IF(ISNUMBER(SEARCH(Brand_Profile!$F$77,KOL_Database!$AL$7)),1,0))+IF(Brand_Profile!$F$78="",0,IF(ISNUMBER(SEARCH(Brand_Profile!$F$78,KOL_Database!$AL$7)),1,0))+IF(Brand_Profile!$F$79="",0,IF(ISNUMBER(SEARCH(Brand_Profile!$F$79,KOL_Database!$AL$7)),1,0)))/Brand_Profile!$F$80*100,0))+IF(Brand_Profile!$F$92=0,Lookup_Lists!$D$150,ROUND((IF(Brand_Profile!$F$87="",0,IF(ISNUMBER(SEARCH(Brand_Profile!$F$87,KOL_Database!$AL$7)),1,0))+IF(Brand_Profile!$F$88="",0,IF(ISNUMBER(SEARCH(Brand_Profile!$F$88,KOL_Database!$AL$7)),1,0))+IF(Brand_Profile!$F$89="",0,IF(ISNUMBER(SEARCH(Brand_Profile!$F$89,KOL_Database!$AL$7)),1,0))+IF(Brand_Profile!$F$90="",0,IF(ISNUMBER(SEARCH(Brand_Profile!$F$90,KOL_Database!$AL$7)),1,0))+IF(Brand_Profile!$F$91="",0,IF(ISNUMBER(SEARCH(Brand_Profile!$F$91,KOL_Database!$AL$7)),1,0)))/Brand_Profile!$F$92*100,0)))/2,0)</f>
        <v>20</v>
      </c>
      <c r="AB68" s="142">
        <f>IFERROR(INDEX(Lookup_Lists!$B$226:$K$233,MATCH(Brand_Profile!$F$30,Lookup_Lists!$A$226:$A$233,0),MATCH(KOL_Database!$AJ$7,Lookup_Lists!$B$225:$K$225,0)),45)</f>
        <v>60</v>
      </c>
      <c r="AC68" s="142">
        <f>ROUND((Matching_Engine!$Y$68*Lookup_Lists!$D$125+Matching_Engine!$Z$68*Lookup_Lists!$D$126+Matching_Engine!$AA$68*Lookup_Lists!$D$127+Matching_Engine!$AB$68*Lookup_Lists!$D$128)/(Lookup_Lists!$D$125+Lookup_Lists!$D$126+Lookup_Lists!$D$127+Lookup_Lists!$D$128),0)</f>
        <v>51</v>
      </c>
      <c r="AD68" s="142">
        <f>IF(KOL_Database!$K$7="",0,MIN(100,ROUND(KOL_Database!$K$7/Lookup_Lists!$D$141*100,0)))</f>
        <v>73</v>
      </c>
      <c r="AE68" s="142">
        <f>IF(KOL_Database!$R$7="",0,MIN(100,MAX(0,KOL_Database!$R$7)))</f>
        <v>77</v>
      </c>
      <c r="AF68" s="142">
        <f>IF(KOL_Database!$P$7="",0,MIN(100,MAX(0,KOL_Database!$P$7)))</f>
        <v>74</v>
      </c>
      <c r="AG68" s="142">
        <f>IF(KOL_Database!$Q$7="",0,MIN(100,MAX(0,KOL_Database!$Q$7)))</f>
        <v>68</v>
      </c>
      <c r="AH68" s="142">
        <f>IF(OR(KOL_Database!$J$7="",KOL_Database!$J$7=0,KOL_Database!$L$7=""),0,MIN(100,ROUND(KOL_Database!$L$7/KOL_Database!$J$7/Lookup_Lists!$D$144*100,0)))</f>
        <v>59</v>
      </c>
      <c r="AI68" s="142">
        <f>IF(KOL_Database!$N$7="",0,MIN(100,MAX(0,ROUND((KOL_Database!$N$7+2)/(Lookup_Lists!$D$145+2)*100,0))))</f>
        <v>47</v>
      </c>
      <c r="AJ68" s="142">
        <f>ROUND((Matching_Engine!$AD$68*Lookup_Lists!$D$129+Matching_Engine!$AE$68*Lookup_Lists!$D$130+Matching_Engine!$AF$68*Lookup_Lists!$D$131+Matching_Engine!$AG$68*Lookup_Lists!$D$132+Matching_Engine!$AH$68*Lookup_Lists!$D$133+Matching_Engine!$AI$68*Lookup_Lists!$D$134)/(Lookup_Lists!$D$129+Lookup_Lists!$D$130+Lookup_Lists!$D$131+Lookup_Lists!$D$132+Lookup_Lists!$D$133+Lookup_Lists!$D$134),0)</f>
        <v>71</v>
      </c>
      <c r="AK68" s="142">
        <f>IF(KOL_Database!$AT$7="",0,MIN(100,MAX(0,KOL_Database!$AT$7)))</f>
        <v>85</v>
      </c>
      <c r="AL68" s="142">
        <f>IF(KOL_Database!$AU$7="",0,KOL_Database!$AU$7)</f>
        <v>45</v>
      </c>
      <c r="AM68" s="89" t="str">
        <f>IF(KOL_Database!$AV$7="","None",KOL_Database!$AV$7)</f>
        <v>None</v>
      </c>
      <c r="AN68" s="143">
        <f>IF(Matching_Engine!$AM$68="High",Lookup_Lists!$D$137,IF(Matching_Engine!$AM$68="Medium",Lookup_Lists!$D$138,IF(Matching_Engine!$AM$68="Low",Lookup_Lists!$D$139,Lookup_Lists!$D$140)))</f>
        <v>1</v>
      </c>
      <c r="AO68" s="142">
        <f>ROUND(MIN(100,MAX(0,(Matching_Engine!$AK$68*Lookup_Lists!$D$135+(100-Matching_Engine!$AL$68)*Lookup_Lists!$D$136)/(Lookup_Lists!$D$135+Lookup_Lists!$D$136)*Matching_Engine!$AN$68)),0)</f>
        <v>79</v>
      </c>
      <c r="AP68" s="13">
        <f ca="1">ROUND((Matching_Engine!$N$68*Lookup_Lists!$D$104+Matching_Engine!$S$68*Lookup_Lists!$D$105+Matching_Engine!$X$68*Lookup_Lists!$D$106+Matching_Engine!$AC$68*Lookup_Lists!$D$107+Matching_Engine!$AJ$68*Lookup_Lists!$D$108+Matching_Engine!$AO$68*Lookup_Lists!$D$109)/MAX(1,(Lookup_Lists!$D$104+Lookup_Lists!$D$105+Lookup_Lists!$D$106+Lookup_Lists!$D$107+Lookup_Lists!$D$108+Lookup_Lists!$D$109)),0)</f>
        <v>53</v>
      </c>
      <c r="AQ68" s="89" t="str">
        <f ca="1">IF(Matching_Engine!$AP$68&gt;=Lookup_Lists!$D$152,"Excellent Match",IF(Matching_Engine!$AP$68&gt;=Lookup_Lists!$D$153,"Strong Match",IF(Matching_Engine!$AP$68&gt;=Lookup_Lists!$D$154,"Good Match",IF(Matching_Engine!$AP$68&gt;=Lookup_Lists!$D$155,"Moderate Match","Low Match"))))</f>
        <v>Low Match</v>
      </c>
      <c r="AR68" s="142">
        <f>KOL_Database!$BE$7</f>
        <v>100</v>
      </c>
      <c r="AS68" s="89" t="str">
        <f>IF(Matching_Engine!$AR$68&gt;=Lookup_Lists!$D$159,"High",IF(Matching_Engine!$AR$68&gt;=Lookup_Lists!$D$160,"Medium","Limited Data"))</f>
        <v>High</v>
      </c>
      <c r="AT68" s="142">
        <f>ROUND((Matching_Engine!$N$68+Matching_Engine!$X$68+Matching_Engine!$AC$68)/3,0)</f>
        <v>40</v>
      </c>
      <c r="AU68" s="142">
        <f>ROUND(((100-Matching_Engine!$AL$68)*Lookup_Lists!$D$162+IF(KOL_Database!$BD$7="",Lookup_Lists!$D$150,KOL_Database!$BD$7)*Lookup_Lists!$D$163+Matching_Engine!$AI$68*Lookup_Lists!$D$164+Matching_Engine!$AD$68*Lookup_Lists!$D$165)/(Lookup_Lists!$D$162+Lookup_Lists!$D$163+Lookup_Lists!$D$164+Lookup_Lists!$D$165),0)</f>
        <v>59</v>
      </c>
      <c r="AV68" s="89" t="str">
        <f ca="1">IF(Matching_Engine!$AW$68="","PASS","EXCLUDED")</f>
        <v>EXCLUDED</v>
      </c>
      <c r="AW68" s="89" t="str">
        <f ca="1">IF(ISERROR(SEARCH(KOL_Database!$D$7,Brand_Profile!$F$32)),"Platform not in Preferred Platform",IF(AND(Brand_Profile!$F$36&gt;0,KOL_Database!$J$7&lt;Brand_Profile!$F$36),"Followers below Preferred Follower Range",IF(AND(Brand_Profile!$F$37&gt;0,KOL_Database!$J$7&gt;Brand_Profile!$F$37),"Followers above Preferred Follower Range",IF(AND(Brand_Profile!$F$38&gt;0,IF(KOL_Database!$K$7="",0,KOL_Database!$K$7)&lt;Brand_Profile!$F$38),"Engagement Rate below Minimum Engagement Rate",IF(ISERROR(SEARCH(KOL_Database!$G$7,Brand_Profile!$F$35)),"Tier not in Preferred Tier",IF(AND(Brand_Profile!$F$43&gt;0,Matching_Engine!$AE$68&lt;Brand_Profile!$F$43),"Audience Quality below Minimum Audience Quality",IF(AND(Brand_Profile!$F$44&gt;0,Matching_Engine!$AK$68&lt;Brand_Profile!$F$44),"Brand Safety below Minimum Brand Safety",IF(AND(Brand_Profile!$F$47="Yes",KOL_Database!$AD$7&lt;&gt;Brand_Profile!$F$19),"Audience Country does not match Target Country",IF(AND(Brand_Profile!$F$46="Yes",KOL_Database!$E$7&lt;&gt;Brand_Profile!$F$33),"Category is not the Preferred Category",IF(AND(Brand_Profile!$F$48&gt;0,Matching_Engine!$AL$68&gt;Brand_Profile!$F$48),"Competitor Saturation above Max Competitor Saturation",IF(AND(Brand_Profile!$F$50="Yes",KOL_Database!$AW$7="Yes"),"Already Selected",IF(AND(Brand_Profile!$F$51="Yes",KOL_Database!$AX$7="Yes"),"Already in Cart",IF(AND(Brand_Profile!$F$52="Yes",KOL_Database!$AY$7="Yes"),"Existing Partner",IF(AND(Brand_Profile!$F$53="Yes",KOL_Database!$AZ$7="Yes"),"Excluded Creator",IF(AND(Brand_Profile!$F$49&gt;0,Matching_Engine!$AP$68&lt;Brand_Profile!$F$49),"Brand Match below Minimum Brand Match","")))))))))))))))</f>
        <v>Tier not in Preferred Tier</v>
      </c>
      <c r="AX68" s="89" t="str">
        <f ca="1">IF(Matching_Engine!$AV$68="EXCLUDED","Excluded",IF(Matching_Engine!$AP$68&gt;=Lookup_Lists!$D$156,"Highly Recommended",IF(Matching_Engine!$AP$68&gt;=Lookup_Lists!$D$157,"Recommended",IF(Matching_Engine!$AP$68&gt;=Lookup_Lists!$D$158,"Consider","Low Priority"))))</f>
        <v>Excluded</v>
      </c>
      <c r="AY68" s="142" t="str">
        <f ca="1">IF(Matching_Engine!$AV$68="PASS",Matching_Engine!$AP$68,"")</f>
        <v/>
      </c>
      <c r="AZ68" s="89" t="str">
        <f>Matching_Engine!$A$68&amp;"|"&amp;Matching_Engine!$C$68</f>
        <v>BRAND-C|KOL-03</v>
      </c>
      <c r="BA68" s="89" t="str">
        <f>IFERROR(INDEX(Lookup_Lists!$B$51:$B$92,MATCH(Brand_Profile!$F$12,Lookup_Lists!$A$51:$A$92,0)),"")</f>
        <v>Food</v>
      </c>
      <c r="BB68" s="89" t="str">
        <f>IFERROR(INDEX(Lookup_Lists!$B$51:$B$92,MATCH(KOL_Database!$F$7,Lookup_Lists!$A$51:$A$92,0)),"")</f>
        <v>Beauty</v>
      </c>
      <c r="BC68" s="142">
        <f>IFERROR(INDEX(Lookup_Lists!$B$185:$O$198,MATCH(Matching_Engine!$BA$68,Lookup_Lists!$A$185:$A$198,0),MATCH(KOL_Database!$E$7,Lookup_Lists!$B$184:$O$184,0)),Lookup_Lists!$D$151)</f>
        <v>60</v>
      </c>
      <c r="BD68" s="142">
        <f>IFERROR(INDEX(Lookup_Lists!$B$185:$O$198,MATCH(Brand_Profile!$F$33,Lookup_Lists!$A$185:$A$198,0),MATCH(KOL_Database!$E$7,Lookup_Lists!$B$184:$O$184,0)),Lookup_Lists!$D$151)</f>
        <v>60</v>
      </c>
      <c r="BE68" s="89" t="str">
        <f>IFERROR(INDEX(Lookup_Lists!$B$51:$B$92,MATCH(Brand_Profile!$F$34,Lookup_Lists!$A$51:$A$92,0)),"")</f>
        <v>Food</v>
      </c>
      <c r="BF68" s="89" t="str">
        <f>KOL_Database!$AI$7&amp;", "&amp;KOL_Database!$AG$7&amp;", "&amp;KOL_Database!$F$7&amp;", "&amp;KOL_Database!$E$7</f>
        <v>Skincare, Beauty, Health, Skincare, Beauty, Makeup, Shopping, Health, Skincare, Beauty</v>
      </c>
      <c r="BG68" s="89" t="str">
        <f>KOL_Database!$AI$7&amp;", "&amp;KOL_Database!$AG$7</f>
        <v>Skincare, Beauty, Health, Skincare, Beauty, Makeup, Shopping, Health</v>
      </c>
    </row>
    <row r="69" spans="1:59">
      <c r="A69" s="101" t="s">
        <v>119</v>
      </c>
      <c r="B69" s="89" t="str">
        <f>Brand_Profile!$F$9</f>
        <v>Rasa Nusantara</v>
      </c>
      <c r="C69" s="89" t="str">
        <f>KOL_Database!$A$8</f>
        <v>KOL-04</v>
      </c>
      <c r="D69" s="89" t="str">
        <f>KOL_Database!$B$8</f>
        <v>Nadia Puspa</v>
      </c>
      <c r="E69" s="89" t="str">
        <f>KOL_Database!$C$8</f>
        <v>@nadiaglowup</v>
      </c>
      <c r="F69" s="89" t="str">
        <f>KOL_Database!$D$8</f>
        <v>TikTok</v>
      </c>
      <c r="G69" s="89" t="str">
        <f>KOL_Database!$E$8</f>
        <v>Beauty</v>
      </c>
      <c r="H69" s="89" t="str">
        <f>KOL_Database!$G$8</f>
        <v>Macro</v>
      </c>
      <c r="I69" s="140">
        <f>KOL_Database!$J$8</f>
        <v>512000</v>
      </c>
      <c r="J69" s="141">
        <f>KOL_Database!$K$8</f>
        <v>7.1</v>
      </c>
      <c r="K69" s="142">
        <f>IFERROR(INDEX(Lookup_Lists!$B$170:$O$181,MATCH(Brand_Profile!$F$10,Lookup_Lists!$A$170:$A$181,0),MATCH(KOL_Database!$E$8,Lookup_Lists!$B$169:$O$169,0)),Lookup_Lists!$D$151)</f>
        <v>40</v>
      </c>
      <c r="L69" s="142">
        <f>IF(KOL_Database!$F$8="",Matching_Engine!$BC$69,IF(Brand_Profile!$F$12=KOL_Database!$F$8,100,IF(Matching_Engine!$BA$69=KOL_Database!$E$8,80,IF(Matching_Engine!$BC$69&gt;=80,60,IF(Matching_Engine!$BC$69&gt;=60,40,Lookup_Lists!$D$151)))))</f>
        <v>40</v>
      </c>
      <c r="M69" s="142">
        <f>ROUND((IF(Brand_Profile!$F$62=0,Lookup_Lists!$D$150,ROUND((IF(Brand_Profile!$F$57="",0,IF(ISNUMBER(SEARCH(Brand_Profile!$F$57,Matching_Engine!$BF$69)),1,0))+IF(Brand_Profile!$F$58="",0,IF(ISNUMBER(SEARCH(Brand_Profile!$F$58,Matching_Engine!$BF$69)),1,0))+IF(Brand_Profile!$F$59="",0,IF(ISNUMBER(SEARCH(Brand_Profile!$F$59,Matching_Engine!$BF$69)),1,0))+IF(Brand_Profile!$F$60="",0,IF(ISNUMBER(SEARCH(Brand_Profile!$F$60,Matching_Engine!$BF$69)),1,0))+IF(Brand_Profile!$F$61="",0,IF(ISNUMBER(SEARCH(Brand_Profile!$F$61,Matching_Engine!$BF$69)),1,0)))/Brand_Profile!$F$62*100,0))+IF(Brand_Profile!$F$74=0,Lookup_Lists!$D$150,ROUND((IF(Brand_Profile!$F$69="",0,IF(ISNUMBER(SEARCH(Brand_Profile!$F$69,Matching_Engine!$BF$69)),1,0))+IF(Brand_Profile!$F$70="",0,IF(ISNUMBER(SEARCH(Brand_Profile!$F$70,Matching_Engine!$BF$69)),1,0))+IF(Brand_Profile!$F$71="",0,IF(ISNUMBER(SEARCH(Brand_Profile!$F$71,Matching_Engine!$BF$69)),1,0))+IF(Brand_Profile!$F$72="",0,IF(ISNUMBER(SEARCH(Brand_Profile!$F$72,Matching_Engine!$BF$69)),1,0))+IF(Brand_Profile!$F$73="",0,IF(ISNUMBER(SEARCH(Brand_Profile!$F$73,Matching_Engine!$BF$69)),1,0)))/Brand_Profile!$F$74*100,0)))/2,0)</f>
        <v>40</v>
      </c>
      <c r="N69" s="142">
        <f>ROUND((Matching_Engine!$K$69*Lookup_Lists!$D$110+Matching_Engine!$L$69*Lookup_Lists!$D$111+Matching_Engine!$M$69*Lookup_Lists!$D$112)/(Lookup_Lists!$D$110+Lookup_Lists!$D$111+Lookup_Lists!$D$112),0)</f>
        <v>40</v>
      </c>
      <c r="O69" s="142">
        <f ca="1">IF(Brand_Profile!$F$16="",Lookup_Lists!$D$150,MIN(100,ROUND((IFERROR(INDEX(KOL_Database!$W$8:KOL_Database!$AA$8,1,MATCH(Brand_Profile!$F$16,Lookup_Lists!$F$6:$F$10,0)),0)+0.5*IFERROR(INDEX(KOL_Database!$W$8:KOL_Database!$AA$8,1,MATCH(Brand_Profile!$F$17,Lookup_Lists!$F$6:$F$10,0)),0))/Lookup_Lists!$D$142*100,0)))</f>
        <v>78</v>
      </c>
      <c r="P69" s="142">
        <f>IF(OR(Brand_Profile!$F$18="",Brand_Profile!$F$18="Any"),100,IF(Brand_Profile!$F$18="Female",MIN(100,ROUND(KOL_Database!$AB$8/Lookup_Lists!$D$143*100,0)),IF(Brand_Profile!$F$18="Male",MIN(100,ROUND(KOL_Database!$AC$8/Lookup_Lists!$D$143*100,0)),MAX(0,ROUND(100-ABS(KOL_Database!$AB$8-50)*2,0)))))</f>
        <v>38</v>
      </c>
      <c r="Q69" s="142">
        <f>ROUND((IF(Brand_Profile!$F$19="",100,IF(KOL_Database!$AD$8=Brand_Profile!$F$19,100,Lookup_Lists!$D$151))*Lookup_Lists!$D$118+IF(OR(Brand_Profile!$F$20="",Brand_Profile!$F$20="Nasional"),100,IF(KOL_Database!$AE$8="",Lookup_Lists!$D$150,IF(KOL_Database!$AE$8=Brand_Profile!$F$20,100,IF(KOL_Database!$AD$8=Brand_Profile!$F$19,40,Lookup_Lists!$D$151))))*Lookup_Lists!$D$119+IF(OR(Brand_Profile!$F$21="",Brand_Profile!$F$21="Nasional"),100,IF(KOL_Database!$AF$8="",Lookup_Lists!$D$150,IF(KOL_Database!$AF$8=Brand_Profile!$F$21,100,IF(KOL_Database!$AE$8=Brand_Profile!$F$20,60,Lookup_Lists!$D$151))))*Lookup_Lists!$D$120)/(Lookup_Lists!$D$118+Lookup_Lists!$D$119+Lookup_Lists!$D$120),0)</f>
        <v>100</v>
      </c>
      <c r="R69" s="142">
        <f>IF(Brand_Profile!$F$68=0,Lookup_Lists!$D$150,ROUND((IF(Brand_Profile!$F$63="",0,IF(ISNUMBER(SEARCH(Brand_Profile!$F$63,KOL_Database!$AG$8)),1,0))+IF(Brand_Profile!$F$64="",0,IF(ISNUMBER(SEARCH(Brand_Profile!$F$64,KOL_Database!$AG$8)),1,0))+IF(Brand_Profile!$F$65="",0,IF(ISNUMBER(SEARCH(Brand_Profile!$F$65,KOL_Database!$AG$8)),1,0))+IF(Brand_Profile!$F$66="",0,IF(ISNUMBER(SEARCH(Brand_Profile!$F$66,KOL_Database!$AG$8)),1,0))+IF(Brand_Profile!$F$67="",0,IF(ISNUMBER(SEARCH(Brand_Profile!$F$67,KOL_Database!$AG$8)),1,0)))/Brand_Profile!$F$68*100,0))</f>
        <v>20</v>
      </c>
      <c r="S69" s="142">
        <f ca="1">ROUND((Matching_Engine!$O$69*Brand_Profile!$F$96+Matching_Engine!$P$69*Brand_Profile!$F$97+Matching_Engine!$Q$69*Brand_Profile!$F$98+Matching_Engine!$R$69*Brand_Profile!$F$99)/MAX(1,Brand_Profile!$F$96+Brand_Profile!$F$97+Brand_Profile!$F$98+Brand_Profile!$F$99),0)</f>
        <v>64</v>
      </c>
      <c r="T69" s="142">
        <f>IF(Brand_Profile!$F$33="",Lookup_Lists!$D$150,Matching_Engine!$BD$69)</f>
        <v>60</v>
      </c>
      <c r="U69" s="142">
        <f>IF(Brand_Profile!$F$34="",Lookup_Lists!$D$150,IF(Brand_Profile!$F$34=KOL_Database!$F$8,100,IF(Matching_Engine!$BE$69=KOL_Database!$E$8,75,IF(Matching_Engine!$BD$69&gt;=80,Lookup_Lists!$D$150,IF(Matching_Engine!$BD$69&gt;=60,35,Lookup_Lists!$D$151)))))</f>
        <v>35</v>
      </c>
      <c r="V69" s="142">
        <f>IF(Brand_Profile!$F$86=0,Lookup_Lists!$D$150,ROUND((IF(Brand_Profile!$F$81="",0,IF(ISNUMBER(SEARCH(Brand_Profile!$F$81,Matching_Engine!$BG$69)),1,0))+IF(Brand_Profile!$F$82="",0,IF(ISNUMBER(SEARCH(Brand_Profile!$F$82,Matching_Engine!$BG$69)),1,0))+IF(Brand_Profile!$F$83="",0,IF(ISNUMBER(SEARCH(Brand_Profile!$F$83,Matching_Engine!$BG$69)),1,0))+IF(Brand_Profile!$F$84="",0,IF(ISNUMBER(SEARCH(Brand_Profile!$F$84,Matching_Engine!$BG$69)),1,0))+IF(Brand_Profile!$F$85="",0,IF(ISNUMBER(SEARCH(Brand_Profile!$F$85,Matching_Engine!$BG$69)),1,0)))/Brand_Profile!$F$86*100,0))</f>
        <v>20</v>
      </c>
      <c r="W69" s="142">
        <f>IF(Brand_Profile!$F$39="",Lookup_Lists!$D$150,IFERROR(INDEX(Lookup_Lists!$B$237:$K$246,MATCH(Brand_Profile!$F$39,Lookup_Lists!$A$237:$A$246,0),MATCH(KOL_Database!$AJ$8,Lookup_Lists!$B$236:$K$236,0)),45))</f>
        <v>45</v>
      </c>
      <c r="X69" s="142">
        <f>ROUND((Matching_Engine!$T$69*Lookup_Lists!$D$121+Matching_Engine!$U$69*Lookup_Lists!$D$122+Matching_Engine!$V$69*Lookup_Lists!$D$123+Matching_Engine!$W$69*Lookup_Lists!$D$124)/(Lookup_Lists!$D$121+Lookup_Lists!$D$122+Lookup_Lists!$D$123+Lookup_Lists!$D$124),0)</f>
        <v>40</v>
      </c>
      <c r="Y69" s="142">
        <f>MIN(100,MAX(IFERROR(INDEX(Lookup_Lists!$B$202:$M$211,MATCH(Brand_Profile!$F$25,Lookup_Lists!$A$202:$A$211,0),MATCH(KOL_Database!$AK$8,Lookup_Lists!$B$201:$M$201,0)),40),IF(KOL_Database!$AK$8=Brand_Profile!$F$41,95,0)))</f>
        <v>60</v>
      </c>
      <c r="Z69" s="142">
        <f>IFERROR(INDEX(Lookup_Lists!$B$215:$K$222,MATCH(Brand_Profile!$F$27,Lookup_Lists!$A$215:$A$222,0),MATCH(KOL_Database!$AJ$8,Lookup_Lists!$B$214:$K$214,0)),45)</f>
        <v>70</v>
      </c>
      <c r="AA69" s="142">
        <f>ROUND((IF(Brand_Profile!$F$80=0,Lookup_Lists!$D$150,ROUND((IF(Brand_Profile!$F$75="",0,IF(ISNUMBER(SEARCH(Brand_Profile!$F$75,KOL_Database!$AL$8)),1,0))+IF(Brand_Profile!$F$76="",0,IF(ISNUMBER(SEARCH(Brand_Profile!$F$76,KOL_Database!$AL$8)),1,0))+IF(Brand_Profile!$F$77="",0,IF(ISNUMBER(SEARCH(Brand_Profile!$F$77,KOL_Database!$AL$8)),1,0))+IF(Brand_Profile!$F$78="",0,IF(ISNUMBER(SEARCH(Brand_Profile!$F$78,KOL_Database!$AL$8)),1,0))+IF(Brand_Profile!$F$79="",0,IF(ISNUMBER(SEARCH(Brand_Profile!$F$79,KOL_Database!$AL$8)),1,0)))/Brand_Profile!$F$80*100,0))+IF(Brand_Profile!$F$92=0,Lookup_Lists!$D$150,ROUND((IF(Brand_Profile!$F$87="",0,IF(ISNUMBER(SEARCH(Brand_Profile!$F$87,KOL_Database!$AL$8)),1,0))+IF(Brand_Profile!$F$88="",0,IF(ISNUMBER(SEARCH(Brand_Profile!$F$88,KOL_Database!$AL$8)),1,0))+IF(Brand_Profile!$F$89="",0,IF(ISNUMBER(SEARCH(Brand_Profile!$F$89,KOL_Database!$AL$8)),1,0))+IF(Brand_Profile!$F$90="",0,IF(ISNUMBER(SEARCH(Brand_Profile!$F$90,KOL_Database!$AL$8)),1,0))+IF(Brand_Profile!$F$91="",0,IF(ISNUMBER(SEARCH(Brand_Profile!$F$91,KOL_Database!$AL$8)),1,0)))/Brand_Profile!$F$92*100,0)))/2,0)</f>
        <v>40</v>
      </c>
      <c r="AB69" s="142">
        <f>IFERROR(INDEX(Lookup_Lists!$B$226:$K$233,MATCH(Brand_Profile!$F$30,Lookup_Lists!$A$226:$A$233,0),MATCH(KOL_Database!$AJ$8,Lookup_Lists!$B$225:$K$225,0)),45)</f>
        <v>55</v>
      </c>
      <c r="AC69" s="142">
        <f>ROUND((Matching_Engine!$Y$69*Lookup_Lists!$D$125+Matching_Engine!$Z$69*Lookup_Lists!$D$126+Matching_Engine!$AA$69*Lookup_Lists!$D$127+Matching_Engine!$AB$69*Lookup_Lists!$D$128)/(Lookup_Lists!$D$125+Lookup_Lists!$D$126+Lookup_Lists!$D$127+Lookup_Lists!$D$128),0)</f>
        <v>57</v>
      </c>
      <c r="AD69" s="142">
        <f>IF(KOL_Database!$K$8="",0,MIN(100,ROUND(KOL_Database!$K$8/Lookup_Lists!$D$141*100,0)))</f>
        <v>100</v>
      </c>
      <c r="AE69" s="142">
        <f>IF(KOL_Database!$R$8="",0,MIN(100,MAX(0,KOL_Database!$R$8)))</f>
        <v>82</v>
      </c>
      <c r="AF69" s="142">
        <f>IF(KOL_Database!$P$8="",0,MIN(100,MAX(0,KOL_Database!$P$8)))</f>
        <v>85</v>
      </c>
      <c r="AG69" s="142">
        <f>IF(KOL_Database!$Q$8="",0,MIN(100,MAX(0,KOL_Database!$Q$8)))</f>
        <v>78</v>
      </c>
      <c r="AH69" s="142">
        <f>IF(OR(KOL_Database!$J$8="",KOL_Database!$J$8=0,KOL_Database!$L$8=""),0,MIN(100,ROUND(KOL_Database!$L$8/KOL_Database!$J$8/Lookup_Lists!$D$144*100,0)))</f>
        <v>100</v>
      </c>
      <c r="AI69" s="142">
        <f>IF(KOL_Database!$N$8="",0,MIN(100,MAX(0,ROUND((KOL_Database!$N$8+2)/(Lookup_Lists!$D$145+2)*100,0))))</f>
        <v>90</v>
      </c>
      <c r="AJ69" s="142">
        <f>ROUND((Matching_Engine!$AD$69*Lookup_Lists!$D$129+Matching_Engine!$AE$69*Lookup_Lists!$D$130+Matching_Engine!$AF$69*Lookup_Lists!$D$131+Matching_Engine!$AG$69*Lookup_Lists!$D$132+Matching_Engine!$AH$69*Lookup_Lists!$D$133+Matching_Engine!$AI$69*Lookup_Lists!$D$134)/(Lookup_Lists!$D$129+Lookup_Lists!$D$130+Lookup_Lists!$D$131+Lookup_Lists!$D$132+Lookup_Lists!$D$133+Lookup_Lists!$D$134),0)</f>
        <v>91</v>
      </c>
      <c r="AK69" s="142">
        <f>IF(KOL_Database!$AT$8="",0,MIN(100,MAX(0,KOL_Database!$AT$8)))</f>
        <v>89</v>
      </c>
      <c r="AL69" s="142">
        <f>IF(KOL_Database!$AU$8="",0,KOL_Database!$AU$8)</f>
        <v>78</v>
      </c>
      <c r="AM69" s="89" t="str">
        <f>IF(KOL_Database!$AV$8="","None",KOL_Database!$AV$8)</f>
        <v>Medium</v>
      </c>
      <c r="AN69" s="143">
        <f>IF(Matching_Engine!$AM$69="High",Lookup_Lists!$D$137,IF(Matching_Engine!$AM$69="Medium",Lookup_Lists!$D$138,IF(Matching_Engine!$AM$69="Low",Lookup_Lists!$D$139,Lookup_Lists!$D$140)))</f>
        <v>0.85</v>
      </c>
      <c r="AO69" s="142">
        <f>ROUND(MIN(100,MAX(0,(Matching_Engine!$AK$69*Lookup_Lists!$D$135+(100-Matching_Engine!$AL$69)*Lookup_Lists!$D$136)/(Lookup_Lists!$D$135+Lookup_Lists!$D$136)*Matching_Engine!$AN$69)),0)</f>
        <v>64</v>
      </c>
      <c r="AP69" s="13">
        <f ca="1">ROUND((Matching_Engine!$N$69*Lookup_Lists!$D$104+Matching_Engine!$S$69*Lookup_Lists!$D$105+Matching_Engine!$X$69*Lookup_Lists!$D$106+Matching_Engine!$AC$69*Lookup_Lists!$D$107+Matching_Engine!$AJ$69*Lookup_Lists!$D$108+Matching_Engine!$AO$69*Lookup_Lists!$D$109)/MAX(1,(Lookup_Lists!$D$104+Lookup_Lists!$D$105+Lookup_Lists!$D$106+Lookup_Lists!$D$107+Lookup_Lists!$D$108+Lookup_Lists!$D$109)),0)</f>
        <v>56</v>
      </c>
      <c r="AQ69" s="89" t="str">
        <f ca="1">IF(Matching_Engine!$AP$69&gt;=Lookup_Lists!$D$152,"Excellent Match",IF(Matching_Engine!$AP$69&gt;=Lookup_Lists!$D$153,"Strong Match",IF(Matching_Engine!$AP$69&gt;=Lookup_Lists!$D$154,"Good Match",IF(Matching_Engine!$AP$69&gt;=Lookup_Lists!$D$155,"Moderate Match","Low Match"))))</f>
        <v>Low Match</v>
      </c>
      <c r="AR69" s="142">
        <f>KOL_Database!$BE$8</f>
        <v>100</v>
      </c>
      <c r="AS69" s="89" t="str">
        <f>IF(Matching_Engine!$AR$69&gt;=Lookup_Lists!$D$159,"High",IF(Matching_Engine!$AR$69&gt;=Lookup_Lists!$D$160,"Medium","Limited Data"))</f>
        <v>High</v>
      </c>
      <c r="AT69" s="142">
        <f>ROUND((Matching_Engine!$N$69+Matching_Engine!$X$69+Matching_Engine!$AC$69)/3,0)</f>
        <v>46</v>
      </c>
      <c r="AU69" s="142">
        <f>ROUND(((100-Matching_Engine!$AL$69)*Lookup_Lists!$D$162+IF(KOL_Database!$BD$8="",Lookup_Lists!$D$150,KOL_Database!$BD$8)*Lookup_Lists!$D$163+Matching_Engine!$AI$69*Lookup_Lists!$D$164+Matching_Engine!$AD$69*Lookup_Lists!$D$165)/(Lookup_Lists!$D$162+Lookup_Lists!$D$163+Lookup_Lists!$D$164+Lookup_Lists!$D$165),0)</f>
        <v>70</v>
      </c>
      <c r="AV69" s="89" t="str">
        <f ca="1">IF(Matching_Engine!$AW$69="","PASS","EXCLUDED")</f>
        <v>EXCLUDED</v>
      </c>
      <c r="AW69" s="89" t="str">
        <f ca="1">IF(ISERROR(SEARCH(KOL_Database!$D$8,Brand_Profile!$F$32)),"Platform not in Preferred Platform",IF(AND(Brand_Profile!$F$36&gt;0,KOL_Database!$J$8&lt;Brand_Profile!$F$36),"Followers below Preferred Follower Range",IF(AND(Brand_Profile!$F$37&gt;0,KOL_Database!$J$8&gt;Brand_Profile!$F$37),"Followers above Preferred Follower Range",IF(AND(Brand_Profile!$F$38&gt;0,IF(KOL_Database!$K$8="",0,KOL_Database!$K$8)&lt;Brand_Profile!$F$38),"Engagement Rate below Minimum Engagement Rate",IF(ISERROR(SEARCH(KOL_Database!$G$8,Brand_Profile!$F$35)),"Tier not in Preferred Tier",IF(AND(Brand_Profile!$F$43&gt;0,Matching_Engine!$AE$69&lt;Brand_Profile!$F$43),"Audience Quality below Minimum Audience Quality",IF(AND(Brand_Profile!$F$44&gt;0,Matching_Engine!$AK$69&lt;Brand_Profile!$F$44),"Brand Safety below Minimum Brand Safety",IF(AND(Brand_Profile!$F$47="Yes",KOL_Database!$AD$8&lt;&gt;Brand_Profile!$F$19),"Audience Country does not match Target Country",IF(AND(Brand_Profile!$F$46="Yes",KOL_Database!$E$8&lt;&gt;Brand_Profile!$F$33),"Category is not the Preferred Category",IF(AND(Brand_Profile!$F$48&gt;0,Matching_Engine!$AL$69&gt;Brand_Profile!$F$48),"Competitor Saturation above Max Competitor Saturation",IF(AND(Brand_Profile!$F$50="Yes",KOL_Database!$AW$8="Yes"),"Already Selected",IF(AND(Brand_Profile!$F$51="Yes",KOL_Database!$AX$8="Yes"),"Already in Cart",IF(AND(Brand_Profile!$F$52="Yes",KOL_Database!$AY$8="Yes"),"Existing Partner",IF(AND(Brand_Profile!$F$53="Yes",KOL_Database!$AZ$8="Yes"),"Excluded Creator",IF(AND(Brand_Profile!$F$49&gt;0,Matching_Engine!$AP$69&lt;Brand_Profile!$F$49),"Brand Match below Minimum Brand Match","")))))))))))))))</f>
        <v>Followers above Preferred Follower Range</v>
      </c>
      <c r="AX69" s="89" t="str">
        <f ca="1">IF(Matching_Engine!$AV$69="EXCLUDED","Excluded",IF(Matching_Engine!$AP$69&gt;=Lookup_Lists!$D$156,"Highly Recommended",IF(Matching_Engine!$AP$69&gt;=Lookup_Lists!$D$157,"Recommended",IF(Matching_Engine!$AP$69&gt;=Lookup_Lists!$D$158,"Consider","Low Priority"))))</f>
        <v>Excluded</v>
      </c>
      <c r="AY69" s="142" t="str">
        <f ca="1">IF(Matching_Engine!$AV$69="PASS",Matching_Engine!$AP$69,"")</f>
        <v/>
      </c>
      <c r="AZ69" s="89" t="str">
        <f>Matching_Engine!$A$69&amp;"|"&amp;Matching_Engine!$C$69</f>
        <v>BRAND-C|KOL-04</v>
      </c>
      <c r="BA69" s="89" t="str">
        <f>IFERROR(INDEX(Lookup_Lists!$B$51:$B$92,MATCH(Brand_Profile!$F$12,Lookup_Lists!$A$51:$A$92,0)),"")</f>
        <v>Food</v>
      </c>
      <c r="BB69" s="89" t="str">
        <f>IFERROR(INDEX(Lookup_Lists!$B$51:$B$92,MATCH(KOL_Database!$F$8,Lookup_Lists!$A$51:$A$92,0)),"")</f>
        <v>Beauty</v>
      </c>
      <c r="BC69" s="142">
        <f>IFERROR(INDEX(Lookup_Lists!$B$185:$O$198,MATCH(Matching_Engine!$BA$69,Lookup_Lists!$A$185:$A$198,0),MATCH(KOL_Database!$E$8,Lookup_Lists!$B$184:$O$184,0)),Lookup_Lists!$D$151)</f>
        <v>60</v>
      </c>
      <c r="BD69" s="142">
        <f>IFERROR(INDEX(Lookup_Lists!$B$185:$O$198,MATCH(Brand_Profile!$F$33,Lookup_Lists!$A$185:$A$198,0),MATCH(KOL_Database!$E$8,Lookup_Lists!$B$184:$O$184,0)),Lookup_Lists!$D$151)</f>
        <v>60</v>
      </c>
      <c r="BE69" s="89" t="str">
        <f>IFERROR(INDEX(Lookup_Lists!$B$51:$B$92,MATCH(Brand_Profile!$F$34,Lookup_Lists!$A$51:$A$92,0)),"")</f>
        <v>Food</v>
      </c>
      <c r="BF69" s="89" t="str">
        <f>KOL_Database!$AI$8&amp;", "&amp;KOL_Database!$AG$8&amp;", "&amp;KOL_Database!$F$8&amp;", "&amp;KOL_Database!$E$8</f>
        <v>Makeup, Beauty, Fashion, Makeup, Beauty, Fashion, Shopping, Entertainment, Makeup, Beauty</v>
      </c>
      <c r="BG69" s="89" t="str">
        <f>KOL_Database!$AI$8&amp;", "&amp;KOL_Database!$AG$8</f>
        <v>Makeup, Beauty, Fashion, Makeup, Beauty, Fashion, Shopping, Entertainment</v>
      </c>
    </row>
    <row r="70" spans="1:59">
      <c r="A70" s="101" t="s">
        <v>119</v>
      </c>
      <c r="B70" s="89" t="str">
        <f>Brand_Profile!$F$9</f>
        <v>Rasa Nusantara</v>
      </c>
      <c r="C70" s="89" t="str">
        <f>KOL_Database!$A$9</f>
        <v>KOL-05</v>
      </c>
      <c r="D70" s="89" t="str">
        <f>KOL_Database!$B$9</f>
        <v>Bimo Saputra</v>
      </c>
      <c r="E70" s="89" t="str">
        <f>KOL_Database!$C$9</f>
        <v>@bimomakan</v>
      </c>
      <c r="F70" s="89" t="str">
        <f>KOL_Database!$D$9</f>
        <v>TikTok</v>
      </c>
      <c r="G70" s="89" t="str">
        <f>KOL_Database!$E$9</f>
        <v>Food</v>
      </c>
      <c r="H70" s="89" t="str">
        <f>KOL_Database!$G$9</f>
        <v>Macro</v>
      </c>
      <c r="I70" s="140">
        <f>KOL_Database!$J$9</f>
        <v>375000</v>
      </c>
      <c r="J70" s="141">
        <f>KOL_Database!$K$9</f>
        <v>8.4</v>
      </c>
      <c r="K70" s="142">
        <f>IFERROR(INDEX(Lookup_Lists!$B$170:$O$181,MATCH(Brand_Profile!$F$10,Lookup_Lists!$A$170:$A$181,0),MATCH(KOL_Database!$E$9,Lookup_Lists!$B$169:$O$169,0)),Lookup_Lists!$D$151)</f>
        <v>100</v>
      </c>
      <c r="L70" s="142">
        <f>IF(KOL_Database!$F$9="",Matching_Engine!$BC$70,IF(Brand_Profile!$F$12=KOL_Database!$F$9,100,IF(Matching_Engine!$BA$70=KOL_Database!$E$9,80,IF(Matching_Engine!$BC$70&gt;=80,60,IF(Matching_Engine!$BC$70&gt;=60,40,Lookup_Lists!$D$151)))))</f>
        <v>80</v>
      </c>
      <c r="M70" s="142">
        <f>ROUND((IF(Brand_Profile!$F$62=0,Lookup_Lists!$D$150,ROUND((IF(Brand_Profile!$F$57="",0,IF(ISNUMBER(SEARCH(Brand_Profile!$F$57,Matching_Engine!$BF$70)),1,0))+IF(Brand_Profile!$F$58="",0,IF(ISNUMBER(SEARCH(Brand_Profile!$F$58,Matching_Engine!$BF$70)),1,0))+IF(Brand_Profile!$F$59="",0,IF(ISNUMBER(SEARCH(Brand_Profile!$F$59,Matching_Engine!$BF$70)),1,0))+IF(Brand_Profile!$F$60="",0,IF(ISNUMBER(SEARCH(Brand_Profile!$F$60,Matching_Engine!$BF$70)),1,0))+IF(Brand_Profile!$F$61="",0,IF(ISNUMBER(SEARCH(Brand_Profile!$F$61,Matching_Engine!$BF$70)),1,0)))/Brand_Profile!$F$62*100,0))+IF(Brand_Profile!$F$74=0,Lookup_Lists!$D$150,ROUND((IF(Brand_Profile!$F$69="",0,IF(ISNUMBER(SEARCH(Brand_Profile!$F$69,Matching_Engine!$BF$70)),1,0))+IF(Brand_Profile!$F$70="",0,IF(ISNUMBER(SEARCH(Brand_Profile!$F$70,Matching_Engine!$BF$70)),1,0))+IF(Brand_Profile!$F$71="",0,IF(ISNUMBER(SEARCH(Brand_Profile!$F$71,Matching_Engine!$BF$70)),1,0))+IF(Brand_Profile!$F$72="",0,IF(ISNUMBER(SEARCH(Brand_Profile!$F$72,Matching_Engine!$BF$70)),1,0))+IF(Brand_Profile!$F$73="",0,IF(ISNUMBER(SEARCH(Brand_Profile!$F$73,Matching_Engine!$BF$70)),1,0)))/Brand_Profile!$F$74*100,0)))/2,0)</f>
        <v>80</v>
      </c>
      <c r="N70" s="142">
        <f>ROUND((Matching_Engine!$K$70*Lookup_Lists!$D$110+Matching_Engine!$L$70*Lookup_Lists!$D$111+Matching_Engine!$M$70*Lookup_Lists!$D$112)/(Lookup_Lists!$D$110+Lookup_Lists!$D$111+Lookup_Lists!$D$112),0)</f>
        <v>88</v>
      </c>
      <c r="O70" s="142">
        <f ca="1">IF(Brand_Profile!$F$16="",Lookup_Lists!$D$150,MIN(100,ROUND((IFERROR(INDEX(KOL_Database!$W$9:KOL_Database!$AA$9,1,MATCH(Brand_Profile!$F$16,Lookup_Lists!$F$6:$F$10,0)),0)+0.5*IFERROR(INDEX(KOL_Database!$W$9:KOL_Database!$AA$9,1,MATCH(Brand_Profile!$F$17,Lookup_Lists!$F$6:$F$10,0)),0))/Lookup_Lists!$D$142*100,0)))</f>
        <v>92</v>
      </c>
      <c r="P70" s="142">
        <f>IF(OR(Brand_Profile!$F$18="",Brand_Profile!$F$18="Any"),100,IF(Brand_Profile!$F$18="Female",MIN(100,ROUND(KOL_Database!$AB$9/Lookup_Lists!$D$143*100,0)),IF(Brand_Profile!$F$18="Male",MIN(100,ROUND(KOL_Database!$AC$9/Lookup_Lists!$D$143*100,0)),MAX(0,ROUND(100-ABS(KOL_Database!$AB$9-50)*2,0)))))</f>
        <v>96</v>
      </c>
      <c r="Q70" s="142">
        <f>ROUND((IF(Brand_Profile!$F$19="",100,IF(KOL_Database!$AD$9=Brand_Profile!$F$19,100,Lookup_Lists!$D$151))*Lookup_Lists!$D$118+IF(OR(Brand_Profile!$F$20="",Brand_Profile!$F$20="Nasional"),100,IF(KOL_Database!$AE$9="",Lookup_Lists!$D$150,IF(KOL_Database!$AE$9=Brand_Profile!$F$20,100,IF(KOL_Database!$AD$9=Brand_Profile!$F$19,40,Lookup_Lists!$D$151))))*Lookup_Lists!$D$119+IF(OR(Brand_Profile!$F$21="",Brand_Profile!$F$21="Nasional"),100,IF(KOL_Database!$AF$9="",Lookup_Lists!$D$150,IF(KOL_Database!$AF$9=Brand_Profile!$F$21,100,IF(KOL_Database!$AE$9=Brand_Profile!$F$20,60,Lookup_Lists!$D$151))))*Lookup_Lists!$D$120)/(Lookup_Lists!$D$118+Lookup_Lists!$D$119+Lookup_Lists!$D$120),0)</f>
        <v>100</v>
      </c>
      <c r="R70" s="142">
        <f>IF(Brand_Profile!$F$68=0,Lookup_Lists!$D$150,ROUND((IF(Brand_Profile!$F$63="",0,IF(ISNUMBER(SEARCH(Brand_Profile!$F$63,KOL_Database!$AG$9)),1,0))+IF(Brand_Profile!$F$64="",0,IF(ISNUMBER(SEARCH(Brand_Profile!$F$64,KOL_Database!$AG$9)),1,0))+IF(Brand_Profile!$F$65="",0,IF(ISNUMBER(SEARCH(Brand_Profile!$F$65,KOL_Database!$AG$9)),1,0))+IF(Brand_Profile!$F$66="",0,IF(ISNUMBER(SEARCH(Brand_Profile!$F$66,KOL_Database!$AG$9)),1,0))+IF(Brand_Profile!$F$67="",0,IF(ISNUMBER(SEARCH(Brand_Profile!$F$67,KOL_Database!$AG$9)),1,0)))/Brand_Profile!$F$68*100,0))</f>
        <v>80</v>
      </c>
      <c r="S70" s="142">
        <f ca="1">ROUND((Matching_Engine!$O$70*Brand_Profile!$F$96+Matching_Engine!$P$70*Brand_Profile!$F$97+Matching_Engine!$Q$70*Brand_Profile!$F$98+Matching_Engine!$R$70*Brand_Profile!$F$99)/MAX(1,Brand_Profile!$F$96+Brand_Profile!$F$97+Brand_Profile!$F$98+Brand_Profile!$F$99),0)</f>
        <v>91</v>
      </c>
      <c r="T70" s="142">
        <f>IF(Brand_Profile!$F$33="",Lookup_Lists!$D$150,Matching_Engine!$BD$70)</f>
        <v>100</v>
      </c>
      <c r="U70" s="142">
        <f>IF(Brand_Profile!$F$34="",Lookup_Lists!$D$150,IF(Brand_Profile!$F$34=KOL_Database!$F$9,100,IF(Matching_Engine!$BE$70=KOL_Database!$E$9,75,IF(Matching_Engine!$BD$70&gt;=80,Lookup_Lists!$D$150,IF(Matching_Engine!$BD$70&gt;=60,35,Lookup_Lists!$D$151)))))</f>
        <v>100</v>
      </c>
      <c r="V70" s="142">
        <f>IF(Brand_Profile!$F$86=0,Lookup_Lists!$D$150,ROUND((IF(Brand_Profile!$F$81="",0,IF(ISNUMBER(SEARCH(Brand_Profile!$F$81,Matching_Engine!$BG$70)),1,0))+IF(Brand_Profile!$F$82="",0,IF(ISNUMBER(SEARCH(Brand_Profile!$F$82,Matching_Engine!$BG$70)),1,0))+IF(Brand_Profile!$F$83="",0,IF(ISNUMBER(SEARCH(Brand_Profile!$F$83,Matching_Engine!$BG$70)),1,0))+IF(Brand_Profile!$F$84="",0,IF(ISNUMBER(SEARCH(Brand_Profile!$F$84,Matching_Engine!$BG$70)),1,0))+IF(Brand_Profile!$F$85="",0,IF(ISNUMBER(SEARCH(Brand_Profile!$F$85,Matching_Engine!$BG$70)),1,0)))/Brand_Profile!$F$86*100,0))</f>
        <v>80</v>
      </c>
      <c r="W70" s="142">
        <f>IF(Brand_Profile!$F$39="",Lookup_Lists!$D$150,IFERROR(INDEX(Lookup_Lists!$B$237:$K$246,MATCH(Brand_Profile!$F$39,Lookup_Lists!$A$237:$A$246,0),MATCH(KOL_Database!$AJ$9,Lookup_Lists!$B$236:$K$236,0)),45))</f>
        <v>45</v>
      </c>
      <c r="X70" s="142">
        <f>ROUND((Matching_Engine!$T$70*Lookup_Lists!$D$121+Matching_Engine!$U$70*Lookup_Lists!$D$122+Matching_Engine!$V$70*Lookup_Lists!$D$123+Matching_Engine!$W$70*Lookup_Lists!$D$124)/(Lookup_Lists!$D$121+Lookup_Lists!$D$122+Lookup_Lists!$D$123+Lookup_Lists!$D$124),0)</f>
        <v>83</v>
      </c>
      <c r="Y70" s="142">
        <f>MIN(100,MAX(IFERROR(INDEX(Lookup_Lists!$B$202:$M$211,MATCH(Brand_Profile!$F$25,Lookup_Lists!$A$202:$A$211,0),MATCH(KOL_Database!$AK$9,Lookup_Lists!$B$201:$M$201,0)),40),IF(KOL_Database!$AK$9=Brand_Profile!$F$41,95,0)))</f>
        <v>100</v>
      </c>
      <c r="Z70" s="142">
        <f>IFERROR(INDEX(Lookup_Lists!$B$215:$K$222,MATCH(Brand_Profile!$F$27,Lookup_Lists!$A$215:$A$222,0),MATCH(KOL_Database!$AJ$9,Lookup_Lists!$B$214:$K$214,0)),45)</f>
        <v>65</v>
      </c>
      <c r="AA70" s="142">
        <f>ROUND((IF(Brand_Profile!$F$80=0,Lookup_Lists!$D$150,ROUND((IF(Brand_Profile!$F$75="",0,IF(ISNUMBER(SEARCH(Brand_Profile!$F$75,KOL_Database!$AL$9)),1,0))+IF(Brand_Profile!$F$76="",0,IF(ISNUMBER(SEARCH(Brand_Profile!$F$76,KOL_Database!$AL$9)),1,0))+IF(Brand_Profile!$F$77="",0,IF(ISNUMBER(SEARCH(Brand_Profile!$F$77,KOL_Database!$AL$9)),1,0))+IF(Brand_Profile!$F$78="",0,IF(ISNUMBER(SEARCH(Brand_Profile!$F$78,KOL_Database!$AL$9)),1,0))+IF(Brand_Profile!$F$79="",0,IF(ISNUMBER(SEARCH(Brand_Profile!$F$79,KOL_Database!$AL$9)),1,0)))/Brand_Profile!$F$80*100,0))+IF(Brand_Profile!$F$92=0,Lookup_Lists!$D$150,ROUND((IF(Brand_Profile!$F$87="",0,IF(ISNUMBER(SEARCH(Brand_Profile!$F$87,KOL_Database!$AL$9)),1,0))+IF(Brand_Profile!$F$88="",0,IF(ISNUMBER(SEARCH(Brand_Profile!$F$88,KOL_Database!$AL$9)),1,0))+IF(Brand_Profile!$F$89="",0,IF(ISNUMBER(SEARCH(Brand_Profile!$F$89,KOL_Database!$AL$9)),1,0))+IF(Brand_Profile!$F$90="",0,IF(ISNUMBER(SEARCH(Brand_Profile!$F$90,KOL_Database!$AL$9)),1,0))+IF(Brand_Profile!$F$91="",0,IF(ISNUMBER(SEARCH(Brand_Profile!$F$91,KOL_Database!$AL$9)),1,0)))/Brand_Profile!$F$92*100,0)))/2,0)</f>
        <v>80</v>
      </c>
      <c r="AB70" s="142">
        <f>IFERROR(INDEX(Lookup_Lists!$B$226:$K$233,MATCH(Brand_Profile!$F$30,Lookup_Lists!$A$226:$A$233,0),MATCH(KOL_Database!$AJ$9,Lookup_Lists!$B$225:$K$225,0)),45)</f>
        <v>60</v>
      </c>
      <c r="AC70" s="142">
        <f>ROUND((Matching_Engine!$Y$70*Lookup_Lists!$D$125+Matching_Engine!$Z$70*Lookup_Lists!$D$126+Matching_Engine!$AA$70*Lookup_Lists!$D$127+Matching_Engine!$AB$70*Lookup_Lists!$D$128)/(Lookup_Lists!$D$125+Lookup_Lists!$D$126+Lookup_Lists!$D$127+Lookup_Lists!$D$128),0)</f>
        <v>80</v>
      </c>
      <c r="AD70" s="142">
        <f>IF(KOL_Database!$K$9="",0,MIN(100,ROUND(KOL_Database!$K$9/Lookup_Lists!$D$141*100,0)))</f>
        <v>100</v>
      </c>
      <c r="AE70" s="142">
        <f>IF(KOL_Database!$R$9="",0,MIN(100,MAX(0,KOL_Database!$R$9)))</f>
        <v>70</v>
      </c>
      <c r="AF70" s="142">
        <f>IF(KOL_Database!$P$9="",0,MIN(100,MAX(0,KOL_Database!$P$9)))</f>
        <v>75</v>
      </c>
      <c r="AG70" s="142">
        <f>IF(KOL_Database!$Q$9="",0,MIN(100,MAX(0,KOL_Database!$Q$9)))</f>
        <v>67</v>
      </c>
      <c r="AH70" s="142">
        <f>IF(OR(KOL_Database!$J$9="",KOL_Database!$J$9=0,KOL_Database!$L$9=""),0,MIN(100,ROUND(KOL_Database!$L$9/KOL_Database!$J$9/Lookup_Lists!$D$144*100,0)))</f>
        <v>100</v>
      </c>
      <c r="AI70" s="142">
        <f>IF(KOL_Database!$N$9="",0,MIN(100,MAX(0,ROUND((KOL_Database!$N$9+2)/(Lookup_Lists!$D$145+2)*100,0))))</f>
        <v>56</v>
      </c>
      <c r="AJ70" s="142">
        <f>ROUND((Matching_Engine!$AD$70*Lookup_Lists!$D$129+Matching_Engine!$AE$70*Lookup_Lists!$D$130+Matching_Engine!$AF$70*Lookup_Lists!$D$131+Matching_Engine!$AG$70*Lookup_Lists!$D$132+Matching_Engine!$AH$70*Lookup_Lists!$D$133+Matching_Engine!$AI$70*Lookup_Lists!$D$134)/(Lookup_Lists!$D$129+Lookup_Lists!$D$130+Lookup_Lists!$D$131+Lookup_Lists!$D$132+Lookup_Lists!$D$133+Lookup_Lists!$D$134),0)</f>
        <v>84</v>
      </c>
      <c r="AK70" s="142">
        <f>IF(KOL_Database!$AT$9="",0,MIN(100,MAX(0,KOL_Database!$AT$9)))</f>
        <v>78</v>
      </c>
      <c r="AL70" s="142">
        <f>IF(KOL_Database!$AU$9="",0,KOL_Database!$AU$9)</f>
        <v>30</v>
      </c>
      <c r="AM70" s="89" t="str">
        <f>IF(KOL_Database!$AV$9="","None",KOL_Database!$AV$9)</f>
        <v>Low</v>
      </c>
      <c r="AN70" s="143">
        <f>IF(Matching_Engine!$AM$70="High",Lookup_Lists!$D$137,IF(Matching_Engine!$AM$70="Medium",Lookup_Lists!$D$138,IF(Matching_Engine!$AM$70="Low",Lookup_Lists!$D$139,Lookup_Lists!$D$140)))</f>
        <v>0.95</v>
      </c>
      <c r="AO70" s="142">
        <f>ROUND(MIN(100,MAX(0,(Matching_Engine!$AK$70*Lookup_Lists!$D$135+(100-Matching_Engine!$AL$70)*Lookup_Lists!$D$136)/(Lookup_Lists!$D$135+Lookup_Lists!$D$136)*Matching_Engine!$AN$70)),0)</f>
        <v>73</v>
      </c>
      <c r="AP70" s="13">
        <f ca="1">ROUND((Matching_Engine!$N$70*Lookup_Lists!$D$104+Matching_Engine!$S$70*Lookup_Lists!$D$105+Matching_Engine!$X$70*Lookup_Lists!$D$106+Matching_Engine!$AC$70*Lookup_Lists!$D$107+Matching_Engine!$AJ$70*Lookup_Lists!$D$108+Matching_Engine!$AO$70*Lookup_Lists!$D$109)/MAX(1,(Lookup_Lists!$D$104+Lookup_Lists!$D$105+Lookup_Lists!$D$106+Lookup_Lists!$D$107+Lookup_Lists!$D$108+Lookup_Lists!$D$109)),0)</f>
        <v>85</v>
      </c>
      <c r="AQ70" s="89" t="str">
        <f ca="1">IF(Matching_Engine!$AP$70&gt;=Lookup_Lists!$D$152,"Excellent Match",IF(Matching_Engine!$AP$70&gt;=Lookup_Lists!$D$153,"Strong Match",IF(Matching_Engine!$AP$70&gt;=Lookup_Lists!$D$154,"Good Match",IF(Matching_Engine!$AP$70&gt;=Lookup_Lists!$D$155,"Moderate Match","Low Match"))))</f>
        <v>Strong Match</v>
      </c>
      <c r="AR70" s="142">
        <f>KOL_Database!$BE$9</f>
        <v>100</v>
      </c>
      <c r="AS70" s="89" t="str">
        <f>IF(Matching_Engine!$AR$70&gt;=Lookup_Lists!$D$159,"High",IF(Matching_Engine!$AR$70&gt;=Lookup_Lists!$D$160,"Medium","Limited Data"))</f>
        <v>High</v>
      </c>
      <c r="AT70" s="142">
        <f>ROUND((Matching_Engine!$N$70+Matching_Engine!$X$70+Matching_Engine!$AC$70)/3,0)</f>
        <v>84</v>
      </c>
      <c r="AU70" s="142">
        <f>ROUND(((100-Matching_Engine!$AL$70)*Lookup_Lists!$D$162+IF(KOL_Database!$BD$9="",Lookup_Lists!$D$150,KOL_Database!$BD$9)*Lookup_Lists!$D$163+Matching_Engine!$AI$70*Lookup_Lists!$D$164+Matching_Engine!$AD$70*Lookup_Lists!$D$165)/(Lookup_Lists!$D$162+Lookup_Lists!$D$163+Lookup_Lists!$D$164+Lookup_Lists!$D$165),0)</f>
        <v>79</v>
      </c>
      <c r="AV70" s="89" t="str">
        <f ca="1">IF(Matching_Engine!$AW$70="","PASS","EXCLUDED")</f>
        <v>EXCLUDED</v>
      </c>
      <c r="AW70" s="89" t="str">
        <f ca="1">IF(ISERROR(SEARCH(KOL_Database!$D$9,Brand_Profile!$F$32)),"Platform not in Preferred Platform",IF(AND(Brand_Profile!$F$36&gt;0,KOL_Database!$J$9&lt;Brand_Profile!$F$36),"Followers below Preferred Follower Range",IF(AND(Brand_Profile!$F$37&gt;0,KOL_Database!$J$9&gt;Brand_Profile!$F$37),"Followers above Preferred Follower Range",IF(AND(Brand_Profile!$F$38&gt;0,IF(KOL_Database!$K$9="",0,KOL_Database!$K$9)&lt;Brand_Profile!$F$38),"Engagement Rate below Minimum Engagement Rate",IF(ISERROR(SEARCH(KOL_Database!$G$9,Brand_Profile!$F$35)),"Tier not in Preferred Tier",IF(AND(Brand_Profile!$F$43&gt;0,Matching_Engine!$AE$70&lt;Brand_Profile!$F$43),"Audience Quality below Minimum Audience Quality",IF(AND(Brand_Profile!$F$44&gt;0,Matching_Engine!$AK$70&lt;Brand_Profile!$F$44),"Brand Safety below Minimum Brand Safety",IF(AND(Brand_Profile!$F$47="Yes",KOL_Database!$AD$9&lt;&gt;Brand_Profile!$F$19),"Audience Country does not match Target Country",IF(AND(Brand_Profile!$F$46="Yes",KOL_Database!$E$9&lt;&gt;Brand_Profile!$F$33),"Category is not the Preferred Category",IF(AND(Brand_Profile!$F$48&gt;0,Matching_Engine!$AL$70&gt;Brand_Profile!$F$48),"Competitor Saturation above Max Competitor Saturation",IF(AND(Brand_Profile!$F$50="Yes",KOL_Database!$AW$9="Yes"),"Already Selected",IF(AND(Brand_Profile!$F$51="Yes",KOL_Database!$AX$9="Yes"),"Already in Cart",IF(AND(Brand_Profile!$F$52="Yes",KOL_Database!$AY$9="Yes"),"Existing Partner",IF(AND(Brand_Profile!$F$53="Yes",KOL_Database!$AZ$9="Yes"),"Excluded Creator",IF(AND(Brand_Profile!$F$49&gt;0,Matching_Engine!$AP$70&lt;Brand_Profile!$F$49),"Brand Match below Minimum Brand Match","")))))))))))))))</f>
        <v>Tier not in Preferred Tier</v>
      </c>
      <c r="AX70" s="89" t="str">
        <f ca="1">IF(Matching_Engine!$AV$70="EXCLUDED","Excluded",IF(Matching_Engine!$AP$70&gt;=Lookup_Lists!$D$156,"Highly Recommended",IF(Matching_Engine!$AP$70&gt;=Lookup_Lists!$D$157,"Recommended",IF(Matching_Engine!$AP$70&gt;=Lookup_Lists!$D$158,"Consider","Low Priority"))))</f>
        <v>Excluded</v>
      </c>
      <c r="AY70" s="142" t="str">
        <f ca="1">IF(Matching_Engine!$AV$70="PASS",Matching_Engine!$AP$70,"")</f>
        <v/>
      </c>
      <c r="AZ70" s="89" t="str">
        <f>Matching_Engine!$A$70&amp;"|"&amp;Matching_Engine!$C$70</f>
        <v>BRAND-C|KOL-05</v>
      </c>
      <c r="BA70" s="89" t="str">
        <f>IFERROR(INDEX(Lookup_Lists!$B$51:$B$92,MATCH(Brand_Profile!$F$12,Lookup_Lists!$A$51:$A$92,0)),"")</f>
        <v>Food</v>
      </c>
      <c r="BB70" s="89" t="str">
        <f>IFERROR(INDEX(Lookup_Lists!$B$51:$B$92,MATCH(KOL_Database!$F$9,Lookup_Lists!$A$51:$A$92,0)),"")</f>
        <v>Food</v>
      </c>
      <c r="BC70" s="142">
        <f>IFERROR(INDEX(Lookup_Lists!$B$185:$O$198,MATCH(Matching_Engine!$BA$70,Lookup_Lists!$A$185:$A$198,0),MATCH(KOL_Database!$E$9,Lookup_Lists!$B$184:$O$184,0)),Lookup_Lists!$D$151)</f>
        <v>100</v>
      </c>
      <c r="BD70" s="142">
        <f>IFERROR(INDEX(Lookup_Lists!$B$185:$O$198,MATCH(Brand_Profile!$F$33,Lookup_Lists!$A$185:$A$198,0),MATCH(KOL_Database!$E$9,Lookup_Lists!$B$184:$O$184,0)),Lookup_Lists!$D$151)</f>
        <v>100</v>
      </c>
      <c r="BE70" s="89" t="str">
        <f>IFERROR(INDEX(Lookup_Lists!$B$51:$B$92,MATCH(Brand_Profile!$F$34,Lookup_Lists!$A$51:$A$92,0)),"")</f>
        <v>Food</v>
      </c>
      <c r="BF70" s="89" t="str">
        <f>KOL_Database!$AI$9&amp;", "&amp;KOL_Database!$AG$9&amp;", "&amp;KOL_Database!$F$9&amp;", "&amp;KOL_Database!$E$9</f>
        <v>Food, Cooking, Travel, Food, Cooking, Travel, Shopping, Entertainment, Culinary Review, Food</v>
      </c>
      <c r="BG70" s="89" t="str">
        <f>KOL_Database!$AI$9&amp;", "&amp;KOL_Database!$AG$9</f>
        <v>Food, Cooking, Travel, Food, Cooking, Travel, Shopping, Entertainment</v>
      </c>
    </row>
    <row r="71" spans="1:59">
      <c r="A71" s="101" t="s">
        <v>119</v>
      </c>
      <c r="B71" s="89" t="str">
        <f>Brand_Profile!$F$9</f>
        <v>Rasa Nusantara</v>
      </c>
      <c r="C71" s="89" t="str">
        <f>KOL_Database!$A$10</f>
        <v>KOL-06</v>
      </c>
      <c r="D71" s="89" t="str">
        <f>KOL_Database!$B$10</f>
        <v>Ayu Lestari</v>
      </c>
      <c r="E71" s="89" t="str">
        <f>KOL_Database!$C$10</f>
        <v>@dapurayu</v>
      </c>
      <c r="F71" s="89" t="str">
        <f>KOL_Database!$D$10</f>
        <v>Instagram</v>
      </c>
      <c r="G71" s="89" t="str">
        <f>KOL_Database!$E$10</f>
        <v>Food</v>
      </c>
      <c r="H71" s="89" t="str">
        <f>KOL_Database!$G$10</f>
        <v>Mid-tier</v>
      </c>
      <c r="I71" s="140">
        <f>KOL_Database!$J$10</f>
        <v>64000</v>
      </c>
      <c r="J71" s="141">
        <f>KOL_Database!$K$10</f>
        <v>5.2</v>
      </c>
      <c r="K71" s="142">
        <f>IFERROR(INDEX(Lookup_Lists!$B$170:$O$181,MATCH(Brand_Profile!$F$10,Lookup_Lists!$A$170:$A$181,0),MATCH(KOL_Database!$E$10,Lookup_Lists!$B$169:$O$169,0)),Lookup_Lists!$D$151)</f>
        <v>100</v>
      </c>
      <c r="L71" s="142">
        <f>IF(KOL_Database!$F$10="",Matching_Engine!$BC$71,IF(Brand_Profile!$F$12=KOL_Database!$F$10,100,IF(Matching_Engine!$BA$71=KOL_Database!$E$10,80,IF(Matching_Engine!$BC$71&gt;=80,60,IF(Matching_Engine!$BC$71&gt;=60,40,Lookup_Lists!$D$151)))))</f>
        <v>80</v>
      </c>
      <c r="M71" s="142">
        <f>ROUND((IF(Brand_Profile!$F$62=0,Lookup_Lists!$D$150,ROUND((IF(Brand_Profile!$F$57="",0,IF(ISNUMBER(SEARCH(Brand_Profile!$F$57,Matching_Engine!$BF$71)),1,0))+IF(Brand_Profile!$F$58="",0,IF(ISNUMBER(SEARCH(Brand_Profile!$F$58,Matching_Engine!$BF$71)),1,0))+IF(Brand_Profile!$F$59="",0,IF(ISNUMBER(SEARCH(Brand_Profile!$F$59,Matching_Engine!$BF$71)),1,0))+IF(Brand_Profile!$F$60="",0,IF(ISNUMBER(SEARCH(Brand_Profile!$F$60,Matching_Engine!$BF$71)),1,0))+IF(Brand_Profile!$F$61="",0,IF(ISNUMBER(SEARCH(Brand_Profile!$F$61,Matching_Engine!$BF$71)),1,0)))/Brand_Profile!$F$62*100,0))+IF(Brand_Profile!$F$74=0,Lookup_Lists!$D$150,ROUND((IF(Brand_Profile!$F$69="",0,IF(ISNUMBER(SEARCH(Brand_Profile!$F$69,Matching_Engine!$BF$71)),1,0))+IF(Brand_Profile!$F$70="",0,IF(ISNUMBER(SEARCH(Brand_Profile!$F$70,Matching_Engine!$BF$71)),1,0))+IF(Brand_Profile!$F$71="",0,IF(ISNUMBER(SEARCH(Brand_Profile!$F$71,Matching_Engine!$BF$71)),1,0))+IF(Brand_Profile!$F$72="",0,IF(ISNUMBER(SEARCH(Brand_Profile!$F$72,Matching_Engine!$BF$71)),1,0))+IF(Brand_Profile!$F$73="",0,IF(ISNUMBER(SEARCH(Brand_Profile!$F$73,Matching_Engine!$BF$71)),1,0)))/Brand_Profile!$F$74*100,0)))/2,0)</f>
        <v>40</v>
      </c>
      <c r="N71" s="142">
        <f>ROUND((Matching_Engine!$K$71*Lookup_Lists!$D$110+Matching_Engine!$L$71*Lookup_Lists!$D$111+Matching_Engine!$M$71*Lookup_Lists!$D$112)/(Lookup_Lists!$D$110+Lookup_Lists!$D$111+Lookup_Lists!$D$112),0)</f>
        <v>76</v>
      </c>
      <c r="O71" s="142">
        <f ca="1">IF(Brand_Profile!$F$16="",Lookup_Lists!$D$150,MIN(100,ROUND((IFERROR(INDEX(KOL_Database!$W$10:KOL_Database!$AA$10,1,MATCH(Brand_Profile!$F$16,Lookup_Lists!$F$6:$F$10,0)),0)+0.5*IFERROR(INDEX(KOL_Database!$W$10:KOL_Database!$AA$10,1,MATCH(Brand_Profile!$F$17,Lookup_Lists!$F$6:$F$10,0)),0))/Lookup_Lists!$D$142*100,0)))</f>
        <v>100</v>
      </c>
      <c r="P71" s="142">
        <f>IF(OR(Brand_Profile!$F$18="",Brand_Profile!$F$18="Any"),100,IF(Brand_Profile!$F$18="Female",MIN(100,ROUND(KOL_Database!$AB$10/Lookup_Lists!$D$143*100,0)),IF(Brand_Profile!$F$18="Male",MIN(100,ROUND(KOL_Database!$AC$10/Lookup_Lists!$D$143*100,0)),MAX(0,ROUND(100-ABS(KOL_Database!$AB$10-50)*2,0)))))</f>
        <v>28</v>
      </c>
      <c r="Q71" s="142">
        <f>ROUND((IF(Brand_Profile!$F$19="",100,IF(KOL_Database!$AD$10=Brand_Profile!$F$19,100,Lookup_Lists!$D$151))*Lookup_Lists!$D$118+IF(OR(Brand_Profile!$F$20="",Brand_Profile!$F$20="Nasional"),100,IF(KOL_Database!$AE$10="",Lookup_Lists!$D$150,IF(KOL_Database!$AE$10=Brand_Profile!$F$20,100,IF(KOL_Database!$AD$10=Brand_Profile!$F$19,40,Lookup_Lists!$D$151))))*Lookup_Lists!$D$119+IF(OR(Brand_Profile!$F$21="",Brand_Profile!$F$21="Nasional"),100,IF(KOL_Database!$AF$10="",Lookup_Lists!$D$150,IF(KOL_Database!$AF$10=Brand_Profile!$F$21,100,IF(KOL_Database!$AE$10=Brand_Profile!$F$20,60,Lookup_Lists!$D$151))))*Lookup_Lists!$D$120)/(Lookup_Lists!$D$118+Lookup_Lists!$D$119+Lookup_Lists!$D$120),0)</f>
        <v>100</v>
      </c>
      <c r="R71" s="142">
        <f>IF(Brand_Profile!$F$68=0,Lookup_Lists!$D$150,ROUND((IF(Brand_Profile!$F$63="",0,IF(ISNUMBER(SEARCH(Brand_Profile!$F$63,KOL_Database!$AG$10)),1,0))+IF(Brand_Profile!$F$64="",0,IF(ISNUMBER(SEARCH(Brand_Profile!$F$64,KOL_Database!$AG$10)),1,0))+IF(Brand_Profile!$F$65="",0,IF(ISNUMBER(SEARCH(Brand_Profile!$F$65,KOL_Database!$AG$10)),1,0))+IF(Brand_Profile!$F$66="",0,IF(ISNUMBER(SEARCH(Brand_Profile!$F$66,KOL_Database!$AG$10)),1,0))+IF(Brand_Profile!$F$67="",0,IF(ISNUMBER(SEARCH(Brand_Profile!$F$67,KOL_Database!$AG$10)),1,0)))/Brand_Profile!$F$68*100,0))</f>
        <v>40</v>
      </c>
      <c r="S71" s="142">
        <f ca="1">ROUND((Matching_Engine!$O$71*Brand_Profile!$F$96+Matching_Engine!$P$71*Brand_Profile!$F$97+Matching_Engine!$Q$71*Brand_Profile!$F$98+Matching_Engine!$R$71*Brand_Profile!$F$99)/MAX(1,Brand_Profile!$F$96+Brand_Profile!$F$97+Brand_Profile!$F$98+Brand_Profile!$F$99),0)</f>
        <v>76</v>
      </c>
      <c r="T71" s="142">
        <f>IF(Brand_Profile!$F$33="",Lookup_Lists!$D$150,Matching_Engine!$BD$71)</f>
        <v>100</v>
      </c>
      <c r="U71" s="142">
        <f>IF(Brand_Profile!$F$34="",Lookup_Lists!$D$150,IF(Brand_Profile!$F$34=KOL_Database!$F$10,100,IF(Matching_Engine!$BE$71=KOL_Database!$E$10,75,IF(Matching_Engine!$BD$71&gt;=80,Lookup_Lists!$D$150,IF(Matching_Engine!$BD$71&gt;=60,35,Lookup_Lists!$D$151)))))</f>
        <v>75</v>
      </c>
      <c r="V71" s="142">
        <f>IF(Brand_Profile!$F$86=0,Lookup_Lists!$D$150,ROUND((IF(Brand_Profile!$F$81="",0,IF(ISNUMBER(SEARCH(Brand_Profile!$F$81,Matching_Engine!$BG$71)),1,0))+IF(Brand_Profile!$F$82="",0,IF(ISNUMBER(SEARCH(Brand_Profile!$F$82,Matching_Engine!$BG$71)),1,0))+IF(Brand_Profile!$F$83="",0,IF(ISNUMBER(SEARCH(Brand_Profile!$F$83,Matching_Engine!$BG$71)),1,0))+IF(Brand_Profile!$F$84="",0,IF(ISNUMBER(SEARCH(Brand_Profile!$F$84,Matching_Engine!$BG$71)),1,0))+IF(Brand_Profile!$F$85="",0,IF(ISNUMBER(SEARCH(Brand_Profile!$F$85,Matching_Engine!$BG$71)),1,0)))/Brand_Profile!$F$86*100,0))</f>
        <v>40</v>
      </c>
      <c r="W71" s="142">
        <f>IF(Brand_Profile!$F$39="",Lookup_Lists!$D$150,IFERROR(INDEX(Lookup_Lists!$B$237:$K$246,MATCH(Brand_Profile!$F$39,Lookup_Lists!$A$237:$A$246,0),MATCH(KOL_Database!$AJ$10,Lookup_Lists!$B$236:$K$236,0)),45))</f>
        <v>45</v>
      </c>
      <c r="X71" s="142">
        <f>ROUND((Matching_Engine!$T$71*Lookup_Lists!$D$121+Matching_Engine!$U$71*Lookup_Lists!$D$122+Matching_Engine!$V$71*Lookup_Lists!$D$123+Matching_Engine!$W$71*Lookup_Lists!$D$124)/(Lookup_Lists!$D$121+Lookup_Lists!$D$122+Lookup_Lists!$D$123+Lookup_Lists!$D$124),0)</f>
        <v>66</v>
      </c>
      <c r="Y71" s="142">
        <f>MIN(100,MAX(IFERROR(INDEX(Lookup_Lists!$B$202:$M$211,MATCH(Brand_Profile!$F$25,Lookup_Lists!$A$202:$A$211,0),MATCH(KOL_Database!$AK$10,Lookup_Lists!$B$201:$M$201,0)),40),IF(KOL_Database!$AK$10=Brand_Profile!$F$41,95,0)))</f>
        <v>100</v>
      </c>
      <c r="Z71" s="142">
        <f>IFERROR(INDEX(Lookup_Lists!$B$215:$K$222,MATCH(Brand_Profile!$F$27,Lookup_Lists!$A$215:$A$222,0),MATCH(KOL_Database!$AJ$10,Lookup_Lists!$B$214:$K$214,0)),45)</f>
        <v>70</v>
      </c>
      <c r="AA71" s="142">
        <f>ROUND((IF(Brand_Profile!$F$80=0,Lookup_Lists!$D$150,ROUND((IF(Brand_Profile!$F$75="",0,IF(ISNUMBER(SEARCH(Brand_Profile!$F$75,KOL_Database!$AL$10)),1,0))+IF(Brand_Profile!$F$76="",0,IF(ISNUMBER(SEARCH(Brand_Profile!$F$76,KOL_Database!$AL$10)),1,0))+IF(Brand_Profile!$F$77="",0,IF(ISNUMBER(SEARCH(Brand_Profile!$F$77,KOL_Database!$AL$10)),1,0))+IF(Brand_Profile!$F$78="",0,IF(ISNUMBER(SEARCH(Brand_Profile!$F$78,KOL_Database!$AL$10)),1,0))+IF(Brand_Profile!$F$79="",0,IF(ISNUMBER(SEARCH(Brand_Profile!$F$79,KOL_Database!$AL$10)),1,0)))/Brand_Profile!$F$80*100,0))+IF(Brand_Profile!$F$92=0,Lookup_Lists!$D$150,ROUND((IF(Brand_Profile!$F$87="",0,IF(ISNUMBER(SEARCH(Brand_Profile!$F$87,KOL_Database!$AL$10)),1,0))+IF(Brand_Profile!$F$88="",0,IF(ISNUMBER(SEARCH(Brand_Profile!$F$88,KOL_Database!$AL$10)),1,0))+IF(Brand_Profile!$F$89="",0,IF(ISNUMBER(SEARCH(Brand_Profile!$F$89,KOL_Database!$AL$10)),1,0))+IF(Brand_Profile!$F$90="",0,IF(ISNUMBER(SEARCH(Brand_Profile!$F$90,KOL_Database!$AL$10)),1,0))+IF(Brand_Profile!$F$91="",0,IF(ISNUMBER(SEARCH(Brand_Profile!$F$91,KOL_Database!$AL$10)),1,0)))/Brand_Profile!$F$92*100,0)))/2,0)</f>
        <v>60</v>
      </c>
      <c r="AB71" s="142">
        <f>IFERROR(INDEX(Lookup_Lists!$B$226:$K$233,MATCH(Brand_Profile!$F$30,Lookup_Lists!$A$226:$A$233,0),MATCH(KOL_Database!$AJ$10,Lookup_Lists!$B$225:$K$225,0)),45)</f>
        <v>55</v>
      </c>
      <c r="AC71" s="142">
        <f>ROUND((Matching_Engine!$Y$71*Lookup_Lists!$D$125+Matching_Engine!$Z$71*Lookup_Lists!$D$126+Matching_Engine!$AA$71*Lookup_Lists!$D$127+Matching_Engine!$AB$71*Lookup_Lists!$D$128)/(Lookup_Lists!$D$125+Lookup_Lists!$D$126+Lookup_Lists!$D$127+Lookup_Lists!$D$128),0)</f>
        <v>76</v>
      </c>
      <c r="AD71" s="142">
        <f>IF(KOL_Database!$K$10="",0,MIN(100,ROUND(KOL_Database!$K$10/Lookup_Lists!$D$141*100,0)))</f>
        <v>87</v>
      </c>
      <c r="AE71" s="142">
        <f>IF(KOL_Database!$R$10="",0,MIN(100,MAX(0,KOL_Database!$R$10)))</f>
        <v>73</v>
      </c>
      <c r="AF71" s="142">
        <f>IF(KOL_Database!$P$10="",0,MIN(100,MAX(0,KOL_Database!$P$10)))</f>
        <v>63</v>
      </c>
      <c r="AG71" s="142">
        <f>IF(KOL_Database!$Q$10="",0,MIN(100,MAX(0,KOL_Database!$Q$10)))</f>
        <v>58</v>
      </c>
      <c r="AH71" s="142">
        <f>IF(OR(KOL_Database!$J$10="",KOL_Database!$J$10=0,KOL_Database!$L$10=""),0,MIN(100,ROUND(KOL_Database!$L$10/KOL_Database!$J$10/Lookup_Lists!$D$144*100,0)))</f>
        <v>60</v>
      </c>
      <c r="AI71" s="142">
        <f>IF(KOL_Database!$N$10="",0,MIN(100,MAX(0,ROUND((KOL_Database!$N$10+2)/(Lookup_Lists!$D$145+2)*100,0))))</f>
        <v>80</v>
      </c>
      <c r="AJ71" s="142">
        <f>ROUND((Matching_Engine!$AD$71*Lookup_Lists!$D$129+Matching_Engine!$AE$71*Lookup_Lists!$D$130+Matching_Engine!$AF$71*Lookup_Lists!$D$131+Matching_Engine!$AG$71*Lookup_Lists!$D$132+Matching_Engine!$AH$71*Lookup_Lists!$D$133+Matching_Engine!$AI$71*Lookup_Lists!$D$134)/(Lookup_Lists!$D$129+Lookup_Lists!$D$130+Lookup_Lists!$D$131+Lookup_Lists!$D$132+Lookup_Lists!$D$133+Lookup_Lists!$D$134),0)</f>
        <v>73</v>
      </c>
      <c r="AK71" s="142">
        <f>IF(KOL_Database!$AT$10="",0,MIN(100,MAX(0,KOL_Database!$AT$10)))</f>
        <v>79</v>
      </c>
      <c r="AL71" s="142">
        <f>IF(KOL_Database!$AU$10="",0,KOL_Database!$AU$10)</f>
        <v>29</v>
      </c>
      <c r="AM71" s="89" t="str">
        <f>IF(KOL_Database!$AV$10="","None",KOL_Database!$AV$10)</f>
        <v>Low</v>
      </c>
      <c r="AN71" s="143">
        <f>IF(Matching_Engine!$AM$71="High",Lookup_Lists!$D$137,IF(Matching_Engine!$AM$71="Medium",Lookup_Lists!$D$138,IF(Matching_Engine!$AM$71="Low",Lookup_Lists!$D$139,Lookup_Lists!$D$140)))</f>
        <v>0.95</v>
      </c>
      <c r="AO71" s="142">
        <f>ROUND(MIN(100,MAX(0,(Matching_Engine!$AK$71*Lookup_Lists!$D$135+(100-Matching_Engine!$AL$71)*Lookup_Lists!$D$136)/(Lookup_Lists!$D$135+Lookup_Lists!$D$136)*Matching_Engine!$AN$71)),0)</f>
        <v>74</v>
      </c>
      <c r="AP71" s="13">
        <f ca="1">ROUND((Matching_Engine!$N$71*Lookup_Lists!$D$104+Matching_Engine!$S$71*Lookup_Lists!$D$105+Matching_Engine!$X$71*Lookup_Lists!$D$106+Matching_Engine!$AC$71*Lookup_Lists!$D$107+Matching_Engine!$AJ$71*Lookup_Lists!$D$108+Matching_Engine!$AO$71*Lookup_Lists!$D$109)/MAX(1,(Lookup_Lists!$D$104+Lookup_Lists!$D$105+Lookup_Lists!$D$106+Lookup_Lists!$D$107+Lookup_Lists!$D$108+Lookup_Lists!$D$109)),0)</f>
        <v>74</v>
      </c>
      <c r="AQ71" s="89" t="str">
        <f ca="1">IF(Matching_Engine!$AP$71&gt;=Lookup_Lists!$D$152,"Excellent Match",IF(Matching_Engine!$AP$71&gt;=Lookup_Lists!$D$153,"Strong Match",IF(Matching_Engine!$AP$71&gt;=Lookup_Lists!$D$154,"Good Match",IF(Matching_Engine!$AP$71&gt;=Lookup_Lists!$D$155,"Moderate Match","Low Match"))))</f>
        <v>Good Match</v>
      </c>
      <c r="AR71" s="142">
        <f>KOL_Database!$BE$10</f>
        <v>92</v>
      </c>
      <c r="AS71" s="89" t="str">
        <f>IF(Matching_Engine!$AR$71&gt;=Lookup_Lists!$D$159,"High",IF(Matching_Engine!$AR$71&gt;=Lookup_Lists!$D$160,"Medium","Limited Data"))</f>
        <v>Medium</v>
      </c>
      <c r="AT71" s="142">
        <f>ROUND((Matching_Engine!$N$71+Matching_Engine!$X$71+Matching_Engine!$AC$71)/3,0)</f>
        <v>73</v>
      </c>
      <c r="AU71" s="142">
        <f>ROUND(((100-Matching_Engine!$AL$71)*Lookup_Lists!$D$162+IF(KOL_Database!$BD$10="",Lookup_Lists!$D$150,KOL_Database!$BD$10)*Lookup_Lists!$D$163+Matching_Engine!$AI$71*Lookup_Lists!$D$164+Matching_Engine!$AD$71*Lookup_Lists!$D$165)/(Lookup_Lists!$D$162+Lookup_Lists!$D$163+Lookup_Lists!$D$164+Lookup_Lists!$D$165),0)</f>
        <v>72</v>
      </c>
      <c r="AV71" s="89" t="str">
        <f ca="1">IF(Matching_Engine!$AW$71="","PASS","EXCLUDED")</f>
        <v>PASS</v>
      </c>
      <c r="AW71" s="89" t="str">
        <f ca="1">IF(ISERROR(SEARCH(KOL_Database!$D$10,Brand_Profile!$F$32)),"Platform not in Preferred Platform",IF(AND(Brand_Profile!$F$36&gt;0,KOL_Database!$J$10&lt;Brand_Profile!$F$36),"Followers below Preferred Follower Range",IF(AND(Brand_Profile!$F$37&gt;0,KOL_Database!$J$10&gt;Brand_Profile!$F$37),"Followers above Preferred Follower Range",IF(AND(Brand_Profile!$F$38&gt;0,IF(KOL_Database!$K$10="",0,KOL_Database!$K$10)&lt;Brand_Profile!$F$38),"Engagement Rate below Minimum Engagement Rate",IF(ISERROR(SEARCH(KOL_Database!$G$10,Brand_Profile!$F$35)),"Tier not in Preferred Tier",IF(AND(Brand_Profile!$F$43&gt;0,Matching_Engine!$AE$71&lt;Brand_Profile!$F$43),"Audience Quality below Minimum Audience Quality",IF(AND(Brand_Profile!$F$44&gt;0,Matching_Engine!$AK$71&lt;Brand_Profile!$F$44),"Brand Safety below Minimum Brand Safety",IF(AND(Brand_Profile!$F$47="Yes",KOL_Database!$AD$10&lt;&gt;Brand_Profile!$F$19),"Audience Country does not match Target Country",IF(AND(Brand_Profile!$F$46="Yes",KOL_Database!$E$10&lt;&gt;Brand_Profile!$F$33),"Category is not the Preferred Category",IF(AND(Brand_Profile!$F$48&gt;0,Matching_Engine!$AL$71&gt;Brand_Profile!$F$48),"Competitor Saturation above Max Competitor Saturation",IF(AND(Brand_Profile!$F$50="Yes",KOL_Database!$AW$10="Yes"),"Already Selected",IF(AND(Brand_Profile!$F$51="Yes",KOL_Database!$AX$10="Yes"),"Already in Cart",IF(AND(Brand_Profile!$F$52="Yes",KOL_Database!$AY$10="Yes"),"Existing Partner",IF(AND(Brand_Profile!$F$53="Yes",KOL_Database!$AZ$10="Yes"),"Excluded Creator",IF(AND(Brand_Profile!$F$49&gt;0,Matching_Engine!$AP$71&lt;Brand_Profile!$F$49),"Brand Match below Minimum Brand Match","")))))))))))))))</f>
        <v/>
      </c>
      <c r="AX71" s="89" t="str">
        <f ca="1">IF(Matching_Engine!$AV$71="EXCLUDED","Excluded",IF(Matching_Engine!$AP$71&gt;=Lookup_Lists!$D$156,"Highly Recommended",IF(Matching_Engine!$AP$71&gt;=Lookup_Lists!$D$157,"Recommended",IF(Matching_Engine!$AP$71&gt;=Lookup_Lists!$D$158,"Consider","Low Priority"))))</f>
        <v>Recommended</v>
      </c>
      <c r="AY71" s="142">
        <f ca="1">IF(Matching_Engine!$AV$71="PASS",Matching_Engine!$AP$71,"")</f>
        <v>74</v>
      </c>
      <c r="AZ71" s="89" t="str">
        <f>Matching_Engine!$A$71&amp;"|"&amp;Matching_Engine!$C$71</f>
        <v>BRAND-C|KOL-06</v>
      </c>
      <c r="BA71" s="89" t="str">
        <f>IFERROR(INDEX(Lookup_Lists!$B$51:$B$92,MATCH(Brand_Profile!$F$12,Lookup_Lists!$A$51:$A$92,0)),"")</f>
        <v>Food</v>
      </c>
      <c r="BB71" s="89" t="str">
        <f>IFERROR(INDEX(Lookup_Lists!$B$51:$B$92,MATCH(KOL_Database!$F$10,Lookup_Lists!$A$51:$A$92,0)),"")</f>
        <v>Food</v>
      </c>
      <c r="BC71" s="142">
        <f>IFERROR(INDEX(Lookup_Lists!$B$185:$O$198,MATCH(Matching_Engine!$BA$71,Lookup_Lists!$A$185:$A$198,0),MATCH(KOL_Database!$E$10,Lookup_Lists!$B$184:$O$184,0)),Lookup_Lists!$D$151)</f>
        <v>100</v>
      </c>
      <c r="BD71" s="142">
        <f>IFERROR(INDEX(Lookup_Lists!$B$185:$O$198,MATCH(Brand_Profile!$F$33,Lookup_Lists!$A$185:$A$198,0),MATCH(KOL_Database!$E$10,Lookup_Lists!$B$184:$O$184,0)),Lookup_Lists!$D$151)</f>
        <v>100</v>
      </c>
      <c r="BE71" s="89" t="str">
        <f>IFERROR(INDEX(Lookup_Lists!$B$51:$B$92,MATCH(Brand_Profile!$F$34,Lookup_Lists!$A$51:$A$92,0)),"")</f>
        <v>Food</v>
      </c>
      <c r="BF71" s="89" t="str">
        <f>KOL_Database!$AI$10&amp;", "&amp;KOL_Database!$AG$10&amp;", "&amp;KOL_Database!$F$10&amp;", "&amp;KOL_Database!$E$10</f>
        <v>Cooking, Food, Parenting, Cooking, Food, Parenting, Home Decor, Health, Home Cooking, Food</v>
      </c>
      <c r="BG71" s="89" t="str">
        <f>KOL_Database!$AI$10&amp;", "&amp;KOL_Database!$AG$10</f>
        <v>Cooking, Food, Parenting, Cooking, Food, Parenting, Home Decor, Health</v>
      </c>
    </row>
    <row r="72" spans="1:59">
      <c r="A72" s="101" t="s">
        <v>119</v>
      </c>
      <c r="B72" s="89" t="str">
        <f>Brand_Profile!$F$9</f>
        <v>Rasa Nusantara</v>
      </c>
      <c r="C72" s="89" t="str">
        <f>KOL_Database!$A$11</f>
        <v>KOL-07</v>
      </c>
      <c r="D72" s="89" t="str">
        <f>KOL_Database!$B$11</f>
        <v>Fajar Ramadhan</v>
      </c>
      <c r="E72" s="89" t="str">
        <f>KOL_Database!$C$11</f>
        <v>@fajarfinance</v>
      </c>
      <c r="F72" s="89" t="str">
        <f>KOL_Database!$D$11</f>
        <v>Instagram</v>
      </c>
      <c r="G72" s="89" t="str">
        <f>KOL_Database!$E$11</f>
        <v>Finance</v>
      </c>
      <c r="H72" s="89" t="str">
        <f>KOL_Database!$G$11</f>
        <v>Macro</v>
      </c>
      <c r="I72" s="140">
        <f>KOL_Database!$J$11</f>
        <v>152000</v>
      </c>
      <c r="J72" s="141">
        <f>KOL_Database!$K$11</f>
        <v>3.2</v>
      </c>
      <c r="K72" s="142">
        <f>IFERROR(INDEX(Lookup_Lists!$B$170:$O$181,MATCH(Brand_Profile!$F$10,Lookup_Lists!$A$170:$A$181,0),MATCH(KOL_Database!$E$11,Lookup_Lists!$B$169:$O$169,0)),Lookup_Lists!$D$151)</f>
        <v>20</v>
      </c>
      <c r="L72" s="142">
        <f>IF(KOL_Database!$F$11="",Matching_Engine!$BC$72,IF(Brand_Profile!$F$12=KOL_Database!$F$11,100,IF(Matching_Engine!$BA$72=KOL_Database!$E$11,80,IF(Matching_Engine!$BC$72&gt;=80,60,IF(Matching_Engine!$BC$72&gt;=60,40,Lookup_Lists!$D$151)))))</f>
        <v>20</v>
      </c>
      <c r="M72" s="142">
        <f>ROUND((IF(Brand_Profile!$F$62=0,Lookup_Lists!$D$150,ROUND((IF(Brand_Profile!$F$57="",0,IF(ISNUMBER(SEARCH(Brand_Profile!$F$57,Matching_Engine!$BF$72)),1,0))+IF(Brand_Profile!$F$58="",0,IF(ISNUMBER(SEARCH(Brand_Profile!$F$58,Matching_Engine!$BF$72)),1,0))+IF(Brand_Profile!$F$59="",0,IF(ISNUMBER(SEARCH(Brand_Profile!$F$59,Matching_Engine!$BF$72)),1,0))+IF(Brand_Profile!$F$60="",0,IF(ISNUMBER(SEARCH(Brand_Profile!$F$60,Matching_Engine!$BF$72)),1,0))+IF(Brand_Profile!$F$61="",0,IF(ISNUMBER(SEARCH(Brand_Profile!$F$61,Matching_Engine!$BF$72)),1,0)))/Brand_Profile!$F$62*100,0))+IF(Brand_Profile!$F$74=0,Lookup_Lists!$D$150,ROUND((IF(Brand_Profile!$F$69="",0,IF(ISNUMBER(SEARCH(Brand_Profile!$F$69,Matching_Engine!$BF$72)),1,0))+IF(Brand_Profile!$F$70="",0,IF(ISNUMBER(SEARCH(Brand_Profile!$F$70,Matching_Engine!$BF$72)),1,0))+IF(Brand_Profile!$F$71="",0,IF(ISNUMBER(SEARCH(Brand_Profile!$F$71,Matching_Engine!$BF$72)),1,0))+IF(Brand_Profile!$F$72="",0,IF(ISNUMBER(SEARCH(Brand_Profile!$F$72,Matching_Engine!$BF$72)),1,0))+IF(Brand_Profile!$F$73="",0,IF(ISNUMBER(SEARCH(Brand_Profile!$F$73,Matching_Engine!$BF$72)),1,0)))/Brand_Profile!$F$74*100,0)))/2,0)</f>
        <v>0</v>
      </c>
      <c r="N72" s="142">
        <f>ROUND((Matching_Engine!$K$72*Lookup_Lists!$D$110+Matching_Engine!$L$72*Lookup_Lists!$D$111+Matching_Engine!$M$72*Lookup_Lists!$D$112)/(Lookup_Lists!$D$110+Lookup_Lists!$D$111+Lookup_Lists!$D$112),0)</f>
        <v>14</v>
      </c>
      <c r="O72" s="142">
        <f ca="1">IF(Brand_Profile!$F$16="",Lookup_Lists!$D$150,MIN(100,ROUND((IFERROR(INDEX(KOL_Database!$W$11:KOL_Database!$AA$11,1,MATCH(Brand_Profile!$F$16,Lookup_Lists!$F$6:$F$10,0)),0)+0.5*IFERROR(INDEX(KOL_Database!$W$11:KOL_Database!$AA$11,1,MATCH(Brand_Profile!$F$17,Lookup_Lists!$F$6:$F$10,0)),0))/Lookup_Lists!$D$142*100,0)))</f>
        <v>100</v>
      </c>
      <c r="P72" s="142">
        <f>IF(OR(Brand_Profile!$F$18="",Brand_Profile!$F$18="Any"),100,IF(Brand_Profile!$F$18="Female",MIN(100,ROUND(KOL_Database!$AB$11/Lookup_Lists!$D$143*100,0)),IF(Brand_Profile!$F$18="Male",MIN(100,ROUND(KOL_Database!$AC$11/Lookup_Lists!$D$143*100,0)),MAX(0,ROUND(100-ABS(KOL_Database!$AB$11-50)*2,0)))))</f>
        <v>42</v>
      </c>
      <c r="Q72" s="142">
        <f>ROUND((IF(Brand_Profile!$F$19="",100,IF(KOL_Database!$AD$11=Brand_Profile!$F$19,100,Lookup_Lists!$D$151))*Lookup_Lists!$D$118+IF(OR(Brand_Profile!$F$20="",Brand_Profile!$F$20="Nasional"),100,IF(KOL_Database!$AE$11="",Lookup_Lists!$D$150,IF(KOL_Database!$AE$11=Brand_Profile!$F$20,100,IF(KOL_Database!$AD$11=Brand_Profile!$F$19,40,Lookup_Lists!$D$151))))*Lookup_Lists!$D$119+IF(OR(Brand_Profile!$F$21="",Brand_Profile!$F$21="Nasional"),100,IF(KOL_Database!$AF$11="",Lookup_Lists!$D$150,IF(KOL_Database!$AF$11=Brand_Profile!$F$21,100,IF(KOL_Database!$AE$11=Brand_Profile!$F$20,60,Lookup_Lists!$D$151))))*Lookup_Lists!$D$120)/(Lookup_Lists!$D$118+Lookup_Lists!$D$119+Lookup_Lists!$D$120),0)</f>
        <v>100</v>
      </c>
      <c r="R72" s="142">
        <f>IF(Brand_Profile!$F$68=0,Lookup_Lists!$D$150,ROUND((IF(Brand_Profile!$F$63="",0,IF(ISNUMBER(SEARCH(Brand_Profile!$F$63,KOL_Database!$AG$11)),1,0))+IF(Brand_Profile!$F$64="",0,IF(ISNUMBER(SEARCH(Brand_Profile!$F$64,KOL_Database!$AG$11)),1,0))+IF(Brand_Profile!$F$65="",0,IF(ISNUMBER(SEARCH(Brand_Profile!$F$65,KOL_Database!$AG$11)),1,0))+IF(Brand_Profile!$F$66="",0,IF(ISNUMBER(SEARCH(Brand_Profile!$F$66,KOL_Database!$AG$11)),1,0))+IF(Brand_Profile!$F$67="",0,IF(ISNUMBER(SEARCH(Brand_Profile!$F$67,KOL_Database!$AG$11)),1,0)))/Brand_Profile!$F$68*100,0))</f>
        <v>0</v>
      </c>
      <c r="S72" s="142">
        <f ca="1">ROUND((Matching_Engine!$O$72*Brand_Profile!$F$96+Matching_Engine!$P$72*Brand_Profile!$F$97+Matching_Engine!$Q$72*Brand_Profile!$F$98+Matching_Engine!$R$72*Brand_Profile!$F$99)/MAX(1,Brand_Profile!$F$96+Brand_Profile!$F$97+Brand_Profile!$F$98+Brand_Profile!$F$99),0)</f>
        <v>68</v>
      </c>
      <c r="T72" s="142">
        <f>IF(Brand_Profile!$F$33="",Lookup_Lists!$D$150,Matching_Engine!$BD$72)</f>
        <v>20</v>
      </c>
      <c r="U72" s="142">
        <f>IF(Brand_Profile!$F$34="",Lookup_Lists!$D$150,IF(Brand_Profile!$F$34=KOL_Database!$F$11,100,IF(Matching_Engine!$BE$72=KOL_Database!$E$11,75,IF(Matching_Engine!$BD$72&gt;=80,Lookup_Lists!$D$150,IF(Matching_Engine!$BD$72&gt;=60,35,Lookup_Lists!$D$151)))))</f>
        <v>20</v>
      </c>
      <c r="V72" s="142">
        <f>IF(Brand_Profile!$F$86=0,Lookup_Lists!$D$150,ROUND((IF(Brand_Profile!$F$81="",0,IF(ISNUMBER(SEARCH(Brand_Profile!$F$81,Matching_Engine!$BG$72)),1,0))+IF(Brand_Profile!$F$82="",0,IF(ISNUMBER(SEARCH(Brand_Profile!$F$82,Matching_Engine!$BG$72)),1,0))+IF(Brand_Profile!$F$83="",0,IF(ISNUMBER(SEARCH(Brand_Profile!$F$83,Matching_Engine!$BG$72)),1,0))+IF(Brand_Profile!$F$84="",0,IF(ISNUMBER(SEARCH(Brand_Profile!$F$84,Matching_Engine!$BG$72)),1,0))+IF(Brand_Profile!$F$85="",0,IF(ISNUMBER(SEARCH(Brand_Profile!$F$85,Matching_Engine!$BG$72)),1,0)))/Brand_Profile!$F$86*100,0))</f>
        <v>0</v>
      </c>
      <c r="W72" s="142">
        <f>IF(Brand_Profile!$F$39="",Lookup_Lists!$D$150,IFERROR(INDEX(Lookup_Lists!$B$237:$K$246,MATCH(Brand_Profile!$F$39,Lookup_Lists!$A$237:$A$246,0),MATCH(KOL_Database!$AJ$11,Lookup_Lists!$B$236:$K$236,0)),45))</f>
        <v>45</v>
      </c>
      <c r="X72" s="142">
        <f>ROUND((Matching_Engine!$T$72*Lookup_Lists!$D$121+Matching_Engine!$U$72*Lookup_Lists!$D$122+Matching_Engine!$V$72*Lookup_Lists!$D$123+Matching_Engine!$W$72*Lookup_Lists!$D$124)/(Lookup_Lists!$D$121+Lookup_Lists!$D$122+Lookup_Lists!$D$123+Lookup_Lists!$D$124),0)</f>
        <v>19</v>
      </c>
      <c r="Y72" s="142">
        <f>MIN(100,MAX(IFERROR(INDEX(Lookup_Lists!$B$202:$M$211,MATCH(Brand_Profile!$F$25,Lookup_Lists!$A$202:$A$211,0),MATCH(KOL_Database!$AK$11,Lookup_Lists!$B$201:$M$201,0)),40),IF(KOL_Database!$AK$11=Brand_Profile!$F$41,95,0)))</f>
        <v>45</v>
      </c>
      <c r="Z72" s="142">
        <f>IFERROR(INDEX(Lookup_Lists!$B$215:$K$222,MATCH(Brand_Profile!$F$27,Lookup_Lists!$A$215:$A$222,0),MATCH(KOL_Database!$AJ$11,Lookup_Lists!$B$214:$K$214,0)),45)</f>
        <v>60</v>
      </c>
      <c r="AA72" s="142">
        <f>ROUND((IF(Brand_Profile!$F$80=0,Lookup_Lists!$D$150,ROUND((IF(Brand_Profile!$F$75="",0,IF(ISNUMBER(SEARCH(Brand_Profile!$F$75,KOL_Database!$AL$11)),1,0))+IF(Brand_Profile!$F$76="",0,IF(ISNUMBER(SEARCH(Brand_Profile!$F$76,KOL_Database!$AL$11)),1,0))+IF(Brand_Profile!$F$77="",0,IF(ISNUMBER(SEARCH(Brand_Profile!$F$77,KOL_Database!$AL$11)),1,0))+IF(Brand_Profile!$F$78="",0,IF(ISNUMBER(SEARCH(Brand_Profile!$F$78,KOL_Database!$AL$11)),1,0))+IF(Brand_Profile!$F$79="",0,IF(ISNUMBER(SEARCH(Brand_Profile!$F$79,KOL_Database!$AL$11)),1,0)))/Brand_Profile!$F$80*100,0))+IF(Brand_Profile!$F$92=0,Lookup_Lists!$D$150,ROUND((IF(Brand_Profile!$F$87="",0,IF(ISNUMBER(SEARCH(Brand_Profile!$F$87,KOL_Database!$AL$11)),1,0))+IF(Brand_Profile!$F$88="",0,IF(ISNUMBER(SEARCH(Brand_Profile!$F$88,KOL_Database!$AL$11)),1,0))+IF(Brand_Profile!$F$89="",0,IF(ISNUMBER(SEARCH(Brand_Profile!$F$89,KOL_Database!$AL$11)),1,0))+IF(Brand_Profile!$F$90="",0,IF(ISNUMBER(SEARCH(Brand_Profile!$F$90,KOL_Database!$AL$11)),1,0))+IF(Brand_Profile!$F$91="",0,IF(ISNUMBER(SEARCH(Brand_Profile!$F$91,KOL_Database!$AL$11)),1,0)))/Brand_Profile!$F$92*100,0)))/2,0)</f>
        <v>0</v>
      </c>
      <c r="AB72" s="142">
        <f>IFERROR(INDEX(Lookup_Lists!$B$226:$K$233,MATCH(Brand_Profile!$F$30,Lookup_Lists!$A$226:$A$233,0),MATCH(KOL_Database!$AJ$11,Lookup_Lists!$B$225:$K$225,0)),45)</f>
        <v>60</v>
      </c>
      <c r="AC72" s="142">
        <f>ROUND((Matching_Engine!$Y$72*Lookup_Lists!$D$125+Matching_Engine!$Z$72*Lookup_Lists!$D$126+Matching_Engine!$AA$72*Lookup_Lists!$D$127+Matching_Engine!$AB$72*Lookup_Lists!$D$128)/(Lookup_Lists!$D$125+Lookup_Lists!$D$126+Lookup_Lists!$D$127+Lookup_Lists!$D$128),0)</f>
        <v>40</v>
      </c>
      <c r="AD72" s="142">
        <f>IF(KOL_Database!$K$11="",0,MIN(100,ROUND(KOL_Database!$K$11/Lookup_Lists!$D$141*100,0)))</f>
        <v>53</v>
      </c>
      <c r="AE72" s="142">
        <f>IF(KOL_Database!$R$11="",0,MIN(100,MAX(0,KOL_Database!$R$11)))</f>
        <v>86</v>
      </c>
      <c r="AF72" s="142">
        <f>IF(KOL_Database!$P$11="",0,MIN(100,MAX(0,KOL_Database!$P$11)))</f>
        <v>83</v>
      </c>
      <c r="AG72" s="142">
        <f>IF(KOL_Database!$Q$11="",0,MIN(100,MAX(0,KOL_Database!$Q$11)))</f>
        <v>85</v>
      </c>
      <c r="AH72" s="142">
        <f>IF(OR(KOL_Database!$J$11="",KOL_Database!$J$11=0,KOL_Database!$L$11=""),0,MIN(100,ROUND(KOL_Database!$L$11/KOL_Database!$J$11/Lookup_Lists!$D$144*100,0)))</f>
        <v>70</v>
      </c>
      <c r="AI72" s="142">
        <f>IF(KOL_Database!$N$11="",0,MIN(100,MAX(0,ROUND((KOL_Database!$N$11+2)/(Lookup_Lists!$D$145+2)*100,0))))</f>
        <v>52</v>
      </c>
      <c r="AJ72" s="142">
        <f>ROUND((Matching_Engine!$AD$72*Lookup_Lists!$D$129+Matching_Engine!$AE$72*Lookup_Lists!$D$130+Matching_Engine!$AF$72*Lookup_Lists!$D$131+Matching_Engine!$AG$72*Lookup_Lists!$D$132+Matching_Engine!$AH$72*Lookup_Lists!$D$133+Matching_Engine!$AI$72*Lookup_Lists!$D$134)/(Lookup_Lists!$D$129+Lookup_Lists!$D$130+Lookup_Lists!$D$131+Lookup_Lists!$D$132+Lookup_Lists!$D$133+Lookup_Lists!$D$134),0)</f>
        <v>70</v>
      </c>
      <c r="AK72" s="142">
        <f>IF(KOL_Database!$AT$11="",0,MIN(100,MAX(0,KOL_Database!$AT$11)))</f>
        <v>93</v>
      </c>
      <c r="AL72" s="142">
        <f>IF(KOL_Database!$AU$11="",0,KOL_Database!$AU$11)</f>
        <v>60</v>
      </c>
      <c r="AM72" s="89" t="str">
        <f>IF(KOL_Database!$AV$11="","None",KOL_Database!$AV$11)</f>
        <v>None</v>
      </c>
      <c r="AN72" s="143">
        <f>IF(Matching_Engine!$AM$72="High",Lookup_Lists!$D$137,IF(Matching_Engine!$AM$72="Medium",Lookup_Lists!$D$138,IF(Matching_Engine!$AM$72="Low",Lookup_Lists!$D$139,Lookup_Lists!$D$140)))</f>
        <v>1</v>
      </c>
      <c r="AO72" s="142">
        <f>ROUND(MIN(100,MAX(0,(Matching_Engine!$AK$72*Lookup_Lists!$D$135+(100-Matching_Engine!$AL$72)*Lookup_Lists!$D$136)/(Lookup_Lists!$D$135+Lookup_Lists!$D$136)*Matching_Engine!$AN$72)),0)</f>
        <v>82</v>
      </c>
      <c r="AP72" s="13">
        <f ca="1">ROUND((Matching_Engine!$N$72*Lookup_Lists!$D$104+Matching_Engine!$S$72*Lookup_Lists!$D$105+Matching_Engine!$X$72*Lookup_Lists!$D$106+Matching_Engine!$AC$72*Lookup_Lists!$D$107+Matching_Engine!$AJ$72*Lookup_Lists!$D$108+Matching_Engine!$AO$72*Lookup_Lists!$D$109)/MAX(1,(Lookup_Lists!$D$104+Lookup_Lists!$D$105+Lookup_Lists!$D$106+Lookup_Lists!$D$107+Lookup_Lists!$D$108+Lookup_Lists!$D$109)),0)</f>
        <v>46</v>
      </c>
      <c r="AQ72" s="89" t="str">
        <f ca="1">IF(Matching_Engine!$AP$72&gt;=Lookup_Lists!$D$152,"Excellent Match",IF(Matching_Engine!$AP$72&gt;=Lookup_Lists!$D$153,"Strong Match",IF(Matching_Engine!$AP$72&gt;=Lookup_Lists!$D$154,"Good Match",IF(Matching_Engine!$AP$72&gt;=Lookup_Lists!$D$155,"Moderate Match","Low Match"))))</f>
        <v>Low Match</v>
      </c>
      <c r="AR72" s="142">
        <f>KOL_Database!$BE$11</f>
        <v>100</v>
      </c>
      <c r="AS72" s="89" t="str">
        <f>IF(Matching_Engine!$AR$72&gt;=Lookup_Lists!$D$159,"High",IF(Matching_Engine!$AR$72&gt;=Lookup_Lists!$D$160,"Medium","Limited Data"))</f>
        <v>High</v>
      </c>
      <c r="AT72" s="142">
        <f>ROUND((Matching_Engine!$N$72+Matching_Engine!$X$72+Matching_Engine!$AC$72)/3,0)</f>
        <v>24</v>
      </c>
      <c r="AU72" s="142">
        <f>ROUND(((100-Matching_Engine!$AL$72)*Lookup_Lists!$D$162+IF(KOL_Database!$BD$11="",Lookup_Lists!$D$150,KOL_Database!$BD$11)*Lookup_Lists!$D$163+Matching_Engine!$AI$72*Lookup_Lists!$D$164+Matching_Engine!$AD$72*Lookup_Lists!$D$165)/(Lookup_Lists!$D$162+Lookup_Lists!$D$163+Lookup_Lists!$D$164+Lookup_Lists!$D$165),0)</f>
        <v>47</v>
      </c>
      <c r="AV72" s="89" t="str">
        <f ca="1">IF(Matching_Engine!$AW$72="","PASS","EXCLUDED")</f>
        <v>EXCLUDED</v>
      </c>
      <c r="AW72" s="89" t="str">
        <f ca="1">IF(ISERROR(SEARCH(KOL_Database!$D$11,Brand_Profile!$F$32)),"Platform not in Preferred Platform",IF(AND(Brand_Profile!$F$36&gt;0,KOL_Database!$J$11&lt;Brand_Profile!$F$36),"Followers below Preferred Follower Range",IF(AND(Brand_Profile!$F$37&gt;0,KOL_Database!$J$11&gt;Brand_Profile!$F$37),"Followers above Preferred Follower Range",IF(AND(Brand_Profile!$F$38&gt;0,IF(KOL_Database!$K$11="",0,KOL_Database!$K$11)&lt;Brand_Profile!$F$38),"Engagement Rate below Minimum Engagement Rate",IF(ISERROR(SEARCH(KOL_Database!$G$11,Brand_Profile!$F$35)),"Tier not in Preferred Tier",IF(AND(Brand_Profile!$F$43&gt;0,Matching_Engine!$AE$72&lt;Brand_Profile!$F$43),"Audience Quality below Minimum Audience Quality",IF(AND(Brand_Profile!$F$44&gt;0,Matching_Engine!$AK$72&lt;Brand_Profile!$F$44),"Brand Safety below Minimum Brand Safety",IF(AND(Brand_Profile!$F$47="Yes",KOL_Database!$AD$11&lt;&gt;Brand_Profile!$F$19),"Audience Country does not match Target Country",IF(AND(Brand_Profile!$F$46="Yes",KOL_Database!$E$11&lt;&gt;Brand_Profile!$F$33),"Category is not the Preferred Category",IF(AND(Brand_Profile!$F$48&gt;0,Matching_Engine!$AL$72&gt;Brand_Profile!$F$48),"Competitor Saturation above Max Competitor Saturation",IF(AND(Brand_Profile!$F$50="Yes",KOL_Database!$AW$11="Yes"),"Already Selected",IF(AND(Brand_Profile!$F$51="Yes",KOL_Database!$AX$11="Yes"),"Already in Cart",IF(AND(Brand_Profile!$F$52="Yes",KOL_Database!$AY$11="Yes"),"Existing Partner",IF(AND(Brand_Profile!$F$53="Yes",KOL_Database!$AZ$11="Yes"),"Excluded Creator",IF(AND(Brand_Profile!$F$49&gt;0,Matching_Engine!$AP$72&lt;Brand_Profile!$F$49),"Brand Match below Minimum Brand Match","")))))))))))))))</f>
        <v>Engagement Rate below Minimum Engagement Rate</v>
      </c>
      <c r="AX72" s="89" t="str">
        <f ca="1">IF(Matching_Engine!$AV$72="EXCLUDED","Excluded",IF(Matching_Engine!$AP$72&gt;=Lookup_Lists!$D$156,"Highly Recommended",IF(Matching_Engine!$AP$72&gt;=Lookup_Lists!$D$157,"Recommended",IF(Matching_Engine!$AP$72&gt;=Lookup_Lists!$D$158,"Consider","Low Priority"))))</f>
        <v>Excluded</v>
      </c>
      <c r="AY72" s="142" t="str">
        <f ca="1">IF(Matching_Engine!$AV$72="PASS",Matching_Engine!$AP$72,"")</f>
        <v/>
      </c>
      <c r="AZ72" s="89" t="str">
        <f>Matching_Engine!$A$72&amp;"|"&amp;Matching_Engine!$C$72</f>
        <v>BRAND-C|KOL-07</v>
      </c>
      <c r="BA72" s="89" t="str">
        <f>IFERROR(INDEX(Lookup_Lists!$B$51:$B$92,MATCH(Brand_Profile!$F$12,Lookup_Lists!$A$51:$A$92,0)),"")</f>
        <v>Food</v>
      </c>
      <c r="BB72" s="89" t="str">
        <f>IFERROR(INDEX(Lookup_Lists!$B$51:$B$92,MATCH(KOL_Database!$F$11,Lookup_Lists!$A$51:$A$92,0)),"")</f>
        <v>Finance</v>
      </c>
      <c r="BC72" s="142">
        <f>IFERROR(INDEX(Lookup_Lists!$B$185:$O$198,MATCH(Matching_Engine!$BA$72,Lookup_Lists!$A$185:$A$198,0),MATCH(KOL_Database!$E$11,Lookup_Lists!$B$184:$O$184,0)),Lookup_Lists!$D$151)</f>
        <v>20</v>
      </c>
      <c r="BD72" s="142">
        <f>IFERROR(INDEX(Lookup_Lists!$B$185:$O$198,MATCH(Brand_Profile!$F$33,Lookup_Lists!$A$185:$A$198,0),MATCH(KOL_Database!$E$11,Lookup_Lists!$B$184:$O$184,0)),Lookup_Lists!$D$151)</f>
        <v>20</v>
      </c>
      <c r="BE72" s="89" t="str">
        <f>IFERROR(INDEX(Lookup_Lists!$B$51:$B$92,MATCH(Brand_Profile!$F$34,Lookup_Lists!$A$51:$A$92,0)),"")</f>
        <v>Food</v>
      </c>
      <c r="BF72" s="89" t="str">
        <f>KOL_Database!$AI$11&amp;", "&amp;KOL_Database!$AG$11&amp;", "&amp;KOL_Database!$F$11&amp;", "&amp;KOL_Database!$E$11</f>
        <v>Finance, Business, Education, Finance, Business, Education, Technology, Productivity, Personal Finance, Finance</v>
      </c>
      <c r="BG72" s="89" t="str">
        <f>KOL_Database!$AI$11&amp;", "&amp;KOL_Database!$AG$11</f>
        <v>Finance, Business, Education, Finance, Business, Education, Technology, Productivity</v>
      </c>
    </row>
    <row r="73" spans="1:59">
      <c r="A73" s="101" t="s">
        <v>119</v>
      </c>
      <c r="B73" s="89" t="str">
        <f>Brand_Profile!$F$9</f>
        <v>Rasa Nusantara</v>
      </c>
      <c r="C73" s="89" t="str">
        <f>KOL_Database!$A$12</f>
        <v>KOL-08</v>
      </c>
      <c r="D73" s="89" t="str">
        <f>KOL_Database!$B$12</f>
        <v>Tania Wijaya</v>
      </c>
      <c r="E73" s="89" t="str">
        <f>KOL_Database!$C$12</f>
        <v>@taniainvest</v>
      </c>
      <c r="F73" s="89" t="str">
        <f>KOL_Database!$D$12</f>
        <v>TikTok</v>
      </c>
      <c r="G73" s="89" t="str">
        <f>KOL_Database!$E$12</f>
        <v>Finance</v>
      </c>
      <c r="H73" s="89" t="str">
        <f>KOL_Database!$G$12</f>
        <v>Mid-tier</v>
      </c>
      <c r="I73" s="140">
        <f>KOL_Database!$J$12</f>
        <v>98000</v>
      </c>
      <c r="J73" s="141">
        <f>KOL_Database!$K$12</f>
        <v>5.6</v>
      </c>
      <c r="K73" s="142">
        <f>IFERROR(INDEX(Lookup_Lists!$B$170:$O$181,MATCH(Brand_Profile!$F$10,Lookup_Lists!$A$170:$A$181,0),MATCH(KOL_Database!$E$12,Lookup_Lists!$B$169:$O$169,0)),Lookup_Lists!$D$151)</f>
        <v>20</v>
      </c>
      <c r="L73" s="142">
        <f>IF(KOL_Database!$F$12="",Matching_Engine!$BC$73,IF(Brand_Profile!$F$12=KOL_Database!$F$12,100,IF(Matching_Engine!$BA$73=KOL_Database!$E$12,80,IF(Matching_Engine!$BC$73&gt;=80,60,IF(Matching_Engine!$BC$73&gt;=60,40,Lookup_Lists!$D$151)))))</f>
        <v>20</v>
      </c>
      <c r="M73" s="142">
        <f>ROUND((IF(Brand_Profile!$F$62=0,Lookup_Lists!$D$150,ROUND((IF(Brand_Profile!$F$57="",0,IF(ISNUMBER(SEARCH(Brand_Profile!$F$57,Matching_Engine!$BF$73)),1,0))+IF(Brand_Profile!$F$58="",0,IF(ISNUMBER(SEARCH(Brand_Profile!$F$58,Matching_Engine!$BF$73)),1,0))+IF(Brand_Profile!$F$59="",0,IF(ISNUMBER(SEARCH(Brand_Profile!$F$59,Matching_Engine!$BF$73)),1,0))+IF(Brand_Profile!$F$60="",0,IF(ISNUMBER(SEARCH(Brand_Profile!$F$60,Matching_Engine!$BF$73)),1,0))+IF(Brand_Profile!$F$61="",0,IF(ISNUMBER(SEARCH(Brand_Profile!$F$61,Matching_Engine!$BF$73)),1,0)))/Brand_Profile!$F$62*100,0))+IF(Brand_Profile!$F$74=0,Lookup_Lists!$D$150,ROUND((IF(Brand_Profile!$F$69="",0,IF(ISNUMBER(SEARCH(Brand_Profile!$F$69,Matching_Engine!$BF$73)),1,0))+IF(Brand_Profile!$F$70="",0,IF(ISNUMBER(SEARCH(Brand_Profile!$F$70,Matching_Engine!$BF$73)),1,0))+IF(Brand_Profile!$F$71="",0,IF(ISNUMBER(SEARCH(Brand_Profile!$F$71,Matching_Engine!$BF$73)),1,0))+IF(Brand_Profile!$F$72="",0,IF(ISNUMBER(SEARCH(Brand_Profile!$F$72,Matching_Engine!$BF$73)),1,0))+IF(Brand_Profile!$F$73="",0,IF(ISNUMBER(SEARCH(Brand_Profile!$F$73,Matching_Engine!$BF$73)),1,0)))/Brand_Profile!$F$74*100,0)))/2,0)</f>
        <v>20</v>
      </c>
      <c r="N73" s="142">
        <f>ROUND((Matching_Engine!$K$73*Lookup_Lists!$D$110+Matching_Engine!$L$73*Lookup_Lists!$D$111+Matching_Engine!$M$73*Lookup_Lists!$D$112)/(Lookup_Lists!$D$110+Lookup_Lists!$D$111+Lookup_Lists!$D$112),0)</f>
        <v>20</v>
      </c>
      <c r="O73" s="142">
        <f ca="1">IF(Brand_Profile!$F$16="",Lookup_Lists!$D$150,MIN(100,ROUND((IFERROR(INDEX(KOL_Database!$W$12:KOL_Database!$AA$12,1,MATCH(Brand_Profile!$F$16,Lookup_Lists!$F$6:$F$10,0)),0)+0.5*IFERROR(INDEX(KOL_Database!$W$12:KOL_Database!$AA$12,1,MATCH(Brand_Profile!$F$17,Lookup_Lists!$F$6:$F$10,0)),0))/Lookup_Lists!$D$142*100,0)))</f>
        <v>89</v>
      </c>
      <c r="P73" s="142">
        <f>IF(OR(Brand_Profile!$F$18="",Brand_Profile!$F$18="Any"),100,IF(Brand_Profile!$F$18="Female",MIN(100,ROUND(KOL_Database!$AB$12/Lookup_Lists!$D$143*100,0)),IF(Brand_Profile!$F$18="Male",MIN(100,ROUND(KOL_Database!$AC$12/Lookup_Lists!$D$143*100,0)),MAX(0,ROUND(100-ABS(KOL_Database!$AB$12-50)*2,0)))))</f>
        <v>64</v>
      </c>
      <c r="Q73" s="142">
        <f>ROUND((IF(Brand_Profile!$F$19="",100,IF(KOL_Database!$AD$12=Brand_Profile!$F$19,100,Lookup_Lists!$D$151))*Lookup_Lists!$D$118+IF(OR(Brand_Profile!$F$20="",Brand_Profile!$F$20="Nasional"),100,IF(KOL_Database!$AE$12="",Lookup_Lists!$D$150,IF(KOL_Database!$AE$12=Brand_Profile!$F$20,100,IF(KOL_Database!$AD$12=Brand_Profile!$F$19,40,Lookup_Lists!$D$151))))*Lookup_Lists!$D$119+IF(OR(Brand_Profile!$F$21="",Brand_Profile!$F$21="Nasional"),100,IF(KOL_Database!$AF$12="",Lookup_Lists!$D$150,IF(KOL_Database!$AF$12=Brand_Profile!$F$21,100,IF(KOL_Database!$AE$12=Brand_Profile!$F$20,60,Lookup_Lists!$D$151))))*Lookup_Lists!$D$120)/(Lookup_Lists!$D$118+Lookup_Lists!$D$119+Lookup_Lists!$D$120),0)</f>
        <v>100</v>
      </c>
      <c r="R73" s="142">
        <f>IF(Brand_Profile!$F$68=0,Lookup_Lists!$D$150,ROUND((IF(Brand_Profile!$F$63="",0,IF(ISNUMBER(SEARCH(Brand_Profile!$F$63,KOL_Database!$AG$12)),1,0))+IF(Brand_Profile!$F$64="",0,IF(ISNUMBER(SEARCH(Brand_Profile!$F$64,KOL_Database!$AG$12)),1,0))+IF(Brand_Profile!$F$65="",0,IF(ISNUMBER(SEARCH(Brand_Profile!$F$65,KOL_Database!$AG$12)),1,0))+IF(Brand_Profile!$F$66="",0,IF(ISNUMBER(SEARCH(Brand_Profile!$F$66,KOL_Database!$AG$12)),1,0))+IF(Brand_Profile!$F$67="",0,IF(ISNUMBER(SEARCH(Brand_Profile!$F$67,KOL_Database!$AG$12)),1,0)))/Brand_Profile!$F$68*100,0))</f>
        <v>0</v>
      </c>
      <c r="S73" s="142">
        <f ca="1">ROUND((Matching_Engine!$O$73*Brand_Profile!$F$96+Matching_Engine!$P$73*Brand_Profile!$F$97+Matching_Engine!$Q$73*Brand_Profile!$F$98+Matching_Engine!$R$73*Brand_Profile!$F$99)/MAX(1,Brand_Profile!$F$96+Brand_Profile!$F$97+Brand_Profile!$F$98+Brand_Profile!$F$99),0)</f>
        <v>66</v>
      </c>
      <c r="T73" s="142">
        <f>IF(Brand_Profile!$F$33="",Lookup_Lists!$D$150,Matching_Engine!$BD$73)</f>
        <v>20</v>
      </c>
      <c r="U73" s="142">
        <f>IF(Brand_Profile!$F$34="",Lookup_Lists!$D$150,IF(Brand_Profile!$F$34=KOL_Database!$F$12,100,IF(Matching_Engine!$BE$73=KOL_Database!$E$12,75,IF(Matching_Engine!$BD$73&gt;=80,Lookup_Lists!$D$150,IF(Matching_Engine!$BD$73&gt;=60,35,Lookup_Lists!$D$151)))))</f>
        <v>20</v>
      </c>
      <c r="V73" s="142">
        <f>IF(Brand_Profile!$F$86=0,Lookup_Lists!$D$150,ROUND((IF(Brand_Profile!$F$81="",0,IF(ISNUMBER(SEARCH(Brand_Profile!$F$81,Matching_Engine!$BG$73)),1,0))+IF(Brand_Profile!$F$82="",0,IF(ISNUMBER(SEARCH(Brand_Profile!$F$82,Matching_Engine!$BG$73)),1,0))+IF(Brand_Profile!$F$83="",0,IF(ISNUMBER(SEARCH(Brand_Profile!$F$83,Matching_Engine!$BG$73)),1,0))+IF(Brand_Profile!$F$84="",0,IF(ISNUMBER(SEARCH(Brand_Profile!$F$84,Matching_Engine!$BG$73)),1,0))+IF(Brand_Profile!$F$85="",0,IF(ISNUMBER(SEARCH(Brand_Profile!$F$85,Matching_Engine!$BG$73)),1,0)))/Brand_Profile!$F$86*100,0))</f>
        <v>0</v>
      </c>
      <c r="W73" s="142">
        <f>IF(Brand_Profile!$F$39="",Lookup_Lists!$D$150,IFERROR(INDEX(Lookup_Lists!$B$237:$K$246,MATCH(Brand_Profile!$F$39,Lookup_Lists!$A$237:$A$246,0),MATCH(KOL_Database!$AJ$12,Lookup_Lists!$B$236:$K$236,0)),45))</f>
        <v>45</v>
      </c>
      <c r="X73" s="142">
        <f>ROUND((Matching_Engine!$T$73*Lookup_Lists!$D$121+Matching_Engine!$U$73*Lookup_Lists!$D$122+Matching_Engine!$V$73*Lookup_Lists!$D$123+Matching_Engine!$W$73*Lookup_Lists!$D$124)/(Lookup_Lists!$D$121+Lookup_Lists!$D$122+Lookup_Lists!$D$123+Lookup_Lists!$D$124),0)</f>
        <v>19</v>
      </c>
      <c r="Y73" s="142">
        <f>MIN(100,MAX(IFERROR(INDEX(Lookup_Lists!$B$202:$M$211,MATCH(Brand_Profile!$F$25,Lookup_Lists!$A$202:$A$211,0),MATCH(KOL_Database!$AK$12,Lookup_Lists!$B$201:$M$201,0)),40),IF(KOL_Database!$AK$12=Brand_Profile!$F$41,95,0)))</f>
        <v>60</v>
      </c>
      <c r="Z73" s="142">
        <f>IFERROR(INDEX(Lookup_Lists!$B$215:$K$222,MATCH(Brand_Profile!$F$27,Lookup_Lists!$A$215:$A$222,0),MATCH(KOL_Database!$AJ$12,Lookup_Lists!$B$214:$K$214,0)),45)</f>
        <v>60</v>
      </c>
      <c r="AA73" s="142">
        <f>ROUND((IF(Brand_Profile!$F$80=0,Lookup_Lists!$D$150,ROUND((IF(Brand_Profile!$F$75="",0,IF(ISNUMBER(SEARCH(Brand_Profile!$F$75,KOL_Database!$AL$12)),1,0))+IF(Brand_Profile!$F$76="",0,IF(ISNUMBER(SEARCH(Brand_Profile!$F$76,KOL_Database!$AL$12)),1,0))+IF(Brand_Profile!$F$77="",0,IF(ISNUMBER(SEARCH(Brand_Profile!$F$77,KOL_Database!$AL$12)),1,0))+IF(Brand_Profile!$F$78="",0,IF(ISNUMBER(SEARCH(Brand_Profile!$F$78,KOL_Database!$AL$12)),1,0))+IF(Brand_Profile!$F$79="",0,IF(ISNUMBER(SEARCH(Brand_Profile!$F$79,KOL_Database!$AL$12)),1,0)))/Brand_Profile!$F$80*100,0))+IF(Brand_Profile!$F$92=0,Lookup_Lists!$D$150,ROUND((IF(Brand_Profile!$F$87="",0,IF(ISNUMBER(SEARCH(Brand_Profile!$F$87,KOL_Database!$AL$12)),1,0))+IF(Brand_Profile!$F$88="",0,IF(ISNUMBER(SEARCH(Brand_Profile!$F$88,KOL_Database!$AL$12)),1,0))+IF(Brand_Profile!$F$89="",0,IF(ISNUMBER(SEARCH(Brand_Profile!$F$89,KOL_Database!$AL$12)),1,0))+IF(Brand_Profile!$F$90="",0,IF(ISNUMBER(SEARCH(Brand_Profile!$F$90,KOL_Database!$AL$12)),1,0))+IF(Brand_Profile!$F$91="",0,IF(ISNUMBER(SEARCH(Brand_Profile!$F$91,KOL_Database!$AL$12)),1,0)))/Brand_Profile!$F$92*100,0)))/2,0)</f>
        <v>0</v>
      </c>
      <c r="AB73" s="142">
        <f>IFERROR(INDEX(Lookup_Lists!$B$226:$K$233,MATCH(Brand_Profile!$F$30,Lookup_Lists!$A$226:$A$233,0),MATCH(KOL_Database!$AJ$12,Lookup_Lists!$B$225:$K$225,0)),45)</f>
        <v>60</v>
      </c>
      <c r="AC73" s="142">
        <f>ROUND((Matching_Engine!$Y$73*Lookup_Lists!$D$125+Matching_Engine!$Z$73*Lookup_Lists!$D$126+Matching_Engine!$AA$73*Lookup_Lists!$D$127+Matching_Engine!$AB$73*Lookup_Lists!$D$128)/(Lookup_Lists!$D$125+Lookup_Lists!$D$126+Lookup_Lists!$D$127+Lookup_Lists!$D$128),0)</f>
        <v>45</v>
      </c>
      <c r="AD73" s="142">
        <f>IF(KOL_Database!$K$12="",0,MIN(100,ROUND(KOL_Database!$K$12/Lookup_Lists!$D$141*100,0)))</f>
        <v>93</v>
      </c>
      <c r="AE73" s="142">
        <f>IF(KOL_Database!$R$12="",0,MIN(100,MAX(0,KOL_Database!$R$12)))</f>
        <v>64</v>
      </c>
      <c r="AF73" s="142">
        <f>IF(KOL_Database!$P$12="",0,MIN(100,MAX(0,KOL_Database!$P$12)))</f>
        <v>77</v>
      </c>
      <c r="AG73" s="142">
        <f>IF(KOL_Database!$Q$12="",0,MIN(100,MAX(0,KOL_Database!$Q$12)))</f>
        <v>67</v>
      </c>
      <c r="AH73" s="142">
        <f>IF(OR(KOL_Database!$J$12="",KOL_Database!$J$12=0,KOL_Database!$L$12=""),0,MIN(100,ROUND(KOL_Database!$L$12/KOL_Database!$J$12/Lookup_Lists!$D$144*100,0)))</f>
        <v>100</v>
      </c>
      <c r="AI73" s="142">
        <f>IF(KOL_Database!$N$12="",0,MIN(100,MAX(0,ROUND((KOL_Database!$N$12+2)/(Lookup_Lists!$D$145+2)*100,0))))</f>
        <v>58</v>
      </c>
      <c r="AJ73" s="142">
        <f>ROUND((Matching_Engine!$AD$73*Lookup_Lists!$D$129+Matching_Engine!$AE$73*Lookup_Lists!$D$130+Matching_Engine!$AF$73*Lookup_Lists!$D$131+Matching_Engine!$AG$73*Lookup_Lists!$D$132+Matching_Engine!$AH$73*Lookup_Lists!$D$133+Matching_Engine!$AI$73*Lookup_Lists!$D$134)/(Lookup_Lists!$D$129+Lookup_Lists!$D$130+Lookup_Lists!$D$131+Lookup_Lists!$D$132+Lookup_Lists!$D$133+Lookup_Lists!$D$134),0)</f>
        <v>80</v>
      </c>
      <c r="AK73" s="142">
        <f>IF(KOL_Database!$AT$12="",0,MIN(100,MAX(0,KOL_Database!$AT$12)))</f>
        <v>72</v>
      </c>
      <c r="AL73" s="142">
        <f>IF(KOL_Database!$AU$12="",0,KOL_Database!$AU$12)</f>
        <v>14</v>
      </c>
      <c r="AM73" s="89" t="str">
        <f>IF(KOL_Database!$AV$12="","None",KOL_Database!$AV$12)</f>
        <v>Low</v>
      </c>
      <c r="AN73" s="143">
        <f>IF(Matching_Engine!$AM$73="High",Lookup_Lists!$D$137,IF(Matching_Engine!$AM$73="Medium",Lookup_Lists!$D$138,IF(Matching_Engine!$AM$73="Low",Lookup_Lists!$D$139,Lookup_Lists!$D$140)))</f>
        <v>0.95</v>
      </c>
      <c r="AO73" s="142">
        <f>ROUND(MIN(100,MAX(0,(Matching_Engine!$AK$73*Lookup_Lists!$D$135+(100-Matching_Engine!$AL$73)*Lookup_Lists!$D$136)/(Lookup_Lists!$D$135+Lookup_Lists!$D$136)*Matching_Engine!$AN$73)),0)</f>
        <v>71</v>
      </c>
      <c r="AP73" s="13">
        <f ca="1">ROUND((Matching_Engine!$N$73*Lookup_Lists!$D$104+Matching_Engine!$S$73*Lookup_Lists!$D$105+Matching_Engine!$X$73*Lookup_Lists!$D$106+Matching_Engine!$AC$73*Lookup_Lists!$D$107+Matching_Engine!$AJ$73*Lookup_Lists!$D$108+Matching_Engine!$AO$73*Lookup_Lists!$D$109)/MAX(1,(Lookup_Lists!$D$104+Lookup_Lists!$D$105+Lookup_Lists!$D$106+Lookup_Lists!$D$107+Lookup_Lists!$D$108+Lookup_Lists!$D$109)),0)</f>
        <v>47</v>
      </c>
      <c r="AQ73" s="89" t="str">
        <f ca="1">IF(Matching_Engine!$AP$73&gt;=Lookup_Lists!$D$152,"Excellent Match",IF(Matching_Engine!$AP$73&gt;=Lookup_Lists!$D$153,"Strong Match",IF(Matching_Engine!$AP$73&gt;=Lookup_Lists!$D$154,"Good Match",IF(Matching_Engine!$AP$73&gt;=Lookup_Lists!$D$155,"Moderate Match","Low Match"))))</f>
        <v>Low Match</v>
      </c>
      <c r="AR73" s="142">
        <f>KOL_Database!$BE$12</f>
        <v>100</v>
      </c>
      <c r="AS73" s="89" t="str">
        <f>IF(Matching_Engine!$AR$73&gt;=Lookup_Lists!$D$159,"High",IF(Matching_Engine!$AR$73&gt;=Lookup_Lists!$D$160,"Medium","Limited Data"))</f>
        <v>High</v>
      </c>
      <c r="AT73" s="142">
        <f>ROUND((Matching_Engine!$N$73+Matching_Engine!$X$73+Matching_Engine!$AC$73)/3,0)</f>
        <v>28</v>
      </c>
      <c r="AU73" s="142">
        <f>ROUND(((100-Matching_Engine!$AL$73)*Lookup_Lists!$D$162+IF(KOL_Database!$BD$12="",Lookup_Lists!$D$150,KOL_Database!$BD$12)*Lookup_Lists!$D$163+Matching_Engine!$AI$73*Lookup_Lists!$D$164+Matching_Engine!$AD$73*Lookup_Lists!$D$165)/(Lookup_Lists!$D$162+Lookup_Lists!$D$163+Lookup_Lists!$D$164+Lookup_Lists!$D$165),0)</f>
        <v>84</v>
      </c>
      <c r="AV73" s="89" t="str">
        <f ca="1">IF(Matching_Engine!$AW$73="","PASS","EXCLUDED")</f>
        <v>PASS</v>
      </c>
      <c r="AW73" s="89" t="str">
        <f ca="1">IF(ISERROR(SEARCH(KOL_Database!$D$12,Brand_Profile!$F$32)),"Platform not in Preferred Platform",IF(AND(Brand_Profile!$F$36&gt;0,KOL_Database!$J$12&lt;Brand_Profile!$F$36),"Followers below Preferred Follower Range",IF(AND(Brand_Profile!$F$37&gt;0,KOL_Database!$J$12&gt;Brand_Profile!$F$37),"Followers above Preferred Follower Range",IF(AND(Brand_Profile!$F$38&gt;0,IF(KOL_Database!$K$12="",0,KOL_Database!$K$12)&lt;Brand_Profile!$F$38),"Engagement Rate below Minimum Engagement Rate",IF(ISERROR(SEARCH(KOL_Database!$G$12,Brand_Profile!$F$35)),"Tier not in Preferred Tier",IF(AND(Brand_Profile!$F$43&gt;0,Matching_Engine!$AE$73&lt;Brand_Profile!$F$43),"Audience Quality below Minimum Audience Quality",IF(AND(Brand_Profile!$F$44&gt;0,Matching_Engine!$AK$73&lt;Brand_Profile!$F$44),"Brand Safety below Minimum Brand Safety",IF(AND(Brand_Profile!$F$47="Yes",KOL_Database!$AD$12&lt;&gt;Brand_Profile!$F$19),"Audience Country does not match Target Country",IF(AND(Brand_Profile!$F$46="Yes",KOL_Database!$E$12&lt;&gt;Brand_Profile!$F$33),"Category is not the Preferred Category",IF(AND(Brand_Profile!$F$48&gt;0,Matching_Engine!$AL$73&gt;Brand_Profile!$F$48),"Competitor Saturation above Max Competitor Saturation",IF(AND(Brand_Profile!$F$50="Yes",KOL_Database!$AW$12="Yes"),"Already Selected",IF(AND(Brand_Profile!$F$51="Yes",KOL_Database!$AX$12="Yes"),"Already in Cart",IF(AND(Brand_Profile!$F$52="Yes",KOL_Database!$AY$12="Yes"),"Existing Partner",IF(AND(Brand_Profile!$F$53="Yes",KOL_Database!$AZ$12="Yes"),"Excluded Creator",IF(AND(Brand_Profile!$F$49&gt;0,Matching_Engine!$AP$73&lt;Brand_Profile!$F$49),"Brand Match below Minimum Brand Match","")))))))))))))))</f>
        <v/>
      </c>
      <c r="AX73" s="89" t="str">
        <f ca="1">IF(Matching_Engine!$AV$73="EXCLUDED","Excluded",IF(Matching_Engine!$AP$73&gt;=Lookup_Lists!$D$156,"Highly Recommended",IF(Matching_Engine!$AP$73&gt;=Lookup_Lists!$D$157,"Recommended",IF(Matching_Engine!$AP$73&gt;=Lookup_Lists!$D$158,"Consider","Low Priority"))))</f>
        <v>Low Priority</v>
      </c>
      <c r="AY73" s="142">
        <f ca="1">IF(Matching_Engine!$AV$73="PASS",Matching_Engine!$AP$73,"")</f>
        <v>47</v>
      </c>
      <c r="AZ73" s="89" t="str">
        <f>Matching_Engine!$A$73&amp;"|"&amp;Matching_Engine!$C$73</f>
        <v>BRAND-C|KOL-08</v>
      </c>
      <c r="BA73" s="89" t="str">
        <f>IFERROR(INDEX(Lookup_Lists!$B$51:$B$92,MATCH(Brand_Profile!$F$12,Lookup_Lists!$A$51:$A$92,0)),"")</f>
        <v>Food</v>
      </c>
      <c r="BB73" s="89" t="str">
        <f>IFERROR(INDEX(Lookup_Lists!$B$51:$B$92,MATCH(KOL_Database!$F$12,Lookup_Lists!$A$51:$A$92,0)),"")</f>
        <v>Finance</v>
      </c>
      <c r="BC73" s="142">
        <f>IFERROR(INDEX(Lookup_Lists!$B$185:$O$198,MATCH(Matching_Engine!$BA$73,Lookup_Lists!$A$185:$A$198,0),MATCH(KOL_Database!$E$12,Lookup_Lists!$B$184:$O$184,0)),Lookup_Lists!$D$151)</f>
        <v>20</v>
      </c>
      <c r="BD73" s="142">
        <f>IFERROR(INDEX(Lookup_Lists!$B$185:$O$198,MATCH(Brand_Profile!$F$33,Lookup_Lists!$A$185:$A$198,0),MATCH(KOL_Database!$E$12,Lookup_Lists!$B$184:$O$184,0)),Lookup_Lists!$D$151)</f>
        <v>20</v>
      </c>
      <c r="BE73" s="89" t="str">
        <f>IFERROR(INDEX(Lookup_Lists!$B$51:$B$92,MATCH(Brand_Profile!$F$34,Lookup_Lists!$A$51:$A$92,0)),"")</f>
        <v>Food</v>
      </c>
      <c r="BF73" s="89" t="str">
        <f>KOL_Database!$AI$12&amp;", "&amp;KOL_Database!$AG$12&amp;", "&amp;KOL_Database!$F$12&amp;", "&amp;KOL_Database!$E$12</f>
        <v>Finance, Business, Productivity, Finance, Business, Education, Productivity, Shopping, Investing, Finance</v>
      </c>
      <c r="BG73" s="89" t="str">
        <f>KOL_Database!$AI$12&amp;", "&amp;KOL_Database!$AG$12</f>
        <v>Finance, Business, Productivity, Finance, Business, Education, Productivity, Shopping</v>
      </c>
    </row>
    <row r="74" spans="1:59">
      <c r="A74" s="101" t="s">
        <v>119</v>
      </c>
      <c r="B74" s="89" t="str">
        <f>Brand_Profile!$F$9</f>
        <v>Rasa Nusantara</v>
      </c>
      <c r="C74" s="89" t="str">
        <f>KOL_Database!$A$13</f>
        <v>KOL-09</v>
      </c>
      <c r="D74" s="89" t="str">
        <f>KOL_Database!$B$13</f>
        <v>Gilang Prakoso</v>
      </c>
      <c r="E74" s="89" t="str">
        <f>KOL_Database!$C$13</f>
        <v>@gilangbelajar</v>
      </c>
      <c r="F74" s="89" t="str">
        <f>KOL_Database!$D$13</f>
        <v>TikTok</v>
      </c>
      <c r="G74" s="89" t="str">
        <f>KOL_Database!$E$13</f>
        <v>Education</v>
      </c>
      <c r="H74" s="89" t="str">
        <f>KOL_Database!$G$13</f>
        <v>Macro</v>
      </c>
      <c r="I74" s="140">
        <f>KOL_Database!$J$13</f>
        <v>210000</v>
      </c>
      <c r="J74" s="141">
        <f>KOL_Database!$K$13</f>
        <v>6.8</v>
      </c>
      <c r="K74" s="142">
        <f>IFERROR(INDEX(Lookup_Lists!$B$170:$O$181,MATCH(Brand_Profile!$F$10,Lookup_Lists!$A$170:$A$181,0),MATCH(KOL_Database!$E$13,Lookup_Lists!$B$169:$O$169,0)),Lookup_Lists!$D$151)</f>
        <v>40</v>
      </c>
      <c r="L74" s="142">
        <f>IF(KOL_Database!$F$13="",Matching_Engine!$BC$74,IF(Brand_Profile!$F$12=KOL_Database!$F$13,100,IF(Matching_Engine!$BA$74=KOL_Database!$E$13,80,IF(Matching_Engine!$BC$74&gt;=80,60,IF(Matching_Engine!$BC$74&gt;=60,40,Lookup_Lists!$D$151)))))</f>
        <v>20</v>
      </c>
      <c r="M74" s="142">
        <f>ROUND((IF(Brand_Profile!$F$62=0,Lookup_Lists!$D$150,ROUND((IF(Brand_Profile!$F$57="",0,IF(ISNUMBER(SEARCH(Brand_Profile!$F$57,Matching_Engine!$BF$74)),1,0))+IF(Brand_Profile!$F$58="",0,IF(ISNUMBER(SEARCH(Brand_Profile!$F$58,Matching_Engine!$BF$74)),1,0))+IF(Brand_Profile!$F$59="",0,IF(ISNUMBER(SEARCH(Brand_Profile!$F$59,Matching_Engine!$BF$74)),1,0))+IF(Brand_Profile!$F$60="",0,IF(ISNUMBER(SEARCH(Brand_Profile!$F$60,Matching_Engine!$BF$74)),1,0))+IF(Brand_Profile!$F$61="",0,IF(ISNUMBER(SEARCH(Brand_Profile!$F$61,Matching_Engine!$BF$74)),1,0)))/Brand_Profile!$F$62*100,0))+IF(Brand_Profile!$F$74=0,Lookup_Lists!$D$150,ROUND((IF(Brand_Profile!$F$69="",0,IF(ISNUMBER(SEARCH(Brand_Profile!$F$69,Matching_Engine!$BF$74)),1,0))+IF(Brand_Profile!$F$70="",0,IF(ISNUMBER(SEARCH(Brand_Profile!$F$70,Matching_Engine!$BF$74)),1,0))+IF(Brand_Profile!$F$71="",0,IF(ISNUMBER(SEARCH(Brand_Profile!$F$71,Matching_Engine!$BF$74)),1,0))+IF(Brand_Profile!$F$72="",0,IF(ISNUMBER(SEARCH(Brand_Profile!$F$72,Matching_Engine!$BF$74)),1,0))+IF(Brand_Profile!$F$73="",0,IF(ISNUMBER(SEARCH(Brand_Profile!$F$73,Matching_Engine!$BF$74)),1,0)))/Brand_Profile!$F$74*100,0)))/2,0)</f>
        <v>20</v>
      </c>
      <c r="N74" s="142">
        <f>ROUND((Matching_Engine!$K$74*Lookup_Lists!$D$110+Matching_Engine!$L$74*Lookup_Lists!$D$111+Matching_Engine!$M$74*Lookup_Lists!$D$112)/(Lookup_Lists!$D$110+Lookup_Lists!$D$111+Lookup_Lists!$D$112),0)</f>
        <v>28</v>
      </c>
      <c r="O74" s="142">
        <f ca="1">IF(Brand_Profile!$F$16="",Lookup_Lists!$D$150,MIN(100,ROUND((IFERROR(INDEX(KOL_Database!$W$13:KOL_Database!$AA$13,1,MATCH(Brand_Profile!$F$16,Lookup_Lists!$F$6:$F$10,0)),0)+0.5*IFERROR(INDEX(KOL_Database!$W$13:KOL_Database!$AA$13,1,MATCH(Brand_Profile!$F$17,Lookup_Lists!$F$6:$F$10,0)),0))/Lookup_Lists!$D$142*100,0)))</f>
        <v>78</v>
      </c>
      <c r="P74" s="142">
        <f>IF(OR(Brand_Profile!$F$18="",Brand_Profile!$F$18="Any"),100,IF(Brand_Profile!$F$18="Female",MIN(100,ROUND(KOL_Database!$AB$13/Lookup_Lists!$D$143*100,0)),IF(Brand_Profile!$F$18="Male",MIN(100,ROUND(KOL_Database!$AC$13/Lookup_Lists!$D$143*100,0)),MAX(0,ROUND(100-ABS(KOL_Database!$AB$13-50)*2,0)))))</f>
        <v>96</v>
      </c>
      <c r="Q74" s="142">
        <f>ROUND((IF(Brand_Profile!$F$19="",100,IF(KOL_Database!$AD$13=Brand_Profile!$F$19,100,Lookup_Lists!$D$151))*Lookup_Lists!$D$118+IF(OR(Brand_Profile!$F$20="",Brand_Profile!$F$20="Nasional"),100,IF(KOL_Database!$AE$13="",Lookup_Lists!$D$150,IF(KOL_Database!$AE$13=Brand_Profile!$F$20,100,IF(KOL_Database!$AD$13=Brand_Profile!$F$19,40,Lookup_Lists!$D$151))))*Lookup_Lists!$D$119+IF(OR(Brand_Profile!$F$21="",Brand_Profile!$F$21="Nasional"),100,IF(KOL_Database!$AF$13="",Lookup_Lists!$D$150,IF(KOL_Database!$AF$13=Brand_Profile!$F$21,100,IF(KOL_Database!$AE$13=Brand_Profile!$F$20,60,Lookup_Lists!$D$151))))*Lookup_Lists!$D$120)/(Lookup_Lists!$D$118+Lookup_Lists!$D$119+Lookup_Lists!$D$120),0)</f>
        <v>100</v>
      </c>
      <c r="R74" s="142">
        <f>IF(Brand_Profile!$F$68=0,Lookup_Lists!$D$150,ROUND((IF(Brand_Profile!$F$63="",0,IF(ISNUMBER(SEARCH(Brand_Profile!$F$63,KOL_Database!$AG$13)),1,0))+IF(Brand_Profile!$F$64="",0,IF(ISNUMBER(SEARCH(Brand_Profile!$F$64,KOL_Database!$AG$13)),1,0))+IF(Brand_Profile!$F$65="",0,IF(ISNUMBER(SEARCH(Brand_Profile!$F$65,KOL_Database!$AG$13)),1,0))+IF(Brand_Profile!$F$66="",0,IF(ISNUMBER(SEARCH(Brand_Profile!$F$66,KOL_Database!$AG$13)),1,0))+IF(Brand_Profile!$F$67="",0,IF(ISNUMBER(SEARCH(Brand_Profile!$F$67,KOL_Database!$AG$13)),1,0)))/Brand_Profile!$F$68*100,0))</f>
        <v>20</v>
      </c>
      <c r="S74" s="142">
        <f ca="1">ROUND((Matching_Engine!$O$74*Brand_Profile!$F$96+Matching_Engine!$P$74*Brand_Profile!$F$97+Matching_Engine!$Q$74*Brand_Profile!$F$98+Matching_Engine!$R$74*Brand_Profile!$F$99)/MAX(1,Brand_Profile!$F$96+Brand_Profile!$F$97+Brand_Profile!$F$98+Brand_Profile!$F$99),0)</f>
        <v>71</v>
      </c>
      <c r="T74" s="142">
        <f>IF(Brand_Profile!$F$33="",Lookup_Lists!$D$150,Matching_Engine!$BD$74)</f>
        <v>20</v>
      </c>
      <c r="U74" s="142">
        <f>IF(Brand_Profile!$F$34="",Lookup_Lists!$D$150,IF(Brand_Profile!$F$34=KOL_Database!$F$13,100,IF(Matching_Engine!$BE$74=KOL_Database!$E$13,75,IF(Matching_Engine!$BD$74&gt;=80,Lookup_Lists!$D$150,IF(Matching_Engine!$BD$74&gt;=60,35,Lookup_Lists!$D$151)))))</f>
        <v>20</v>
      </c>
      <c r="V74" s="142">
        <f>IF(Brand_Profile!$F$86=0,Lookup_Lists!$D$150,ROUND((IF(Brand_Profile!$F$81="",0,IF(ISNUMBER(SEARCH(Brand_Profile!$F$81,Matching_Engine!$BG$74)),1,0))+IF(Brand_Profile!$F$82="",0,IF(ISNUMBER(SEARCH(Brand_Profile!$F$82,Matching_Engine!$BG$74)),1,0))+IF(Brand_Profile!$F$83="",0,IF(ISNUMBER(SEARCH(Brand_Profile!$F$83,Matching_Engine!$BG$74)),1,0))+IF(Brand_Profile!$F$84="",0,IF(ISNUMBER(SEARCH(Brand_Profile!$F$84,Matching_Engine!$BG$74)),1,0))+IF(Brand_Profile!$F$85="",0,IF(ISNUMBER(SEARCH(Brand_Profile!$F$85,Matching_Engine!$BG$74)),1,0)))/Brand_Profile!$F$86*100,0))</f>
        <v>20</v>
      </c>
      <c r="W74" s="142">
        <f>IF(Brand_Profile!$F$39="",Lookup_Lists!$D$150,IFERROR(INDEX(Lookup_Lists!$B$237:$K$246,MATCH(Brand_Profile!$F$39,Lookup_Lists!$A$237:$A$246,0),MATCH(KOL_Database!$AJ$13,Lookup_Lists!$B$236:$K$236,0)),45))</f>
        <v>45</v>
      </c>
      <c r="X74" s="142">
        <f>ROUND((Matching_Engine!$T$74*Lookup_Lists!$D$121+Matching_Engine!$U$74*Lookup_Lists!$D$122+Matching_Engine!$V$74*Lookup_Lists!$D$123+Matching_Engine!$W$74*Lookup_Lists!$D$124)/(Lookup_Lists!$D$121+Lookup_Lists!$D$122+Lookup_Lists!$D$123+Lookup_Lists!$D$124),0)</f>
        <v>25</v>
      </c>
      <c r="Y74" s="142">
        <f>MIN(100,MAX(IFERROR(INDEX(Lookup_Lists!$B$202:$M$211,MATCH(Brand_Profile!$F$25,Lookup_Lists!$A$202:$A$211,0),MATCH(KOL_Database!$AK$13,Lookup_Lists!$B$201:$M$201,0)),40),IF(KOL_Database!$AK$13=Brand_Profile!$F$41,95,0)))</f>
        <v>60</v>
      </c>
      <c r="Z74" s="142">
        <f>IFERROR(INDEX(Lookup_Lists!$B$215:$K$222,MATCH(Brand_Profile!$F$27,Lookup_Lists!$A$215:$A$222,0),MATCH(KOL_Database!$AJ$13,Lookup_Lists!$B$214:$K$214,0)),45)</f>
        <v>60</v>
      </c>
      <c r="AA74" s="142">
        <f>ROUND((IF(Brand_Profile!$F$80=0,Lookup_Lists!$D$150,ROUND((IF(Brand_Profile!$F$75="",0,IF(ISNUMBER(SEARCH(Brand_Profile!$F$75,KOL_Database!$AL$13)),1,0))+IF(Brand_Profile!$F$76="",0,IF(ISNUMBER(SEARCH(Brand_Profile!$F$76,KOL_Database!$AL$13)),1,0))+IF(Brand_Profile!$F$77="",0,IF(ISNUMBER(SEARCH(Brand_Profile!$F$77,KOL_Database!$AL$13)),1,0))+IF(Brand_Profile!$F$78="",0,IF(ISNUMBER(SEARCH(Brand_Profile!$F$78,KOL_Database!$AL$13)),1,0))+IF(Brand_Profile!$F$79="",0,IF(ISNUMBER(SEARCH(Brand_Profile!$F$79,KOL_Database!$AL$13)),1,0)))/Brand_Profile!$F$80*100,0))+IF(Brand_Profile!$F$92=0,Lookup_Lists!$D$150,ROUND((IF(Brand_Profile!$F$87="",0,IF(ISNUMBER(SEARCH(Brand_Profile!$F$87,KOL_Database!$AL$13)),1,0))+IF(Brand_Profile!$F$88="",0,IF(ISNUMBER(SEARCH(Brand_Profile!$F$88,KOL_Database!$AL$13)),1,0))+IF(Brand_Profile!$F$89="",0,IF(ISNUMBER(SEARCH(Brand_Profile!$F$89,KOL_Database!$AL$13)),1,0))+IF(Brand_Profile!$F$90="",0,IF(ISNUMBER(SEARCH(Brand_Profile!$F$90,KOL_Database!$AL$13)),1,0))+IF(Brand_Profile!$F$91="",0,IF(ISNUMBER(SEARCH(Brand_Profile!$F$91,KOL_Database!$AL$13)),1,0)))/Brand_Profile!$F$92*100,0)))/2,0)</f>
        <v>20</v>
      </c>
      <c r="AB74" s="142">
        <f>IFERROR(INDEX(Lookup_Lists!$B$226:$K$233,MATCH(Brand_Profile!$F$30,Lookup_Lists!$A$226:$A$233,0),MATCH(KOL_Database!$AJ$13,Lookup_Lists!$B$225:$K$225,0)),45)</f>
        <v>60</v>
      </c>
      <c r="AC74" s="142">
        <f>ROUND((Matching_Engine!$Y$74*Lookup_Lists!$D$125+Matching_Engine!$Z$74*Lookup_Lists!$D$126+Matching_Engine!$AA$74*Lookup_Lists!$D$127+Matching_Engine!$AB$74*Lookup_Lists!$D$128)/(Lookup_Lists!$D$125+Lookup_Lists!$D$126+Lookup_Lists!$D$127+Lookup_Lists!$D$128),0)</f>
        <v>50</v>
      </c>
      <c r="AD74" s="142">
        <f>IF(KOL_Database!$K$13="",0,MIN(100,ROUND(KOL_Database!$K$13/Lookup_Lists!$D$141*100,0)))</f>
        <v>100</v>
      </c>
      <c r="AE74" s="142">
        <f>IF(KOL_Database!$R$13="",0,MIN(100,MAX(0,KOL_Database!$R$13)))</f>
        <v>86</v>
      </c>
      <c r="AF74" s="142">
        <f>IF(KOL_Database!$P$13="",0,MIN(100,MAX(0,KOL_Database!$P$13)))</f>
        <v>85</v>
      </c>
      <c r="AG74" s="142">
        <f>IF(KOL_Database!$Q$13="",0,MIN(100,MAX(0,KOL_Database!$Q$13)))</f>
        <v>83</v>
      </c>
      <c r="AH74" s="142">
        <f>IF(OR(KOL_Database!$J$13="",KOL_Database!$J$13=0,KOL_Database!$L$13=""),0,MIN(100,ROUND(KOL_Database!$L$13/KOL_Database!$J$13/Lookup_Lists!$D$144*100,0)))</f>
        <v>100</v>
      </c>
      <c r="AI74" s="142">
        <f>IF(KOL_Database!$N$13="",0,MIN(100,MAX(0,ROUND((KOL_Database!$N$13+2)/(Lookup_Lists!$D$145+2)*100,0))))</f>
        <v>93</v>
      </c>
      <c r="AJ74" s="142">
        <f>ROUND((Matching_Engine!$AD$74*Lookup_Lists!$D$129+Matching_Engine!$AE$74*Lookup_Lists!$D$130+Matching_Engine!$AF$74*Lookup_Lists!$D$131+Matching_Engine!$AG$74*Lookup_Lists!$D$132+Matching_Engine!$AH$74*Lookup_Lists!$D$133+Matching_Engine!$AI$74*Lookup_Lists!$D$134)/(Lookup_Lists!$D$129+Lookup_Lists!$D$130+Lookup_Lists!$D$131+Lookup_Lists!$D$132+Lookup_Lists!$D$133+Lookup_Lists!$D$134),0)</f>
        <v>92</v>
      </c>
      <c r="AK74" s="142">
        <f>IF(KOL_Database!$AT$13="",0,MIN(100,MAX(0,KOL_Database!$AT$13)))</f>
        <v>92</v>
      </c>
      <c r="AL74" s="142">
        <f>IF(KOL_Database!$AU$13="",0,KOL_Database!$AU$13)</f>
        <v>61</v>
      </c>
      <c r="AM74" s="89" t="str">
        <f>IF(KOL_Database!$AV$13="","None",KOL_Database!$AV$13)</f>
        <v>None</v>
      </c>
      <c r="AN74" s="143">
        <f>IF(Matching_Engine!$AM$74="High",Lookup_Lists!$D$137,IF(Matching_Engine!$AM$74="Medium",Lookup_Lists!$D$138,IF(Matching_Engine!$AM$74="Low",Lookup_Lists!$D$139,Lookup_Lists!$D$140)))</f>
        <v>1</v>
      </c>
      <c r="AO74" s="142">
        <f>ROUND(MIN(100,MAX(0,(Matching_Engine!$AK$74*Lookup_Lists!$D$135+(100-Matching_Engine!$AL$74)*Lookup_Lists!$D$136)/(Lookup_Lists!$D$135+Lookup_Lists!$D$136)*Matching_Engine!$AN$74)),0)</f>
        <v>81</v>
      </c>
      <c r="AP74" s="13">
        <f ca="1">ROUND((Matching_Engine!$N$74*Lookup_Lists!$D$104+Matching_Engine!$S$74*Lookup_Lists!$D$105+Matching_Engine!$X$74*Lookup_Lists!$D$106+Matching_Engine!$AC$74*Lookup_Lists!$D$107+Matching_Engine!$AJ$74*Lookup_Lists!$D$108+Matching_Engine!$AO$74*Lookup_Lists!$D$109)/MAX(1,(Lookup_Lists!$D$104+Lookup_Lists!$D$105+Lookup_Lists!$D$106+Lookup_Lists!$D$107+Lookup_Lists!$D$108+Lookup_Lists!$D$109)),0)</f>
        <v>54</v>
      </c>
      <c r="AQ74" s="89" t="str">
        <f ca="1">IF(Matching_Engine!$AP$74&gt;=Lookup_Lists!$D$152,"Excellent Match",IF(Matching_Engine!$AP$74&gt;=Lookup_Lists!$D$153,"Strong Match",IF(Matching_Engine!$AP$74&gt;=Lookup_Lists!$D$154,"Good Match",IF(Matching_Engine!$AP$74&gt;=Lookup_Lists!$D$155,"Moderate Match","Low Match"))))</f>
        <v>Low Match</v>
      </c>
      <c r="AR74" s="142">
        <f>KOL_Database!$BE$13</f>
        <v>100</v>
      </c>
      <c r="AS74" s="89" t="str">
        <f>IF(Matching_Engine!$AR$74&gt;=Lookup_Lists!$D$159,"High",IF(Matching_Engine!$AR$74&gt;=Lookup_Lists!$D$160,"Medium","Limited Data"))</f>
        <v>High</v>
      </c>
      <c r="AT74" s="142">
        <f>ROUND((Matching_Engine!$N$74+Matching_Engine!$X$74+Matching_Engine!$AC$74)/3,0)</f>
        <v>34</v>
      </c>
      <c r="AU74" s="142">
        <f>ROUND(((100-Matching_Engine!$AL$74)*Lookup_Lists!$D$162+IF(KOL_Database!$BD$13="",Lookup_Lists!$D$150,KOL_Database!$BD$13)*Lookup_Lists!$D$163+Matching_Engine!$AI$74*Lookup_Lists!$D$164+Matching_Engine!$AD$74*Lookup_Lists!$D$165)/(Lookup_Lists!$D$162+Lookup_Lists!$D$163+Lookup_Lists!$D$164+Lookup_Lists!$D$165),0)</f>
        <v>77</v>
      </c>
      <c r="AV74" s="89" t="str">
        <f ca="1">IF(Matching_Engine!$AW$74="","PASS","EXCLUDED")</f>
        <v>EXCLUDED</v>
      </c>
      <c r="AW74" s="89" t="str">
        <f ca="1">IF(ISERROR(SEARCH(KOL_Database!$D$13,Brand_Profile!$F$32)),"Platform not in Preferred Platform",IF(AND(Brand_Profile!$F$36&gt;0,KOL_Database!$J$13&lt;Brand_Profile!$F$36),"Followers below Preferred Follower Range",IF(AND(Brand_Profile!$F$37&gt;0,KOL_Database!$J$13&gt;Brand_Profile!$F$37),"Followers above Preferred Follower Range",IF(AND(Brand_Profile!$F$38&gt;0,IF(KOL_Database!$K$13="",0,KOL_Database!$K$13)&lt;Brand_Profile!$F$38),"Engagement Rate below Minimum Engagement Rate",IF(ISERROR(SEARCH(KOL_Database!$G$13,Brand_Profile!$F$35)),"Tier not in Preferred Tier",IF(AND(Brand_Profile!$F$43&gt;0,Matching_Engine!$AE$74&lt;Brand_Profile!$F$43),"Audience Quality below Minimum Audience Quality",IF(AND(Brand_Profile!$F$44&gt;0,Matching_Engine!$AK$74&lt;Brand_Profile!$F$44),"Brand Safety below Minimum Brand Safety",IF(AND(Brand_Profile!$F$47="Yes",KOL_Database!$AD$13&lt;&gt;Brand_Profile!$F$19),"Audience Country does not match Target Country",IF(AND(Brand_Profile!$F$46="Yes",KOL_Database!$E$13&lt;&gt;Brand_Profile!$F$33),"Category is not the Preferred Category",IF(AND(Brand_Profile!$F$48&gt;0,Matching_Engine!$AL$74&gt;Brand_Profile!$F$48),"Competitor Saturation above Max Competitor Saturation",IF(AND(Brand_Profile!$F$50="Yes",KOL_Database!$AW$13="Yes"),"Already Selected",IF(AND(Brand_Profile!$F$51="Yes",KOL_Database!$AX$13="Yes"),"Already in Cart",IF(AND(Brand_Profile!$F$52="Yes",KOL_Database!$AY$13="Yes"),"Existing Partner",IF(AND(Brand_Profile!$F$53="Yes",KOL_Database!$AZ$13="Yes"),"Excluded Creator",IF(AND(Brand_Profile!$F$49&gt;0,Matching_Engine!$AP$74&lt;Brand_Profile!$F$49),"Brand Match below Minimum Brand Match","")))))))))))))))</f>
        <v>Tier not in Preferred Tier</v>
      </c>
      <c r="AX74" s="89" t="str">
        <f ca="1">IF(Matching_Engine!$AV$74="EXCLUDED","Excluded",IF(Matching_Engine!$AP$74&gt;=Lookup_Lists!$D$156,"Highly Recommended",IF(Matching_Engine!$AP$74&gt;=Lookup_Lists!$D$157,"Recommended",IF(Matching_Engine!$AP$74&gt;=Lookup_Lists!$D$158,"Consider","Low Priority"))))</f>
        <v>Excluded</v>
      </c>
      <c r="AY74" s="142" t="str">
        <f ca="1">IF(Matching_Engine!$AV$74="PASS",Matching_Engine!$AP$74,"")</f>
        <v/>
      </c>
      <c r="AZ74" s="89" t="str">
        <f>Matching_Engine!$A$74&amp;"|"&amp;Matching_Engine!$C$74</f>
        <v>BRAND-C|KOL-09</v>
      </c>
      <c r="BA74" s="89" t="str">
        <f>IFERROR(INDEX(Lookup_Lists!$B$51:$B$92,MATCH(Brand_Profile!$F$12,Lookup_Lists!$A$51:$A$92,0)),"")</f>
        <v>Food</v>
      </c>
      <c r="BB74" s="89" t="str">
        <f>IFERROR(INDEX(Lookup_Lists!$B$51:$B$92,MATCH(KOL_Database!$F$13,Lookup_Lists!$A$51:$A$92,0)),"")</f>
        <v>Education</v>
      </c>
      <c r="BC74" s="142">
        <f>IFERROR(INDEX(Lookup_Lists!$B$185:$O$198,MATCH(Matching_Engine!$BA$74,Lookup_Lists!$A$185:$A$198,0),MATCH(KOL_Database!$E$13,Lookup_Lists!$B$184:$O$184,0)),Lookup_Lists!$D$151)</f>
        <v>20</v>
      </c>
      <c r="BD74" s="142">
        <f>IFERROR(INDEX(Lookup_Lists!$B$185:$O$198,MATCH(Brand_Profile!$F$33,Lookup_Lists!$A$185:$A$198,0),MATCH(KOL_Database!$E$13,Lookup_Lists!$B$184:$O$184,0)),Lookup_Lists!$D$151)</f>
        <v>20</v>
      </c>
      <c r="BE74" s="89" t="str">
        <f>IFERROR(INDEX(Lookup_Lists!$B$51:$B$92,MATCH(Brand_Profile!$F$34,Lookup_Lists!$A$51:$A$92,0)),"")</f>
        <v>Food</v>
      </c>
      <c r="BF74" s="89" t="str">
        <f>KOL_Database!$AI$13&amp;", "&amp;KOL_Database!$AG$13&amp;", "&amp;KOL_Database!$F$13&amp;", "&amp;KOL_Database!$E$13</f>
        <v>Education, Productivity, Technology, Education, Productivity, Technology, Entertainment, Business, Study Tips, Education</v>
      </c>
      <c r="BG74" s="89" t="str">
        <f>KOL_Database!$AI$13&amp;", "&amp;KOL_Database!$AG$13</f>
        <v>Education, Productivity, Technology, Education, Productivity, Technology, Entertainment, Business</v>
      </c>
    </row>
    <row r="75" spans="1:59">
      <c r="A75" s="101" t="s">
        <v>119</v>
      </c>
      <c r="B75" s="89" t="str">
        <f>Brand_Profile!$F$9</f>
        <v>Rasa Nusantara</v>
      </c>
      <c r="C75" s="89" t="str">
        <f>KOL_Database!$A$14</f>
        <v>KOL-10</v>
      </c>
      <c r="D75" s="89" t="str">
        <f>KOL_Database!$B$14</f>
        <v>Mira Handayani</v>
      </c>
      <c r="E75" s="89" t="str">
        <f>KOL_Database!$C$14</f>
        <v>@mirabahasa</v>
      </c>
      <c r="F75" s="89" t="str">
        <f>KOL_Database!$D$14</f>
        <v>Instagram</v>
      </c>
      <c r="G75" s="89" t="str">
        <f>KOL_Database!$E$14</f>
        <v>Education</v>
      </c>
      <c r="H75" s="89" t="str">
        <f>KOL_Database!$G$14</f>
        <v>Micro</v>
      </c>
      <c r="I75" s="140">
        <f>KOL_Database!$J$14</f>
        <v>42000</v>
      </c>
      <c r="J75" s="141">
        <f>KOL_Database!$K$14</f>
        <v>4.9</v>
      </c>
      <c r="K75" s="142">
        <f>IFERROR(INDEX(Lookup_Lists!$B$170:$O$181,MATCH(Brand_Profile!$F$10,Lookup_Lists!$A$170:$A$181,0),MATCH(KOL_Database!$E$14,Lookup_Lists!$B$169:$O$169,0)),Lookup_Lists!$D$151)</f>
        <v>40</v>
      </c>
      <c r="L75" s="142">
        <f>IF(KOL_Database!$F$14="",Matching_Engine!$BC$75,IF(Brand_Profile!$F$12=KOL_Database!$F$14,100,IF(Matching_Engine!$BA$75=KOL_Database!$E$14,80,IF(Matching_Engine!$BC$75&gt;=80,60,IF(Matching_Engine!$BC$75&gt;=60,40,Lookup_Lists!$D$151)))))</f>
        <v>20</v>
      </c>
      <c r="M75" s="142">
        <f>ROUND((IF(Brand_Profile!$F$62=0,Lookup_Lists!$D$150,ROUND((IF(Brand_Profile!$F$57="",0,IF(ISNUMBER(SEARCH(Brand_Profile!$F$57,Matching_Engine!$BF$75)),1,0))+IF(Brand_Profile!$F$58="",0,IF(ISNUMBER(SEARCH(Brand_Profile!$F$58,Matching_Engine!$BF$75)),1,0))+IF(Brand_Profile!$F$59="",0,IF(ISNUMBER(SEARCH(Brand_Profile!$F$59,Matching_Engine!$BF$75)),1,0))+IF(Brand_Profile!$F$60="",0,IF(ISNUMBER(SEARCH(Brand_Profile!$F$60,Matching_Engine!$BF$75)),1,0))+IF(Brand_Profile!$F$61="",0,IF(ISNUMBER(SEARCH(Brand_Profile!$F$61,Matching_Engine!$BF$75)),1,0)))/Brand_Profile!$F$62*100,0))+IF(Brand_Profile!$F$74=0,Lookup_Lists!$D$150,ROUND((IF(Brand_Profile!$F$69="",0,IF(ISNUMBER(SEARCH(Brand_Profile!$F$69,Matching_Engine!$BF$75)),1,0))+IF(Brand_Profile!$F$70="",0,IF(ISNUMBER(SEARCH(Brand_Profile!$F$70,Matching_Engine!$BF$75)),1,0))+IF(Brand_Profile!$F$71="",0,IF(ISNUMBER(SEARCH(Brand_Profile!$F$71,Matching_Engine!$BF$75)),1,0))+IF(Brand_Profile!$F$72="",0,IF(ISNUMBER(SEARCH(Brand_Profile!$F$72,Matching_Engine!$BF$75)),1,0))+IF(Brand_Profile!$F$73="",0,IF(ISNUMBER(SEARCH(Brand_Profile!$F$73,Matching_Engine!$BF$75)),1,0)))/Brand_Profile!$F$74*100,0)))/2,0)</f>
        <v>20</v>
      </c>
      <c r="N75" s="142">
        <f>ROUND((Matching_Engine!$K$75*Lookup_Lists!$D$110+Matching_Engine!$L$75*Lookup_Lists!$D$111+Matching_Engine!$M$75*Lookup_Lists!$D$112)/(Lookup_Lists!$D$110+Lookup_Lists!$D$111+Lookup_Lists!$D$112),0)</f>
        <v>28</v>
      </c>
      <c r="O75" s="142">
        <f ca="1">IF(Brand_Profile!$F$16="",Lookup_Lists!$D$150,MIN(100,ROUND((IFERROR(INDEX(KOL_Database!$W$14:KOL_Database!$AA$14,1,MATCH(Brand_Profile!$F$16,Lookup_Lists!$F$6:$F$10,0)),0)+0.5*IFERROR(INDEX(KOL_Database!$W$14:KOL_Database!$AA$14,1,MATCH(Brand_Profile!$F$17,Lookup_Lists!$F$6:$F$10,0)),0))/Lookup_Lists!$D$142*100,0)))</f>
        <v>94</v>
      </c>
      <c r="P75" s="142">
        <f>IF(OR(Brand_Profile!$F$18="",Brand_Profile!$F$18="Any"),100,IF(Brand_Profile!$F$18="Female",MIN(100,ROUND(KOL_Database!$AB$14/Lookup_Lists!$D$143*100,0)),IF(Brand_Profile!$F$18="Male",MIN(100,ROUND(KOL_Database!$AC$14/Lookup_Lists!$D$143*100,0)),MAX(0,ROUND(100-ABS(KOL_Database!$AB$14-50)*2,0)))))</f>
        <v>60</v>
      </c>
      <c r="Q75" s="142">
        <f>ROUND((IF(Brand_Profile!$F$19="",100,IF(KOL_Database!$AD$14=Brand_Profile!$F$19,100,Lookup_Lists!$D$151))*Lookup_Lists!$D$118+IF(OR(Brand_Profile!$F$20="",Brand_Profile!$F$20="Nasional"),100,IF(KOL_Database!$AE$14="",Lookup_Lists!$D$150,IF(KOL_Database!$AE$14=Brand_Profile!$F$20,100,IF(KOL_Database!$AD$14=Brand_Profile!$F$19,40,Lookup_Lists!$D$151))))*Lookup_Lists!$D$119+IF(OR(Brand_Profile!$F$21="",Brand_Profile!$F$21="Nasional"),100,IF(KOL_Database!$AF$14="",Lookup_Lists!$D$150,IF(KOL_Database!$AF$14=Brand_Profile!$F$21,100,IF(KOL_Database!$AE$14=Brand_Profile!$F$20,60,Lookup_Lists!$D$151))))*Lookup_Lists!$D$120)/(Lookup_Lists!$D$118+Lookup_Lists!$D$119+Lookup_Lists!$D$120),0)</f>
        <v>100</v>
      </c>
      <c r="R75" s="142">
        <f>IF(Brand_Profile!$F$68=0,Lookup_Lists!$D$150,ROUND((IF(Brand_Profile!$F$63="",0,IF(ISNUMBER(SEARCH(Brand_Profile!$F$63,KOL_Database!$AG$14)),1,0))+IF(Brand_Profile!$F$64="",0,IF(ISNUMBER(SEARCH(Brand_Profile!$F$64,KOL_Database!$AG$14)),1,0))+IF(Brand_Profile!$F$65="",0,IF(ISNUMBER(SEARCH(Brand_Profile!$F$65,KOL_Database!$AG$14)),1,0))+IF(Brand_Profile!$F$66="",0,IF(ISNUMBER(SEARCH(Brand_Profile!$F$66,KOL_Database!$AG$14)),1,0))+IF(Brand_Profile!$F$67="",0,IF(ISNUMBER(SEARCH(Brand_Profile!$F$67,KOL_Database!$AG$14)),1,0)))/Brand_Profile!$F$68*100,0))</f>
        <v>40</v>
      </c>
      <c r="S75" s="142">
        <f ca="1">ROUND((Matching_Engine!$O$75*Brand_Profile!$F$96+Matching_Engine!$P$75*Brand_Profile!$F$97+Matching_Engine!$Q$75*Brand_Profile!$F$98+Matching_Engine!$R$75*Brand_Profile!$F$99)/MAX(1,Brand_Profile!$F$96+Brand_Profile!$F$97+Brand_Profile!$F$98+Brand_Profile!$F$99),0)</f>
        <v>78</v>
      </c>
      <c r="T75" s="142">
        <f>IF(Brand_Profile!$F$33="",Lookup_Lists!$D$150,Matching_Engine!$BD$75)</f>
        <v>20</v>
      </c>
      <c r="U75" s="142">
        <f>IF(Brand_Profile!$F$34="",Lookup_Lists!$D$150,IF(Brand_Profile!$F$34=KOL_Database!$F$14,100,IF(Matching_Engine!$BE$75=KOL_Database!$E$14,75,IF(Matching_Engine!$BD$75&gt;=80,Lookup_Lists!$D$150,IF(Matching_Engine!$BD$75&gt;=60,35,Lookup_Lists!$D$151)))))</f>
        <v>20</v>
      </c>
      <c r="V75" s="142">
        <f>IF(Brand_Profile!$F$86=0,Lookup_Lists!$D$150,ROUND((IF(Brand_Profile!$F$81="",0,IF(ISNUMBER(SEARCH(Brand_Profile!$F$81,Matching_Engine!$BG$75)),1,0))+IF(Brand_Profile!$F$82="",0,IF(ISNUMBER(SEARCH(Brand_Profile!$F$82,Matching_Engine!$BG$75)),1,0))+IF(Brand_Profile!$F$83="",0,IF(ISNUMBER(SEARCH(Brand_Profile!$F$83,Matching_Engine!$BG$75)),1,0))+IF(Brand_Profile!$F$84="",0,IF(ISNUMBER(SEARCH(Brand_Profile!$F$84,Matching_Engine!$BG$75)),1,0))+IF(Brand_Profile!$F$85="",0,IF(ISNUMBER(SEARCH(Brand_Profile!$F$85,Matching_Engine!$BG$75)),1,0)))/Brand_Profile!$F$86*100,0))</f>
        <v>40</v>
      </c>
      <c r="W75" s="142">
        <f>IF(Brand_Profile!$F$39="",Lookup_Lists!$D$150,IFERROR(INDEX(Lookup_Lists!$B$237:$K$246,MATCH(Brand_Profile!$F$39,Lookup_Lists!$A$237:$A$246,0),MATCH(KOL_Database!$AJ$14,Lookup_Lists!$B$236:$K$236,0)),45))</f>
        <v>45</v>
      </c>
      <c r="X75" s="142">
        <f>ROUND((Matching_Engine!$T$75*Lookup_Lists!$D$121+Matching_Engine!$U$75*Lookup_Lists!$D$122+Matching_Engine!$V$75*Lookup_Lists!$D$123+Matching_Engine!$W$75*Lookup_Lists!$D$124)/(Lookup_Lists!$D$121+Lookup_Lists!$D$122+Lookup_Lists!$D$123+Lookup_Lists!$D$124),0)</f>
        <v>31</v>
      </c>
      <c r="Y75" s="142">
        <f>MIN(100,MAX(IFERROR(INDEX(Lookup_Lists!$B$202:$M$211,MATCH(Brand_Profile!$F$25,Lookup_Lists!$A$202:$A$211,0),MATCH(KOL_Database!$AK$14,Lookup_Lists!$B$201:$M$201,0)),40),IF(KOL_Database!$AK$14=Brand_Profile!$F$41,95,0)))</f>
        <v>60</v>
      </c>
      <c r="Z75" s="142">
        <f>IFERROR(INDEX(Lookup_Lists!$B$215:$K$222,MATCH(Brand_Profile!$F$27,Lookup_Lists!$A$215:$A$222,0),MATCH(KOL_Database!$AJ$14,Lookup_Lists!$B$214:$K$214,0)),45)</f>
        <v>70</v>
      </c>
      <c r="AA75" s="142">
        <f>ROUND((IF(Brand_Profile!$F$80=0,Lookup_Lists!$D$150,ROUND((IF(Brand_Profile!$F$75="",0,IF(ISNUMBER(SEARCH(Brand_Profile!$F$75,KOL_Database!$AL$14)),1,0))+IF(Brand_Profile!$F$76="",0,IF(ISNUMBER(SEARCH(Brand_Profile!$F$76,KOL_Database!$AL$14)),1,0))+IF(Brand_Profile!$F$77="",0,IF(ISNUMBER(SEARCH(Brand_Profile!$F$77,KOL_Database!$AL$14)),1,0))+IF(Brand_Profile!$F$78="",0,IF(ISNUMBER(SEARCH(Brand_Profile!$F$78,KOL_Database!$AL$14)),1,0))+IF(Brand_Profile!$F$79="",0,IF(ISNUMBER(SEARCH(Brand_Profile!$F$79,KOL_Database!$AL$14)),1,0)))/Brand_Profile!$F$80*100,0))+IF(Brand_Profile!$F$92=0,Lookup_Lists!$D$150,ROUND((IF(Brand_Profile!$F$87="",0,IF(ISNUMBER(SEARCH(Brand_Profile!$F$87,KOL_Database!$AL$14)),1,0))+IF(Brand_Profile!$F$88="",0,IF(ISNUMBER(SEARCH(Brand_Profile!$F$88,KOL_Database!$AL$14)),1,0))+IF(Brand_Profile!$F$89="",0,IF(ISNUMBER(SEARCH(Brand_Profile!$F$89,KOL_Database!$AL$14)),1,0))+IF(Brand_Profile!$F$90="",0,IF(ISNUMBER(SEARCH(Brand_Profile!$F$90,KOL_Database!$AL$14)),1,0))+IF(Brand_Profile!$F$91="",0,IF(ISNUMBER(SEARCH(Brand_Profile!$F$91,KOL_Database!$AL$14)),1,0)))/Brand_Profile!$F$92*100,0)))/2,0)</f>
        <v>20</v>
      </c>
      <c r="AB75" s="142">
        <f>IFERROR(INDEX(Lookup_Lists!$B$226:$K$233,MATCH(Brand_Profile!$F$30,Lookup_Lists!$A$226:$A$233,0),MATCH(KOL_Database!$AJ$14,Lookup_Lists!$B$225:$K$225,0)),45)</f>
        <v>55</v>
      </c>
      <c r="AC75" s="142">
        <f>ROUND((Matching_Engine!$Y$75*Lookup_Lists!$D$125+Matching_Engine!$Z$75*Lookup_Lists!$D$126+Matching_Engine!$AA$75*Lookup_Lists!$D$127+Matching_Engine!$AB$75*Lookup_Lists!$D$128)/(Lookup_Lists!$D$125+Lookup_Lists!$D$126+Lookup_Lists!$D$127+Lookup_Lists!$D$128),0)</f>
        <v>52</v>
      </c>
      <c r="AD75" s="142">
        <f>IF(KOL_Database!$K$14="",0,MIN(100,ROUND(KOL_Database!$K$14/Lookup_Lists!$D$141*100,0)))</f>
        <v>82</v>
      </c>
      <c r="AE75" s="142">
        <f>IF(KOL_Database!$R$14="",0,MIN(100,MAX(0,KOL_Database!$R$14)))</f>
        <v>75</v>
      </c>
      <c r="AF75" s="142">
        <f>IF(KOL_Database!$P$14="",0,MIN(100,MAX(0,KOL_Database!$P$14)))</f>
        <v>94</v>
      </c>
      <c r="AG75" s="142">
        <f>IF(KOL_Database!$Q$14="",0,MIN(100,MAX(0,KOL_Database!$Q$14)))</f>
        <v>85</v>
      </c>
      <c r="AH75" s="142">
        <f>IF(OR(KOL_Database!$J$14="",KOL_Database!$J$14=0,KOL_Database!$L$14=""),0,MIN(100,ROUND(KOL_Database!$L$14/KOL_Database!$J$14/Lookup_Lists!$D$144*100,0)))</f>
        <v>56</v>
      </c>
      <c r="AI75" s="142">
        <f>IF(KOL_Database!$N$14="",0,MIN(100,MAX(0,ROUND((KOL_Database!$N$14+2)/(Lookup_Lists!$D$145+2)*100,0))))</f>
        <v>36</v>
      </c>
      <c r="AJ75" s="142">
        <f>ROUND((Matching_Engine!$AD$75*Lookup_Lists!$D$129+Matching_Engine!$AE$75*Lookup_Lists!$D$130+Matching_Engine!$AF$75*Lookup_Lists!$D$131+Matching_Engine!$AG$75*Lookup_Lists!$D$132+Matching_Engine!$AH$75*Lookup_Lists!$D$133+Matching_Engine!$AI$75*Lookup_Lists!$D$134)/(Lookup_Lists!$D$129+Lookup_Lists!$D$130+Lookup_Lists!$D$131+Lookup_Lists!$D$132+Lookup_Lists!$D$133+Lookup_Lists!$D$134),0)</f>
        <v>78</v>
      </c>
      <c r="AK75" s="142">
        <f>IF(KOL_Database!$AT$14="",0,MIN(100,MAX(0,KOL_Database!$AT$14)))</f>
        <v>83</v>
      </c>
      <c r="AL75" s="142">
        <f>IF(KOL_Database!$AU$14="",0,KOL_Database!$AU$14)</f>
        <v>32</v>
      </c>
      <c r="AM75" s="89" t="str">
        <f>IF(KOL_Database!$AV$14="","None",KOL_Database!$AV$14)</f>
        <v>None</v>
      </c>
      <c r="AN75" s="143">
        <f>IF(Matching_Engine!$AM$75="High",Lookup_Lists!$D$137,IF(Matching_Engine!$AM$75="Medium",Lookup_Lists!$D$138,IF(Matching_Engine!$AM$75="Low",Lookup_Lists!$D$139,Lookup_Lists!$D$140)))</f>
        <v>1</v>
      </c>
      <c r="AO75" s="142">
        <f>ROUND(MIN(100,MAX(0,(Matching_Engine!$AK$75*Lookup_Lists!$D$135+(100-Matching_Engine!$AL$75)*Lookup_Lists!$D$136)/(Lookup_Lists!$D$135+Lookup_Lists!$D$136)*Matching_Engine!$AN$75)),0)</f>
        <v>80</v>
      </c>
      <c r="AP75" s="13">
        <f ca="1">ROUND((Matching_Engine!$N$75*Lookup_Lists!$D$104+Matching_Engine!$S$75*Lookup_Lists!$D$105+Matching_Engine!$X$75*Lookup_Lists!$D$106+Matching_Engine!$AC$75*Lookup_Lists!$D$107+Matching_Engine!$AJ$75*Lookup_Lists!$D$108+Matching_Engine!$AO$75*Lookup_Lists!$D$109)/MAX(1,(Lookup_Lists!$D$104+Lookup_Lists!$D$105+Lookup_Lists!$D$106+Lookup_Lists!$D$107+Lookup_Lists!$D$108+Lookup_Lists!$D$109)),0)</f>
        <v>56</v>
      </c>
      <c r="AQ75" s="89" t="str">
        <f ca="1">IF(Matching_Engine!$AP$75&gt;=Lookup_Lists!$D$152,"Excellent Match",IF(Matching_Engine!$AP$75&gt;=Lookup_Lists!$D$153,"Strong Match",IF(Matching_Engine!$AP$75&gt;=Lookup_Lists!$D$154,"Good Match",IF(Matching_Engine!$AP$75&gt;=Lookup_Lists!$D$155,"Moderate Match","Low Match"))))</f>
        <v>Low Match</v>
      </c>
      <c r="AR75" s="142">
        <f>KOL_Database!$BE$14</f>
        <v>92</v>
      </c>
      <c r="AS75" s="89" t="str">
        <f>IF(Matching_Engine!$AR$75&gt;=Lookup_Lists!$D$159,"High",IF(Matching_Engine!$AR$75&gt;=Lookup_Lists!$D$160,"Medium","Limited Data"))</f>
        <v>Medium</v>
      </c>
      <c r="AT75" s="142">
        <f>ROUND((Matching_Engine!$N$75+Matching_Engine!$X$75+Matching_Engine!$AC$75)/3,0)</f>
        <v>37</v>
      </c>
      <c r="AU75" s="142">
        <f>ROUND(((100-Matching_Engine!$AL$75)*Lookup_Lists!$D$162+IF(KOL_Database!$BD$14="",Lookup_Lists!$D$150,KOL_Database!$BD$14)*Lookup_Lists!$D$163+Matching_Engine!$AI$75*Lookup_Lists!$D$164+Matching_Engine!$AD$75*Lookup_Lists!$D$165)/(Lookup_Lists!$D$162+Lookup_Lists!$D$163+Lookup_Lists!$D$164+Lookup_Lists!$D$165),0)</f>
        <v>60</v>
      </c>
      <c r="AV75" s="89" t="str">
        <f ca="1">IF(Matching_Engine!$AW$75="","PASS","EXCLUDED")</f>
        <v>PASS</v>
      </c>
      <c r="AW75" s="89" t="str">
        <f ca="1">IF(ISERROR(SEARCH(KOL_Database!$D$14,Brand_Profile!$F$32)),"Platform not in Preferred Platform",IF(AND(Brand_Profile!$F$36&gt;0,KOL_Database!$J$14&lt;Brand_Profile!$F$36),"Followers below Preferred Follower Range",IF(AND(Brand_Profile!$F$37&gt;0,KOL_Database!$J$14&gt;Brand_Profile!$F$37),"Followers above Preferred Follower Range",IF(AND(Brand_Profile!$F$38&gt;0,IF(KOL_Database!$K$14="",0,KOL_Database!$K$14)&lt;Brand_Profile!$F$38),"Engagement Rate below Minimum Engagement Rate",IF(ISERROR(SEARCH(KOL_Database!$G$14,Brand_Profile!$F$35)),"Tier not in Preferred Tier",IF(AND(Brand_Profile!$F$43&gt;0,Matching_Engine!$AE$75&lt;Brand_Profile!$F$43),"Audience Quality below Minimum Audience Quality",IF(AND(Brand_Profile!$F$44&gt;0,Matching_Engine!$AK$75&lt;Brand_Profile!$F$44),"Brand Safety below Minimum Brand Safety",IF(AND(Brand_Profile!$F$47="Yes",KOL_Database!$AD$14&lt;&gt;Brand_Profile!$F$19),"Audience Country does not match Target Country",IF(AND(Brand_Profile!$F$46="Yes",KOL_Database!$E$14&lt;&gt;Brand_Profile!$F$33),"Category is not the Preferred Category",IF(AND(Brand_Profile!$F$48&gt;0,Matching_Engine!$AL$75&gt;Brand_Profile!$F$48),"Competitor Saturation above Max Competitor Saturation",IF(AND(Brand_Profile!$F$50="Yes",KOL_Database!$AW$14="Yes"),"Already Selected",IF(AND(Brand_Profile!$F$51="Yes",KOL_Database!$AX$14="Yes"),"Already in Cart",IF(AND(Brand_Profile!$F$52="Yes",KOL_Database!$AY$14="Yes"),"Existing Partner",IF(AND(Brand_Profile!$F$53="Yes",KOL_Database!$AZ$14="Yes"),"Excluded Creator",IF(AND(Brand_Profile!$F$49&gt;0,Matching_Engine!$AP$75&lt;Brand_Profile!$F$49),"Brand Match below Minimum Brand Match","")))))))))))))))</f>
        <v/>
      </c>
      <c r="AX75" s="89" t="str">
        <f ca="1">IF(Matching_Engine!$AV$75="EXCLUDED","Excluded",IF(Matching_Engine!$AP$75&gt;=Lookup_Lists!$D$156,"Highly Recommended",IF(Matching_Engine!$AP$75&gt;=Lookup_Lists!$D$157,"Recommended",IF(Matching_Engine!$AP$75&gt;=Lookup_Lists!$D$158,"Consider","Low Priority"))))</f>
        <v>Low Priority</v>
      </c>
      <c r="AY75" s="142">
        <f ca="1">IF(Matching_Engine!$AV$75="PASS",Matching_Engine!$AP$75,"")</f>
        <v>56</v>
      </c>
      <c r="AZ75" s="89" t="str">
        <f>Matching_Engine!$A$75&amp;"|"&amp;Matching_Engine!$C$75</f>
        <v>BRAND-C|KOL-10</v>
      </c>
      <c r="BA75" s="89" t="str">
        <f>IFERROR(INDEX(Lookup_Lists!$B$51:$B$92,MATCH(Brand_Profile!$F$12,Lookup_Lists!$A$51:$A$92,0)),"")</f>
        <v>Food</v>
      </c>
      <c r="BB75" s="89" t="str">
        <f>IFERROR(INDEX(Lookup_Lists!$B$51:$B$92,MATCH(KOL_Database!$F$14,Lookup_Lists!$A$51:$A$92,0)),"")</f>
        <v>Education</v>
      </c>
      <c r="BC75" s="142">
        <f>IFERROR(INDEX(Lookup_Lists!$B$185:$O$198,MATCH(Matching_Engine!$BA$75,Lookup_Lists!$A$185:$A$198,0),MATCH(KOL_Database!$E$14,Lookup_Lists!$B$184:$O$184,0)),Lookup_Lists!$D$151)</f>
        <v>20</v>
      </c>
      <c r="BD75" s="142">
        <f>IFERROR(INDEX(Lookup_Lists!$B$185:$O$198,MATCH(Brand_Profile!$F$33,Lookup_Lists!$A$185:$A$198,0),MATCH(KOL_Database!$E$14,Lookup_Lists!$B$184:$O$184,0)),Lookup_Lists!$D$151)</f>
        <v>20</v>
      </c>
      <c r="BE75" s="89" t="str">
        <f>IFERROR(INDEX(Lookup_Lists!$B$51:$B$92,MATCH(Brand_Profile!$F$34,Lookup_Lists!$A$51:$A$92,0)),"")</f>
        <v>Food</v>
      </c>
      <c r="BF75" s="89" t="str">
        <f>KOL_Database!$AI$14&amp;", "&amp;KOL_Database!$AG$14&amp;", "&amp;KOL_Database!$F$14&amp;", "&amp;KOL_Database!$E$14</f>
        <v>Education, Travel, Productivity, Education, Travel, Productivity, Entertainment, Technology, Language, Education</v>
      </c>
      <c r="BG75" s="89" t="str">
        <f>KOL_Database!$AI$14&amp;", "&amp;KOL_Database!$AG$14</f>
        <v>Education, Travel, Productivity, Education, Travel, Productivity, Entertainment, Technology</v>
      </c>
    </row>
    <row r="76" spans="1:59">
      <c r="A76" s="101" t="s">
        <v>119</v>
      </c>
      <c r="B76" s="89" t="str">
        <f>Brand_Profile!$F$9</f>
        <v>Rasa Nusantara</v>
      </c>
      <c r="C76" s="89" t="str">
        <f>KOL_Database!$A$15</f>
        <v>KOL-11</v>
      </c>
      <c r="D76" s="89" t="str">
        <f>KOL_Database!$B$15</f>
        <v>Dimas Anggara</v>
      </c>
      <c r="E76" s="89" t="str">
        <f>KOL_Database!$C$15</f>
        <v>@dimasfit</v>
      </c>
      <c r="F76" s="89" t="str">
        <f>KOL_Database!$D$15</f>
        <v>Instagram</v>
      </c>
      <c r="G76" s="89" t="str">
        <f>KOL_Database!$E$15</f>
        <v>Fitness</v>
      </c>
      <c r="H76" s="89" t="str">
        <f>KOL_Database!$G$15</f>
        <v>Macro</v>
      </c>
      <c r="I76" s="140">
        <f>KOL_Database!$J$15</f>
        <v>178000</v>
      </c>
      <c r="J76" s="141">
        <f>KOL_Database!$K$15</f>
        <v>3.9</v>
      </c>
      <c r="K76" s="142">
        <f>IFERROR(INDEX(Lookup_Lists!$B$170:$O$181,MATCH(Brand_Profile!$F$10,Lookup_Lists!$A$170:$A$181,0),MATCH(KOL_Database!$E$15,Lookup_Lists!$B$169:$O$169,0)),Lookup_Lists!$D$151)</f>
        <v>60</v>
      </c>
      <c r="L76" s="142">
        <f>IF(KOL_Database!$F$15="",Matching_Engine!$BC$76,IF(Brand_Profile!$F$12=KOL_Database!$F$15,100,IF(Matching_Engine!$BA$76=KOL_Database!$E$15,80,IF(Matching_Engine!$BC$76&gt;=80,60,IF(Matching_Engine!$BC$76&gt;=60,40,Lookup_Lists!$D$151)))))</f>
        <v>60</v>
      </c>
      <c r="M76" s="142">
        <f>ROUND((IF(Brand_Profile!$F$62=0,Lookup_Lists!$D$150,ROUND((IF(Brand_Profile!$F$57="",0,IF(ISNUMBER(SEARCH(Brand_Profile!$F$57,Matching_Engine!$BF$76)),1,0))+IF(Brand_Profile!$F$58="",0,IF(ISNUMBER(SEARCH(Brand_Profile!$F$58,Matching_Engine!$BF$76)),1,0))+IF(Brand_Profile!$F$59="",0,IF(ISNUMBER(SEARCH(Brand_Profile!$F$59,Matching_Engine!$BF$76)),1,0))+IF(Brand_Profile!$F$60="",0,IF(ISNUMBER(SEARCH(Brand_Profile!$F$60,Matching_Engine!$BF$76)),1,0))+IF(Brand_Profile!$F$61="",0,IF(ISNUMBER(SEARCH(Brand_Profile!$F$61,Matching_Engine!$BF$76)),1,0)))/Brand_Profile!$F$62*100,0))+IF(Brand_Profile!$F$74=0,Lookup_Lists!$D$150,ROUND((IF(Brand_Profile!$F$69="",0,IF(ISNUMBER(SEARCH(Brand_Profile!$F$69,Matching_Engine!$BF$76)),1,0))+IF(Brand_Profile!$F$70="",0,IF(ISNUMBER(SEARCH(Brand_Profile!$F$70,Matching_Engine!$BF$76)),1,0))+IF(Brand_Profile!$F$71="",0,IF(ISNUMBER(SEARCH(Brand_Profile!$F$71,Matching_Engine!$BF$76)),1,0))+IF(Brand_Profile!$F$72="",0,IF(ISNUMBER(SEARCH(Brand_Profile!$F$72,Matching_Engine!$BF$76)),1,0))+IF(Brand_Profile!$F$73="",0,IF(ISNUMBER(SEARCH(Brand_Profile!$F$73,Matching_Engine!$BF$76)),1,0)))/Brand_Profile!$F$74*100,0)))/2,0)</f>
        <v>40</v>
      </c>
      <c r="N76" s="142">
        <f>ROUND((Matching_Engine!$K$76*Lookup_Lists!$D$110+Matching_Engine!$L$76*Lookup_Lists!$D$111+Matching_Engine!$M$76*Lookup_Lists!$D$112)/(Lookup_Lists!$D$110+Lookup_Lists!$D$111+Lookup_Lists!$D$112),0)</f>
        <v>54</v>
      </c>
      <c r="O76" s="142">
        <f ca="1">IF(Brand_Profile!$F$16="",Lookup_Lists!$D$150,MIN(100,ROUND((IFERROR(INDEX(KOL_Database!$W$15:KOL_Database!$AA$15,1,MATCH(Brand_Profile!$F$16,Lookup_Lists!$F$6:$F$10,0)),0)+0.5*IFERROR(INDEX(KOL_Database!$W$15:KOL_Database!$AA$15,1,MATCH(Brand_Profile!$F$17,Lookup_Lists!$F$6:$F$10,0)),0))/Lookup_Lists!$D$142*100,0)))</f>
        <v>100</v>
      </c>
      <c r="P76" s="142">
        <f>IF(OR(Brand_Profile!$F$18="",Brand_Profile!$F$18="Any"),100,IF(Brand_Profile!$F$18="Female",MIN(100,ROUND(KOL_Database!$AB$15/Lookup_Lists!$D$143*100,0)),IF(Brand_Profile!$F$18="Male",MIN(100,ROUND(KOL_Database!$AC$15/Lookup_Lists!$D$143*100,0)),MAX(0,ROUND(100-ABS(KOL_Database!$AB$15-50)*2,0)))))</f>
        <v>56</v>
      </c>
      <c r="Q76" s="142">
        <f>ROUND((IF(Brand_Profile!$F$19="",100,IF(KOL_Database!$AD$15=Brand_Profile!$F$19,100,Lookup_Lists!$D$151))*Lookup_Lists!$D$118+IF(OR(Brand_Profile!$F$20="",Brand_Profile!$F$20="Nasional"),100,IF(KOL_Database!$AE$15="",Lookup_Lists!$D$150,IF(KOL_Database!$AE$15=Brand_Profile!$F$20,100,IF(KOL_Database!$AD$15=Brand_Profile!$F$19,40,Lookup_Lists!$D$151))))*Lookup_Lists!$D$119+IF(OR(Brand_Profile!$F$21="",Brand_Profile!$F$21="Nasional"),100,IF(KOL_Database!$AF$15="",Lookup_Lists!$D$150,IF(KOL_Database!$AF$15=Brand_Profile!$F$21,100,IF(KOL_Database!$AE$15=Brand_Profile!$F$20,60,Lookup_Lists!$D$151))))*Lookup_Lists!$D$120)/(Lookup_Lists!$D$118+Lookup_Lists!$D$119+Lookup_Lists!$D$120),0)</f>
        <v>100</v>
      </c>
      <c r="R76" s="142">
        <f>IF(Brand_Profile!$F$68=0,Lookup_Lists!$D$150,ROUND((IF(Brand_Profile!$F$63="",0,IF(ISNUMBER(SEARCH(Brand_Profile!$F$63,KOL_Database!$AG$15)),1,0))+IF(Brand_Profile!$F$64="",0,IF(ISNUMBER(SEARCH(Brand_Profile!$F$64,KOL_Database!$AG$15)),1,0))+IF(Brand_Profile!$F$65="",0,IF(ISNUMBER(SEARCH(Brand_Profile!$F$65,KOL_Database!$AG$15)),1,0))+IF(Brand_Profile!$F$66="",0,IF(ISNUMBER(SEARCH(Brand_Profile!$F$66,KOL_Database!$AG$15)),1,0))+IF(Brand_Profile!$F$67="",0,IF(ISNUMBER(SEARCH(Brand_Profile!$F$67,KOL_Database!$AG$15)),1,0)))/Brand_Profile!$F$68*100,0))</f>
        <v>20</v>
      </c>
      <c r="S76" s="142">
        <f ca="1">ROUND((Matching_Engine!$O$76*Brand_Profile!$F$96+Matching_Engine!$P$76*Brand_Profile!$F$97+Matching_Engine!$Q$76*Brand_Profile!$F$98+Matching_Engine!$R$76*Brand_Profile!$F$99)/MAX(1,Brand_Profile!$F$96+Brand_Profile!$F$97+Brand_Profile!$F$98+Brand_Profile!$F$99),0)</f>
        <v>74</v>
      </c>
      <c r="T76" s="142">
        <f>IF(Brand_Profile!$F$33="",Lookup_Lists!$D$150,Matching_Engine!$BD$76)</f>
        <v>80</v>
      </c>
      <c r="U76" s="142">
        <f>IF(Brand_Profile!$F$34="",Lookup_Lists!$D$150,IF(Brand_Profile!$F$34=KOL_Database!$F$15,100,IF(Matching_Engine!$BE$76=KOL_Database!$E$15,75,IF(Matching_Engine!$BD$76&gt;=80,Lookup_Lists!$D$150,IF(Matching_Engine!$BD$76&gt;=60,35,Lookup_Lists!$D$151)))))</f>
        <v>50</v>
      </c>
      <c r="V76" s="142">
        <f>IF(Brand_Profile!$F$86=0,Lookup_Lists!$D$150,ROUND((IF(Brand_Profile!$F$81="",0,IF(ISNUMBER(SEARCH(Brand_Profile!$F$81,Matching_Engine!$BG$76)),1,0))+IF(Brand_Profile!$F$82="",0,IF(ISNUMBER(SEARCH(Brand_Profile!$F$82,Matching_Engine!$BG$76)),1,0))+IF(Brand_Profile!$F$83="",0,IF(ISNUMBER(SEARCH(Brand_Profile!$F$83,Matching_Engine!$BG$76)),1,0))+IF(Brand_Profile!$F$84="",0,IF(ISNUMBER(SEARCH(Brand_Profile!$F$84,Matching_Engine!$BG$76)),1,0))+IF(Brand_Profile!$F$85="",0,IF(ISNUMBER(SEARCH(Brand_Profile!$F$85,Matching_Engine!$BG$76)),1,0)))/Brand_Profile!$F$86*100,0))</f>
        <v>20</v>
      </c>
      <c r="W76" s="142">
        <f>IF(Brand_Profile!$F$39="",Lookup_Lists!$D$150,IFERROR(INDEX(Lookup_Lists!$B$237:$K$246,MATCH(Brand_Profile!$F$39,Lookup_Lists!$A$237:$A$246,0),MATCH(KOL_Database!$AJ$15,Lookup_Lists!$B$236:$K$236,0)),45))</f>
        <v>45</v>
      </c>
      <c r="X76" s="142">
        <f>ROUND((Matching_Engine!$T$76*Lookup_Lists!$D$121+Matching_Engine!$U$76*Lookup_Lists!$D$122+Matching_Engine!$V$76*Lookup_Lists!$D$123+Matching_Engine!$W$76*Lookup_Lists!$D$124)/(Lookup_Lists!$D$121+Lookup_Lists!$D$122+Lookup_Lists!$D$123+Lookup_Lists!$D$124),0)</f>
        <v>49</v>
      </c>
      <c r="Y76" s="142">
        <f>MIN(100,MAX(IFERROR(INDEX(Lookup_Lists!$B$202:$M$211,MATCH(Brand_Profile!$F$25,Lookup_Lists!$A$202:$A$211,0),MATCH(KOL_Database!$AK$15,Lookup_Lists!$B$201:$M$201,0)),40),IF(KOL_Database!$AK$15=Brand_Profile!$F$41,95,0)))</f>
        <v>45</v>
      </c>
      <c r="Z76" s="142">
        <f>IFERROR(INDEX(Lookup_Lists!$B$215:$K$222,MATCH(Brand_Profile!$F$27,Lookup_Lists!$A$215:$A$222,0),MATCH(KOL_Database!$AJ$15,Lookup_Lists!$B$214:$K$214,0)),45)</f>
        <v>55</v>
      </c>
      <c r="AA76" s="142">
        <f>ROUND((IF(Brand_Profile!$F$80=0,Lookup_Lists!$D$150,ROUND((IF(Brand_Profile!$F$75="",0,IF(ISNUMBER(SEARCH(Brand_Profile!$F$75,KOL_Database!$AL$15)),1,0))+IF(Brand_Profile!$F$76="",0,IF(ISNUMBER(SEARCH(Brand_Profile!$F$76,KOL_Database!$AL$15)),1,0))+IF(Brand_Profile!$F$77="",0,IF(ISNUMBER(SEARCH(Brand_Profile!$F$77,KOL_Database!$AL$15)),1,0))+IF(Brand_Profile!$F$78="",0,IF(ISNUMBER(SEARCH(Brand_Profile!$F$78,KOL_Database!$AL$15)),1,0))+IF(Brand_Profile!$F$79="",0,IF(ISNUMBER(SEARCH(Brand_Profile!$F$79,KOL_Database!$AL$15)),1,0)))/Brand_Profile!$F$80*100,0))+IF(Brand_Profile!$F$92=0,Lookup_Lists!$D$150,ROUND((IF(Brand_Profile!$F$87="",0,IF(ISNUMBER(SEARCH(Brand_Profile!$F$87,KOL_Database!$AL$15)),1,0))+IF(Brand_Profile!$F$88="",0,IF(ISNUMBER(SEARCH(Brand_Profile!$F$88,KOL_Database!$AL$15)),1,0))+IF(Brand_Profile!$F$89="",0,IF(ISNUMBER(SEARCH(Brand_Profile!$F$89,KOL_Database!$AL$15)),1,0))+IF(Brand_Profile!$F$90="",0,IF(ISNUMBER(SEARCH(Brand_Profile!$F$90,KOL_Database!$AL$15)),1,0))+IF(Brand_Profile!$F$91="",0,IF(ISNUMBER(SEARCH(Brand_Profile!$F$91,KOL_Database!$AL$15)),1,0)))/Brand_Profile!$F$92*100,0)))/2,0)</f>
        <v>0</v>
      </c>
      <c r="AB76" s="142">
        <f>IFERROR(INDEX(Lookup_Lists!$B$226:$K$233,MATCH(Brand_Profile!$F$30,Lookup_Lists!$A$226:$A$233,0),MATCH(KOL_Database!$AJ$15,Lookup_Lists!$B$225:$K$225,0)),45)</f>
        <v>45</v>
      </c>
      <c r="AC76" s="142">
        <f>ROUND((Matching_Engine!$Y$76*Lookup_Lists!$D$125+Matching_Engine!$Z$76*Lookup_Lists!$D$126+Matching_Engine!$AA$76*Lookup_Lists!$D$127+Matching_Engine!$AB$76*Lookup_Lists!$D$128)/(Lookup_Lists!$D$125+Lookup_Lists!$D$126+Lookup_Lists!$D$127+Lookup_Lists!$D$128),0)</f>
        <v>36</v>
      </c>
      <c r="AD76" s="142">
        <f>IF(KOL_Database!$K$15="",0,MIN(100,ROUND(KOL_Database!$K$15/Lookup_Lists!$D$141*100,0)))</f>
        <v>65</v>
      </c>
      <c r="AE76" s="142">
        <f>IF(KOL_Database!$R$15="",0,MIN(100,MAX(0,KOL_Database!$R$15)))</f>
        <v>61</v>
      </c>
      <c r="AF76" s="142">
        <f>IF(KOL_Database!$P$15="",0,MIN(100,MAX(0,KOL_Database!$P$15)))</f>
        <v>87</v>
      </c>
      <c r="AG76" s="142">
        <f>IF(KOL_Database!$Q$15="",0,MIN(100,MAX(0,KOL_Database!$Q$15)))</f>
        <v>79</v>
      </c>
      <c r="AH76" s="142">
        <f>IF(OR(KOL_Database!$J$15="",KOL_Database!$J$15=0,KOL_Database!$L$15=""),0,MIN(100,ROUND(KOL_Database!$L$15/KOL_Database!$J$15/Lookup_Lists!$D$144*100,0)))</f>
        <v>39</v>
      </c>
      <c r="AI76" s="142">
        <f>IF(KOL_Database!$N$15="",0,MIN(100,MAX(0,ROUND((KOL_Database!$N$15+2)/(Lookup_Lists!$D$145+2)*100,0))))</f>
        <v>40</v>
      </c>
      <c r="AJ76" s="142">
        <f>ROUND((Matching_Engine!$AD$76*Lookup_Lists!$D$129+Matching_Engine!$AE$76*Lookup_Lists!$D$130+Matching_Engine!$AF$76*Lookup_Lists!$D$131+Matching_Engine!$AG$76*Lookup_Lists!$D$132+Matching_Engine!$AH$76*Lookup_Lists!$D$133+Matching_Engine!$AI$76*Lookup_Lists!$D$134)/(Lookup_Lists!$D$129+Lookup_Lists!$D$130+Lookup_Lists!$D$131+Lookup_Lists!$D$132+Lookup_Lists!$D$133+Lookup_Lists!$D$134),0)</f>
        <v>66</v>
      </c>
      <c r="AK76" s="142">
        <f>IF(KOL_Database!$AT$15="",0,MIN(100,MAX(0,KOL_Database!$AT$15)))</f>
        <v>71</v>
      </c>
      <c r="AL76" s="142">
        <f>IF(KOL_Database!$AU$15="",0,KOL_Database!$AU$15)</f>
        <v>15</v>
      </c>
      <c r="AM76" s="89" t="str">
        <f>IF(KOL_Database!$AV$15="","None",KOL_Database!$AV$15)</f>
        <v>Low</v>
      </c>
      <c r="AN76" s="143">
        <f>IF(Matching_Engine!$AM$76="High",Lookup_Lists!$D$137,IF(Matching_Engine!$AM$76="Medium",Lookup_Lists!$D$138,IF(Matching_Engine!$AM$76="Low",Lookup_Lists!$D$139,Lookup_Lists!$D$140)))</f>
        <v>0.95</v>
      </c>
      <c r="AO76" s="142">
        <f>ROUND(MIN(100,MAX(0,(Matching_Engine!$AK$76*Lookup_Lists!$D$135+(100-Matching_Engine!$AL$76)*Lookup_Lists!$D$136)/(Lookup_Lists!$D$135+Lookup_Lists!$D$136)*Matching_Engine!$AN$76)),0)</f>
        <v>70</v>
      </c>
      <c r="AP76" s="13">
        <f ca="1">ROUND((Matching_Engine!$N$76*Lookup_Lists!$D$104+Matching_Engine!$S$76*Lookup_Lists!$D$105+Matching_Engine!$X$76*Lookup_Lists!$D$106+Matching_Engine!$AC$76*Lookup_Lists!$D$107+Matching_Engine!$AJ$76*Lookup_Lists!$D$108+Matching_Engine!$AO$76*Lookup_Lists!$D$109)/MAX(1,(Lookup_Lists!$D$104+Lookup_Lists!$D$105+Lookup_Lists!$D$106+Lookup_Lists!$D$107+Lookup_Lists!$D$108+Lookup_Lists!$D$109)),0)</f>
        <v>60</v>
      </c>
      <c r="AQ76" s="89" t="str">
        <f ca="1">IF(Matching_Engine!$AP$76&gt;=Lookup_Lists!$D$152,"Excellent Match",IF(Matching_Engine!$AP$76&gt;=Lookup_Lists!$D$153,"Strong Match",IF(Matching_Engine!$AP$76&gt;=Lookup_Lists!$D$154,"Good Match",IF(Matching_Engine!$AP$76&gt;=Lookup_Lists!$D$155,"Moderate Match","Low Match"))))</f>
        <v>Moderate Match</v>
      </c>
      <c r="AR76" s="142">
        <f>KOL_Database!$BE$15</f>
        <v>100</v>
      </c>
      <c r="AS76" s="89" t="str">
        <f>IF(Matching_Engine!$AR$76&gt;=Lookup_Lists!$D$159,"High",IF(Matching_Engine!$AR$76&gt;=Lookup_Lists!$D$160,"Medium","Limited Data"))</f>
        <v>High</v>
      </c>
      <c r="AT76" s="142">
        <f>ROUND((Matching_Engine!$N$76+Matching_Engine!$X$76+Matching_Engine!$AC$76)/3,0)</f>
        <v>46</v>
      </c>
      <c r="AU76" s="142">
        <f>ROUND(((100-Matching_Engine!$AL$76)*Lookup_Lists!$D$162+IF(KOL_Database!$BD$15="",Lookup_Lists!$D$150,KOL_Database!$BD$15)*Lookup_Lists!$D$163+Matching_Engine!$AI$76*Lookup_Lists!$D$164+Matching_Engine!$AD$76*Lookup_Lists!$D$165)/(Lookup_Lists!$D$162+Lookup_Lists!$D$163+Lookup_Lists!$D$164+Lookup_Lists!$D$165),0)</f>
        <v>56</v>
      </c>
      <c r="AV76" s="89" t="str">
        <f ca="1">IF(Matching_Engine!$AW$76="","PASS","EXCLUDED")</f>
        <v>EXCLUDED</v>
      </c>
      <c r="AW76" s="89" t="str">
        <f ca="1">IF(ISERROR(SEARCH(KOL_Database!$D$15,Brand_Profile!$F$32)),"Platform not in Preferred Platform",IF(AND(Brand_Profile!$F$36&gt;0,KOL_Database!$J$15&lt;Brand_Profile!$F$36),"Followers below Preferred Follower Range",IF(AND(Brand_Profile!$F$37&gt;0,KOL_Database!$J$15&gt;Brand_Profile!$F$37),"Followers above Preferred Follower Range",IF(AND(Brand_Profile!$F$38&gt;0,IF(KOL_Database!$K$15="",0,KOL_Database!$K$15)&lt;Brand_Profile!$F$38),"Engagement Rate below Minimum Engagement Rate",IF(ISERROR(SEARCH(KOL_Database!$G$15,Brand_Profile!$F$35)),"Tier not in Preferred Tier",IF(AND(Brand_Profile!$F$43&gt;0,Matching_Engine!$AE$76&lt;Brand_Profile!$F$43),"Audience Quality below Minimum Audience Quality",IF(AND(Brand_Profile!$F$44&gt;0,Matching_Engine!$AK$76&lt;Brand_Profile!$F$44),"Brand Safety below Minimum Brand Safety",IF(AND(Brand_Profile!$F$47="Yes",KOL_Database!$AD$15&lt;&gt;Brand_Profile!$F$19),"Audience Country does not match Target Country",IF(AND(Brand_Profile!$F$46="Yes",KOL_Database!$E$15&lt;&gt;Brand_Profile!$F$33),"Category is not the Preferred Category",IF(AND(Brand_Profile!$F$48&gt;0,Matching_Engine!$AL$76&gt;Brand_Profile!$F$48),"Competitor Saturation above Max Competitor Saturation",IF(AND(Brand_Profile!$F$50="Yes",KOL_Database!$AW$15="Yes"),"Already Selected",IF(AND(Brand_Profile!$F$51="Yes",KOL_Database!$AX$15="Yes"),"Already in Cart",IF(AND(Brand_Profile!$F$52="Yes",KOL_Database!$AY$15="Yes"),"Existing Partner",IF(AND(Brand_Profile!$F$53="Yes",KOL_Database!$AZ$15="Yes"),"Excluded Creator",IF(AND(Brand_Profile!$F$49&gt;0,Matching_Engine!$AP$76&lt;Brand_Profile!$F$49),"Brand Match below Minimum Brand Match","")))))))))))))))</f>
        <v>Tier not in Preferred Tier</v>
      </c>
      <c r="AX76" s="89" t="str">
        <f ca="1">IF(Matching_Engine!$AV$76="EXCLUDED","Excluded",IF(Matching_Engine!$AP$76&gt;=Lookup_Lists!$D$156,"Highly Recommended",IF(Matching_Engine!$AP$76&gt;=Lookup_Lists!$D$157,"Recommended",IF(Matching_Engine!$AP$76&gt;=Lookup_Lists!$D$158,"Consider","Low Priority"))))</f>
        <v>Excluded</v>
      </c>
      <c r="AY76" s="142" t="str">
        <f ca="1">IF(Matching_Engine!$AV$76="PASS",Matching_Engine!$AP$76,"")</f>
        <v/>
      </c>
      <c r="AZ76" s="89" t="str">
        <f>Matching_Engine!$A$76&amp;"|"&amp;Matching_Engine!$C$76</f>
        <v>BRAND-C|KOL-11</v>
      </c>
      <c r="BA76" s="89" t="str">
        <f>IFERROR(INDEX(Lookup_Lists!$B$51:$B$92,MATCH(Brand_Profile!$F$12,Lookup_Lists!$A$51:$A$92,0)),"")</f>
        <v>Food</v>
      </c>
      <c r="BB76" s="89" t="str">
        <f>IFERROR(INDEX(Lookup_Lists!$B$51:$B$92,MATCH(KOL_Database!$F$15,Lookup_Lists!$A$51:$A$92,0)),"")</f>
        <v>Fitness</v>
      </c>
      <c r="BC76" s="142">
        <f>IFERROR(INDEX(Lookup_Lists!$B$185:$O$198,MATCH(Matching_Engine!$BA$76,Lookup_Lists!$A$185:$A$198,0),MATCH(KOL_Database!$E$15,Lookup_Lists!$B$184:$O$184,0)),Lookup_Lists!$D$151)</f>
        <v>80</v>
      </c>
      <c r="BD76" s="142">
        <f>IFERROR(INDEX(Lookup_Lists!$B$185:$O$198,MATCH(Brand_Profile!$F$33,Lookup_Lists!$A$185:$A$198,0),MATCH(KOL_Database!$E$15,Lookup_Lists!$B$184:$O$184,0)),Lookup_Lists!$D$151)</f>
        <v>80</v>
      </c>
      <c r="BE76" s="89" t="str">
        <f>IFERROR(INDEX(Lookup_Lists!$B$51:$B$92,MATCH(Brand_Profile!$F$34,Lookup_Lists!$A$51:$A$92,0)),"")</f>
        <v>Food</v>
      </c>
      <c r="BF76" s="89" t="str">
        <f>KOL_Database!$AI$15&amp;", "&amp;KOL_Database!$AG$15&amp;", "&amp;KOL_Database!$F$15&amp;", "&amp;KOL_Database!$E$15</f>
        <v>Fitness, Health, Food, Fitness, Health, Food, Fashion, Shopping, Gym &amp; Strength, Fitness</v>
      </c>
      <c r="BG76" s="89" t="str">
        <f>KOL_Database!$AI$15&amp;", "&amp;KOL_Database!$AG$15</f>
        <v>Fitness, Health, Food, Fitness, Health, Food, Fashion, Shopping</v>
      </c>
    </row>
    <row r="77" spans="1:59">
      <c r="A77" s="101" t="s">
        <v>119</v>
      </c>
      <c r="B77" s="89" t="str">
        <f>Brand_Profile!$F$9</f>
        <v>Rasa Nusantara</v>
      </c>
      <c r="C77" s="89" t="str">
        <f>KOL_Database!$A$16</f>
        <v>KOL-12</v>
      </c>
      <c r="D77" s="89" t="str">
        <f>KOL_Database!$B$16</f>
        <v>Rani Kusuma</v>
      </c>
      <c r="E77" s="89" t="str">
        <f>KOL_Database!$C$16</f>
        <v>@ranihomeworkout</v>
      </c>
      <c r="F77" s="89" t="str">
        <f>KOL_Database!$D$16</f>
        <v>TikTok</v>
      </c>
      <c r="G77" s="89" t="str">
        <f>KOL_Database!$E$16</f>
        <v>Fitness</v>
      </c>
      <c r="H77" s="89" t="str">
        <f>KOL_Database!$G$16</f>
        <v>Macro</v>
      </c>
      <c r="I77" s="140">
        <f>KOL_Database!$J$16</f>
        <v>305000</v>
      </c>
      <c r="J77" s="141">
        <f>KOL_Database!$K$16</f>
        <v>6.5</v>
      </c>
      <c r="K77" s="142">
        <f>IFERROR(INDEX(Lookup_Lists!$B$170:$O$181,MATCH(Brand_Profile!$F$10,Lookup_Lists!$A$170:$A$181,0),MATCH(KOL_Database!$E$16,Lookup_Lists!$B$169:$O$169,0)),Lookup_Lists!$D$151)</f>
        <v>60</v>
      </c>
      <c r="L77" s="142">
        <f>IF(KOL_Database!$F$16="",Matching_Engine!$BC$77,IF(Brand_Profile!$F$12=KOL_Database!$F$16,100,IF(Matching_Engine!$BA$77=KOL_Database!$E$16,80,IF(Matching_Engine!$BC$77&gt;=80,60,IF(Matching_Engine!$BC$77&gt;=60,40,Lookup_Lists!$D$151)))))</f>
        <v>60</v>
      </c>
      <c r="M77" s="142">
        <f>ROUND((IF(Brand_Profile!$F$62=0,Lookup_Lists!$D$150,ROUND((IF(Brand_Profile!$F$57="",0,IF(ISNUMBER(SEARCH(Brand_Profile!$F$57,Matching_Engine!$BF$77)),1,0))+IF(Brand_Profile!$F$58="",0,IF(ISNUMBER(SEARCH(Brand_Profile!$F$58,Matching_Engine!$BF$77)),1,0))+IF(Brand_Profile!$F$59="",0,IF(ISNUMBER(SEARCH(Brand_Profile!$F$59,Matching_Engine!$BF$77)),1,0))+IF(Brand_Profile!$F$60="",0,IF(ISNUMBER(SEARCH(Brand_Profile!$F$60,Matching_Engine!$BF$77)),1,0))+IF(Brand_Profile!$F$61="",0,IF(ISNUMBER(SEARCH(Brand_Profile!$F$61,Matching_Engine!$BF$77)),1,0)))/Brand_Profile!$F$62*100,0))+IF(Brand_Profile!$F$74=0,Lookup_Lists!$D$150,ROUND((IF(Brand_Profile!$F$69="",0,IF(ISNUMBER(SEARCH(Brand_Profile!$F$69,Matching_Engine!$BF$77)),1,0))+IF(Brand_Profile!$F$70="",0,IF(ISNUMBER(SEARCH(Brand_Profile!$F$70,Matching_Engine!$BF$77)),1,0))+IF(Brand_Profile!$F$71="",0,IF(ISNUMBER(SEARCH(Brand_Profile!$F$71,Matching_Engine!$BF$77)),1,0))+IF(Brand_Profile!$F$72="",0,IF(ISNUMBER(SEARCH(Brand_Profile!$F$72,Matching_Engine!$BF$77)),1,0))+IF(Brand_Profile!$F$73="",0,IF(ISNUMBER(SEARCH(Brand_Profile!$F$73,Matching_Engine!$BF$77)),1,0)))/Brand_Profile!$F$74*100,0)))/2,0)</f>
        <v>20</v>
      </c>
      <c r="N77" s="142">
        <f>ROUND((Matching_Engine!$K$77*Lookup_Lists!$D$110+Matching_Engine!$L$77*Lookup_Lists!$D$111+Matching_Engine!$M$77*Lookup_Lists!$D$112)/(Lookup_Lists!$D$110+Lookup_Lists!$D$111+Lookup_Lists!$D$112),0)</f>
        <v>48</v>
      </c>
      <c r="O77" s="142">
        <f ca="1">IF(Brand_Profile!$F$16="",Lookup_Lists!$D$150,MIN(100,ROUND((IFERROR(INDEX(KOL_Database!$W$16:KOL_Database!$AA$16,1,MATCH(Brand_Profile!$F$16,Lookup_Lists!$F$6:$F$10,0)),0)+0.5*IFERROR(INDEX(KOL_Database!$W$16:KOL_Database!$AA$16,1,MATCH(Brand_Profile!$F$17,Lookup_Lists!$F$6:$F$10,0)),0))/Lookup_Lists!$D$142*100,0)))</f>
        <v>97</v>
      </c>
      <c r="P77" s="142">
        <f>IF(OR(Brand_Profile!$F$18="",Brand_Profile!$F$18="Any"),100,IF(Brand_Profile!$F$18="Female",MIN(100,ROUND(KOL_Database!$AB$16/Lookup_Lists!$D$143*100,0)),IF(Brand_Profile!$F$18="Male",MIN(100,ROUND(KOL_Database!$AC$16/Lookup_Lists!$D$143*100,0)),MAX(0,ROUND(100-ABS(KOL_Database!$AB$16-50)*2,0)))))</f>
        <v>42</v>
      </c>
      <c r="Q77" s="142">
        <f>ROUND((IF(Brand_Profile!$F$19="",100,IF(KOL_Database!$AD$16=Brand_Profile!$F$19,100,Lookup_Lists!$D$151))*Lookup_Lists!$D$118+IF(OR(Brand_Profile!$F$20="",Brand_Profile!$F$20="Nasional"),100,IF(KOL_Database!$AE$16="",Lookup_Lists!$D$150,IF(KOL_Database!$AE$16=Brand_Profile!$F$20,100,IF(KOL_Database!$AD$16=Brand_Profile!$F$19,40,Lookup_Lists!$D$151))))*Lookup_Lists!$D$119+IF(OR(Brand_Profile!$F$21="",Brand_Profile!$F$21="Nasional"),100,IF(KOL_Database!$AF$16="",Lookup_Lists!$D$150,IF(KOL_Database!$AF$16=Brand_Profile!$F$21,100,IF(KOL_Database!$AE$16=Brand_Profile!$F$20,60,Lookup_Lists!$D$151))))*Lookup_Lists!$D$120)/(Lookup_Lists!$D$118+Lookup_Lists!$D$119+Lookup_Lists!$D$120),0)</f>
        <v>100</v>
      </c>
      <c r="R77" s="142">
        <f>IF(Brand_Profile!$F$68=0,Lookup_Lists!$D$150,ROUND((IF(Brand_Profile!$F$63="",0,IF(ISNUMBER(SEARCH(Brand_Profile!$F$63,KOL_Database!$AG$16)),1,0))+IF(Brand_Profile!$F$64="",0,IF(ISNUMBER(SEARCH(Brand_Profile!$F$64,KOL_Database!$AG$16)),1,0))+IF(Brand_Profile!$F$65="",0,IF(ISNUMBER(SEARCH(Brand_Profile!$F$65,KOL_Database!$AG$16)),1,0))+IF(Brand_Profile!$F$66="",0,IF(ISNUMBER(SEARCH(Brand_Profile!$F$66,KOL_Database!$AG$16)),1,0))+IF(Brand_Profile!$F$67="",0,IF(ISNUMBER(SEARCH(Brand_Profile!$F$67,KOL_Database!$AG$16)),1,0)))/Brand_Profile!$F$68*100,0))</f>
        <v>20</v>
      </c>
      <c r="S77" s="142">
        <f ca="1">ROUND((Matching_Engine!$O$77*Brand_Profile!$F$96+Matching_Engine!$P$77*Brand_Profile!$F$97+Matching_Engine!$Q$77*Brand_Profile!$F$98+Matching_Engine!$R$77*Brand_Profile!$F$99)/MAX(1,Brand_Profile!$F$96+Brand_Profile!$F$97+Brand_Profile!$F$98+Brand_Profile!$F$99),0)</f>
        <v>72</v>
      </c>
      <c r="T77" s="142">
        <f>IF(Brand_Profile!$F$33="",Lookup_Lists!$D$150,Matching_Engine!$BD$77)</f>
        <v>80</v>
      </c>
      <c r="U77" s="142">
        <f>IF(Brand_Profile!$F$34="",Lookup_Lists!$D$150,IF(Brand_Profile!$F$34=KOL_Database!$F$16,100,IF(Matching_Engine!$BE$77=KOL_Database!$E$16,75,IF(Matching_Engine!$BD$77&gt;=80,Lookup_Lists!$D$150,IF(Matching_Engine!$BD$77&gt;=60,35,Lookup_Lists!$D$151)))))</f>
        <v>50</v>
      </c>
      <c r="V77" s="142">
        <f>IF(Brand_Profile!$F$86=0,Lookup_Lists!$D$150,ROUND((IF(Brand_Profile!$F$81="",0,IF(ISNUMBER(SEARCH(Brand_Profile!$F$81,Matching_Engine!$BG$77)),1,0))+IF(Brand_Profile!$F$82="",0,IF(ISNUMBER(SEARCH(Brand_Profile!$F$82,Matching_Engine!$BG$77)),1,0))+IF(Brand_Profile!$F$83="",0,IF(ISNUMBER(SEARCH(Brand_Profile!$F$83,Matching_Engine!$BG$77)),1,0))+IF(Brand_Profile!$F$84="",0,IF(ISNUMBER(SEARCH(Brand_Profile!$F$84,Matching_Engine!$BG$77)),1,0))+IF(Brand_Profile!$F$85="",0,IF(ISNUMBER(SEARCH(Brand_Profile!$F$85,Matching_Engine!$BG$77)),1,0)))/Brand_Profile!$F$86*100,0))</f>
        <v>20</v>
      </c>
      <c r="W77" s="142">
        <f>IF(Brand_Profile!$F$39="",Lookup_Lists!$D$150,IFERROR(INDEX(Lookup_Lists!$B$237:$K$246,MATCH(Brand_Profile!$F$39,Lookup_Lists!$A$237:$A$246,0),MATCH(KOL_Database!$AJ$16,Lookup_Lists!$B$236:$K$236,0)),45))</f>
        <v>45</v>
      </c>
      <c r="X77" s="142">
        <f>ROUND((Matching_Engine!$T$77*Lookup_Lists!$D$121+Matching_Engine!$U$77*Lookup_Lists!$D$122+Matching_Engine!$V$77*Lookup_Lists!$D$123+Matching_Engine!$W$77*Lookup_Lists!$D$124)/(Lookup_Lists!$D$121+Lookup_Lists!$D$122+Lookup_Lists!$D$123+Lookup_Lists!$D$124),0)</f>
        <v>49</v>
      </c>
      <c r="Y77" s="142">
        <f>MIN(100,MAX(IFERROR(INDEX(Lookup_Lists!$B$202:$M$211,MATCH(Brand_Profile!$F$25,Lookup_Lists!$A$202:$A$211,0),MATCH(KOL_Database!$AK$16,Lookup_Lists!$B$201:$M$201,0)),40),IF(KOL_Database!$AK$16=Brand_Profile!$F$41,95,0)))</f>
        <v>65</v>
      </c>
      <c r="Z77" s="142">
        <f>IFERROR(INDEX(Lookup_Lists!$B$215:$K$222,MATCH(Brand_Profile!$F$27,Lookup_Lists!$A$215:$A$222,0),MATCH(KOL_Database!$AJ$16,Lookup_Lists!$B$214:$K$214,0)),45)</f>
        <v>70</v>
      </c>
      <c r="AA77" s="142">
        <f>ROUND((IF(Brand_Profile!$F$80=0,Lookup_Lists!$D$150,ROUND((IF(Brand_Profile!$F$75="",0,IF(ISNUMBER(SEARCH(Brand_Profile!$F$75,KOL_Database!$AL$16)),1,0))+IF(Brand_Profile!$F$76="",0,IF(ISNUMBER(SEARCH(Brand_Profile!$F$76,KOL_Database!$AL$16)),1,0))+IF(Brand_Profile!$F$77="",0,IF(ISNUMBER(SEARCH(Brand_Profile!$F$77,KOL_Database!$AL$16)),1,0))+IF(Brand_Profile!$F$78="",0,IF(ISNUMBER(SEARCH(Brand_Profile!$F$78,KOL_Database!$AL$16)),1,0))+IF(Brand_Profile!$F$79="",0,IF(ISNUMBER(SEARCH(Brand_Profile!$F$79,KOL_Database!$AL$16)),1,0)))/Brand_Profile!$F$80*100,0))+IF(Brand_Profile!$F$92=0,Lookup_Lists!$D$150,ROUND((IF(Brand_Profile!$F$87="",0,IF(ISNUMBER(SEARCH(Brand_Profile!$F$87,KOL_Database!$AL$16)),1,0))+IF(Brand_Profile!$F$88="",0,IF(ISNUMBER(SEARCH(Brand_Profile!$F$88,KOL_Database!$AL$16)),1,0))+IF(Brand_Profile!$F$89="",0,IF(ISNUMBER(SEARCH(Brand_Profile!$F$89,KOL_Database!$AL$16)),1,0))+IF(Brand_Profile!$F$90="",0,IF(ISNUMBER(SEARCH(Brand_Profile!$F$90,KOL_Database!$AL$16)),1,0))+IF(Brand_Profile!$F$91="",0,IF(ISNUMBER(SEARCH(Brand_Profile!$F$91,KOL_Database!$AL$16)),1,0)))/Brand_Profile!$F$92*100,0)))/2,0)</f>
        <v>20</v>
      </c>
      <c r="AB77" s="142">
        <f>IFERROR(INDEX(Lookup_Lists!$B$226:$K$233,MATCH(Brand_Profile!$F$30,Lookup_Lists!$A$226:$A$233,0),MATCH(KOL_Database!$AJ$16,Lookup_Lists!$B$225:$K$225,0)),45)</f>
        <v>55</v>
      </c>
      <c r="AC77" s="142">
        <f>ROUND((Matching_Engine!$Y$77*Lookup_Lists!$D$125+Matching_Engine!$Z$77*Lookup_Lists!$D$126+Matching_Engine!$AA$77*Lookup_Lists!$D$127+Matching_Engine!$AB$77*Lookup_Lists!$D$128)/(Lookup_Lists!$D$125+Lookup_Lists!$D$126+Lookup_Lists!$D$127+Lookup_Lists!$D$128),0)</f>
        <v>54</v>
      </c>
      <c r="AD77" s="142">
        <f>IF(KOL_Database!$K$16="",0,MIN(100,ROUND(KOL_Database!$K$16/Lookup_Lists!$D$141*100,0)))</f>
        <v>100</v>
      </c>
      <c r="AE77" s="142">
        <f>IF(KOL_Database!$R$16="",0,MIN(100,MAX(0,KOL_Database!$R$16)))</f>
        <v>80</v>
      </c>
      <c r="AF77" s="142">
        <f>IF(KOL_Database!$P$16="",0,MIN(100,MAX(0,KOL_Database!$P$16)))</f>
        <v>86</v>
      </c>
      <c r="AG77" s="142">
        <f>IF(KOL_Database!$Q$16="",0,MIN(100,MAX(0,KOL_Database!$Q$16)))</f>
        <v>88</v>
      </c>
      <c r="AH77" s="142">
        <f>IF(OR(KOL_Database!$J$16="",KOL_Database!$J$16=0,KOL_Database!$L$16=""),0,MIN(100,ROUND(KOL_Database!$L$16/KOL_Database!$J$16/Lookup_Lists!$D$144*100,0)))</f>
        <v>100</v>
      </c>
      <c r="AI77" s="142">
        <f>IF(KOL_Database!$N$16="",0,MIN(100,MAX(0,ROUND((KOL_Database!$N$16+2)/(Lookup_Lists!$D$145+2)*100,0))))</f>
        <v>47</v>
      </c>
      <c r="AJ77" s="142">
        <f>ROUND((Matching_Engine!$AD$77*Lookup_Lists!$D$129+Matching_Engine!$AE$77*Lookup_Lists!$D$130+Matching_Engine!$AF$77*Lookup_Lists!$D$131+Matching_Engine!$AG$77*Lookup_Lists!$D$132+Matching_Engine!$AH$77*Lookup_Lists!$D$133+Matching_Engine!$AI$77*Lookup_Lists!$D$134)/(Lookup_Lists!$D$129+Lookup_Lists!$D$130+Lookup_Lists!$D$131+Lookup_Lists!$D$132+Lookup_Lists!$D$133+Lookup_Lists!$D$134),0)</f>
        <v>89</v>
      </c>
      <c r="AK77" s="142">
        <f>IF(KOL_Database!$AT$16="",0,MIN(100,MAX(0,KOL_Database!$AT$16)))</f>
        <v>88</v>
      </c>
      <c r="AL77" s="142">
        <f>IF(KOL_Database!$AU$16="",0,KOL_Database!$AU$16)</f>
        <v>49</v>
      </c>
      <c r="AM77" s="89" t="str">
        <f>IF(KOL_Database!$AV$16="","None",KOL_Database!$AV$16)</f>
        <v>None</v>
      </c>
      <c r="AN77" s="143">
        <f>IF(Matching_Engine!$AM$77="High",Lookup_Lists!$D$137,IF(Matching_Engine!$AM$77="Medium",Lookup_Lists!$D$138,IF(Matching_Engine!$AM$77="Low",Lookup_Lists!$D$139,Lookup_Lists!$D$140)))</f>
        <v>1</v>
      </c>
      <c r="AO77" s="142">
        <f>ROUND(MIN(100,MAX(0,(Matching_Engine!$AK$77*Lookup_Lists!$D$135+(100-Matching_Engine!$AL$77)*Lookup_Lists!$D$136)/(Lookup_Lists!$D$135+Lookup_Lists!$D$136)*Matching_Engine!$AN$77)),0)</f>
        <v>81</v>
      </c>
      <c r="AP77" s="13">
        <f ca="1">ROUND((Matching_Engine!$N$77*Lookup_Lists!$D$104+Matching_Engine!$S$77*Lookup_Lists!$D$105+Matching_Engine!$X$77*Lookup_Lists!$D$106+Matching_Engine!$AC$77*Lookup_Lists!$D$107+Matching_Engine!$AJ$77*Lookup_Lists!$D$108+Matching_Engine!$AO$77*Lookup_Lists!$D$109)/MAX(1,(Lookup_Lists!$D$104+Lookup_Lists!$D$105+Lookup_Lists!$D$106+Lookup_Lists!$D$107+Lookup_Lists!$D$108+Lookup_Lists!$D$109)),0)</f>
        <v>63</v>
      </c>
      <c r="AQ77" s="89" t="str">
        <f ca="1">IF(Matching_Engine!$AP$77&gt;=Lookup_Lists!$D$152,"Excellent Match",IF(Matching_Engine!$AP$77&gt;=Lookup_Lists!$D$153,"Strong Match",IF(Matching_Engine!$AP$77&gt;=Lookup_Lists!$D$154,"Good Match",IF(Matching_Engine!$AP$77&gt;=Lookup_Lists!$D$155,"Moderate Match","Low Match"))))</f>
        <v>Moderate Match</v>
      </c>
      <c r="AR77" s="142">
        <f>KOL_Database!$BE$16</f>
        <v>100</v>
      </c>
      <c r="AS77" s="89" t="str">
        <f>IF(Matching_Engine!$AR$77&gt;=Lookup_Lists!$D$159,"High",IF(Matching_Engine!$AR$77&gt;=Lookup_Lists!$D$160,"Medium","Limited Data"))</f>
        <v>High</v>
      </c>
      <c r="AT77" s="142">
        <f>ROUND((Matching_Engine!$N$77+Matching_Engine!$X$77+Matching_Engine!$AC$77)/3,0)</f>
        <v>50</v>
      </c>
      <c r="AU77" s="142">
        <f>ROUND(((100-Matching_Engine!$AL$77)*Lookup_Lists!$D$162+IF(KOL_Database!$BD$16="",Lookup_Lists!$D$150,KOL_Database!$BD$16)*Lookup_Lists!$D$163+Matching_Engine!$AI$77*Lookup_Lists!$D$164+Matching_Engine!$AD$77*Lookup_Lists!$D$165)/(Lookup_Lists!$D$162+Lookup_Lists!$D$163+Lookup_Lists!$D$164+Lookup_Lists!$D$165),0)</f>
        <v>70</v>
      </c>
      <c r="AV77" s="89" t="str">
        <f ca="1">IF(Matching_Engine!$AW$77="","PASS","EXCLUDED")</f>
        <v>EXCLUDED</v>
      </c>
      <c r="AW77" s="89" t="str">
        <f ca="1">IF(ISERROR(SEARCH(KOL_Database!$D$16,Brand_Profile!$F$32)),"Platform not in Preferred Platform",IF(AND(Brand_Profile!$F$36&gt;0,KOL_Database!$J$16&lt;Brand_Profile!$F$36),"Followers below Preferred Follower Range",IF(AND(Brand_Profile!$F$37&gt;0,KOL_Database!$J$16&gt;Brand_Profile!$F$37),"Followers above Preferred Follower Range",IF(AND(Brand_Profile!$F$38&gt;0,IF(KOL_Database!$K$16="",0,KOL_Database!$K$16)&lt;Brand_Profile!$F$38),"Engagement Rate below Minimum Engagement Rate",IF(ISERROR(SEARCH(KOL_Database!$G$16,Brand_Profile!$F$35)),"Tier not in Preferred Tier",IF(AND(Brand_Profile!$F$43&gt;0,Matching_Engine!$AE$77&lt;Brand_Profile!$F$43),"Audience Quality below Minimum Audience Quality",IF(AND(Brand_Profile!$F$44&gt;0,Matching_Engine!$AK$77&lt;Brand_Profile!$F$44),"Brand Safety below Minimum Brand Safety",IF(AND(Brand_Profile!$F$47="Yes",KOL_Database!$AD$16&lt;&gt;Brand_Profile!$F$19),"Audience Country does not match Target Country",IF(AND(Brand_Profile!$F$46="Yes",KOL_Database!$E$16&lt;&gt;Brand_Profile!$F$33),"Category is not the Preferred Category",IF(AND(Brand_Profile!$F$48&gt;0,Matching_Engine!$AL$77&gt;Brand_Profile!$F$48),"Competitor Saturation above Max Competitor Saturation",IF(AND(Brand_Profile!$F$50="Yes",KOL_Database!$AW$16="Yes"),"Already Selected",IF(AND(Brand_Profile!$F$51="Yes",KOL_Database!$AX$16="Yes"),"Already in Cart",IF(AND(Brand_Profile!$F$52="Yes",KOL_Database!$AY$16="Yes"),"Existing Partner",IF(AND(Brand_Profile!$F$53="Yes",KOL_Database!$AZ$16="Yes"),"Excluded Creator",IF(AND(Brand_Profile!$F$49&gt;0,Matching_Engine!$AP$77&lt;Brand_Profile!$F$49),"Brand Match below Minimum Brand Match","")))))))))))))))</f>
        <v>Tier not in Preferred Tier</v>
      </c>
      <c r="AX77" s="89" t="str">
        <f ca="1">IF(Matching_Engine!$AV$77="EXCLUDED","Excluded",IF(Matching_Engine!$AP$77&gt;=Lookup_Lists!$D$156,"Highly Recommended",IF(Matching_Engine!$AP$77&gt;=Lookup_Lists!$D$157,"Recommended",IF(Matching_Engine!$AP$77&gt;=Lookup_Lists!$D$158,"Consider","Low Priority"))))</f>
        <v>Excluded</v>
      </c>
      <c r="AY77" s="142" t="str">
        <f ca="1">IF(Matching_Engine!$AV$77="PASS",Matching_Engine!$AP$77,"")</f>
        <v/>
      </c>
      <c r="AZ77" s="89" t="str">
        <f>Matching_Engine!$A$77&amp;"|"&amp;Matching_Engine!$C$77</f>
        <v>BRAND-C|KOL-12</v>
      </c>
      <c r="BA77" s="89" t="str">
        <f>IFERROR(INDEX(Lookup_Lists!$B$51:$B$92,MATCH(Brand_Profile!$F$12,Lookup_Lists!$A$51:$A$92,0)),"")</f>
        <v>Food</v>
      </c>
      <c r="BB77" s="89" t="str">
        <f>IFERROR(INDEX(Lookup_Lists!$B$51:$B$92,MATCH(KOL_Database!$F$16,Lookup_Lists!$A$51:$A$92,0)),"")</f>
        <v>Fitness</v>
      </c>
      <c r="BC77" s="142">
        <f>IFERROR(INDEX(Lookup_Lists!$B$185:$O$198,MATCH(Matching_Engine!$BA$77,Lookup_Lists!$A$185:$A$198,0),MATCH(KOL_Database!$E$16,Lookup_Lists!$B$184:$O$184,0)),Lookup_Lists!$D$151)</f>
        <v>80</v>
      </c>
      <c r="BD77" s="142">
        <f>IFERROR(INDEX(Lookup_Lists!$B$185:$O$198,MATCH(Brand_Profile!$F$33,Lookup_Lists!$A$185:$A$198,0),MATCH(KOL_Database!$E$16,Lookup_Lists!$B$184:$O$184,0)),Lookup_Lists!$D$151)</f>
        <v>80</v>
      </c>
      <c r="BE77" s="89" t="str">
        <f>IFERROR(INDEX(Lookup_Lists!$B$51:$B$92,MATCH(Brand_Profile!$F$34,Lookup_Lists!$A$51:$A$92,0)),"")</f>
        <v>Food</v>
      </c>
      <c r="BF77" s="89" t="str">
        <f>KOL_Database!$AI$16&amp;", "&amp;KOL_Database!$AG$16&amp;", "&amp;KOL_Database!$F$16&amp;", "&amp;KOL_Database!$E$16</f>
        <v>Fitness, Health, Food, Fitness, Health, Food, Beauty, Parenting, Home Workout, Fitness</v>
      </c>
      <c r="BG77" s="89" t="str">
        <f>KOL_Database!$AI$16&amp;", "&amp;KOL_Database!$AG$16</f>
        <v>Fitness, Health, Food, Fitness, Health, Food, Beauty, Parenting</v>
      </c>
    </row>
    <row r="78" spans="1:59">
      <c r="A78" s="101" t="s">
        <v>119</v>
      </c>
      <c r="B78" s="89" t="str">
        <f>Brand_Profile!$F$9</f>
        <v>Rasa Nusantara</v>
      </c>
      <c r="C78" s="89" t="str">
        <f>KOL_Database!$A$17</f>
        <v>KOL-13</v>
      </c>
      <c r="D78" s="89" t="str">
        <f>KOL_Database!$B$17</f>
        <v>Kevin Halim</v>
      </c>
      <c r="E78" s="89" t="str">
        <f>KOL_Database!$C$17</f>
        <v>@kevinstyleid</v>
      </c>
      <c r="F78" s="89" t="str">
        <f>KOL_Database!$D$17</f>
        <v>Instagram</v>
      </c>
      <c r="G78" s="89" t="str">
        <f>KOL_Database!$E$17</f>
        <v>Fashion</v>
      </c>
      <c r="H78" s="89" t="str">
        <f>KOL_Database!$G$17</f>
        <v>Mid-tier</v>
      </c>
      <c r="I78" s="140">
        <f>KOL_Database!$J$17</f>
        <v>96000</v>
      </c>
      <c r="J78" s="141">
        <f>KOL_Database!$K$17</f>
        <v>3.4</v>
      </c>
      <c r="K78" s="142">
        <f>IFERROR(INDEX(Lookup_Lists!$B$170:$O$181,MATCH(Brand_Profile!$F$10,Lookup_Lists!$A$170:$A$181,0),MATCH(KOL_Database!$E$17,Lookup_Lists!$B$169:$O$169,0)),Lookup_Lists!$D$151)</f>
        <v>40</v>
      </c>
      <c r="L78" s="142">
        <f>IF(KOL_Database!$F$17="",Matching_Engine!$BC$78,IF(Brand_Profile!$F$12=KOL_Database!$F$17,100,IF(Matching_Engine!$BA$78=KOL_Database!$E$17,80,IF(Matching_Engine!$BC$78&gt;=80,60,IF(Matching_Engine!$BC$78&gt;=60,40,Lookup_Lists!$D$151)))))</f>
        <v>40</v>
      </c>
      <c r="M78" s="142">
        <f>ROUND((IF(Brand_Profile!$F$62=0,Lookup_Lists!$D$150,ROUND((IF(Brand_Profile!$F$57="",0,IF(ISNUMBER(SEARCH(Brand_Profile!$F$57,Matching_Engine!$BF$78)),1,0))+IF(Brand_Profile!$F$58="",0,IF(ISNUMBER(SEARCH(Brand_Profile!$F$58,Matching_Engine!$BF$78)),1,0))+IF(Brand_Profile!$F$59="",0,IF(ISNUMBER(SEARCH(Brand_Profile!$F$59,Matching_Engine!$BF$78)),1,0))+IF(Brand_Profile!$F$60="",0,IF(ISNUMBER(SEARCH(Brand_Profile!$F$60,Matching_Engine!$BF$78)),1,0))+IF(Brand_Profile!$F$61="",0,IF(ISNUMBER(SEARCH(Brand_Profile!$F$61,Matching_Engine!$BF$78)),1,0)))/Brand_Profile!$F$62*100,0))+IF(Brand_Profile!$F$74=0,Lookup_Lists!$D$150,ROUND((IF(Brand_Profile!$F$69="",0,IF(ISNUMBER(SEARCH(Brand_Profile!$F$69,Matching_Engine!$BF$78)),1,0))+IF(Brand_Profile!$F$70="",0,IF(ISNUMBER(SEARCH(Brand_Profile!$F$70,Matching_Engine!$BF$78)),1,0))+IF(Brand_Profile!$F$71="",0,IF(ISNUMBER(SEARCH(Brand_Profile!$F$71,Matching_Engine!$BF$78)),1,0))+IF(Brand_Profile!$F$72="",0,IF(ISNUMBER(SEARCH(Brand_Profile!$F$72,Matching_Engine!$BF$78)),1,0))+IF(Brand_Profile!$F$73="",0,IF(ISNUMBER(SEARCH(Brand_Profile!$F$73,Matching_Engine!$BF$78)),1,0)))/Brand_Profile!$F$74*100,0)))/2,0)</f>
        <v>40</v>
      </c>
      <c r="N78" s="142">
        <f>ROUND((Matching_Engine!$K$78*Lookup_Lists!$D$110+Matching_Engine!$L$78*Lookup_Lists!$D$111+Matching_Engine!$M$78*Lookup_Lists!$D$112)/(Lookup_Lists!$D$110+Lookup_Lists!$D$111+Lookup_Lists!$D$112),0)</f>
        <v>40</v>
      </c>
      <c r="O78" s="142">
        <f ca="1">IF(Brand_Profile!$F$16="",Lookup_Lists!$D$150,MIN(100,ROUND((IFERROR(INDEX(KOL_Database!$W$17:KOL_Database!$AA$17,1,MATCH(Brand_Profile!$F$16,Lookup_Lists!$F$6:$F$10,0)),0)+0.5*IFERROR(INDEX(KOL_Database!$W$17:KOL_Database!$AA$17,1,MATCH(Brand_Profile!$F$17,Lookup_Lists!$F$6:$F$10,0)),0))/Lookup_Lists!$D$142*100,0)))</f>
        <v>78</v>
      </c>
      <c r="P78" s="142">
        <f>IF(OR(Brand_Profile!$F$18="",Brand_Profile!$F$18="Any"),100,IF(Brand_Profile!$F$18="Female",MIN(100,ROUND(KOL_Database!$AB$17/Lookup_Lists!$D$143*100,0)),IF(Brand_Profile!$F$18="Male",MIN(100,ROUND(KOL_Database!$AC$17/Lookup_Lists!$D$143*100,0)),MAX(0,ROUND(100-ABS(KOL_Database!$AB$17-50)*2,0)))))</f>
        <v>66</v>
      </c>
      <c r="Q78" s="142">
        <f>ROUND((IF(Brand_Profile!$F$19="",100,IF(KOL_Database!$AD$17=Brand_Profile!$F$19,100,Lookup_Lists!$D$151))*Lookup_Lists!$D$118+IF(OR(Brand_Profile!$F$20="",Brand_Profile!$F$20="Nasional"),100,IF(KOL_Database!$AE$17="",Lookup_Lists!$D$150,IF(KOL_Database!$AE$17=Brand_Profile!$F$20,100,IF(KOL_Database!$AD$17=Brand_Profile!$F$19,40,Lookup_Lists!$D$151))))*Lookup_Lists!$D$119+IF(OR(Brand_Profile!$F$21="",Brand_Profile!$F$21="Nasional"),100,IF(KOL_Database!$AF$17="",Lookup_Lists!$D$150,IF(KOL_Database!$AF$17=Brand_Profile!$F$21,100,IF(KOL_Database!$AE$17=Brand_Profile!$F$20,60,Lookup_Lists!$D$151))))*Lookup_Lists!$D$120)/(Lookup_Lists!$D$118+Lookup_Lists!$D$119+Lookup_Lists!$D$120),0)</f>
        <v>100</v>
      </c>
      <c r="R78" s="142">
        <f>IF(Brand_Profile!$F$68=0,Lookup_Lists!$D$150,ROUND((IF(Brand_Profile!$F$63="",0,IF(ISNUMBER(SEARCH(Brand_Profile!$F$63,KOL_Database!$AG$17)),1,0))+IF(Brand_Profile!$F$64="",0,IF(ISNUMBER(SEARCH(Brand_Profile!$F$64,KOL_Database!$AG$17)),1,0))+IF(Brand_Profile!$F$65="",0,IF(ISNUMBER(SEARCH(Brand_Profile!$F$65,KOL_Database!$AG$17)),1,0))+IF(Brand_Profile!$F$66="",0,IF(ISNUMBER(SEARCH(Brand_Profile!$F$66,KOL_Database!$AG$17)),1,0))+IF(Brand_Profile!$F$67="",0,IF(ISNUMBER(SEARCH(Brand_Profile!$F$67,KOL_Database!$AG$17)),1,0)))/Brand_Profile!$F$68*100,0))</f>
        <v>20</v>
      </c>
      <c r="S78" s="142">
        <f ca="1">ROUND((Matching_Engine!$O$78*Brand_Profile!$F$96+Matching_Engine!$P$78*Brand_Profile!$F$97+Matching_Engine!$Q$78*Brand_Profile!$F$98+Matching_Engine!$R$78*Brand_Profile!$F$99)/MAX(1,Brand_Profile!$F$96+Brand_Profile!$F$97+Brand_Profile!$F$98+Brand_Profile!$F$99),0)</f>
        <v>67</v>
      </c>
      <c r="T78" s="142">
        <f>IF(Brand_Profile!$F$33="",Lookup_Lists!$D$150,Matching_Engine!$BD$78)</f>
        <v>60</v>
      </c>
      <c r="U78" s="142">
        <f>IF(Brand_Profile!$F$34="",Lookup_Lists!$D$150,IF(Brand_Profile!$F$34=KOL_Database!$F$17,100,IF(Matching_Engine!$BE$78=KOL_Database!$E$17,75,IF(Matching_Engine!$BD$78&gt;=80,Lookup_Lists!$D$150,IF(Matching_Engine!$BD$78&gt;=60,35,Lookup_Lists!$D$151)))))</f>
        <v>35</v>
      </c>
      <c r="V78" s="142">
        <f>IF(Brand_Profile!$F$86=0,Lookup_Lists!$D$150,ROUND((IF(Brand_Profile!$F$81="",0,IF(ISNUMBER(SEARCH(Brand_Profile!$F$81,Matching_Engine!$BG$78)),1,0))+IF(Brand_Profile!$F$82="",0,IF(ISNUMBER(SEARCH(Brand_Profile!$F$82,Matching_Engine!$BG$78)),1,0))+IF(Brand_Profile!$F$83="",0,IF(ISNUMBER(SEARCH(Brand_Profile!$F$83,Matching_Engine!$BG$78)),1,0))+IF(Brand_Profile!$F$84="",0,IF(ISNUMBER(SEARCH(Brand_Profile!$F$84,Matching_Engine!$BG$78)),1,0))+IF(Brand_Profile!$F$85="",0,IF(ISNUMBER(SEARCH(Brand_Profile!$F$85,Matching_Engine!$BG$78)),1,0)))/Brand_Profile!$F$86*100,0))</f>
        <v>20</v>
      </c>
      <c r="W78" s="142">
        <f>IF(Brand_Profile!$F$39="",Lookup_Lists!$D$150,IFERROR(INDEX(Lookup_Lists!$B$237:$K$246,MATCH(Brand_Profile!$F$39,Lookup_Lists!$A$237:$A$246,0),MATCH(KOL_Database!$AJ$17,Lookup_Lists!$B$236:$K$236,0)),45))</f>
        <v>45</v>
      </c>
      <c r="X78" s="142">
        <f>ROUND((Matching_Engine!$T$78*Lookup_Lists!$D$121+Matching_Engine!$U$78*Lookup_Lists!$D$122+Matching_Engine!$V$78*Lookup_Lists!$D$123+Matching_Engine!$W$78*Lookup_Lists!$D$124)/(Lookup_Lists!$D$121+Lookup_Lists!$D$122+Lookup_Lists!$D$123+Lookup_Lists!$D$124),0)</f>
        <v>40</v>
      </c>
      <c r="Y78" s="142">
        <f>MIN(100,MAX(IFERROR(INDEX(Lookup_Lists!$B$202:$M$211,MATCH(Brand_Profile!$F$25,Lookup_Lists!$A$202:$A$211,0),MATCH(KOL_Database!$AK$17,Lookup_Lists!$B$201:$M$201,0)),40),IF(KOL_Database!$AK$17=Brand_Profile!$F$41,95,0)))</f>
        <v>60</v>
      </c>
      <c r="Z78" s="142">
        <f>IFERROR(INDEX(Lookup_Lists!$B$215:$K$222,MATCH(Brand_Profile!$F$27,Lookup_Lists!$A$215:$A$222,0),MATCH(KOL_Database!$AJ$17,Lookup_Lists!$B$214:$K$214,0)),45)</f>
        <v>65</v>
      </c>
      <c r="AA78" s="142">
        <f>ROUND((IF(Brand_Profile!$F$80=0,Lookup_Lists!$D$150,ROUND((IF(Brand_Profile!$F$75="",0,IF(ISNUMBER(SEARCH(Brand_Profile!$F$75,KOL_Database!$AL$17)),1,0))+IF(Brand_Profile!$F$76="",0,IF(ISNUMBER(SEARCH(Brand_Profile!$F$76,KOL_Database!$AL$17)),1,0))+IF(Brand_Profile!$F$77="",0,IF(ISNUMBER(SEARCH(Brand_Profile!$F$77,KOL_Database!$AL$17)),1,0))+IF(Brand_Profile!$F$78="",0,IF(ISNUMBER(SEARCH(Brand_Profile!$F$78,KOL_Database!$AL$17)),1,0))+IF(Brand_Profile!$F$79="",0,IF(ISNUMBER(SEARCH(Brand_Profile!$F$79,KOL_Database!$AL$17)),1,0)))/Brand_Profile!$F$80*100,0))+IF(Brand_Profile!$F$92=0,Lookup_Lists!$D$150,ROUND((IF(Brand_Profile!$F$87="",0,IF(ISNUMBER(SEARCH(Brand_Profile!$F$87,KOL_Database!$AL$17)),1,0))+IF(Brand_Profile!$F$88="",0,IF(ISNUMBER(SEARCH(Brand_Profile!$F$88,KOL_Database!$AL$17)),1,0))+IF(Brand_Profile!$F$89="",0,IF(ISNUMBER(SEARCH(Brand_Profile!$F$89,KOL_Database!$AL$17)),1,0))+IF(Brand_Profile!$F$90="",0,IF(ISNUMBER(SEARCH(Brand_Profile!$F$90,KOL_Database!$AL$17)),1,0))+IF(Brand_Profile!$F$91="",0,IF(ISNUMBER(SEARCH(Brand_Profile!$F$91,KOL_Database!$AL$17)),1,0)))/Brand_Profile!$F$92*100,0)))/2,0)</f>
        <v>40</v>
      </c>
      <c r="AB78" s="142">
        <f>IFERROR(INDEX(Lookup_Lists!$B$226:$K$233,MATCH(Brand_Profile!$F$30,Lookup_Lists!$A$226:$A$233,0),MATCH(KOL_Database!$AJ$17,Lookup_Lists!$B$225:$K$225,0)),45)</f>
        <v>70</v>
      </c>
      <c r="AC78" s="142">
        <f>ROUND((Matching_Engine!$Y$78*Lookup_Lists!$D$125+Matching_Engine!$Z$78*Lookup_Lists!$D$126+Matching_Engine!$AA$78*Lookup_Lists!$D$127+Matching_Engine!$AB$78*Lookup_Lists!$D$128)/(Lookup_Lists!$D$125+Lookup_Lists!$D$126+Lookup_Lists!$D$127+Lookup_Lists!$D$128),0)</f>
        <v>58</v>
      </c>
      <c r="AD78" s="142">
        <f>IF(KOL_Database!$K$17="",0,MIN(100,ROUND(KOL_Database!$K$17/Lookup_Lists!$D$141*100,0)))</f>
        <v>57</v>
      </c>
      <c r="AE78" s="142">
        <f>IF(KOL_Database!$R$17="",0,MIN(100,MAX(0,KOL_Database!$R$17)))</f>
        <v>86</v>
      </c>
      <c r="AF78" s="142">
        <f>IF(KOL_Database!$P$17="",0,MIN(100,MAX(0,KOL_Database!$P$17)))</f>
        <v>64</v>
      </c>
      <c r="AG78" s="142">
        <f>IF(KOL_Database!$Q$17="",0,MIN(100,MAX(0,KOL_Database!$Q$17)))</f>
        <v>64</v>
      </c>
      <c r="AH78" s="142">
        <f>IF(OR(KOL_Database!$J$17="",KOL_Database!$J$17=0,KOL_Database!$L$17=""),0,MIN(100,ROUND(KOL_Database!$L$17/KOL_Database!$J$17/Lookup_Lists!$D$144*100,0)))</f>
        <v>70</v>
      </c>
      <c r="AI78" s="142">
        <f>IF(KOL_Database!$N$17="",0,MIN(100,MAX(0,ROUND((KOL_Database!$N$17+2)/(Lookup_Lists!$D$145+2)*100,0))))</f>
        <v>75</v>
      </c>
      <c r="AJ78" s="142">
        <f>ROUND((Matching_Engine!$AD$78*Lookup_Lists!$D$129+Matching_Engine!$AE$78*Lookup_Lists!$D$130+Matching_Engine!$AF$78*Lookup_Lists!$D$131+Matching_Engine!$AG$78*Lookup_Lists!$D$132+Matching_Engine!$AH$78*Lookup_Lists!$D$133+Matching_Engine!$AI$78*Lookup_Lists!$D$134)/(Lookup_Lists!$D$129+Lookup_Lists!$D$130+Lookup_Lists!$D$131+Lookup_Lists!$D$132+Lookup_Lists!$D$133+Lookup_Lists!$D$134),0)</f>
        <v>67</v>
      </c>
      <c r="AK78" s="142">
        <f>IF(KOL_Database!$AT$17="",0,MIN(100,MAX(0,KOL_Database!$AT$17)))</f>
        <v>89</v>
      </c>
      <c r="AL78" s="142">
        <f>IF(KOL_Database!$AU$17="",0,KOL_Database!$AU$17)</f>
        <v>54</v>
      </c>
      <c r="AM78" s="89" t="str">
        <f>IF(KOL_Database!$AV$17="","None",KOL_Database!$AV$17)</f>
        <v>None</v>
      </c>
      <c r="AN78" s="143">
        <f>IF(Matching_Engine!$AM$78="High",Lookup_Lists!$D$137,IF(Matching_Engine!$AM$78="Medium",Lookup_Lists!$D$138,IF(Matching_Engine!$AM$78="Low",Lookup_Lists!$D$139,Lookup_Lists!$D$140)))</f>
        <v>1</v>
      </c>
      <c r="AO78" s="142">
        <f>ROUND(MIN(100,MAX(0,(Matching_Engine!$AK$78*Lookup_Lists!$D$135+(100-Matching_Engine!$AL$78)*Lookup_Lists!$D$136)/(Lookup_Lists!$D$135+Lookup_Lists!$D$136)*Matching_Engine!$AN$78)),0)</f>
        <v>80</v>
      </c>
      <c r="AP78" s="13">
        <f ca="1">ROUND((Matching_Engine!$N$78*Lookup_Lists!$D$104+Matching_Engine!$S$78*Lookup_Lists!$D$105+Matching_Engine!$X$78*Lookup_Lists!$D$106+Matching_Engine!$AC$78*Lookup_Lists!$D$107+Matching_Engine!$AJ$78*Lookup_Lists!$D$108+Matching_Engine!$AO$78*Lookup_Lists!$D$109)/MAX(1,(Lookup_Lists!$D$104+Lookup_Lists!$D$105+Lookup_Lists!$D$106+Lookup_Lists!$D$107+Lookup_Lists!$D$108+Lookup_Lists!$D$109)),0)</f>
        <v>57</v>
      </c>
      <c r="AQ78" s="89" t="str">
        <f ca="1">IF(Matching_Engine!$AP$78&gt;=Lookup_Lists!$D$152,"Excellent Match",IF(Matching_Engine!$AP$78&gt;=Lookup_Lists!$D$153,"Strong Match",IF(Matching_Engine!$AP$78&gt;=Lookup_Lists!$D$154,"Good Match",IF(Matching_Engine!$AP$78&gt;=Lookup_Lists!$D$155,"Moderate Match","Low Match"))))</f>
        <v>Low Match</v>
      </c>
      <c r="AR78" s="142">
        <f>KOL_Database!$BE$17</f>
        <v>100</v>
      </c>
      <c r="AS78" s="89" t="str">
        <f>IF(Matching_Engine!$AR$78&gt;=Lookup_Lists!$D$159,"High",IF(Matching_Engine!$AR$78&gt;=Lookup_Lists!$D$160,"Medium","Limited Data"))</f>
        <v>High</v>
      </c>
      <c r="AT78" s="142">
        <f>ROUND((Matching_Engine!$N$78+Matching_Engine!$X$78+Matching_Engine!$AC$78)/3,0)</f>
        <v>46</v>
      </c>
      <c r="AU78" s="142">
        <f>ROUND(((100-Matching_Engine!$AL$78)*Lookup_Lists!$D$162+IF(KOL_Database!$BD$17="",Lookup_Lists!$D$150,KOL_Database!$BD$17)*Lookup_Lists!$D$163+Matching_Engine!$AI$78*Lookup_Lists!$D$164+Matching_Engine!$AD$78*Lookup_Lists!$D$165)/(Lookup_Lists!$D$162+Lookup_Lists!$D$163+Lookup_Lists!$D$164+Lookup_Lists!$D$165),0)</f>
        <v>51</v>
      </c>
      <c r="AV78" s="89" t="str">
        <f ca="1">IF(Matching_Engine!$AW$78="","PASS","EXCLUDED")</f>
        <v>EXCLUDED</v>
      </c>
      <c r="AW78" s="89" t="str">
        <f ca="1">IF(ISERROR(SEARCH(KOL_Database!$D$17,Brand_Profile!$F$32)),"Platform not in Preferred Platform",IF(AND(Brand_Profile!$F$36&gt;0,KOL_Database!$J$17&lt;Brand_Profile!$F$36),"Followers below Preferred Follower Range",IF(AND(Brand_Profile!$F$37&gt;0,KOL_Database!$J$17&gt;Brand_Profile!$F$37),"Followers above Preferred Follower Range",IF(AND(Brand_Profile!$F$38&gt;0,IF(KOL_Database!$K$17="",0,KOL_Database!$K$17)&lt;Brand_Profile!$F$38),"Engagement Rate below Minimum Engagement Rate",IF(ISERROR(SEARCH(KOL_Database!$G$17,Brand_Profile!$F$35)),"Tier not in Preferred Tier",IF(AND(Brand_Profile!$F$43&gt;0,Matching_Engine!$AE$78&lt;Brand_Profile!$F$43),"Audience Quality below Minimum Audience Quality",IF(AND(Brand_Profile!$F$44&gt;0,Matching_Engine!$AK$78&lt;Brand_Profile!$F$44),"Brand Safety below Minimum Brand Safety",IF(AND(Brand_Profile!$F$47="Yes",KOL_Database!$AD$17&lt;&gt;Brand_Profile!$F$19),"Audience Country does not match Target Country",IF(AND(Brand_Profile!$F$46="Yes",KOL_Database!$E$17&lt;&gt;Brand_Profile!$F$33),"Category is not the Preferred Category",IF(AND(Brand_Profile!$F$48&gt;0,Matching_Engine!$AL$78&gt;Brand_Profile!$F$48),"Competitor Saturation above Max Competitor Saturation",IF(AND(Brand_Profile!$F$50="Yes",KOL_Database!$AW$17="Yes"),"Already Selected",IF(AND(Brand_Profile!$F$51="Yes",KOL_Database!$AX$17="Yes"),"Already in Cart",IF(AND(Brand_Profile!$F$52="Yes",KOL_Database!$AY$17="Yes"),"Existing Partner",IF(AND(Brand_Profile!$F$53="Yes",KOL_Database!$AZ$17="Yes"),"Excluded Creator",IF(AND(Brand_Profile!$F$49&gt;0,Matching_Engine!$AP$78&lt;Brand_Profile!$F$49),"Brand Match below Minimum Brand Match","")))))))))))))))</f>
        <v>Engagement Rate below Minimum Engagement Rate</v>
      </c>
      <c r="AX78" s="89" t="str">
        <f ca="1">IF(Matching_Engine!$AV$78="EXCLUDED","Excluded",IF(Matching_Engine!$AP$78&gt;=Lookup_Lists!$D$156,"Highly Recommended",IF(Matching_Engine!$AP$78&gt;=Lookup_Lists!$D$157,"Recommended",IF(Matching_Engine!$AP$78&gt;=Lookup_Lists!$D$158,"Consider","Low Priority"))))</f>
        <v>Excluded</v>
      </c>
      <c r="AY78" s="142" t="str">
        <f ca="1">IF(Matching_Engine!$AV$78="PASS",Matching_Engine!$AP$78,"")</f>
        <v/>
      </c>
      <c r="AZ78" s="89" t="str">
        <f>Matching_Engine!$A$78&amp;"|"&amp;Matching_Engine!$C$78</f>
        <v>BRAND-C|KOL-13</v>
      </c>
      <c r="BA78" s="89" t="str">
        <f>IFERROR(INDEX(Lookup_Lists!$B$51:$B$92,MATCH(Brand_Profile!$F$12,Lookup_Lists!$A$51:$A$92,0)),"")</f>
        <v>Food</v>
      </c>
      <c r="BB78" s="89" t="str">
        <f>IFERROR(INDEX(Lookup_Lists!$B$51:$B$92,MATCH(KOL_Database!$F$17,Lookup_Lists!$A$51:$A$92,0)),"")</f>
        <v>Fashion</v>
      </c>
      <c r="BC78" s="142">
        <f>IFERROR(INDEX(Lookup_Lists!$B$185:$O$198,MATCH(Matching_Engine!$BA$78,Lookup_Lists!$A$185:$A$198,0),MATCH(KOL_Database!$E$17,Lookup_Lists!$B$184:$O$184,0)),Lookup_Lists!$D$151)</f>
        <v>60</v>
      </c>
      <c r="BD78" s="142">
        <f>IFERROR(INDEX(Lookup_Lists!$B$185:$O$198,MATCH(Brand_Profile!$F$33,Lookup_Lists!$A$185:$A$198,0),MATCH(KOL_Database!$E$17,Lookup_Lists!$B$184:$O$184,0)),Lookup_Lists!$D$151)</f>
        <v>60</v>
      </c>
      <c r="BE78" s="89" t="str">
        <f>IFERROR(INDEX(Lookup_Lists!$B$51:$B$92,MATCH(Brand_Profile!$F$34,Lookup_Lists!$A$51:$A$92,0)),"")</f>
        <v>Food</v>
      </c>
      <c r="BF78" s="89" t="str">
        <f>KOL_Database!$AI$17&amp;", "&amp;KOL_Database!$AG$17&amp;", "&amp;KOL_Database!$F$17&amp;", "&amp;KOL_Database!$E$17</f>
        <v>Fashion, Shopping, Music, Fashion, Shopping, Music, Entertainment, Beauty, Streetwear, Fashion</v>
      </c>
      <c r="BG78" s="89" t="str">
        <f>KOL_Database!$AI$17&amp;", "&amp;KOL_Database!$AG$17</f>
        <v>Fashion, Shopping, Music, Fashion, Shopping, Music, Entertainment, Beauty</v>
      </c>
    </row>
    <row r="79" spans="1:59">
      <c r="A79" s="101" t="s">
        <v>119</v>
      </c>
      <c r="B79" s="89" t="str">
        <f>Brand_Profile!$F$9</f>
        <v>Rasa Nusantara</v>
      </c>
      <c r="C79" s="89" t="str">
        <f>KOL_Database!$A$18</f>
        <v>KOL-14</v>
      </c>
      <c r="D79" s="89" t="str">
        <f>KOL_Database!$B$18</f>
        <v>Zahra Amelia</v>
      </c>
      <c r="E79" s="89" t="str">
        <f>KOL_Database!$C$18</f>
        <v>@zahrahijabstyle</v>
      </c>
      <c r="F79" s="89" t="str">
        <f>KOL_Database!$D$18</f>
        <v>Instagram</v>
      </c>
      <c r="G79" s="89" t="str">
        <f>KOL_Database!$E$18</f>
        <v>Fashion</v>
      </c>
      <c r="H79" s="89" t="str">
        <f>KOL_Database!$G$18</f>
        <v>Macro</v>
      </c>
      <c r="I79" s="140">
        <f>KOL_Database!$J$18</f>
        <v>268000</v>
      </c>
      <c r="J79" s="141">
        <f>KOL_Database!$K$18</f>
        <v>4.7</v>
      </c>
      <c r="K79" s="142">
        <f>IFERROR(INDEX(Lookup_Lists!$B$170:$O$181,MATCH(Brand_Profile!$F$10,Lookup_Lists!$A$170:$A$181,0),MATCH(KOL_Database!$E$18,Lookup_Lists!$B$169:$O$169,0)),Lookup_Lists!$D$151)</f>
        <v>40</v>
      </c>
      <c r="L79" s="142">
        <f>IF(KOL_Database!$F$18="",Matching_Engine!$BC$79,IF(Brand_Profile!$F$12=KOL_Database!$F$18,100,IF(Matching_Engine!$BA$79=KOL_Database!$E$18,80,IF(Matching_Engine!$BC$79&gt;=80,60,IF(Matching_Engine!$BC$79&gt;=60,40,Lookup_Lists!$D$151)))))</f>
        <v>40</v>
      </c>
      <c r="M79" s="142">
        <f>ROUND((IF(Brand_Profile!$F$62=0,Lookup_Lists!$D$150,ROUND((IF(Brand_Profile!$F$57="",0,IF(ISNUMBER(SEARCH(Brand_Profile!$F$57,Matching_Engine!$BF$79)),1,0))+IF(Brand_Profile!$F$58="",0,IF(ISNUMBER(SEARCH(Brand_Profile!$F$58,Matching_Engine!$BF$79)),1,0))+IF(Brand_Profile!$F$59="",0,IF(ISNUMBER(SEARCH(Brand_Profile!$F$59,Matching_Engine!$BF$79)),1,0))+IF(Brand_Profile!$F$60="",0,IF(ISNUMBER(SEARCH(Brand_Profile!$F$60,Matching_Engine!$BF$79)),1,0))+IF(Brand_Profile!$F$61="",0,IF(ISNUMBER(SEARCH(Brand_Profile!$F$61,Matching_Engine!$BF$79)),1,0)))/Brand_Profile!$F$62*100,0))+IF(Brand_Profile!$F$74=0,Lookup_Lists!$D$150,ROUND((IF(Brand_Profile!$F$69="",0,IF(ISNUMBER(SEARCH(Brand_Profile!$F$69,Matching_Engine!$BF$79)),1,0))+IF(Brand_Profile!$F$70="",0,IF(ISNUMBER(SEARCH(Brand_Profile!$F$70,Matching_Engine!$BF$79)),1,0))+IF(Brand_Profile!$F$71="",0,IF(ISNUMBER(SEARCH(Brand_Profile!$F$71,Matching_Engine!$BF$79)),1,0))+IF(Brand_Profile!$F$72="",0,IF(ISNUMBER(SEARCH(Brand_Profile!$F$72,Matching_Engine!$BF$79)),1,0))+IF(Brand_Profile!$F$73="",0,IF(ISNUMBER(SEARCH(Brand_Profile!$F$73,Matching_Engine!$BF$79)),1,0)))/Brand_Profile!$F$74*100,0)))/2,0)</f>
        <v>20</v>
      </c>
      <c r="N79" s="142">
        <f>ROUND((Matching_Engine!$K$79*Lookup_Lists!$D$110+Matching_Engine!$L$79*Lookup_Lists!$D$111+Matching_Engine!$M$79*Lookup_Lists!$D$112)/(Lookup_Lists!$D$110+Lookup_Lists!$D$111+Lookup_Lists!$D$112),0)</f>
        <v>34</v>
      </c>
      <c r="O79" s="142">
        <f ca="1">IF(Brand_Profile!$F$16="",Lookup_Lists!$D$150,MIN(100,ROUND((IFERROR(INDEX(KOL_Database!$W$18:KOL_Database!$AA$18,1,MATCH(Brand_Profile!$F$16,Lookup_Lists!$F$6:$F$10,0)),0)+0.5*IFERROR(INDEX(KOL_Database!$W$18:KOL_Database!$AA$18,1,MATCH(Brand_Profile!$F$17,Lookup_Lists!$F$6:$F$10,0)),0))/Lookup_Lists!$D$142*100,0)))</f>
        <v>88</v>
      </c>
      <c r="P79" s="142">
        <f>IF(OR(Brand_Profile!$F$18="",Brand_Profile!$F$18="Any"),100,IF(Brand_Profile!$F$18="Female",MIN(100,ROUND(KOL_Database!$AB$18/Lookup_Lists!$D$143*100,0)),IF(Brand_Profile!$F$18="Male",MIN(100,ROUND(KOL_Database!$AC$18/Lookup_Lists!$D$143*100,0)),MAX(0,ROUND(100-ABS(KOL_Database!$AB$18-50)*2,0)))))</f>
        <v>48</v>
      </c>
      <c r="Q79" s="142">
        <f>ROUND((IF(Brand_Profile!$F$19="",100,IF(KOL_Database!$AD$18=Brand_Profile!$F$19,100,Lookup_Lists!$D$151))*Lookup_Lists!$D$118+IF(OR(Brand_Profile!$F$20="",Brand_Profile!$F$20="Nasional"),100,IF(KOL_Database!$AE$18="",Lookup_Lists!$D$150,IF(KOL_Database!$AE$18=Brand_Profile!$F$20,100,IF(KOL_Database!$AD$18=Brand_Profile!$F$19,40,Lookup_Lists!$D$151))))*Lookup_Lists!$D$119+IF(OR(Brand_Profile!$F$21="",Brand_Profile!$F$21="Nasional"),100,IF(KOL_Database!$AF$18="",Lookup_Lists!$D$150,IF(KOL_Database!$AF$18=Brand_Profile!$F$21,100,IF(KOL_Database!$AE$18=Brand_Profile!$F$20,60,Lookup_Lists!$D$151))))*Lookup_Lists!$D$120)/(Lookup_Lists!$D$118+Lookup_Lists!$D$119+Lookup_Lists!$D$120),0)</f>
        <v>100</v>
      </c>
      <c r="R79" s="142">
        <f>IF(Brand_Profile!$F$68=0,Lookup_Lists!$D$150,ROUND((IF(Brand_Profile!$F$63="",0,IF(ISNUMBER(SEARCH(Brand_Profile!$F$63,KOL_Database!$AG$18)),1,0))+IF(Brand_Profile!$F$64="",0,IF(ISNUMBER(SEARCH(Brand_Profile!$F$64,KOL_Database!$AG$18)),1,0))+IF(Brand_Profile!$F$65="",0,IF(ISNUMBER(SEARCH(Brand_Profile!$F$65,KOL_Database!$AG$18)),1,0))+IF(Brand_Profile!$F$66="",0,IF(ISNUMBER(SEARCH(Brand_Profile!$F$66,KOL_Database!$AG$18)),1,0))+IF(Brand_Profile!$F$67="",0,IF(ISNUMBER(SEARCH(Brand_Profile!$F$67,KOL_Database!$AG$18)),1,0)))/Brand_Profile!$F$68*100,0))</f>
        <v>20</v>
      </c>
      <c r="S79" s="142">
        <f ca="1">ROUND((Matching_Engine!$O$79*Brand_Profile!$F$96+Matching_Engine!$P$79*Brand_Profile!$F$97+Matching_Engine!$Q$79*Brand_Profile!$F$98+Matching_Engine!$R$79*Brand_Profile!$F$99)/MAX(1,Brand_Profile!$F$96+Brand_Profile!$F$97+Brand_Profile!$F$98+Brand_Profile!$F$99),0)</f>
        <v>69</v>
      </c>
      <c r="T79" s="142">
        <f>IF(Brand_Profile!$F$33="",Lookup_Lists!$D$150,Matching_Engine!$BD$79)</f>
        <v>60</v>
      </c>
      <c r="U79" s="142">
        <f>IF(Brand_Profile!$F$34="",Lookup_Lists!$D$150,IF(Brand_Profile!$F$34=KOL_Database!$F$18,100,IF(Matching_Engine!$BE$79=KOL_Database!$E$18,75,IF(Matching_Engine!$BD$79&gt;=80,Lookup_Lists!$D$150,IF(Matching_Engine!$BD$79&gt;=60,35,Lookup_Lists!$D$151)))))</f>
        <v>35</v>
      </c>
      <c r="V79" s="142">
        <f>IF(Brand_Profile!$F$86=0,Lookup_Lists!$D$150,ROUND((IF(Brand_Profile!$F$81="",0,IF(ISNUMBER(SEARCH(Brand_Profile!$F$81,Matching_Engine!$BG$79)),1,0))+IF(Brand_Profile!$F$82="",0,IF(ISNUMBER(SEARCH(Brand_Profile!$F$82,Matching_Engine!$BG$79)),1,0))+IF(Brand_Profile!$F$83="",0,IF(ISNUMBER(SEARCH(Brand_Profile!$F$83,Matching_Engine!$BG$79)),1,0))+IF(Brand_Profile!$F$84="",0,IF(ISNUMBER(SEARCH(Brand_Profile!$F$84,Matching_Engine!$BG$79)),1,0))+IF(Brand_Profile!$F$85="",0,IF(ISNUMBER(SEARCH(Brand_Profile!$F$85,Matching_Engine!$BG$79)),1,0)))/Brand_Profile!$F$86*100,0))</f>
        <v>20</v>
      </c>
      <c r="W79" s="142">
        <f>IF(Brand_Profile!$F$39="",Lookup_Lists!$D$150,IFERROR(INDEX(Lookup_Lists!$B$237:$K$246,MATCH(Brand_Profile!$F$39,Lookup_Lists!$A$237:$A$246,0),MATCH(KOL_Database!$AJ$18,Lookup_Lists!$B$236:$K$236,0)),45))</f>
        <v>45</v>
      </c>
      <c r="X79" s="142">
        <f>ROUND((Matching_Engine!$T$79*Lookup_Lists!$D$121+Matching_Engine!$U$79*Lookup_Lists!$D$122+Matching_Engine!$V$79*Lookup_Lists!$D$123+Matching_Engine!$W$79*Lookup_Lists!$D$124)/(Lookup_Lists!$D$121+Lookup_Lists!$D$122+Lookup_Lists!$D$123+Lookup_Lists!$D$124),0)</f>
        <v>40</v>
      </c>
      <c r="Y79" s="142">
        <f>MIN(100,MAX(IFERROR(INDEX(Lookup_Lists!$B$202:$M$211,MATCH(Brand_Profile!$F$25,Lookup_Lists!$A$202:$A$211,0),MATCH(KOL_Database!$AK$18,Lookup_Lists!$B$201:$M$201,0)),40),IF(KOL_Database!$AK$18=Brand_Profile!$F$41,95,0)))</f>
        <v>35</v>
      </c>
      <c r="Z79" s="142">
        <f>IFERROR(INDEX(Lookup_Lists!$B$215:$K$222,MATCH(Brand_Profile!$F$27,Lookup_Lists!$A$215:$A$222,0),MATCH(KOL_Database!$AJ$18,Lookup_Lists!$B$214:$K$214,0)),45)</f>
        <v>65</v>
      </c>
      <c r="AA79" s="142">
        <f>ROUND((IF(Brand_Profile!$F$80=0,Lookup_Lists!$D$150,ROUND((IF(Brand_Profile!$F$75="",0,IF(ISNUMBER(SEARCH(Brand_Profile!$F$75,KOL_Database!$AL$18)),1,0))+IF(Brand_Profile!$F$76="",0,IF(ISNUMBER(SEARCH(Brand_Profile!$F$76,KOL_Database!$AL$18)),1,0))+IF(Brand_Profile!$F$77="",0,IF(ISNUMBER(SEARCH(Brand_Profile!$F$77,KOL_Database!$AL$18)),1,0))+IF(Brand_Profile!$F$78="",0,IF(ISNUMBER(SEARCH(Brand_Profile!$F$78,KOL_Database!$AL$18)),1,0))+IF(Brand_Profile!$F$79="",0,IF(ISNUMBER(SEARCH(Brand_Profile!$F$79,KOL_Database!$AL$18)),1,0)))/Brand_Profile!$F$80*100,0))+IF(Brand_Profile!$F$92=0,Lookup_Lists!$D$150,ROUND((IF(Brand_Profile!$F$87="",0,IF(ISNUMBER(SEARCH(Brand_Profile!$F$87,KOL_Database!$AL$18)),1,0))+IF(Brand_Profile!$F$88="",0,IF(ISNUMBER(SEARCH(Brand_Profile!$F$88,KOL_Database!$AL$18)),1,0))+IF(Brand_Profile!$F$89="",0,IF(ISNUMBER(SEARCH(Brand_Profile!$F$89,KOL_Database!$AL$18)),1,0))+IF(Brand_Profile!$F$90="",0,IF(ISNUMBER(SEARCH(Brand_Profile!$F$90,KOL_Database!$AL$18)),1,0))+IF(Brand_Profile!$F$91="",0,IF(ISNUMBER(SEARCH(Brand_Profile!$F$91,KOL_Database!$AL$18)),1,0)))/Brand_Profile!$F$92*100,0)))/2,0)</f>
        <v>20</v>
      </c>
      <c r="AB79" s="142">
        <f>IFERROR(INDEX(Lookup_Lists!$B$226:$K$233,MATCH(Brand_Profile!$F$30,Lookup_Lists!$A$226:$A$233,0),MATCH(KOL_Database!$AJ$18,Lookup_Lists!$B$225:$K$225,0)),45)</f>
        <v>70</v>
      </c>
      <c r="AC79" s="142">
        <f>ROUND((Matching_Engine!$Y$79*Lookup_Lists!$D$125+Matching_Engine!$Z$79*Lookup_Lists!$D$126+Matching_Engine!$AA$79*Lookup_Lists!$D$127+Matching_Engine!$AB$79*Lookup_Lists!$D$128)/(Lookup_Lists!$D$125+Lookup_Lists!$D$126+Lookup_Lists!$D$127+Lookup_Lists!$D$128),0)</f>
        <v>44</v>
      </c>
      <c r="AD79" s="142">
        <f>IF(KOL_Database!$K$18="",0,MIN(100,ROUND(KOL_Database!$K$18/Lookup_Lists!$D$141*100,0)))</f>
        <v>78</v>
      </c>
      <c r="AE79" s="142">
        <f>IF(KOL_Database!$R$18="",0,MIN(100,MAX(0,KOL_Database!$R$18)))</f>
        <v>62</v>
      </c>
      <c r="AF79" s="142">
        <f>IF(KOL_Database!$P$18="",0,MIN(100,MAX(0,KOL_Database!$P$18)))</f>
        <v>93</v>
      </c>
      <c r="AG79" s="142">
        <f>IF(KOL_Database!$Q$18="",0,MIN(100,MAX(0,KOL_Database!$Q$18)))</f>
        <v>92</v>
      </c>
      <c r="AH79" s="142">
        <f>IF(OR(KOL_Database!$J$18="",KOL_Database!$J$18=0,KOL_Database!$L$18=""),0,MIN(100,ROUND(KOL_Database!$L$18/KOL_Database!$J$18/Lookup_Lists!$D$144*100,0)))</f>
        <v>45</v>
      </c>
      <c r="AI79" s="142">
        <f>IF(KOL_Database!$N$18="",0,MIN(100,MAX(0,ROUND((KOL_Database!$N$18+2)/(Lookup_Lists!$D$145+2)*100,0))))</f>
        <v>67</v>
      </c>
      <c r="AJ79" s="142">
        <f>ROUND((Matching_Engine!$AD$79*Lookup_Lists!$D$129+Matching_Engine!$AE$79*Lookup_Lists!$D$130+Matching_Engine!$AF$79*Lookup_Lists!$D$131+Matching_Engine!$AG$79*Lookup_Lists!$D$132+Matching_Engine!$AH$79*Lookup_Lists!$D$133+Matching_Engine!$AI$79*Lookup_Lists!$D$134)/(Lookup_Lists!$D$129+Lookup_Lists!$D$130+Lookup_Lists!$D$131+Lookup_Lists!$D$132+Lookup_Lists!$D$133+Lookup_Lists!$D$134),0)</f>
        <v>75</v>
      </c>
      <c r="AK79" s="142">
        <f>IF(KOL_Database!$AT$18="",0,MIN(100,MAX(0,KOL_Database!$AT$18)))</f>
        <v>72</v>
      </c>
      <c r="AL79" s="142">
        <f>IF(KOL_Database!$AU$18="",0,KOL_Database!$AU$18)</f>
        <v>15</v>
      </c>
      <c r="AM79" s="89" t="str">
        <f>IF(KOL_Database!$AV$18="","None",KOL_Database!$AV$18)</f>
        <v>Low</v>
      </c>
      <c r="AN79" s="143">
        <f>IF(Matching_Engine!$AM$79="High",Lookup_Lists!$D$137,IF(Matching_Engine!$AM$79="Medium",Lookup_Lists!$D$138,IF(Matching_Engine!$AM$79="Low",Lookup_Lists!$D$139,Lookup_Lists!$D$140)))</f>
        <v>0.95</v>
      </c>
      <c r="AO79" s="142">
        <f>ROUND(MIN(100,MAX(0,(Matching_Engine!$AK$79*Lookup_Lists!$D$135+(100-Matching_Engine!$AL$79)*Lookup_Lists!$D$136)/(Lookup_Lists!$D$135+Lookup_Lists!$D$136)*Matching_Engine!$AN$79)),0)</f>
        <v>71</v>
      </c>
      <c r="AP79" s="13">
        <f ca="1">ROUND((Matching_Engine!$N$79*Lookup_Lists!$D$104+Matching_Engine!$S$79*Lookup_Lists!$D$105+Matching_Engine!$X$79*Lookup_Lists!$D$106+Matching_Engine!$AC$79*Lookup_Lists!$D$107+Matching_Engine!$AJ$79*Lookup_Lists!$D$108+Matching_Engine!$AO$79*Lookup_Lists!$D$109)/MAX(1,(Lookup_Lists!$D$104+Lookup_Lists!$D$105+Lookup_Lists!$D$106+Lookup_Lists!$D$107+Lookup_Lists!$D$108+Lookup_Lists!$D$109)),0)</f>
        <v>55</v>
      </c>
      <c r="AQ79" s="89" t="str">
        <f ca="1">IF(Matching_Engine!$AP$79&gt;=Lookup_Lists!$D$152,"Excellent Match",IF(Matching_Engine!$AP$79&gt;=Lookup_Lists!$D$153,"Strong Match",IF(Matching_Engine!$AP$79&gt;=Lookup_Lists!$D$154,"Good Match",IF(Matching_Engine!$AP$79&gt;=Lookup_Lists!$D$155,"Moderate Match","Low Match"))))</f>
        <v>Low Match</v>
      </c>
      <c r="AR79" s="142">
        <f>KOL_Database!$BE$18</f>
        <v>100</v>
      </c>
      <c r="AS79" s="89" t="str">
        <f>IF(Matching_Engine!$AR$79&gt;=Lookup_Lists!$D$159,"High",IF(Matching_Engine!$AR$79&gt;=Lookup_Lists!$D$160,"Medium","Limited Data"))</f>
        <v>High</v>
      </c>
      <c r="AT79" s="142">
        <f>ROUND((Matching_Engine!$N$79+Matching_Engine!$X$79+Matching_Engine!$AC$79)/3,0)</f>
        <v>39</v>
      </c>
      <c r="AU79" s="142">
        <f>ROUND(((100-Matching_Engine!$AL$79)*Lookup_Lists!$D$162+IF(KOL_Database!$BD$18="",Lookup_Lists!$D$150,KOL_Database!$BD$18)*Lookup_Lists!$D$163+Matching_Engine!$AI$79*Lookup_Lists!$D$164+Matching_Engine!$AD$79*Lookup_Lists!$D$165)/(Lookup_Lists!$D$162+Lookup_Lists!$D$163+Lookup_Lists!$D$164+Lookup_Lists!$D$165),0)</f>
        <v>70</v>
      </c>
      <c r="AV79" s="89" t="str">
        <f ca="1">IF(Matching_Engine!$AW$79="","PASS","EXCLUDED")</f>
        <v>EXCLUDED</v>
      </c>
      <c r="AW79" s="89" t="str">
        <f ca="1">IF(ISERROR(SEARCH(KOL_Database!$D$18,Brand_Profile!$F$32)),"Platform not in Preferred Platform",IF(AND(Brand_Profile!$F$36&gt;0,KOL_Database!$J$18&lt;Brand_Profile!$F$36),"Followers below Preferred Follower Range",IF(AND(Brand_Profile!$F$37&gt;0,KOL_Database!$J$18&gt;Brand_Profile!$F$37),"Followers above Preferred Follower Range",IF(AND(Brand_Profile!$F$38&gt;0,IF(KOL_Database!$K$18="",0,KOL_Database!$K$18)&lt;Brand_Profile!$F$38),"Engagement Rate below Minimum Engagement Rate",IF(ISERROR(SEARCH(KOL_Database!$G$18,Brand_Profile!$F$35)),"Tier not in Preferred Tier",IF(AND(Brand_Profile!$F$43&gt;0,Matching_Engine!$AE$79&lt;Brand_Profile!$F$43),"Audience Quality below Minimum Audience Quality",IF(AND(Brand_Profile!$F$44&gt;0,Matching_Engine!$AK$79&lt;Brand_Profile!$F$44),"Brand Safety below Minimum Brand Safety",IF(AND(Brand_Profile!$F$47="Yes",KOL_Database!$AD$18&lt;&gt;Brand_Profile!$F$19),"Audience Country does not match Target Country",IF(AND(Brand_Profile!$F$46="Yes",KOL_Database!$E$18&lt;&gt;Brand_Profile!$F$33),"Category is not the Preferred Category",IF(AND(Brand_Profile!$F$48&gt;0,Matching_Engine!$AL$79&gt;Brand_Profile!$F$48),"Competitor Saturation above Max Competitor Saturation",IF(AND(Brand_Profile!$F$50="Yes",KOL_Database!$AW$18="Yes"),"Already Selected",IF(AND(Brand_Profile!$F$51="Yes",KOL_Database!$AX$18="Yes"),"Already in Cart",IF(AND(Brand_Profile!$F$52="Yes",KOL_Database!$AY$18="Yes"),"Existing Partner",IF(AND(Brand_Profile!$F$53="Yes",KOL_Database!$AZ$18="Yes"),"Excluded Creator",IF(AND(Brand_Profile!$F$49&gt;0,Matching_Engine!$AP$79&lt;Brand_Profile!$F$49),"Brand Match below Minimum Brand Match","")))))))))))))))</f>
        <v>Tier not in Preferred Tier</v>
      </c>
      <c r="AX79" s="89" t="str">
        <f ca="1">IF(Matching_Engine!$AV$79="EXCLUDED","Excluded",IF(Matching_Engine!$AP$79&gt;=Lookup_Lists!$D$156,"Highly Recommended",IF(Matching_Engine!$AP$79&gt;=Lookup_Lists!$D$157,"Recommended",IF(Matching_Engine!$AP$79&gt;=Lookup_Lists!$D$158,"Consider","Low Priority"))))</f>
        <v>Excluded</v>
      </c>
      <c r="AY79" s="142" t="str">
        <f ca="1">IF(Matching_Engine!$AV$79="PASS",Matching_Engine!$AP$79,"")</f>
        <v/>
      </c>
      <c r="AZ79" s="89" t="str">
        <f>Matching_Engine!$A$79&amp;"|"&amp;Matching_Engine!$C$79</f>
        <v>BRAND-C|KOL-14</v>
      </c>
      <c r="BA79" s="89" t="str">
        <f>IFERROR(INDEX(Lookup_Lists!$B$51:$B$92,MATCH(Brand_Profile!$F$12,Lookup_Lists!$A$51:$A$92,0)),"")</f>
        <v>Food</v>
      </c>
      <c r="BB79" s="89" t="str">
        <f>IFERROR(INDEX(Lookup_Lists!$B$51:$B$92,MATCH(KOL_Database!$F$18,Lookup_Lists!$A$51:$A$92,0)),"")</f>
        <v>Fashion</v>
      </c>
      <c r="BC79" s="142">
        <f>IFERROR(INDEX(Lookup_Lists!$B$185:$O$198,MATCH(Matching_Engine!$BA$79,Lookup_Lists!$A$185:$A$198,0),MATCH(KOL_Database!$E$18,Lookup_Lists!$B$184:$O$184,0)),Lookup_Lists!$D$151)</f>
        <v>60</v>
      </c>
      <c r="BD79" s="142">
        <f>IFERROR(INDEX(Lookup_Lists!$B$185:$O$198,MATCH(Brand_Profile!$F$33,Lookup_Lists!$A$185:$A$198,0),MATCH(KOL_Database!$E$18,Lookup_Lists!$B$184:$O$184,0)),Lookup_Lists!$D$151)</f>
        <v>60</v>
      </c>
      <c r="BE79" s="89" t="str">
        <f>IFERROR(INDEX(Lookup_Lists!$B$51:$B$92,MATCH(Brand_Profile!$F$34,Lookup_Lists!$A$51:$A$92,0)),"")</f>
        <v>Food</v>
      </c>
      <c r="BF79" s="89" t="str">
        <f>KOL_Database!$AI$18&amp;", "&amp;KOL_Database!$AG$18&amp;", "&amp;KOL_Database!$F$18&amp;", "&amp;KOL_Database!$E$18</f>
        <v>Fashion, Beauty, Shopping, Fashion, Beauty, Shopping, Skincare, Travel, Hijab Fashion, Fashion</v>
      </c>
      <c r="BG79" s="89" t="str">
        <f>KOL_Database!$AI$18&amp;", "&amp;KOL_Database!$AG$18</f>
        <v>Fashion, Beauty, Shopping, Fashion, Beauty, Shopping, Skincare, Travel</v>
      </c>
    </row>
    <row r="80" spans="1:59">
      <c r="A80" s="101" t="s">
        <v>119</v>
      </c>
      <c r="B80" s="89" t="str">
        <f>Brand_Profile!$F$9</f>
        <v>Rasa Nusantara</v>
      </c>
      <c r="C80" s="89" t="str">
        <f>KOL_Database!$A$19</f>
        <v>KOL-15</v>
      </c>
      <c r="D80" s="89" t="str">
        <f>KOL_Database!$B$19</f>
        <v>Andini Rahma</v>
      </c>
      <c r="E80" s="89" t="str">
        <f>KOL_Database!$C$19</f>
        <v>@andinidaily</v>
      </c>
      <c r="F80" s="89" t="str">
        <f>KOL_Database!$D$19</f>
        <v>Instagram</v>
      </c>
      <c r="G80" s="89" t="str">
        <f>KOL_Database!$E$19</f>
        <v>Lifestyle</v>
      </c>
      <c r="H80" s="89" t="str">
        <f>KOL_Database!$G$19</f>
        <v>Mid-tier</v>
      </c>
      <c r="I80" s="140">
        <f>KOL_Database!$J$19</f>
        <v>58000</v>
      </c>
      <c r="J80" s="141">
        <f>KOL_Database!$K$19</f>
        <v>5.8</v>
      </c>
      <c r="K80" s="142">
        <f>IFERROR(INDEX(Lookup_Lists!$B$170:$O$181,MATCH(Brand_Profile!$F$10,Lookup_Lists!$A$170:$A$181,0),MATCH(KOL_Database!$E$19,Lookup_Lists!$B$169:$O$169,0)),Lookup_Lists!$D$151)</f>
        <v>80</v>
      </c>
      <c r="L80" s="142">
        <f>IF(KOL_Database!$F$19="",Matching_Engine!$BC$80,IF(Brand_Profile!$F$12=KOL_Database!$F$19,100,IF(Matching_Engine!$BA$80=KOL_Database!$E$19,80,IF(Matching_Engine!$BC$80&gt;=80,60,IF(Matching_Engine!$BC$80&gt;=60,40,Lookup_Lists!$D$151)))))</f>
        <v>60</v>
      </c>
      <c r="M80" s="142">
        <f>ROUND((IF(Brand_Profile!$F$62=0,Lookup_Lists!$D$150,ROUND((IF(Brand_Profile!$F$57="",0,IF(ISNUMBER(SEARCH(Brand_Profile!$F$57,Matching_Engine!$BF$80)),1,0))+IF(Brand_Profile!$F$58="",0,IF(ISNUMBER(SEARCH(Brand_Profile!$F$58,Matching_Engine!$BF$80)),1,0))+IF(Brand_Profile!$F$59="",0,IF(ISNUMBER(SEARCH(Brand_Profile!$F$59,Matching_Engine!$BF$80)),1,0))+IF(Brand_Profile!$F$60="",0,IF(ISNUMBER(SEARCH(Brand_Profile!$F$60,Matching_Engine!$BF$80)),1,0))+IF(Brand_Profile!$F$61="",0,IF(ISNUMBER(SEARCH(Brand_Profile!$F$61,Matching_Engine!$BF$80)),1,0)))/Brand_Profile!$F$62*100,0))+IF(Brand_Profile!$F$74=0,Lookup_Lists!$D$150,ROUND((IF(Brand_Profile!$F$69="",0,IF(ISNUMBER(SEARCH(Brand_Profile!$F$69,Matching_Engine!$BF$80)),1,0))+IF(Brand_Profile!$F$70="",0,IF(ISNUMBER(SEARCH(Brand_Profile!$F$70,Matching_Engine!$BF$80)),1,0))+IF(Brand_Profile!$F$71="",0,IF(ISNUMBER(SEARCH(Brand_Profile!$F$71,Matching_Engine!$BF$80)),1,0))+IF(Brand_Profile!$F$72="",0,IF(ISNUMBER(SEARCH(Brand_Profile!$F$72,Matching_Engine!$BF$80)),1,0))+IF(Brand_Profile!$F$73="",0,IF(ISNUMBER(SEARCH(Brand_Profile!$F$73,Matching_Engine!$BF$80)),1,0)))/Brand_Profile!$F$74*100,0)))/2,0)</f>
        <v>40</v>
      </c>
      <c r="N80" s="142">
        <f>ROUND((Matching_Engine!$K$80*Lookup_Lists!$D$110+Matching_Engine!$L$80*Lookup_Lists!$D$111+Matching_Engine!$M$80*Lookup_Lists!$D$112)/(Lookup_Lists!$D$110+Lookup_Lists!$D$111+Lookup_Lists!$D$112),0)</f>
        <v>62</v>
      </c>
      <c r="O80" s="142">
        <f ca="1">IF(Brand_Profile!$F$16="",Lookup_Lists!$D$150,MIN(100,ROUND((IFERROR(INDEX(KOL_Database!$W$19:KOL_Database!$AA$19,1,MATCH(Brand_Profile!$F$16,Lookup_Lists!$F$6:$F$10,0)),0)+0.5*IFERROR(INDEX(KOL_Database!$W$19:KOL_Database!$AA$19,1,MATCH(Brand_Profile!$F$17,Lookup_Lists!$F$6:$F$10,0)),0))/Lookup_Lists!$D$142*100,0)))</f>
        <v>94</v>
      </c>
      <c r="P80" s="142">
        <f>IF(OR(Brand_Profile!$F$18="",Brand_Profile!$F$18="Any"),100,IF(Brand_Profile!$F$18="Female",MIN(100,ROUND(KOL_Database!$AB$19/Lookup_Lists!$D$143*100,0)),IF(Brand_Profile!$F$18="Male",MIN(100,ROUND(KOL_Database!$AC$19/Lookup_Lists!$D$143*100,0)),MAX(0,ROUND(100-ABS(KOL_Database!$AB$19-50)*2,0)))))</f>
        <v>44</v>
      </c>
      <c r="Q80" s="142">
        <f>ROUND((IF(Brand_Profile!$F$19="",100,IF(KOL_Database!$AD$19=Brand_Profile!$F$19,100,Lookup_Lists!$D$151))*Lookup_Lists!$D$118+IF(OR(Brand_Profile!$F$20="",Brand_Profile!$F$20="Nasional"),100,IF(KOL_Database!$AE$19="",Lookup_Lists!$D$150,IF(KOL_Database!$AE$19=Brand_Profile!$F$20,100,IF(KOL_Database!$AD$19=Brand_Profile!$F$19,40,Lookup_Lists!$D$151))))*Lookup_Lists!$D$119+IF(OR(Brand_Profile!$F$21="",Brand_Profile!$F$21="Nasional"),100,IF(KOL_Database!$AF$19="",Lookup_Lists!$D$150,IF(KOL_Database!$AF$19=Brand_Profile!$F$21,100,IF(KOL_Database!$AE$19=Brand_Profile!$F$20,60,Lookup_Lists!$D$151))))*Lookup_Lists!$D$120)/(Lookup_Lists!$D$118+Lookup_Lists!$D$119+Lookup_Lists!$D$120),0)</f>
        <v>100</v>
      </c>
      <c r="R80" s="142">
        <f>IF(Brand_Profile!$F$68=0,Lookup_Lists!$D$150,ROUND((IF(Brand_Profile!$F$63="",0,IF(ISNUMBER(SEARCH(Brand_Profile!$F$63,KOL_Database!$AG$19)),1,0))+IF(Brand_Profile!$F$64="",0,IF(ISNUMBER(SEARCH(Brand_Profile!$F$64,KOL_Database!$AG$19)),1,0))+IF(Brand_Profile!$F$65="",0,IF(ISNUMBER(SEARCH(Brand_Profile!$F$65,KOL_Database!$AG$19)),1,0))+IF(Brand_Profile!$F$66="",0,IF(ISNUMBER(SEARCH(Brand_Profile!$F$66,KOL_Database!$AG$19)),1,0))+IF(Brand_Profile!$F$67="",0,IF(ISNUMBER(SEARCH(Brand_Profile!$F$67,KOL_Database!$AG$19)),1,0)))/Brand_Profile!$F$68*100,0))</f>
        <v>40</v>
      </c>
      <c r="S80" s="142">
        <f ca="1">ROUND((Matching_Engine!$O$80*Brand_Profile!$F$96+Matching_Engine!$P$80*Brand_Profile!$F$97+Matching_Engine!$Q$80*Brand_Profile!$F$98+Matching_Engine!$R$80*Brand_Profile!$F$99)/MAX(1,Brand_Profile!$F$96+Brand_Profile!$F$97+Brand_Profile!$F$98+Brand_Profile!$F$99),0)</f>
        <v>76</v>
      </c>
      <c r="T80" s="142">
        <f>IF(Brand_Profile!$F$33="",Lookup_Lists!$D$150,Matching_Engine!$BD$80)</f>
        <v>80</v>
      </c>
      <c r="U80" s="142">
        <f>IF(Brand_Profile!$F$34="",Lookup_Lists!$D$150,IF(Brand_Profile!$F$34=KOL_Database!$F$19,100,IF(Matching_Engine!$BE$80=KOL_Database!$E$19,75,IF(Matching_Engine!$BD$80&gt;=80,Lookup_Lists!$D$150,IF(Matching_Engine!$BD$80&gt;=60,35,Lookup_Lists!$D$151)))))</f>
        <v>50</v>
      </c>
      <c r="V80" s="142">
        <f>IF(Brand_Profile!$F$86=0,Lookup_Lists!$D$150,ROUND((IF(Brand_Profile!$F$81="",0,IF(ISNUMBER(SEARCH(Brand_Profile!$F$81,Matching_Engine!$BG$80)),1,0))+IF(Brand_Profile!$F$82="",0,IF(ISNUMBER(SEARCH(Brand_Profile!$F$82,Matching_Engine!$BG$80)),1,0))+IF(Brand_Profile!$F$83="",0,IF(ISNUMBER(SEARCH(Brand_Profile!$F$83,Matching_Engine!$BG$80)),1,0))+IF(Brand_Profile!$F$84="",0,IF(ISNUMBER(SEARCH(Brand_Profile!$F$84,Matching_Engine!$BG$80)),1,0))+IF(Brand_Profile!$F$85="",0,IF(ISNUMBER(SEARCH(Brand_Profile!$F$85,Matching_Engine!$BG$80)),1,0)))/Brand_Profile!$F$86*100,0))</f>
        <v>40</v>
      </c>
      <c r="W80" s="142">
        <f>IF(Brand_Profile!$F$39="",Lookup_Lists!$D$150,IFERROR(INDEX(Lookup_Lists!$B$237:$K$246,MATCH(Brand_Profile!$F$39,Lookup_Lists!$A$237:$A$246,0),MATCH(KOL_Database!$AJ$19,Lookup_Lists!$B$236:$K$236,0)),45))</f>
        <v>80</v>
      </c>
      <c r="X80" s="142">
        <f>ROUND((Matching_Engine!$T$80*Lookup_Lists!$D$121+Matching_Engine!$U$80*Lookup_Lists!$D$122+Matching_Engine!$V$80*Lookup_Lists!$D$123+Matching_Engine!$W$80*Lookup_Lists!$D$124)/(Lookup_Lists!$D$121+Lookup_Lists!$D$122+Lookup_Lists!$D$123+Lookup_Lists!$D$124),0)</f>
        <v>62</v>
      </c>
      <c r="Y80" s="142">
        <f>MIN(100,MAX(IFERROR(INDEX(Lookup_Lists!$B$202:$M$211,MATCH(Brand_Profile!$F$25,Lookup_Lists!$A$202:$A$211,0),MATCH(KOL_Database!$AK$19,Lookup_Lists!$B$201:$M$201,0)),40),IF(KOL_Database!$AK$19=Brand_Profile!$F$41,95,0)))</f>
        <v>100</v>
      </c>
      <c r="Z80" s="142">
        <f>IFERROR(INDEX(Lookup_Lists!$B$215:$K$222,MATCH(Brand_Profile!$F$27,Lookup_Lists!$A$215:$A$222,0),MATCH(KOL_Database!$AJ$19,Lookup_Lists!$B$214:$K$214,0)),45)</f>
        <v>90</v>
      </c>
      <c r="AA80" s="142">
        <f>ROUND((IF(Brand_Profile!$F$80=0,Lookup_Lists!$D$150,ROUND((IF(Brand_Profile!$F$75="",0,IF(ISNUMBER(SEARCH(Brand_Profile!$F$75,KOL_Database!$AL$19)),1,0))+IF(Brand_Profile!$F$76="",0,IF(ISNUMBER(SEARCH(Brand_Profile!$F$76,KOL_Database!$AL$19)),1,0))+IF(Brand_Profile!$F$77="",0,IF(ISNUMBER(SEARCH(Brand_Profile!$F$77,KOL_Database!$AL$19)),1,0))+IF(Brand_Profile!$F$78="",0,IF(ISNUMBER(SEARCH(Brand_Profile!$F$78,KOL_Database!$AL$19)),1,0))+IF(Brand_Profile!$F$79="",0,IF(ISNUMBER(SEARCH(Brand_Profile!$F$79,KOL_Database!$AL$19)),1,0)))/Brand_Profile!$F$80*100,0))+IF(Brand_Profile!$F$92=0,Lookup_Lists!$D$150,ROUND((IF(Brand_Profile!$F$87="",0,IF(ISNUMBER(SEARCH(Brand_Profile!$F$87,KOL_Database!$AL$19)),1,0))+IF(Brand_Profile!$F$88="",0,IF(ISNUMBER(SEARCH(Brand_Profile!$F$88,KOL_Database!$AL$19)),1,0))+IF(Brand_Profile!$F$89="",0,IF(ISNUMBER(SEARCH(Brand_Profile!$F$89,KOL_Database!$AL$19)),1,0))+IF(Brand_Profile!$F$90="",0,IF(ISNUMBER(SEARCH(Brand_Profile!$F$90,KOL_Database!$AL$19)),1,0))+IF(Brand_Profile!$F$91="",0,IF(ISNUMBER(SEARCH(Brand_Profile!$F$91,KOL_Database!$AL$19)),1,0)))/Brand_Profile!$F$92*100,0)))/2,0)</f>
        <v>80</v>
      </c>
      <c r="AB80" s="142">
        <f>IFERROR(INDEX(Lookup_Lists!$B$226:$K$233,MATCH(Brand_Profile!$F$30,Lookup_Lists!$A$226:$A$233,0),MATCH(KOL_Database!$AJ$19,Lookup_Lists!$B$225:$K$225,0)),45)</f>
        <v>90</v>
      </c>
      <c r="AC80" s="142">
        <f>ROUND((Matching_Engine!$Y$80*Lookup_Lists!$D$125+Matching_Engine!$Z$80*Lookup_Lists!$D$126+Matching_Engine!$AA$80*Lookup_Lists!$D$127+Matching_Engine!$AB$80*Lookup_Lists!$D$128)/(Lookup_Lists!$D$125+Lookup_Lists!$D$126+Lookup_Lists!$D$127+Lookup_Lists!$D$128),0)</f>
        <v>91</v>
      </c>
      <c r="AD80" s="142">
        <f>IF(KOL_Database!$K$19="",0,MIN(100,ROUND(KOL_Database!$K$19/Lookup_Lists!$D$141*100,0)))</f>
        <v>97</v>
      </c>
      <c r="AE80" s="142">
        <f>IF(KOL_Database!$R$19="",0,MIN(100,MAX(0,KOL_Database!$R$19)))</f>
        <v>79</v>
      </c>
      <c r="AF80" s="142">
        <f>IF(KOL_Database!$P$19="",0,MIN(100,MAX(0,KOL_Database!$P$19)))</f>
        <v>54</v>
      </c>
      <c r="AG80" s="142">
        <f>IF(KOL_Database!$Q$19="",0,MIN(100,MAX(0,KOL_Database!$Q$19)))</f>
        <v>49</v>
      </c>
      <c r="AH80" s="142">
        <f>IF(OR(KOL_Database!$J$19="",KOL_Database!$J$19=0,KOL_Database!$L$19=""),0,MIN(100,ROUND(KOL_Database!$L$19/KOL_Database!$J$19/Lookup_Lists!$D$144*100,0)))</f>
        <v>68</v>
      </c>
      <c r="AI80" s="142">
        <f>IF(KOL_Database!$N$19="",0,MIN(100,MAX(0,ROUND((KOL_Database!$N$19+2)/(Lookup_Lists!$D$145+2)*100,0))))</f>
        <v>28</v>
      </c>
      <c r="AJ80" s="142">
        <f>ROUND((Matching_Engine!$AD$80*Lookup_Lists!$D$129+Matching_Engine!$AE$80*Lookup_Lists!$D$130+Matching_Engine!$AF$80*Lookup_Lists!$D$131+Matching_Engine!$AG$80*Lookup_Lists!$D$132+Matching_Engine!$AH$80*Lookup_Lists!$D$133+Matching_Engine!$AI$80*Lookup_Lists!$D$134)/(Lookup_Lists!$D$129+Lookup_Lists!$D$130+Lookup_Lists!$D$131+Lookup_Lists!$D$132+Lookup_Lists!$D$133+Lookup_Lists!$D$134),0)</f>
        <v>74</v>
      </c>
      <c r="AK80" s="142">
        <f>IF(KOL_Database!$AT$19="",0,MIN(100,MAX(0,KOL_Database!$AT$19)))</f>
        <v>87</v>
      </c>
      <c r="AL80" s="142">
        <f>IF(KOL_Database!$AU$19="",0,KOL_Database!$AU$19)</f>
        <v>47</v>
      </c>
      <c r="AM80" s="89" t="str">
        <f>IF(KOL_Database!$AV$19="","None",KOL_Database!$AV$19)</f>
        <v>None</v>
      </c>
      <c r="AN80" s="143">
        <f>IF(Matching_Engine!$AM$80="High",Lookup_Lists!$D$137,IF(Matching_Engine!$AM$80="Medium",Lookup_Lists!$D$138,IF(Matching_Engine!$AM$80="Low",Lookup_Lists!$D$139,Lookup_Lists!$D$140)))</f>
        <v>1</v>
      </c>
      <c r="AO80" s="142">
        <f>ROUND(MIN(100,MAX(0,(Matching_Engine!$AK$80*Lookup_Lists!$D$135+(100-Matching_Engine!$AL$80)*Lookup_Lists!$D$136)/(Lookup_Lists!$D$135+Lookup_Lists!$D$136)*Matching_Engine!$AN$80)),0)</f>
        <v>80</v>
      </c>
      <c r="AP80" s="13">
        <f ca="1">ROUND((Matching_Engine!$N$80*Lookup_Lists!$D$104+Matching_Engine!$S$80*Lookup_Lists!$D$105+Matching_Engine!$X$80*Lookup_Lists!$D$106+Matching_Engine!$AC$80*Lookup_Lists!$D$107+Matching_Engine!$AJ$80*Lookup_Lists!$D$108+Matching_Engine!$AO$80*Lookup_Lists!$D$109)/MAX(1,(Lookup_Lists!$D$104+Lookup_Lists!$D$105+Lookup_Lists!$D$106+Lookup_Lists!$D$107+Lookup_Lists!$D$108+Lookup_Lists!$D$109)),0)</f>
        <v>72</v>
      </c>
      <c r="AQ80" s="89" t="str">
        <f ca="1">IF(Matching_Engine!$AP$80&gt;=Lookup_Lists!$D$152,"Excellent Match",IF(Matching_Engine!$AP$80&gt;=Lookup_Lists!$D$153,"Strong Match",IF(Matching_Engine!$AP$80&gt;=Lookup_Lists!$D$154,"Good Match",IF(Matching_Engine!$AP$80&gt;=Lookup_Lists!$D$155,"Moderate Match","Low Match"))))</f>
        <v>Good Match</v>
      </c>
      <c r="AR80" s="142">
        <f>KOL_Database!$BE$19</f>
        <v>83</v>
      </c>
      <c r="AS80" s="89" t="str">
        <f>IF(Matching_Engine!$AR$80&gt;=Lookup_Lists!$D$159,"High",IF(Matching_Engine!$AR$80&gt;=Lookup_Lists!$D$160,"Medium","Limited Data"))</f>
        <v>Limited Data</v>
      </c>
      <c r="AT80" s="142">
        <f>ROUND((Matching_Engine!$N$80+Matching_Engine!$X$80+Matching_Engine!$AC$80)/3,0)</f>
        <v>72</v>
      </c>
      <c r="AU80" s="142">
        <f>ROUND(((100-Matching_Engine!$AL$80)*Lookup_Lists!$D$162+IF(KOL_Database!$BD$19="",Lookup_Lists!$D$150,KOL_Database!$BD$19)*Lookup_Lists!$D$163+Matching_Engine!$AI$80*Lookup_Lists!$D$164+Matching_Engine!$AD$80*Lookup_Lists!$D$165)/(Lookup_Lists!$D$162+Lookup_Lists!$D$163+Lookup_Lists!$D$164+Lookup_Lists!$D$165),0)</f>
        <v>53</v>
      </c>
      <c r="AV80" s="89" t="str">
        <f ca="1">IF(Matching_Engine!$AW$80="","PASS","EXCLUDED")</f>
        <v>PASS</v>
      </c>
      <c r="AW80" s="89" t="str">
        <f ca="1">IF(ISERROR(SEARCH(KOL_Database!$D$19,Brand_Profile!$F$32)),"Platform not in Preferred Platform",IF(AND(Brand_Profile!$F$36&gt;0,KOL_Database!$J$19&lt;Brand_Profile!$F$36),"Followers below Preferred Follower Range",IF(AND(Brand_Profile!$F$37&gt;0,KOL_Database!$J$19&gt;Brand_Profile!$F$37),"Followers above Preferred Follower Range",IF(AND(Brand_Profile!$F$38&gt;0,IF(KOL_Database!$K$19="",0,KOL_Database!$K$19)&lt;Brand_Profile!$F$38),"Engagement Rate below Minimum Engagement Rate",IF(ISERROR(SEARCH(KOL_Database!$G$19,Brand_Profile!$F$35)),"Tier not in Preferred Tier",IF(AND(Brand_Profile!$F$43&gt;0,Matching_Engine!$AE$80&lt;Brand_Profile!$F$43),"Audience Quality below Minimum Audience Quality",IF(AND(Brand_Profile!$F$44&gt;0,Matching_Engine!$AK$80&lt;Brand_Profile!$F$44),"Brand Safety below Minimum Brand Safety",IF(AND(Brand_Profile!$F$47="Yes",KOL_Database!$AD$19&lt;&gt;Brand_Profile!$F$19),"Audience Country does not match Target Country",IF(AND(Brand_Profile!$F$46="Yes",KOL_Database!$E$19&lt;&gt;Brand_Profile!$F$33),"Category is not the Preferred Category",IF(AND(Brand_Profile!$F$48&gt;0,Matching_Engine!$AL$80&gt;Brand_Profile!$F$48),"Competitor Saturation above Max Competitor Saturation",IF(AND(Brand_Profile!$F$50="Yes",KOL_Database!$AW$19="Yes"),"Already Selected",IF(AND(Brand_Profile!$F$51="Yes",KOL_Database!$AX$19="Yes"),"Already in Cart",IF(AND(Brand_Profile!$F$52="Yes",KOL_Database!$AY$19="Yes"),"Existing Partner",IF(AND(Brand_Profile!$F$53="Yes",KOL_Database!$AZ$19="Yes"),"Excluded Creator",IF(AND(Brand_Profile!$F$49&gt;0,Matching_Engine!$AP$80&lt;Brand_Profile!$F$49),"Brand Match below Minimum Brand Match","")))))))))))))))</f>
        <v/>
      </c>
      <c r="AX80" s="89" t="str">
        <f ca="1">IF(Matching_Engine!$AV$80="EXCLUDED","Excluded",IF(Matching_Engine!$AP$80&gt;=Lookup_Lists!$D$156,"Highly Recommended",IF(Matching_Engine!$AP$80&gt;=Lookup_Lists!$D$157,"Recommended",IF(Matching_Engine!$AP$80&gt;=Lookup_Lists!$D$158,"Consider","Low Priority"))))</f>
        <v>Recommended</v>
      </c>
      <c r="AY80" s="142">
        <f ca="1">IF(Matching_Engine!$AV$80="PASS",Matching_Engine!$AP$80,"")</f>
        <v>72</v>
      </c>
      <c r="AZ80" s="89" t="str">
        <f>Matching_Engine!$A$80&amp;"|"&amp;Matching_Engine!$C$80</f>
        <v>BRAND-C|KOL-15</v>
      </c>
      <c r="BA80" s="89" t="str">
        <f>IFERROR(INDEX(Lookup_Lists!$B$51:$B$92,MATCH(Brand_Profile!$F$12,Lookup_Lists!$A$51:$A$92,0)),"")</f>
        <v>Food</v>
      </c>
      <c r="BB80" s="89" t="str">
        <f>IFERROR(INDEX(Lookup_Lists!$B$51:$B$92,MATCH(KOL_Database!$F$19,Lookup_Lists!$A$51:$A$92,0)),"")</f>
        <v>Lifestyle</v>
      </c>
      <c r="BC80" s="142">
        <f>IFERROR(INDEX(Lookup_Lists!$B$185:$O$198,MATCH(Matching_Engine!$BA$80,Lookup_Lists!$A$185:$A$198,0),MATCH(KOL_Database!$E$19,Lookup_Lists!$B$184:$O$184,0)),Lookup_Lists!$D$151)</f>
        <v>80</v>
      </c>
      <c r="BD80" s="142">
        <f>IFERROR(INDEX(Lookup_Lists!$B$185:$O$198,MATCH(Brand_Profile!$F$33,Lookup_Lists!$A$185:$A$198,0),MATCH(KOL_Database!$E$19,Lookup_Lists!$B$184:$O$184,0)),Lookup_Lists!$D$151)</f>
        <v>80</v>
      </c>
      <c r="BE80" s="89" t="str">
        <f>IFERROR(INDEX(Lookup_Lists!$B$51:$B$92,MATCH(Brand_Profile!$F$34,Lookup_Lists!$A$51:$A$92,0)),"")</f>
        <v>Food</v>
      </c>
      <c r="BF80" s="89" t="str">
        <f>KOL_Database!$AI$19&amp;", "&amp;KOL_Database!$AG$19&amp;", "&amp;KOL_Database!$F$19&amp;", "&amp;KOL_Database!$E$19</f>
        <v>Shopping, Food, Beauty, Shopping, Food, Beauty, Travel, Fashion, Daily Vlog, Lifestyle</v>
      </c>
      <c r="BG80" s="89" t="str">
        <f>KOL_Database!$AI$19&amp;", "&amp;KOL_Database!$AG$19</f>
        <v>Shopping, Food, Beauty, Shopping, Food, Beauty, Travel, Fashion</v>
      </c>
    </row>
    <row r="81" spans="1:59">
      <c r="A81" s="101" t="s">
        <v>119</v>
      </c>
      <c r="B81" s="89" t="str">
        <f>Brand_Profile!$F$9</f>
        <v>Rasa Nusantara</v>
      </c>
      <c r="C81" s="89" t="str">
        <f>KOL_Database!$A$20</f>
        <v>KOL-16</v>
      </c>
      <c r="D81" s="89" t="str">
        <f>KOL_Database!$B$20</f>
        <v>Yoga Pratama</v>
      </c>
      <c r="E81" s="89" t="str">
        <f>KOL_Database!$C$20</f>
        <v>@yogaminimal</v>
      </c>
      <c r="F81" s="89" t="str">
        <f>KOL_Database!$D$20</f>
        <v>TikTok</v>
      </c>
      <c r="G81" s="89" t="str">
        <f>KOL_Database!$E$20</f>
        <v>Lifestyle</v>
      </c>
      <c r="H81" s="89" t="str">
        <f>KOL_Database!$G$20</f>
        <v>Macro</v>
      </c>
      <c r="I81" s="140">
        <f>KOL_Database!$J$20</f>
        <v>143000</v>
      </c>
      <c r="J81" s="141">
        <f>KOL_Database!$K$20</f>
        <v>7.3</v>
      </c>
      <c r="K81" s="142">
        <f>IFERROR(INDEX(Lookup_Lists!$B$170:$O$181,MATCH(Brand_Profile!$F$10,Lookup_Lists!$A$170:$A$181,0),MATCH(KOL_Database!$E$20,Lookup_Lists!$B$169:$O$169,0)),Lookup_Lists!$D$151)</f>
        <v>80</v>
      </c>
      <c r="L81" s="142">
        <f>IF(KOL_Database!$F$20="",Matching_Engine!$BC$81,IF(Brand_Profile!$F$12=KOL_Database!$F$20,100,IF(Matching_Engine!$BA$81=KOL_Database!$E$20,80,IF(Matching_Engine!$BC$81&gt;=80,60,IF(Matching_Engine!$BC$81&gt;=60,40,Lookup_Lists!$D$151)))))</f>
        <v>60</v>
      </c>
      <c r="M81" s="142">
        <f>ROUND((IF(Brand_Profile!$F$62=0,Lookup_Lists!$D$150,ROUND((IF(Brand_Profile!$F$57="",0,IF(ISNUMBER(SEARCH(Brand_Profile!$F$57,Matching_Engine!$BF$81)),1,0))+IF(Brand_Profile!$F$58="",0,IF(ISNUMBER(SEARCH(Brand_Profile!$F$58,Matching_Engine!$BF$81)),1,0))+IF(Brand_Profile!$F$59="",0,IF(ISNUMBER(SEARCH(Brand_Profile!$F$59,Matching_Engine!$BF$81)),1,0))+IF(Brand_Profile!$F$60="",0,IF(ISNUMBER(SEARCH(Brand_Profile!$F$60,Matching_Engine!$BF$81)),1,0))+IF(Brand_Profile!$F$61="",0,IF(ISNUMBER(SEARCH(Brand_Profile!$F$61,Matching_Engine!$BF$81)),1,0)))/Brand_Profile!$F$62*100,0))+IF(Brand_Profile!$F$74=0,Lookup_Lists!$D$150,ROUND((IF(Brand_Profile!$F$69="",0,IF(ISNUMBER(SEARCH(Brand_Profile!$F$69,Matching_Engine!$BF$81)),1,0))+IF(Brand_Profile!$F$70="",0,IF(ISNUMBER(SEARCH(Brand_Profile!$F$70,Matching_Engine!$BF$81)),1,0))+IF(Brand_Profile!$F$71="",0,IF(ISNUMBER(SEARCH(Brand_Profile!$F$71,Matching_Engine!$BF$81)),1,0))+IF(Brand_Profile!$F$72="",0,IF(ISNUMBER(SEARCH(Brand_Profile!$F$72,Matching_Engine!$BF$81)),1,0))+IF(Brand_Profile!$F$73="",0,IF(ISNUMBER(SEARCH(Brand_Profile!$F$73,Matching_Engine!$BF$81)),1,0)))/Brand_Profile!$F$74*100,0)))/2,0)</f>
        <v>0</v>
      </c>
      <c r="N81" s="142">
        <f>ROUND((Matching_Engine!$K$81*Lookup_Lists!$D$110+Matching_Engine!$L$81*Lookup_Lists!$D$111+Matching_Engine!$M$81*Lookup_Lists!$D$112)/(Lookup_Lists!$D$110+Lookup_Lists!$D$111+Lookup_Lists!$D$112),0)</f>
        <v>50</v>
      </c>
      <c r="O81" s="142">
        <f ca="1">IF(Brand_Profile!$F$16="",Lookup_Lists!$D$150,MIN(100,ROUND((IFERROR(INDEX(KOL_Database!$W$20:KOL_Database!$AA$20,1,MATCH(Brand_Profile!$F$16,Lookup_Lists!$F$6:$F$10,0)),0)+0.5*IFERROR(INDEX(KOL_Database!$W$20:KOL_Database!$AA$20,1,MATCH(Brand_Profile!$F$17,Lookup_Lists!$F$6:$F$10,0)),0))/Lookup_Lists!$D$142*100,0)))</f>
        <v>88</v>
      </c>
      <c r="P81" s="142">
        <f>IF(OR(Brand_Profile!$F$18="",Brand_Profile!$F$18="Any"),100,IF(Brand_Profile!$F$18="Female",MIN(100,ROUND(KOL_Database!$AB$20/Lookup_Lists!$D$143*100,0)),IF(Brand_Profile!$F$18="Male",MIN(100,ROUND(KOL_Database!$AC$20/Lookup_Lists!$D$143*100,0)),MAX(0,ROUND(100-ABS(KOL_Database!$AB$20-50)*2,0)))))</f>
        <v>100</v>
      </c>
      <c r="Q81" s="142">
        <f>ROUND((IF(Brand_Profile!$F$19="",100,IF(KOL_Database!$AD$20=Brand_Profile!$F$19,100,Lookup_Lists!$D$151))*Lookup_Lists!$D$118+IF(OR(Brand_Profile!$F$20="",Brand_Profile!$F$20="Nasional"),100,IF(KOL_Database!$AE$20="",Lookup_Lists!$D$150,IF(KOL_Database!$AE$20=Brand_Profile!$F$20,100,IF(KOL_Database!$AD$20=Brand_Profile!$F$19,40,Lookup_Lists!$D$151))))*Lookup_Lists!$D$119+IF(OR(Brand_Profile!$F$21="",Brand_Profile!$F$21="Nasional"),100,IF(KOL_Database!$AF$20="",Lookup_Lists!$D$150,IF(KOL_Database!$AF$20=Brand_Profile!$F$21,100,IF(KOL_Database!$AE$20=Brand_Profile!$F$20,60,Lookup_Lists!$D$151))))*Lookup_Lists!$D$120)/(Lookup_Lists!$D$118+Lookup_Lists!$D$119+Lookup_Lists!$D$120),0)</f>
        <v>100</v>
      </c>
      <c r="R81" s="142">
        <f>IF(Brand_Profile!$F$68=0,Lookup_Lists!$D$150,ROUND((IF(Brand_Profile!$F$63="",0,IF(ISNUMBER(SEARCH(Brand_Profile!$F$63,KOL_Database!$AG$20)),1,0))+IF(Brand_Profile!$F$64="",0,IF(ISNUMBER(SEARCH(Brand_Profile!$F$64,KOL_Database!$AG$20)),1,0))+IF(Brand_Profile!$F$65="",0,IF(ISNUMBER(SEARCH(Brand_Profile!$F$65,KOL_Database!$AG$20)),1,0))+IF(Brand_Profile!$F$66="",0,IF(ISNUMBER(SEARCH(Brand_Profile!$F$66,KOL_Database!$AG$20)),1,0))+IF(Brand_Profile!$F$67="",0,IF(ISNUMBER(SEARCH(Brand_Profile!$F$67,KOL_Database!$AG$20)),1,0)))/Brand_Profile!$F$68*100,0))</f>
        <v>0</v>
      </c>
      <c r="S81" s="142">
        <f ca="1">ROUND((Matching_Engine!$O$81*Brand_Profile!$F$96+Matching_Engine!$P$81*Brand_Profile!$F$97+Matching_Engine!$Q$81*Brand_Profile!$F$98+Matching_Engine!$R$81*Brand_Profile!$F$99)/MAX(1,Brand_Profile!$F$96+Brand_Profile!$F$97+Brand_Profile!$F$98+Brand_Profile!$F$99),0)</f>
        <v>70</v>
      </c>
      <c r="T81" s="142">
        <f>IF(Brand_Profile!$F$33="",Lookup_Lists!$D$150,Matching_Engine!$BD$81)</f>
        <v>80</v>
      </c>
      <c r="U81" s="142">
        <f>IF(Brand_Profile!$F$34="",Lookup_Lists!$D$150,IF(Brand_Profile!$F$34=KOL_Database!$F$20,100,IF(Matching_Engine!$BE$81=KOL_Database!$E$20,75,IF(Matching_Engine!$BD$81&gt;=80,Lookup_Lists!$D$150,IF(Matching_Engine!$BD$81&gt;=60,35,Lookup_Lists!$D$151)))))</f>
        <v>50</v>
      </c>
      <c r="V81" s="142">
        <f>IF(Brand_Profile!$F$86=0,Lookup_Lists!$D$150,ROUND((IF(Brand_Profile!$F$81="",0,IF(ISNUMBER(SEARCH(Brand_Profile!$F$81,Matching_Engine!$BG$81)),1,0))+IF(Brand_Profile!$F$82="",0,IF(ISNUMBER(SEARCH(Brand_Profile!$F$82,Matching_Engine!$BG$81)),1,0))+IF(Brand_Profile!$F$83="",0,IF(ISNUMBER(SEARCH(Brand_Profile!$F$83,Matching_Engine!$BG$81)),1,0))+IF(Brand_Profile!$F$84="",0,IF(ISNUMBER(SEARCH(Brand_Profile!$F$84,Matching_Engine!$BG$81)),1,0))+IF(Brand_Profile!$F$85="",0,IF(ISNUMBER(SEARCH(Brand_Profile!$F$85,Matching_Engine!$BG$81)),1,0)))/Brand_Profile!$F$86*100,0))</f>
        <v>0</v>
      </c>
      <c r="W81" s="142">
        <f>IF(Brand_Profile!$F$39="",Lookup_Lists!$D$150,IFERROR(INDEX(Lookup_Lists!$B$237:$K$246,MATCH(Brand_Profile!$F$39,Lookup_Lists!$A$237:$A$246,0),MATCH(KOL_Database!$AJ$20,Lookup_Lists!$B$236:$K$236,0)),45))</f>
        <v>100</v>
      </c>
      <c r="X81" s="142">
        <f>ROUND((Matching_Engine!$T$81*Lookup_Lists!$D$121+Matching_Engine!$U$81*Lookup_Lists!$D$122+Matching_Engine!$V$81*Lookup_Lists!$D$123+Matching_Engine!$W$81*Lookup_Lists!$D$124)/(Lookup_Lists!$D$121+Lookup_Lists!$D$122+Lookup_Lists!$D$123+Lookup_Lists!$D$124),0)</f>
        <v>54</v>
      </c>
      <c r="Y81" s="142">
        <f>MIN(100,MAX(IFERROR(INDEX(Lookup_Lists!$B$202:$M$211,MATCH(Brand_Profile!$F$25,Lookup_Lists!$A$202:$A$211,0),MATCH(KOL_Database!$AK$20,Lookup_Lists!$B$201:$M$201,0)),40),IF(KOL_Database!$AK$20=Brand_Profile!$F$41,95,0)))</f>
        <v>65</v>
      </c>
      <c r="Z81" s="142">
        <f>IFERROR(INDEX(Lookup_Lists!$B$215:$K$222,MATCH(Brand_Profile!$F$27,Lookup_Lists!$A$215:$A$222,0),MATCH(KOL_Database!$AJ$20,Lookup_Lists!$B$214:$K$214,0)),45)</f>
        <v>95</v>
      </c>
      <c r="AA81" s="142">
        <f>ROUND((IF(Brand_Profile!$F$80=0,Lookup_Lists!$D$150,ROUND((IF(Brand_Profile!$F$75="",0,IF(ISNUMBER(SEARCH(Brand_Profile!$F$75,KOL_Database!$AL$20)),1,0))+IF(Brand_Profile!$F$76="",0,IF(ISNUMBER(SEARCH(Brand_Profile!$F$76,KOL_Database!$AL$20)),1,0))+IF(Brand_Profile!$F$77="",0,IF(ISNUMBER(SEARCH(Brand_Profile!$F$77,KOL_Database!$AL$20)),1,0))+IF(Brand_Profile!$F$78="",0,IF(ISNUMBER(SEARCH(Brand_Profile!$F$78,KOL_Database!$AL$20)),1,0))+IF(Brand_Profile!$F$79="",0,IF(ISNUMBER(SEARCH(Brand_Profile!$F$79,KOL_Database!$AL$20)),1,0)))/Brand_Profile!$F$80*100,0))+IF(Brand_Profile!$F$92=0,Lookup_Lists!$D$150,ROUND((IF(Brand_Profile!$F$87="",0,IF(ISNUMBER(SEARCH(Brand_Profile!$F$87,KOL_Database!$AL$20)),1,0))+IF(Brand_Profile!$F$88="",0,IF(ISNUMBER(SEARCH(Brand_Profile!$F$88,KOL_Database!$AL$20)),1,0))+IF(Brand_Profile!$F$89="",0,IF(ISNUMBER(SEARCH(Brand_Profile!$F$89,KOL_Database!$AL$20)),1,0))+IF(Brand_Profile!$F$90="",0,IF(ISNUMBER(SEARCH(Brand_Profile!$F$90,KOL_Database!$AL$20)),1,0))+IF(Brand_Profile!$F$91="",0,IF(ISNUMBER(SEARCH(Brand_Profile!$F$91,KOL_Database!$AL$20)),1,0)))/Brand_Profile!$F$92*100,0)))/2,0)</f>
        <v>20</v>
      </c>
      <c r="AB81" s="142">
        <f>IFERROR(INDEX(Lookup_Lists!$B$226:$K$233,MATCH(Brand_Profile!$F$30,Lookup_Lists!$A$226:$A$233,0),MATCH(KOL_Database!$AJ$20,Lookup_Lists!$B$225:$K$225,0)),45)</f>
        <v>100</v>
      </c>
      <c r="AC81" s="142">
        <f>ROUND((Matching_Engine!$Y$81*Lookup_Lists!$D$125+Matching_Engine!$Z$81*Lookup_Lists!$D$126+Matching_Engine!$AA$81*Lookup_Lists!$D$127+Matching_Engine!$AB$81*Lookup_Lists!$D$128)/(Lookup_Lists!$D$125+Lookup_Lists!$D$126+Lookup_Lists!$D$127+Lookup_Lists!$D$128),0)</f>
        <v>67</v>
      </c>
      <c r="AD81" s="142">
        <f>IF(KOL_Database!$K$20="",0,MIN(100,ROUND(KOL_Database!$K$20/Lookup_Lists!$D$141*100,0)))</f>
        <v>100</v>
      </c>
      <c r="AE81" s="142">
        <f>IF(KOL_Database!$R$20="",0,MIN(100,MAX(0,KOL_Database!$R$20)))</f>
        <v>72</v>
      </c>
      <c r="AF81" s="142">
        <f>IF(KOL_Database!$P$20="",0,MIN(100,MAX(0,KOL_Database!$P$20)))</f>
        <v>69</v>
      </c>
      <c r="AG81" s="142">
        <f>IF(KOL_Database!$Q$20="",0,MIN(100,MAX(0,KOL_Database!$Q$20)))</f>
        <v>58</v>
      </c>
      <c r="AH81" s="142">
        <f>IF(OR(KOL_Database!$J$20="",KOL_Database!$J$20=0,KOL_Database!$L$20=""),0,MIN(100,ROUND(KOL_Database!$L$20/KOL_Database!$J$20/Lookup_Lists!$D$144*100,0)))</f>
        <v>100</v>
      </c>
      <c r="AI81" s="142">
        <f>IF(KOL_Database!$N$20="",0,MIN(100,MAX(0,ROUND((KOL_Database!$N$20+2)/(Lookup_Lists!$D$145+2)*100,0))))</f>
        <v>36</v>
      </c>
      <c r="AJ81" s="142">
        <f>ROUND((Matching_Engine!$AD$81*Lookup_Lists!$D$129+Matching_Engine!$AE$81*Lookup_Lists!$D$130+Matching_Engine!$AF$81*Lookup_Lists!$D$131+Matching_Engine!$AG$81*Lookup_Lists!$D$132+Matching_Engine!$AH$81*Lookup_Lists!$D$133+Matching_Engine!$AI$81*Lookup_Lists!$D$134)/(Lookup_Lists!$D$129+Lookup_Lists!$D$130+Lookup_Lists!$D$131+Lookup_Lists!$D$132+Lookup_Lists!$D$133+Lookup_Lists!$D$134),0)</f>
        <v>81</v>
      </c>
      <c r="AK81" s="142">
        <f>IF(KOL_Database!$AT$20="",0,MIN(100,MAX(0,KOL_Database!$AT$20)))</f>
        <v>80</v>
      </c>
      <c r="AL81" s="142">
        <f>IF(KOL_Database!$AU$20="",0,KOL_Database!$AU$20)</f>
        <v>27</v>
      </c>
      <c r="AM81" s="89" t="str">
        <f>IF(KOL_Database!$AV$20="","None",KOL_Database!$AV$20)</f>
        <v>Low</v>
      </c>
      <c r="AN81" s="143">
        <f>IF(Matching_Engine!$AM$81="High",Lookup_Lists!$D$137,IF(Matching_Engine!$AM$81="Medium",Lookup_Lists!$D$138,IF(Matching_Engine!$AM$81="Low",Lookup_Lists!$D$139,Lookup_Lists!$D$140)))</f>
        <v>0.95</v>
      </c>
      <c r="AO81" s="142">
        <f>ROUND(MIN(100,MAX(0,(Matching_Engine!$AK$81*Lookup_Lists!$D$135+(100-Matching_Engine!$AL$81)*Lookup_Lists!$D$136)/(Lookup_Lists!$D$135+Lookup_Lists!$D$136)*Matching_Engine!$AN$81)),0)</f>
        <v>75</v>
      </c>
      <c r="AP81" s="13">
        <f ca="1">ROUND((Matching_Engine!$N$81*Lookup_Lists!$D$104+Matching_Engine!$S$81*Lookup_Lists!$D$105+Matching_Engine!$X$81*Lookup_Lists!$D$106+Matching_Engine!$AC$81*Lookup_Lists!$D$107+Matching_Engine!$AJ$81*Lookup_Lists!$D$108+Matching_Engine!$AO$81*Lookup_Lists!$D$109)/MAX(1,(Lookup_Lists!$D$104+Lookup_Lists!$D$105+Lookup_Lists!$D$106+Lookup_Lists!$D$107+Lookup_Lists!$D$108+Lookup_Lists!$D$109)),0)</f>
        <v>64</v>
      </c>
      <c r="AQ81" s="89" t="str">
        <f ca="1">IF(Matching_Engine!$AP$81&gt;=Lookup_Lists!$D$152,"Excellent Match",IF(Matching_Engine!$AP$81&gt;=Lookup_Lists!$D$153,"Strong Match",IF(Matching_Engine!$AP$81&gt;=Lookup_Lists!$D$154,"Good Match",IF(Matching_Engine!$AP$81&gt;=Lookup_Lists!$D$155,"Moderate Match","Low Match"))))</f>
        <v>Moderate Match</v>
      </c>
      <c r="AR81" s="142">
        <f>KOL_Database!$BE$20</f>
        <v>100</v>
      </c>
      <c r="AS81" s="89" t="str">
        <f>IF(Matching_Engine!$AR$81&gt;=Lookup_Lists!$D$159,"High",IF(Matching_Engine!$AR$81&gt;=Lookup_Lists!$D$160,"Medium","Limited Data"))</f>
        <v>High</v>
      </c>
      <c r="AT81" s="142">
        <f>ROUND((Matching_Engine!$N$81+Matching_Engine!$X$81+Matching_Engine!$AC$81)/3,0)</f>
        <v>57</v>
      </c>
      <c r="AU81" s="142">
        <f>ROUND(((100-Matching_Engine!$AL$81)*Lookup_Lists!$D$162+IF(KOL_Database!$BD$20="",Lookup_Lists!$D$150,KOL_Database!$BD$20)*Lookup_Lists!$D$163+Matching_Engine!$AI$81*Lookup_Lists!$D$164+Matching_Engine!$AD$81*Lookup_Lists!$D$165)/(Lookup_Lists!$D$162+Lookup_Lists!$D$163+Lookup_Lists!$D$164+Lookup_Lists!$D$165),0)</f>
        <v>75</v>
      </c>
      <c r="AV81" s="89" t="str">
        <f ca="1">IF(Matching_Engine!$AW$81="","PASS","EXCLUDED")</f>
        <v>EXCLUDED</v>
      </c>
      <c r="AW81" s="89" t="str">
        <f ca="1">IF(ISERROR(SEARCH(KOL_Database!$D$20,Brand_Profile!$F$32)),"Platform not in Preferred Platform",IF(AND(Brand_Profile!$F$36&gt;0,KOL_Database!$J$20&lt;Brand_Profile!$F$36),"Followers below Preferred Follower Range",IF(AND(Brand_Profile!$F$37&gt;0,KOL_Database!$J$20&gt;Brand_Profile!$F$37),"Followers above Preferred Follower Range",IF(AND(Brand_Profile!$F$38&gt;0,IF(KOL_Database!$K$20="",0,KOL_Database!$K$20)&lt;Brand_Profile!$F$38),"Engagement Rate below Minimum Engagement Rate",IF(ISERROR(SEARCH(KOL_Database!$G$20,Brand_Profile!$F$35)),"Tier not in Preferred Tier",IF(AND(Brand_Profile!$F$43&gt;0,Matching_Engine!$AE$81&lt;Brand_Profile!$F$43),"Audience Quality below Minimum Audience Quality",IF(AND(Brand_Profile!$F$44&gt;0,Matching_Engine!$AK$81&lt;Brand_Profile!$F$44),"Brand Safety below Minimum Brand Safety",IF(AND(Brand_Profile!$F$47="Yes",KOL_Database!$AD$20&lt;&gt;Brand_Profile!$F$19),"Audience Country does not match Target Country",IF(AND(Brand_Profile!$F$46="Yes",KOL_Database!$E$20&lt;&gt;Brand_Profile!$F$33),"Category is not the Preferred Category",IF(AND(Brand_Profile!$F$48&gt;0,Matching_Engine!$AL$81&gt;Brand_Profile!$F$48),"Competitor Saturation above Max Competitor Saturation",IF(AND(Brand_Profile!$F$50="Yes",KOL_Database!$AW$20="Yes"),"Already Selected",IF(AND(Brand_Profile!$F$51="Yes",KOL_Database!$AX$20="Yes"),"Already in Cart",IF(AND(Brand_Profile!$F$52="Yes",KOL_Database!$AY$20="Yes"),"Existing Partner",IF(AND(Brand_Profile!$F$53="Yes",KOL_Database!$AZ$20="Yes"),"Excluded Creator",IF(AND(Brand_Profile!$F$49&gt;0,Matching_Engine!$AP$81&lt;Brand_Profile!$F$49),"Brand Match below Minimum Brand Match","")))))))))))))))</f>
        <v>Tier not in Preferred Tier</v>
      </c>
      <c r="AX81" s="89" t="str">
        <f ca="1">IF(Matching_Engine!$AV$81="EXCLUDED","Excluded",IF(Matching_Engine!$AP$81&gt;=Lookup_Lists!$D$156,"Highly Recommended",IF(Matching_Engine!$AP$81&gt;=Lookup_Lists!$D$157,"Recommended",IF(Matching_Engine!$AP$81&gt;=Lookup_Lists!$D$158,"Consider","Low Priority"))))</f>
        <v>Excluded</v>
      </c>
      <c r="AY81" s="142" t="str">
        <f ca="1">IF(Matching_Engine!$AV$81="PASS",Matching_Engine!$AP$81,"")</f>
        <v/>
      </c>
      <c r="AZ81" s="89" t="str">
        <f>Matching_Engine!$A$81&amp;"|"&amp;Matching_Engine!$C$81</f>
        <v>BRAND-C|KOL-16</v>
      </c>
      <c r="BA81" s="89" t="str">
        <f>IFERROR(INDEX(Lookup_Lists!$B$51:$B$92,MATCH(Brand_Profile!$F$12,Lookup_Lists!$A$51:$A$92,0)),"")</f>
        <v>Food</v>
      </c>
      <c r="BB81" s="89" t="str">
        <f>IFERROR(INDEX(Lookup_Lists!$B$51:$B$92,MATCH(KOL_Database!$F$20,Lookup_Lists!$A$51:$A$92,0)),"")</f>
        <v>Lifestyle</v>
      </c>
      <c r="BC81" s="142">
        <f>IFERROR(INDEX(Lookup_Lists!$B$185:$O$198,MATCH(Matching_Engine!$BA$81,Lookup_Lists!$A$185:$A$198,0),MATCH(KOL_Database!$E$20,Lookup_Lists!$B$184:$O$184,0)),Lookup_Lists!$D$151)</f>
        <v>80</v>
      </c>
      <c r="BD81" s="142">
        <f>IFERROR(INDEX(Lookup_Lists!$B$185:$O$198,MATCH(Brand_Profile!$F$33,Lookup_Lists!$A$185:$A$198,0),MATCH(KOL_Database!$E$20,Lookup_Lists!$B$184:$O$184,0)),Lookup_Lists!$D$151)</f>
        <v>80</v>
      </c>
      <c r="BE81" s="89" t="str">
        <f>IFERROR(INDEX(Lookup_Lists!$B$51:$B$92,MATCH(Brand_Profile!$F$34,Lookup_Lists!$A$51:$A$92,0)),"")</f>
        <v>Food</v>
      </c>
      <c r="BF81" s="89" t="str">
        <f>KOL_Database!$AI$20&amp;", "&amp;KOL_Database!$AG$20&amp;", "&amp;KOL_Database!$F$20&amp;", "&amp;KOL_Database!$E$20</f>
        <v>Productivity, Education, Finance, Productivity, Education, Finance, Technology, Health, Self Improvement, Lifestyle</v>
      </c>
      <c r="BG81" s="89" t="str">
        <f>KOL_Database!$AI$20&amp;", "&amp;KOL_Database!$AG$20</f>
        <v>Productivity, Education, Finance, Productivity, Education, Finance, Technology, Health</v>
      </c>
    </row>
    <row r="82" spans="1:59">
      <c r="A82" s="101" t="s">
        <v>119</v>
      </c>
      <c r="B82" s="89" t="str">
        <f>Brand_Profile!$F$9</f>
        <v>Rasa Nusantara</v>
      </c>
      <c r="C82" s="89" t="str">
        <f>KOL_Database!$A$21</f>
        <v>KOL-17</v>
      </c>
      <c r="D82" s="89" t="str">
        <f>KOL_Database!$B$21</f>
        <v>Sinta Maharani</v>
      </c>
      <c r="E82" s="89" t="str">
        <f>KOL_Database!$C$21</f>
        <v>@sintajalanjalan</v>
      </c>
      <c r="F82" s="89" t="str">
        <f>KOL_Database!$D$21</f>
        <v>Instagram</v>
      </c>
      <c r="G82" s="89" t="str">
        <f>KOL_Database!$E$21</f>
        <v>Travel</v>
      </c>
      <c r="H82" s="89" t="str">
        <f>KOL_Database!$G$21</f>
        <v>Macro</v>
      </c>
      <c r="I82" s="140">
        <f>KOL_Database!$J$21</f>
        <v>187000</v>
      </c>
      <c r="J82" s="141">
        <f>KOL_Database!$K$21</f>
        <v>4.1</v>
      </c>
      <c r="K82" s="142">
        <f>IFERROR(INDEX(Lookup_Lists!$B$170:$O$181,MATCH(Brand_Profile!$F$10,Lookup_Lists!$A$170:$A$181,0),MATCH(KOL_Database!$E$21,Lookup_Lists!$B$169:$O$169,0)),Lookup_Lists!$D$151)</f>
        <v>80</v>
      </c>
      <c r="L82" s="142">
        <f>IF(KOL_Database!$F$21="",Matching_Engine!$BC$82,IF(Brand_Profile!$F$12=KOL_Database!$F$21,100,IF(Matching_Engine!$BA$82=KOL_Database!$E$21,80,IF(Matching_Engine!$BC$82&gt;=80,60,IF(Matching_Engine!$BC$82&gt;=60,40,Lookup_Lists!$D$151)))))</f>
        <v>60</v>
      </c>
      <c r="M82" s="142">
        <f>ROUND((IF(Brand_Profile!$F$62=0,Lookup_Lists!$D$150,ROUND((IF(Brand_Profile!$F$57="",0,IF(ISNUMBER(SEARCH(Brand_Profile!$F$57,Matching_Engine!$BF$82)),1,0))+IF(Brand_Profile!$F$58="",0,IF(ISNUMBER(SEARCH(Brand_Profile!$F$58,Matching_Engine!$BF$82)),1,0))+IF(Brand_Profile!$F$59="",0,IF(ISNUMBER(SEARCH(Brand_Profile!$F$59,Matching_Engine!$BF$82)),1,0))+IF(Brand_Profile!$F$60="",0,IF(ISNUMBER(SEARCH(Brand_Profile!$F$60,Matching_Engine!$BF$82)),1,0))+IF(Brand_Profile!$F$61="",0,IF(ISNUMBER(SEARCH(Brand_Profile!$F$61,Matching_Engine!$BF$82)),1,0)))/Brand_Profile!$F$62*100,0))+IF(Brand_Profile!$F$74=0,Lookup_Lists!$D$150,ROUND((IF(Brand_Profile!$F$69="",0,IF(ISNUMBER(SEARCH(Brand_Profile!$F$69,Matching_Engine!$BF$82)),1,0))+IF(Brand_Profile!$F$70="",0,IF(ISNUMBER(SEARCH(Brand_Profile!$F$70,Matching_Engine!$BF$82)),1,0))+IF(Brand_Profile!$F$71="",0,IF(ISNUMBER(SEARCH(Brand_Profile!$F$71,Matching_Engine!$BF$82)),1,0))+IF(Brand_Profile!$F$72="",0,IF(ISNUMBER(SEARCH(Brand_Profile!$F$72,Matching_Engine!$BF$82)),1,0))+IF(Brand_Profile!$F$73="",0,IF(ISNUMBER(SEARCH(Brand_Profile!$F$73,Matching_Engine!$BF$82)),1,0)))/Brand_Profile!$F$74*100,0)))/2,0)</f>
        <v>60</v>
      </c>
      <c r="N82" s="142">
        <f>ROUND((Matching_Engine!$K$82*Lookup_Lists!$D$110+Matching_Engine!$L$82*Lookup_Lists!$D$111+Matching_Engine!$M$82*Lookup_Lists!$D$112)/(Lookup_Lists!$D$110+Lookup_Lists!$D$111+Lookup_Lists!$D$112),0)</f>
        <v>68</v>
      </c>
      <c r="O82" s="142">
        <f ca="1">IF(Brand_Profile!$F$16="",Lookup_Lists!$D$150,MIN(100,ROUND((IFERROR(INDEX(KOL_Database!$W$21:KOL_Database!$AA$21,1,MATCH(Brand_Profile!$F$16,Lookup_Lists!$F$6:$F$10,0)),0)+0.5*IFERROR(INDEX(KOL_Database!$W$21:KOL_Database!$AA$21,1,MATCH(Brand_Profile!$F$17,Lookup_Lists!$F$6:$F$10,0)),0))/Lookup_Lists!$D$142*100,0)))</f>
        <v>100</v>
      </c>
      <c r="P82" s="142">
        <f>IF(OR(Brand_Profile!$F$18="",Brand_Profile!$F$18="Any"),100,IF(Brand_Profile!$F$18="Female",MIN(100,ROUND(KOL_Database!$AB$21/Lookup_Lists!$D$143*100,0)),IF(Brand_Profile!$F$18="Male",MIN(100,ROUND(KOL_Database!$AC$21/Lookup_Lists!$D$143*100,0)),MAX(0,ROUND(100-ABS(KOL_Database!$AB$21-50)*2,0)))))</f>
        <v>66</v>
      </c>
      <c r="Q82" s="142">
        <f>ROUND((IF(Brand_Profile!$F$19="",100,IF(KOL_Database!$AD$21=Brand_Profile!$F$19,100,Lookup_Lists!$D$151))*Lookup_Lists!$D$118+IF(OR(Brand_Profile!$F$20="",Brand_Profile!$F$20="Nasional"),100,IF(KOL_Database!$AE$21="",Lookup_Lists!$D$150,IF(KOL_Database!$AE$21=Brand_Profile!$F$20,100,IF(KOL_Database!$AD$21=Brand_Profile!$F$19,40,Lookup_Lists!$D$151))))*Lookup_Lists!$D$119+IF(OR(Brand_Profile!$F$21="",Brand_Profile!$F$21="Nasional"),100,IF(KOL_Database!$AF$21="",Lookup_Lists!$D$150,IF(KOL_Database!$AF$21=Brand_Profile!$F$21,100,IF(KOL_Database!$AE$21=Brand_Profile!$F$20,60,Lookup_Lists!$D$151))))*Lookup_Lists!$D$120)/(Lookup_Lists!$D$118+Lookup_Lists!$D$119+Lookup_Lists!$D$120),0)</f>
        <v>100</v>
      </c>
      <c r="R82" s="142">
        <f>IF(Brand_Profile!$F$68=0,Lookup_Lists!$D$150,ROUND((IF(Brand_Profile!$F$63="",0,IF(ISNUMBER(SEARCH(Brand_Profile!$F$63,KOL_Database!$AG$21)),1,0))+IF(Brand_Profile!$F$64="",0,IF(ISNUMBER(SEARCH(Brand_Profile!$F$64,KOL_Database!$AG$21)),1,0))+IF(Brand_Profile!$F$65="",0,IF(ISNUMBER(SEARCH(Brand_Profile!$F$65,KOL_Database!$AG$21)),1,0))+IF(Brand_Profile!$F$66="",0,IF(ISNUMBER(SEARCH(Brand_Profile!$F$66,KOL_Database!$AG$21)),1,0))+IF(Brand_Profile!$F$67="",0,IF(ISNUMBER(SEARCH(Brand_Profile!$F$67,KOL_Database!$AG$21)),1,0)))/Brand_Profile!$F$68*100,0))</f>
        <v>60</v>
      </c>
      <c r="S82" s="142">
        <f ca="1">ROUND((Matching_Engine!$O$82*Brand_Profile!$F$96+Matching_Engine!$P$82*Brand_Profile!$F$97+Matching_Engine!$Q$82*Brand_Profile!$F$98+Matching_Engine!$R$82*Brand_Profile!$F$99)/MAX(1,Brand_Profile!$F$96+Brand_Profile!$F$97+Brand_Profile!$F$98+Brand_Profile!$F$99),0)</f>
        <v>86</v>
      </c>
      <c r="T82" s="142">
        <f>IF(Brand_Profile!$F$33="",Lookup_Lists!$D$150,Matching_Engine!$BD$82)</f>
        <v>80</v>
      </c>
      <c r="U82" s="142">
        <f>IF(Brand_Profile!$F$34="",Lookup_Lists!$D$150,IF(Brand_Profile!$F$34=KOL_Database!$F$21,100,IF(Matching_Engine!$BE$82=KOL_Database!$E$21,75,IF(Matching_Engine!$BD$82&gt;=80,Lookup_Lists!$D$150,IF(Matching_Engine!$BD$82&gt;=60,35,Lookup_Lists!$D$151)))))</f>
        <v>50</v>
      </c>
      <c r="V82" s="142">
        <f>IF(Brand_Profile!$F$86=0,Lookup_Lists!$D$150,ROUND((IF(Brand_Profile!$F$81="",0,IF(ISNUMBER(SEARCH(Brand_Profile!$F$81,Matching_Engine!$BG$82)),1,0))+IF(Brand_Profile!$F$82="",0,IF(ISNUMBER(SEARCH(Brand_Profile!$F$82,Matching_Engine!$BG$82)),1,0))+IF(Brand_Profile!$F$83="",0,IF(ISNUMBER(SEARCH(Brand_Profile!$F$83,Matching_Engine!$BG$82)),1,0))+IF(Brand_Profile!$F$84="",0,IF(ISNUMBER(SEARCH(Brand_Profile!$F$84,Matching_Engine!$BG$82)),1,0))+IF(Brand_Profile!$F$85="",0,IF(ISNUMBER(SEARCH(Brand_Profile!$F$85,Matching_Engine!$BG$82)),1,0)))/Brand_Profile!$F$86*100,0))</f>
        <v>60</v>
      </c>
      <c r="W82" s="142">
        <f>IF(Brand_Profile!$F$39="",Lookup_Lists!$D$150,IFERROR(INDEX(Lookup_Lists!$B$237:$K$246,MATCH(Brand_Profile!$F$39,Lookup_Lists!$A$237:$A$246,0),MATCH(KOL_Database!$AJ$21,Lookup_Lists!$B$236:$K$236,0)),45))</f>
        <v>45</v>
      </c>
      <c r="X82" s="142">
        <f>ROUND((Matching_Engine!$T$82*Lookup_Lists!$D$121+Matching_Engine!$U$82*Lookup_Lists!$D$122+Matching_Engine!$V$82*Lookup_Lists!$D$123+Matching_Engine!$W$82*Lookup_Lists!$D$124)/(Lookup_Lists!$D$121+Lookup_Lists!$D$122+Lookup_Lists!$D$123+Lookup_Lists!$D$124),0)</f>
        <v>61</v>
      </c>
      <c r="Y82" s="142">
        <f>MIN(100,MAX(IFERROR(INDEX(Lookup_Lists!$B$202:$M$211,MATCH(Brand_Profile!$F$25,Lookup_Lists!$A$202:$A$211,0),MATCH(KOL_Database!$AK$21,Lookup_Lists!$B$201:$M$201,0)),40),IF(KOL_Database!$AK$21=Brand_Profile!$F$41,95,0)))</f>
        <v>35</v>
      </c>
      <c r="Z82" s="142">
        <f>IFERROR(INDEX(Lookup_Lists!$B$215:$K$222,MATCH(Brand_Profile!$F$27,Lookup_Lists!$A$215:$A$222,0),MATCH(KOL_Database!$AJ$21,Lookup_Lists!$B$214:$K$214,0)),45)</f>
        <v>65</v>
      </c>
      <c r="AA82" s="142">
        <f>ROUND((IF(Brand_Profile!$F$80=0,Lookup_Lists!$D$150,ROUND((IF(Brand_Profile!$F$75="",0,IF(ISNUMBER(SEARCH(Brand_Profile!$F$75,KOL_Database!$AL$21)),1,0))+IF(Brand_Profile!$F$76="",0,IF(ISNUMBER(SEARCH(Brand_Profile!$F$76,KOL_Database!$AL$21)),1,0))+IF(Brand_Profile!$F$77="",0,IF(ISNUMBER(SEARCH(Brand_Profile!$F$77,KOL_Database!$AL$21)),1,0))+IF(Brand_Profile!$F$78="",0,IF(ISNUMBER(SEARCH(Brand_Profile!$F$78,KOL_Database!$AL$21)),1,0))+IF(Brand_Profile!$F$79="",0,IF(ISNUMBER(SEARCH(Brand_Profile!$F$79,KOL_Database!$AL$21)),1,0)))/Brand_Profile!$F$80*100,0))+IF(Brand_Profile!$F$92=0,Lookup_Lists!$D$150,ROUND((IF(Brand_Profile!$F$87="",0,IF(ISNUMBER(SEARCH(Brand_Profile!$F$87,KOL_Database!$AL$21)),1,0))+IF(Brand_Profile!$F$88="",0,IF(ISNUMBER(SEARCH(Brand_Profile!$F$88,KOL_Database!$AL$21)),1,0))+IF(Brand_Profile!$F$89="",0,IF(ISNUMBER(SEARCH(Brand_Profile!$F$89,KOL_Database!$AL$21)),1,0))+IF(Brand_Profile!$F$90="",0,IF(ISNUMBER(SEARCH(Brand_Profile!$F$90,KOL_Database!$AL$21)),1,0))+IF(Brand_Profile!$F$91="",0,IF(ISNUMBER(SEARCH(Brand_Profile!$F$91,KOL_Database!$AL$21)),1,0)))/Brand_Profile!$F$92*100,0)))/2,0)</f>
        <v>60</v>
      </c>
      <c r="AB82" s="142">
        <f>IFERROR(INDEX(Lookup_Lists!$B$226:$K$233,MATCH(Brand_Profile!$F$30,Lookup_Lists!$A$226:$A$233,0),MATCH(KOL_Database!$AJ$21,Lookup_Lists!$B$225:$K$225,0)),45)</f>
        <v>70</v>
      </c>
      <c r="AC82" s="142">
        <f>ROUND((Matching_Engine!$Y$82*Lookup_Lists!$D$125+Matching_Engine!$Z$82*Lookup_Lists!$D$126+Matching_Engine!$AA$82*Lookup_Lists!$D$127+Matching_Engine!$AB$82*Lookup_Lists!$D$128)/(Lookup_Lists!$D$125+Lookup_Lists!$D$126+Lookup_Lists!$D$127+Lookup_Lists!$D$128),0)</f>
        <v>54</v>
      </c>
      <c r="AD82" s="142">
        <f>IF(KOL_Database!$K$21="",0,MIN(100,ROUND(KOL_Database!$K$21/Lookup_Lists!$D$141*100,0)))</f>
        <v>68</v>
      </c>
      <c r="AE82" s="142">
        <f>IF(KOL_Database!$R$21="",0,MIN(100,MAX(0,KOL_Database!$R$21)))</f>
        <v>79</v>
      </c>
      <c r="AF82" s="142">
        <f>IF(KOL_Database!$P$21="",0,MIN(100,MAX(0,KOL_Database!$P$21)))</f>
        <v>60</v>
      </c>
      <c r="AG82" s="142">
        <f>IF(KOL_Database!$Q$21="",0,MIN(100,MAX(0,KOL_Database!$Q$21)))</f>
        <v>55</v>
      </c>
      <c r="AH82" s="142">
        <f>IF(OR(KOL_Database!$J$21="",KOL_Database!$J$21=0,KOL_Database!$L$21=""),0,MIN(100,ROUND(KOL_Database!$L$21/KOL_Database!$J$21/Lookup_Lists!$D$144*100,0)))</f>
        <v>68</v>
      </c>
      <c r="AI82" s="142">
        <f>IF(KOL_Database!$N$21="",0,MIN(100,MAX(0,ROUND((KOL_Database!$N$21+2)/(Lookup_Lists!$D$145+2)*100,0))))</f>
        <v>58</v>
      </c>
      <c r="AJ82" s="142">
        <f>ROUND((Matching_Engine!$AD$82*Lookup_Lists!$D$129+Matching_Engine!$AE$82*Lookup_Lists!$D$130+Matching_Engine!$AF$82*Lookup_Lists!$D$131+Matching_Engine!$AG$82*Lookup_Lists!$D$132+Matching_Engine!$AH$82*Lookup_Lists!$D$133+Matching_Engine!$AI$82*Lookup_Lists!$D$134)/(Lookup_Lists!$D$129+Lookup_Lists!$D$130+Lookup_Lists!$D$131+Lookup_Lists!$D$132+Lookup_Lists!$D$133+Lookup_Lists!$D$134),0)</f>
        <v>67</v>
      </c>
      <c r="AK82" s="142">
        <f>IF(KOL_Database!$AT$21="",0,MIN(100,MAX(0,KOL_Database!$AT$21)))</f>
        <v>83</v>
      </c>
      <c r="AL82" s="142">
        <f>IF(KOL_Database!$AU$21="",0,KOL_Database!$AU$21)</f>
        <v>41</v>
      </c>
      <c r="AM82" s="89" t="str">
        <f>IF(KOL_Database!$AV$21="","None",KOL_Database!$AV$21)</f>
        <v>None</v>
      </c>
      <c r="AN82" s="143">
        <f>IF(Matching_Engine!$AM$82="High",Lookup_Lists!$D$137,IF(Matching_Engine!$AM$82="Medium",Lookup_Lists!$D$138,IF(Matching_Engine!$AM$82="Low",Lookup_Lists!$D$139,Lookup_Lists!$D$140)))</f>
        <v>1</v>
      </c>
      <c r="AO82" s="142">
        <f>ROUND(MIN(100,MAX(0,(Matching_Engine!$AK$82*Lookup_Lists!$D$135+(100-Matching_Engine!$AL$82)*Lookup_Lists!$D$136)/(Lookup_Lists!$D$135+Lookup_Lists!$D$136)*Matching_Engine!$AN$82)),0)</f>
        <v>78</v>
      </c>
      <c r="AP82" s="13">
        <f ca="1">ROUND((Matching_Engine!$N$82*Lookup_Lists!$D$104+Matching_Engine!$S$82*Lookup_Lists!$D$105+Matching_Engine!$X$82*Lookup_Lists!$D$106+Matching_Engine!$AC$82*Lookup_Lists!$D$107+Matching_Engine!$AJ$82*Lookup_Lists!$D$108+Matching_Engine!$AO$82*Lookup_Lists!$D$109)/MAX(1,(Lookup_Lists!$D$104+Lookup_Lists!$D$105+Lookup_Lists!$D$106+Lookup_Lists!$D$107+Lookup_Lists!$D$108+Lookup_Lists!$D$109)),0)</f>
        <v>72</v>
      </c>
      <c r="AQ82" s="89" t="str">
        <f ca="1">IF(Matching_Engine!$AP$82&gt;=Lookup_Lists!$D$152,"Excellent Match",IF(Matching_Engine!$AP$82&gt;=Lookup_Lists!$D$153,"Strong Match",IF(Matching_Engine!$AP$82&gt;=Lookup_Lists!$D$154,"Good Match",IF(Matching_Engine!$AP$82&gt;=Lookup_Lists!$D$155,"Moderate Match","Low Match"))))</f>
        <v>Good Match</v>
      </c>
      <c r="AR82" s="142">
        <f>KOL_Database!$BE$21</f>
        <v>100</v>
      </c>
      <c r="AS82" s="89" t="str">
        <f>IF(Matching_Engine!$AR$82&gt;=Lookup_Lists!$D$159,"High",IF(Matching_Engine!$AR$82&gt;=Lookup_Lists!$D$160,"Medium","Limited Data"))</f>
        <v>High</v>
      </c>
      <c r="AT82" s="142">
        <f>ROUND((Matching_Engine!$N$82+Matching_Engine!$X$82+Matching_Engine!$AC$82)/3,0)</f>
        <v>61</v>
      </c>
      <c r="AU82" s="142">
        <f>ROUND(((100-Matching_Engine!$AL$82)*Lookup_Lists!$D$162+IF(KOL_Database!$BD$21="",Lookup_Lists!$D$150,KOL_Database!$BD$21)*Lookup_Lists!$D$163+Matching_Engine!$AI$82*Lookup_Lists!$D$164+Matching_Engine!$AD$82*Lookup_Lists!$D$165)/(Lookup_Lists!$D$162+Lookup_Lists!$D$163+Lookup_Lists!$D$164+Lookup_Lists!$D$165),0)</f>
        <v>59</v>
      </c>
      <c r="AV82" s="89" t="str">
        <f ca="1">IF(Matching_Engine!$AW$82="","PASS","EXCLUDED")</f>
        <v>EXCLUDED</v>
      </c>
      <c r="AW82" s="89" t="str">
        <f ca="1">IF(ISERROR(SEARCH(KOL_Database!$D$21,Brand_Profile!$F$32)),"Platform not in Preferred Platform",IF(AND(Brand_Profile!$F$36&gt;0,KOL_Database!$J$21&lt;Brand_Profile!$F$36),"Followers below Preferred Follower Range",IF(AND(Brand_Profile!$F$37&gt;0,KOL_Database!$J$21&gt;Brand_Profile!$F$37),"Followers above Preferred Follower Range",IF(AND(Brand_Profile!$F$38&gt;0,IF(KOL_Database!$K$21="",0,KOL_Database!$K$21)&lt;Brand_Profile!$F$38),"Engagement Rate below Minimum Engagement Rate",IF(ISERROR(SEARCH(KOL_Database!$G$21,Brand_Profile!$F$35)),"Tier not in Preferred Tier",IF(AND(Brand_Profile!$F$43&gt;0,Matching_Engine!$AE$82&lt;Brand_Profile!$F$43),"Audience Quality below Minimum Audience Quality",IF(AND(Brand_Profile!$F$44&gt;0,Matching_Engine!$AK$82&lt;Brand_Profile!$F$44),"Brand Safety below Minimum Brand Safety",IF(AND(Brand_Profile!$F$47="Yes",KOL_Database!$AD$21&lt;&gt;Brand_Profile!$F$19),"Audience Country does not match Target Country",IF(AND(Brand_Profile!$F$46="Yes",KOL_Database!$E$21&lt;&gt;Brand_Profile!$F$33),"Category is not the Preferred Category",IF(AND(Brand_Profile!$F$48&gt;0,Matching_Engine!$AL$82&gt;Brand_Profile!$F$48),"Competitor Saturation above Max Competitor Saturation",IF(AND(Brand_Profile!$F$50="Yes",KOL_Database!$AW$21="Yes"),"Already Selected",IF(AND(Brand_Profile!$F$51="Yes",KOL_Database!$AX$21="Yes"),"Already in Cart",IF(AND(Brand_Profile!$F$52="Yes",KOL_Database!$AY$21="Yes"),"Existing Partner",IF(AND(Brand_Profile!$F$53="Yes",KOL_Database!$AZ$21="Yes"),"Excluded Creator",IF(AND(Brand_Profile!$F$49&gt;0,Matching_Engine!$AP$82&lt;Brand_Profile!$F$49),"Brand Match below Minimum Brand Match","")))))))))))))))</f>
        <v>Tier not in Preferred Tier</v>
      </c>
      <c r="AX82" s="89" t="str">
        <f ca="1">IF(Matching_Engine!$AV$82="EXCLUDED","Excluded",IF(Matching_Engine!$AP$82&gt;=Lookup_Lists!$D$156,"Highly Recommended",IF(Matching_Engine!$AP$82&gt;=Lookup_Lists!$D$157,"Recommended",IF(Matching_Engine!$AP$82&gt;=Lookup_Lists!$D$158,"Consider","Low Priority"))))</f>
        <v>Excluded</v>
      </c>
      <c r="AY82" s="142" t="str">
        <f ca="1">IF(Matching_Engine!$AV$82="PASS",Matching_Engine!$AP$82,"")</f>
        <v/>
      </c>
      <c r="AZ82" s="89" t="str">
        <f>Matching_Engine!$A$82&amp;"|"&amp;Matching_Engine!$C$82</f>
        <v>BRAND-C|KOL-17</v>
      </c>
      <c r="BA82" s="89" t="str">
        <f>IFERROR(INDEX(Lookup_Lists!$B$51:$B$92,MATCH(Brand_Profile!$F$12,Lookup_Lists!$A$51:$A$92,0)),"")</f>
        <v>Food</v>
      </c>
      <c r="BB82" s="89" t="str">
        <f>IFERROR(INDEX(Lookup_Lists!$B$51:$B$92,MATCH(KOL_Database!$F$21,Lookup_Lists!$A$51:$A$92,0)),"")</f>
        <v>Travel</v>
      </c>
      <c r="BC82" s="142">
        <f>IFERROR(INDEX(Lookup_Lists!$B$185:$O$198,MATCH(Matching_Engine!$BA$82,Lookup_Lists!$A$185:$A$198,0),MATCH(KOL_Database!$E$21,Lookup_Lists!$B$184:$O$184,0)),Lookup_Lists!$D$151)</f>
        <v>80</v>
      </c>
      <c r="BD82" s="142">
        <f>IFERROR(INDEX(Lookup_Lists!$B$185:$O$198,MATCH(Brand_Profile!$F$33,Lookup_Lists!$A$185:$A$198,0),MATCH(KOL_Database!$E$21,Lookup_Lists!$B$184:$O$184,0)),Lookup_Lists!$D$151)</f>
        <v>80</v>
      </c>
      <c r="BE82" s="89" t="str">
        <f>IFERROR(INDEX(Lookup_Lists!$B$51:$B$92,MATCH(Brand_Profile!$F$34,Lookup_Lists!$A$51:$A$92,0)),"")</f>
        <v>Food</v>
      </c>
      <c r="BF82" s="89" t="str">
        <f>KOL_Database!$AI$21&amp;", "&amp;KOL_Database!$AG$21&amp;", "&amp;KOL_Database!$F$21&amp;", "&amp;KOL_Database!$E$21</f>
        <v>Travel, Food, Shopping, Travel, Food, Shopping, Fashion, Entertainment, Domestic Travel, Travel</v>
      </c>
      <c r="BG82" s="89" t="str">
        <f>KOL_Database!$AI$21&amp;", "&amp;KOL_Database!$AG$21</f>
        <v>Travel, Food, Shopping, Travel, Food, Shopping, Fashion, Entertainment</v>
      </c>
    </row>
    <row r="83" spans="1:59">
      <c r="A83" s="101" t="s">
        <v>119</v>
      </c>
      <c r="B83" s="89" t="str">
        <f>Brand_Profile!$F$9</f>
        <v>Rasa Nusantara</v>
      </c>
      <c r="C83" s="89" t="str">
        <f>KOL_Database!$A$22</f>
        <v>KOL-18</v>
      </c>
      <c r="D83" s="89" t="str">
        <f>KOL_Database!$B$22</f>
        <v>Reza Fadillah</v>
      </c>
      <c r="E83" s="89" t="str">
        <f>KOL_Database!$C$22</f>
        <v>@rezabudgettrip</v>
      </c>
      <c r="F83" s="89" t="str">
        <f>KOL_Database!$D$22</f>
        <v>TikTok</v>
      </c>
      <c r="G83" s="89" t="str">
        <f>KOL_Database!$E$22</f>
        <v>Travel</v>
      </c>
      <c r="H83" s="89" t="str">
        <f>KOL_Database!$G$22</f>
        <v>Mid-tier</v>
      </c>
      <c r="I83" s="140">
        <f>KOL_Database!$J$22</f>
        <v>72000</v>
      </c>
      <c r="J83" s="141">
        <f>KOL_Database!$K$22</f>
        <v>6.9</v>
      </c>
      <c r="K83" s="142">
        <f>IFERROR(INDEX(Lookup_Lists!$B$170:$O$181,MATCH(Brand_Profile!$F$10,Lookup_Lists!$A$170:$A$181,0),MATCH(KOL_Database!$E$22,Lookup_Lists!$B$169:$O$169,0)),Lookup_Lists!$D$151)</f>
        <v>80</v>
      </c>
      <c r="L83" s="142">
        <f>IF(KOL_Database!$F$22="",Matching_Engine!$BC$83,IF(Brand_Profile!$F$12=KOL_Database!$F$22,100,IF(Matching_Engine!$BA$83=KOL_Database!$E$22,80,IF(Matching_Engine!$BC$83&gt;=80,60,IF(Matching_Engine!$BC$83&gt;=60,40,Lookup_Lists!$D$151)))))</f>
        <v>60</v>
      </c>
      <c r="M83" s="142">
        <f>ROUND((IF(Brand_Profile!$F$62=0,Lookup_Lists!$D$150,ROUND((IF(Brand_Profile!$F$57="",0,IF(ISNUMBER(SEARCH(Brand_Profile!$F$57,Matching_Engine!$BF$83)),1,0))+IF(Brand_Profile!$F$58="",0,IF(ISNUMBER(SEARCH(Brand_Profile!$F$58,Matching_Engine!$BF$83)),1,0))+IF(Brand_Profile!$F$59="",0,IF(ISNUMBER(SEARCH(Brand_Profile!$F$59,Matching_Engine!$BF$83)),1,0))+IF(Brand_Profile!$F$60="",0,IF(ISNUMBER(SEARCH(Brand_Profile!$F$60,Matching_Engine!$BF$83)),1,0))+IF(Brand_Profile!$F$61="",0,IF(ISNUMBER(SEARCH(Brand_Profile!$F$61,Matching_Engine!$BF$83)),1,0)))/Brand_Profile!$F$62*100,0))+IF(Brand_Profile!$F$74=0,Lookup_Lists!$D$150,ROUND((IF(Brand_Profile!$F$69="",0,IF(ISNUMBER(SEARCH(Brand_Profile!$F$69,Matching_Engine!$BF$83)),1,0))+IF(Brand_Profile!$F$70="",0,IF(ISNUMBER(SEARCH(Brand_Profile!$F$70,Matching_Engine!$BF$83)),1,0))+IF(Brand_Profile!$F$71="",0,IF(ISNUMBER(SEARCH(Brand_Profile!$F$71,Matching_Engine!$BF$83)),1,0))+IF(Brand_Profile!$F$72="",0,IF(ISNUMBER(SEARCH(Brand_Profile!$F$72,Matching_Engine!$BF$83)),1,0))+IF(Brand_Profile!$F$73="",0,IF(ISNUMBER(SEARCH(Brand_Profile!$F$73,Matching_Engine!$BF$83)),1,0)))/Brand_Profile!$F$74*100,0)))/2,0)</f>
        <v>60</v>
      </c>
      <c r="N83" s="142">
        <f>ROUND((Matching_Engine!$K$83*Lookup_Lists!$D$110+Matching_Engine!$L$83*Lookup_Lists!$D$111+Matching_Engine!$M$83*Lookup_Lists!$D$112)/(Lookup_Lists!$D$110+Lookup_Lists!$D$111+Lookup_Lists!$D$112),0)</f>
        <v>68</v>
      </c>
      <c r="O83" s="142">
        <f ca="1">IF(Brand_Profile!$F$16="",Lookup_Lists!$D$150,MIN(100,ROUND((IFERROR(INDEX(KOL_Database!$W$22:KOL_Database!$AA$22,1,MATCH(Brand_Profile!$F$16,Lookup_Lists!$F$6:$F$10,0)),0)+0.5*IFERROR(INDEX(KOL_Database!$W$22:KOL_Database!$AA$22,1,MATCH(Brand_Profile!$F$17,Lookup_Lists!$F$6:$F$10,0)),0))/Lookup_Lists!$D$142*100,0)))</f>
        <v>91</v>
      </c>
      <c r="P83" s="142">
        <f>IF(OR(Brand_Profile!$F$18="",Brand_Profile!$F$18="Any"),100,IF(Brand_Profile!$F$18="Female",MIN(100,ROUND(KOL_Database!$AB$22/Lookup_Lists!$D$143*100,0)),IF(Brand_Profile!$F$18="Male",MIN(100,ROUND(KOL_Database!$AC$22/Lookup_Lists!$D$143*100,0)),MAX(0,ROUND(100-ABS(KOL_Database!$AB$22-50)*2,0)))))</f>
        <v>90</v>
      </c>
      <c r="Q83" s="142">
        <f>ROUND((IF(Brand_Profile!$F$19="",100,IF(KOL_Database!$AD$22=Brand_Profile!$F$19,100,Lookup_Lists!$D$151))*Lookup_Lists!$D$118+IF(OR(Brand_Profile!$F$20="",Brand_Profile!$F$20="Nasional"),100,IF(KOL_Database!$AE$22="",Lookup_Lists!$D$150,IF(KOL_Database!$AE$22=Brand_Profile!$F$20,100,IF(KOL_Database!$AD$22=Brand_Profile!$F$19,40,Lookup_Lists!$D$151))))*Lookup_Lists!$D$119+IF(OR(Brand_Profile!$F$21="",Brand_Profile!$F$21="Nasional"),100,IF(KOL_Database!$AF$22="",Lookup_Lists!$D$150,IF(KOL_Database!$AF$22=Brand_Profile!$F$21,100,IF(KOL_Database!$AE$22=Brand_Profile!$F$20,60,Lookup_Lists!$D$151))))*Lookup_Lists!$D$120)/(Lookup_Lists!$D$118+Lookup_Lists!$D$119+Lookup_Lists!$D$120),0)</f>
        <v>100</v>
      </c>
      <c r="R83" s="142">
        <f>IF(Brand_Profile!$F$68=0,Lookup_Lists!$D$150,ROUND((IF(Brand_Profile!$F$63="",0,IF(ISNUMBER(SEARCH(Brand_Profile!$F$63,KOL_Database!$AG$22)),1,0))+IF(Brand_Profile!$F$64="",0,IF(ISNUMBER(SEARCH(Brand_Profile!$F$64,KOL_Database!$AG$22)),1,0))+IF(Brand_Profile!$F$65="",0,IF(ISNUMBER(SEARCH(Brand_Profile!$F$65,KOL_Database!$AG$22)),1,0))+IF(Brand_Profile!$F$66="",0,IF(ISNUMBER(SEARCH(Brand_Profile!$F$66,KOL_Database!$AG$22)),1,0))+IF(Brand_Profile!$F$67="",0,IF(ISNUMBER(SEARCH(Brand_Profile!$F$67,KOL_Database!$AG$22)),1,0)))/Brand_Profile!$F$68*100,0))</f>
        <v>60</v>
      </c>
      <c r="S83" s="142">
        <f ca="1">ROUND((Matching_Engine!$O$83*Brand_Profile!$F$96+Matching_Engine!$P$83*Brand_Profile!$F$97+Matching_Engine!$Q$83*Brand_Profile!$F$98+Matching_Engine!$R$83*Brand_Profile!$F$99)/MAX(1,Brand_Profile!$F$96+Brand_Profile!$F$97+Brand_Profile!$F$98+Brand_Profile!$F$99),0)</f>
        <v>85</v>
      </c>
      <c r="T83" s="142">
        <f>IF(Brand_Profile!$F$33="",Lookup_Lists!$D$150,Matching_Engine!$BD$83)</f>
        <v>80</v>
      </c>
      <c r="U83" s="142">
        <f>IF(Brand_Profile!$F$34="",Lookup_Lists!$D$150,IF(Brand_Profile!$F$34=KOL_Database!$F$22,100,IF(Matching_Engine!$BE$83=KOL_Database!$E$22,75,IF(Matching_Engine!$BD$83&gt;=80,Lookup_Lists!$D$150,IF(Matching_Engine!$BD$83&gt;=60,35,Lookup_Lists!$D$151)))))</f>
        <v>50</v>
      </c>
      <c r="V83" s="142">
        <f>IF(Brand_Profile!$F$86=0,Lookup_Lists!$D$150,ROUND((IF(Brand_Profile!$F$81="",0,IF(ISNUMBER(SEARCH(Brand_Profile!$F$81,Matching_Engine!$BG$83)),1,0))+IF(Brand_Profile!$F$82="",0,IF(ISNUMBER(SEARCH(Brand_Profile!$F$82,Matching_Engine!$BG$83)),1,0))+IF(Brand_Profile!$F$83="",0,IF(ISNUMBER(SEARCH(Brand_Profile!$F$83,Matching_Engine!$BG$83)),1,0))+IF(Brand_Profile!$F$84="",0,IF(ISNUMBER(SEARCH(Brand_Profile!$F$84,Matching_Engine!$BG$83)),1,0))+IF(Brand_Profile!$F$85="",0,IF(ISNUMBER(SEARCH(Brand_Profile!$F$85,Matching_Engine!$BG$83)),1,0)))/Brand_Profile!$F$86*100,0))</f>
        <v>60</v>
      </c>
      <c r="W83" s="142">
        <f>IF(Brand_Profile!$F$39="",Lookup_Lists!$D$150,IFERROR(INDEX(Lookup_Lists!$B$237:$K$246,MATCH(Brand_Profile!$F$39,Lookup_Lists!$A$237:$A$246,0),MATCH(KOL_Database!$AJ$22,Lookup_Lists!$B$236:$K$236,0)),45))</f>
        <v>80</v>
      </c>
      <c r="X83" s="142">
        <f>ROUND((Matching_Engine!$T$83*Lookup_Lists!$D$121+Matching_Engine!$U$83*Lookup_Lists!$D$122+Matching_Engine!$V$83*Lookup_Lists!$D$123+Matching_Engine!$W$83*Lookup_Lists!$D$124)/(Lookup_Lists!$D$121+Lookup_Lists!$D$122+Lookup_Lists!$D$123+Lookup_Lists!$D$124),0)</f>
        <v>68</v>
      </c>
      <c r="Y83" s="142">
        <f>MIN(100,MAX(IFERROR(INDEX(Lookup_Lists!$B$202:$M$211,MATCH(Brand_Profile!$F$25,Lookup_Lists!$A$202:$A$211,0),MATCH(KOL_Database!$AK$22,Lookup_Lists!$B$201:$M$201,0)),40),IF(KOL_Database!$AK$22=Brand_Profile!$F$41,95,0)))</f>
        <v>95</v>
      </c>
      <c r="Z83" s="142">
        <f>IFERROR(INDEX(Lookup_Lists!$B$215:$K$222,MATCH(Brand_Profile!$F$27,Lookup_Lists!$A$215:$A$222,0),MATCH(KOL_Database!$AJ$22,Lookup_Lists!$B$214:$K$214,0)),45)</f>
        <v>90</v>
      </c>
      <c r="AA83" s="142">
        <f>ROUND((IF(Brand_Profile!$F$80=0,Lookup_Lists!$D$150,ROUND((IF(Brand_Profile!$F$75="",0,IF(ISNUMBER(SEARCH(Brand_Profile!$F$75,KOL_Database!$AL$22)),1,0))+IF(Brand_Profile!$F$76="",0,IF(ISNUMBER(SEARCH(Brand_Profile!$F$76,KOL_Database!$AL$22)),1,0))+IF(Brand_Profile!$F$77="",0,IF(ISNUMBER(SEARCH(Brand_Profile!$F$77,KOL_Database!$AL$22)),1,0))+IF(Brand_Profile!$F$78="",0,IF(ISNUMBER(SEARCH(Brand_Profile!$F$78,KOL_Database!$AL$22)),1,0))+IF(Brand_Profile!$F$79="",0,IF(ISNUMBER(SEARCH(Brand_Profile!$F$79,KOL_Database!$AL$22)),1,0)))/Brand_Profile!$F$80*100,0))+IF(Brand_Profile!$F$92=0,Lookup_Lists!$D$150,ROUND((IF(Brand_Profile!$F$87="",0,IF(ISNUMBER(SEARCH(Brand_Profile!$F$87,KOL_Database!$AL$22)),1,0))+IF(Brand_Profile!$F$88="",0,IF(ISNUMBER(SEARCH(Brand_Profile!$F$88,KOL_Database!$AL$22)),1,0))+IF(Brand_Profile!$F$89="",0,IF(ISNUMBER(SEARCH(Brand_Profile!$F$89,KOL_Database!$AL$22)),1,0))+IF(Brand_Profile!$F$90="",0,IF(ISNUMBER(SEARCH(Brand_Profile!$F$90,KOL_Database!$AL$22)),1,0))+IF(Brand_Profile!$F$91="",0,IF(ISNUMBER(SEARCH(Brand_Profile!$F$91,KOL_Database!$AL$22)),1,0)))/Brand_Profile!$F$92*100,0)))/2,0)</f>
        <v>80</v>
      </c>
      <c r="AB83" s="142">
        <f>IFERROR(INDEX(Lookup_Lists!$B$226:$K$233,MATCH(Brand_Profile!$F$30,Lookup_Lists!$A$226:$A$233,0),MATCH(KOL_Database!$AJ$22,Lookup_Lists!$B$225:$K$225,0)),45)</f>
        <v>90</v>
      </c>
      <c r="AC83" s="142">
        <f>ROUND((Matching_Engine!$Y$83*Lookup_Lists!$D$125+Matching_Engine!$Z$83*Lookup_Lists!$D$126+Matching_Engine!$AA$83*Lookup_Lists!$D$127+Matching_Engine!$AB$83*Lookup_Lists!$D$128)/(Lookup_Lists!$D$125+Lookup_Lists!$D$126+Lookup_Lists!$D$127+Lookup_Lists!$D$128),0)</f>
        <v>89</v>
      </c>
      <c r="AD83" s="142">
        <f>IF(KOL_Database!$K$22="",0,MIN(100,ROUND(KOL_Database!$K$22/Lookup_Lists!$D$141*100,0)))</f>
        <v>100</v>
      </c>
      <c r="AE83" s="142">
        <f>IF(KOL_Database!$R$22="",0,MIN(100,MAX(0,KOL_Database!$R$22)))</f>
        <v>82</v>
      </c>
      <c r="AF83" s="142">
        <f>IF(KOL_Database!$P$22="",0,MIN(100,MAX(0,KOL_Database!$P$22)))</f>
        <v>79</v>
      </c>
      <c r="AG83" s="142">
        <f>IF(KOL_Database!$Q$22="",0,MIN(100,MAX(0,KOL_Database!$Q$22)))</f>
        <v>74</v>
      </c>
      <c r="AH83" s="142">
        <f>IF(OR(KOL_Database!$J$22="",KOL_Database!$J$22=0,KOL_Database!$L$22=""),0,MIN(100,ROUND(KOL_Database!$L$22/KOL_Database!$J$22/Lookup_Lists!$D$144*100,0)))</f>
        <v>100</v>
      </c>
      <c r="AI83" s="142">
        <f>IF(KOL_Database!$N$22="",0,MIN(100,MAX(0,ROUND((KOL_Database!$N$22+2)/(Lookup_Lists!$D$145+2)*100,0))))</f>
        <v>38</v>
      </c>
      <c r="AJ83" s="142">
        <f>ROUND((Matching_Engine!$AD$83*Lookup_Lists!$D$129+Matching_Engine!$AE$83*Lookup_Lists!$D$130+Matching_Engine!$AF$83*Lookup_Lists!$D$131+Matching_Engine!$AG$83*Lookup_Lists!$D$132+Matching_Engine!$AH$83*Lookup_Lists!$D$133+Matching_Engine!$AI$83*Lookup_Lists!$D$134)/(Lookup_Lists!$D$129+Lookup_Lists!$D$130+Lookup_Lists!$D$131+Lookup_Lists!$D$132+Lookup_Lists!$D$133+Lookup_Lists!$D$134),0)</f>
        <v>87</v>
      </c>
      <c r="AK83" s="142">
        <f>IF(KOL_Database!$AT$22="",0,MIN(100,MAX(0,KOL_Database!$AT$22)))</f>
        <v>86</v>
      </c>
      <c r="AL83" s="142">
        <f>IF(KOL_Database!$AU$22="",0,KOL_Database!$AU$22)</f>
        <v>47</v>
      </c>
      <c r="AM83" s="89" t="str">
        <f>IF(KOL_Database!$AV$22="","None",KOL_Database!$AV$22)</f>
        <v>None</v>
      </c>
      <c r="AN83" s="143">
        <f>IF(Matching_Engine!$AM$83="High",Lookup_Lists!$D$137,IF(Matching_Engine!$AM$83="Medium",Lookup_Lists!$D$138,IF(Matching_Engine!$AM$83="Low",Lookup_Lists!$D$139,Lookup_Lists!$D$140)))</f>
        <v>1</v>
      </c>
      <c r="AO83" s="142">
        <f>ROUND(MIN(100,MAX(0,(Matching_Engine!$AK$83*Lookup_Lists!$D$135+(100-Matching_Engine!$AL$83)*Lookup_Lists!$D$136)/(Lookup_Lists!$D$135+Lookup_Lists!$D$136)*Matching_Engine!$AN$83)),0)</f>
        <v>79</v>
      </c>
      <c r="AP83" s="13">
        <f ca="1">ROUND((Matching_Engine!$N$83*Lookup_Lists!$D$104+Matching_Engine!$S$83*Lookup_Lists!$D$105+Matching_Engine!$X$83*Lookup_Lists!$D$106+Matching_Engine!$AC$83*Lookup_Lists!$D$107+Matching_Engine!$AJ$83*Lookup_Lists!$D$108+Matching_Engine!$AO$83*Lookup_Lists!$D$109)/MAX(1,(Lookup_Lists!$D$104+Lookup_Lists!$D$105+Lookup_Lists!$D$106+Lookup_Lists!$D$107+Lookup_Lists!$D$108+Lookup_Lists!$D$109)),0)</f>
        <v>78</v>
      </c>
      <c r="AQ83" s="89" t="str">
        <f ca="1">IF(Matching_Engine!$AP$83&gt;=Lookup_Lists!$D$152,"Excellent Match",IF(Matching_Engine!$AP$83&gt;=Lookup_Lists!$D$153,"Strong Match",IF(Matching_Engine!$AP$83&gt;=Lookup_Lists!$D$154,"Good Match",IF(Matching_Engine!$AP$83&gt;=Lookup_Lists!$D$155,"Moderate Match","Low Match"))))</f>
        <v>Good Match</v>
      </c>
      <c r="AR83" s="142">
        <f>KOL_Database!$BE$22</f>
        <v>92</v>
      </c>
      <c r="AS83" s="89" t="str">
        <f>IF(Matching_Engine!$AR$83&gt;=Lookup_Lists!$D$159,"High",IF(Matching_Engine!$AR$83&gt;=Lookup_Lists!$D$160,"Medium","Limited Data"))</f>
        <v>Medium</v>
      </c>
      <c r="AT83" s="142">
        <f>ROUND((Matching_Engine!$N$83+Matching_Engine!$X$83+Matching_Engine!$AC$83)/3,0)</f>
        <v>75</v>
      </c>
      <c r="AU83" s="142">
        <f>ROUND(((100-Matching_Engine!$AL$83)*Lookup_Lists!$D$162+IF(KOL_Database!$BD$22="",Lookup_Lists!$D$150,KOL_Database!$BD$22)*Lookup_Lists!$D$163+Matching_Engine!$AI$83*Lookup_Lists!$D$164+Matching_Engine!$AD$83*Lookup_Lists!$D$165)/(Lookup_Lists!$D$162+Lookup_Lists!$D$163+Lookup_Lists!$D$164+Lookup_Lists!$D$165),0)</f>
        <v>68</v>
      </c>
      <c r="AV83" s="89" t="str">
        <f ca="1">IF(Matching_Engine!$AW$83="","PASS","EXCLUDED")</f>
        <v>PASS</v>
      </c>
      <c r="AW83" s="89" t="str">
        <f ca="1">IF(ISERROR(SEARCH(KOL_Database!$D$22,Brand_Profile!$F$32)),"Platform not in Preferred Platform",IF(AND(Brand_Profile!$F$36&gt;0,KOL_Database!$J$22&lt;Brand_Profile!$F$36),"Followers below Preferred Follower Range",IF(AND(Brand_Profile!$F$37&gt;0,KOL_Database!$J$22&gt;Brand_Profile!$F$37),"Followers above Preferred Follower Range",IF(AND(Brand_Profile!$F$38&gt;0,IF(KOL_Database!$K$22="",0,KOL_Database!$K$22)&lt;Brand_Profile!$F$38),"Engagement Rate below Minimum Engagement Rate",IF(ISERROR(SEARCH(KOL_Database!$G$22,Brand_Profile!$F$35)),"Tier not in Preferred Tier",IF(AND(Brand_Profile!$F$43&gt;0,Matching_Engine!$AE$83&lt;Brand_Profile!$F$43),"Audience Quality below Minimum Audience Quality",IF(AND(Brand_Profile!$F$44&gt;0,Matching_Engine!$AK$83&lt;Brand_Profile!$F$44),"Brand Safety below Minimum Brand Safety",IF(AND(Brand_Profile!$F$47="Yes",KOL_Database!$AD$22&lt;&gt;Brand_Profile!$F$19),"Audience Country does not match Target Country",IF(AND(Brand_Profile!$F$46="Yes",KOL_Database!$E$22&lt;&gt;Brand_Profile!$F$33),"Category is not the Preferred Category",IF(AND(Brand_Profile!$F$48&gt;0,Matching_Engine!$AL$83&gt;Brand_Profile!$F$48),"Competitor Saturation above Max Competitor Saturation",IF(AND(Brand_Profile!$F$50="Yes",KOL_Database!$AW$22="Yes"),"Already Selected",IF(AND(Brand_Profile!$F$51="Yes",KOL_Database!$AX$22="Yes"),"Already in Cart",IF(AND(Brand_Profile!$F$52="Yes",KOL_Database!$AY$22="Yes"),"Existing Partner",IF(AND(Brand_Profile!$F$53="Yes",KOL_Database!$AZ$22="Yes"),"Excluded Creator",IF(AND(Brand_Profile!$F$49&gt;0,Matching_Engine!$AP$83&lt;Brand_Profile!$F$49),"Brand Match below Minimum Brand Match","")))))))))))))))</f>
        <v/>
      </c>
      <c r="AX83" s="89" t="str">
        <f ca="1">IF(Matching_Engine!$AV$83="EXCLUDED","Excluded",IF(Matching_Engine!$AP$83&gt;=Lookup_Lists!$D$156,"Highly Recommended",IF(Matching_Engine!$AP$83&gt;=Lookup_Lists!$D$157,"Recommended",IF(Matching_Engine!$AP$83&gt;=Lookup_Lists!$D$158,"Consider","Low Priority"))))</f>
        <v>Recommended</v>
      </c>
      <c r="AY83" s="142">
        <f ca="1">IF(Matching_Engine!$AV$83="PASS",Matching_Engine!$AP$83,"")</f>
        <v>78</v>
      </c>
      <c r="AZ83" s="89" t="str">
        <f>Matching_Engine!$A$83&amp;"|"&amp;Matching_Engine!$C$83</f>
        <v>BRAND-C|KOL-18</v>
      </c>
      <c r="BA83" s="89" t="str">
        <f>IFERROR(INDEX(Lookup_Lists!$B$51:$B$92,MATCH(Brand_Profile!$F$12,Lookup_Lists!$A$51:$A$92,0)),"")</f>
        <v>Food</v>
      </c>
      <c r="BB83" s="89" t="str">
        <f>IFERROR(INDEX(Lookup_Lists!$B$51:$B$92,MATCH(KOL_Database!$F$22,Lookup_Lists!$A$51:$A$92,0)),"")</f>
        <v>Travel</v>
      </c>
      <c r="BC83" s="142">
        <f>IFERROR(INDEX(Lookup_Lists!$B$185:$O$198,MATCH(Matching_Engine!$BA$83,Lookup_Lists!$A$185:$A$198,0),MATCH(KOL_Database!$E$22,Lookup_Lists!$B$184:$O$184,0)),Lookup_Lists!$D$151)</f>
        <v>80</v>
      </c>
      <c r="BD83" s="142">
        <f>IFERROR(INDEX(Lookup_Lists!$B$185:$O$198,MATCH(Brand_Profile!$F$33,Lookup_Lists!$A$185:$A$198,0),MATCH(KOL_Database!$E$22,Lookup_Lists!$B$184:$O$184,0)),Lookup_Lists!$D$151)</f>
        <v>80</v>
      </c>
      <c r="BE83" s="89" t="str">
        <f>IFERROR(INDEX(Lookup_Lists!$B$51:$B$92,MATCH(Brand_Profile!$F$34,Lookup_Lists!$A$51:$A$92,0)),"")</f>
        <v>Food</v>
      </c>
      <c r="BF83" s="89" t="str">
        <f>KOL_Database!$AI$22&amp;", "&amp;KOL_Database!$AG$22&amp;", "&amp;KOL_Database!$F$22&amp;", "&amp;KOL_Database!$E$22</f>
        <v>Travel, Food, Entertainment, Travel, Food, Productivity, Entertainment, Shopping, Budget Travel, Travel</v>
      </c>
      <c r="BG83" s="89" t="str">
        <f>KOL_Database!$AI$22&amp;", "&amp;KOL_Database!$AG$22</f>
        <v>Travel, Food, Entertainment, Travel, Food, Productivity, Entertainment, Shopping</v>
      </c>
    </row>
    <row r="84" spans="1:59">
      <c r="A84" s="101" t="s">
        <v>119</v>
      </c>
      <c r="B84" s="89" t="str">
        <f>Brand_Profile!$F$9</f>
        <v>Rasa Nusantara</v>
      </c>
      <c r="C84" s="89" t="str">
        <f>KOL_Database!$A$23</f>
        <v>KOL-19</v>
      </c>
      <c r="D84" s="89" t="str">
        <f>KOL_Database!$B$23</f>
        <v>Putri Amanda</v>
      </c>
      <c r="E84" s="89" t="str">
        <f>KOL_Database!$C$23</f>
        <v>@putrimomlife</v>
      </c>
      <c r="F84" s="89" t="str">
        <f>KOL_Database!$D$23</f>
        <v>Instagram</v>
      </c>
      <c r="G84" s="89" t="str">
        <f>KOL_Database!$E$23</f>
        <v>Parenting</v>
      </c>
      <c r="H84" s="89" t="str">
        <f>KOL_Database!$G$23</f>
        <v>Macro</v>
      </c>
      <c r="I84" s="140">
        <f>KOL_Database!$J$23</f>
        <v>134000</v>
      </c>
      <c r="J84" s="141">
        <f>KOL_Database!$K$23</f>
        <v>4.6</v>
      </c>
      <c r="K84" s="142">
        <f>IFERROR(INDEX(Lookup_Lists!$B$170:$O$181,MATCH(Brand_Profile!$F$10,Lookup_Lists!$A$170:$A$181,0),MATCH(KOL_Database!$E$23,Lookup_Lists!$B$169:$O$169,0)),Lookup_Lists!$D$151)</f>
        <v>60</v>
      </c>
      <c r="L84" s="142">
        <f>IF(KOL_Database!$F$23="",Matching_Engine!$BC$84,IF(Brand_Profile!$F$12=KOL_Database!$F$23,100,IF(Matching_Engine!$BA$84=KOL_Database!$E$23,80,IF(Matching_Engine!$BC$84&gt;=80,60,IF(Matching_Engine!$BC$84&gt;=60,40,Lookup_Lists!$D$151)))))</f>
        <v>40</v>
      </c>
      <c r="M84" s="142">
        <f>ROUND((IF(Brand_Profile!$F$62=0,Lookup_Lists!$D$150,ROUND((IF(Brand_Profile!$F$57="",0,IF(ISNUMBER(SEARCH(Brand_Profile!$F$57,Matching_Engine!$BF$84)),1,0))+IF(Brand_Profile!$F$58="",0,IF(ISNUMBER(SEARCH(Brand_Profile!$F$58,Matching_Engine!$BF$84)),1,0))+IF(Brand_Profile!$F$59="",0,IF(ISNUMBER(SEARCH(Brand_Profile!$F$59,Matching_Engine!$BF$84)),1,0))+IF(Brand_Profile!$F$60="",0,IF(ISNUMBER(SEARCH(Brand_Profile!$F$60,Matching_Engine!$BF$84)),1,0))+IF(Brand_Profile!$F$61="",0,IF(ISNUMBER(SEARCH(Brand_Profile!$F$61,Matching_Engine!$BF$84)),1,0)))/Brand_Profile!$F$62*100,0))+IF(Brand_Profile!$F$74=0,Lookup_Lists!$D$150,ROUND((IF(Brand_Profile!$F$69="",0,IF(ISNUMBER(SEARCH(Brand_Profile!$F$69,Matching_Engine!$BF$84)),1,0))+IF(Brand_Profile!$F$70="",0,IF(ISNUMBER(SEARCH(Brand_Profile!$F$70,Matching_Engine!$BF$84)),1,0))+IF(Brand_Profile!$F$71="",0,IF(ISNUMBER(SEARCH(Brand_Profile!$F$71,Matching_Engine!$BF$84)),1,0))+IF(Brand_Profile!$F$72="",0,IF(ISNUMBER(SEARCH(Brand_Profile!$F$72,Matching_Engine!$BF$84)),1,0))+IF(Brand_Profile!$F$73="",0,IF(ISNUMBER(SEARCH(Brand_Profile!$F$73,Matching_Engine!$BF$84)),1,0)))/Brand_Profile!$F$74*100,0)))/2,0)</f>
        <v>40</v>
      </c>
      <c r="N84" s="142">
        <f>ROUND((Matching_Engine!$K$84*Lookup_Lists!$D$110+Matching_Engine!$L$84*Lookup_Lists!$D$111+Matching_Engine!$M$84*Lookup_Lists!$D$112)/(Lookup_Lists!$D$110+Lookup_Lists!$D$111+Lookup_Lists!$D$112),0)</f>
        <v>48</v>
      </c>
      <c r="O84" s="142">
        <f ca="1">IF(Brand_Profile!$F$16="",Lookup_Lists!$D$150,MIN(100,ROUND((IFERROR(INDEX(KOL_Database!$W$23:KOL_Database!$AA$23,1,MATCH(Brand_Profile!$F$16,Lookup_Lists!$F$6:$F$10,0)),0)+0.5*IFERROR(INDEX(KOL_Database!$W$23:KOL_Database!$AA$23,1,MATCH(Brand_Profile!$F$17,Lookup_Lists!$F$6:$F$10,0)),0))/Lookup_Lists!$D$142*100,0)))</f>
        <v>100</v>
      </c>
      <c r="P84" s="142">
        <f>IF(OR(Brand_Profile!$F$18="",Brand_Profile!$F$18="Any"),100,IF(Brand_Profile!$F$18="Female",MIN(100,ROUND(KOL_Database!$AB$23/Lookup_Lists!$D$143*100,0)),IF(Brand_Profile!$F$18="Male",MIN(100,ROUND(KOL_Database!$AC$23/Lookup_Lists!$D$143*100,0)),MAX(0,ROUND(100-ABS(KOL_Database!$AB$23-50)*2,0)))))</f>
        <v>50</v>
      </c>
      <c r="Q84" s="142">
        <f>ROUND((IF(Brand_Profile!$F$19="",100,IF(KOL_Database!$AD$23=Brand_Profile!$F$19,100,Lookup_Lists!$D$151))*Lookup_Lists!$D$118+IF(OR(Brand_Profile!$F$20="",Brand_Profile!$F$20="Nasional"),100,IF(KOL_Database!$AE$23="",Lookup_Lists!$D$150,IF(KOL_Database!$AE$23=Brand_Profile!$F$20,100,IF(KOL_Database!$AD$23=Brand_Profile!$F$19,40,Lookup_Lists!$D$151))))*Lookup_Lists!$D$119+IF(OR(Brand_Profile!$F$21="",Brand_Profile!$F$21="Nasional"),100,IF(KOL_Database!$AF$23="",Lookup_Lists!$D$150,IF(KOL_Database!$AF$23=Brand_Profile!$F$21,100,IF(KOL_Database!$AE$23=Brand_Profile!$F$20,60,Lookup_Lists!$D$151))))*Lookup_Lists!$D$120)/(Lookup_Lists!$D$118+Lookup_Lists!$D$119+Lookup_Lists!$D$120),0)</f>
        <v>100</v>
      </c>
      <c r="R84" s="142">
        <f>IF(Brand_Profile!$F$68=0,Lookup_Lists!$D$150,ROUND((IF(Brand_Profile!$F$63="",0,IF(ISNUMBER(SEARCH(Brand_Profile!$F$63,KOL_Database!$AG$23)),1,0))+IF(Brand_Profile!$F$64="",0,IF(ISNUMBER(SEARCH(Brand_Profile!$F$64,KOL_Database!$AG$23)),1,0))+IF(Brand_Profile!$F$65="",0,IF(ISNUMBER(SEARCH(Brand_Profile!$F$65,KOL_Database!$AG$23)),1,0))+IF(Brand_Profile!$F$66="",0,IF(ISNUMBER(SEARCH(Brand_Profile!$F$66,KOL_Database!$AG$23)),1,0))+IF(Brand_Profile!$F$67="",0,IF(ISNUMBER(SEARCH(Brand_Profile!$F$67,KOL_Database!$AG$23)),1,0)))/Brand_Profile!$F$68*100,0))</f>
        <v>20</v>
      </c>
      <c r="S84" s="142">
        <f ca="1">ROUND((Matching_Engine!$O$84*Brand_Profile!$F$96+Matching_Engine!$P$84*Brand_Profile!$F$97+Matching_Engine!$Q$84*Brand_Profile!$F$98+Matching_Engine!$R$84*Brand_Profile!$F$99)/MAX(1,Brand_Profile!$F$96+Brand_Profile!$F$97+Brand_Profile!$F$98+Brand_Profile!$F$99),0)</f>
        <v>74</v>
      </c>
      <c r="T84" s="142">
        <f>IF(Brand_Profile!$F$33="",Lookup_Lists!$D$150,Matching_Engine!$BD$84)</f>
        <v>60</v>
      </c>
      <c r="U84" s="142">
        <f>IF(Brand_Profile!$F$34="",Lookup_Lists!$D$150,IF(Brand_Profile!$F$34=KOL_Database!$F$23,100,IF(Matching_Engine!$BE$84=KOL_Database!$E$23,75,IF(Matching_Engine!$BD$84&gt;=80,Lookup_Lists!$D$150,IF(Matching_Engine!$BD$84&gt;=60,35,Lookup_Lists!$D$151)))))</f>
        <v>35</v>
      </c>
      <c r="V84" s="142">
        <f>IF(Brand_Profile!$F$86=0,Lookup_Lists!$D$150,ROUND((IF(Brand_Profile!$F$81="",0,IF(ISNUMBER(SEARCH(Brand_Profile!$F$81,Matching_Engine!$BG$84)),1,0))+IF(Brand_Profile!$F$82="",0,IF(ISNUMBER(SEARCH(Brand_Profile!$F$82,Matching_Engine!$BG$84)),1,0))+IF(Brand_Profile!$F$83="",0,IF(ISNUMBER(SEARCH(Brand_Profile!$F$83,Matching_Engine!$BG$84)),1,0))+IF(Brand_Profile!$F$84="",0,IF(ISNUMBER(SEARCH(Brand_Profile!$F$84,Matching_Engine!$BG$84)),1,0))+IF(Brand_Profile!$F$85="",0,IF(ISNUMBER(SEARCH(Brand_Profile!$F$85,Matching_Engine!$BG$84)),1,0)))/Brand_Profile!$F$86*100,0))</f>
        <v>20</v>
      </c>
      <c r="W84" s="142">
        <f>IF(Brand_Profile!$F$39="",Lookup_Lists!$D$150,IFERROR(INDEX(Lookup_Lists!$B$237:$K$246,MATCH(Brand_Profile!$F$39,Lookup_Lists!$A$237:$A$246,0),MATCH(KOL_Database!$AJ$23,Lookup_Lists!$B$236:$K$236,0)),45))</f>
        <v>100</v>
      </c>
      <c r="X84" s="142">
        <f>ROUND((Matching_Engine!$T$84*Lookup_Lists!$D$121+Matching_Engine!$U$84*Lookup_Lists!$D$122+Matching_Engine!$V$84*Lookup_Lists!$D$123+Matching_Engine!$W$84*Lookup_Lists!$D$124)/(Lookup_Lists!$D$121+Lookup_Lists!$D$122+Lookup_Lists!$D$123+Lookup_Lists!$D$124),0)</f>
        <v>51</v>
      </c>
      <c r="Y84" s="142">
        <f>MIN(100,MAX(IFERROR(INDEX(Lookup_Lists!$B$202:$M$211,MATCH(Brand_Profile!$F$25,Lookup_Lists!$A$202:$A$211,0),MATCH(KOL_Database!$AK$23,Lookup_Lists!$B$201:$M$201,0)),40),IF(KOL_Database!$AK$23=Brand_Profile!$F$41,95,0)))</f>
        <v>100</v>
      </c>
      <c r="Z84" s="142">
        <f>IFERROR(INDEX(Lookup_Lists!$B$215:$K$222,MATCH(Brand_Profile!$F$27,Lookup_Lists!$A$215:$A$222,0),MATCH(KOL_Database!$AJ$23,Lookup_Lists!$B$214:$K$214,0)),45)</f>
        <v>95</v>
      </c>
      <c r="AA84" s="142">
        <f>ROUND((IF(Brand_Profile!$F$80=0,Lookup_Lists!$D$150,ROUND((IF(Brand_Profile!$F$75="",0,IF(ISNUMBER(SEARCH(Brand_Profile!$F$75,KOL_Database!$AL$23)),1,0))+IF(Brand_Profile!$F$76="",0,IF(ISNUMBER(SEARCH(Brand_Profile!$F$76,KOL_Database!$AL$23)),1,0))+IF(Brand_Profile!$F$77="",0,IF(ISNUMBER(SEARCH(Brand_Profile!$F$77,KOL_Database!$AL$23)),1,0))+IF(Brand_Profile!$F$78="",0,IF(ISNUMBER(SEARCH(Brand_Profile!$F$78,KOL_Database!$AL$23)),1,0))+IF(Brand_Profile!$F$79="",0,IF(ISNUMBER(SEARCH(Brand_Profile!$F$79,KOL_Database!$AL$23)),1,0)))/Brand_Profile!$F$80*100,0))+IF(Brand_Profile!$F$92=0,Lookup_Lists!$D$150,ROUND((IF(Brand_Profile!$F$87="",0,IF(ISNUMBER(SEARCH(Brand_Profile!$F$87,KOL_Database!$AL$23)),1,0))+IF(Brand_Profile!$F$88="",0,IF(ISNUMBER(SEARCH(Brand_Profile!$F$88,KOL_Database!$AL$23)),1,0))+IF(Brand_Profile!$F$89="",0,IF(ISNUMBER(SEARCH(Brand_Profile!$F$89,KOL_Database!$AL$23)),1,0))+IF(Brand_Profile!$F$90="",0,IF(ISNUMBER(SEARCH(Brand_Profile!$F$90,KOL_Database!$AL$23)),1,0))+IF(Brand_Profile!$F$91="",0,IF(ISNUMBER(SEARCH(Brand_Profile!$F$91,KOL_Database!$AL$23)),1,0)))/Brand_Profile!$F$92*100,0)))/2,0)</f>
        <v>40</v>
      </c>
      <c r="AB84" s="142">
        <f>IFERROR(INDEX(Lookup_Lists!$B$226:$K$233,MATCH(Brand_Profile!$F$30,Lookup_Lists!$A$226:$A$233,0),MATCH(KOL_Database!$AJ$23,Lookup_Lists!$B$225:$K$225,0)),45)</f>
        <v>100</v>
      </c>
      <c r="AC84" s="142">
        <f>ROUND((Matching_Engine!$Y$84*Lookup_Lists!$D$125+Matching_Engine!$Z$84*Lookup_Lists!$D$126+Matching_Engine!$AA$84*Lookup_Lists!$D$127+Matching_Engine!$AB$84*Lookup_Lists!$D$128)/(Lookup_Lists!$D$125+Lookup_Lists!$D$126+Lookup_Lists!$D$127+Lookup_Lists!$D$128),0)</f>
        <v>84</v>
      </c>
      <c r="AD84" s="142">
        <f>IF(KOL_Database!$K$23="",0,MIN(100,ROUND(KOL_Database!$K$23/Lookup_Lists!$D$141*100,0)))</f>
        <v>77</v>
      </c>
      <c r="AE84" s="142">
        <f>IF(KOL_Database!$R$23="",0,MIN(100,MAX(0,KOL_Database!$R$23)))</f>
        <v>79</v>
      </c>
      <c r="AF84" s="142">
        <f>IF(KOL_Database!$P$23="",0,MIN(100,MAX(0,KOL_Database!$P$23)))</f>
        <v>52</v>
      </c>
      <c r="AG84" s="142">
        <f>IF(KOL_Database!$Q$23="",0,MIN(100,MAX(0,KOL_Database!$Q$23)))</f>
        <v>47</v>
      </c>
      <c r="AH84" s="142">
        <f>IF(OR(KOL_Database!$J$23="",KOL_Database!$J$23=0,KOL_Database!$L$23=""),0,MIN(100,ROUND(KOL_Database!$L$23/KOL_Database!$J$23/Lookup_Lists!$D$144*100,0)))</f>
        <v>69</v>
      </c>
      <c r="AI84" s="142">
        <f>IF(KOL_Database!$N$23="",0,MIN(100,MAX(0,ROUND((KOL_Database!$N$23+2)/(Lookup_Lists!$D$145+2)*100,0))))</f>
        <v>27</v>
      </c>
      <c r="AJ84" s="142">
        <f>ROUND((Matching_Engine!$AD$84*Lookup_Lists!$D$129+Matching_Engine!$AE$84*Lookup_Lists!$D$130+Matching_Engine!$AF$84*Lookup_Lists!$D$131+Matching_Engine!$AG$84*Lookup_Lists!$D$132+Matching_Engine!$AH$84*Lookup_Lists!$D$133+Matching_Engine!$AI$84*Lookup_Lists!$D$134)/(Lookup_Lists!$D$129+Lookup_Lists!$D$130+Lookup_Lists!$D$131+Lookup_Lists!$D$132+Lookup_Lists!$D$133+Lookup_Lists!$D$134),0)</f>
        <v>66</v>
      </c>
      <c r="AK84" s="142">
        <f>IF(KOL_Database!$AT$23="",0,MIN(100,MAX(0,KOL_Database!$AT$23)))</f>
        <v>86</v>
      </c>
      <c r="AL84" s="142">
        <f>IF(KOL_Database!$AU$23="",0,KOL_Database!$AU$23)</f>
        <v>48</v>
      </c>
      <c r="AM84" s="89" t="str">
        <f>IF(KOL_Database!$AV$23="","None",KOL_Database!$AV$23)</f>
        <v>None</v>
      </c>
      <c r="AN84" s="143">
        <f>IF(Matching_Engine!$AM$84="High",Lookup_Lists!$D$137,IF(Matching_Engine!$AM$84="Medium",Lookup_Lists!$D$138,IF(Matching_Engine!$AM$84="Low",Lookup_Lists!$D$139,Lookup_Lists!$D$140)))</f>
        <v>1</v>
      </c>
      <c r="AO84" s="142">
        <f>ROUND(MIN(100,MAX(0,(Matching_Engine!$AK$84*Lookup_Lists!$D$135+(100-Matching_Engine!$AL$84)*Lookup_Lists!$D$136)/(Lookup_Lists!$D$135+Lookup_Lists!$D$136)*Matching_Engine!$AN$84)),0)</f>
        <v>79</v>
      </c>
      <c r="AP84" s="13">
        <f ca="1">ROUND((Matching_Engine!$N$84*Lookup_Lists!$D$104+Matching_Engine!$S$84*Lookup_Lists!$D$105+Matching_Engine!$X$84*Lookup_Lists!$D$106+Matching_Engine!$AC$84*Lookup_Lists!$D$107+Matching_Engine!$AJ$84*Lookup_Lists!$D$108+Matching_Engine!$AO$84*Lookup_Lists!$D$109)/MAX(1,(Lookup_Lists!$D$104+Lookup_Lists!$D$105+Lookup_Lists!$D$106+Lookup_Lists!$D$107+Lookup_Lists!$D$108+Lookup_Lists!$D$109)),0)</f>
        <v>65</v>
      </c>
      <c r="AQ84" s="89" t="str">
        <f ca="1">IF(Matching_Engine!$AP$84&gt;=Lookup_Lists!$D$152,"Excellent Match",IF(Matching_Engine!$AP$84&gt;=Lookup_Lists!$D$153,"Strong Match",IF(Matching_Engine!$AP$84&gt;=Lookup_Lists!$D$154,"Good Match",IF(Matching_Engine!$AP$84&gt;=Lookup_Lists!$D$155,"Moderate Match","Low Match"))))</f>
        <v>Moderate Match</v>
      </c>
      <c r="AR84" s="142">
        <f>KOL_Database!$BE$23</f>
        <v>100</v>
      </c>
      <c r="AS84" s="89" t="str">
        <f>IF(Matching_Engine!$AR$84&gt;=Lookup_Lists!$D$159,"High",IF(Matching_Engine!$AR$84&gt;=Lookup_Lists!$D$160,"Medium","Limited Data"))</f>
        <v>High</v>
      </c>
      <c r="AT84" s="142">
        <f>ROUND((Matching_Engine!$N$84+Matching_Engine!$X$84+Matching_Engine!$AC$84)/3,0)</f>
        <v>61</v>
      </c>
      <c r="AU84" s="142">
        <f>ROUND(((100-Matching_Engine!$AL$84)*Lookup_Lists!$D$162+IF(KOL_Database!$BD$23="",Lookup_Lists!$D$150,KOL_Database!$BD$23)*Lookup_Lists!$D$163+Matching_Engine!$AI$84*Lookup_Lists!$D$164+Matching_Engine!$AD$84*Lookup_Lists!$D$165)/(Lookup_Lists!$D$162+Lookup_Lists!$D$163+Lookup_Lists!$D$164+Lookup_Lists!$D$165),0)</f>
        <v>55</v>
      </c>
      <c r="AV84" s="89" t="str">
        <f ca="1">IF(Matching_Engine!$AW$84="","PASS","EXCLUDED")</f>
        <v>EXCLUDED</v>
      </c>
      <c r="AW84" s="89" t="str">
        <f ca="1">IF(ISERROR(SEARCH(KOL_Database!$D$23,Brand_Profile!$F$32)),"Platform not in Preferred Platform",IF(AND(Brand_Profile!$F$36&gt;0,KOL_Database!$J$23&lt;Brand_Profile!$F$36),"Followers below Preferred Follower Range",IF(AND(Brand_Profile!$F$37&gt;0,KOL_Database!$J$23&gt;Brand_Profile!$F$37),"Followers above Preferred Follower Range",IF(AND(Brand_Profile!$F$38&gt;0,IF(KOL_Database!$K$23="",0,KOL_Database!$K$23)&lt;Brand_Profile!$F$38),"Engagement Rate below Minimum Engagement Rate",IF(ISERROR(SEARCH(KOL_Database!$G$23,Brand_Profile!$F$35)),"Tier not in Preferred Tier",IF(AND(Brand_Profile!$F$43&gt;0,Matching_Engine!$AE$84&lt;Brand_Profile!$F$43),"Audience Quality below Minimum Audience Quality",IF(AND(Brand_Profile!$F$44&gt;0,Matching_Engine!$AK$84&lt;Brand_Profile!$F$44),"Brand Safety below Minimum Brand Safety",IF(AND(Brand_Profile!$F$47="Yes",KOL_Database!$AD$23&lt;&gt;Brand_Profile!$F$19),"Audience Country does not match Target Country",IF(AND(Brand_Profile!$F$46="Yes",KOL_Database!$E$23&lt;&gt;Brand_Profile!$F$33),"Category is not the Preferred Category",IF(AND(Brand_Profile!$F$48&gt;0,Matching_Engine!$AL$84&gt;Brand_Profile!$F$48),"Competitor Saturation above Max Competitor Saturation",IF(AND(Brand_Profile!$F$50="Yes",KOL_Database!$AW$23="Yes"),"Already Selected",IF(AND(Brand_Profile!$F$51="Yes",KOL_Database!$AX$23="Yes"),"Already in Cart",IF(AND(Brand_Profile!$F$52="Yes",KOL_Database!$AY$23="Yes"),"Existing Partner",IF(AND(Brand_Profile!$F$53="Yes",KOL_Database!$AZ$23="Yes"),"Excluded Creator",IF(AND(Brand_Profile!$F$49&gt;0,Matching_Engine!$AP$84&lt;Brand_Profile!$F$49),"Brand Match below Minimum Brand Match","")))))))))))))))</f>
        <v>Tier not in Preferred Tier</v>
      </c>
      <c r="AX84" s="89" t="str">
        <f ca="1">IF(Matching_Engine!$AV$84="EXCLUDED","Excluded",IF(Matching_Engine!$AP$84&gt;=Lookup_Lists!$D$156,"Highly Recommended",IF(Matching_Engine!$AP$84&gt;=Lookup_Lists!$D$157,"Recommended",IF(Matching_Engine!$AP$84&gt;=Lookup_Lists!$D$158,"Consider","Low Priority"))))</f>
        <v>Excluded</v>
      </c>
      <c r="AY84" s="142" t="str">
        <f ca="1">IF(Matching_Engine!$AV$84="PASS",Matching_Engine!$AP$84,"")</f>
        <v/>
      </c>
      <c r="AZ84" s="89" t="str">
        <f>Matching_Engine!$A$84&amp;"|"&amp;Matching_Engine!$C$84</f>
        <v>BRAND-C|KOL-19</v>
      </c>
      <c r="BA84" s="89" t="str">
        <f>IFERROR(INDEX(Lookup_Lists!$B$51:$B$92,MATCH(Brand_Profile!$F$12,Lookup_Lists!$A$51:$A$92,0)),"")</f>
        <v>Food</v>
      </c>
      <c r="BB84" s="89" t="str">
        <f>IFERROR(INDEX(Lookup_Lists!$B$51:$B$92,MATCH(KOL_Database!$F$23,Lookup_Lists!$A$51:$A$92,0)),"")</f>
        <v>Parenting</v>
      </c>
      <c r="BC84" s="142">
        <f>IFERROR(INDEX(Lookup_Lists!$B$185:$O$198,MATCH(Matching_Engine!$BA$84,Lookup_Lists!$A$185:$A$198,0),MATCH(KOL_Database!$E$23,Lookup_Lists!$B$184:$O$184,0)),Lookup_Lists!$D$151)</f>
        <v>60</v>
      </c>
      <c r="BD84" s="142">
        <f>IFERROR(INDEX(Lookup_Lists!$B$185:$O$198,MATCH(Brand_Profile!$F$33,Lookup_Lists!$A$185:$A$198,0),MATCH(KOL_Database!$E$23,Lookup_Lists!$B$184:$O$184,0)),Lookup_Lists!$D$151)</f>
        <v>60</v>
      </c>
      <c r="BE84" s="89" t="str">
        <f>IFERROR(INDEX(Lookup_Lists!$B$51:$B$92,MATCH(Brand_Profile!$F$34,Lookup_Lists!$A$51:$A$92,0)),"")</f>
        <v>Food</v>
      </c>
      <c r="BF84" s="89" t="str">
        <f>KOL_Database!$AI$23&amp;", "&amp;KOL_Database!$AG$23&amp;", "&amp;KOL_Database!$F$23&amp;", "&amp;KOL_Database!$E$23</f>
        <v>Parenting, Health, Cooking, Parenting, Health, Cooking, Home Decor, Shopping, Momlife, Parenting</v>
      </c>
      <c r="BG84" s="89" t="str">
        <f>KOL_Database!$AI$23&amp;", "&amp;KOL_Database!$AG$23</f>
        <v>Parenting, Health, Cooking, Parenting, Health, Cooking, Home Decor, Shopping</v>
      </c>
    </row>
    <row r="85" spans="1:59">
      <c r="A85" s="101" t="s">
        <v>119</v>
      </c>
      <c r="B85" s="89" t="str">
        <f>Brand_Profile!$F$9</f>
        <v>Rasa Nusantara</v>
      </c>
      <c r="C85" s="89" t="str">
        <f>KOL_Database!$A$24</f>
        <v>KOL-20</v>
      </c>
      <c r="D85" s="89" t="str">
        <f>KOL_Database!$B$24</f>
        <v>Hendra Wijoyo</v>
      </c>
      <c r="E85" s="89" t="str">
        <f>KOL_Database!$C$24</f>
        <v>@hendrakeluarga</v>
      </c>
      <c r="F85" s="89" t="str">
        <f>KOL_Database!$D$24</f>
        <v>TikTok</v>
      </c>
      <c r="G85" s="89" t="str">
        <f>KOL_Database!$E$24</f>
        <v>Parenting</v>
      </c>
      <c r="H85" s="89" t="str">
        <f>KOL_Database!$G$24</f>
        <v>Mid-tier</v>
      </c>
      <c r="I85" s="140">
        <f>KOL_Database!$J$24</f>
        <v>89000</v>
      </c>
      <c r="J85" s="141">
        <f>KOL_Database!$K$24</f>
        <v>5.4</v>
      </c>
      <c r="K85" s="142">
        <f>IFERROR(INDEX(Lookup_Lists!$B$170:$O$181,MATCH(Brand_Profile!$F$10,Lookup_Lists!$A$170:$A$181,0),MATCH(KOL_Database!$E$24,Lookup_Lists!$B$169:$O$169,0)),Lookup_Lists!$D$151)</f>
        <v>60</v>
      </c>
      <c r="L85" s="142">
        <f>IF(KOL_Database!$F$24="",Matching_Engine!$BC$85,IF(Brand_Profile!$F$12=KOL_Database!$F$24,100,IF(Matching_Engine!$BA$85=KOL_Database!$E$24,80,IF(Matching_Engine!$BC$85&gt;=80,60,IF(Matching_Engine!$BC$85&gt;=60,40,Lookup_Lists!$D$151)))))</f>
        <v>40</v>
      </c>
      <c r="M85" s="142">
        <f>ROUND((IF(Brand_Profile!$F$62=0,Lookup_Lists!$D$150,ROUND((IF(Brand_Profile!$F$57="",0,IF(ISNUMBER(SEARCH(Brand_Profile!$F$57,Matching_Engine!$BF$85)),1,0))+IF(Brand_Profile!$F$58="",0,IF(ISNUMBER(SEARCH(Brand_Profile!$F$58,Matching_Engine!$BF$85)),1,0))+IF(Brand_Profile!$F$59="",0,IF(ISNUMBER(SEARCH(Brand_Profile!$F$59,Matching_Engine!$BF$85)),1,0))+IF(Brand_Profile!$F$60="",0,IF(ISNUMBER(SEARCH(Brand_Profile!$F$60,Matching_Engine!$BF$85)),1,0))+IF(Brand_Profile!$F$61="",0,IF(ISNUMBER(SEARCH(Brand_Profile!$F$61,Matching_Engine!$BF$85)),1,0)))/Brand_Profile!$F$62*100,0))+IF(Brand_Profile!$F$74=0,Lookup_Lists!$D$150,ROUND((IF(Brand_Profile!$F$69="",0,IF(ISNUMBER(SEARCH(Brand_Profile!$F$69,Matching_Engine!$BF$85)),1,0))+IF(Brand_Profile!$F$70="",0,IF(ISNUMBER(SEARCH(Brand_Profile!$F$70,Matching_Engine!$BF$85)),1,0))+IF(Brand_Profile!$F$71="",0,IF(ISNUMBER(SEARCH(Brand_Profile!$F$71,Matching_Engine!$BF$85)),1,0))+IF(Brand_Profile!$F$72="",0,IF(ISNUMBER(SEARCH(Brand_Profile!$F$72,Matching_Engine!$BF$85)),1,0))+IF(Brand_Profile!$F$73="",0,IF(ISNUMBER(SEARCH(Brand_Profile!$F$73,Matching_Engine!$BF$85)),1,0)))/Brand_Profile!$F$74*100,0)))/2,0)</f>
        <v>40</v>
      </c>
      <c r="N85" s="142">
        <f>ROUND((Matching_Engine!$K$85*Lookup_Lists!$D$110+Matching_Engine!$L$85*Lookup_Lists!$D$111+Matching_Engine!$M$85*Lookup_Lists!$D$112)/(Lookup_Lists!$D$110+Lookup_Lists!$D$111+Lookup_Lists!$D$112),0)</f>
        <v>48</v>
      </c>
      <c r="O85" s="142">
        <f ca="1">IF(Brand_Profile!$F$16="",Lookup_Lists!$D$150,MIN(100,ROUND((IFERROR(INDEX(KOL_Database!$W$24:KOL_Database!$AA$24,1,MATCH(Brand_Profile!$F$16,Lookup_Lists!$F$6:$F$10,0)),0)+0.5*IFERROR(INDEX(KOL_Database!$W$24:KOL_Database!$AA$24,1,MATCH(Brand_Profile!$F$17,Lookup_Lists!$F$6:$F$10,0)),0))/Lookup_Lists!$D$142*100,0)))</f>
        <v>100</v>
      </c>
      <c r="P85" s="142">
        <f>IF(OR(Brand_Profile!$F$18="",Brand_Profile!$F$18="Any"),100,IF(Brand_Profile!$F$18="Female",MIN(100,ROUND(KOL_Database!$AB$24/Lookup_Lists!$D$143*100,0)),IF(Brand_Profile!$F$18="Male",MIN(100,ROUND(KOL_Database!$AC$24/Lookup_Lists!$D$143*100,0)),MAX(0,ROUND(100-ABS(KOL_Database!$AB$24-50)*2,0)))))</f>
        <v>94</v>
      </c>
      <c r="Q85" s="142">
        <f>ROUND((IF(Brand_Profile!$F$19="",100,IF(KOL_Database!$AD$24=Brand_Profile!$F$19,100,Lookup_Lists!$D$151))*Lookup_Lists!$D$118+IF(OR(Brand_Profile!$F$20="",Brand_Profile!$F$20="Nasional"),100,IF(KOL_Database!$AE$24="",Lookup_Lists!$D$150,IF(KOL_Database!$AE$24=Brand_Profile!$F$20,100,IF(KOL_Database!$AD$24=Brand_Profile!$F$19,40,Lookup_Lists!$D$151))))*Lookup_Lists!$D$119+IF(OR(Brand_Profile!$F$21="",Brand_Profile!$F$21="Nasional"),100,IF(KOL_Database!$AF$24="",Lookup_Lists!$D$150,IF(KOL_Database!$AF$24=Brand_Profile!$F$21,100,IF(KOL_Database!$AE$24=Brand_Profile!$F$20,60,Lookup_Lists!$D$151))))*Lookup_Lists!$D$120)/(Lookup_Lists!$D$118+Lookup_Lists!$D$119+Lookup_Lists!$D$120),0)</f>
        <v>100</v>
      </c>
      <c r="R85" s="142">
        <f>IF(Brand_Profile!$F$68=0,Lookup_Lists!$D$150,ROUND((IF(Brand_Profile!$F$63="",0,IF(ISNUMBER(SEARCH(Brand_Profile!$F$63,KOL_Database!$AG$24)),1,0))+IF(Brand_Profile!$F$64="",0,IF(ISNUMBER(SEARCH(Brand_Profile!$F$64,KOL_Database!$AG$24)),1,0))+IF(Brand_Profile!$F$65="",0,IF(ISNUMBER(SEARCH(Brand_Profile!$F$65,KOL_Database!$AG$24)),1,0))+IF(Brand_Profile!$F$66="",0,IF(ISNUMBER(SEARCH(Brand_Profile!$F$66,KOL_Database!$AG$24)),1,0))+IF(Brand_Profile!$F$67="",0,IF(ISNUMBER(SEARCH(Brand_Profile!$F$67,KOL_Database!$AG$24)),1,0)))/Brand_Profile!$F$68*100,0))</f>
        <v>40</v>
      </c>
      <c r="S85" s="142">
        <f ca="1">ROUND((Matching_Engine!$O$85*Brand_Profile!$F$96+Matching_Engine!$P$85*Brand_Profile!$F$97+Matching_Engine!$Q$85*Brand_Profile!$F$98+Matching_Engine!$R$85*Brand_Profile!$F$99)/MAX(1,Brand_Profile!$F$96+Brand_Profile!$F$97+Brand_Profile!$F$98+Brand_Profile!$F$99),0)</f>
        <v>84</v>
      </c>
      <c r="T85" s="142">
        <f>IF(Brand_Profile!$F$33="",Lookup_Lists!$D$150,Matching_Engine!$BD$85)</f>
        <v>60</v>
      </c>
      <c r="U85" s="142">
        <f>IF(Brand_Profile!$F$34="",Lookup_Lists!$D$150,IF(Brand_Profile!$F$34=KOL_Database!$F$24,100,IF(Matching_Engine!$BE$85=KOL_Database!$E$24,75,IF(Matching_Engine!$BD$85&gt;=80,Lookup_Lists!$D$150,IF(Matching_Engine!$BD$85&gt;=60,35,Lookup_Lists!$D$151)))))</f>
        <v>35</v>
      </c>
      <c r="V85" s="142">
        <f>IF(Brand_Profile!$F$86=0,Lookup_Lists!$D$150,ROUND((IF(Brand_Profile!$F$81="",0,IF(ISNUMBER(SEARCH(Brand_Profile!$F$81,Matching_Engine!$BG$85)),1,0))+IF(Brand_Profile!$F$82="",0,IF(ISNUMBER(SEARCH(Brand_Profile!$F$82,Matching_Engine!$BG$85)),1,0))+IF(Brand_Profile!$F$83="",0,IF(ISNUMBER(SEARCH(Brand_Profile!$F$83,Matching_Engine!$BG$85)),1,0))+IF(Brand_Profile!$F$84="",0,IF(ISNUMBER(SEARCH(Brand_Profile!$F$84,Matching_Engine!$BG$85)),1,0))+IF(Brand_Profile!$F$85="",0,IF(ISNUMBER(SEARCH(Brand_Profile!$F$85,Matching_Engine!$BG$85)),1,0)))/Brand_Profile!$F$86*100,0))</f>
        <v>40</v>
      </c>
      <c r="W85" s="142">
        <f>IF(Brand_Profile!$F$39="",Lookup_Lists!$D$150,IFERROR(INDEX(Lookup_Lists!$B$237:$K$246,MATCH(Brand_Profile!$F$39,Lookup_Lists!$A$237:$A$246,0),MATCH(KOL_Database!$AJ$24,Lookup_Lists!$B$236:$K$236,0)),45))</f>
        <v>45</v>
      </c>
      <c r="X85" s="142">
        <f>ROUND((Matching_Engine!$T$85*Lookup_Lists!$D$121+Matching_Engine!$U$85*Lookup_Lists!$D$122+Matching_Engine!$V$85*Lookup_Lists!$D$123+Matching_Engine!$W$85*Lookup_Lists!$D$124)/(Lookup_Lists!$D$121+Lookup_Lists!$D$122+Lookup_Lists!$D$123+Lookup_Lists!$D$124),0)</f>
        <v>46</v>
      </c>
      <c r="Y85" s="142">
        <f>MIN(100,MAX(IFERROR(INDEX(Lookup_Lists!$B$202:$M$211,MATCH(Brand_Profile!$F$25,Lookup_Lists!$A$202:$A$211,0),MATCH(KOL_Database!$AK$24,Lookup_Lists!$B$201:$M$201,0)),40),IF(KOL_Database!$AK$24=Brand_Profile!$F$41,95,0)))</f>
        <v>70</v>
      </c>
      <c r="Z85" s="142">
        <f>IFERROR(INDEX(Lookup_Lists!$B$215:$K$222,MATCH(Brand_Profile!$F$27,Lookup_Lists!$A$215:$A$222,0),MATCH(KOL_Database!$AJ$24,Lookup_Lists!$B$214:$K$214,0)),45)</f>
        <v>70</v>
      </c>
      <c r="AA85" s="142">
        <f>ROUND((IF(Brand_Profile!$F$80=0,Lookup_Lists!$D$150,ROUND((IF(Brand_Profile!$F$75="",0,IF(ISNUMBER(SEARCH(Brand_Profile!$F$75,KOL_Database!$AL$24)),1,0))+IF(Brand_Profile!$F$76="",0,IF(ISNUMBER(SEARCH(Brand_Profile!$F$76,KOL_Database!$AL$24)),1,0))+IF(Brand_Profile!$F$77="",0,IF(ISNUMBER(SEARCH(Brand_Profile!$F$77,KOL_Database!$AL$24)),1,0))+IF(Brand_Profile!$F$78="",0,IF(ISNUMBER(SEARCH(Brand_Profile!$F$78,KOL_Database!$AL$24)),1,0))+IF(Brand_Profile!$F$79="",0,IF(ISNUMBER(SEARCH(Brand_Profile!$F$79,KOL_Database!$AL$24)),1,0)))/Brand_Profile!$F$80*100,0))+IF(Brand_Profile!$F$92=0,Lookup_Lists!$D$150,ROUND((IF(Brand_Profile!$F$87="",0,IF(ISNUMBER(SEARCH(Brand_Profile!$F$87,KOL_Database!$AL$24)),1,0))+IF(Brand_Profile!$F$88="",0,IF(ISNUMBER(SEARCH(Brand_Profile!$F$88,KOL_Database!$AL$24)),1,0))+IF(Brand_Profile!$F$89="",0,IF(ISNUMBER(SEARCH(Brand_Profile!$F$89,KOL_Database!$AL$24)),1,0))+IF(Brand_Profile!$F$90="",0,IF(ISNUMBER(SEARCH(Brand_Profile!$F$90,KOL_Database!$AL$24)),1,0))+IF(Brand_Profile!$F$91="",0,IF(ISNUMBER(SEARCH(Brand_Profile!$F$91,KOL_Database!$AL$24)),1,0)))/Brand_Profile!$F$92*100,0)))/2,0)</f>
        <v>80</v>
      </c>
      <c r="AB85" s="142">
        <f>IFERROR(INDEX(Lookup_Lists!$B$226:$K$233,MATCH(Brand_Profile!$F$30,Lookup_Lists!$A$226:$A$233,0),MATCH(KOL_Database!$AJ$24,Lookup_Lists!$B$225:$K$225,0)),45)</f>
        <v>70</v>
      </c>
      <c r="AC85" s="142">
        <f>ROUND((Matching_Engine!$Y$85*Lookup_Lists!$D$125+Matching_Engine!$Z$85*Lookup_Lists!$D$126+Matching_Engine!$AA$85*Lookup_Lists!$D$127+Matching_Engine!$AB$85*Lookup_Lists!$D$128)/(Lookup_Lists!$D$125+Lookup_Lists!$D$126+Lookup_Lists!$D$127+Lookup_Lists!$D$128),0)</f>
        <v>73</v>
      </c>
      <c r="AD85" s="142">
        <f>IF(KOL_Database!$K$24="",0,MIN(100,ROUND(KOL_Database!$K$24/Lookup_Lists!$D$141*100,0)))</f>
        <v>90</v>
      </c>
      <c r="AE85" s="142">
        <f>IF(KOL_Database!$R$24="",0,MIN(100,MAX(0,KOL_Database!$R$24)))</f>
        <v>85</v>
      </c>
      <c r="AF85" s="142">
        <f>IF(KOL_Database!$P$24="",0,MIN(100,MAX(0,KOL_Database!$P$24)))</f>
        <v>55</v>
      </c>
      <c r="AG85" s="142">
        <f>IF(KOL_Database!$Q$24="",0,MIN(100,MAX(0,KOL_Database!$Q$24)))</f>
        <v>47</v>
      </c>
      <c r="AH85" s="142">
        <f>IF(OR(KOL_Database!$J$24="",KOL_Database!$J$24=0,KOL_Database!$L$24=""),0,MIN(100,ROUND(KOL_Database!$L$24/KOL_Database!$J$24/Lookup_Lists!$D$144*100,0)))</f>
        <v>100</v>
      </c>
      <c r="AI85" s="142">
        <f>IF(KOL_Database!$N$24="",0,MIN(100,MAX(0,ROUND((KOL_Database!$N$24+2)/(Lookup_Lists!$D$145+2)*100,0))))</f>
        <v>25</v>
      </c>
      <c r="AJ85" s="142">
        <f>ROUND((Matching_Engine!$AD$85*Lookup_Lists!$D$129+Matching_Engine!$AE$85*Lookup_Lists!$D$130+Matching_Engine!$AF$85*Lookup_Lists!$D$131+Matching_Engine!$AG$85*Lookup_Lists!$D$132+Matching_Engine!$AH$85*Lookup_Lists!$D$133+Matching_Engine!$AI$85*Lookup_Lists!$D$134)/(Lookup_Lists!$D$129+Lookup_Lists!$D$130+Lookup_Lists!$D$131+Lookup_Lists!$D$132+Lookup_Lists!$D$133+Lookup_Lists!$D$134),0)</f>
        <v>75</v>
      </c>
      <c r="AK85" s="142">
        <f>IF(KOL_Database!$AT$24="",0,MIN(100,MAX(0,KOL_Database!$AT$24)))</f>
        <v>92</v>
      </c>
      <c r="AL85" s="142">
        <f>IF(KOL_Database!$AU$24="",0,KOL_Database!$AU$24)</f>
        <v>58</v>
      </c>
      <c r="AM85" s="89" t="str">
        <f>IF(KOL_Database!$AV$24="","None",KOL_Database!$AV$24)</f>
        <v>None</v>
      </c>
      <c r="AN85" s="143">
        <f>IF(Matching_Engine!$AM$85="High",Lookup_Lists!$D$137,IF(Matching_Engine!$AM$85="Medium",Lookup_Lists!$D$138,IF(Matching_Engine!$AM$85="Low",Lookup_Lists!$D$139,Lookup_Lists!$D$140)))</f>
        <v>1</v>
      </c>
      <c r="AO85" s="142">
        <f>ROUND(MIN(100,MAX(0,(Matching_Engine!$AK$85*Lookup_Lists!$D$135+(100-Matching_Engine!$AL$85)*Lookup_Lists!$D$136)/(Lookup_Lists!$D$135+Lookup_Lists!$D$136)*Matching_Engine!$AN$85)),0)</f>
        <v>82</v>
      </c>
      <c r="AP85" s="13">
        <f ca="1">ROUND((Matching_Engine!$N$85*Lookup_Lists!$D$104+Matching_Engine!$S$85*Lookup_Lists!$D$105+Matching_Engine!$X$85*Lookup_Lists!$D$106+Matching_Engine!$AC$85*Lookup_Lists!$D$107+Matching_Engine!$AJ$85*Lookup_Lists!$D$108+Matching_Engine!$AO$85*Lookup_Lists!$D$109)/MAX(1,(Lookup_Lists!$D$104+Lookup_Lists!$D$105+Lookup_Lists!$D$106+Lookup_Lists!$D$107+Lookup_Lists!$D$108+Lookup_Lists!$D$109)),0)</f>
        <v>67</v>
      </c>
      <c r="AQ85" s="89" t="str">
        <f ca="1">IF(Matching_Engine!$AP$85&gt;=Lookup_Lists!$D$152,"Excellent Match",IF(Matching_Engine!$AP$85&gt;=Lookup_Lists!$D$153,"Strong Match",IF(Matching_Engine!$AP$85&gt;=Lookup_Lists!$D$154,"Good Match",IF(Matching_Engine!$AP$85&gt;=Lookup_Lists!$D$155,"Moderate Match","Low Match"))))</f>
        <v>Moderate Match</v>
      </c>
      <c r="AR85" s="142">
        <f>KOL_Database!$BE$24</f>
        <v>100</v>
      </c>
      <c r="AS85" s="89" t="str">
        <f>IF(Matching_Engine!$AR$85&gt;=Lookup_Lists!$D$159,"High",IF(Matching_Engine!$AR$85&gt;=Lookup_Lists!$D$160,"Medium","Limited Data"))</f>
        <v>High</v>
      </c>
      <c r="AT85" s="142">
        <f>ROUND((Matching_Engine!$N$85+Matching_Engine!$X$85+Matching_Engine!$AC$85)/3,0)</f>
        <v>56</v>
      </c>
      <c r="AU85" s="142">
        <f>ROUND(((100-Matching_Engine!$AL$85)*Lookup_Lists!$D$162+IF(KOL_Database!$BD$24="",Lookup_Lists!$D$150,KOL_Database!$BD$24)*Lookup_Lists!$D$163+Matching_Engine!$AI$85*Lookup_Lists!$D$164+Matching_Engine!$AD$85*Lookup_Lists!$D$165)/(Lookup_Lists!$D$162+Lookup_Lists!$D$163+Lookup_Lists!$D$164+Lookup_Lists!$D$165),0)</f>
        <v>59</v>
      </c>
      <c r="AV85" s="89" t="str">
        <f ca="1">IF(Matching_Engine!$AW$85="","PASS","EXCLUDED")</f>
        <v>PASS</v>
      </c>
      <c r="AW85" s="89" t="str">
        <f ca="1">IF(ISERROR(SEARCH(KOL_Database!$D$24,Brand_Profile!$F$32)),"Platform not in Preferred Platform",IF(AND(Brand_Profile!$F$36&gt;0,KOL_Database!$J$24&lt;Brand_Profile!$F$36),"Followers below Preferred Follower Range",IF(AND(Brand_Profile!$F$37&gt;0,KOL_Database!$J$24&gt;Brand_Profile!$F$37),"Followers above Preferred Follower Range",IF(AND(Brand_Profile!$F$38&gt;0,IF(KOL_Database!$K$24="",0,KOL_Database!$K$24)&lt;Brand_Profile!$F$38),"Engagement Rate below Minimum Engagement Rate",IF(ISERROR(SEARCH(KOL_Database!$G$24,Brand_Profile!$F$35)),"Tier not in Preferred Tier",IF(AND(Brand_Profile!$F$43&gt;0,Matching_Engine!$AE$85&lt;Brand_Profile!$F$43),"Audience Quality below Minimum Audience Quality",IF(AND(Brand_Profile!$F$44&gt;0,Matching_Engine!$AK$85&lt;Brand_Profile!$F$44),"Brand Safety below Minimum Brand Safety",IF(AND(Brand_Profile!$F$47="Yes",KOL_Database!$AD$24&lt;&gt;Brand_Profile!$F$19),"Audience Country does not match Target Country",IF(AND(Brand_Profile!$F$46="Yes",KOL_Database!$E$24&lt;&gt;Brand_Profile!$F$33),"Category is not the Preferred Category",IF(AND(Brand_Profile!$F$48&gt;0,Matching_Engine!$AL$85&gt;Brand_Profile!$F$48),"Competitor Saturation above Max Competitor Saturation",IF(AND(Brand_Profile!$F$50="Yes",KOL_Database!$AW$24="Yes"),"Already Selected",IF(AND(Brand_Profile!$F$51="Yes",KOL_Database!$AX$24="Yes"),"Already in Cart",IF(AND(Brand_Profile!$F$52="Yes",KOL_Database!$AY$24="Yes"),"Existing Partner",IF(AND(Brand_Profile!$F$53="Yes",KOL_Database!$AZ$24="Yes"),"Excluded Creator",IF(AND(Brand_Profile!$F$49&gt;0,Matching_Engine!$AP$85&lt;Brand_Profile!$F$49),"Brand Match below Minimum Brand Match","")))))))))))))))</f>
        <v/>
      </c>
      <c r="AX85" s="89" t="str">
        <f ca="1">IF(Matching_Engine!$AV$85="EXCLUDED","Excluded",IF(Matching_Engine!$AP$85&gt;=Lookup_Lists!$D$156,"Highly Recommended",IF(Matching_Engine!$AP$85&gt;=Lookup_Lists!$D$157,"Recommended",IF(Matching_Engine!$AP$85&gt;=Lookup_Lists!$D$158,"Consider","Low Priority"))))</f>
        <v>Consider</v>
      </c>
      <c r="AY85" s="142">
        <f ca="1">IF(Matching_Engine!$AV$85="PASS",Matching_Engine!$AP$85,"")</f>
        <v>67</v>
      </c>
      <c r="AZ85" s="89" t="str">
        <f>Matching_Engine!$A$85&amp;"|"&amp;Matching_Engine!$C$85</f>
        <v>BRAND-C|KOL-20</v>
      </c>
      <c r="BA85" s="89" t="str">
        <f>IFERROR(INDEX(Lookup_Lists!$B$51:$B$92,MATCH(Brand_Profile!$F$12,Lookup_Lists!$A$51:$A$92,0)),"")</f>
        <v>Food</v>
      </c>
      <c r="BB85" s="89" t="str">
        <f>IFERROR(INDEX(Lookup_Lists!$B$51:$B$92,MATCH(KOL_Database!$F$24,Lookup_Lists!$A$51:$A$92,0)),"")</f>
        <v>Parenting</v>
      </c>
      <c r="BC85" s="142">
        <f>IFERROR(INDEX(Lookup_Lists!$B$185:$O$198,MATCH(Matching_Engine!$BA$85,Lookup_Lists!$A$185:$A$198,0),MATCH(KOL_Database!$E$24,Lookup_Lists!$B$184:$O$184,0)),Lookup_Lists!$D$151)</f>
        <v>60</v>
      </c>
      <c r="BD85" s="142">
        <f>IFERROR(INDEX(Lookup_Lists!$B$185:$O$198,MATCH(Brand_Profile!$F$33,Lookup_Lists!$A$185:$A$198,0),MATCH(KOL_Database!$E$24,Lookup_Lists!$B$184:$O$184,0)),Lookup_Lists!$D$151)</f>
        <v>60</v>
      </c>
      <c r="BE85" s="89" t="str">
        <f>IFERROR(INDEX(Lookup_Lists!$B$51:$B$92,MATCH(Brand_Profile!$F$34,Lookup_Lists!$A$51:$A$92,0)),"")</f>
        <v>Food</v>
      </c>
      <c r="BF85" s="89" t="str">
        <f>KOL_Database!$AI$24&amp;", "&amp;KOL_Database!$AG$24&amp;", "&amp;KOL_Database!$F$24&amp;", "&amp;KOL_Database!$E$24</f>
        <v>Parenting, Food, Entertainment, Parenting, Food, Entertainment, Home Decor, Education, Kids &amp; Family, Parenting</v>
      </c>
      <c r="BG85" s="89" t="str">
        <f>KOL_Database!$AI$24&amp;", "&amp;KOL_Database!$AG$24</f>
        <v>Parenting, Food, Entertainment, Parenting, Food, Entertainment, Home Decor, Education</v>
      </c>
    </row>
    <row r="86" spans="1:59">
      <c r="A86" s="101" t="s">
        <v>119</v>
      </c>
      <c r="B86" s="89" t="str">
        <f>Brand_Profile!$F$9</f>
        <v>Rasa Nusantara</v>
      </c>
      <c r="C86" s="89" t="str">
        <f>KOL_Database!$A$25</f>
        <v>KOL-21</v>
      </c>
      <c r="D86" s="89" t="str">
        <f>KOL_Database!$B$25</f>
        <v>Bagas Setiawan</v>
      </c>
      <c r="E86" s="89" t="str">
        <f>KOL_Database!$C$25</f>
        <v>@bagaskomedi</v>
      </c>
      <c r="F86" s="89" t="str">
        <f>KOL_Database!$D$25</f>
        <v>TikTok</v>
      </c>
      <c r="G86" s="89" t="str">
        <f>KOL_Database!$E$25</f>
        <v>Entertainment</v>
      </c>
      <c r="H86" s="89" t="str">
        <f>KOL_Database!$G$25</f>
        <v>Mega</v>
      </c>
      <c r="I86" s="140">
        <f>KOL_Database!$J$25</f>
        <v>1240000</v>
      </c>
      <c r="J86" s="141">
        <f>KOL_Database!$K$25</f>
        <v>9.2</v>
      </c>
      <c r="K86" s="142">
        <f>IFERROR(INDEX(Lookup_Lists!$B$170:$O$181,MATCH(Brand_Profile!$F$10,Lookup_Lists!$A$170:$A$181,0),MATCH(KOL_Database!$E$25,Lookup_Lists!$B$169:$O$169,0)),Lookup_Lists!$D$151)</f>
        <v>60</v>
      </c>
      <c r="L86" s="142">
        <f>IF(KOL_Database!$F$25="",Matching_Engine!$BC$86,IF(Brand_Profile!$F$12=KOL_Database!$F$25,100,IF(Matching_Engine!$BA$86=KOL_Database!$E$25,80,IF(Matching_Engine!$BC$86&gt;=80,60,IF(Matching_Engine!$BC$86&gt;=60,40,Lookup_Lists!$D$151)))))</f>
        <v>20</v>
      </c>
      <c r="M86" s="142">
        <f>ROUND((IF(Brand_Profile!$F$62=0,Lookup_Lists!$D$150,ROUND((IF(Brand_Profile!$F$57="",0,IF(ISNUMBER(SEARCH(Brand_Profile!$F$57,Matching_Engine!$BF$86)),1,0))+IF(Brand_Profile!$F$58="",0,IF(ISNUMBER(SEARCH(Brand_Profile!$F$58,Matching_Engine!$BF$86)),1,0))+IF(Brand_Profile!$F$59="",0,IF(ISNUMBER(SEARCH(Brand_Profile!$F$59,Matching_Engine!$BF$86)),1,0))+IF(Brand_Profile!$F$60="",0,IF(ISNUMBER(SEARCH(Brand_Profile!$F$60,Matching_Engine!$BF$86)),1,0))+IF(Brand_Profile!$F$61="",0,IF(ISNUMBER(SEARCH(Brand_Profile!$F$61,Matching_Engine!$BF$86)),1,0)))/Brand_Profile!$F$62*100,0))+IF(Brand_Profile!$F$74=0,Lookup_Lists!$D$150,ROUND((IF(Brand_Profile!$F$69="",0,IF(ISNUMBER(SEARCH(Brand_Profile!$F$69,Matching_Engine!$BF$86)),1,0))+IF(Brand_Profile!$F$70="",0,IF(ISNUMBER(SEARCH(Brand_Profile!$F$70,Matching_Engine!$BF$86)),1,0))+IF(Brand_Profile!$F$71="",0,IF(ISNUMBER(SEARCH(Brand_Profile!$F$71,Matching_Engine!$BF$86)),1,0))+IF(Brand_Profile!$F$72="",0,IF(ISNUMBER(SEARCH(Brand_Profile!$F$72,Matching_Engine!$BF$86)),1,0))+IF(Brand_Profile!$F$73="",0,IF(ISNUMBER(SEARCH(Brand_Profile!$F$73,Matching_Engine!$BF$86)),1,0)))/Brand_Profile!$F$74*100,0)))/2,0)</f>
        <v>60</v>
      </c>
      <c r="N86" s="142">
        <f>ROUND((Matching_Engine!$K$86*Lookup_Lists!$D$110+Matching_Engine!$L$86*Lookup_Lists!$D$111+Matching_Engine!$M$86*Lookup_Lists!$D$112)/(Lookup_Lists!$D$110+Lookup_Lists!$D$111+Lookup_Lists!$D$112),0)</f>
        <v>48</v>
      </c>
      <c r="O86" s="142">
        <f ca="1">IF(Brand_Profile!$F$16="",Lookup_Lists!$D$150,MIN(100,ROUND((IFERROR(INDEX(KOL_Database!$W$25:KOL_Database!$AA$25,1,MATCH(Brand_Profile!$F$16,Lookup_Lists!$F$6:$F$10,0)),0)+0.5*IFERROR(INDEX(KOL_Database!$W$25:KOL_Database!$AA$25,1,MATCH(Brand_Profile!$F$17,Lookup_Lists!$F$6:$F$10,0)),0))/Lookup_Lists!$D$142*100,0)))</f>
        <v>78</v>
      </c>
      <c r="P86" s="142">
        <f>IF(OR(Brand_Profile!$F$18="",Brand_Profile!$F$18="Any"),100,IF(Brand_Profile!$F$18="Female",MIN(100,ROUND(KOL_Database!$AB$25/Lookup_Lists!$D$143*100,0)),IF(Brand_Profile!$F$18="Male",MIN(100,ROUND(KOL_Database!$AC$25/Lookup_Lists!$D$143*100,0)),MAX(0,ROUND(100-ABS(KOL_Database!$AB$25-50)*2,0)))))</f>
        <v>92</v>
      </c>
      <c r="Q86" s="142">
        <f>ROUND((IF(Brand_Profile!$F$19="",100,IF(KOL_Database!$AD$25=Brand_Profile!$F$19,100,Lookup_Lists!$D$151))*Lookup_Lists!$D$118+IF(OR(Brand_Profile!$F$20="",Brand_Profile!$F$20="Nasional"),100,IF(KOL_Database!$AE$25="",Lookup_Lists!$D$150,IF(KOL_Database!$AE$25=Brand_Profile!$F$20,100,IF(KOL_Database!$AD$25=Brand_Profile!$F$19,40,Lookup_Lists!$D$151))))*Lookup_Lists!$D$119+IF(OR(Brand_Profile!$F$21="",Brand_Profile!$F$21="Nasional"),100,IF(KOL_Database!$AF$25="",Lookup_Lists!$D$150,IF(KOL_Database!$AF$25=Brand_Profile!$F$21,100,IF(KOL_Database!$AE$25=Brand_Profile!$F$20,60,Lookup_Lists!$D$151))))*Lookup_Lists!$D$120)/(Lookup_Lists!$D$118+Lookup_Lists!$D$119+Lookup_Lists!$D$120),0)</f>
        <v>100</v>
      </c>
      <c r="R86" s="142">
        <f>IF(Brand_Profile!$F$68=0,Lookup_Lists!$D$150,ROUND((IF(Brand_Profile!$F$63="",0,IF(ISNUMBER(SEARCH(Brand_Profile!$F$63,KOL_Database!$AG$25)),1,0))+IF(Brand_Profile!$F$64="",0,IF(ISNUMBER(SEARCH(Brand_Profile!$F$64,KOL_Database!$AG$25)),1,0))+IF(Brand_Profile!$F$65="",0,IF(ISNUMBER(SEARCH(Brand_Profile!$F$65,KOL_Database!$AG$25)),1,0))+IF(Brand_Profile!$F$66="",0,IF(ISNUMBER(SEARCH(Brand_Profile!$F$66,KOL_Database!$AG$25)),1,0))+IF(Brand_Profile!$F$67="",0,IF(ISNUMBER(SEARCH(Brand_Profile!$F$67,KOL_Database!$AG$25)),1,0)))/Brand_Profile!$F$68*100,0))</f>
        <v>40</v>
      </c>
      <c r="S86" s="142">
        <f ca="1">ROUND((Matching_Engine!$O$86*Brand_Profile!$F$96+Matching_Engine!$P$86*Brand_Profile!$F$97+Matching_Engine!$Q$86*Brand_Profile!$F$98+Matching_Engine!$R$86*Brand_Profile!$F$99)/MAX(1,Brand_Profile!$F$96+Brand_Profile!$F$97+Brand_Profile!$F$98+Brand_Profile!$F$99),0)</f>
        <v>75</v>
      </c>
      <c r="T86" s="142">
        <f>IF(Brand_Profile!$F$33="",Lookup_Lists!$D$150,Matching_Engine!$BD$86)</f>
        <v>40</v>
      </c>
      <c r="U86" s="142">
        <f>IF(Brand_Profile!$F$34="",Lookup_Lists!$D$150,IF(Brand_Profile!$F$34=KOL_Database!$F$25,100,IF(Matching_Engine!$BE$86=KOL_Database!$E$25,75,IF(Matching_Engine!$BD$86&gt;=80,Lookup_Lists!$D$150,IF(Matching_Engine!$BD$86&gt;=60,35,Lookup_Lists!$D$151)))))</f>
        <v>20</v>
      </c>
      <c r="V86" s="142">
        <f>IF(Brand_Profile!$F$86=0,Lookup_Lists!$D$150,ROUND((IF(Brand_Profile!$F$81="",0,IF(ISNUMBER(SEARCH(Brand_Profile!$F$81,Matching_Engine!$BG$86)),1,0))+IF(Brand_Profile!$F$82="",0,IF(ISNUMBER(SEARCH(Brand_Profile!$F$82,Matching_Engine!$BG$86)),1,0))+IF(Brand_Profile!$F$83="",0,IF(ISNUMBER(SEARCH(Brand_Profile!$F$83,Matching_Engine!$BG$86)),1,0))+IF(Brand_Profile!$F$84="",0,IF(ISNUMBER(SEARCH(Brand_Profile!$F$84,Matching_Engine!$BG$86)),1,0))+IF(Brand_Profile!$F$85="",0,IF(ISNUMBER(SEARCH(Brand_Profile!$F$85,Matching_Engine!$BG$86)),1,0)))/Brand_Profile!$F$86*100,0))</f>
        <v>40</v>
      </c>
      <c r="W86" s="142">
        <f>IF(Brand_Profile!$F$39="",Lookup_Lists!$D$150,IFERROR(INDEX(Lookup_Lists!$B$237:$K$246,MATCH(Brand_Profile!$F$39,Lookup_Lists!$A$237:$A$246,0),MATCH(KOL_Database!$AJ$25,Lookup_Lists!$B$236:$K$236,0)),45))</f>
        <v>45</v>
      </c>
      <c r="X86" s="142">
        <f>ROUND((Matching_Engine!$T$86*Lookup_Lists!$D$121+Matching_Engine!$U$86*Lookup_Lists!$D$122+Matching_Engine!$V$86*Lookup_Lists!$D$123+Matching_Engine!$W$86*Lookup_Lists!$D$124)/(Lookup_Lists!$D$121+Lookup_Lists!$D$122+Lookup_Lists!$D$123+Lookup_Lists!$D$124),0)</f>
        <v>37</v>
      </c>
      <c r="Y86" s="142">
        <f>MIN(100,MAX(IFERROR(INDEX(Lookup_Lists!$B$202:$M$211,MATCH(Brand_Profile!$F$25,Lookup_Lists!$A$202:$A$211,0),MATCH(KOL_Database!$AK$25,Lookup_Lists!$B$201:$M$201,0)),40),IF(KOL_Database!$AK$25=Brand_Profile!$F$41,95,0)))</f>
        <v>70</v>
      </c>
      <c r="Z86" s="142">
        <f>IFERROR(INDEX(Lookup_Lists!$B$215:$K$222,MATCH(Brand_Profile!$F$27,Lookup_Lists!$A$215:$A$222,0),MATCH(KOL_Database!$AJ$25,Lookup_Lists!$B$214:$K$214,0)),45)</f>
        <v>60</v>
      </c>
      <c r="AA86" s="142">
        <f>ROUND((IF(Brand_Profile!$F$80=0,Lookup_Lists!$D$150,ROUND((IF(Brand_Profile!$F$75="",0,IF(ISNUMBER(SEARCH(Brand_Profile!$F$75,KOL_Database!$AL$25)),1,0))+IF(Brand_Profile!$F$76="",0,IF(ISNUMBER(SEARCH(Brand_Profile!$F$76,KOL_Database!$AL$25)),1,0))+IF(Brand_Profile!$F$77="",0,IF(ISNUMBER(SEARCH(Brand_Profile!$F$77,KOL_Database!$AL$25)),1,0))+IF(Brand_Profile!$F$78="",0,IF(ISNUMBER(SEARCH(Brand_Profile!$F$78,KOL_Database!$AL$25)),1,0))+IF(Brand_Profile!$F$79="",0,IF(ISNUMBER(SEARCH(Brand_Profile!$F$79,KOL_Database!$AL$25)),1,0)))/Brand_Profile!$F$80*100,0))+IF(Brand_Profile!$F$92=0,Lookup_Lists!$D$150,ROUND((IF(Brand_Profile!$F$87="",0,IF(ISNUMBER(SEARCH(Brand_Profile!$F$87,KOL_Database!$AL$25)),1,0))+IF(Brand_Profile!$F$88="",0,IF(ISNUMBER(SEARCH(Brand_Profile!$F$88,KOL_Database!$AL$25)),1,0))+IF(Brand_Profile!$F$89="",0,IF(ISNUMBER(SEARCH(Brand_Profile!$F$89,KOL_Database!$AL$25)),1,0))+IF(Brand_Profile!$F$90="",0,IF(ISNUMBER(SEARCH(Brand_Profile!$F$90,KOL_Database!$AL$25)),1,0))+IF(Brand_Profile!$F$91="",0,IF(ISNUMBER(SEARCH(Brand_Profile!$F$91,KOL_Database!$AL$25)),1,0)))/Brand_Profile!$F$92*100,0)))/2,0)</f>
        <v>80</v>
      </c>
      <c r="AB86" s="142">
        <f>IFERROR(INDEX(Lookup_Lists!$B$226:$K$233,MATCH(Brand_Profile!$F$30,Lookup_Lists!$A$226:$A$233,0),MATCH(KOL_Database!$AJ$25,Lookup_Lists!$B$225:$K$225,0)),45)</f>
        <v>60</v>
      </c>
      <c r="AC86" s="142">
        <f>ROUND((Matching_Engine!$Y$86*Lookup_Lists!$D$125+Matching_Engine!$Z$86*Lookup_Lists!$D$126+Matching_Engine!$AA$86*Lookup_Lists!$D$127+Matching_Engine!$AB$86*Lookup_Lists!$D$128)/(Lookup_Lists!$D$125+Lookup_Lists!$D$126+Lookup_Lists!$D$127+Lookup_Lists!$D$128),0)</f>
        <v>69</v>
      </c>
      <c r="AD86" s="142">
        <f>IF(KOL_Database!$K$25="",0,MIN(100,ROUND(KOL_Database!$K$25/Lookup_Lists!$D$141*100,0)))</f>
        <v>100</v>
      </c>
      <c r="AE86" s="142">
        <f>IF(KOL_Database!$R$25="",0,MIN(100,MAX(0,KOL_Database!$R$25)))</f>
        <v>76</v>
      </c>
      <c r="AF86" s="142">
        <f>IF(KOL_Database!$P$25="",0,MIN(100,MAX(0,KOL_Database!$P$25)))</f>
        <v>63</v>
      </c>
      <c r="AG86" s="142">
        <f>IF(KOL_Database!$Q$25="",0,MIN(100,MAX(0,KOL_Database!$Q$25)))</f>
        <v>52</v>
      </c>
      <c r="AH86" s="142">
        <f>IF(OR(KOL_Database!$J$25="",KOL_Database!$J$25=0,KOL_Database!$L$25=""),0,MIN(100,ROUND(KOL_Database!$L$25/KOL_Database!$J$25/Lookup_Lists!$D$144*100,0)))</f>
        <v>100</v>
      </c>
      <c r="AI86" s="142">
        <f>IF(KOL_Database!$N$25="",0,MIN(100,MAX(0,ROUND((KOL_Database!$N$25+2)/(Lookup_Lists!$D$145+2)*100,0))))</f>
        <v>42</v>
      </c>
      <c r="AJ86" s="142">
        <f>ROUND((Matching_Engine!$AD$86*Lookup_Lists!$D$129+Matching_Engine!$AE$86*Lookup_Lists!$D$130+Matching_Engine!$AF$86*Lookup_Lists!$D$131+Matching_Engine!$AG$86*Lookup_Lists!$D$132+Matching_Engine!$AH$86*Lookup_Lists!$D$133+Matching_Engine!$AI$86*Lookup_Lists!$D$134)/(Lookup_Lists!$D$129+Lookup_Lists!$D$130+Lookup_Lists!$D$131+Lookup_Lists!$D$132+Lookup_Lists!$D$133+Lookup_Lists!$D$134),0)</f>
        <v>80</v>
      </c>
      <c r="AK86" s="142">
        <f>IF(KOL_Database!$AT$25="",0,MIN(100,MAX(0,KOL_Database!$AT$25)))</f>
        <v>62</v>
      </c>
      <c r="AL86" s="142">
        <f>IF(KOL_Database!$AU$25="",0,KOL_Database!$AU$25)</f>
        <v>88</v>
      </c>
      <c r="AM86" s="89" t="str">
        <f>IF(KOL_Database!$AV$25="","None",KOL_Database!$AV$25)</f>
        <v>Medium</v>
      </c>
      <c r="AN86" s="143">
        <f>IF(Matching_Engine!$AM$86="High",Lookup_Lists!$D$137,IF(Matching_Engine!$AM$86="Medium",Lookup_Lists!$D$138,IF(Matching_Engine!$AM$86="Low",Lookup_Lists!$D$139,Lookup_Lists!$D$140)))</f>
        <v>0.85</v>
      </c>
      <c r="AO86" s="142">
        <f>ROUND(MIN(100,MAX(0,(Matching_Engine!$AK$86*Lookup_Lists!$D$135+(100-Matching_Engine!$AL$86)*Lookup_Lists!$D$136)/(Lookup_Lists!$D$135+Lookup_Lists!$D$136)*Matching_Engine!$AN$86)),0)</f>
        <v>44</v>
      </c>
      <c r="AP86" s="13">
        <f ca="1">ROUND((Matching_Engine!$N$86*Lookup_Lists!$D$104+Matching_Engine!$S$86*Lookup_Lists!$D$105+Matching_Engine!$X$86*Lookup_Lists!$D$106+Matching_Engine!$AC$86*Lookup_Lists!$D$107+Matching_Engine!$AJ$86*Lookup_Lists!$D$108+Matching_Engine!$AO$86*Lookup_Lists!$D$109)/MAX(1,(Lookup_Lists!$D$104+Lookup_Lists!$D$105+Lookup_Lists!$D$106+Lookup_Lists!$D$107+Lookup_Lists!$D$108+Lookup_Lists!$D$109)),0)</f>
        <v>59</v>
      </c>
      <c r="AQ86" s="89" t="str">
        <f ca="1">IF(Matching_Engine!$AP$86&gt;=Lookup_Lists!$D$152,"Excellent Match",IF(Matching_Engine!$AP$86&gt;=Lookup_Lists!$D$153,"Strong Match",IF(Matching_Engine!$AP$86&gt;=Lookup_Lists!$D$154,"Good Match",IF(Matching_Engine!$AP$86&gt;=Lookup_Lists!$D$155,"Moderate Match","Low Match"))))</f>
        <v>Low Match</v>
      </c>
      <c r="AR86" s="142">
        <f>KOL_Database!$BE$25</f>
        <v>100</v>
      </c>
      <c r="AS86" s="89" t="str">
        <f>IF(Matching_Engine!$AR$86&gt;=Lookup_Lists!$D$159,"High",IF(Matching_Engine!$AR$86&gt;=Lookup_Lists!$D$160,"Medium","Limited Data"))</f>
        <v>High</v>
      </c>
      <c r="AT86" s="142">
        <f>ROUND((Matching_Engine!$N$86+Matching_Engine!$X$86+Matching_Engine!$AC$86)/3,0)</f>
        <v>51</v>
      </c>
      <c r="AU86" s="142">
        <f>ROUND(((100-Matching_Engine!$AL$86)*Lookup_Lists!$D$162+IF(KOL_Database!$BD$25="",Lookup_Lists!$D$150,KOL_Database!$BD$25)*Lookup_Lists!$D$163+Matching_Engine!$AI$86*Lookup_Lists!$D$164+Matching_Engine!$AD$86*Lookup_Lists!$D$165)/(Lookup_Lists!$D$162+Lookup_Lists!$D$163+Lookup_Lists!$D$164+Lookup_Lists!$D$165),0)</f>
        <v>55</v>
      </c>
      <c r="AV86" s="89" t="str">
        <f ca="1">IF(Matching_Engine!$AW$86="","PASS","EXCLUDED")</f>
        <v>EXCLUDED</v>
      </c>
      <c r="AW86" s="89" t="str">
        <f ca="1">IF(ISERROR(SEARCH(KOL_Database!$D$25,Brand_Profile!$F$32)),"Platform not in Preferred Platform",IF(AND(Brand_Profile!$F$36&gt;0,KOL_Database!$J$25&lt;Brand_Profile!$F$36),"Followers below Preferred Follower Range",IF(AND(Brand_Profile!$F$37&gt;0,KOL_Database!$J$25&gt;Brand_Profile!$F$37),"Followers above Preferred Follower Range",IF(AND(Brand_Profile!$F$38&gt;0,IF(KOL_Database!$K$25="",0,KOL_Database!$K$25)&lt;Brand_Profile!$F$38),"Engagement Rate below Minimum Engagement Rate",IF(ISERROR(SEARCH(KOL_Database!$G$25,Brand_Profile!$F$35)),"Tier not in Preferred Tier",IF(AND(Brand_Profile!$F$43&gt;0,Matching_Engine!$AE$86&lt;Brand_Profile!$F$43),"Audience Quality below Minimum Audience Quality",IF(AND(Brand_Profile!$F$44&gt;0,Matching_Engine!$AK$86&lt;Brand_Profile!$F$44),"Brand Safety below Minimum Brand Safety",IF(AND(Brand_Profile!$F$47="Yes",KOL_Database!$AD$25&lt;&gt;Brand_Profile!$F$19),"Audience Country does not match Target Country",IF(AND(Brand_Profile!$F$46="Yes",KOL_Database!$E$25&lt;&gt;Brand_Profile!$F$33),"Category is not the Preferred Category",IF(AND(Brand_Profile!$F$48&gt;0,Matching_Engine!$AL$86&gt;Brand_Profile!$F$48),"Competitor Saturation above Max Competitor Saturation",IF(AND(Brand_Profile!$F$50="Yes",KOL_Database!$AW$25="Yes"),"Already Selected",IF(AND(Brand_Profile!$F$51="Yes",KOL_Database!$AX$25="Yes"),"Already in Cart",IF(AND(Brand_Profile!$F$52="Yes",KOL_Database!$AY$25="Yes"),"Existing Partner",IF(AND(Brand_Profile!$F$53="Yes",KOL_Database!$AZ$25="Yes"),"Excluded Creator",IF(AND(Brand_Profile!$F$49&gt;0,Matching_Engine!$AP$86&lt;Brand_Profile!$F$49),"Brand Match below Minimum Brand Match","")))))))))))))))</f>
        <v>Followers above Preferred Follower Range</v>
      </c>
      <c r="AX86" s="89" t="str">
        <f ca="1">IF(Matching_Engine!$AV$86="EXCLUDED","Excluded",IF(Matching_Engine!$AP$86&gt;=Lookup_Lists!$D$156,"Highly Recommended",IF(Matching_Engine!$AP$86&gt;=Lookup_Lists!$D$157,"Recommended",IF(Matching_Engine!$AP$86&gt;=Lookup_Lists!$D$158,"Consider","Low Priority"))))</f>
        <v>Excluded</v>
      </c>
      <c r="AY86" s="142" t="str">
        <f ca="1">IF(Matching_Engine!$AV$86="PASS",Matching_Engine!$AP$86,"")</f>
        <v/>
      </c>
      <c r="AZ86" s="89" t="str">
        <f>Matching_Engine!$A$86&amp;"|"&amp;Matching_Engine!$C$86</f>
        <v>BRAND-C|KOL-21</v>
      </c>
      <c r="BA86" s="89" t="str">
        <f>IFERROR(INDEX(Lookup_Lists!$B$51:$B$92,MATCH(Brand_Profile!$F$12,Lookup_Lists!$A$51:$A$92,0)),"")</f>
        <v>Food</v>
      </c>
      <c r="BB86" s="89" t="str">
        <f>IFERROR(INDEX(Lookup_Lists!$B$51:$B$92,MATCH(KOL_Database!$F$25,Lookup_Lists!$A$51:$A$92,0)),"")</f>
        <v>Entertainment</v>
      </c>
      <c r="BC86" s="142">
        <f>IFERROR(INDEX(Lookup_Lists!$B$185:$O$198,MATCH(Matching_Engine!$BA$86,Lookup_Lists!$A$185:$A$198,0),MATCH(KOL_Database!$E$25,Lookup_Lists!$B$184:$O$184,0)),Lookup_Lists!$D$151)</f>
        <v>40</v>
      </c>
      <c r="BD86" s="142">
        <f>IFERROR(INDEX(Lookup_Lists!$B$185:$O$198,MATCH(Brand_Profile!$F$33,Lookup_Lists!$A$185:$A$198,0),MATCH(KOL_Database!$E$25,Lookup_Lists!$B$184:$O$184,0)),Lookup_Lists!$D$151)</f>
        <v>40</v>
      </c>
      <c r="BE86" s="89" t="str">
        <f>IFERROR(INDEX(Lookup_Lists!$B$51:$B$92,MATCH(Brand_Profile!$F$34,Lookup_Lists!$A$51:$A$92,0)),"")</f>
        <v>Food</v>
      </c>
      <c r="BF86" s="89" t="str">
        <f>KOL_Database!$AI$25&amp;", "&amp;KOL_Database!$AG$25&amp;", "&amp;KOL_Database!$F$25&amp;", "&amp;KOL_Database!$E$25</f>
        <v>Entertainment, Music, Food, Entertainment, Music, Food, Gaming, Shopping, Comedy, Entertainment</v>
      </c>
      <c r="BG86" s="89" t="str">
        <f>KOL_Database!$AI$25&amp;", "&amp;KOL_Database!$AG$25</f>
        <v>Entertainment, Music, Food, Entertainment, Music, Food, Gaming, Shopping</v>
      </c>
    </row>
    <row r="87" spans="1:59">
      <c r="A87" s="101" t="s">
        <v>119</v>
      </c>
      <c r="B87" s="89" t="str">
        <f>Brand_Profile!$F$9</f>
        <v>Rasa Nusantara</v>
      </c>
      <c r="C87" s="89" t="str">
        <f>KOL_Database!$A$26</f>
        <v>KOL-22</v>
      </c>
      <c r="D87" s="89" t="str">
        <f>KOL_Database!$B$26</f>
        <v>Nabila Kirana</v>
      </c>
      <c r="E87" s="89" t="str">
        <f>KOL_Database!$C$26</f>
        <v>@nabilamusic</v>
      </c>
      <c r="F87" s="89" t="str">
        <f>KOL_Database!$D$26</f>
        <v>Instagram</v>
      </c>
      <c r="G87" s="89" t="str">
        <f>KOL_Database!$E$26</f>
        <v>Entertainment</v>
      </c>
      <c r="H87" s="89" t="str">
        <f>KOL_Database!$G$26</f>
        <v>Macro</v>
      </c>
      <c r="I87" s="140">
        <f>KOL_Database!$J$26</f>
        <v>420000</v>
      </c>
      <c r="J87" s="141">
        <f>KOL_Database!$K$26</f>
        <v>3.6</v>
      </c>
      <c r="K87" s="142">
        <f>IFERROR(INDEX(Lookup_Lists!$B$170:$O$181,MATCH(Brand_Profile!$F$10,Lookup_Lists!$A$170:$A$181,0),MATCH(KOL_Database!$E$26,Lookup_Lists!$B$169:$O$169,0)),Lookup_Lists!$D$151)</f>
        <v>60</v>
      </c>
      <c r="L87" s="142">
        <f>IF(KOL_Database!$F$26="",Matching_Engine!$BC$87,IF(Brand_Profile!$F$12=KOL_Database!$F$26,100,IF(Matching_Engine!$BA$87=KOL_Database!$E$26,80,IF(Matching_Engine!$BC$87&gt;=80,60,IF(Matching_Engine!$BC$87&gt;=60,40,Lookup_Lists!$D$151)))))</f>
        <v>20</v>
      </c>
      <c r="M87" s="142">
        <f>ROUND((IF(Brand_Profile!$F$62=0,Lookup_Lists!$D$150,ROUND((IF(Brand_Profile!$F$57="",0,IF(ISNUMBER(SEARCH(Brand_Profile!$F$57,Matching_Engine!$BF$87)),1,0))+IF(Brand_Profile!$F$58="",0,IF(ISNUMBER(SEARCH(Brand_Profile!$F$58,Matching_Engine!$BF$87)),1,0))+IF(Brand_Profile!$F$59="",0,IF(ISNUMBER(SEARCH(Brand_Profile!$F$59,Matching_Engine!$BF$87)),1,0))+IF(Brand_Profile!$F$60="",0,IF(ISNUMBER(SEARCH(Brand_Profile!$F$60,Matching_Engine!$BF$87)),1,0))+IF(Brand_Profile!$F$61="",0,IF(ISNUMBER(SEARCH(Brand_Profile!$F$61,Matching_Engine!$BF$87)),1,0)))/Brand_Profile!$F$62*100,0))+IF(Brand_Profile!$F$74=0,Lookup_Lists!$D$150,ROUND((IF(Brand_Profile!$F$69="",0,IF(ISNUMBER(SEARCH(Brand_Profile!$F$69,Matching_Engine!$BF$87)),1,0))+IF(Brand_Profile!$F$70="",0,IF(ISNUMBER(SEARCH(Brand_Profile!$F$70,Matching_Engine!$BF$87)),1,0))+IF(Brand_Profile!$F$71="",0,IF(ISNUMBER(SEARCH(Brand_Profile!$F$71,Matching_Engine!$BF$87)),1,0))+IF(Brand_Profile!$F$72="",0,IF(ISNUMBER(SEARCH(Brand_Profile!$F$72,Matching_Engine!$BF$87)),1,0))+IF(Brand_Profile!$F$73="",0,IF(ISNUMBER(SEARCH(Brand_Profile!$F$73,Matching_Engine!$BF$87)),1,0)))/Brand_Profile!$F$74*100,0)))/2,0)</f>
        <v>40</v>
      </c>
      <c r="N87" s="142">
        <f>ROUND((Matching_Engine!$K$87*Lookup_Lists!$D$110+Matching_Engine!$L$87*Lookup_Lists!$D$111+Matching_Engine!$M$87*Lookup_Lists!$D$112)/(Lookup_Lists!$D$110+Lookup_Lists!$D$111+Lookup_Lists!$D$112),0)</f>
        <v>42</v>
      </c>
      <c r="O87" s="142">
        <f ca="1">IF(Brand_Profile!$F$16="",Lookup_Lists!$D$150,MIN(100,ROUND((IFERROR(INDEX(KOL_Database!$W$26:KOL_Database!$AA$26,1,MATCH(Brand_Profile!$F$16,Lookup_Lists!$F$6:$F$10,0)),0)+0.5*IFERROR(INDEX(KOL_Database!$W$26:KOL_Database!$AA$26,1,MATCH(Brand_Profile!$F$17,Lookup_Lists!$F$6:$F$10,0)),0))/Lookup_Lists!$D$142*100,0)))</f>
        <v>79</v>
      </c>
      <c r="P87" s="142">
        <f>IF(OR(Brand_Profile!$F$18="",Brand_Profile!$F$18="Any"),100,IF(Brand_Profile!$F$18="Female",MIN(100,ROUND(KOL_Database!$AB$26/Lookup_Lists!$D$143*100,0)),IF(Brand_Profile!$F$18="Male",MIN(100,ROUND(KOL_Database!$AC$26/Lookup_Lists!$D$143*100,0)),MAX(0,ROUND(100-ABS(KOL_Database!$AB$26-50)*2,0)))))</f>
        <v>68</v>
      </c>
      <c r="Q87" s="142">
        <f>ROUND((IF(Brand_Profile!$F$19="",100,IF(KOL_Database!$AD$26=Brand_Profile!$F$19,100,Lookup_Lists!$D$151))*Lookup_Lists!$D$118+IF(OR(Brand_Profile!$F$20="",Brand_Profile!$F$20="Nasional"),100,IF(KOL_Database!$AE$26="",Lookup_Lists!$D$150,IF(KOL_Database!$AE$26=Brand_Profile!$F$20,100,IF(KOL_Database!$AD$26=Brand_Profile!$F$19,40,Lookup_Lists!$D$151))))*Lookup_Lists!$D$119+IF(OR(Brand_Profile!$F$21="",Brand_Profile!$F$21="Nasional"),100,IF(KOL_Database!$AF$26="",Lookup_Lists!$D$150,IF(KOL_Database!$AF$26=Brand_Profile!$F$21,100,IF(KOL_Database!$AE$26=Brand_Profile!$F$20,60,Lookup_Lists!$D$151))))*Lookup_Lists!$D$120)/(Lookup_Lists!$D$118+Lookup_Lists!$D$119+Lookup_Lists!$D$120),0)</f>
        <v>100</v>
      </c>
      <c r="R87" s="142">
        <f>IF(Brand_Profile!$F$68=0,Lookup_Lists!$D$150,ROUND((IF(Brand_Profile!$F$63="",0,IF(ISNUMBER(SEARCH(Brand_Profile!$F$63,KOL_Database!$AG$26)),1,0))+IF(Brand_Profile!$F$64="",0,IF(ISNUMBER(SEARCH(Brand_Profile!$F$64,KOL_Database!$AG$26)),1,0))+IF(Brand_Profile!$F$65="",0,IF(ISNUMBER(SEARCH(Brand_Profile!$F$65,KOL_Database!$AG$26)),1,0))+IF(Brand_Profile!$F$66="",0,IF(ISNUMBER(SEARCH(Brand_Profile!$F$66,KOL_Database!$AG$26)),1,0))+IF(Brand_Profile!$F$67="",0,IF(ISNUMBER(SEARCH(Brand_Profile!$F$67,KOL_Database!$AG$26)),1,0)))/Brand_Profile!$F$68*100,0))</f>
        <v>20</v>
      </c>
      <c r="S87" s="142">
        <f ca="1">ROUND((Matching_Engine!$O$87*Brand_Profile!$F$96+Matching_Engine!$P$87*Brand_Profile!$F$97+Matching_Engine!$Q$87*Brand_Profile!$F$98+Matching_Engine!$R$87*Brand_Profile!$F$99)/MAX(1,Brand_Profile!$F$96+Brand_Profile!$F$97+Brand_Profile!$F$98+Brand_Profile!$F$99),0)</f>
        <v>68</v>
      </c>
      <c r="T87" s="142">
        <f>IF(Brand_Profile!$F$33="",Lookup_Lists!$D$150,Matching_Engine!$BD$87)</f>
        <v>40</v>
      </c>
      <c r="U87" s="142">
        <f>IF(Brand_Profile!$F$34="",Lookup_Lists!$D$150,IF(Brand_Profile!$F$34=KOL_Database!$F$26,100,IF(Matching_Engine!$BE$87=KOL_Database!$E$26,75,IF(Matching_Engine!$BD$87&gt;=80,Lookup_Lists!$D$150,IF(Matching_Engine!$BD$87&gt;=60,35,Lookup_Lists!$D$151)))))</f>
        <v>20</v>
      </c>
      <c r="V87" s="142">
        <f>IF(Brand_Profile!$F$86=0,Lookup_Lists!$D$150,ROUND((IF(Brand_Profile!$F$81="",0,IF(ISNUMBER(SEARCH(Brand_Profile!$F$81,Matching_Engine!$BG$87)),1,0))+IF(Brand_Profile!$F$82="",0,IF(ISNUMBER(SEARCH(Brand_Profile!$F$82,Matching_Engine!$BG$87)),1,0))+IF(Brand_Profile!$F$83="",0,IF(ISNUMBER(SEARCH(Brand_Profile!$F$83,Matching_Engine!$BG$87)),1,0))+IF(Brand_Profile!$F$84="",0,IF(ISNUMBER(SEARCH(Brand_Profile!$F$84,Matching_Engine!$BG$87)),1,0))+IF(Brand_Profile!$F$85="",0,IF(ISNUMBER(SEARCH(Brand_Profile!$F$85,Matching_Engine!$BG$87)),1,0)))/Brand_Profile!$F$86*100,0))</f>
        <v>20</v>
      </c>
      <c r="W87" s="142">
        <f>IF(Brand_Profile!$F$39="",Lookup_Lists!$D$150,IFERROR(INDEX(Lookup_Lists!$B$237:$K$246,MATCH(Brand_Profile!$F$39,Lookup_Lists!$A$237:$A$246,0),MATCH(KOL_Database!$AJ$26,Lookup_Lists!$B$236:$K$236,0)),45))</f>
        <v>45</v>
      </c>
      <c r="X87" s="142">
        <f>ROUND((Matching_Engine!$T$87*Lookup_Lists!$D$121+Matching_Engine!$U$87*Lookup_Lists!$D$122+Matching_Engine!$V$87*Lookup_Lists!$D$123+Matching_Engine!$W$87*Lookup_Lists!$D$124)/(Lookup_Lists!$D$121+Lookup_Lists!$D$122+Lookup_Lists!$D$123+Lookup_Lists!$D$124),0)</f>
        <v>31</v>
      </c>
      <c r="Y87" s="142">
        <f>MIN(100,MAX(IFERROR(INDEX(Lookup_Lists!$B$202:$M$211,MATCH(Brand_Profile!$F$25,Lookup_Lists!$A$202:$A$211,0),MATCH(KOL_Database!$AK$26,Lookup_Lists!$B$201:$M$201,0)),40),IF(KOL_Database!$AK$26=Brand_Profile!$F$41,95,0)))</f>
        <v>60</v>
      </c>
      <c r="Z87" s="142">
        <f>IFERROR(INDEX(Lookup_Lists!$B$215:$K$222,MATCH(Brand_Profile!$F$27,Lookup_Lists!$A$215:$A$222,0),MATCH(KOL_Database!$AJ$26,Lookup_Lists!$B$214:$K$214,0)),45)</f>
        <v>65</v>
      </c>
      <c r="AA87" s="142">
        <f>ROUND((IF(Brand_Profile!$F$80=0,Lookup_Lists!$D$150,ROUND((IF(Brand_Profile!$F$75="",0,IF(ISNUMBER(SEARCH(Brand_Profile!$F$75,KOL_Database!$AL$26)),1,0))+IF(Brand_Profile!$F$76="",0,IF(ISNUMBER(SEARCH(Brand_Profile!$F$76,KOL_Database!$AL$26)),1,0))+IF(Brand_Profile!$F$77="",0,IF(ISNUMBER(SEARCH(Brand_Profile!$F$77,KOL_Database!$AL$26)),1,0))+IF(Brand_Profile!$F$78="",0,IF(ISNUMBER(SEARCH(Brand_Profile!$F$78,KOL_Database!$AL$26)),1,0))+IF(Brand_Profile!$F$79="",0,IF(ISNUMBER(SEARCH(Brand_Profile!$F$79,KOL_Database!$AL$26)),1,0)))/Brand_Profile!$F$80*100,0))+IF(Brand_Profile!$F$92=0,Lookup_Lists!$D$150,ROUND((IF(Brand_Profile!$F$87="",0,IF(ISNUMBER(SEARCH(Brand_Profile!$F$87,KOL_Database!$AL$26)),1,0))+IF(Brand_Profile!$F$88="",0,IF(ISNUMBER(SEARCH(Brand_Profile!$F$88,KOL_Database!$AL$26)),1,0))+IF(Brand_Profile!$F$89="",0,IF(ISNUMBER(SEARCH(Brand_Profile!$F$89,KOL_Database!$AL$26)),1,0))+IF(Brand_Profile!$F$90="",0,IF(ISNUMBER(SEARCH(Brand_Profile!$F$90,KOL_Database!$AL$26)),1,0))+IF(Brand_Profile!$F$91="",0,IF(ISNUMBER(SEARCH(Brand_Profile!$F$91,KOL_Database!$AL$26)),1,0)))/Brand_Profile!$F$92*100,0)))/2,0)</f>
        <v>60</v>
      </c>
      <c r="AB87" s="142">
        <f>IFERROR(INDEX(Lookup_Lists!$B$226:$K$233,MATCH(Brand_Profile!$F$30,Lookup_Lists!$A$226:$A$233,0),MATCH(KOL_Database!$AJ$26,Lookup_Lists!$B$225:$K$225,0)),45)</f>
        <v>70</v>
      </c>
      <c r="AC87" s="142">
        <f>ROUND((Matching_Engine!$Y$87*Lookup_Lists!$D$125+Matching_Engine!$Z$87*Lookup_Lists!$D$126+Matching_Engine!$AA$87*Lookup_Lists!$D$127+Matching_Engine!$AB$87*Lookup_Lists!$D$128)/(Lookup_Lists!$D$125+Lookup_Lists!$D$126+Lookup_Lists!$D$127+Lookup_Lists!$D$128),0)</f>
        <v>63</v>
      </c>
      <c r="AD87" s="142">
        <f>IF(KOL_Database!$K$26="",0,MIN(100,ROUND(KOL_Database!$K$26/Lookup_Lists!$D$141*100,0)))</f>
        <v>60</v>
      </c>
      <c r="AE87" s="142">
        <f>IF(KOL_Database!$R$26="",0,MIN(100,MAX(0,KOL_Database!$R$26)))</f>
        <v>75</v>
      </c>
      <c r="AF87" s="142">
        <f>IF(KOL_Database!$P$26="",0,MIN(100,MAX(0,KOL_Database!$P$26)))</f>
        <v>74</v>
      </c>
      <c r="AG87" s="142">
        <f>IF(KOL_Database!$Q$26="",0,MIN(100,MAX(0,KOL_Database!$Q$26)))</f>
        <v>69</v>
      </c>
      <c r="AH87" s="142">
        <f>IF(OR(KOL_Database!$J$26="",KOL_Database!$J$26=0,KOL_Database!$L$26=""),0,MIN(100,ROUND(KOL_Database!$L$26/KOL_Database!$J$26/Lookup_Lists!$D$144*100,0)))</f>
        <v>62</v>
      </c>
      <c r="AI87" s="142">
        <f>IF(KOL_Database!$N$26="",0,MIN(100,MAX(0,ROUND((KOL_Database!$N$26+2)/(Lookup_Lists!$D$145+2)*100,0))))</f>
        <v>44</v>
      </c>
      <c r="AJ87" s="142">
        <f>ROUND((Matching_Engine!$AD$87*Lookup_Lists!$D$129+Matching_Engine!$AE$87*Lookup_Lists!$D$130+Matching_Engine!$AF$87*Lookup_Lists!$D$131+Matching_Engine!$AG$87*Lookup_Lists!$D$132+Matching_Engine!$AH$87*Lookup_Lists!$D$133+Matching_Engine!$AI$87*Lookup_Lists!$D$134)/(Lookup_Lists!$D$129+Lookup_Lists!$D$130+Lookup_Lists!$D$131+Lookup_Lists!$D$132+Lookup_Lists!$D$133+Lookup_Lists!$D$134),0)</f>
        <v>66</v>
      </c>
      <c r="AK87" s="142">
        <f>IF(KOL_Database!$AT$26="",0,MIN(100,MAX(0,KOL_Database!$AT$26)))</f>
        <v>55</v>
      </c>
      <c r="AL87" s="142">
        <f>IF(KOL_Database!$AU$26="",0,KOL_Database!$AU$26)</f>
        <v>40</v>
      </c>
      <c r="AM87" s="89" t="str">
        <f>IF(KOL_Database!$AV$26="","None",KOL_Database!$AV$26)</f>
        <v>High</v>
      </c>
      <c r="AN87" s="143">
        <f>IF(Matching_Engine!$AM$87="High",Lookup_Lists!$D$137,IF(Matching_Engine!$AM$87="Medium",Lookup_Lists!$D$138,IF(Matching_Engine!$AM$87="Low",Lookup_Lists!$D$139,Lookup_Lists!$D$140)))</f>
        <v>0.6</v>
      </c>
      <c r="AO87" s="142">
        <f>ROUND(MIN(100,MAX(0,(Matching_Engine!$AK$87*Lookup_Lists!$D$135+(100-Matching_Engine!$AL$87)*Lookup_Lists!$D$136)/(Lookup_Lists!$D$135+Lookup_Lists!$D$136)*Matching_Engine!$AN$87)),0)</f>
        <v>34</v>
      </c>
      <c r="AP87" s="13">
        <f ca="1">ROUND((Matching_Engine!$N$87*Lookup_Lists!$D$104+Matching_Engine!$S$87*Lookup_Lists!$D$105+Matching_Engine!$X$87*Lookup_Lists!$D$106+Matching_Engine!$AC$87*Lookup_Lists!$D$107+Matching_Engine!$AJ$87*Lookup_Lists!$D$108+Matching_Engine!$AO$87*Lookup_Lists!$D$109)/MAX(1,(Lookup_Lists!$D$104+Lookup_Lists!$D$105+Lookup_Lists!$D$106+Lookup_Lists!$D$107+Lookup_Lists!$D$108+Lookup_Lists!$D$109)),0)</f>
        <v>51</v>
      </c>
      <c r="AQ87" s="89" t="str">
        <f ca="1">IF(Matching_Engine!$AP$87&gt;=Lookup_Lists!$D$152,"Excellent Match",IF(Matching_Engine!$AP$87&gt;=Lookup_Lists!$D$153,"Strong Match",IF(Matching_Engine!$AP$87&gt;=Lookup_Lists!$D$154,"Good Match",IF(Matching_Engine!$AP$87&gt;=Lookup_Lists!$D$155,"Moderate Match","Low Match"))))</f>
        <v>Low Match</v>
      </c>
      <c r="AR87" s="142">
        <f>KOL_Database!$BE$26</f>
        <v>100</v>
      </c>
      <c r="AS87" s="89" t="str">
        <f>IF(Matching_Engine!$AR$87&gt;=Lookup_Lists!$D$159,"High",IF(Matching_Engine!$AR$87&gt;=Lookup_Lists!$D$160,"Medium","Limited Data"))</f>
        <v>High</v>
      </c>
      <c r="AT87" s="142">
        <f>ROUND((Matching_Engine!$N$87+Matching_Engine!$X$87+Matching_Engine!$AC$87)/3,0)</f>
        <v>45</v>
      </c>
      <c r="AU87" s="142">
        <f>ROUND(((100-Matching_Engine!$AL$87)*Lookup_Lists!$D$162+IF(KOL_Database!$BD$26="",Lookup_Lists!$D$150,KOL_Database!$BD$26)*Lookup_Lists!$D$163+Matching_Engine!$AI$87*Lookup_Lists!$D$164+Matching_Engine!$AD$87*Lookup_Lists!$D$165)/(Lookup_Lists!$D$162+Lookup_Lists!$D$163+Lookup_Lists!$D$164+Lookup_Lists!$D$165),0)</f>
        <v>52</v>
      </c>
      <c r="AV87" s="89" t="str">
        <f ca="1">IF(Matching_Engine!$AW$87="","PASS","EXCLUDED")</f>
        <v>EXCLUDED</v>
      </c>
      <c r="AW87" s="89" t="str">
        <f ca="1">IF(ISERROR(SEARCH(KOL_Database!$D$26,Brand_Profile!$F$32)),"Platform not in Preferred Platform",IF(AND(Brand_Profile!$F$36&gt;0,KOL_Database!$J$26&lt;Brand_Profile!$F$36),"Followers below Preferred Follower Range",IF(AND(Brand_Profile!$F$37&gt;0,KOL_Database!$J$26&gt;Brand_Profile!$F$37),"Followers above Preferred Follower Range",IF(AND(Brand_Profile!$F$38&gt;0,IF(KOL_Database!$K$26="",0,KOL_Database!$K$26)&lt;Brand_Profile!$F$38),"Engagement Rate below Minimum Engagement Rate",IF(ISERROR(SEARCH(KOL_Database!$G$26,Brand_Profile!$F$35)),"Tier not in Preferred Tier",IF(AND(Brand_Profile!$F$43&gt;0,Matching_Engine!$AE$87&lt;Brand_Profile!$F$43),"Audience Quality below Minimum Audience Quality",IF(AND(Brand_Profile!$F$44&gt;0,Matching_Engine!$AK$87&lt;Brand_Profile!$F$44),"Brand Safety below Minimum Brand Safety",IF(AND(Brand_Profile!$F$47="Yes",KOL_Database!$AD$26&lt;&gt;Brand_Profile!$F$19),"Audience Country does not match Target Country",IF(AND(Brand_Profile!$F$46="Yes",KOL_Database!$E$26&lt;&gt;Brand_Profile!$F$33),"Category is not the Preferred Category",IF(AND(Brand_Profile!$F$48&gt;0,Matching_Engine!$AL$87&gt;Brand_Profile!$F$48),"Competitor Saturation above Max Competitor Saturation",IF(AND(Brand_Profile!$F$50="Yes",KOL_Database!$AW$26="Yes"),"Already Selected",IF(AND(Brand_Profile!$F$51="Yes",KOL_Database!$AX$26="Yes"),"Already in Cart",IF(AND(Brand_Profile!$F$52="Yes",KOL_Database!$AY$26="Yes"),"Existing Partner",IF(AND(Brand_Profile!$F$53="Yes",KOL_Database!$AZ$26="Yes"),"Excluded Creator",IF(AND(Brand_Profile!$F$49&gt;0,Matching_Engine!$AP$87&lt;Brand_Profile!$F$49),"Brand Match below Minimum Brand Match","")))))))))))))))</f>
        <v>Followers above Preferred Follower Range</v>
      </c>
      <c r="AX87" s="89" t="str">
        <f ca="1">IF(Matching_Engine!$AV$87="EXCLUDED","Excluded",IF(Matching_Engine!$AP$87&gt;=Lookup_Lists!$D$156,"Highly Recommended",IF(Matching_Engine!$AP$87&gt;=Lookup_Lists!$D$157,"Recommended",IF(Matching_Engine!$AP$87&gt;=Lookup_Lists!$D$158,"Consider","Low Priority"))))</f>
        <v>Excluded</v>
      </c>
      <c r="AY87" s="142" t="str">
        <f ca="1">IF(Matching_Engine!$AV$87="PASS",Matching_Engine!$AP$87,"")</f>
        <v/>
      </c>
      <c r="AZ87" s="89" t="str">
        <f>Matching_Engine!$A$87&amp;"|"&amp;Matching_Engine!$C$87</f>
        <v>BRAND-C|KOL-22</v>
      </c>
      <c r="BA87" s="89" t="str">
        <f>IFERROR(INDEX(Lookup_Lists!$B$51:$B$92,MATCH(Brand_Profile!$F$12,Lookup_Lists!$A$51:$A$92,0)),"")</f>
        <v>Food</v>
      </c>
      <c r="BB87" s="89" t="str">
        <f>IFERROR(INDEX(Lookup_Lists!$B$51:$B$92,MATCH(KOL_Database!$F$26,Lookup_Lists!$A$51:$A$92,0)),"")</f>
        <v>Entertainment</v>
      </c>
      <c r="BC87" s="142">
        <f>IFERROR(INDEX(Lookup_Lists!$B$185:$O$198,MATCH(Matching_Engine!$BA$87,Lookup_Lists!$A$185:$A$198,0),MATCH(KOL_Database!$E$26,Lookup_Lists!$B$184:$O$184,0)),Lookup_Lists!$D$151)</f>
        <v>40</v>
      </c>
      <c r="BD87" s="142">
        <f>IFERROR(INDEX(Lookup_Lists!$B$185:$O$198,MATCH(Brand_Profile!$F$33,Lookup_Lists!$A$185:$A$198,0),MATCH(KOL_Database!$E$26,Lookup_Lists!$B$184:$O$184,0)),Lookup_Lists!$D$151)</f>
        <v>40</v>
      </c>
      <c r="BE87" s="89" t="str">
        <f>IFERROR(INDEX(Lookup_Lists!$B$51:$B$92,MATCH(Brand_Profile!$F$34,Lookup_Lists!$A$51:$A$92,0)),"")</f>
        <v>Food</v>
      </c>
      <c r="BF87" s="89" t="str">
        <f>KOL_Database!$AI$26&amp;", "&amp;KOL_Database!$AG$26&amp;", "&amp;KOL_Database!$F$26&amp;", "&amp;KOL_Database!$E$26</f>
        <v>Music, Entertainment, Fashion, Music, Entertainment, Fashion, Beauty, Shopping, Music, Entertainment</v>
      </c>
      <c r="BG87" s="89" t="str">
        <f>KOL_Database!$AI$26&amp;", "&amp;KOL_Database!$AG$26</f>
        <v>Music, Entertainment, Fashion, Music, Entertainment, Fashion, Beauty, Shopping</v>
      </c>
    </row>
    <row r="88" spans="1:59">
      <c r="A88" s="101" t="s">
        <v>119</v>
      </c>
      <c r="B88" s="89" t="str">
        <f>Brand_Profile!$F$9</f>
        <v>Rasa Nusantara</v>
      </c>
      <c r="C88" s="89" t="str">
        <f>KOL_Database!$A$27</f>
        <v>KOL-23</v>
      </c>
      <c r="D88" s="89" t="str">
        <f>KOL_Database!$B$27</f>
        <v>Arya Mahendra</v>
      </c>
      <c r="E88" s="89" t="str">
        <f>KOL_Database!$C$27</f>
        <v>@aryagaming</v>
      </c>
      <c r="F88" s="89" t="str">
        <f>KOL_Database!$D$27</f>
        <v>TikTok</v>
      </c>
      <c r="G88" s="89" t="str">
        <f>KOL_Database!$E$27</f>
        <v>Gaming</v>
      </c>
      <c r="H88" s="89" t="str">
        <f>KOL_Database!$G$27</f>
        <v>Macro</v>
      </c>
      <c r="I88" s="140">
        <f>KOL_Database!$J$27</f>
        <v>640000</v>
      </c>
      <c r="J88" s="141">
        <f>KOL_Database!$K$27</f>
        <v>7.8</v>
      </c>
      <c r="K88" s="142">
        <f>IFERROR(INDEX(Lookup_Lists!$B$170:$O$181,MATCH(Brand_Profile!$F$10,Lookup_Lists!$A$170:$A$181,0),MATCH(KOL_Database!$E$27,Lookup_Lists!$B$169:$O$169,0)),Lookup_Lists!$D$151)</f>
        <v>20</v>
      </c>
      <c r="L88" s="142">
        <f>IF(KOL_Database!$F$27="",Matching_Engine!$BC$88,IF(Brand_Profile!$F$12=KOL_Database!$F$27,100,IF(Matching_Engine!$BA$88=KOL_Database!$E$27,80,IF(Matching_Engine!$BC$88&gt;=80,60,IF(Matching_Engine!$BC$88&gt;=60,40,Lookup_Lists!$D$151)))))</f>
        <v>20</v>
      </c>
      <c r="M88" s="142">
        <f>ROUND((IF(Brand_Profile!$F$62=0,Lookup_Lists!$D$150,ROUND((IF(Brand_Profile!$F$57="",0,IF(ISNUMBER(SEARCH(Brand_Profile!$F$57,Matching_Engine!$BF$88)),1,0))+IF(Brand_Profile!$F$58="",0,IF(ISNUMBER(SEARCH(Brand_Profile!$F$58,Matching_Engine!$BF$88)),1,0))+IF(Brand_Profile!$F$59="",0,IF(ISNUMBER(SEARCH(Brand_Profile!$F$59,Matching_Engine!$BF$88)),1,0))+IF(Brand_Profile!$F$60="",0,IF(ISNUMBER(SEARCH(Brand_Profile!$F$60,Matching_Engine!$BF$88)),1,0))+IF(Brand_Profile!$F$61="",0,IF(ISNUMBER(SEARCH(Brand_Profile!$F$61,Matching_Engine!$BF$88)),1,0)))/Brand_Profile!$F$62*100,0))+IF(Brand_Profile!$F$74=0,Lookup_Lists!$D$150,ROUND((IF(Brand_Profile!$F$69="",0,IF(ISNUMBER(SEARCH(Brand_Profile!$F$69,Matching_Engine!$BF$88)),1,0))+IF(Brand_Profile!$F$70="",0,IF(ISNUMBER(SEARCH(Brand_Profile!$F$70,Matching_Engine!$BF$88)),1,0))+IF(Brand_Profile!$F$71="",0,IF(ISNUMBER(SEARCH(Brand_Profile!$F$71,Matching_Engine!$BF$88)),1,0))+IF(Brand_Profile!$F$72="",0,IF(ISNUMBER(SEARCH(Brand_Profile!$F$72,Matching_Engine!$BF$88)),1,0))+IF(Brand_Profile!$F$73="",0,IF(ISNUMBER(SEARCH(Brand_Profile!$F$73,Matching_Engine!$BF$88)),1,0)))/Brand_Profile!$F$74*100,0)))/2,0)</f>
        <v>40</v>
      </c>
      <c r="N88" s="142">
        <f>ROUND((Matching_Engine!$K$88*Lookup_Lists!$D$110+Matching_Engine!$L$88*Lookup_Lists!$D$111+Matching_Engine!$M$88*Lookup_Lists!$D$112)/(Lookup_Lists!$D$110+Lookup_Lists!$D$111+Lookup_Lists!$D$112),0)</f>
        <v>26</v>
      </c>
      <c r="O88" s="142">
        <f ca="1">IF(Brand_Profile!$F$16="",Lookup_Lists!$D$150,MIN(100,ROUND((IFERROR(INDEX(KOL_Database!$W$27:KOL_Database!$AA$27,1,MATCH(Brand_Profile!$F$16,Lookup_Lists!$F$6:$F$10,0)),0)+0.5*IFERROR(INDEX(KOL_Database!$W$27:KOL_Database!$AA$27,1,MATCH(Brand_Profile!$F$17,Lookup_Lists!$F$6:$F$10,0)),0))/Lookup_Lists!$D$142*100,0)))</f>
        <v>77</v>
      </c>
      <c r="P88" s="142">
        <f>IF(OR(Brand_Profile!$F$18="",Brand_Profile!$F$18="Any"),100,IF(Brand_Profile!$F$18="Female",MIN(100,ROUND(KOL_Database!$AB$27/Lookup_Lists!$D$143*100,0)),IF(Brand_Profile!$F$18="Male",MIN(100,ROUND(KOL_Database!$AC$27/Lookup_Lists!$D$143*100,0)),MAX(0,ROUND(100-ABS(KOL_Database!$AB$27-50)*2,0)))))</f>
        <v>56</v>
      </c>
      <c r="Q88" s="142">
        <f>ROUND((IF(Brand_Profile!$F$19="",100,IF(KOL_Database!$AD$27=Brand_Profile!$F$19,100,Lookup_Lists!$D$151))*Lookup_Lists!$D$118+IF(OR(Brand_Profile!$F$20="",Brand_Profile!$F$20="Nasional"),100,IF(KOL_Database!$AE$27="",Lookup_Lists!$D$150,IF(KOL_Database!$AE$27=Brand_Profile!$F$20,100,IF(KOL_Database!$AD$27=Brand_Profile!$F$19,40,Lookup_Lists!$D$151))))*Lookup_Lists!$D$119+IF(OR(Brand_Profile!$F$21="",Brand_Profile!$F$21="Nasional"),100,IF(KOL_Database!$AF$27="",Lookup_Lists!$D$150,IF(KOL_Database!$AF$27=Brand_Profile!$F$21,100,IF(KOL_Database!$AE$27=Brand_Profile!$F$20,60,Lookup_Lists!$D$151))))*Lookup_Lists!$D$120)/(Lookup_Lists!$D$118+Lookup_Lists!$D$119+Lookup_Lists!$D$120),0)</f>
        <v>100</v>
      </c>
      <c r="R88" s="142">
        <f>IF(Brand_Profile!$F$68=0,Lookup_Lists!$D$150,ROUND((IF(Brand_Profile!$F$63="",0,IF(ISNUMBER(SEARCH(Brand_Profile!$F$63,KOL_Database!$AG$27)),1,0))+IF(Brand_Profile!$F$64="",0,IF(ISNUMBER(SEARCH(Brand_Profile!$F$64,KOL_Database!$AG$27)),1,0))+IF(Brand_Profile!$F$65="",0,IF(ISNUMBER(SEARCH(Brand_Profile!$F$65,KOL_Database!$AG$27)),1,0))+IF(Brand_Profile!$F$66="",0,IF(ISNUMBER(SEARCH(Brand_Profile!$F$66,KOL_Database!$AG$27)),1,0))+IF(Brand_Profile!$F$67="",0,IF(ISNUMBER(SEARCH(Brand_Profile!$F$67,KOL_Database!$AG$27)),1,0)))/Brand_Profile!$F$68*100,0))</f>
        <v>20</v>
      </c>
      <c r="S88" s="142">
        <f ca="1">ROUND((Matching_Engine!$O$88*Brand_Profile!$F$96+Matching_Engine!$P$88*Brand_Profile!$F$97+Matching_Engine!$Q$88*Brand_Profile!$F$98+Matching_Engine!$R$88*Brand_Profile!$F$99)/MAX(1,Brand_Profile!$F$96+Brand_Profile!$F$97+Brand_Profile!$F$98+Brand_Profile!$F$99),0)</f>
        <v>66</v>
      </c>
      <c r="T88" s="142">
        <f>IF(Brand_Profile!$F$33="",Lookup_Lists!$D$150,Matching_Engine!$BD$88)</f>
        <v>20</v>
      </c>
      <c r="U88" s="142">
        <f>IF(Brand_Profile!$F$34="",Lookup_Lists!$D$150,IF(Brand_Profile!$F$34=KOL_Database!$F$27,100,IF(Matching_Engine!$BE$88=KOL_Database!$E$27,75,IF(Matching_Engine!$BD$88&gt;=80,Lookup_Lists!$D$150,IF(Matching_Engine!$BD$88&gt;=60,35,Lookup_Lists!$D$151)))))</f>
        <v>20</v>
      </c>
      <c r="V88" s="142">
        <f>IF(Brand_Profile!$F$86=0,Lookup_Lists!$D$150,ROUND((IF(Brand_Profile!$F$81="",0,IF(ISNUMBER(SEARCH(Brand_Profile!$F$81,Matching_Engine!$BG$88)),1,0))+IF(Brand_Profile!$F$82="",0,IF(ISNUMBER(SEARCH(Brand_Profile!$F$82,Matching_Engine!$BG$88)),1,0))+IF(Brand_Profile!$F$83="",0,IF(ISNUMBER(SEARCH(Brand_Profile!$F$83,Matching_Engine!$BG$88)),1,0))+IF(Brand_Profile!$F$84="",0,IF(ISNUMBER(SEARCH(Brand_Profile!$F$84,Matching_Engine!$BG$88)),1,0))+IF(Brand_Profile!$F$85="",0,IF(ISNUMBER(SEARCH(Brand_Profile!$F$85,Matching_Engine!$BG$88)),1,0)))/Brand_Profile!$F$86*100,0))</f>
        <v>20</v>
      </c>
      <c r="W88" s="142">
        <f>IF(Brand_Profile!$F$39="",Lookup_Lists!$D$150,IFERROR(INDEX(Lookup_Lists!$B$237:$K$246,MATCH(Brand_Profile!$F$39,Lookup_Lists!$A$237:$A$246,0),MATCH(KOL_Database!$AJ$27,Lookup_Lists!$B$236:$K$236,0)),45))</f>
        <v>45</v>
      </c>
      <c r="X88" s="142">
        <f>ROUND((Matching_Engine!$T$88*Lookup_Lists!$D$121+Matching_Engine!$U$88*Lookup_Lists!$D$122+Matching_Engine!$V$88*Lookup_Lists!$D$123+Matching_Engine!$W$88*Lookup_Lists!$D$124)/(Lookup_Lists!$D$121+Lookup_Lists!$D$122+Lookup_Lists!$D$123+Lookup_Lists!$D$124),0)</f>
        <v>25</v>
      </c>
      <c r="Y88" s="142">
        <f>MIN(100,MAX(IFERROR(INDEX(Lookup_Lists!$B$202:$M$211,MATCH(Brand_Profile!$F$25,Lookup_Lists!$A$202:$A$211,0),MATCH(KOL_Database!$AK$27,Lookup_Lists!$B$201:$M$201,0)),40),IF(KOL_Database!$AK$27=Brand_Profile!$F$41,95,0)))</f>
        <v>75</v>
      </c>
      <c r="Z88" s="142">
        <f>IFERROR(INDEX(Lookup_Lists!$B$215:$K$222,MATCH(Brand_Profile!$F$27,Lookup_Lists!$A$215:$A$222,0),MATCH(KOL_Database!$AJ$27,Lookup_Lists!$B$214:$K$214,0)),45)</f>
        <v>70</v>
      </c>
      <c r="AA88" s="142">
        <f>ROUND((IF(Brand_Profile!$F$80=0,Lookup_Lists!$D$150,ROUND((IF(Brand_Profile!$F$75="",0,IF(ISNUMBER(SEARCH(Brand_Profile!$F$75,KOL_Database!$AL$27)),1,0))+IF(Brand_Profile!$F$76="",0,IF(ISNUMBER(SEARCH(Brand_Profile!$F$76,KOL_Database!$AL$27)),1,0))+IF(Brand_Profile!$F$77="",0,IF(ISNUMBER(SEARCH(Brand_Profile!$F$77,KOL_Database!$AL$27)),1,0))+IF(Brand_Profile!$F$78="",0,IF(ISNUMBER(SEARCH(Brand_Profile!$F$78,KOL_Database!$AL$27)),1,0))+IF(Brand_Profile!$F$79="",0,IF(ISNUMBER(SEARCH(Brand_Profile!$F$79,KOL_Database!$AL$27)),1,0)))/Brand_Profile!$F$80*100,0))+IF(Brand_Profile!$F$92=0,Lookup_Lists!$D$150,ROUND((IF(Brand_Profile!$F$87="",0,IF(ISNUMBER(SEARCH(Brand_Profile!$F$87,KOL_Database!$AL$27)),1,0))+IF(Brand_Profile!$F$88="",0,IF(ISNUMBER(SEARCH(Brand_Profile!$F$88,KOL_Database!$AL$27)),1,0))+IF(Brand_Profile!$F$89="",0,IF(ISNUMBER(SEARCH(Brand_Profile!$F$89,KOL_Database!$AL$27)),1,0))+IF(Brand_Profile!$F$90="",0,IF(ISNUMBER(SEARCH(Brand_Profile!$F$90,KOL_Database!$AL$27)),1,0))+IF(Brand_Profile!$F$91="",0,IF(ISNUMBER(SEARCH(Brand_Profile!$F$91,KOL_Database!$AL$27)),1,0)))/Brand_Profile!$F$92*100,0)))/2,0)</f>
        <v>40</v>
      </c>
      <c r="AB88" s="142">
        <f>IFERROR(INDEX(Lookup_Lists!$B$226:$K$233,MATCH(Brand_Profile!$F$30,Lookup_Lists!$A$226:$A$233,0),MATCH(KOL_Database!$AJ$27,Lookup_Lists!$B$225:$K$225,0)),45)</f>
        <v>70</v>
      </c>
      <c r="AC88" s="142">
        <f>ROUND((Matching_Engine!$Y$88*Lookup_Lists!$D$125+Matching_Engine!$Z$88*Lookup_Lists!$D$126+Matching_Engine!$AA$88*Lookup_Lists!$D$127+Matching_Engine!$AB$88*Lookup_Lists!$D$128)/(Lookup_Lists!$D$125+Lookup_Lists!$D$126+Lookup_Lists!$D$127+Lookup_Lists!$D$128),0)</f>
        <v>64</v>
      </c>
      <c r="AD88" s="142">
        <f>IF(KOL_Database!$K$27="",0,MIN(100,ROUND(KOL_Database!$K$27/Lookup_Lists!$D$141*100,0)))</f>
        <v>100</v>
      </c>
      <c r="AE88" s="142">
        <f>IF(KOL_Database!$R$27="",0,MIN(100,MAX(0,KOL_Database!$R$27)))</f>
        <v>73</v>
      </c>
      <c r="AF88" s="142">
        <f>IF(KOL_Database!$P$27="",0,MIN(100,MAX(0,KOL_Database!$P$27)))</f>
        <v>93</v>
      </c>
      <c r="AG88" s="142">
        <f>IF(KOL_Database!$Q$27="",0,MIN(100,MAX(0,KOL_Database!$Q$27)))</f>
        <v>48</v>
      </c>
      <c r="AH88" s="142">
        <f>IF(OR(KOL_Database!$J$27="",KOL_Database!$J$27=0,KOL_Database!$L$27=""),0,MIN(100,ROUND(KOL_Database!$L$27/KOL_Database!$J$27/Lookup_Lists!$D$144*100,0)))</f>
        <v>100</v>
      </c>
      <c r="AI88" s="142">
        <f>IF(KOL_Database!$N$27="",0,MIN(100,MAX(0,ROUND((KOL_Database!$N$27+2)/(Lookup_Lists!$D$145+2)*100,0))))</f>
        <v>52</v>
      </c>
      <c r="AJ88" s="142">
        <f>ROUND((Matching_Engine!$AD$88*Lookup_Lists!$D$129+Matching_Engine!$AE$88*Lookup_Lists!$D$130+Matching_Engine!$AF$88*Lookup_Lists!$D$131+Matching_Engine!$AG$88*Lookup_Lists!$D$132+Matching_Engine!$AH$88*Lookup_Lists!$D$133+Matching_Engine!$AI$88*Lookup_Lists!$D$134)/(Lookup_Lists!$D$129+Lookup_Lists!$D$130+Lookup_Lists!$D$131+Lookup_Lists!$D$132+Lookup_Lists!$D$133+Lookup_Lists!$D$134),0)</f>
        <v>86</v>
      </c>
      <c r="AK88" s="142">
        <f>IF(KOL_Database!$AT$27="",0,MIN(100,MAX(0,KOL_Database!$AT$27)))</f>
        <v>82</v>
      </c>
      <c r="AL88" s="142">
        <f>IF(KOL_Database!$AU$27="",0,KOL_Database!$AU$27)</f>
        <v>35</v>
      </c>
      <c r="AM88" s="89" t="str">
        <f>IF(KOL_Database!$AV$27="","None",KOL_Database!$AV$27)</f>
        <v>None</v>
      </c>
      <c r="AN88" s="143">
        <f>IF(Matching_Engine!$AM$88="High",Lookup_Lists!$D$137,IF(Matching_Engine!$AM$88="Medium",Lookup_Lists!$D$138,IF(Matching_Engine!$AM$88="Low",Lookup_Lists!$D$139,Lookup_Lists!$D$140)))</f>
        <v>1</v>
      </c>
      <c r="AO88" s="142">
        <f>ROUND(MIN(100,MAX(0,(Matching_Engine!$AK$88*Lookup_Lists!$D$135+(100-Matching_Engine!$AL$88)*Lookup_Lists!$D$136)/(Lookup_Lists!$D$135+Lookup_Lists!$D$136)*Matching_Engine!$AN$88)),0)</f>
        <v>79</v>
      </c>
      <c r="AP88" s="13">
        <f ca="1">ROUND((Matching_Engine!$N$88*Lookup_Lists!$D$104+Matching_Engine!$S$88*Lookup_Lists!$D$105+Matching_Engine!$X$88*Lookup_Lists!$D$106+Matching_Engine!$AC$88*Lookup_Lists!$D$107+Matching_Engine!$AJ$88*Lookup_Lists!$D$108+Matching_Engine!$AO$88*Lookup_Lists!$D$109)/MAX(1,(Lookup_Lists!$D$104+Lookup_Lists!$D$105+Lookup_Lists!$D$106+Lookup_Lists!$D$107+Lookup_Lists!$D$108+Lookup_Lists!$D$109)),0)</f>
        <v>53</v>
      </c>
      <c r="AQ88" s="89" t="str">
        <f ca="1">IF(Matching_Engine!$AP$88&gt;=Lookup_Lists!$D$152,"Excellent Match",IF(Matching_Engine!$AP$88&gt;=Lookup_Lists!$D$153,"Strong Match",IF(Matching_Engine!$AP$88&gt;=Lookup_Lists!$D$154,"Good Match",IF(Matching_Engine!$AP$88&gt;=Lookup_Lists!$D$155,"Moderate Match","Low Match"))))</f>
        <v>Low Match</v>
      </c>
      <c r="AR88" s="142">
        <f>KOL_Database!$BE$27</f>
        <v>100</v>
      </c>
      <c r="AS88" s="89" t="str">
        <f>IF(Matching_Engine!$AR$88&gt;=Lookup_Lists!$D$159,"High",IF(Matching_Engine!$AR$88&gt;=Lookup_Lists!$D$160,"Medium","Limited Data"))</f>
        <v>High</v>
      </c>
      <c r="AT88" s="142">
        <f>ROUND((Matching_Engine!$N$88+Matching_Engine!$X$88+Matching_Engine!$AC$88)/3,0)</f>
        <v>38</v>
      </c>
      <c r="AU88" s="142">
        <f>ROUND(((100-Matching_Engine!$AL$88)*Lookup_Lists!$D$162+IF(KOL_Database!$BD$27="",Lookup_Lists!$D$150,KOL_Database!$BD$27)*Lookup_Lists!$D$163+Matching_Engine!$AI$88*Lookup_Lists!$D$164+Matching_Engine!$AD$88*Lookup_Lists!$D$165)/(Lookup_Lists!$D$162+Lookup_Lists!$D$163+Lookup_Lists!$D$164+Lookup_Lists!$D$165),0)</f>
        <v>76</v>
      </c>
      <c r="AV88" s="89" t="str">
        <f ca="1">IF(Matching_Engine!$AW$88="","PASS","EXCLUDED")</f>
        <v>EXCLUDED</v>
      </c>
      <c r="AW88" s="89" t="str">
        <f ca="1">IF(ISERROR(SEARCH(KOL_Database!$D$27,Brand_Profile!$F$32)),"Platform not in Preferred Platform",IF(AND(Brand_Profile!$F$36&gt;0,KOL_Database!$J$27&lt;Brand_Profile!$F$36),"Followers below Preferred Follower Range",IF(AND(Brand_Profile!$F$37&gt;0,KOL_Database!$J$27&gt;Brand_Profile!$F$37),"Followers above Preferred Follower Range",IF(AND(Brand_Profile!$F$38&gt;0,IF(KOL_Database!$K$27="",0,KOL_Database!$K$27)&lt;Brand_Profile!$F$38),"Engagement Rate below Minimum Engagement Rate",IF(ISERROR(SEARCH(KOL_Database!$G$27,Brand_Profile!$F$35)),"Tier not in Preferred Tier",IF(AND(Brand_Profile!$F$43&gt;0,Matching_Engine!$AE$88&lt;Brand_Profile!$F$43),"Audience Quality below Minimum Audience Quality",IF(AND(Brand_Profile!$F$44&gt;0,Matching_Engine!$AK$88&lt;Brand_Profile!$F$44),"Brand Safety below Minimum Brand Safety",IF(AND(Brand_Profile!$F$47="Yes",KOL_Database!$AD$27&lt;&gt;Brand_Profile!$F$19),"Audience Country does not match Target Country",IF(AND(Brand_Profile!$F$46="Yes",KOL_Database!$E$27&lt;&gt;Brand_Profile!$F$33),"Category is not the Preferred Category",IF(AND(Brand_Profile!$F$48&gt;0,Matching_Engine!$AL$88&gt;Brand_Profile!$F$48),"Competitor Saturation above Max Competitor Saturation",IF(AND(Brand_Profile!$F$50="Yes",KOL_Database!$AW$27="Yes"),"Already Selected",IF(AND(Brand_Profile!$F$51="Yes",KOL_Database!$AX$27="Yes"),"Already in Cart",IF(AND(Brand_Profile!$F$52="Yes",KOL_Database!$AY$27="Yes"),"Existing Partner",IF(AND(Brand_Profile!$F$53="Yes",KOL_Database!$AZ$27="Yes"),"Excluded Creator",IF(AND(Brand_Profile!$F$49&gt;0,Matching_Engine!$AP$88&lt;Brand_Profile!$F$49),"Brand Match below Minimum Brand Match","")))))))))))))))</f>
        <v>Followers above Preferred Follower Range</v>
      </c>
      <c r="AX88" s="89" t="str">
        <f ca="1">IF(Matching_Engine!$AV$88="EXCLUDED","Excluded",IF(Matching_Engine!$AP$88&gt;=Lookup_Lists!$D$156,"Highly Recommended",IF(Matching_Engine!$AP$88&gt;=Lookup_Lists!$D$157,"Recommended",IF(Matching_Engine!$AP$88&gt;=Lookup_Lists!$D$158,"Consider","Low Priority"))))</f>
        <v>Excluded</v>
      </c>
      <c r="AY88" s="142" t="str">
        <f ca="1">IF(Matching_Engine!$AV$88="PASS",Matching_Engine!$AP$88,"")</f>
        <v/>
      </c>
      <c r="AZ88" s="89" t="str">
        <f>Matching_Engine!$A$88&amp;"|"&amp;Matching_Engine!$C$88</f>
        <v>BRAND-C|KOL-23</v>
      </c>
      <c r="BA88" s="89" t="str">
        <f>IFERROR(INDEX(Lookup_Lists!$B$51:$B$92,MATCH(Brand_Profile!$F$12,Lookup_Lists!$A$51:$A$92,0)),"")</f>
        <v>Food</v>
      </c>
      <c r="BB88" s="89" t="str">
        <f>IFERROR(INDEX(Lookup_Lists!$B$51:$B$92,MATCH(KOL_Database!$F$27,Lookup_Lists!$A$51:$A$92,0)),"")</f>
        <v>Gaming</v>
      </c>
      <c r="BC88" s="142">
        <f>IFERROR(INDEX(Lookup_Lists!$B$185:$O$198,MATCH(Matching_Engine!$BA$88,Lookup_Lists!$A$185:$A$198,0),MATCH(KOL_Database!$E$27,Lookup_Lists!$B$184:$O$184,0)),Lookup_Lists!$D$151)</f>
        <v>20</v>
      </c>
      <c r="BD88" s="142">
        <f>IFERROR(INDEX(Lookup_Lists!$B$185:$O$198,MATCH(Brand_Profile!$F$33,Lookup_Lists!$A$185:$A$198,0),MATCH(KOL_Database!$E$27,Lookup_Lists!$B$184:$O$184,0)),Lookup_Lists!$D$151)</f>
        <v>20</v>
      </c>
      <c r="BE88" s="89" t="str">
        <f>IFERROR(INDEX(Lookup_Lists!$B$51:$B$92,MATCH(Brand_Profile!$F$34,Lookup_Lists!$A$51:$A$92,0)),"")</f>
        <v>Food</v>
      </c>
      <c r="BF88" s="89" t="str">
        <f>KOL_Database!$AI$27&amp;", "&amp;KOL_Database!$AG$27&amp;", "&amp;KOL_Database!$F$27&amp;", "&amp;KOL_Database!$E$27</f>
        <v>Gaming, Technology, Entertainment, Gaming, Technology, Entertainment, Music, Shopping, Mobile Gaming, Gaming</v>
      </c>
      <c r="BG88" s="89" t="str">
        <f>KOL_Database!$AI$27&amp;", "&amp;KOL_Database!$AG$27</f>
        <v>Gaming, Technology, Entertainment, Gaming, Technology, Entertainment, Music, Shopping</v>
      </c>
    </row>
    <row r="89" spans="1:59">
      <c r="A89" s="101" t="s">
        <v>119</v>
      </c>
      <c r="B89" s="89" t="str">
        <f>Brand_Profile!$F$9</f>
        <v>Rasa Nusantara</v>
      </c>
      <c r="C89" s="89" t="str">
        <f>KOL_Database!$A$28</f>
        <v>KOL-24</v>
      </c>
      <c r="D89" s="89" t="str">
        <f>KOL_Database!$B$28</f>
        <v>Rio Saputra</v>
      </c>
      <c r="E89" s="89" t="str">
        <f>KOL_Database!$C$28</f>
        <v>@riopcbuild</v>
      </c>
      <c r="F89" s="89" t="str">
        <f>KOL_Database!$D$28</f>
        <v>Instagram</v>
      </c>
      <c r="G89" s="89" t="str">
        <f>KOL_Database!$E$28</f>
        <v>Gaming</v>
      </c>
      <c r="H89" s="89" t="str">
        <f>KOL_Database!$G$28</f>
        <v>Mid-tier</v>
      </c>
      <c r="I89" s="140">
        <f>KOL_Database!$J$28</f>
        <v>51000</v>
      </c>
      <c r="J89" s="141">
        <f>KOL_Database!$K$28</f>
        <v>4.2</v>
      </c>
      <c r="K89" s="142">
        <f>IFERROR(INDEX(Lookup_Lists!$B$170:$O$181,MATCH(Brand_Profile!$F$10,Lookup_Lists!$A$170:$A$181,0),MATCH(KOL_Database!$E$28,Lookup_Lists!$B$169:$O$169,0)),Lookup_Lists!$D$151)</f>
        <v>20</v>
      </c>
      <c r="L89" s="142">
        <f>IF(KOL_Database!$F$28="",Matching_Engine!$BC$89,IF(Brand_Profile!$F$12=KOL_Database!$F$28,100,IF(Matching_Engine!$BA$89=KOL_Database!$E$28,80,IF(Matching_Engine!$BC$89&gt;=80,60,IF(Matching_Engine!$BC$89&gt;=60,40,Lookup_Lists!$D$151)))))</f>
        <v>20</v>
      </c>
      <c r="M89" s="142">
        <f>ROUND((IF(Brand_Profile!$F$62=0,Lookup_Lists!$D$150,ROUND((IF(Brand_Profile!$F$57="",0,IF(ISNUMBER(SEARCH(Brand_Profile!$F$57,Matching_Engine!$BF$89)),1,0))+IF(Brand_Profile!$F$58="",0,IF(ISNUMBER(SEARCH(Brand_Profile!$F$58,Matching_Engine!$BF$89)),1,0))+IF(Brand_Profile!$F$59="",0,IF(ISNUMBER(SEARCH(Brand_Profile!$F$59,Matching_Engine!$BF$89)),1,0))+IF(Brand_Profile!$F$60="",0,IF(ISNUMBER(SEARCH(Brand_Profile!$F$60,Matching_Engine!$BF$89)),1,0))+IF(Brand_Profile!$F$61="",0,IF(ISNUMBER(SEARCH(Brand_Profile!$F$61,Matching_Engine!$BF$89)),1,0)))/Brand_Profile!$F$62*100,0))+IF(Brand_Profile!$F$74=0,Lookup_Lists!$D$150,ROUND((IF(Brand_Profile!$F$69="",0,IF(ISNUMBER(SEARCH(Brand_Profile!$F$69,Matching_Engine!$BF$89)),1,0))+IF(Brand_Profile!$F$70="",0,IF(ISNUMBER(SEARCH(Brand_Profile!$F$70,Matching_Engine!$BF$89)),1,0))+IF(Brand_Profile!$F$71="",0,IF(ISNUMBER(SEARCH(Brand_Profile!$F$71,Matching_Engine!$BF$89)),1,0))+IF(Brand_Profile!$F$72="",0,IF(ISNUMBER(SEARCH(Brand_Profile!$F$72,Matching_Engine!$BF$89)),1,0))+IF(Brand_Profile!$F$73="",0,IF(ISNUMBER(SEARCH(Brand_Profile!$F$73,Matching_Engine!$BF$89)),1,0)))/Brand_Profile!$F$74*100,0)))/2,0)</f>
        <v>40</v>
      </c>
      <c r="N89" s="142">
        <f>ROUND((Matching_Engine!$K$89*Lookup_Lists!$D$110+Matching_Engine!$L$89*Lookup_Lists!$D$111+Matching_Engine!$M$89*Lookup_Lists!$D$112)/(Lookup_Lists!$D$110+Lookup_Lists!$D$111+Lookup_Lists!$D$112),0)</f>
        <v>26</v>
      </c>
      <c r="O89" s="142">
        <f ca="1">IF(Brand_Profile!$F$16="",Lookup_Lists!$D$150,MIN(100,ROUND((IFERROR(INDEX(KOL_Database!$W$28:KOL_Database!$AA$28,1,MATCH(Brand_Profile!$F$16,Lookup_Lists!$F$6:$F$10,0)),0)+0.5*IFERROR(INDEX(KOL_Database!$W$28:KOL_Database!$AA$28,1,MATCH(Brand_Profile!$F$17,Lookup_Lists!$F$6:$F$10,0)),0))/Lookup_Lists!$D$142*100,0)))</f>
        <v>91</v>
      </c>
      <c r="P89" s="142">
        <f>IF(OR(Brand_Profile!$F$18="",Brand_Profile!$F$18="Any"),100,IF(Brand_Profile!$F$18="Female",MIN(100,ROUND(KOL_Database!$AB$28/Lookup_Lists!$D$143*100,0)),IF(Brand_Profile!$F$18="Male",MIN(100,ROUND(KOL_Database!$AC$28/Lookup_Lists!$D$143*100,0)),MAX(0,ROUND(100-ABS(KOL_Database!$AB$28-50)*2,0)))))</f>
        <v>58</v>
      </c>
      <c r="Q89" s="142">
        <f>ROUND((IF(Brand_Profile!$F$19="",100,IF(KOL_Database!$AD$28=Brand_Profile!$F$19,100,Lookup_Lists!$D$151))*Lookup_Lists!$D$118+IF(OR(Brand_Profile!$F$20="",Brand_Profile!$F$20="Nasional"),100,IF(KOL_Database!$AE$28="",Lookup_Lists!$D$150,IF(KOL_Database!$AE$28=Brand_Profile!$F$20,100,IF(KOL_Database!$AD$28=Brand_Profile!$F$19,40,Lookup_Lists!$D$151))))*Lookup_Lists!$D$119+IF(OR(Brand_Profile!$F$21="",Brand_Profile!$F$21="Nasional"),100,IF(KOL_Database!$AF$28="",Lookup_Lists!$D$150,IF(KOL_Database!$AF$28=Brand_Profile!$F$21,100,IF(KOL_Database!$AE$28=Brand_Profile!$F$20,60,Lookup_Lists!$D$151))))*Lookup_Lists!$D$120)/(Lookup_Lists!$D$118+Lookup_Lists!$D$119+Lookup_Lists!$D$120),0)</f>
        <v>100</v>
      </c>
      <c r="R89" s="142">
        <f>IF(Brand_Profile!$F$68=0,Lookup_Lists!$D$150,ROUND((IF(Brand_Profile!$F$63="",0,IF(ISNUMBER(SEARCH(Brand_Profile!$F$63,KOL_Database!$AG$28)),1,0))+IF(Brand_Profile!$F$64="",0,IF(ISNUMBER(SEARCH(Brand_Profile!$F$64,KOL_Database!$AG$28)),1,0))+IF(Brand_Profile!$F$65="",0,IF(ISNUMBER(SEARCH(Brand_Profile!$F$65,KOL_Database!$AG$28)),1,0))+IF(Brand_Profile!$F$66="",0,IF(ISNUMBER(SEARCH(Brand_Profile!$F$66,KOL_Database!$AG$28)),1,0))+IF(Brand_Profile!$F$67="",0,IF(ISNUMBER(SEARCH(Brand_Profile!$F$67,KOL_Database!$AG$28)),1,0)))/Brand_Profile!$F$68*100,0))</f>
        <v>20</v>
      </c>
      <c r="S89" s="142">
        <f ca="1">ROUND((Matching_Engine!$O$89*Brand_Profile!$F$96+Matching_Engine!$P$89*Brand_Profile!$F$97+Matching_Engine!$Q$89*Brand_Profile!$F$98+Matching_Engine!$R$89*Brand_Profile!$F$99)/MAX(1,Brand_Profile!$F$96+Brand_Profile!$F$97+Brand_Profile!$F$98+Brand_Profile!$F$99),0)</f>
        <v>71</v>
      </c>
      <c r="T89" s="142">
        <f>IF(Brand_Profile!$F$33="",Lookup_Lists!$D$150,Matching_Engine!$BD$89)</f>
        <v>20</v>
      </c>
      <c r="U89" s="142">
        <f>IF(Brand_Profile!$F$34="",Lookup_Lists!$D$150,IF(Brand_Profile!$F$34=KOL_Database!$F$28,100,IF(Matching_Engine!$BE$89=KOL_Database!$E$28,75,IF(Matching_Engine!$BD$89&gt;=80,Lookup_Lists!$D$150,IF(Matching_Engine!$BD$89&gt;=60,35,Lookup_Lists!$D$151)))))</f>
        <v>20</v>
      </c>
      <c r="V89" s="142">
        <f>IF(Brand_Profile!$F$86=0,Lookup_Lists!$D$150,ROUND((IF(Brand_Profile!$F$81="",0,IF(ISNUMBER(SEARCH(Brand_Profile!$F$81,Matching_Engine!$BG$89)),1,0))+IF(Brand_Profile!$F$82="",0,IF(ISNUMBER(SEARCH(Brand_Profile!$F$82,Matching_Engine!$BG$89)),1,0))+IF(Brand_Profile!$F$83="",0,IF(ISNUMBER(SEARCH(Brand_Profile!$F$83,Matching_Engine!$BG$89)),1,0))+IF(Brand_Profile!$F$84="",0,IF(ISNUMBER(SEARCH(Brand_Profile!$F$84,Matching_Engine!$BG$89)),1,0))+IF(Brand_Profile!$F$85="",0,IF(ISNUMBER(SEARCH(Brand_Profile!$F$85,Matching_Engine!$BG$89)),1,0)))/Brand_Profile!$F$86*100,0))</f>
        <v>20</v>
      </c>
      <c r="W89" s="142">
        <f>IF(Brand_Profile!$F$39="",Lookup_Lists!$D$150,IFERROR(INDEX(Lookup_Lists!$B$237:$K$246,MATCH(Brand_Profile!$F$39,Lookup_Lists!$A$237:$A$246,0),MATCH(KOL_Database!$AJ$28,Lookup_Lists!$B$236:$K$236,0)),45))</f>
        <v>45</v>
      </c>
      <c r="X89" s="142">
        <f>ROUND((Matching_Engine!$T$89*Lookup_Lists!$D$121+Matching_Engine!$U$89*Lookup_Lists!$D$122+Matching_Engine!$V$89*Lookup_Lists!$D$123+Matching_Engine!$W$89*Lookup_Lists!$D$124)/(Lookup_Lists!$D$121+Lookup_Lists!$D$122+Lookup_Lists!$D$123+Lookup_Lists!$D$124),0)</f>
        <v>25</v>
      </c>
      <c r="Y89" s="142">
        <f>MIN(100,MAX(IFERROR(INDEX(Lookup_Lists!$B$202:$M$211,MATCH(Brand_Profile!$F$25,Lookup_Lists!$A$202:$A$211,0),MATCH(KOL_Database!$AK$28,Lookup_Lists!$B$201:$M$201,0)),40),IF(KOL_Database!$AK$28=Brand_Profile!$F$41,95,0)))</f>
        <v>45</v>
      </c>
      <c r="Z89" s="142">
        <f>IFERROR(INDEX(Lookup_Lists!$B$215:$K$222,MATCH(Brand_Profile!$F$27,Lookup_Lists!$A$215:$A$222,0),MATCH(KOL_Database!$AJ$28,Lookup_Lists!$B$214:$K$214,0)),45)</f>
        <v>55</v>
      </c>
      <c r="AA89" s="142">
        <f>ROUND((IF(Brand_Profile!$F$80=0,Lookup_Lists!$D$150,ROUND((IF(Brand_Profile!$F$75="",0,IF(ISNUMBER(SEARCH(Brand_Profile!$F$75,KOL_Database!$AL$28)),1,0))+IF(Brand_Profile!$F$76="",0,IF(ISNUMBER(SEARCH(Brand_Profile!$F$76,KOL_Database!$AL$28)),1,0))+IF(Brand_Profile!$F$77="",0,IF(ISNUMBER(SEARCH(Brand_Profile!$F$77,KOL_Database!$AL$28)),1,0))+IF(Brand_Profile!$F$78="",0,IF(ISNUMBER(SEARCH(Brand_Profile!$F$78,KOL_Database!$AL$28)),1,0))+IF(Brand_Profile!$F$79="",0,IF(ISNUMBER(SEARCH(Brand_Profile!$F$79,KOL_Database!$AL$28)),1,0)))/Brand_Profile!$F$80*100,0))+IF(Brand_Profile!$F$92=0,Lookup_Lists!$D$150,ROUND((IF(Brand_Profile!$F$87="",0,IF(ISNUMBER(SEARCH(Brand_Profile!$F$87,KOL_Database!$AL$28)),1,0))+IF(Brand_Profile!$F$88="",0,IF(ISNUMBER(SEARCH(Brand_Profile!$F$88,KOL_Database!$AL$28)),1,0))+IF(Brand_Profile!$F$89="",0,IF(ISNUMBER(SEARCH(Brand_Profile!$F$89,KOL_Database!$AL$28)),1,0))+IF(Brand_Profile!$F$90="",0,IF(ISNUMBER(SEARCH(Brand_Profile!$F$90,KOL_Database!$AL$28)),1,0))+IF(Brand_Profile!$F$91="",0,IF(ISNUMBER(SEARCH(Brand_Profile!$F$91,KOL_Database!$AL$28)),1,0)))/Brand_Profile!$F$92*100,0)))/2,0)</f>
        <v>0</v>
      </c>
      <c r="AB89" s="142">
        <f>IFERROR(INDEX(Lookup_Lists!$B$226:$K$233,MATCH(Brand_Profile!$F$30,Lookup_Lists!$A$226:$A$233,0),MATCH(KOL_Database!$AJ$28,Lookup_Lists!$B$225:$K$225,0)),45)</f>
        <v>45</v>
      </c>
      <c r="AC89" s="142">
        <f>ROUND((Matching_Engine!$Y$89*Lookup_Lists!$D$125+Matching_Engine!$Z$89*Lookup_Lists!$D$126+Matching_Engine!$AA$89*Lookup_Lists!$D$127+Matching_Engine!$AB$89*Lookup_Lists!$D$128)/(Lookup_Lists!$D$125+Lookup_Lists!$D$126+Lookup_Lists!$D$127+Lookup_Lists!$D$128),0)</f>
        <v>36</v>
      </c>
      <c r="AD89" s="142">
        <f>IF(KOL_Database!$K$28="",0,MIN(100,ROUND(KOL_Database!$K$28/Lookup_Lists!$D$141*100,0)))</f>
        <v>70</v>
      </c>
      <c r="AE89" s="142">
        <f>IF(KOL_Database!$R$28="",0,MIN(100,MAX(0,KOL_Database!$R$28)))</f>
        <v>74</v>
      </c>
      <c r="AF89" s="142">
        <f>IF(KOL_Database!$P$28="",0,MIN(100,MAX(0,KOL_Database!$P$28)))</f>
        <v>62</v>
      </c>
      <c r="AG89" s="142">
        <f>IF(KOL_Database!$Q$28="",0,MIN(100,MAX(0,KOL_Database!$Q$28)))</f>
        <v>58</v>
      </c>
      <c r="AH89" s="142">
        <f>IF(OR(KOL_Database!$J$28="",KOL_Database!$J$28=0,KOL_Database!$L$28=""),0,MIN(100,ROUND(KOL_Database!$L$28/KOL_Database!$J$28/Lookup_Lists!$D$144*100,0)))</f>
        <v>62</v>
      </c>
      <c r="AI89" s="142">
        <f>IF(KOL_Database!$N$28="",0,MIN(100,MAX(0,ROUND((KOL_Database!$N$28+2)/(Lookup_Lists!$D$145+2)*100,0))))</f>
        <v>55</v>
      </c>
      <c r="AJ89" s="142">
        <f>ROUND((Matching_Engine!$AD$89*Lookup_Lists!$D$129+Matching_Engine!$AE$89*Lookup_Lists!$D$130+Matching_Engine!$AF$89*Lookup_Lists!$D$131+Matching_Engine!$AG$89*Lookup_Lists!$D$132+Matching_Engine!$AH$89*Lookup_Lists!$D$133+Matching_Engine!$AI$89*Lookup_Lists!$D$134)/(Lookup_Lists!$D$129+Lookup_Lists!$D$130+Lookup_Lists!$D$131+Lookup_Lists!$D$132+Lookup_Lists!$D$133+Lookup_Lists!$D$134),0)</f>
        <v>66</v>
      </c>
      <c r="AK89" s="142">
        <f>IF(KOL_Database!$AT$28="",0,MIN(100,MAX(0,KOL_Database!$AT$28)))</f>
        <v>82</v>
      </c>
      <c r="AL89" s="142">
        <f>IF(KOL_Database!$AU$28="",0,KOL_Database!$AU$28)</f>
        <v>38</v>
      </c>
      <c r="AM89" s="89" t="str">
        <f>IF(KOL_Database!$AV$28="","None",KOL_Database!$AV$28)</f>
        <v>None</v>
      </c>
      <c r="AN89" s="143">
        <f>IF(Matching_Engine!$AM$89="High",Lookup_Lists!$D$137,IF(Matching_Engine!$AM$89="Medium",Lookup_Lists!$D$138,IF(Matching_Engine!$AM$89="Low",Lookup_Lists!$D$139,Lookup_Lists!$D$140)))</f>
        <v>1</v>
      </c>
      <c r="AO89" s="142">
        <f>ROUND(MIN(100,MAX(0,(Matching_Engine!$AK$89*Lookup_Lists!$D$135+(100-Matching_Engine!$AL$89)*Lookup_Lists!$D$136)/(Lookup_Lists!$D$135+Lookup_Lists!$D$136)*Matching_Engine!$AN$89)),0)</f>
        <v>78</v>
      </c>
      <c r="AP89" s="13">
        <f ca="1">ROUND((Matching_Engine!$N$89*Lookup_Lists!$D$104+Matching_Engine!$S$89*Lookup_Lists!$D$105+Matching_Engine!$X$89*Lookup_Lists!$D$106+Matching_Engine!$AC$89*Lookup_Lists!$D$107+Matching_Engine!$AJ$89*Lookup_Lists!$D$108+Matching_Engine!$AO$89*Lookup_Lists!$D$109)/MAX(1,(Lookup_Lists!$D$104+Lookup_Lists!$D$105+Lookup_Lists!$D$106+Lookup_Lists!$D$107+Lookup_Lists!$D$108+Lookup_Lists!$D$109)),0)</f>
        <v>50</v>
      </c>
      <c r="AQ89" s="89" t="str">
        <f ca="1">IF(Matching_Engine!$AP$89&gt;=Lookup_Lists!$D$152,"Excellent Match",IF(Matching_Engine!$AP$89&gt;=Lookup_Lists!$D$153,"Strong Match",IF(Matching_Engine!$AP$89&gt;=Lookup_Lists!$D$154,"Good Match",IF(Matching_Engine!$AP$89&gt;=Lookup_Lists!$D$155,"Moderate Match","Low Match"))))</f>
        <v>Low Match</v>
      </c>
      <c r="AR89" s="142">
        <f>KOL_Database!$BE$28</f>
        <v>92</v>
      </c>
      <c r="AS89" s="89" t="str">
        <f>IF(Matching_Engine!$AR$89&gt;=Lookup_Lists!$D$159,"High",IF(Matching_Engine!$AR$89&gt;=Lookup_Lists!$D$160,"Medium","Limited Data"))</f>
        <v>Medium</v>
      </c>
      <c r="AT89" s="142">
        <f>ROUND((Matching_Engine!$N$89+Matching_Engine!$X$89+Matching_Engine!$AC$89)/3,0)</f>
        <v>29</v>
      </c>
      <c r="AU89" s="142">
        <f>ROUND(((100-Matching_Engine!$AL$89)*Lookup_Lists!$D$162+IF(KOL_Database!$BD$28="",Lookup_Lists!$D$150,KOL_Database!$BD$28)*Lookup_Lists!$D$163+Matching_Engine!$AI$89*Lookup_Lists!$D$164+Matching_Engine!$AD$89*Lookup_Lists!$D$165)/(Lookup_Lists!$D$162+Lookup_Lists!$D$163+Lookup_Lists!$D$164+Lookup_Lists!$D$165),0)</f>
        <v>56</v>
      </c>
      <c r="AV89" s="89" t="str">
        <f ca="1">IF(Matching_Engine!$AW$89="","PASS","EXCLUDED")</f>
        <v>PASS</v>
      </c>
      <c r="AW89" s="89" t="str">
        <f ca="1">IF(ISERROR(SEARCH(KOL_Database!$D$28,Brand_Profile!$F$32)),"Platform not in Preferred Platform",IF(AND(Brand_Profile!$F$36&gt;0,KOL_Database!$J$28&lt;Brand_Profile!$F$36),"Followers below Preferred Follower Range",IF(AND(Brand_Profile!$F$37&gt;0,KOL_Database!$J$28&gt;Brand_Profile!$F$37),"Followers above Preferred Follower Range",IF(AND(Brand_Profile!$F$38&gt;0,IF(KOL_Database!$K$28="",0,KOL_Database!$K$28)&lt;Brand_Profile!$F$38),"Engagement Rate below Minimum Engagement Rate",IF(ISERROR(SEARCH(KOL_Database!$G$28,Brand_Profile!$F$35)),"Tier not in Preferred Tier",IF(AND(Brand_Profile!$F$43&gt;0,Matching_Engine!$AE$89&lt;Brand_Profile!$F$43),"Audience Quality below Minimum Audience Quality",IF(AND(Brand_Profile!$F$44&gt;0,Matching_Engine!$AK$89&lt;Brand_Profile!$F$44),"Brand Safety below Minimum Brand Safety",IF(AND(Brand_Profile!$F$47="Yes",KOL_Database!$AD$28&lt;&gt;Brand_Profile!$F$19),"Audience Country does not match Target Country",IF(AND(Brand_Profile!$F$46="Yes",KOL_Database!$E$28&lt;&gt;Brand_Profile!$F$33),"Category is not the Preferred Category",IF(AND(Brand_Profile!$F$48&gt;0,Matching_Engine!$AL$89&gt;Brand_Profile!$F$48),"Competitor Saturation above Max Competitor Saturation",IF(AND(Brand_Profile!$F$50="Yes",KOL_Database!$AW$28="Yes"),"Already Selected",IF(AND(Brand_Profile!$F$51="Yes",KOL_Database!$AX$28="Yes"),"Already in Cart",IF(AND(Brand_Profile!$F$52="Yes",KOL_Database!$AY$28="Yes"),"Existing Partner",IF(AND(Brand_Profile!$F$53="Yes",KOL_Database!$AZ$28="Yes"),"Excluded Creator",IF(AND(Brand_Profile!$F$49&gt;0,Matching_Engine!$AP$89&lt;Brand_Profile!$F$49),"Brand Match below Minimum Brand Match","")))))))))))))))</f>
        <v/>
      </c>
      <c r="AX89" s="89" t="str">
        <f ca="1">IF(Matching_Engine!$AV$89="EXCLUDED","Excluded",IF(Matching_Engine!$AP$89&gt;=Lookup_Lists!$D$156,"Highly Recommended",IF(Matching_Engine!$AP$89&gt;=Lookup_Lists!$D$157,"Recommended",IF(Matching_Engine!$AP$89&gt;=Lookup_Lists!$D$158,"Consider","Low Priority"))))</f>
        <v>Low Priority</v>
      </c>
      <c r="AY89" s="142">
        <f ca="1">IF(Matching_Engine!$AV$89="PASS",Matching_Engine!$AP$89,"")</f>
        <v>50</v>
      </c>
      <c r="AZ89" s="89" t="str">
        <f>Matching_Engine!$A$89&amp;"|"&amp;Matching_Engine!$C$89</f>
        <v>BRAND-C|KOL-24</v>
      </c>
      <c r="BA89" s="89" t="str">
        <f>IFERROR(INDEX(Lookup_Lists!$B$51:$B$92,MATCH(Brand_Profile!$F$12,Lookup_Lists!$A$51:$A$92,0)),"")</f>
        <v>Food</v>
      </c>
      <c r="BB89" s="89" t="str">
        <f>IFERROR(INDEX(Lookup_Lists!$B$51:$B$92,MATCH(KOL_Database!$F$28,Lookup_Lists!$A$51:$A$92,0)),"")</f>
        <v>Gaming</v>
      </c>
      <c r="BC89" s="142">
        <f>IFERROR(INDEX(Lookup_Lists!$B$185:$O$198,MATCH(Matching_Engine!$BA$89,Lookup_Lists!$A$185:$A$198,0),MATCH(KOL_Database!$E$28,Lookup_Lists!$B$184:$O$184,0)),Lookup_Lists!$D$151)</f>
        <v>20</v>
      </c>
      <c r="BD89" s="142">
        <f>IFERROR(INDEX(Lookup_Lists!$B$185:$O$198,MATCH(Brand_Profile!$F$33,Lookup_Lists!$A$185:$A$198,0),MATCH(KOL_Database!$E$28,Lookup_Lists!$B$184:$O$184,0)),Lookup_Lists!$D$151)</f>
        <v>20</v>
      </c>
      <c r="BE89" s="89" t="str">
        <f>IFERROR(INDEX(Lookup_Lists!$B$51:$B$92,MATCH(Brand_Profile!$F$34,Lookup_Lists!$A$51:$A$92,0)),"")</f>
        <v>Food</v>
      </c>
      <c r="BF89" s="89" t="str">
        <f>KOL_Database!$AI$28&amp;", "&amp;KOL_Database!$AG$28&amp;", "&amp;KOL_Database!$F$28&amp;", "&amp;KOL_Database!$E$28</f>
        <v>Gaming, Technology, Productivity, Gaming, Technology, Productivity, Entertainment, Shopping, PC &amp; Console, Gaming</v>
      </c>
      <c r="BG89" s="89" t="str">
        <f>KOL_Database!$AI$28&amp;", "&amp;KOL_Database!$AG$28</f>
        <v>Gaming, Technology, Productivity, Gaming, Technology, Productivity, Entertainment, Shopping</v>
      </c>
    </row>
    <row r="90" spans="1:59">
      <c r="A90" s="101" t="s">
        <v>119</v>
      </c>
      <c r="B90" s="89" t="str">
        <f>Brand_Profile!$F$9</f>
        <v>Rasa Nusantara</v>
      </c>
      <c r="C90" s="89" t="str">
        <f>KOL_Database!$A$29</f>
        <v>KOL-25</v>
      </c>
      <c r="D90" s="89" t="str">
        <f>KOL_Database!$B$29</f>
        <v>Denny Kurniawan</v>
      </c>
      <c r="E90" s="89" t="str">
        <f>KOL_Database!$C$29</f>
        <v>@dennymotovlog</v>
      </c>
      <c r="F90" s="89" t="str">
        <f>KOL_Database!$D$29</f>
        <v>TikTok</v>
      </c>
      <c r="G90" s="89" t="str">
        <f>KOL_Database!$E$29</f>
        <v>Automotive</v>
      </c>
      <c r="H90" s="89" t="str">
        <f>KOL_Database!$G$29</f>
        <v>Macro</v>
      </c>
      <c r="I90" s="140">
        <f>KOL_Database!$J$29</f>
        <v>228000</v>
      </c>
      <c r="J90" s="141">
        <f>KOL_Database!$K$29</f>
        <v>5.1</v>
      </c>
      <c r="K90" s="142">
        <f>IFERROR(INDEX(Lookup_Lists!$B$170:$O$181,MATCH(Brand_Profile!$F$10,Lookup_Lists!$A$170:$A$181,0),MATCH(KOL_Database!$E$29,Lookup_Lists!$B$169:$O$169,0)),Lookup_Lists!$D$151)</f>
        <v>20</v>
      </c>
      <c r="L90" s="142">
        <f>IF(KOL_Database!$F$29="",Matching_Engine!$BC$90,IF(Brand_Profile!$F$12=KOL_Database!$F$29,100,IF(Matching_Engine!$BA$90=KOL_Database!$E$29,80,IF(Matching_Engine!$BC$90&gt;=80,60,IF(Matching_Engine!$BC$90&gt;=60,40,Lookup_Lists!$D$151)))))</f>
        <v>20</v>
      </c>
      <c r="M90" s="142">
        <f>ROUND((IF(Brand_Profile!$F$62=0,Lookup_Lists!$D$150,ROUND((IF(Brand_Profile!$F$57="",0,IF(ISNUMBER(SEARCH(Brand_Profile!$F$57,Matching_Engine!$BF$90)),1,0))+IF(Brand_Profile!$F$58="",0,IF(ISNUMBER(SEARCH(Brand_Profile!$F$58,Matching_Engine!$BF$90)),1,0))+IF(Brand_Profile!$F$59="",0,IF(ISNUMBER(SEARCH(Brand_Profile!$F$59,Matching_Engine!$BF$90)),1,0))+IF(Brand_Profile!$F$60="",0,IF(ISNUMBER(SEARCH(Brand_Profile!$F$60,Matching_Engine!$BF$90)),1,0))+IF(Brand_Profile!$F$61="",0,IF(ISNUMBER(SEARCH(Brand_Profile!$F$61,Matching_Engine!$BF$90)),1,0)))/Brand_Profile!$F$62*100,0))+IF(Brand_Profile!$F$74=0,Lookup_Lists!$D$150,ROUND((IF(Brand_Profile!$F$69="",0,IF(ISNUMBER(SEARCH(Brand_Profile!$F$69,Matching_Engine!$BF$90)),1,0))+IF(Brand_Profile!$F$70="",0,IF(ISNUMBER(SEARCH(Brand_Profile!$F$70,Matching_Engine!$BF$90)),1,0))+IF(Brand_Profile!$F$71="",0,IF(ISNUMBER(SEARCH(Brand_Profile!$F$71,Matching_Engine!$BF$90)),1,0))+IF(Brand_Profile!$F$72="",0,IF(ISNUMBER(SEARCH(Brand_Profile!$F$72,Matching_Engine!$BF$90)),1,0))+IF(Brand_Profile!$F$73="",0,IF(ISNUMBER(SEARCH(Brand_Profile!$F$73,Matching_Engine!$BF$90)),1,0)))/Brand_Profile!$F$74*100,0)))/2,0)</f>
        <v>40</v>
      </c>
      <c r="N90" s="142">
        <f>ROUND((Matching_Engine!$K$90*Lookup_Lists!$D$110+Matching_Engine!$L$90*Lookup_Lists!$D$111+Matching_Engine!$M$90*Lookup_Lists!$D$112)/(Lookup_Lists!$D$110+Lookup_Lists!$D$111+Lookup_Lists!$D$112),0)</f>
        <v>26</v>
      </c>
      <c r="O90" s="142">
        <f ca="1">IF(Brand_Profile!$F$16="",Lookup_Lists!$D$150,MIN(100,ROUND((IFERROR(INDEX(KOL_Database!$W$29:KOL_Database!$AA$29,1,MATCH(Brand_Profile!$F$16,Lookup_Lists!$F$6:$F$10,0)),0)+0.5*IFERROR(INDEX(KOL_Database!$W$29:KOL_Database!$AA$29,1,MATCH(Brand_Profile!$F$17,Lookup_Lists!$F$6:$F$10,0)),0))/Lookup_Lists!$D$142*100,0)))</f>
        <v>97</v>
      </c>
      <c r="P90" s="142">
        <f>IF(OR(Brand_Profile!$F$18="",Brand_Profile!$F$18="Any"),100,IF(Brand_Profile!$F$18="Female",MIN(100,ROUND(KOL_Database!$AB$29/Lookup_Lists!$D$143*100,0)),IF(Brand_Profile!$F$18="Male",MIN(100,ROUND(KOL_Database!$AC$29/Lookup_Lists!$D$143*100,0)),MAX(0,ROUND(100-ABS(KOL_Database!$AB$29-50)*2,0)))))</f>
        <v>44</v>
      </c>
      <c r="Q90" s="142">
        <f>ROUND((IF(Brand_Profile!$F$19="",100,IF(KOL_Database!$AD$29=Brand_Profile!$F$19,100,Lookup_Lists!$D$151))*Lookup_Lists!$D$118+IF(OR(Brand_Profile!$F$20="",Brand_Profile!$F$20="Nasional"),100,IF(KOL_Database!$AE$29="",Lookup_Lists!$D$150,IF(KOL_Database!$AE$29=Brand_Profile!$F$20,100,IF(KOL_Database!$AD$29=Brand_Profile!$F$19,40,Lookup_Lists!$D$151))))*Lookup_Lists!$D$119+IF(OR(Brand_Profile!$F$21="",Brand_Profile!$F$21="Nasional"),100,IF(KOL_Database!$AF$29="",Lookup_Lists!$D$150,IF(KOL_Database!$AF$29=Brand_Profile!$F$21,100,IF(KOL_Database!$AE$29=Brand_Profile!$F$20,60,Lookup_Lists!$D$151))))*Lookup_Lists!$D$120)/(Lookup_Lists!$D$118+Lookup_Lists!$D$119+Lookup_Lists!$D$120),0)</f>
        <v>100</v>
      </c>
      <c r="R90" s="142">
        <f>IF(Brand_Profile!$F$68=0,Lookup_Lists!$D$150,ROUND((IF(Brand_Profile!$F$63="",0,IF(ISNUMBER(SEARCH(Brand_Profile!$F$63,KOL_Database!$AG$29)),1,0))+IF(Brand_Profile!$F$64="",0,IF(ISNUMBER(SEARCH(Brand_Profile!$F$64,KOL_Database!$AG$29)),1,0))+IF(Brand_Profile!$F$65="",0,IF(ISNUMBER(SEARCH(Brand_Profile!$F$65,KOL_Database!$AG$29)),1,0))+IF(Brand_Profile!$F$66="",0,IF(ISNUMBER(SEARCH(Brand_Profile!$F$66,KOL_Database!$AG$29)),1,0))+IF(Brand_Profile!$F$67="",0,IF(ISNUMBER(SEARCH(Brand_Profile!$F$67,KOL_Database!$AG$29)),1,0)))/Brand_Profile!$F$68*100,0))</f>
        <v>40</v>
      </c>
      <c r="S90" s="142">
        <f ca="1">ROUND((Matching_Engine!$O$90*Brand_Profile!$F$96+Matching_Engine!$P$90*Brand_Profile!$F$97+Matching_Engine!$Q$90*Brand_Profile!$F$98+Matching_Engine!$R$90*Brand_Profile!$F$99)/MAX(1,Brand_Profile!$F$96+Brand_Profile!$F$97+Brand_Profile!$F$98+Brand_Profile!$F$99),0)</f>
        <v>77</v>
      </c>
      <c r="T90" s="142">
        <f>IF(Brand_Profile!$F$33="",Lookup_Lists!$D$150,Matching_Engine!$BD$90)</f>
        <v>20</v>
      </c>
      <c r="U90" s="142">
        <f>IF(Brand_Profile!$F$34="",Lookup_Lists!$D$150,IF(Brand_Profile!$F$34=KOL_Database!$F$29,100,IF(Matching_Engine!$BE$90=KOL_Database!$E$29,75,IF(Matching_Engine!$BD$90&gt;=80,Lookup_Lists!$D$150,IF(Matching_Engine!$BD$90&gt;=60,35,Lookup_Lists!$D$151)))))</f>
        <v>20</v>
      </c>
      <c r="V90" s="142">
        <f>IF(Brand_Profile!$F$86=0,Lookup_Lists!$D$150,ROUND((IF(Brand_Profile!$F$81="",0,IF(ISNUMBER(SEARCH(Brand_Profile!$F$81,Matching_Engine!$BG$90)),1,0))+IF(Brand_Profile!$F$82="",0,IF(ISNUMBER(SEARCH(Brand_Profile!$F$82,Matching_Engine!$BG$90)),1,0))+IF(Brand_Profile!$F$83="",0,IF(ISNUMBER(SEARCH(Brand_Profile!$F$83,Matching_Engine!$BG$90)),1,0))+IF(Brand_Profile!$F$84="",0,IF(ISNUMBER(SEARCH(Brand_Profile!$F$84,Matching_Engine!$BG$90)),1,0))+IF(Brand_Profile!$F$85="",0,IF(ISNUMBER(SEARCH(Brand_Profile!$F$85,Matching_Engine!$BG$90)),1,0)))/Brand_Profile!$F$86*100,0))</f>
        <v>40</v>
      </c>
      <c r="W90" s="142">
        <f>IF(Brand_Profile!$F$39="",Lookup_Lists!$D$150,IFERROR(INDEX(Lookup_Lists!$B$237:$K$246,MATCH(Brand_Profile!$F$39,Lookup_Lists!$A$237:$A$246,0),MATCH(KOL_Database!$AJ$29,Lookup_Lists!$B$236:$K$236,0)),45))</f>
        <v>80</v>
      </c>
      <c r="X90" s="142">
        <f>ROUND((Matching_Engine!$T$90*Lookup_Lists!$D$121+Matching_Engine!$U$90*Lookup_Lists!$D$122+Matching_Engine!$V$90*Lookup_Lists!$D$123+Matching_Engine!$W$90*Lookup_Lists!$D$124)/(Lookup_Lists!$D$121+Lookup_Lists!$D$122+Lookup_Lists!$D$123+Lookup_Lists!$D$124),0)</f>
        <v>38</v>
      </c>
      <c r="Y90" s="142">
        <f>MIN(100,MAX(IFERROR(INDEX(Lookup_Lists!$B$202:$M$211,MATCH(Brand_Profile!$F$25,Lookup_Lists!$A$202:$A$211,0),MATCH(KOL_Database!$AK$29,Lookup_Lists!$B$201:$M$201,0)),40),IF(KOL_Database!$AK$29=Brand_Profile!$F$41,95,0)))</f>
        <v>95</v>
      </c>
      <c r="Z90" s="142">
        <f>IFERROR(INDEX(Lookup_Lists!$B$215:$K$222,MATCH(Brand_Profile!$F$27,Lookup_Lists!$A$215:$A$222,0),MATCH(KOL_Database!$AJ$29,Lookup_Lists!$B$214:$K$214,0)),45)</f>
        <v>90</v>
      </c>
      <c r="AA90" s="142">
        <f>ROUND((IF(Brand_Profile!$F$80=0,Lookup_Lists!$D$150,ROUND((IF(Brand_Profile!$F$75="",0,IF(ISNUMBER(SEARCH(Brand_Profile!$F$75,KOL_Database!$AL$29)),1,0))+IF(Brand_Profile!$F$76="",0,IF(ISNUMBER(SEARCH(Brand_Profile!$F$76,KOL_Database!$AL$29)),1,0))+IF(Brand_Profile!$F$77="",0,IF(ISNUMBER(SEARCH(Brand_Profile!$F$77,KOL_Database!$AL$29)),1,0))+IF(Brand_Profile!$F$78="",0,IF(ISNUMBER(SEARCH(Brand_Profile!$F$78,KOL_Database!$AL$29)),1,0))+IF(Brand_Profile!$F$79="",0,IF(ISNUMBER(SEARCH(Brand_Profile!$F$79,KOL_Database!$AL$29)),1,0)))/Brand_Profile!$F$80*100,0))+IF(Brand_Profile!$F$92=0,Lookup_Lists!$D$150,ROUND((IF(Brand_Profile!$F$87="",0,IF(ISNUMBER(SEARCH(Brand_Profile!$F$87,KOL_Database!$AL$29)),1,0))+IF(Brand_Profile!$F$88="",0,IF(ISNUMBER(SEARCH(Brand_Profile!$F$88,KOL_Database!$AL$29)),1,0))+IF(Brand_Profile!$F$89="",0,IF(ISNUMBER(SEARCH(Brand_Profile!$F$89,KOL_Database!$AL$29)),1,0))+IF(Brand_Profile!$F$90="",0,IF(ISNUMBER(SEARCH(Brand_Profile!$F$90,KOL_Database!$AL$29)),1,0))+IF(Brand_Profile!$F$91="",0,IF(ISNUMBER(SEARCH(Brand_Profile!$F$91,KOL_Database!$AL$29)),1,0)))/Brand_Profile!$F$92*100,0)))/2,0)</f>
        <v>60</v>
      </c>
      <c r="AB90" s="142">
        <f>IFERROR(INDEX(Lookup_Lists!$B$226:$K$233,MATCH(Brand_Profile!$F$30,Lookup_Lists!$A$226:$A$233,0),MATCH(KOL_Database!$AJ$29,Lookup_Lists!$B$225:$K$225,0)),45)</f>
        <v>90</v>
      </c>
      <c r="AC90" s="142">
        <f>ROUND((Matching_Engine!$Y$90*Lookup_Lists!$D$125+Matching_Engine!$Z$90*Lookup_Lists!$D$126+Matching_Engine!$AA$90*Lookup_Lists!$D$127+Matching_Engine!$AB$90*Lookup_Lists!$D$128)/(Lookup_Lists!$D$125+Lookup_Lists!$D$126+Lookup_Lists!$D$127+Lookup_Lists!$D$128),0)</f>
        <v>84</v>
      </c>
      <c r="AD90" s="142">
        <f>IF(KOL_Database!$K$29="",0,MIN(100,ROUND(KOL_Database!$K$29/Lookup_Lists!$D$141*100,0)))</f>
        <v>85</v>
      </c>
      <c r="AE90" s="142">
        <f>IF(KOL_Database!$R$29="",0,MIN(100,MAX(0,KOL_Database!$R$29)))</f>
        <v>73</v>
      </c>
      <c r="AF90" s="142">
        <f>IF(KOL_Database!$P$29="",0,MIN(100,MAX(0,KOL_Database!$P$29)))</f>
        <v>64</v>
      </c>
      <c r="AG90" s="142">
        <f>IF(KOL_Database!$Q$29="",0,MIN(100,MAX(0,KOL_Database!$Q$29)))</f>
        <v>58</v>
      </c>
      <c r="AH90" s="142">
        <f>IF(OR(KOL_Database!$J$29="",KOL_Database!$J$29=0,KOL_Database!$L$29=""),0,MIN(100,ROUND(KOL_Database!$L$29/KOL_Database!$J$29/Lookup_Lists!$D$144*100,0)))</f>
        <v>100</v>
      </c>
      <c r="AI90" s="142">
        <f>IF(KOL_Database!$N$29="",0,MIN(100,MAX(0,ROUND((KOL_Database!$N$29+2)/(Lookup_Lists!$D$145+2)*100,0))))</f>
        <v>93</v>
      </c>
      <c r="AJ90" s="142">
        <f>ROUND((Matching_Engine!$AD$90*Lookup_Lists!$D$129+Matching_Engine!$AE$90*Lookup_Lists!$D$130+Matching_Engine!$AF$90*Lookup_Lists!$D$131+Matching_Engine!$AG$90*Lookup_Lists!$D$132+Matching_Engine!$AH$90*Lookup_Lists!$D$133+Matching_Engine!$AI$90*Lookup_Lists!$D$134)/(Lookup_Lists!$D$129+Lookup_Lists!$D$130+Lookup_Lists!$D$131+Lookup_Lists!$D$132+Lookup_Lists!$D$133+Lookup_Lists!$D$134),0)</f>
        <v>78</v>
      </c>
      <c r="AK90" s="142">
        <f>IF(KOL_Database!$AT$29="",0,MIN(100,MAX(0,KOL_Database!$AT$29)))</f>
        <v>80</v>
      </c>
      <c r="AL90" s="142">
        <f>IF(KOL_Database!$AU$29="",0,KOL_Database!$AU$29)</f>
        <v>28</v>
      </c>
      <c r="AM90" s="89" t="str">
        <f>IF(KOL_Database!$AV$29="","None",KOL_Database!$AV$29)</f>
        <v>Low</v>
      </c>
      <c r="AN90" s="143">
        <f>IF(Matching_Engine!$AM$90="High",Lookup_Lists!$D$137,IF(Matching_Engine!$AM$90="Medium",Lookup_Lists!$D$138,IF(Matching_Engine!$AM$90="Low",Lookup_Lists!$D$139,Lookup_Lists!$D$140)))</f>
        <v>0.95</v>
      </c>
      <c r="AO90" s="142">
        <f>ROUND(MIN(100,MAX(0,(Matching_Engine!$AK$90*Lookup_Lists!$D$135+(100-Matching_Engine!$AL$90)*Lookup_Lists!$D$136)/(Lookup_Lists!$D$135+Lookup_Lists!$D$136)*Matching_Engine!$AN$90)),0)</f>
        <v>74</v>
      </c>
      <c r="AP90" s="13">
        <f ca="1">ROUND((Matching_Engine!$N$90*Lookup_Lists!$D$104+Matching_Engine!$S$90*Lookup_Lists!$D$105+Matching_Engine!$X$90*Lookup_Lists!$D$106+Matching_Engine!$AC$90*Lookup_Lists!$D$107+Matching_Engine!$AJ$90*Lookup_Lists!$D$108+Matching_Engine!$AO$90*Lookup_Lists!$D$109)/MAX(1,(Lookup_Lists!$D$104+Lookup_Lists!$D$105+Lookup_Lists!$D$106+Lookup_Lists!$D$107+Lookup_Lists!$D$108+Lookup_Lists!$D$109)),0)</f>
        <v>60</v>
      </c>
      <c r="AQ90" s="89" t="str">
        <f ca="1">IF(Matching_Engine!$AP$90&gt;=Lookup_Lists!$D$152,"Excellent Match",IF(Matching_Engine!$AP$90&gt;=Lookup_Lists!$D$153,"Strong Match",IF(Matching_Engine!$AP$90&gt;=Lookup_Lists!$D$154,"Good Match",IF(Matching_Engine!$AP$90&gt;=Lookup_Lists!$D$155,"Moderate Match","Low Match"))))</f>
        <v>Moderate Match</v>
      </c>
      <c r="AR90" s="142">
        <f>KOL_Database!$BE$29</f>
        <v>100</v>
      </c>
      <c r="AS90" s="89" t="str">
        <f>IF(Matching_Engine!$AR$90&gt;=Lookup_Lists!$D$159,"High",IF(Matching_Engine!$AR$90&gt;=Lookup_Lists!$D$160,"Medium","Limited Data"))</f>
        <v>High</v>
      </c>
      <c r="AT90" s="142">
        <f>ROUND((Matching_Engine!$N$90+Matching_Engine!$X$90+Matching_Engine!$AC$90)/3,0)</f>
        <v>49</v>
      </c>
      <c r="AU90" s="142">
        <f>ROUND(((100-Matching_Engine!$AL$90)*Lookup_Lists!$D$162+IF(KOL_Database!$BD$29="",Lookup_Lists!$D$150,KOL_Database!$BD$29)*Lookup_Lists!$D$163+Matching_Engine!$AI$90*Lookup_Lists!$D$164+Matching_Engine!$AD$90*Lookup_Lists!$D$165)/(Lookup_Lists!$D$162+Lookup_Lists!$D$163+Lookup_Lists!$D$164+Lookup_Lists!$D$165),0)</f>
        <v>86</v>
      </c>
      <c r="AV90" s="89" t="str">
        <f ca="1">IF(Matching_Engine!$AW$90="","PASS","EXCLUDED")</f>
        <v>EXCLUDED</v>
      </c>
      <c r="AW90" s="89" t="str">
        <f ca="1">IF(ISERROR(SEARCH(KOL_Database!$D$29,Brand_Profile!$F$32)),"Platform not in Preferred Platform",IF(AND(Brand_Profile!$F$36&gt;0,KOL_Database!$J$29&lt;Brand_Profile!$F$36),"Followers below Preferred Follower Range",IF(AND(Brand_Profile!$F$37&gt;0,KOL_Database!$J$29&gt;Brand_Profile!$F$37),"Followers above Preferred Follower Range",IF(AND(Brand_Profile!$F$38&gt;0,IF(KOL_Database!$K$29="",0,KOL_Database!$K$29)&lt;Brand_Profile!$F$38),"Engagement Rate below Minimum Engagement Rate",IF(ISERROR(SEARCH(KOL_Database!$G$29,Brand_Profile!$F$35)),"Tier not in Preferred Tier",IF(AND(Brand_Profile!$F$43&gt;0,Matching_Engine!$AE$90&lt;Brand_Profile!$F$43),"Audience Quality below Minimum Audience Quality",IF(AND(Brand_Profile!$F$44&gt;0,Matching_Engine!$AK$90&lt;Brand_Profile!$F$44),"Brand Safety below Minimum Brand Safety",IF(AND(Brand_Profile!$F$47="Yes",KOL_Database!$AD$29&lt;&gt;Brand_Profile!$F$19),"Audience Country does not match Target Country",IF(AND(Brand_Profile!$F$46="Yes",KOL_Database!$E$29&lt;&gt;Brand_Profile!$F$33),"Category is not the Preferred Category",IF(AND(Brand_Profile!$F$48&gt;0,Matching_Engine!$AL$90&gt;Brand_Profile!$F$48),"Competitor Saturation above Max Competitor Saturation",IF(AND(Brand_Profile!$F$50="Yes",KOL_Database!$AW$29="Yes"),"Already Selected",IF(AND(Brand_Profile!$F$51="Yes",KOL_Database!$AX$29="Yes"),"Already in Cart",IF(AND(Brand_Profile!$F$52="Yes",KOL_Database!$AY$29="Yes"),"Existing Partner",IF(AND(Brand_Profile!$F$53="Yes",KOL_Database!$AZ$29="Yes"),"Excluded Creator",IF(AND(Brand_Profile!$F$49&gt;0,Matching_Engine!$AP$90&lt;Brand_Profile!$F$49),"Brand Match below Minimum Brand Match","")))))))))))))))</f>
        <v>Tier not in Preferred Tier</v>
      </c>
      <c r="AX90" s="89" t="str">
        <f ca="1">IF(Matching_Engine!$AV$90="EXCLUDED","Excluded",IF(Matching_Engine!$AP$90&gt;=Lookup_Lists!$D$156,"Highly Recommended",IF(Matching_Engine!$AP$90&gt;=Lookup_Lists!$D$157,"Recommended",IF(Matching_Engine!$AP$90&gt;=Lookup_Lists!$D$158,"Consider","Low Priority"))))</f>
        <v>Excluded</v>
      </c>
      <c r="AY90" s="142" t="str">
        <f ca="1">IF(Matching_Engine!$AV$90="PASS",Matching_Engine!$AP$90,"")</f>
        <v/>
      </c>
      <c r="AZ90" s="89" t="str">
        <f>Matching_Engine!$A$90&amp;"|"&amp;Matching_Engine!$C$90</f>
        <v>BRAND-C|KOL-25</v>
      </c>
      <c r="BA90" s="89" t="str">
        <f>IFERROR(INDEX(Lookup_Lists!$B$51:$B$92,MATCH(Brand_Profile!$F$12,Lookup_Lists!$A$51:$A$92,0)),"")</f>
        <v>Food</v>
      </c>
      <c r="BB90" s="89" t="str">
        <f>IFERROR(INDEX(Lookup_Lists!$B$51:$B$92,MATCH(KOL_Database!$F$29,Lookup_Lists!$A$51:$A$92,0)),"")</f>
        <v>Automotive</v>
      </c>
      <c r="BC90" s="142">
        <f>IFERROR(INDEX(Lookup_Lists!$B$185:$O$198,MATCH(Matching_Engine!$BA$90,Lookup_Lists!$A$185:$A$198,0),MATCH(KOL_Database!$E$29,Lookup_Lists!$B$184:$O$184,0)),Lookup_Lists!$D$151)</f>
        <v>20</v>
      </c>
      <c r="BD90" s="142">
        <f>IFERROR(INDEX(Lookup_Lists!$B$185:$O$198,MATCH(Brand_Profile!$F$33,Lookup_Lists!$A$185:$A$198,0),MATCH(KOL_Database!$E$29,Lookup_Lists!$B$184:$O$184,0)),Lookup_Lists!$D$151)</f>
        <v>20</v>
      </c>
      <c r="BE90" s="89" t="str">
        <f>IFERROR(INDEX(Lookup_Lists!$B$51:$B$92,MATCH(Brand_Profile!$F$34,Lookup_Lists!$A$51:$A$92,0)),"")</f>
        <v>Food</v>
      </c>
      <c r="BF90" s="89" t="str">
        <f>KOL_Database!$AI$29&amp;", "&amp;KOL_Database!$AG$29&amp;", "&amp;KOL_Database!$F$29&amp;", "&amp;KOL_Database!$E$29</f>
        <v>Automotive, Travel, Entertainment, Automotive, Travel, Entertainment, Technology, Shopping, Motorcycle, Automotive</v>
      </c>
      <c r="BG90" s="89" t="str">
        <f>KOL_Database!$AI$29&amp;", "&amp;KOL_Database!$AG$29</f>
        <v>Automotive, Travel, Entertainment, Automotive, Travel, Entertainment, Technology, Shopping</v>
      </c>
    </row>
    <row r="91" spans="1:59">
      <c r="A91" s="101" t="s">
        <v>119</v>
      </c>
      <c r="B91" s="89" t="str">
        <f>Brand_Profile!$F$9</f>
        <v>Rasa Nusantara</v>
      </c>
      <c r="C91" s="89" t="str">
        <f>KOL_Database!$A$30</f>
        <v>KOL-26</v>
      </c>
      <c r="D91" s="89" t="str">
        <f>KOL_Database!$B$30</f>
        <v>Wisnu Adi</v>
      </c>
      <c r="E91" s="89" t="str">
        <f>KOL_Database!$C$30</f>
        <v>@wisnucarreview</v>
      </c>
      <c r="F91" s="89" t="str">
        <f>KOL_Database!$D$30</f>
        <v>Instagram</v>
      </c>
      <c r="G91" s="89" t="str">
        <f>KOL_Database!$E$30</f>
        <v>Automotive</v>
      </c>
      <c r="H91" s="89" t="str">
        <f>KOL_Database!$G$30</f>
        <v>Mid-tier</v>
      </c>
      <c r="I91" s="140">
        <f>KOL_Database!$J$30</f>
        <v>76000</v>
      </c>
      <c r="J91" s="141">
        <f>KOL_Database!$K$30</f>
        <v>2.9</v>
      </c>
      <c r="K91" s="142">
        <f>IFERROR(INDEX(Lookup_Lists!$B$170:$O$181,MATCH(Brand_Profile!$F$10,Lookup_Lists!$A$170:$A$181,0),MATCH(KOL_Database!$E$30,Lookup_Lists!$B$169:$O$169,0)),Lookup_Lists!$D$151)</f>
        <v>20</v>
      </c>
      <c r="L91" s="142">
        <f>IF(KOL_Database!$F$30="",Matching_Engine!$BC$91,IF(Brand_Profile!$F$12=KOL_Database!$F$30,100,IF(Matching_Engine!$BA$91=KOL_Database!$E$30,80,IF(Matching_Engine!$BC$91&gt;=80,60,IF(Matching_Engine!$BC$91&gt;=60,40,Lookup_Lists!$D$151)))))</f>
        <v>20</v>
      </c>
      <c r="M91" s="142">
        <f>ROUND((IF(Brand_Profile!$F$62=0,Lookup_Lists!$D$150,ROUND((IF(Brand_Profile!$F$57="",0,IF(ISNUMBER(SEARCH(Brand_Profile!$F$57,Matching_Engine!$BF$91)),1,0))+IF(Brand_Profile!$F$58="",0,IF(ISNUMBER(SEARCH(Brand_Profile!$F$58,Matching_Engine!$BF$91)),1,0))+IF(Brand_Profile!$F$59="",0,IF(ISNUMBER(SEARCH(Brand_Profile!$F$59,Matching_Engine!$BF$91)),1,0))+IF(Brand_Profile!$F$60="",0,IF(ISNUMBER(SEARCH(Brand_Profile!$F$60,Matching_Engine!$BF$91)),1,0))+IF(Brand_Profile!$F$61="",0,IF(ISNUMBER(SEARCH(Brand_Profile!$F$61,Matching_Engine!$BF$91)),1,0)))/Brand_Profile!$F$62*100,0))+IF(Brand_Profile!$F$74=0,Lookup_Lists!$D$150,ROUND((IF(Brand_Profile!$F$69="",0,IF(ISNUMBER(SEARCH(Brand_Profile!$F$69,Matching_Engine!$BF$91)),1,0))+IF(Brand_Profile!$F$70="",0,IF(ISNUMBER(SEARCH(Brand_Profile!$F$70,Matching_Engine!$BF$91)),1,0))+IF(Brand_Profile!$F$71="",0,IF(ISNUMBER(SEARCH(Brand_Profile!$F$71,Matching_Engine!$BF$91)),1,0))+IF(Brand_Profile!$F$72="",0,IF(ISNUMBER(SEARCH(Brand_Profile!$F$72,Matching_Engine!$BF$91)),1,0))+IF(Brand_Profile!$F$73="",0,IF(ISNUMBER(SEARCH(Brand_Profile!$F$73,Matching_Engine!$BF$91)),1,0)))/Brand_Profile!$F$74*100,0)))/2,0)</f>
        <v>0</v>
      </c>
      <c r="N91" s="142">
        <f>ROUND((Matching_Engine!$K$91*Lookup_Lists!$D$110+Matching_Engine!$L$91*Lookup_Lists!$D$111+Matching_Engine!$M$91*Lookup_Lists!$D$112)/(Lookup_Lists!$D$110+Lookup_Lists!$D$111+Lookup_Lists!$D$112),0)</f>
        <v>14</v>
      </c>
      <c r="O91" s="142">
        <f ca="1">IF(Brand_Profile!$F$16="",Lookup_Lists!$D$150,MIN(100,ROUND((IFERROR(INDEX(KOL_Database!$W$30:KOL_Database!$AA$30,1,MATCH(Brand_Profile!$F$16,Lookup_Lists!$F$6:$F$10,0)),0)+0.5*IFERROR(INDEX(KOL_Database!$W$30:KOL_Database!$AA$30,1,MATCH(Brand_Profile!$F$17,Lookup_Lists!$F$6:$F$10,0)),0))/Lookup_Lists!$D$142*100,0)))</f>
        <v>100</v>
      </c>
      <c r="P91" s="142">
        <f>IF(OR(Brand_Profile!$F$18="",Brand_Profile!$F$18="Any"),100,IF(Brand_Profile!$F$18="Female",MIN(100,ROUND(KOL_Database!$AB$30/Lookup_Lists!$D$143*100,0)),IF(Brand_Profile!$F$18="Male",MIN(100,ROUND(KOL_Database!$AC$30/Lookup_Lists!$D$143*100,0)),MAX(0,ROUND(100-ABS(KOL_Database!$AB$30-50)*2,0)))))</f>
        <v>58</v>
      </c>
      <c r="Q91" s="142">
        <f>ROUND((IF(Brand_Profile!$F$19="",100,IF(KOL_Database!$AD$30=Brand_Profile!$F$19,100,Lookup_Lists!$D$151))*Lookup_Lists!$D$118+IF(OR(Brand_Profile!$F$20="",Brand_Profile!$F$20="Nasional"),100,IF(KOL_Database!$AE$30="",Lookup_Lists!$D$150,IF(KOL_Database!$AE$30=Brand_Profile!$F$20,100,IF(KOL_Database!$AD$30=Brand_Profile!$F$19,40,Lookup_Lists!$D$151))))*Lookup_Lists!$D$119+IF(OR(Brand_Profile!$F$21="",Brand_Profile!$F$21="Nasional"),100,IF(KOL_Database!$AF$30="",Lookup_Lists!$D$150,IF(KOL_Database!$AF$30=Brand_Profile!$F$21,100,IF(KOL_Database!$AE$30=Brand_Profile!$F$20,60,Lookup_Lists!$D$151))))*Lookup_Lists!$D$120)/(Lookup_Lists!$D$118+Lookup_Lists!$D$119+Lookup_Lists!$D$120),0)</f>
        <v>100</v>
      </c>
      <c r="R91" s="142">
        <f>IF(Brand_Profile!$F$68=0,Lookup_Lists!$D$150,ROUND((IF(Brand_Profile!$F$63="",0,IF(ISNUMBER(SEARCH(Brand_Profile!$F$63,KOL_Database!$AG$30)),1,0))+IF(Brand_Profile!$F$64="",0,IF(ISNUMBER(SEARCH(Brand_Profile!$F$64,KOL_Database!$AG$30)),1,0))+IF(Brand_Profile!$F$65="",0,IF(ISNUMBER(SEARCH(Brand_Profile!$F$65,KOL_Database!$AG$30)),1,0))+IF(Brand_Profile!$F$66="",0,IF(ISNUMBER(SEARCH(Brand_Profile!$F$66,KOL_Database!$AG$30)),1,0))+IF(Brand_Profile!$F$67="",0,IF(ISNUMBER(SEARCH(Brand_Profile!$F$67,KOL_Database!$AG$30)),1,0)))/Brand_Profile!$F$68*100,0))</f>
        <v>20</v>
      </c>
      <c r="S91" s="142">
        <f ca="1">ROUND((Matching_Engine!$O$91*Brand_Profile!$F$96+Matching_Engine!$P$91*Brand_Profile!$F$97+Matching_Engine!$Q$91*Brand_Profile!$F$98+Matching_Engine!$R$91*Brand_Profile!$F$99)/MAX(1,Brand_Profile!$F$96+Brand_Profile!$F$97+Brand_Profile!$F$98+Brand_Profile!$F$99),0)</f>
        <v>75</v>
      </c>
      <c r="T91" s="142">
        <f>IF(Brand_Profile!$F$33="",Lookup_Lists!$D$150,Matching_Engine!$BD$91)</f>
        <v>20</v>
      </c>
      <c r="U91" s="142">
        <f>IF(Brand_Profile!$F$34="",Lookup_Lists!$D$150,IF(Brand_Profile!$F$34=KOL_Database!$F$30,100,IF(Matching_Engine!$BE$91=KOL_Database!$E$30,75,IF(Matching_Engine!$BD$91&gt;=80,Lookup_Lists!$D$150,IF(Matching_Engine!$BD$91&gt;=60,35,Lookup_Lists!$D$151)))))</f>
        <v>20</v>
      </c>
      <c r="V91" s="142">
        <f>IF(Brand_Profile!$F$86=0,Lookup_Lists!$D$150,ROUND((IF(Brand_Profile!$F$81="",0,IF(ISNUMBER(SEARCH(Brand_Profile!$F$81,Matching_Engine!$BG$91)),1,0))+IF(Brand_Profile!$F$82="",0,IF(ISNUMBER(SEARCH(Brand_Profile!$F$82,Matching_Engine!$BG$91)),1,0))+IF(Brand_Profile!$F$83="",0,IF(ISNUMBER(SEARCH(Brand_Profile!$F$83,Matching_Engine!$BG$91)),1,0))+IF(Brand_Profile!$F$84="",0,IF(ISNUMBER(SEARCH(Brand_Profile!$F$84,Matching_Engine!$BG$91)),1,0))+IF(Brand_Profile!$F$85="",0,IF(ISNUMBER(SEARCH(Brand_Profile!$F$85,Matching_Engine!$BG$91)),1,0)))/Brand_Profile!$F$86*100,0))</f>
        <v>20</v>
      </c>
      <c r="W91" s="142">
        <f>IF(Brand_Profile!$F$39="",Lookup_Lists!$D$150,IFERROR(INDEX(Lookup_Lists!$B$237:$K$246,MATCH(Brand_Profile!$F$39,Lookup_Lists!$A$237:$A$246,0),MATCH(KOL_Database!$AJ$30,Lookup_Lists!$B$236:$K$236,0)),45))</f>
        <v>45</v>
      </c>
      <c r="X91" s="142">
        <f>ROUND((Matching_Engine!$T$91*Lookup_Lists!$D$121+Matching_Engine!$U$91*Lookup_Lists!$D$122+Matching_Engine!$V$91*Lookup_Lists!$D$123+Matching_Engine!$W$91*Lookup_Lists!$D$124)/(Lookup_Lists!$D$121+Lookup_Lists!$D$122+Lookup_Lists!$D$123+Lookup_Lists!$D$124),0)</f>
        <v>25</v>
      </c>
      <c r="Y91" s="142">
        <f>MIN(100,MAX(IFERROR(INDEX(Lookup_Lists!$B$202:$M$211,MATCH(Brand_Profile!$F$25,Lookup_Lists!$A$202:$A$211,0),MATCH(KOL_Database!$AK$30,Lookup_Lists!$B$201:$M$201,0)),40),IF(KOL_Database!$AK$30=Brand_Profile!$F$41,95,0)))</f>
        <v>45</v>
      </c>
      <c r="Z91" s="142">
        <f>IFERROR(INDEX(Lookup_Lists!$B$215:$K$222,MATCH(Brand_Profile!$F$27,Lookup_Lists!$A$215:$A$222,0),MATCH(KOL_Database!$AJ$30,Lookup_Lists!$B$214:$K$214,0)),45)</f>
        <v>65</v>
      </c>
      <c r="AA91" s="142">
        <f>ROUND((IF(Brand_Profile!$F$80=0,Lookup_Lists!$D$150,ROUND((IF(Brand_Profile!$F$75="",0,IF(ISNUMBER(SEARCH(Brand_Profile!$F$75,KOL_Database!$AL$30)),1,0))+IF(Brand_Profile!$F$76="",0,IF(ISNUMBER(SEARCH(Brand_Profile!$F$76,KOL_Database!$AL$30)),1,0))+IF(Brand_Profile!$F$77="",0,IF(ISNUMBER(SEARCH(Brand_Profile!$F$77,KOL_Database!$AL$30)),1,0))+IF(Brand_Profile!$F$78="",0,IF(ISNUMBER(SEARCH(Brand_Profile!$F$78,KOL_Database!$AL$30)),1,0))+IF(Brand_Profile!$F$79="",0,IF(ISNUMBER(SEARCH(Brand_Profile!$F$79,KOL_Database!$AL$30)),1,0)))/Brand_Profile!$F$80*100,0))+IF(Brand_Profile!$F$92=0,Lookup_Lists!$D$150,ROUND((IF(Brand_Profile!$F$87="",0,IF(ISNUMBER(SEARCH(Brand_Profile!$F$87,KOL_Database!$AL$30)),1,0))+IF(Brand_Profile!$F$88="",0,IF(ISNUMBER(SEARCH(Brand_Profile!$F$88,KOL_Database!$AL$30)),1,0))+IF(Brand_Profile!$F$89="",0,IF(ISNUMBER(SEARCH(Brand_Profile!$F$89,KOL_Database!$AL$30)),1,0))+IF(Brand_Profile!$F$90="",0,IF(ISNUMBER(SEARCH(Brand_Profile!$F$90,KOL_Database!$AL$30)),1,0))+IF(Brand_Profile!$F$91="",0,IF(ISNUMBER(SEARCH(Brand_Profile!$F$91,KOL_Database!$AL$30)),1,0)))/Brand_Profile!$F$92*100,0)))/2,0)</f>
        <v>0</v>
      </c>
      <c r="AB91" s="142">
        <f>IFERROR(INDEX(Lookup_Lists!$B$226:$K$233,MATCH(Brand_Profile!$F$30,Lookup_Lists!$A$226:$A$233,0),MATCH(KOL_Database!$AJ$30,Lookup_Lists!$B$225:$K$225,0)),45)</f>
        <v>60</v>
      </c>
      <c r="AC91" s="142">
        <f>ROUND((Matching_Engine!$Y$91*Lookup_Lists!$D$125+Matching_Engine!$Z$91*Lookup_Lists!$D$126+Matching_Engine!$AA$91*Lookup_Lists!$D$127+Matching_Engine!$AB$91*Lookup_Lists!$D$128)/(Lookup_Lists!$D$125+Lookup_Lists!$D$126+Lookup_Lists!$D$127+Lookup_Lists!$D$128),0)</f>
        <v>41</v>
      </c>
      <c r="AD91" s="142">
        <f>IF(KOL_Database!$K$30="",0,MIN(100,ROUND(KOL_Database!$K$30/Lookup_Lists!$D$141*100,0)))</f>
        <v>48</v>
      </c>
      <c r="AE91" s="142">
        <f>IF(KOL_Database!$R$30="",0,MIN(100,MAX(0,KOL_Database!$R$30)))</f>
        <v>64</v>
      </c>
      <c r="AF91" s="142">
        <f>IF(KOL_Database!$P$30="",0,MIN(100,MAX(0,KOL_Database!$P$30)))</f>
        <v>48</v>
      </c>
      <c r="AG91" s="142">
        <f>IF(KOL_Database!$Q$30="",0,MIN(100,MAX(0,KOL_Database!$Q$30)))</f>
        <v>51</v>
      </c>
      <c r="AH91" s="142">
        <f>IF(OR(KOL_Database!$J$30="",KOL_Database!$J$30=0,KOL_Database!$L$30=""),0,MIN(100,ROUND(KOL_Database!$L$30/KOL_Database!$J$30/Lookup_Lists!$D$144*100,0)))</f>
        <v>43</v>
      </c>
      <c r="AI91" s="142">
        <f>IF(KOL_Database!$N$30="",0,MIN(100,MAX(0,ROUND((KOL_Database!$N$30+2)/(Lookup_Lists!$D$145+2)*100,0))))</f>
        <v>57</v>
      </c>
      <c r="AJ91" s="142">
        <f>ROUND((Matching_Engine!$AD$91*Lookup_Lists!$D$129+Matching_Engine!$AE$91*Lookup_Lists!$D$130+Matching_Engine!$AF$91*Lookup_Lists!$D$131+Matching_Engine!$AG$91*Lookup_Lists!$D$132+Matching_Engine!$AH$91*Lookup_Lists!$D$133+Matching_Engine!$AI$91*Lookup_Lists!$D$134)/(Lookup_Lists!$D$129+Lookup_Lists!$D$130+Lookup_Lists!$D$131+Lookup_Lists!$D$132+Lookup_Lists!$D$133+Lookup_Lists!$D$134),0)</f>
        <v>51</v>
      </c>
      <c r="AK91" s="142">
        <f>IF(KOL_Database!$AT$30="",0,MIN(100,MAX(0,KOL_Database!$AT$30)))</f>
        <v>71</v>
      </c>
      <c r="AL91" s="142">
        <f>IF(KOL_Database!$AU$30="",0,KOL_Database!$AU$30)</f>
        <v>13</v>
      </c>
      <c r="AM91" s="89" t="str">
        <f>IF(KOL_Database!$AV$30="","None",KOL_Database!$AV$30)</f>
        <v>Low</v>
      </c>
      <c r="AN91" s="143">
        <f>IF(Matching_Engine!$AM$91="High",Lookup_Lists!$D$137,IF(Matching_Engine!$AM$91="Medium",Lookup_Lists!$D$138,IF(Matching_Engine!$AM$91="Low",Lookup_Lists!$D$139,Lookup_Lists!$D$140)))</f>
        <v>0.95</v>
      </c>
      <c r="AO91" s="142">
        <f>ROUND(MIN(100,MAX(0,(Matching_Engine!$AK$91*Lookup_Lists!$D$135+(100-Matching_Engine!$AL$91)*Lookup_Lists!$D$136)/(Lookup_Lists!$D$135+Lookup_Lists!$D$136)*Matching_Engine!$AN$91)),0)</f>
        <v>70</v>
      </c>
      <c r="AP91" s="13">
        <f ca="1">ROUND((Matching_Engine!$N$91*Lookup_Lists!$D$104+Matching_Engine!$S$91*Lookup_Lists!$D$105+Matching_Engine!$X$91*Lookup_Lists!$D$106+Matching_Engine!$AC$91*Lookup_Lists!$D$107+Matching_Engine!$AJ$91*Lookup_Lists!$D$108+Matching_Engine!$AO$91*Lookup_Lists!$D$109)/MAX(1,(Lookup_Lists!$D$104+Lookup_Lists!$D$105+Lookup_Lists!$D$106+Lookup_Lists!$D$107+Lookup_Lists!$D$108+Lookup_Lists!$D$109)),0)</f>
        <v>47</v>
      </c>
      <c r="AQ91" s="89" t="str">
        <f ca="1">IF(Matching_Engine!$AP$91&gt;=Lookup_Lists!$D$152,"Excellent Match",IF(Matching_Engine!$AP$91&gt;=Lookup_Lists!$D$153,"Strong Match",IF(Matching_Engine!$AP$91&gt;=Lookup_Lists!$D$154,"Good Match",IF(Matching_Engine!$AP$91&gt;=Lookup_Lists!$D$155,"Moderate Match","Low Match"))))</f>
        <v>Low Match</v>
      </c>
      <c r="AR91" s="142">
        <f>KOL_Database!$BE$30</f>
        <v>100</v>
      </c>
      <c r="AS91" s="89" t="str">
        <f>IF(Matching_Engine!$AR$91&gt;=Lookup_Lists!$D$159,"High",IF(Matching_Engine!$AR$91&gt;=Lookup_Lists!$D$160,"Medium","Limited Data"))</f>
        <v>High</v>
      </c>
      <c r="AT91" s="142">
        <f>ROUND((Matching_Engine!$N$91+Matching_Engine!$X$91+Matching_Engine!$AC$91)/3,0)</f>
        <v>27</v>
      </c>
      <c r="AU91" s="142">
        <f>ROUND(((100-Matching_Engine!$AL$91)*Lookup_Lists!$D$162+IF(KOL_Database!$BD$30="",Lookup_Lists!$D$150,KOL_Database!$BD$30)*Lookup_Lists!$D$163+Matching_Engine!$AI$91*Lookup_Lists!$D$164+Matching_Engine!$AD$91*Lookup_Lists!$D$165)/(Lookup_Lists!$D$162+Lookup_Lists!$D$163+Lookup_Lists!$D$164+Lookup_Lists!$D$165),0)</f>
        <v>61</v>
      </c>
      <c r="AV91" s="89" t="str">
        <f ca="1">IF(Matching_Engine!$AW$91="","PASS","EXCLUDED")</f>
        <v>EXCLUDED</v>
      </c>
      <c r="AW91" s="89" t="str">
        <f ca="1">IF(ISERROR(SEARCH(KOL_Database!$D$30,Brand_Profile!$F$32)),"Platform not in Preferred Platform",IF(AND(Brand_Profile!$F$36&gt;0,KOL_Database!$J$30&lt;Brand_Profile!$F$36),"Followers below Preferred Follower Range",IF(AND(Brand_Profile!$F$37&gt;0,KOL_Database!$J$30&gt;Brand_Profile!$F$37),"Followers above Preferred Follower Range",IF(AND(Brand_Profile!$F$38&gt;0,IF(KOL_Database!$K$30="",0,KOL_Database!$K$30)&lt;Brand_Profile!$F$38),"Engagement Rate below Minimum Engagement Rate",IF(ISERROR(SEARCH(KOL_Database!$G$30,Brand_Profile!$F$35)),"Tier not in Preferred Tier",IF(AND(Brand_Profile!$F$43&gt;0,Matching_Engine!$AE$91&lt;Brand_Profile!$F$43),"Audience Quality below Minimum Audience Quality",IF(AND(Brand_Profile!$F$44&gt;0,Matching_Engine!$AK$91&lt;Brand_Profile!$F$44),"Brand Safety below Minimum Brand Safety",IF(AND(Brand_Profile!$F$47="Yes",KOL_Database!$AD$30&lt;&gt;Brand_Profile!$F$19),"Audience Country does not match Target Country",IF(AND(Brand_Profile!$F$46="Yes",KOL_Database!$E$30&lt;&gt;Brand_Profile!$F$33),"Category is not the Preferred Category",IF(AND(Brand_Profile!$F$48&gt;0,Matching_Engine!$AL$91&gt;Brand_Profile!$F$48),"Competitor Saturation above Max Competitor Saturation",IF(AND(Brand_Profile!$F$50="Yes",KOL_Database!$AW$30="Yes"),"Already Selected",IF(AND(Brand_Profile!$F$51="Yes",KOL_Database!$AX$30="Yes"),"Already in Cart",IF(AND(Brand_Profile!$F$52="Yes",KOL_Database!$AY$30="Yes"),"Existing Partner",IF(AND(Brand_Profile!$F$53="Yes",KOL_Database!$AZ$30="Yes"),"Excluded Creator",IF(AND(Brand_Profile!$F$49&gt;0,Matching_Engine!$AP$91&lt;Brand_Profile!$F$49),"Brand Match below Minimum Brand Match","")))))))))))))))</f>
        <v>Engagement Rate below Minimum Engagement Rate</v>
      </c>
      <c r="AX91" s="89" t="str">
        <f ca="1">IF(Matching_Engine!$AV$91="EXCLUDED","Excluded",IF(Matching_Engine!$AP$91&gt;=Lookup_Lists!$D$156,"Highly Recommended",IF(Matching_Engine!$AP$91&gt;=Lookup_Lists!$D$157,"Recommended",IF(Matching_Engine!$AP$91&gt;=Lookup_Lists!$D$158,"Consider","Low Priority"))))</f>
        <v>Excluded</v>
      </c>
      <c r="AY91" s="142" t="str">
        <f ca="1">IF(Matching_Engine!$AV$91="PASS",Matching_Engine!$AP$91,"")</f>
        <v/>
      </c>
      <c r="AZ91" s="89" t="str">
        <f>Matching_Engine!$A$91&amp;"|"&amp;Matching_Engine!$C$91</f>
        <v>BRAND-C|KOL-26</v>
      </c>
      <c r="BA91" s="89" t="str">
        <f>IFERROR(INDEX(Lookup_Lists!$B$51:$B$92,MATCH(Brand_Profile!$F$12,Lookup_Lists!$A$51:$A$92,0)),"")</f>
        <v>Food</v>
      </c>
      <c r="BB91" s="89" t="str">
        <f>IFERROR(INDEX(Lookup_Lists!$B$51:$B$92,MATCH(KOL_Database!$F$30,Lookup_Lists!$A$51:$A$92,0)),"")</f>
        <v>Automotive</v>
      </c>
      <c r="BC91" s="142">
        <f>IFERROR(INDEX(Lookup_Lists!$B$185:$O$198,MATCH(Matching_Engine!$BA$91,Lookup_Lists!$A$185:$A$198,0),MATCH(KOL_Database!$E$30,Lookup_Lists!$B$184:$O$184,0)),Lookup_Lists!$D$151)</f>
        <v>20</v>
      </c>
      <c r="BD91" s="142">
        <f>IFERROR(INDEX(Lookup_Lists!$B$185:$O$198,MATCH(Brand_Profile!$F$33,Lookup_Lists!$A$185:$A$198,0),MATCH(KOL_Database!$E$30,Lookup_Lists!$B$184:$O$184,0)),Lookup_Lists!$D$151)</f>
        <v>20</v>
      </c>
      <c r="BE91" s="89" t="str">
        <f>IFERROR(INDEX(Lookup_Lists!$B$51:$B$92,MATCH(Brand_Profile!$F$34,Lookup_Lists!$A$51:$A$92,0)),"")</f>
        <v>Food</v>
      </c>
      <c r="BF91" s="89" t="str">
        <f>KOL_Database!$AI$30&amp;", "&amp;KOL_Database!$AG$30&amp;", "&amp;KOL_Database!$F$30&amp;", "&amp;KOL_Database!$E$30</f>
        <v>Automotive, Technology, Finance, Automotive, Technology, Finance, Travel, Business, Car Review, Automotive</v>
      </c>
      <c r="BG91" s="89" t="str">
        <f>KOL_Database!$AI$30&amp;", "&amp;KOL_Database!$AG$30</f>
        <v>Automotive, Technology, Finance, Automotive, Technology, Finance, Travel, Business</v>
      </c>
    </row>
    <row r="92" spans="1:59">
      <c r="A92" s="101" t="s">
        <v>119</v>
      </c>
      <c r="B92" s="89" t="str">
        <f>Brand_Profile!$F$9</f>
        <v>Rasa Nusantara</v>
      </c>
      <c r="C92" s="89" t="str">
        <f>KOL_Database!$A$31</f>
        <v>KOL-27</v>
      </c>
      <c r="D92" s="89" t="str">
        <f>KOL_Database!$B$31</f>
        <v>Laras Ayu</v>
      </c>
      <c r="E92" s="89" t="str">
        <f>KOL_Database!$C$31</f>
        <v>@larasinterior</v>
      </c>
      <c r="F92" s="89" t="str">
        <f>KOL_Database!$D$31</f>
        <v>Instagram</v>
      </c>
      <c r="G92" s="89" t="str">
        <f>KOL_Database!$E$31</f>
        <v>Home &amp; Living</v>
      </c>
      <c r="H92" s="89" t="str">
        <f>KOL_Database!$G$31</f>
        <v>Micro</v>
      </c>
      <c r="I92" s="140">
        <f>KOL_Database!$J$31</f>
        <v>46000</v>
      </c>
      <c r="J92" s="141">
        <f>KOL_Database!$K$31</f>
        <v>4.4</v>
      </c>
      <c r="K92" s="142">
        <f>IFERROR(INDEX(Lookup_Lists!$B$170:$O$181,MATCH(Brand_Profile!$F$10,Lookup_Lists!$A$170:$A$181,0),MATCH(KOL_Database!$E$31,Lookup_Lists!$B$169:$O$169,0)),Lookup_Lists!$D$151)</f>
        <v>60</v>
      </c>
      <c r="L92" s="142">
        <f>IF(KOL_Database!$F$31="",Matching_Engine!$BC$92,IF(Brand_Profile!$F$12=KOL_Database!$F$31,100,IF(Matching_Engine!$BA$92=KOL_Database!$E$31,80,IF(Matching_Engine!$BC$92&gt;=80,60,IF(Matching_Engine!$BC$92&gt;=60,40,Lookup_Lists!$D$151)))))</f>
        <v>40</v>
      </c>
      <c r="M92" s="142">
        <f>ROUND((IF(Brand_Profile!$F$62=0,Lookup_Lists!$D$150,ROUND((IF(Brand_Profile!$F$57="",0,IF(ISNUMBER(SEARCH(Brand_Profile!$F$57,Matching_Engine!$BF$92)),1,0))+IF(Brand_Profile!$F$58="",0,IF(ISNUMBER(SEARCH(Brand_Profile!$F$58,Matching_Engine!$BF$92)),1,0))+IF(Brand_Profile!$F$59="",0,IF(ISNUMBER(SEARCH(Brand_Profile!$F$59,Matching_Engine!$BF$92)),1,0))+IF(Brand_Profile!$F$60="",0,IF(ISNUMBER(SEARCH(Brand_Profile!$F$60,Matching_Engine!$BF$92)),1,0))+IF(Brand_Profile!$F$61="",0,IF(ISNUMBER(SEARCH(Brand_Profile!$F$61,Matching_Engine!$BF$92)),1,0)))/Brand_Profile!$F$62*100,0))+IF(Brand_Profile!$F$74=0,Lookup_Lists!$D$150,ROUND((IF(Brand_Profile!$F$69="",0,IF(ISNUMBER(SEARCH(Brand_Profile!$F$69,Matching_Engine!$BF$92)),1,0))+IF(Brand_Profile!$F$70="",0,IF(ISNUMBER(SEARCH(Brand_Profile!$F$70,Matching_Engine!$BF$92)),1,0))+IF(Brand_Profile!$F$71="",0,IF(ISNUMBER(SEARCH(Brand_Profile!$F$71,Matching_Engine!$BF$92)),1,0))+IF(Brand_Profile!$F$72="",0,IF(ISNUMBER(SEARCH(Brand_Profile!$F$72,Matching_Engine!$BF$92)),1,0))+IF(Brand_Profile!$F$73="",0,IF(ISNUMBER(SEARCH(Brand_Profile!$F$73,Matching_Engine!$BF$92)),1,0)))/Brand_Profile!$F$74*100,0)))/2,0)</f>
        <v>40</v>
      </c>
      <c r="N92" s="142">
        <f>ROUND((Matching_Engine!$K$92*Lookup_Lists!$D$110+Matching_Engine!$L$92*Lookup_Lists!$D$111+Matching_Engine!$M$92*Lookup_Lists!$D$112)/(Lookup_Lists!$D$110+Lookup_Lists!$D$111+Lookup_Lists!$D$112),0)</f>
        <v>48</v>
      </c>
      <c r="O92" s="142">
        <f ca="1">IF(Brand_Profile!$F$16="",Lookup_Lists!$D$150,MIN(100,ROUND((IFERROR(INDEX(KOL_Database!$W$31:KOL_Database!$AA$31,1,MATCH(Brand_Profile!$F$16,Lookup_Lists!$F$6:$F$10,0)),0)+0.5*IFERROR(INDEX(KOL_Database!$W$31:KOL_Database!$AA$31,1,MATCH(Brand_Profile!$F$17,Lookup_Lists!$F$6:$F$10,0)),0))/Lookup_Lists!$D$142*100,0)))</f>
        <v>100</v>
      </c>
      <c r="P92" s="142">
        <f>IF(OR(Brand_Profile!$F$18="",Brand_Profile!$F$18="Any"),100,IF(Brand_Profile!$F$18="Female",MIN(100,ROUND(KOL_Database!$AB$31/Lookup_Lists!$D$143*100,0)),IF(Brand_Profile!$F$18="Male",MIN(100,ROUND(KOL_Database!$AC$31/Lookup_Lists!$D$143*100,0)),MAX(0,ROUND(100-ABS(KOL_Database!$AB$31-50)*2,0)))))</f>
        <v>52</v>
      </c>
      <c r="Q92" s="142">
        <f>ROUND((IF(Brand_Profile!$F$19="",100,IF(KOL_Database!$AD$31=Brand_Profile!$F$19,100,Lookup_Lists!$D$151))*Lookup_Lists!$D$118+IF(OR(Brand_Profile!$F$20="",Brand_Profile!$F$20="Nasional"),100,IF(KOL_Database!$AE$31="",Lookup_Lists!$D$150,IF(KOL_Database!$AE$31=Brand_Profile!$F$20,100,IF(KOL_Database!$AD$31=Brand_Profile!$F$19,40,Lookup_Lists!$D$151))))*Lookup_Lists!$D$119+IF(OR(Brand_Profile!$F$21="",Brand_Profile!$F$21="Nasional"),100,IF(KOL_Database!$AF$31="",Lookup_Lists!$D$150,IF(KOL_Database!$AF$31=Brand_Profile!$F$21,100,IF(KOL_Database!$AE$31=Brand_Profile!$F$20,60,Lookup_Lists!$D$151))))*Lookup_Lists!$D$120)/(Lookup_Lists!$D$118+Lookup_Lists!$D$119+Lookup_Lists!$D$120),0)</f>
        <v>100</v>
      </c>
      <c r="R92" s="142">
        <f>IF(Brand_Profile!$F$68=0,Lookup_Lists!$D$150,ROUND((IF(Brand_Profile!$F$63="",0,IF(ISNUMBER(SEARCH(Brand_Profile!$F$63,KOL_Database!$AG$31)),1,0))+IF(Brand_Profile!$F$64="",0,IF(ISNUMBER(SEARCH(Brand_Profile!$F$64,KOL_Database!$AG$31)),1,0))+IF(Brand_Profile!$F$65="",0,IF(ISNUMBER(SEARCH(Brand_Profile!$F$65,KOL_Database!$AG$31)),1,0))+IF(Brand_Profile!$F$66="",0,IF(ISNUMBER(SEARCH(Brand_Profile!$F$66,KOL_Database!$AG$31)),1,0))+IF(Brand_Profile!$F$67="",0,IF(ISNUMBER(SEARCH(Brand_Profile!$F$67,KOL_Database!$AG$31)),1,0)))/Brand_Profile!$F$68*100,0))</f>
        <v>20</v>
      </c>
      <c r="S92" s="142">
        <f ca="1">ROUND((Matching_Engine!$O$92*Brand_Profile!$F$96+Matching_Engine!$P$92*Brand_Profile!$F$97+Matching_Engine!$Q$92*Brand_Profile!$F$98+Matching_Engine!$R$92*Brand_Profile!$F$99)/MAX(1,Brand_Profile!$F$96+Brand_Profile!$F$97+Brand_Profile!$F$98+Brand_Profile!$F$99),0)</f>
        <v>74</v>
      </c>
      <c r="T92" s="142">
        <f>IF(Brand_Profile!$F$33="",Lookup_Lists!$D$150,Matching_Engine!$BD$92)</f>
        <v>60</v>
      </c>
      <c r="U92" s="142">
        <f>IF(Brand_Profile!$F$34="",Lookup_Lists!$D$150,IF(Brand_Profile!$F$34=KOL_Database!$F$31,100,IF(Matching_Engine!$BE$92=KOL_Database!$E$31,75,IF(Matching_Engine!$BD$92&gt;=80,Lookup_Lists!$D$150,IF(Matching_Engine!$BD$92&gt;=60,35,Lookup_Lists!$D$151)))))</f>
        <v>35</v>
      </c>
      <c r="V92" s="142">
        <f>IF(Brand_Profile!$F$86=0,Lookup_Lists!$D$150,ROUND((IF(Brand_Profile!$F$81="",0,IF(ISNUMBER(SEARCH(Brand_Profile!$F$81,Matching_Engine!$BG$92)),1,0))+IF(Brand_Profile!$F$82="",0,IF(ISNUMBER(SEARCH(Brand_Profile!$F$82,Matching_Engine!$BG$92)),1,0))+IF(Brand_Profile!$F$83="",0,IF(ISNUMBER(SEARCH(Brand_Profile!$F$83,Matching_Engine!$BG$92)),1,0))+IF(Brand_Profile!$F$84="",0,IF(ISNUMBER(SEARCH(Brand_Profile!$F$84,Matching_Engine!$BG$92)),1,0))+IF(Brand_Profile!$F$85="",0,IF(ISNUMBER(SEARCH(Brand_Profile!$F$85,Matching_Engine!$BG$92)),1,0)))/Brand_Profile!$F$86*100,0))</f>
        <v>20</v>
      </c>
      <c r="W92" s="142">
        <f>IF(Brand_Profile!$F$39="",Lookup_Lists!$D$150,IFERROR(INDEX(Lookup_Lists!$B$237:$K$246,MATCH(Brand_Profile!$F$39,Lookup_Lists!$A$237:$A$246,0),MATCH(KOL_Database!$AJ$31,Lookup_Lists!$B$236:$K$236,0)),45))</f>
        <v>45</v>
      </c>
      <c r="X92" s="142">
        <f>ROUND((Matching_Engine!$T$92*Lookup_Lists!$D$121+Matching_Engine!$U$92*Lookup_Lists!$D$122+Matching_Engine!$V$92*Lookup_Lists!$D$123+Matching_Engine!$W$92*Lookup_Lists!$D$124)/(Lookup_Lists!$D$121+Lookup_Lists!$D$122+Lookup_Lists!$D$123+Lookup_Lists!$D$124),0)</f>
        <v>40</v>
      </c>
      <c r="Y92" s="142">
        <f>MIN(100,MAX(IFERROR(INDEX(Lookup_Lists!$B$202:$M$211,MATCH(Brand_Profile!$F$25,Lookup_Lists!$A$202:$A$211,0),MATCH(KOL_Database!$AK$31,Lookup_Lists!$B$201:$M$201,0)),40),IF(KOL_Database!$AK$31=Brand_Profile!$F$41,95,0)))</f>
        <v>35</v>
      </c>
      <c r="Z92" s="142">
        <f>IFERROR(INDEX(Lookup_Lists!$B$215:$K$222,MATCH(Brand_Profile!$F$27,Lookup_Lists!$A$215:$A$222,0),MATCH(KOL_Database!$AJ$31,Lookup_Lists!$B$214:$K$214,0)),45)</f>
        <v>65</v>
      </c>
      <c r="AA92" s="142">
        <f>ROUND((IF(Brand_Profile!$F$80=0,Lookup_Lists!$D$150,ROUND((IF(Brand_Profile!$F$75="",0,IF(ISNUMBER(SEARCH(Brand_Profile!$F$75,KOL_Database!$AL$31)),1,0))+IF(Brand_Profile!$F$76="",0,IF(ISNUMBER(SEARCH(Brand_Profile!$F$76,KOL_Database!$AL$31)),1,0))+IF(Brand_Profile!$F$77="",0,IF(ISNUMBER(SEARCH(Brand_Profile!$F$77,KOL_Database!$AL$31)),1,0))+IF(Brand_Profile!$F$78="",0,IF(ISNUMBER(SEARCH(Brand_Profile!$F$78,KOL_Database!$AL$31)),1,0))+IF(Brand_Profile!$F$79="",0,IF(ISNUMBER(SEARCH(Brand_Profile!$F$79,KOL_Database!$AL$31)),1,0)))/Brand_Profile!$F$80*100,0))+IF(Brand_Profile!$F$92=0,Lookup_Lists!$D$150,ROUND((IF(Brand_Profile!$F$87="",0,IF(ISNUMBER(SEARCH(Brand_Profile!$F$87,KOL_Database!$AL$31)),1,0))+IF(Brand_Profile!$F$88="",0,IF(ISNUMBER(SEARCH(Brand_Profile!$F$88,KOL_Database!$AL$31)),1,0))+IF(Brand_Profile!$F$89="",0,IF(ISNUMBER(SEARCH(Brand_Profile!$F$89,KOL_Database!$AL$31)),1,0))+IF(Brand_Profile!$F$90="",0,IF(ISNUMBER(SEARCH(Brand_Profile!$F$90,KOL_Database!$AL$31)),1,0))+IF(Brand_Profile!$F$91="",0,IF(ISNUMBER(SEARCH(Brand_Profile!$F$91,KOL_Database!$AL$31)),1,0)))/Brand_Profile!$F$92*100,0)))/2,0)</f>
        <v>20</v>
      </c>
      <c r="AB92" s="142">
        <f>IFERROR(INDEX(Lookup_Lists!$B$226:$K$233,MATCH(Brand_Profile!$F$30,Lookup_Lists!$A$226:$A$233,0),MATCH(KOL_Database!$AJ$31,Lookup_Lists!$B$225:$K$225,0)),45)</f>
        <v>70</v>
      </c>
      <c r="AC92" s="142">
        <f>ROUND((Matching_Engine!$Y$92*Lookup_Lists!$D$125+Matching_Engine!$Z$92*Lookup_Lists!$D$126+Matching_Engine!$AA$92*Lookup_Lists!$D$127+Matching_Engine!$AB$92*Lookup_Lists!$D$128)/(Lookup_Lists!$D$125+Lookup_Lists!$D$126+Lookup_Lists!$D$127+Lookup_Lists!$D$128),0)</f>
        <v>44</v>
      </c>
      <c r="AD92" s="142">
        <f>IF(KOL_Database!$K$31="",0,MIN(100,ROUND(KOL_Database!$K$31/Lookup_Lists!$D$141*100,0)))</f>
        <v>73</v>
      </c>
      <c r="AE92" s="142">
        <f>IF(KOL_Database!$R$31="",0,MIN(100,MAX(0,KOL_Database!$R$31)))</f>
        <v>88</v>
      </c>
      <c r="AF92" s="142">
        <f>IF(KOL_Database!$P$31="",0,MIN(100,MAX(0,KOL_Database!$P$31)))</f>
        <v>52</v>
      </c>
      <c r="AG92" s="142">
        <f>IF(KOL_Database!$Q$31="",0,MIN(100,MAX(0,KOL_Database!$Q$31)))</f>
        <v>49</v>
      </c>
      <c r="AH92" s="142">
        <f>IF(OR(KOL_Database!$J$31="",KOL_Database!$J$31=0,KOL_Database!$L$31=""),0,MIN(100,ROUND(KOL_Database!$L$31/KOL_Database!$J$31/Lookup_Lists!$D$144*100,0)))</f>
        <v>73</v>
      </c>
      <c r="AI92" s="142">
        <f>IF(KOL_Database!$N$31="",0,MIN(100,MAX(0,ROUND((KOL_Database!$N$31+2)/(Lookup_Lists!$D$145+2)*100,0))))</f>
        <v>54</v>
      </c>
      <c r="AJ92" s="142">
        <f>ROUND((Matching_Engine!$AD$92*Lookup_Lists!$D$129+Matching_Engine!$AE$92*Lookup_Lists!$D$130+Matching_Engine!$AF$92*Lookup_Lists!$D$131+Matching_Engine!$AG$92*Lookup_Lists!$D$132+Matching_Engine!$AH$92*Lookup_Lists!$D$133+Matching_Engine!$AI$92*Lookup_Lists!$D$134)/(Lookup_Lists!$D$129+Lookup_Lists!$D$130+Lookup_Lists!$D$131+Lookup_Lists!$D$132+Lookup_Lists!$D$133+Lookup_Lists!$D$134),0)</f>
        <v>68</v>
      </c>
      <c r="AK92" s="142">
        <f>IF(KOL_Database!$AT$31="",0,MIN(100,MAX(0,KOL_Database!$AT$31)))</f>
        <v>92</v>
      </c>
      <c r="AL92" s="142">
        <f>IF(KOL_Database!$AU$31="",0,KOL_Database!$AU$31)</f>
        <v>64</v>
      </c>
      <c r="AM92" s="89" t="str">
        <f>IF(KOL_Database!$AV$31="","None",KOL_Database!$AV$31)</f>
        <v>None</v>
      </c>
      <c r="AN92" s="143">
        <f>IF(Matching_Engine!$AM$92="High",Lookup_Lists!$D$137,IF(Matching_Engine!$AM$92="Medium",Lookup_Lists!$D$138,IF(Matching_Engine!$AM$92="Low",Lookup_Lists!$D$139,Lookup_Lists!$D$140)))</f>
        <v>1</v>
      </c>
      <c r="AO92" s="142">
        <f>ROUND(MIN(100,MAX(0,(Matching_Engine!$AK$92*Lookup_Lists!$D$135+(100-Matching_Engine!$AL$92)*Lookup_Lists!$D$136)/(Lookup_Lists!$D$135+Lookup_Lists!$D$136)*Matching_Engine!$AN$92)),0)</f>
        <v>81</v>
      </c>
      <c r="AP92" s="13">
        <f ca="1">ROUND((Matching_Engine!$N$92*Lookup_Lists!$D$104+Matching_Engine!$S$92*Lookup_Lists!$D$105+Matching_Engine!$X$92*Lookup_Lists!$D$106+Matching_Engine!$AC$92*Lookup_Lists!$D$107+Matching_Engine!$AJ$92*Lookup_Lists!$D$108+Matching_Engine!$AO$92*Lookup_Lists!$D$109)/MAX(1,(Lookup_Lists!$D$104+Lookup_Lists!$D$105+Lookup_Lists!$D$106+Lookup_Lists!$D$107+Lookup_Lists!$D$108+Lookup_Lists!$D$109)),0)</f>
        <v>59</v>
      </c>
      <c r="AQ92" s="89" t="str">
        <f ca="1">IF(Matching_Engine!$AP$92&gt;=Lookup_Lists!$D$152,"Excellent Match",IF(Matching_Engine!$AP$92&gt;=Lookup_Lists!$D$153,"Strong Match",IF(Matching_Engine!$AP$92&gt;=Lookup_Lists!$D$154,"Good Match",IF(Matching_Engine!$AP$92&gt;=Lookup_Lists!$D$155,"Moderate Match","Low Match"))))</f>
        <v>Low Match</v>
      </c>
      <c r="AR92" s="142">
        <f>KOL_Database!$BE$31</f>
        <v>92</v>
      </c>
      <c r="AS92" s="89" t="str">
        <f>IF(Matching_Engine!$AR$92&gt;=Lookup_Lists!$D$159,"High",IF(Matching_Engine!$AR$92&gt;=Lookup_Lists!$D$160,"Medium","Limited Data"))</f>
        <v>Medium</v>
      </c>
      <c r="AT92" s="142">
        <f>ROUND((Matching_Engine!$N$92+Matching_Engine!$X$92+Matching_Engine!$AC$92)/3,0)</f>
        <v>44</v>
      </c>
      <c r="AU92" s="142">
        <f>ROUND(((100-Matching_Engine!$AL$92)*Lookup_Lists!$D$162+IF(KOL_Database!$BD$31="",Lookup_Lists!$D$150,KOL_Database!$BD$31)*Lookup_Lists!$D$163+Matching_Engine!$AI$92*Lookup_Lists!$D$164+Matching_Engine!$AD$92*Lookup_Lists!$D$165)/(Lookup_Lists!$D$162+Lookup_Lists!$D$163+Lookup_Lists!$D$164+Lookup_Lists!$D$165),0)</f>
        <v>50</v>
      </c>
      <c r="AV92" s="89" t="str">
        <f ca="1">IF(Matching_Engine!$AW$92="","PASS","EXCLUDED")</f>
        <v>PASS</v>
      </c>
      <c r="AW92" s="89" t="str">
        <f ca="1">IF(ISERROR(SEARCH(KOL_Database!$D$31,Brand_Profile!$F$32)),"Platform not in Preferred Platform",IF(AND(Brand_Profile!$F$36&gt;0,KOL_Database!$J$31&lt;Brand_Profile!$F$36),"Followers below Preferred Follower Range",IF(AND(Brand_Profile!$F$37&gt;0,KOL_Database!$J$31&gt;Brand_Profile!$F$37),"Followers above Preferred Follower Range",IF(AND(Brand_Profile!$F$38&gt;0,IF(KOL_Database!$K$31="",0,KOL_Database!$K$31)&lt;Brand_Profile!$F$38),"Engagement Rate below Minimum Engagement Rate",IF(ISERROR(SEARCH(KOL_Database!$G$31,Brand_Profile!$F$35)),"Tier not in Preferred Tier",IF(AND(Brand_Profile!$F$43&gt;0,Matching_Engine!$AE$92&lt;Brand_Profile!$F$43),"Audience Quality below Minimum Audience Quality",IF(AND(Brand_Profile!$F$44&gt;0,Matching_Engine!$AK$92&lt;Brand_Profile!$F$44),"Brand Safety below Minimum Brand Safety",IF(AND(Brand_Profile!$F$47="Yes",KOL_Database!$AD$31&lt;&gt;Brand_Profile!$F$19),"Audience Country does not match Target Country",IF(AND(Brand_Profile!$F$46="Yes",KOL_Database!$E$31&lt;&gt;Brand_Profile!$F$33),"Category is not the Preferred Category",IF(AND(Brand_Profile!$F$48&gt;0,Matching_Engine!$AL$92&gt;Brand_Profile!$F$48),"Competitor Saturation above Max Competitor Saturation",IF(AND(Brand_Profile!$F$50="Yes",KOL_Database!$AW$31="Yes"),"Already Selected",IF(AND(Brand_Profile!$F$51="Yes",KOL_Database!$AX$31="Yes"),"Already in Cart",IF(AND(Brand_Profile!$F$52="Yes",KOL_Database!$AY$31="Yes"),"Existing Partner",IF(AND(Brand_Profile!$F$53="Yes",KOL_Database!$AZ$31="Yes"),"Excluded Creator",IF(AND(Brand_Profile!$F$49&gt;0,Matching_Engine!$AP$92&lt;Brand_Profile!$F$49),"Brand Match below Minimum Brand Match","")))))))))))))))</f>
        <v/>
      </c>
      <c r="AX92" s="89" t="str">
        <f ca="1">IF(Matching_Engine!$AV$92="EXCLUDED","Excluded",IF(Matching_Engine!$AP$92&gt;=Lookup_Lists!$D$156,"Highly Recommended",IF(Matching_Engine!$AP$92&gt;=Lookup_Lists!$D$157,"Recommended",IF(Matching_Engine!$AP$92&gt;=Lookup_Lists!$D$158,"Consider","Low Priority"))))</f>
        <v>Low Priority</v>
      </c>
      <c r="AY92" s="142">
        <f ca="1">IF(Matching_Engine!$AV$92="PASS",Matching_Engine!$AP$92,"")</f>
        <v>59</v>
      </c>
      <c r="AZ92" s="89" t="str">
        <f>Matching_Engine!$A$92&amp;"|"&amp;Matching_Engine!$C$92</f>
        <v>BRAND-C|KOL-27</v>
      </c>
      <c r="BA92" s="89" t="str">
        <f>IFERROR(INDEX(Lookup_Lists!$B$51:$B$92,MATCH(Brand_Profile!$F$12,Lookup_Lists!$A$51:$A$92,0)),"")</f>
        <v>Food</v>
      </c>
      <c r="BB92" s="89" t="str">
        <f>IFERROR(INDEX(Lookup_Lists!$B$51:$B$92,MATCH(KOL_Database!$F$31,Lookup_Lists!$A$51:$A$92,0)),"")</f>
        <v>Home &amp; Living</v>
      </c>
      <c r="BC92" s="142">
        <f>IFERROR(INDEX(Lookup_Lists!$B$185:$O$198,MATCH(Matching_Engine!$BA$92,Lookup_Lists!$A$185:$A$198,0),MATCH(KOL_Database!$E$31,Lookup_Lists!$B$184:$O$184,0)),Lookup_Lists!$D$151)</f>
        <v>60</v>
      </c>
      <c r="BD92" s="142">
        <f>IFERROR(INDEX(Lookup_Lists!$B$185:$O$198,MATCH(Brand_Profile!$F$33,Lookup_Lists!$A$185:$A$198,0),MATCH(KOL_Database!$E$31,Lookup_Lists!$B$184:$O$184,0)),Lookup_Lists!$D$151)</f>
        <v>60</v>
      </c>
      <c r="BE92" s="89" t="str">
        <f>IFERROR(INDEX(Lookup_Lists!$B$51:$B$92,MATCH(Brand_Profile!$F$34,Lookup_Lists!$A$51:$A$92,0)),"")</f>
        <v>Food</v>
      </c>
      <c r="BF92" s="89" t="str">
        <f>KOL_Database!$AI$31&amp;", "&amp;KOL_Database!$AG$31&amp;", "&amp;KOL_Database!$F$31&amp;", "&amp;KOL_Database!$E$31</f>
        <v>Home Decor, Shopping, Parenting, Home Decor, Shopping, Parenting, Food, Fashion, Interior, Home &amp; Living</v>
      </c>
      <c r="BG92" s="89" t="str">
        <f>KOL_Database!$AI$31&amp;", "&amp;KOL_Database!$AG$31</f>
        <v>Home Decor, Shopping, Parenting, Home Decor, Shopping, Parenting, Food, Fashion</v>
      </c>
    </row>
    <row r="93" spans="1:59">
      <c r="A93" s="101" t="s">
        <v>119</v>
      </c>
      <c r="B93" s="89" t="str">
        <f>Brand_Profile!$F$9</f>
        <v>Rasa Nusantara</v>
      </c>
      <c r="C93" s="89" t="str">
        <f>KOL_Database!$A$32</f>
        <v>KOL-28</v>
      </c>
      <c r="D93" s="89" t="str">
        <f>KOL_Database!$B$32</f>
        <v>Tiara Nisrina</v>
      </c>
      <c r="E93" s="89" t="str">
        <f>KOL_Database!$C$32</f>
        <v>@tiararapihin</v>
      </c>
      <c r="F93" s="89" t="str">
        <f>KOL_Database!$D$32</f>
        <v>TikTok</v>
      </c>
      <c r="G93" s="89" t="str">
        <f>KOL_Database!$E$32</f>
        <v>Home &amp; Living</v>
      </c>
      <c r="H93" s="89" t="str">
        <f>KOL_Database!$G$32</f>
        <v>Macro</v>
      </c>
      <c r="I93" s="140">
        <f>KOL_Database!$J$32</f>
        <v>118000</v>
      </c>
      <c r="J93" s="141">
        <f>KOL_Database!$K$32</f>
        <v>6.1</v>
      </c>
      <c r="K93" s="142">
        <f>IFERROR(INDEX(Lookup_Lists!$B$170:$O$181,MATCH(Brand_Profile!$F$10,Lookup_Lists!$A$170:$A$181,0),MATCH(KOL_Database!$E$32,Lookup_Lists!$B$169:$O$169,0)),Lookup_Lists!$D$151)</f>
        <v>60</v>
      </c>
      <c r="L93" s="142">
        <f>IF(KOL_Database!$F$32="",Matching_Engine!$BC$93,IF(Brand_Profile!$F$12=KOL_Database!$F$32,100,IF(Matching_Engine!$BA$93=KOL_Database!$E$32,80,IF(Matching_Engine!$BC$93&gt;=80,60,IF(Matching_Engine!$BC$93&gt;=60,40,Lookup_Lists!$D$151)))))</f>
        <v>40</v>
      </c>
      <c r="M93" s="142">
        <f>ROUND((IF(Brand_Profile!$F$62=0,Lookup_Lists!$D$150,ROUND((IF(Brand_Profile!$F$57="",0,IF(ISNUMBER(SEARCH(Brand_Profile!$F$57,Matching_Engine!$BF$93)),1,0))+IF(Brand_Profile!$F$58="",0,IF(ISNUMBER(SEARCH(Brand_Profile!$F$58,Matching_Engine!$BF$93)),1,0))+IF(Brand_Profile!$F$59="",0,IF(ISNUMBER(SEARCH(Brand_Profile!$F$59,Matching_Engine!$BF$93)),1,0))+IF(Brand_Profile!$F$60="",0,IF(ISNUMBER(SEARCH(Brand_Profile!$F$60,Matching_Engine!$BF$93)),1,0))+IF(Brand_Profile!$F$61="",0,IF(ISNUMBER(SEARCH(Brand_Profile!$F$61,Matching_Engine!$BF$93)),1,0)))/Brand_Profile!$F$62*100,0))+IF(Brand_Profile!$F$74=0,Lookup_Lists!$D$150,ROUND((IF(Brand_Profile!$F$69="",0,IF(ISNUMBER(SEARCH(Brand_Profile!$F$69,Matching_Engine!$BF$93)),1,0))+IF(Brand_Profile!$F$70="",0,IF(ISNUMBER(SEARCH(Brand_Profile!$F$70,Matching_Engine!$BF$93)),1,0))+IF(Brand_Profile!$F$71="",0,IF(ISNUMBER(SEARCH(Brand_Profile!$F$71,Matching_Engine!$BF$93)),1,0))+IF(Brand_Profile!$F$72="",0,IF(ISNUMBER(SEARCH(Brand_Profile!$F$72,Matching_Engine!$BF$93)),1,0))+IF(Brand_Profile!$F$73="",0,IF(ISNUMBER(SEARCH(Brand_Profile!$F$73,Matching_Engine!$BF$93)),1,0)))/Brand_Profile!$F$74*100,0)))/2,0)</f>
        <v>40</v>
      </c>
      <c r="N93" s="142">
        <f>ROUND((Matching_Engine!$K$93*Lookup_Lists!$D$110+Matching_Engine!$L$93*Lookup_Lists!$D$111+Matching_Engine!$M$93*Lookup_Lists!$D$112)/(Lookup_Lists!$D$110+Lookup_Lists!$D$111+Lookup_Lists!$D$112),0)</f>
        <v>48</v>
      </c>
      <c r="O93" s="142">
        <f ca="1">IF(Brand_Profile!$F$16="",Lookup_Lists!$D$150,MIN(100,ROUND((IFERROR(INDEX(KOL_Database!$W$32:KOL_Database!$AA$32,1,MATCH(Brand_Profile!$F$16,Lookup_Lists!$F$6:$F$10,0)),0)+0.5*IFERROR(INDEX(KOL_Database!$W$32:KOL_Database!$AA$32,1,MATCH(Brand_Profile!$F$17,Lookup_Lists!$F$6:$F$10,0)),0))/Lookup_Lists!$D$142*100,0)))</f>
        <v>89</v>
      </c>
      <c r="P93" s="142">
        <f>IF(OR(Brand_Profile!$F$18="",Brand_Profile!$F$18="Any"),100,IF(Brand_Profile!$F$18="Female",MIN(100,ROUND(KOL_Database!$AB$32/Lookup_Lists!$D$143*100,0)),IF(Brand_Profile!$F$18="Male",MIN(100,ROUND(KOL_Database!$AC$32/Lookup_Lists!$D$143*100,0)),MAX(0,ROUND(100-ABS(KOL_Database!$AB$32-50)*2,0)))))</f>
        <v>34</v>
      </c>
      <c r="Q93" s="142">
        <f>ROUND((IF(Brand_Profile!$F$19="",100,IF(KOL_Database!$AD$32=Brand_Profile!$F$19,100,Lookup_Lists!$D$151))*Lookup_Lists!$D$118+IF(OR(Brand_Profile!$F$20="",Brand_Profile!$F$20="Nasional"),100,IF(KOL_Database!$AE$32="",Lookup_Lists!$D$150,IF(KOL_Database!$AE$32=Brand_Profile!$F$20,100,IF(KOL_Database!$AD$32=Brand_Profile!$F$19,40,Lookup_Lists!$D$151))))*Lookup_Lists!$D$119+IF(OR(Brand_Profile!$F$21="",Brand_Profile!$F$21="Nasional"),100,IF(KOL_Database!$AF$32="",Lookup_Lists!$D$150,IF(KOL_Database!$AF$32=Brand_Profile!$F$21,100,IF(KOL_Database!$AE$32=Brand_Profile!$F$20,60,Lookup_Lists!$D$151))))*Lookup_Lists!$D$120)/(Lookup_Lists!$D$118+Lookup_Lists!$D$119+Lookup_Lists!$D$120),0)</f>
        <v>100</v>
      </c>
      <c r="R93" s="142">
        <f>IF(Brand_Profile!$F$68=0,Lookup_Lists!$D$150,ROUND((IF(Brand_Profile!$F$63="",0,IF(ISNUMBER(SEARCH(Brand_Profile!$F$63,KOL_Database!$AG$32)),1,0))+IF(Brand_Profile!$F$64="",0,IF(ISNUMBER(SEARCH(Brand_Profile!$F$64,KOL_Database!$AG$32)),1,0))+IF(Brand_Profile!$F$65="",0,IF(ISNUMBER(SEARCH(Brand_Profile!$F$65,KOL_Database!$AG$32)),1,0))+IF(Brand_Profile!$F$66="",0,IF(ISNUMBER(SEARCH(Brand_Profile!$F$66,KOL_Database!$AG$32)),1,0))+IF(Brand_Profile!$F$67="",0,IF(ISNUMBER(SEARCH(Brand_Profile!$F$67,KOL_Database!$AG$32)),1,0)))/Brand_Profile!$F$68*100,0))</f>
        <v>20</v>
      </c>
      <c r="S93" s="142">
        <f ca="1">ROUND((Matching_Engine!$O$93*Brand_Profile!$F$96+Matching_Engine!$P$93*Brand_Profile!$F$97+Matching_Engine!$Q$93*Brand_Profile!$F$98+Matching_Engine!$R$93*Brand_Profile!$F$99)/MAX(1,Brand_Profile!$F$96+Brand_Profile!$F$97+Brand_Profile!$F$98+Brand_Profile!$F$99),0)</f>
        <v>68</v>
      </c>
      <c r="T93" s="142">
        <f>IF(Brand_Profile!$F$33="",Lookup_Lists!$D$150,Matching_Engine!$BD$93)</f>
        <v>60</v>
      </c>
      <c r="U93" s="142">
        <f>IF(Brand_Profile!$F$34="",Lookup_Lists!$D$150,IF(Brand_Profile!$F$34=KOL_Database!$F$32,100,IF(Matching_Engine!$BE$93=KOL_Database!$E$32,75,IF(Matching_Engine!$BD$93&gt;=80,Lookup_Lists!$D$150,IF(Matching_Engine!$BD$93&gt;=60,35,Lookup_Lists!$D$151)))))</f>
        <v>35</v>
      </c>
      <c r="V93" s="142">
        <f>IF(Brand_Profile!$F$86=0,Lookup_Lists!$D$150,ROUND((IF(Brand_Profile!$F$81="",0,IF(ISNUMBER(SEARCH(Brand_Profile!$F$81,Matching_Engine!$BG$93)),1,0))+IF(Brand_Profile!$F$82="",0,IF(ISNUMBER(SEARCH(Brand_Profile!$F$82,Matching_Engine!$BG$93)),1,0))+IF(Brand_Profile!$F$83="",0,IF(ISNUMBER(SEARCH(Brand_Profile!$F$83,Matching_Engine!$BG$93)),1,0))+IF(Brand_Profile!$F$84="",0,IF(ISNUMBER(SEARCH(Brand_Profile!$F$84,Matching_Engine!$BG$93)),1,0))+IF(Brand_Profile!$F$85="",0,IF(ISNUMBER(SEARCH(Brand_Profile!$F$85,Matching_Engine!$BG$93)),1,0)))/Brand_Profile!$F$86*100,0))</f>
        <v>20</v>
      </c>
      <c r="W93" s="142">
        <f>IF(Brand_Profile!$F$39="",Lookup_Lists!$D$150,IFERROR(INDEX(Lookup_Lists!$B$237:$K$246,MATCH(Brand_Profile!$F$39,Lookup_Lists!$A$237:$A$246,0),MATCH(KOL_Database!$AJ$32,Lookup_Lists!$B$236:$K$236,0)),45))</f>
        <v>45</v>
      </c>
      <c r="X93" s="142">
        <f>ROUND((Matching_Engine!$T$93*Lookup_Lists!$D$121+Matching_Engine!$U$93*Lookup_Lists!$D$122+Matching_Engine!$V$93*Lookup_Lists!$D$123+Matching_Engine!$W$93*Lookup_Lists!$D$124)/(Lookup_Lists!$D$121+Lookup_Lists!$D$122+Lookup_Lists!$D$123+Lookup_Lists!$D$124),0)</f>
        <v>40</v>
      </c>
      <c r="Y93" s="142">
        <f>MIN(100,MAX(IFERROR(INDEX(Lookup_Lists!$B$202:$M$211,MATCH(Brand_Profile!$F$25,Lookup_Lists!$A$202:$A$211,0),MATCH(KOL_Database!$AK$32,Lookup_Lists!$B$201:$M$201,0)),40),IF(KOL_Database!$AK$32=Brand_Profile!$F$41,95,0)))</f>
        <v>100</v>
      </c>
      <c r="Z93" s="142">
        <f>IFERROR(INDEX(Lookup_Lists!$B$215:$K$222,MATCH(Brand_Profile!$F$27,Lookup_Lists!$A$215:$A$222,0),MATCH(KOL_Database!$AJ$32,Lookup_Lists!$B$214:$K$214,0)),45)</f>
        <v>70</v>
      </c>
      <c r="AA93" s="142">
        <f>ROUND((IF(Brand_Profile!$F$80=0,Lookup_Lists!$D$150,ROUND((IF(Brand_Profile!$F$75="",0,IF(ISNUMBER(SEARCH(Brand_Profile!$F$75,KOL_Database!$AL$32)),1,0))+IF(Brand_Profile!$F$76="",0,IF(ISNUMBER(SEARCH(Brand_Profile!$F$76,KOL_Database!$AL$32)),1,0))+IF(Brand_Profile!$F$77="",0,IF(ISNUMBER(SEARCH(Brand_Profile!$F$77,KOL_Database!$AL$32)),1,0))+IF(Brand_Profile!$F$78="",0,IF(ISNUMBER(SEARCH(Brand_Profile!$F$78,KOL_Database!$AL$32)),1,0))+IF(Brand_Profile!$F$79="",0,IF(ISNUMBER(SEARCH(Brand_Profile!$F$79,KOL_Database!$AL$32)),1,0)))/Brand_Profile!$F$80*100,0))+IF(Brand_Profile!$F$92=0,Lookup_Lists!$D$150,ROUND((IF(Brand_Profile!$F$87="",0,IF(ISNUMBER(SEARCH(Brand_Profile!$F$87,KOL_Database!$AL$32)),1,0))+IF(Brand_Profile!$F$88="",0,IF(ISNUMBER(SEARCH(Brand_Profile!$F$88,KOL_Database!$AL$32)),1,0))+IF(Brand_Profile!$F$89="",0,IF(ISNUMBER(SEARCH(Brand_Profile!$F$89,KOL_Database!$AL$32)),1,0))+IF(Brand_Profile!$F$90="",0,IF(ISNUMBER(SEARCH(Brand_Profile!$F$90,KOL_Database!$AL$32)),1,0))+IF(Brand_Profile!$F$91="",0,IF(ISNUMBER(SEARCH(Brand_Profile!$F$91,KOL_Database!$AL$32)),1,0)))/Brand_Profile!$F$92*100,0)))/2,0)</f>
        <v>60</v>
      </c>
      <c r="AB93" s="142">
        <f>IFERROR(INDEX(Lookup_Lists!$B$226:$K$233,MATCH(Brand_Profile!$F$30,Lookup_Lists!$A$226:$A$233,0),MATCH(KOL_Database!$AJ$32,Lookup_Lists!$B$225:$K$225,0)),45)</f>
        <v>55</v>
      </c>
      <c r="AC93" s="142">
        <f>ROUND((Matching_Engine!$Y$93*Lookup_Lists!$D$125+Matching_Engine!$Z$93*Lookup_Lists!$D$126+Matching_Engine!$AA$93*Lookup_Lists!$D$127+Matching_Engine!$AB$93*Lookup_Lists!$D$128)/(Lookup_Lists!$D$125+Lookup_Lists!$D$126+Lookup_Lists!$D$127+Lookup_Lists!$D$128),0)</f>
        <v>76</v>
      </c>
      <c r="AD93" s="142">
        <f>IF(KOL_Database!$K$32="",0,MIN(100,ROUND(KOL_Database!$K$32/Lookup_Lists!$D$141*100,0)))</f>
        <v>100</v>
      </c>
      <c r="AE93" s="142">
        <f>IF(KOL_Database!$R$32="",0,MIN(100,MAX(0,KOL_Database!$R$32)))</f>
        <v>81</v>
      </c>
      <c r="AF93" s="142">
        <f>IF(KOL_Database!$P$32="",0,MIN(100,MAX(0,KOL_Database!$P$32)))</f>
        <v>77</v>
      </c>
      <c r="AG93" s="142">
        <f>IF(KOL_Database!$Q$32="",0,MIN(100,MAX(0,KOL_Database!$Q$32)))</f>
        <v>75</v>
      </c>
      <c r="AH93" s="142">
        <f>IF(OR(KOL_Database!$J$32="",KOL_Database!$J$32=0,KOL_Database!$L$32=""),0,MIN(100,ROUND(KOL_Database!$L$32/KOL_Database!$J$32/Lookup_Lists!$D$144*100,0)))</f>
        <v>100</v>
      </c>
      <c r="AI93" s="142">
        <f>IF(KOL_Database!$N$32="",0,MIN(100,MAX(0,ROUND((KOL_Database!$N$32+2)/(Lookup_Lists!$D$145+2)*100,0))))</f>
        <v>60</v>
      </c>
      <c r="AJ93" s="142">
        <f>ROUND((Matching_Engine!$AD$93*Lookup_Lists!$D$129+Matching_Engine!$AE$93*Lookup_Lists!$D$130+Matching_Engine!$AF$93*Lookup_Lists!$D$131+Matching_Engine!$AG$93*Lookup_Lists!$D$132+Matching_Engine!$AH$93*Lookup_Lists!$D$133+Matching_Engine!$AI$93*Lookup_Lists!$D$134)/(Lookup_Lists!$D$129+Lookup_Lists!$D$130+Lookup_Lists!$D$131+Lookup_Lists!$D$132+Lookup_Lists!$D$133+Lookup_Lists!$D$134),0)</f>
        <v>87</v>
      </c>
      <c r="AK93" s="142">
        <f>IF(KOL_Database!$AT$32="",0,MIN(100,MAX(0,KOL_Database!$AT$32)))</f>
        <v>85</v>
      </c>
      <c r="AL93" s="142">
        <f>IF(KOL_Database!$AU$32="",0,KOL_Database!$AU$32)</f>
        <v>42</v>
      </c>
      <c r="AM93" s="89" t="str">
        <f>IF(KOL_Database!$AV$32="","None",KOL_Database!$AV$32)</f>
        <v>None</v>
      </c>
      <c r="AN93" s="143">
        <f>IF(Matching_Engine!$AM$93="High",Lookup_Lists!$D$137,IF(Matching_Engine!$AM$93="Medium",Lookup_Lists!$D$138,IF(Matching_Engine!$AM$93="Low",Lookup_Lists!$D$139,Lookup_Lists!$D$140)))</f>
        <v>1</v>
      </c>
      <c r="AO93" s="142">
        <f>ROUND(MIN(100,MAX(0,(Matching_Engine!$AK$93*Lookup_Lists!$D$135+(100-Matching_Engine!$AL$93)*Lookup_Lists!$D$136)/(Lookup_Lists!$D$135+Lookup_Lists!$D$136)*Matching_Engine!$AN$93)),0)</f>
        <v>80</v>
      </c>
      <c r="AP93" s="13">
        <f ca="1">ROUND((Matching_Engine!$N$93*Lookup_Lists!$D$104+Matching_Engine!$S$93*Lookup_Lists!$D$105+Matching_Engine!$X$93*Lookup_Lists!$D$106+Matching_Engine!$AC$93*Lookup_Lists!$D$107+Matching_Engine!$AJ$93*Lookup_Lists!$D$108+Matching_Engine!$AO$93*Lookup_Lists!$D$109)/MAX(1,(Lookup_Lists!$D$104+Lookup_Lists!$D$105+Lookup_Lists!$D$106+Lookup_Lists!$D$107+Lookup_Lists!$D$108+Lookup_Lists!$D$109)),0)</f>
        <v>62</v>
      </c>
      <c r="AQ93" s="89" t="str">
        <f ca="1">IF(Matching_Engine!$AP$93&gt;=Lookup_Lists!$D$152,"Excellent Match",IF(Matching_Engine!$AP$93&gt;=Lookup_Lists!$D$153,"Strong Match",IF(Matching_Engine!$AP$93&gt;=Lookup_Lists!$D$154,"Good Match",IF(Matching_Engine!$AP$93&gt;=Lookup_Lists!$D$155,"Moderate Match","Low Match"))))</f>
        <v>Moderate Match</v>
      </c>
      <c r="AR93" s="142">
        <f>KOL_Database!$BE$32</f>
        <v>100</v>
      </c>
      <c r="AS93" s="89" t="str">
        <f>IF(Matching_Engine!$AR$93&gt;=Lookup_Lists!$D$159,"High",IF(Matching_Engine!$AR$93&gt;=Lookup_Lists!$D$160,"Medium","Limited Data"))</f>
        <v>High</v>
      </c>
      <c r="AT93" s="142">
        <f>ROUND((Matching_Engine!$N$93+Matching_Engine!$X$93+Matching_Engine!$AC$93)/3,0)</f>
        <v>55</v>
      </c>
      <c r="AU93" s="142">
        <f>ROUND(((100-Matching_Engine!$AL$93)*Lookup_Lists!$D$162+IF(KOL_Database!$BD$32="",Lookup_Lists!$D$150,KOL_Database!$BD$32)*Lookup_Lists!$D$163+Matching_Engine!$AI$93*Lookup_Lists!$D$164+Matching_Engine!$AD$93*Lookup_Lists!$D$165)/(Lookup_Lists!$D$162+Lookup_Lists!$D$163+Lookup_Lists!$D$164+Lookup_Lists!$D$165),0)</f>
        <v>75</v>
      </c>
      <c r="AV93" s="89" t="str">
        <f ca="1">IF(Matching_Engine!$AW$93="","PASS","EXCLUDED")</f>
        <v>EXCLUDED</v>
      </c>
      <c r="AW93" s="89" t="str">
        <f ca="1">IF(ISERROR(SEARCH(KOL_Database!$D$32,Brand_Profile!$F$32)),"Platform not in Preferred Platform",IF(AND(Brand_Profile!$F$36&gt;0,KOL_Database!$J$32&lt;Brand_Profile!$F$36),"Followers below Preferred Follower Range",IF(AND(Brand_Profile!$F$37&gt;0,KOL_Database!$J$32&gt;Brand_Profile!$F$37),"Followers above Preferred Follower Range",IF(AND(Brand_Profile!$F$38&gt;0,IF(KOL_Database!$K$32="",0,KOL_Database!$K$32)&lt;Brand_Profile!$F$38),"Engagement Rate below Minimum Engagement Rate",IF(ISERROR(SEARCH(KOL_Database!$G$32,Brand_Profile!$F$35)),"Tier not in Preferred Tier",IF(AND(Brand_Profile!$F$43&gt;0,Matching_Engine!$AE$93&lt;Brand_Profile!$F$43),"Audience Quality below Minimum Audience Quality",IF(AND(Brand_Profile!$F$44&gt;0,Matching_Engine!$AK$93&lt;Brand_Profile!$F$44),"Brand Safety below Minimum Brand Safety",IF(AND(Brand_Profile!$F$47="Yes",KOL_Database!$AD$32&lt;&gt;Brand_Profile!$F$19),"Audience Country does not match Target Country",IF(AND(Brand_Profile!$F$46="Yes",KOL_Database!$E$32&lt;&gt;Brand_Profile!$F$33),"Category is not the Preferred Category",IF(AND(Brand_Profile!$F$48&gt;0,Matching_Engine!$AL$93&gt;Brand_Profile!$F$48),"Competitor Saturation above Max Competitor Saturation",IF(AND(Brand_Profile!$F$50="Yes",KOL_Database!$AW$32="Yes"),"Already Selected",IF(AND(Brand_Profile!$F$51="Yes",KOL_Database!$AX$32="Yes"),"Already in Cart",IF(AND(Brand_Profile!$F$52="Yes",KOL_Database!$AY$32="Yes"),"Existing Partner",IF(AND(Brand_Profile!$F$53="Yes",KOL_Database!$AZ$32="Yes"),"Excluded Creator",IF(AND(Brand_Profile!$F$49&gt;0,Matching_Engine!$AP$93&lt;Brand_Profile!$F$49),"Brand Match below Minimum Brand Match","")))))))))))))))</f>
        <v>Tier not in Preferred Tier</v>
      </c>
      <c r="AX93" s="89" t="str">
        <f ca="1">IF(Matching_Engine!$AV$93="EXCLUDED","Excluded",IF(Matching_Engine!$AP$93&gt;=Lookup_Lists!$D$156,"Highly Recommended",IF(Matching_Engine!$AP$93&gt;=Lookup_Lists!$D$157,"Recommended",IF(Matching_Engine!$AP$93&gt;=Lookup_Lists!$D$158,"Consider","Low Priority"))))</f>
        <v>Excluded</v>
      </c>
      <c r="AY93" s="142" t="str">
        <f ca="1">IF(Matching_Engine!$AV$93="PASS",Matching_Engine!$AP$93,"")</f>
        <v/>
      </c>
      <c r="AZ93" s="89" t="str">
        <f>Matching_Engine!$A$93&amp;"|"&amp;Matching_Engine!$C$93</f>
        <v>BRAND-C|KOL-28</v>
      </c>
      <c r="BA93" s="89" t="str">
        <f>IFERROR(INDEX(Lookup_Lists!$B$51:$B$92,MATCH(Brand_Profile!$F$12,Lookup_Lists!$A$51:$A$92,0)),"")</f>
        <v>Food</v>
      </c>
      <c r="BB93" s="89" t="str">
        <f>IFERROR(INDEX(Lookup_Lists!$B$51:$B$92,MATCH(KOL_Database!$F$32,Lookup_Lists!$A$51:$A$92,0)),"")</f>
        <v>Home &amp; Living</v>
      </c>
      <c r="BC93" s="142">
        <f>IFERROR(INDEX(Lookup_Lists!$B$185:$O$198,MATCH(Matching_Engine!$BA$93,Lookup_Lists!$A$185:$A$198,0),MATCH(KOL_Database!$E$32,Lookup_Lists!$B$184:$O$184,0)),Lookup_Lists!$D$151)</f>
        <v>60</v>
      </c>
      <c r="BD93" s="142">
        <f>IFERROR(INDEX(Lookup_Lists!$B$185:$O$198,MATCH(Brand_Profile!$F$33,Lookup_Lists!$A$185:$A$198,0),MATCH(KOL_Database!$E$32,Lookup_Lists!$B$184:$O$184,0)),Lookup_Lists!$D$151)</f>
        <v>60</v>
      </c>
      <c r="BE93" s="89" t="str">
        <f>IFERROR(INDEX(Lookup_Lists!$B$51:$B$92,MATCH(Brand_Profile!$F$34,Lookup_Lists!$A$51:$A$92,0)),"")</f>
        <v>Food</v>
      </c>
      <c r="BF93" s="89" t="str">
        <f>KOL_Database!$AI$32&amp;", "&amp;KOL_Database!$AG$32&amp;", "&amp;KOL_Database!$F$32&amp;", "&amp;KOL_Database!$E$32</f>
        <v>Home Decor, Productivity, Shopping, Home Decor, Shopping, Productivity, Parenting, Cooking, Home Organization, Home &amp; Living</v>
      </c>
      <c r="BG93" s="89" t="str">
        <f>KOL_Database!$AI$32&amp;", "&amp;KOL_Database!$AG$32</f>
        <v>Home Decor, Productivity, Shopping, Home Decor, Shopping, Productivity, Parenting, Cooking</v>
      </c>
    </row>
    <row r="94" spans="1:59">
      <c r="A94" s="101" t="s">
        <v>119</v>
      </c>
      <c r="B94" s="89" t="str">
        <f>Brand_Profile!$F$9</f>
        <v>Rasa Nusantara</v>
      </c>
      <c r="C94" s="89" t="str">
        <f>KOL_Database!$A$33</f>
        <v>KOL-29</v>
      </c>
      <c r="D94" s="89" t="str">
        <f>KOL_Database!$B$33</f>
        <v>Sekar Ayu</v>
      </c>
      <c r="E94" s="89" t="str">
        <f>KOL_Database!$C$33</f>
        <v>@sekarskincarejujur</v>
      </c>
      <c r="F94" s="89" t="str">
        <f>KOL_Database!$D$33</f>
        <v>TikTok</v>
      </c>
      <c r="G94" s="89" t="str">
        <f>KOL_Database!$E$33</f>
        <v>Beauty</v>
      </c>
      <c r="H94" s="89" t="str">
        <f>KOL_Database!$G$33</f>
        <v>Micro</v>
      </c>
      <c r="I94" s="140">
        <f>KOL_Database!$J$33</f>
        <v>27000</v>
      </c>
      <c r="J94" s="141">
        <f>KOL_Database!$K$33</f>
        <v>8.9</v>
      </c>
      <c r="K94" s="142">
        <f>IFERROR(INDEX(Lookup_Lists!$B$170:$O$181,MATCH(Brand_Profile!$F$10,Lookup_Lists!$A$170:$A$181,0),MATCH(KOL_Database!$E$33,Lookup_Lists!$B$169:$O$169,0)),Lookup_Lists!$D$151)</f>
        <v>40</v>
      </c>
      <c r="L94" s="142">
        <f>IF(KOL_Database!$F$33="",Matching_Engine!$BC$94,IF(Brand_Profile!$F$12=KOL_Database!$F$33,100,IF(Matching_Engine!$BA$94=KOL_Database!$E$33,80,IF(Matching_Engine!$BC$94&gt;=80,60,IF(Matching_Engine!$BC$94&gt;=60,40,Lookup_Lists!$D$151)))))</f>
        <v>40</v>
      </c>
      <c r="M94" s="142">
        <f>ROUND((IF(Brand_Profile!$F$62=0,Lookup_Lists!$D$150,ROUND((IF(Brand_Profile!$F$57="",0,IF(ISNUMBER(SEARCH(Brand_Profile!$F$57,Matching_Engine!$BF$94)),1,0))+IF(Brand_Profile!$F$58="",0,IF(ISNUMBER(SEARCH(Brand_Profile!$F$58,Matching_Engine!$BF$94)),1,0))+IF(Brand_Profile!$F$59="",0,IF(ISNUMBER(SEARCH(Brand_Profile!$F$59,Matching_Engine!$BF$94)),1,0))+IF(Brand_Profile!$F$60="",0,IF(ISNUMBER(SEARCH(Brand_Profile!$F$60,Matching_Engine!$BF$94)),1,0))+IF(Brand_Profile!$F$61="",0,IF(ISNUMBER(SEARCH(Brand_Profile!$F$61,Matching_Engine!$BF$94)),1,0)))/Brand_Profile!$F$62*100,0))+IF(Brand_Profile!$F$74=0,Lookup_Lists!$D$150,ROUND((IF(Brand_Profile!$F$69="",0,IF(ISNUMBER(SEARCH(Brand_Profile!$F$69,Matching_Engine!$BF$94)),1,0))+IF(Brand_Profile!$F$70="",0,IF(ISNUMBER(SEARCH(Brand_Profile!$F$70,Matching_Engine!$BF$94)),1,0))+IF(Brand_Profile!$F$71="",0,IF(ISNUMBER(SEARCH(Brand_Profile!$F$71,Matching_Engine!$BF$94)),1,0))+IF(Brand_Profile!$F$72="",0,IF(ISNUMBER(SEARCH(Brand_Profile!$F$72,Matching_Engine!$BF$94)),1,0))+IF(Brand_Profile!$F$73="",0,IF(ISNUMBER(SEARCH(Brand_Profile!$F$73,Matching_Engine!$BF$94)),1,0)))/Brand_Profile!$F$74*100,0)))/2,0)</f>
        <v>20</v>
      </c>
      <c r="N94" s="142">
        <f>ROUND((Matching_Engine!$K$94*Lookup_Lists!$D$110+Matching_Engine!$L$94*Lookup_Lists!$D$111+Matching_Engine!$M$94*Lookup_Lists!$D$112)/(Lookup_Lists!$D$110+Lookup_Lists!$D$111+Lookup_Lists!$D$112),0)</f>
        <v>34</v>
      </c>
      <c r="O94" s="142">
        <f ca="1">IF(Brand_Profile!$F$16="",Lookup_Lists!$D$150,MIN(100,ROUND((IFERROR(INDEX(KOL_Database!$W$33:KOL_Database!$AA$33,1,MATCH(Brand_Profile!$F$16,Lookup_Lists!$F$6:$F$10,0)),0)+0.5*IFERROR(INDEX(KOL_Database!$W$33:KOL_Database!$AA$33,1,MATCH(Brand_Profile!$F$17,Lookup_Lists!$F$6:$F$10,0)),0))/Lookup_Lists!$D$142*100,0)))</f>
        <v>88</v>
      </c>
      <c r="P94" s="142">
        <f>IF(OR(Brand_Profile!$F$18="",Brand_Profile!$F$18="Any"),100,IF(Brand_Profile!$F$18="Female",MIN(100,ROUND(KOL_Database!$AB$33/Lookup_Lists!$D$143*100,0)),IF(Brand_Profile!$F$18="Male",MIN(100,ROUND(KOL_Database!$AC$33/Lookup_Lists!$D$143*100,0)),MAX(0,ROUND(100-ABS(KOL_Database!$AB$33-50)*2,0)))))</f>
        <v>52</v>
      </c>
      <c r="Q94" s="142">
        <f>ROUND((IF(Brand_Profile!$F$19="",100,IF(KOL_Database!$AD$33=Brand_Profile!$F$19,100,Lookup_Lists!$D$151))*Lookup_Lists!$D$118+IF(OR(Brand_Profile!$F$20="",Brand_Profile!$F$20="Nasional"),100,IF(KOL_Database!$AE$33="",Lookup_Lists!$D$150,IF(KOL_Database!$AE$33=Brand_Profile!$F$20,100,IF(KOL_Database!$AD$33=Brand_Profile!$F$19,40,Lookup_Lists!$D$151))))*Lookup_Lists!$D$119+IF(OR(Brand_Profile!$F$21="",Brand_Profile!$F$21="Nasional"),100,IF(KOL_Database!$AF$33="",Lookup_Lists!$D$150,IF(KOL_Database!$AF$33=Brand_Profile!$F$21,100,IF(KOL_Database!$AE$33=Brand_Profile!$F$20,60,Lookup_Lists!$D$151))))*Lookup_Lists!$D$120)/(Lookup_Lists!$D$118+Lookup_Lists!$D$119+Lookup_Lists!$D$120),0)</f>
        <v>100</v>
      </c>
      <c r="R94" s="142">
        <f>IF(Brand_Profile!$F$68=0,Lookup_Lists!$D$150,ROUND((IF(Brand_Profile!$F$63="",0,IF(ISNUMBER(SEARCH(Brand_Profile!$F$63,KOL_Database!$AG$33)),1,0))+IF(Brand_Profile!$F$64="",0,IF(ISNUMBER(SEARCH(Brand_Profile!$F$64,KOL_Database!$AG$33)),1,0))+IF(Brand_Profile!$F$65="",0,IF(ISNUMBER(SEARCH(Brand_Profile!$F$65,KOL_Database!$AG$33)),1,0))+IF(Brand_Profile!$F$66="",0,IF(ISNUMBER(SEARCH(Brand_Profile!$F$66,KOL_Database!$AG$33)),1,0))+IF(Brand_Profile!$F$67="",0,IF(ISNUMBER(SEARCH(Brand_Profile!$F$67,KOL_Database!$AG$33)),1,0)))/Brand_Profile!$F$68*100,0))</f>
        <v>0</v>
      </c>
      <c r="S94" s="142">
        <f ca="1">ROUND((Matching_Engine!$O$94*Brand_Profile!$F$96+Matching_Engine!$P$94*Brand_Profile!$F$97+Matching_Engine!$Q$94*Brand_Profile!$F$98+Matching_Engine!$R$94*Brand_Profile!$F$99)/MAX(1,Brand_Profile!$F$96+Brand_Profile!$F$97+Brand_Profile!$F$98+Brand_Profile!$F$99),0)</f>
        <v>64</v>
      </c>
      <c r="T94" s="142">
        <f>IF(Brand_Profile!$F$33="",Lookup_Lists!$D$150,Matching_Engine!$BD$94)</f>
        <v>60</v>
      </c>
      <c r="U94" s="142">
        <f>IF(Brand_Profile!$F$34="",Lookup_Lists!$D$150,IF(Brand_Profile!$F$34=KOL_Database!$F$33,100,IF(Matching_Engine!$BE$94=KOL_Database!$E$33,75,IF(Matching_Engine!$BD$94&gt;=80,Lookup_Lists!$D$150,IF(Matching_Engine!$BD$94&gt;=60,35,Lookup_Lists!$D$151)))))</f>
        <v>35</v>
      </c>
      <c r="V94" s="142">
        <f>IF(Brand_Profile!$F$86=0,Lookup_Lists!$D$150,ROUND((IF(Brand_Profile!$F$81="",0,IF(ISNUMBER(SEARCH(Brand_Profile!$F$81,Matching_Engine!$BG$94)),1,0))+IF(Brand_Profile!$F$82="",0,IF(ISNUMBER(SEARCH(Brand_Profile!$F$82,Matching_Engine!$BG$94)),1,0))+IF(Brand_Profile!$F$83="",0,IF(ISNUMBER(SEARCH(Brand_Profile!$F$83,Matching_Engine!$BG$94)),1,0))+IF(Brand_Profile!$F$84="",0,IF(ISNUMBER(SEARCH(Brand_Profile!$F$84,Matching_Engine!$BG$94)),1,0))+IF(Brand_Profile!$F$85="",0,IF(ISNUMBER(SEARCH(Brand_Profile!$F$85,Matching_Engine!$BG$94)),1,0)))/Brand_Profile!$F$86*100,0))</f>
        <v>0</v>
      </c>
      <c r="W94" s="142">
        <f>IF(Brand_Profile!$F$39="",Lookup_Lists!$D$150,IFERROR(INDEX(Lookup_Lists!$B$237:$K$246,MATCH(Brand_Profile!$F$39,Lookup_Lists!$A$237:$A$246,0),MATCH(KOL_Database!$AJ$33,Lookup_Lists!$B$236:$K$236,0)),45))</f>
        <v>45</v>
      </c>
      <c r="X94" s="142">
        <f>ROUND((Matching_Engine!$T$94*Lookup_Lists!$D$121+Matching_Engine!$U$94*Lookup_Lists!$D$122+Matching_Engine!$V$94*Lookup_Lists!$D$123+Matching_Engine!$W$94*Lookup_Lists!$D$124)/(Lookup_Lists!$D$121+Lookup_Lists!$D$122+Lookup_Lists!$D$123+Lookup_Lists!$D$124),0)</f>
        <v>34</v>
      </c>
      <c r="Y94" s="142">
        <f>MIN(100,MAX(IFERROR(INDEX(Lookup_Lists!$B$202:$M$211,MATCH(Brand_Profile!$F$25,Lookup_Lists!$A$202:$A$211,0),MATCH(KOL_Database!$AK$33,Lookup_Lists!$B$201:$M$201,0)),40),IF(KOL_Database!$AK$33=Brand_Profile!$F$41,95,0)))</f>
        <v>100</v>
      </c>
      <c r="Z94" s="142">
        <f>IFERROR(INDEX(Lookup_Lists!$B$215:$K$222,MATCH(Brand_Profile!$F$27,Lookup_Lists!$A$215:$A$222,0),MATCH(KOL_Database!$AJ$33,Lookup_Lists!$B$214:$K$214,0)),45)</f>
        <v>65</v>
      </c>
      <c r="AA94" s="142">
        <f>ROUND((IF(Brand_Profile!$F$80=0,Lookup_Lists!$D$150,ROUND((IF(Brand_Profile!$F$75="",0,IF(ISNUMBER(SEARCH(Brand_Profile!$F$75,KOL_Database!$AL$33)),1,0))+IF(Brand_Profile!$F$76="",0,IF(ISNUMBER(SEARCH(Brand_Profile!$F$76,KOL_Database!$AL$33)),1,0))+IF(Brand_Profile!$F$77="",0,IF(ISNUMBER(SEARCH(Brand_Profile!$F$77,KOL_Database!$AL$33)),1,0))+IF(Brand_Profile!$F$78="",0,IF(ISNUMBER(SEARCH(Brand_Profile!$F$78,KOL_Database!$AL$33)),1,0))+IF(Brand_Profile!$F$79="",0,IF(ISNUMBER(SEARCH(Brand_Profile!$F$79,KOL_Database!$AL$33)),1,0)))/Brand_Profile!$F$80*100,0))+IF(Brand_Profile!$F$92=0,Lookup_Lists!$D$150,ROUND((IF(Brand_Profile!$F$87="",0,IF(ISNUMBER(SEARCH(Brand_Profile!$F$87,KOL_Database!$AL$33)),1,0))+IF(Brand_Profile!$F$88="",0,IF(ISNUMBER(SEARCH(Brand_Profile!$F$88,KOL_Database!$AL$33)),1,0))+IF(Brand_Profile!$F$89="",0,IF(ISNUMBER(SEARCH(Brand_Profile!$F$89,KOL_Database!$AL$33)),1,0))+IF(Brand_Profile!$F$90="",0,IF(ISNUMBER(SEARCH(Brand_Profile!$F$90,KOL_Database!$AL$33)),1,0))+IF(Brand_Profile!$F$91="",0,IF(ISNUMBER(SEARCH(Brand_Profile!$F$91,KOL_Database!$AL$33)),1,0)))/Brand_Profile!$F$92*100,0)))/2,0)</f>
        <v>20</v>
      </c>
      <c r="AB94" s="142">
        <f>IFERROR(INDEX(Lookup_Lists!$B$226:$K$233,MATCH(Brand_Profile!$F$30,Lookup_Lists!$A$226:$A$233,0),MATCH(KOL_Database!$AJ$33,Lookup_Lists!$B$225:$K$225,0)),45)</f>
        <v>60</v>
      </c>
      <c r="AC94" s="142">
        <f>ROUND((Matching_Engine!$Y$94*Lookup_Lists!$D$125+Matching_Engine!$Z$94*Lookup_Lists!$D$126+Matching_Engine!$AA$94*Lookup_Lists!$D$127+Matching_Engine!$AB$94*Lookup_Lists!$D$128)/(Lookup_Lists!$D$125+Lookup_Lists!$D$126+Lookup_Lists!$D$127+Lookup_Lists!$D$128),0)</f>
        <v>65</v>
      </c>
      <c r="AD94" s="142">
        <f>IF(KOL_Database!$K$33="",0,MIN(100,ROUND(KOL_Database!$K$33/Lookup_Lists!$D$141*100,0)))</f>
        <v>100</v>
      </c>
      <c r="AE94" s="142">
        <f>IF(KOL_Database!$R$33="",0,MIN(100,MAX(0,KOL_Database!$R$33)))</f>
        <v>91</v>
      </c>
      <c r="AF94" s="142">
        <f>IF(KOL_Database!$P$33="",0,MIN(100,MAX(0,KOL_Database!$P$33)))</f>
        <v>88</v>
      </c>
      <c r="AG94" s="142">
        <f>IF(KOL_Database!$Q$33="",0,MIN(100,MAX(0,KOL_Database!$Q$33)))</f>
        <v>46</v>
      </c>
      <c r="AH94" s="142">
        <f>IF(OR(KOL_Database!$J$33="",KOL_Database!$J$33=0,KOL_Database!$L$33=""),0,MIN(100,ROUND(KOL_Database!$L$33/KOL_Database!$J$33/Lookup_Lists!$D$144*100,0)))</f>
        <v>100</v>
      </c>
      <c r="AI94" s="142">
        <f>IF(KOL_Database!$N$33="",0,MIN(100,MAX(0,ROUND((KOL_Database!$N$33+2)/(Lookup_Lists!$D$145+2)*100,0))))</f>
        <v>57</v>
      </c>
      <c r="AJ94" s="142">
        <f>ROUND((Matching_Engine!$AD$94*Lookup_Lists!$D$129+Matching_Engine!$AE$94*Lookup_Lists!$D$130+Matching_Engine!$AF$94*Lookup_Lists!$D$131+Matching_Engine!$AG$94*Lookup_Lists!$D$132+Matching_Engine!$AH$94*Lookup_Lists!$D$133+Matching_Engine!$AI$94*Lookup_Lists!$D$134)/(Lookup_Lists!$D$129+Lookup_Lists!$D$130+Lookup_Lists!$D$131+Lookup_Lists!$D$132+Lookup_Lists!$D$133+Lookup_Lists!$D$134),0)</f>
        <v>88</v>
      </c>
      <c r="AK94" s="142">
        <f>IF(KOL_Database!$AT$33="",0,MIN(100,MAX(0,KOL_Database!$AT$33)))</f>
        <v>94</v>
      </c>
      <c r="AL94" s="142">
        <f>IF(KOL_Database!$AU$33="",0,KOL_Database!$AU$33)</f>
        <v>12</v>
      </c>
      <c r="AM94" s="89" t="str">
        <f>IF(KOL_Database!$AV$33="","None",KOL_Database!$AV$33)</f>
        <v>None</v>
      </c>
      <c r="AN94" s="143">
        <f>IF(Matching_Engine!$AM$94="High",Lookup_Lists!$D$137,IF(Matching_Engine!$AM$94="Medium",Lookup_Lists!$D$138,IF(Matching_Engine!$AM$94="Low",Lookup_Lists!$D$139,Lookup_Lists!$D$140)))</f>
        <v>1</v>
      </c>
      <c r="AO94" s="142">
        <f>ROUND(MIN(100,MAX(0,(Matching_Engine!$AK$94*Lookup_Lists!$D$135+(100-Matching_Engine!$AL$94)*Lookup_Lists!$D$136)/(Lookup_Lists!$D$135+Lookup_Lists!$D$136)*Matching_Engine!$AN$94)),0)</f>
        <v>93</v>
      </c>
      <c r="AP94" s="13">
        <f ca="1">ROUND((Matching_Engine!$N$94*Lookup_Lists!$D$104+Matching_Engine!$S$94*Lookup_Lists!$D$105+Matching_Engine!$X$94*Lookup_Lists!$D$106+Matching_Engine!$AC$94*Lookup_Lists!$D$107+Matching_Engine!$AJ$94*Lookup_Lists!$D$108+Matching_Engine!$AO$94*Lookup_Lists!$D$109)/MAX(1,(Lookup_Lists!$D$104+Lookup_Lists!$D$105+Lookup_Lists!$D$106+Lookup_Lists!$D$107+Lookup_Lists!$D$108+Lookup_Lists!$D$109)),0)</f>
        <v>57</v>
      </c>
      <c r="AQ94" s="89" t="str">
        <f ca="1">IF(Matching_Engine!$AP$94&gt;=Lookup_Lists!$D$152,"Excellent Match",IF(Matching_Engine!$AP$94&gt;=Lookup_Lists!$D$153,"Strong Match",IF(Matching_Engine!$AP$94&gt;=Lookup_Lists!$D$154,"Good Match",IF(Matching_Engine!$AP$94&gt;=Lookup_Lists!$D$155,"Moderate Match","Low Match"))))</f>
        <v>Low Match</v>
      </c>
      <c r="AR94" s="142">
        <f>KOL_Database!$BE$33</f>
        <v>100</v>
      </c>
      <c r="AS94" s="89" t="str">
        <f>IF(Matching_Engine!$AR$94&gt;=Lookup_Lists!$D$159,"High",IF(Matching_Engine!$AR$94&gt;=Lookup_Lists!$D$160,"Medium","Limited Data"))</f>
        <v>High</v>
      </c>
      <c r="AT94" s="142">
        <f>ROUND((Matching_Engine!$N$94+Matching_Engine!$X$94+Matching_Engine!$AC$94)/3,0)</f>
        <v>44</v>
      </c>
      <c r="AU94" s="142">
        <f>ROUND(((100-Matching_Engine!$AL$94)*Lookup_Lists!$D$162+IF(KOL_Database!$BD$33="",Lookup_Lists!$D$150,KOL_Database!$BD$33)*Lookup_Lists!$D$163+Matching_Engine!$AI$94*Lookup_Lists!$D$164+Matching_Engine!$AD$94*Lookup_Lists!$D$165)/(Lookup_Lists!$D$162+Lookup_Lists!$D$163+Lookup_Lists!$D$164+Lookup_Lists!$D$165),0)</f>
        <v>85</v>
      </c>
      <c r="AV94" s="89" t="str">
        <f ca="1">IF(Matching_Engine!$AW$94="","PASS","EXCLUDED")</f>
        <v>PASS</v>
      </c>
      <c r="AW94" s="89" t="str">
        <f ca="1">IF(ISERROR(SEARCH(KOL_Database!$D$33,Brand_Profile!$F$32)),"Platform not in Preferred Platform",IF(AND(Brand_Profile!$F$36&gt;0,KOL_Database!$J$33&lt;Brand_Profile!$F$36),"Followers below Preferred Follower Range",IF(AND(Brand_Profile!$F$37&gt;0,KOL_Database!$J$33&gt;Brand_Profile!$F$37),"Followers above Preferred Follower Range",IF(AND(Brand_Profile!$F$38&gt;0,IF(KOL_Database!$K$33="",0,KOL_Database!$K$33)&lt;Brand_Profile!$F$38),"Engagement Rate below Minimum Engagement Rate",IF(ISERROR(SEARCH(KOL_Database!$G$33,Brand_Profile!$F$35)),"Tier not in Preferred Tier",IF(AND(Brand_Profile!$F$43&gt;0,Matching_Engine!$AE$94&lt;Brand_Profile!$F$43),"Audience Quality below Minimum Audience Quality",IF(AND(Brand_Profile!$F$44&gt;0,Matching_Engine!$AK$94&lt;Brand_Profile!$F$44),"Brand Safety below Minimum Brand Safety",IF(AND(Brand_Profile!$F$47="Yes",KOL_Database!$AD$33&lt;&gt;Brand_Profile!$F$19),"Audience Country does not match Target Country",IF(AND(Brand_Profile!$F$46="Yes",KOL_Database!$E$33&lt;&gt;Brand_Profile!$F$33),"Category is not the Preferred Category",IF(AND(Brand_Profile!$F$48&gt;0,Matching_Engine!$AL$94&gt;Brand_Profile!$F$48),"Competitor Saturation above Max Competitor Saturation",IF(AND(Brand_Profile!$F$50="Yes",KOL_Database!$AW$33="Yes"),"Already Selected",IF(AND(Brand_Profile!$F$51="Yes",KOL_Database!$AX$33="Yes"),"Already in Cart",IF(AND(Brand_Profile!$F$52="Yes",KOL_Database!$AY$33="Yes"),"Existing Partner",IF(AND(Brand_Profile!$F$53="Yes",KOL_Database!$AZ$33="Yes"),"Excluded Creator",IF(AND(Brand_Profile!$F$49&gt;0,Matching_Engine!$AP$94&lt;Brand_Profile!$F$49),"Brand Match below Minimum Brand Match","")))))))))))))))</f>
        <v/>
      </c>
      <c r="AX94" s="89" t="str">
        <f ca="1">IF(Matching_Engine!$AV$94="EXCLUDED","Excluded",IF(Matching_Engine!$AP$94&gt;=Lookup_Lists!$D$156,"Highly Recommended",IF(Matching_Engine!$AP$94&gt;=Lookup_Lists!$D$157,"Recommended",IF(Matching_Engine!$AP$94&gt;=Lookup_Lists!$D$158,"Consider","Low Priority"))))</f>
        <v>Low Priority</v>
      </c>
      <c r="AY94" s="142">
        <f ca="1">IF(Matching_Engine!$AV$94="PASS",Matching_Engine!$AP$94,"")</f>
        <v>57</v>
      </c>
      <c r="AZ94" s="89" t="str">
        <f>Matching_Engine!$A$94&amp;"|"&amp;Matching_Engine!$C$94</f>
        <v>BRAND-C|KOL-29</v>
      </c>
      <c r="BA94" s="89" t="str">
        <f>IFERROR(INDEX(Lookup_Lists!$B$51:$B$92,MATCH(Brand_Profile!$F$12,Lookup_Lists!$A$51:$A$92,0)),"")</f>
        <v>Food</v>
      </c>
      <c r="BB94" s="89" t="str">
        <f>IFERROR(INDEX(Lookup_Lists!$B$51:$B$92,MATCH(KOL_Database!$F$33,Lookup_Lists!$A$51:$A$92,0)),"")</f>
        <v>Beauty</v>
      </c>
      <c r="BC94" s="142">
        <f>IFERROR(INDEX(Lookup_Lists!$B$185:$O$198,MATCH(Matching_Engine!$BA$94,Lookup_Lists!$A$185:$A$198,0),MATCH(KOL_Database!$E$33,Lookup_Lists!$B$184:$O$184,0)),Lookup_Lists!$D$151)</f>
        <v>60</v>
      </c>
      <c r="BD94" s="142">
        <f>IFERROR(INDEX(Lookup_Lists!$B$185:$O$198,MATCH(Brand_Profile!$F$33,Lookup_Lists!$A$185:$A$198,0),MATCH(KOL_Database!$E$33,Lookup_Lists!$B$184:$O$184,0)),Lookup_Lists!$D$151)</f>
        <v>60</v>
      </c>
      <c r="BE94" s="89" t="str">
        <f>IFERROR(INDEX(Lookup_Lists!$B$51:$B$92,MATCH(Brand_Profile!$F$34,Lookup_Lists!$A$51:$A$92,0)),"")</f>
        <v>Food</v>
      </c>
      <c r="BF94" s="89" t="str">
        <f>KOL_Database!$AI$33&amp;", "&amp;KOL_Database!$AG$33&amp;", "&amp;KOL_Database!$F$33&amp;", "&amp;KOL_Database!$E$33</f>
        <v>Skincare, Beauty, Health, Skincare, Beauty, Health, Shopping, Makeup, Skincare, Beauty</v>
      </c>
      <c r="BG94" s="89" t="str">
        <f>KOL_Database!$AI$33&amp;", "&amp;KOL_Database!$AG$33</f>
        <v>Skincare, Beauty, Health, Skincare, Beauty, Health, Shopping, Makeup</v>
      </c>
    </row>
    <row r="95" spans="1:59">
      <c r="A95" s="101" t="s">
        <v>119</v>
      </c>
      <c r="B95" s="89" t="str">
        <f>Brand_Profile!$F$9</f>
        <v>Rasa Nusantara</v>
      </c>
      <c r="C95" s="89" t="str">
        <f>KOL_Database!$A$34</f>
        <v>KOL-30</v>
      </c>
      <c r="D95" s="89" t="str">
        <f>KOL_Database!$B$34</f>
        <v>Ibnu Faisal</v>
      </c>
      <c r="E95" s="89" t="str">
        <f>KOL_Database!$C$34</f>
        <v>@ibnubisnis</v>
      </c>
      <c r="F95" s="89" t="str">
        <f>KOL_Database!$D$34</f>
        <v>Instagram</v>
      </c>
      <c r="G95" s="89" t="str">
        <f>KOL_Database!$E$34</f>
        <v>Finance</v>
      </c>
      <c r="H95" s="89" t="str">
        <f>KOL_Database!$G$34</f>
        <v>Macro</v>
      </c>
      <c r="I95" s="140">
        <f>KOL_Database!$J$34</f>
        <v>355000</v>
      </c>
      <c r="J95" s="141">
        <f>KOL_Database!$K$34</f>
        <v>2.6</v>
      </c>
      <c r="K95" s="142">
        <f>IFERROR(INDEX(Lookup_Lists!$B$170:$O$181,MATCH(Brand_Profile!$F$10,Lookup_Lists!$A$170:$A$181,0),MATCH(KOL_Database!$E$34,Lookup_Lists!$B$169:$O$169,0)),Lookup_Lists!$D$151)</f>
        <v>20</v>
      </c>
      <c r="L95" s="142">
        <f>IF(KOL_Database!$F$34="",Matching_Engine!$BC$95,IF(Brand_Profile!$F$12=KOL_Database!$F$34,100,IF(Matching_Engine!$BA$95=KOL_Database!$E$34,80,IF(Matching_Engine!$BC$95&gt;=80,60,IF(Matching_Engine!$BC$95&gt;=60,40,Lookup_Lists!$D$151)))))</f>
        <v>20</v>
      </c>
      <c r="M95" s="142">
        <f>ROUND((IF(Brand_Profile!$F$62=0,Lookup_Lists!$D$150,ROUND((IF(Brand_Profile!$F$57="",0,IF(ISNUMBER(SEARCH(Brand_Profile!$F$57,Matching_Engine!$BF$95)),1,0))+IF(Brand_Profile!$F$58="",0,IF(ISNUMBER(SEARCH(Brand_Profile!$F$58,Matching_Engine!$BF$95)),1,0))+IF(Brand_Profile!$F$59="",0,IF(ISNUMBER(SEARCH(Brand_Profile!$F$59,Matching_Engine!$BF$95)),1,0))+IF(Brand_Profile!$F$60="",0,IF(ISNUMBER(SEARCH(Brand_Profile!$F$60,Matching_Engine!$BF$95)),1,0))+IF(Brand_Profile!$F$61="",0,IF(ISNUMBER(SEARCH(Brand_Profile!$F$61,Matching_Engine!$BF$95)),1,0)))/Brand_Profile!$F$62*100,0))+IF(Brand_Profile!$F$74=0,Lookup_Lists!$D$150,ROUND((IF(Brand_Profile!$F$69="",0,IF(ISNUMBER(SEARCH(Brand_Profile!$F$69,Matching_Engine!$BF$95)),1,0))+IF(Brand_Profile!$F$70="",0,IF(ISNUMBER(SEARCH(Brand_Profile!$F$70,Matching_Engine!$BF$95)),1,0))+IF(Brand_Profile!$F$71="",0,IF(ISNUMBER(SEARCH(Brand_Profile!$F$71,Matching_Engine!$BF$95)),1,0))+IF(Brand_Profile!$F$72="",0,IF(ISNUMBER(SEARCH(Brand_Profile!$F$72,Matching_Engine!$BF$95)),1,0))+IF(Brand_Profile!$F$73="",0,IF(ISNUMBER(SEARCH(Brand_Profile!$F$73,Matching_Engine!$BF$95)),1,0)))/Brand_Profile!$F$74*100,0)))/2,0)</f>
        <v>0</v>
      </c>
      <c r="N95" s="142">
        <f>ROUND((Matching_Engine!$K$95*Lookup_Lists!$D$110+Matching_Engine!$L$95*Lookup_Lists!$D$111+Matching_Engine!$M$95*Lookup_Lists!$D$112)/(Lookup_Lists!$D$110+Lookup_Lists!$D$111+Lookup_Lists!$D$112),0)</f>
        <v>14</v>
      </c>
      <c r="O95" s="142">
        <f ca="1">IF(Brand_Profile!$F$16="",Lookup_Lists!$D$150,MIN(100,ROUND((IFERROR(INDEX(KOL_Database!$W$34:KOL_Database!$AA$34,1,MATCH(Brand_Profile!$F$16,Lookup_Lists!$F$6:$F$10,0)),0)+0.5*IFERROR(INDEX(KOL_Database!$W$34:KOL_Database!$AA$34,1,MATCH(Brand_Profile!$F$17,Lookup_Lists!$F$6:$F$10,0)),0))/Lookup_Lists!$D$142*100,0)))</f>
        <v>100</v>
      </c>
      <c r="P95" s="142">
        <f>IF(OR(Brand_Profile!$F$18="",Brand_Profile!$F$18="Any"),100,IF(Brand_Profile!$F$18="Female",MIN(100,ROUND(KOL_Database!$AB$34/Lookup_Lists!$D$143*100,0)),IF(Brand_Profile!$F$18="Male",MIN(100,ROUND(KOL_Database!$AC$34/Lookup_Lists!$D$143*100,0)),MAX(0,ROUND(100-ABS(KOL_Database!$AB$34-50)*2,0)))))</f>
        <v>42</v>
      </c>
      <c r="Q95" s="142">
        <f>ROUND((IF(Brand_Profile!$F$19="",100,IF(KOL_Database!$AD$34=Brand_Profile!$F$19,100,Lookup_Lists!$D$151))*Lookup_Lists!$D$118+IF(OR(Brand_Profile!$F$20="",Brand_Profile!$F$20="Nasional"),100,IF(KOL_Database!$AE$34="",Lookup_Lists!$D$150,IF(KOL_Database!$AE$34=Brand_Profile!$F$20,100,IF(KOL_Database!$AD$34=Brand_Profile!$F$19,40,Lookup_Lists!$D$151))))*Lookup_Lists!$D$119+IF(OR(Brand_Profile!$F$21="",Brand_Profile!$F$21="Nasional"),100,IF(KOL_Database!$AF$34="",Lookup_Lists!$D$150,IF(KOL_Database!$AF$34=Brand_Profile!$F$21,100,IF(KOL_Database!$AE$34=Brand_Profile!$F$20,60,Lookup_Lists!$D$151))))*Lookup_Lists!$D$120)/(Lookup_Lists!$D$118+Lookup_Lists!$D$119+Lookup_Lists!$D$120),0)</f>
        <v>100</v>
      </c>
      <c r="R95" s="142">
        <f>IF(Brand_Profile!$F$68=0,Lookup_Lists!$D$150,ROUND((IF(Brand_Profile!$F$63="",0,IF(ISNUMBER(SEARCH(Brand_Profile!$F$63,KOL_Database!$AG$34)),1,0))+IF(Brand_Profile!$F$64="",0,IF(ISNUMBER(SEARCH(Brand_Profile!$F$64,KOL_Database!$AG$34)),1,0))+IF(Brand_Profile!$F$65="",0,IF(ISNUMBER(SEARCH(Brand_Profile!$F$65,KOL_Database!$AG$34)),1,0))+IF(Brand_Profile!$F$66="",0,IF(ISNUMBER(SEARCH(Brand_Profile!$F$66,KOL_Database!$AG$34)),1,0))+IF(Brand_Profile!$F$67="",0,IF(ISNUMBER(SEARCH(Brand_Profile!$F$67,KOL_Database!$AG$34)),1,0)))/Brand_Profile!$F$68*100,0))</f>
        <v>0</v>
      </c>
      <c r="S95" s="142">
        <f ca="1">ROUND((Matching_Engine!$O$95*Brand_Profile!$F$96+Matching_Engine!$P$95*Brand_Profile!$F$97+Matching_Engine!$Q$95*Brand_Profile!$F$98+Matching_Engine!$R$95*Brand_Profile!$F$99)/MAX(1,Brand_Profile!$F$96+Brand_Profile!$F$97+Brand_Profile!$F$98+Brand_Profile!$F$99),0)</f>
        <v>68</v>
      </c>
      <c r="T95" s="142">
        <f>IF(Brand_Profile!$F$33="",Lookup_Lists!$D$150,Matching_Engine!$BD$95)</f>
        <v>20</v>
      </c>
      <c r="U95" s="142">
        <f>IF(Brand_Profile!$F$34="",Lookup_Lists!$D$150,IF(Brand_Profile!$F$34=KOL_Database!$F$34,100,IF(Matching_Engine!$BE$95=KOL_Database!$E$34,75,IF(Matching_Engine!$BD$95&gt;=80,Lookup_Lists!$D$150,IF(Matching_Engine!$BD$95&gt;=60,35,Lookup_Lists!$D$151)))))</f>
        <v>20</v>
      </c>
      <c r="V95" s="142">
        <f>IF(Brand_Profile!$F$86=0,Lookup_Lists!$D$150,ROUND((IF(Brand_Profile!$F$81="",0,IF(ISNUMBER(SEARCH(Brand_Profile!$F$81,Matching_Engine!$BG$95)),1,0))+IF(Brand_Profile!$F$82="",0,IF(ISNUMBER(SEARCH(Brand_Profile!$F$82,Matching_Engine!$BG$95)),1,0))+IF(Brand_Profile!$F$83="",0,IF(ISNUMBER(SEARCH(Brand_Profile!$F$83,Matching_Engine!$BG$95)),1,0))+IF(Brand_Profile!$F$84="",0,IF(ISNUMBER(SEARCH(Brand_Profile!$F$84,Matching_Engine!$BG$95)),1,0))+IF(Brand_Profile!$F$85="",0,IF(ISNUMBER(SEARCH(Brand_Profile!$F$85,Matching_Engine!$BG$95)),1,0)))/Brand_Profile!$F$86*100,0))</f>
        <v>0</v>
      </c>
      <c r="W95" s="142">
        <f>IF(Brand_Profile!$F$39="",Lookup_Lists!$D$150,IFERROR(INDEX(Lookup_Lists!$B$237:$K$246,MATCH(Brand_Profile!$F$39,Lookup_Lists!$A$237:$A$246,0),MATCH(KOL_Database!$AJ$34,Lookup_Lists!$B$236:$K$236,0)),45))</f>
        <v>45</v>
      </c>
      <c r="X95" s="142">
        <f>ROUND((Matching_Engine!$T$95*Lookup_Lists!$D$121+Matching_Engine!$U$95*Lookup_Lists!$D$122+Matching_Engine!$V$95*Lookup_Lists!$D$123+Matching_Engine!$W$95*Lookup_Lists!$D$124)/(Lookup_Lists!$D$121+Lookup_Lists!$D$122+Lookup_Lists!$D$123+Lookup_Lists!$D$124),0)</f>
        <v>19</v>
      </c>
      <c r="Y95" s="142">
        <f>MIN(100,MAX(IFERROR(INDEX(Lookup_Lists!$B$202:$M$211,MATCH(Brand_Profile!$F$25,Lookup_Lists!$A$202:$A$211,0),MATCH(KOL_Database!$AK$34,Lookup_Lists!$B$201:$M$201,0)),40),IF(KOL_Database!$AK$34=Brand_Profile!$F$41,95,0)))</f>
        <v>45</v>
      </c>
      <c r="Z95" s="142">
        <f>IFERROR(INDEX(Lookup_Lists!$B$215:$K$222,MATCH(Brand_Profile!$F$27,Lookup_Lists!$A$215:$A$222,0),MATCH(KOL_Database!$AJ$34,Lookup_Lists!$B$214:$K$214,0)),45)</f>
        <v>75</v>
      </c>
      <c r="AA95" s="142">
        <f>ROUND((IF(Brand_Profile!$F$80=0,Lookup_Lists!$D$150,ROUND((IF(Brand_Profile!$F$75="",0,IF(ISNUMBER(SEARCH(Brand_Profile!$F$75,KOL_Database!$AL$34)),1,0))+IF(Brand_Profile!$F$76="",0,IF(ISNUMBER(SEARCH(Brand_Profile!$F$76,KOL_Database!$AL$34)),1,0))+IF(Brand_Profile!$F$77="",0,IF(ISNUMBER(SEARCH(Brand_Profile!$F$77,KOL_Database!$AL$34)),1,0))+IF(Brand_Profile!$F$78="",0,IF(ISNUMBER(SEARCH(Brand_Profile!$F$78,KOL_Database!$AL$34)),1,0))+IF(Brand_Profile!$F$79="",0,IF(ISNUMBER(SEARCH(Brand_Profile!$F$79,KOL_Database!$AL$34)),1,0)))/Brand_Profile!$F$80*100,0))+IF(Brand_Profile!$F$92=0,Lookup_Lists!$D$150,ROUND((IF(Brand_Profile!$F$87="",0,IF(ISNUMBER(SEARCH(Brand_Profile!$F$87,KOL_Database!$AL$34)),1,0))+IF(Brand_Profile!$F$88="",0,IF(ISNUMBER(SEARCH(Brand_Profile!$F$88,KOL_Database!$AL$34)),1,0))+IF(Brand_Profile!$F$89="",0,IF(ISNUMBER(SEARCH(Brand_Profile!$F$89,KOL_Database!$AL$34)),1,0))+IF(Brand_Profile!$F$90="",0,IF(ISNUMBER(SEARCH(Brand_Profile!$F$90,KOL_Database!$AL$34)),1,0))+IF(Brand_Profile!$F$91="",0,IF(ISNUMBER(SEARCH(Brand_Profile!$F$91,KOL_Database!$AL$34)),1,0)))/Brand_Profile!$F$92*100,0)))/2,0)</f>
        <v>0</v>
      </c>
      <c r="AB95" s="142">
        <f>IFERROR(INDEX(Lookup_Lists!$B$226:$K$233,MATCH(Brand_Profile!$F$30,Lookup_Lists!$A$226:$A$233,0),MATCH(KOL_Database!$AJ$34,Lookup_Lists!$B$225:$K$225,0)),45)</f>
        <v>75</v>
      </c>
      <c r="AC95" s="142">
        <f>ROUND((Matching_Engine!$Y$95*Lookup_Lists!$D$125+Matching_Engine!$Z$95*Lookup_Lists!$D$126+Matching_Engine!$AA$95*Lookup_Lists!$D$127+Matching_Engine!$AB$95*Lookup_Lists!$D$128)/(Lookup_Lists!$D$125+Lookup_Lists!$D$126+Lookup_Lists!$D$127+Lookup_Lists!$D$128),0)</f>
        <v>46</v>
      </c>
      <c r="AD95" s="142">
        <f>IF(KOL_Database!$K$34="",0,MIN(100,ROUND(KOL_Database!$K$34/Lookup_Lists!$D$141*100,0)))</f>
        <v>43</v>
      </c>
      <c r="AE95" s="142">
        <f>IF(KOL_Database!$R$34="",0,MIN(100,MAX(0,KOL_Database!$R$34)))</f>
        <v>66</v>
      </c>
      <c r="AF95" s="142">
        <f>IF(KOL_Database!$P$34="",0,MIN(100,MAX(0,KOL_Database!$P$34)))</f>
        <v>53</v>
      </c>
      <c r="AG95" s="142">
        <f>IF(KOL_Database!$Q$34="",0,MIN(100,MAX(0,KOL_Database!$Q$34)))</f>
        <v>88</v>
      </c>
      <c r="AH95" s="142">
        <f>IF(OR(KOL_Database!$J$34="",KOL_Database!$J$34=0,KOL_Database!$L$34=""),0,MIN(100,ROUND(KOL_Database!$L$34/KOL_Database!$J$34/Lookup_Lists!$D$144*100,0)))</f>
        <v>47</v>
      </c>
      <c r="AI95" s="142">
        <f>IF(KOL_Database!$N$34="",0,MIN(100,MAX(0,ROUND((KOL_Database!$N$34+2)/(Lookup_Lists!$D$145+2)*100,0))))</f>
        <v>41</v>
      </c>
      <c r="AJ95" s="142">
        <f>ROUND((Matching_Engine!$AD$95*Lookup_Lists!$D$129+Matching_Engine!$AE$95*Lookup_Lists!$D$130+Matching_Engine!$AF$95*Lookup_Lists!$D$131+Matching_Engine!$AG$95*Lookup_Lists!$D$132+Matching_Engine!$AH$95*Lookup_Lists!$D$133+Matching_Engine!$AI$95*Lookup_Lists!$D$134)/(Lookup_Lists!$D$129+Lookup_Lists!$D$130+Lookup_Lists!$D$131+Lookup_Lists!$D$132+Lookup_Lists!$D$133+Lookup_Lists!$D$134),0)</f>
        <v>54</v>
      </c>
      <c r="AK95" s="142">
        <f>IF(KOL_Database!$AT$34="",0,MIN(100,MAX(0,KOL_Database!$AT$34)))</f>
        <v>75</v>
      </c>
      <c r="AL95" s="142">
        <f>IF(KOL_Database!$AU$34="",0,KOL_Database!$AU$34)</f>
        <v>21</v>
      </c>
      <c r="AM95" s="89" t="str">
        <f>IF(KOL_Database!$AV$34="","None",KOL_Database!$AV$34)</f>
        <v>Low</v>
      </c>
      <c r="AN95" s="143">
        <f>IF(Matching_Engine!$AM$95="High",Lookup_Lists!$D$137,IF(Matching_Engine!$AM$95="Medium",Lookup_Lists!$D$138,IF(Matching_Engine!$AM$95="Low",Lookup_Lists!$D$139,Lookup_Lists!$D$140)))</f>
        <v>0.95</v>
      </c>
      <c r="AO95" s="142">
        <f>ROUND(MIN(100,MAX(0,(Matching_Engine!$AK$95*Lookup_Lists!$D$135+(100-Matching_Engine!$AL$95)*Lookup_Lists!$D$136)/(Lookup_Lists!$D$135+Lookup_Lists!$D$136)*Matching_Engine!$AN$95)),0)</f>
        <v>72</v>
      </c>
      <c r="AP95" s="13">
        <f ca="1">ROUND((Matching_Engine!$N$95*Lookup_Lists!$D$104+Matching_Engine!$S$95*Lookup_Lists!$D$105+Matching_Engine!$X$95*Lookup_Lists!$D$106+Matching_Engine!$AC$95*Lookup_Lists!$D$107+Matching_Engine!$AJ$95*Lookup_Lists!$D$108+Matching_Engine!$AO$95*Lookup_Lists!$D$109)/MAX(1,(Lookup_Lists!$D$104+Lookup_Lists!$D$105+Lookup_Lists!$D$106+Lookup_Lists!$D$107+Lookup_Lists!$D$108+Lookup_Lists!$D$109)),0)</f>
        <v>44</v>
      </c>
      <c r="AQ95" s="89" t="str">
        <f ca="1">IF(Matching_Engine!$AP$95&gt;=Lookup_Lists!$D$152,"Excellent Match",IF(Matching_Engine!$AP$95&gt;=Lookup_Lists!$D$153,"Strong Match",IF(Matching_Engine!$AP$95&gt;=Lookup_Lists!$D$154,"Good Match",IF(Matching_Engine!$AP$95&gt;=Lookup_Lists!$D$155,"Moderate Match","Low Match"))))</f>
        <v>Low Match</v>
      </c>
      <c r="AR95" s="142">
        <f>KOL_Database!$BE$34</f>
        <v>92</v>
      </c>
      <c r="AS95" s="89" t="str">
        <f>IF(Matching_Engine!$AR$95&gt;=Lookup_Lists!$D$159,"High",IF(Matching_Engine!$AR$95&gt;=Lookup_Lists!$D$160,"Medium","Limited Data"))</f>
        <v>Medium</v>
      </c>
      <c r="AT95" s="142">
        <f>ROUND((Matching_Engine!$N$95+Matching_Engine!$X$95+Matching_Engine!$AC$95)/3,0)</f>
        <v>26</v>
      </c>
      <c r="AU95" s="142">
        <f>ROUND(((100-Matching_Engine!$AL$95)*Lookup_Lists!$D$162+IF(KOL_Database!$BD$34="",Lookup_Lists!$D$150,KOL_Database!$BD$34)*Lookup_Lists!$D$163+Matching_Engine!$AI$95*Lookup_Lists!$D$164+Matching_Engine!$AD$95*Lookup_Lists!$D$165)/(Lookup_Lists!$D$162+Lookup_Lists!$D$163+Lookup_Lists!$D$164+Lookup_Lists!$D$165),0)</f>
        <v>49</v>
      </c>
      <c r="AV95" s="89" t="str">
        <f ca="1">IF(Matching_Engine!$AW$95="","PASS","EXCLUDED")</f>
        <v>EXCLUDED</v>
      </c>
      <c r="AW95" s="89" t="str">
        <f ca="1">IF(ISERROR(SEARCH(KOL_Database!$D$34,Brand_Profile!$F$32)),"Platform not in Preferred Platform",IF(AND(Brand_Profile!$F$36&gt;0,KOL_Database!$J$34&lt;Brand_Profile!$F$36),"Followers below Preferred Follower Range",IF(AND(Brand_Profile!$F$37&gt;0,KOL_Database!$J$34&gt;Brand_Profile!$F$37),"Followers above Preferred Follower Range",IF(AND(Brand_Profile!$F$38&gt;0,IF(KOL_Database!$K$34="",0,KOL_Database!$K$34)&lt;Brand_Profile!$F$38),"Engagement Rate below Minimum Engagement Rate",IF(ISERROR(SEARCH(KOL_Database!$G$34,Brand_Profile!$F$35)),"Tier not in Preferred Tier",IF(AND(Brand_Profile!$F$43&gt;0,Matching_Engine!$AE$95&lt;Brand_Profile!$F$43),"Audience Quality below Minimum Audience Quality",IF(AND(Brand_Profile!$F$44&gt;0,Matching_Engine!$AK$95&lt;Brand_Profile!$F$44),"Brand Safety below Minimum Brand Safety",IF(AND(Brand_Profile!$F$47="Yes",KOL_Database!$AD$34&lt;&gt;Brand_Profile!$F$19),"Audience Country does not match Target Country",IF(AND(Brand_Profile!$F$46="Yes",KOL_Database!$E$34&lt;&gt;Brand_Profile!$F$33),"Category is not the Preferred Category",IF(AND(Brand_Profile!$F$48&gt;0,Matching_Engine!$AL$95&gt;Brand_Profile!$F$48),"Competitor Saturation above Max Competitor Saturation",IF(AND(Brand_Profile!$F$50="Yes",KOL_Database!$AW$34="Yes"),"Already Selected",IF(AND(Brand_Profile!$F$51="Yes",KOL_Database!$AX$34="Yes"),"Already in Cart",IF(AND(Brand_Profile!$F$52="Yes",KOL_Database!$AY$34="Yes"),"Existing Partner",IF(AND(Brand_Profile!$F$53="Yes",KOL_Database!$AZ$34="Yes"),"Excluded Creator",IF(AND(Brand_Profile!$F$49&gt;0,Matching_Engine!$AP$95&lt;Brand_Profile!$F$49),"Brand Match below Minimum Brand Match","")))))))))))))))</f>
        <v>Engagement Rate below Minimum Engagement Rate</v>
      </c>
      <c r="AX95" s="89" t="str">
        <f ca="1">IF(Matching_Engine!$AV$95="EXCLUDED","Excluded",IF(Matching_Engine!$AP$95&gt;=Lookup_Lists!$D$156,"Highly Recommended",IF(Matching_Engine!$AP$95&gt;=Lookup_Lists!$D$157,"Recommended",IF(Matching_Engine!$AP$95&gt;=Lookup_Lists!$D$158,"Consider","Low Priority"))))</f>
        <v>Excluded</v>
      </c>
      <c r="AY95" s="142" t="str">
        <f ca="1">IF(Matching_Engine!$AV$95="PASS",Matching_Engine!$AP$95,"")</f>
        <v/>
      </c>
      <c r="AZ95" s="89" t="str">
        <f>Matching_Engine!$A$95&amp;"|"&amp;Matching_Engine!$C$95</f>
        <v>BRAND-C|KOL-30</v>
      </c>
      <c r="BA95" s="89" t="str">
        <f>IFERROR(INDEX(Lookup_Lists!$B$51:$B$92,MATCH(Brand_Profile!$F$12,Lookup_Lists!$A$51:$A$92,0)),"")</f>
        <v>Food</v>
      </c>
      <c r="BB95" s="89" t="str">
        <f>IFERROR(INDEX(Lookup_Lists!$B$51:$B$92,MATCH(KOL_Database!$F$34,Lookup_Lists!$A$51:$A$92,0)),"")</f>
        <v>Finance</v>
      </c>
      <c r="BC95" s="142">
        <f>IFERROR(INDEX(Lookup_Lists!$B$185:$O$198,MATCH(Matching_Engine!$BA$95,Lookup_Lists!$A$185:$A$198,0),MATCH(KOL_Database!$E$34,Lookup_Lists!$B$184:$O$184,0)),Lookup_Lists!$D$151)</f>
        <v>20</v>
      </c>
      <c r="BD95" s="142">
        <f>IFERROR(INDEX(Lookup_Lists!$B$185:$O$198,MATCH(Brand_Profile!$F$33,Lookup_Lists!$A$185:$A$198,0),MATCH(KOL_Database!$E$34,Lookup_Lists!$B$184:$O$184,0)),Lookup_Lists!$D$151)</f>
        <v>20</v>
      </c>
      <c r="BE95" s="89" t="str">
        <f>IFERROR(INDEX(Lookup_Lists!$B$51:$B$92,MATCH(Brand_Profile!$F$34,Lookup_Lists!$A$51:$A$92,0)),"")</f>
        <v>Food</v>
      </c>
      <c r="BF95" s="89" t="str">
        <f>KOL_Database!$AI$34&amp;", "&amp;KOL_Database!$AG$34&amp;", "&amp;KOL_Database!$F$34&amp;", "&amp;KOL_Database!$E$34</f>
        <v>Business, Finance, Education, Business, Finance, Education, Technology, Productivity, Business, Finance</v>
      </c>
      <c r="BG95" s="89" t="str">
        <f>KOL_Database!$AI$34&amp;", "&amp;KOL_Database!$AG$34</f>
        <v>Business, Finance, Education, Business, Finance, Education, Technology, Productivity</v>
      </c>
    </row>
  </sheetData>
  <autoFilter xmlns:etc="http://www.wps.cn/officeDocument/2017/etCustomData" ref="A5:BG95" etc:filterBottomFollowUsedRange="0">
    <extLst/>
  </autoFilter>
  <mergeCells count="11">
    <mergeCell ref="A1:BG1"/>
    <mergeCell ref="A2:BG2"/>
    <mergeCell ref="A4:J4"/>
    <mergeCell ref="K4:N4"/>
    <mergeCell ref="O4:S4"/>
    <mergeCell ref="T4:X4"/>
    <mergeCell ref="Y4:AC4"/>
    <mergeCell ref="AD4:AJ4"/>
    <mergeCell ref="AK4:AO4"/>
    <mergeCell ref="AP4:AZ4"/>
    <mergeCell ref="BA4:BG4"/>
  </mergeCells>
  <conditionalFormatting sqref="AM6:AM95">
    <cfRule type="containsText" dxfId="0" priority="7" operator="between" text="High">
      <formula>NOT(ISERROR(SEARCH("High",AM6)))</formula>
    </cfRule>
    <cfRule type="containsText" dxfId="4" priority="7" operator="between" text="Medium">
      <formula>NOT(ISERROR(SEARCH("Medium",AM6)))</formula>
    </cfRule>
  </conditionalFormatting>
  <conditionalFormatting sqref="AP6:AP95">
    <cfRule type="colorScale" priority="1">
      <colorScale>
        <cfvo type="num" val="40"/>
        <cfvo type="num" val="70"/>
        <cfvo type="num" val="95"/>
        <color rgb="FFF8696B"/>
        <color rgb="FFFFEB84"/>
        <color rgb="FF63BE7B"/>
      </colorScale>
    </cfRule>
  </conditionalFormatting>
  <conditionalFormatting sqref="AQ6:AQ95">
    <cfRule type="containsText" dxfId="5" priority="2" operator="between" text="Excellent">
      <formula>NOT(ISERROR(SEARCH("Excellent",AQ6)))</formula>
    </cfRule>
    <cfRule type="containsText" dxfId="6" priority="2" operator="between" text="Strong">
      <formula>NOT(ISERROR(SEARCH("Strong",AQ6)))</formula>
    </cfRule>
    <cfRule type="containsText" dxfId="7" priority="3" operator="between" text="Good">
      <formula>NOT(ISERROR(SEARCH("Good",AQ6)))</formula>
    </cfRule>
    <cfRule type="containsText" dxfId="4" priority="4" operator="between" text="Moderate">
      <formula>NOT(ISERROR(SEARCH("Moderate",AQ6)))</formula>
    </cfRule>
    <cfRule type="containsText" dxfId="0" priority="5" operator="between" text="Low">
      <formula>NOT(ISERROR(SEARCH("Low",AQ6)))</formula>
    </cfRule>
  </conditionalFormatting>
  <conditionalFormatting sqref="AS6:AS95">
    <cfRule type="containsText" dxfId="0" priority="8" operator="between" text="Limited">
      <formula>NOT(ISERROR(SEARCH("Limited",AS6)))</formula>
    </cfRule>
    <cfRule type="containsText" dxfId="4" priority="8" operator="between" text="Medium">
      <formula>NOT(ISERROR(SEARCH("Medium",AS6)))</formula>
    </cfRule>
  </conditionalFormatting>
  <conditionalFormatting sqref="AV6:AV95">
    <cfRule type="containsText" dxfId="0" priority="6" operator="between" text="EXCLUDED">
      <formula>NOT(ISERROR(SEARCH("EXCLUDED",AV6)))</formula>
    </cfRule>
    <cfRule type="containsText" dxfId="6" priority="6" operator="between" text="PASS">
      <formula>NOT(ISERROR(SEARCH("PASS",AV6)))</formula>
    </cfRule>
  </conditionalFormatting>
  <pageMargins left="0.7" right="0.7" top="0.75" bottom="0.75" header="0.3" footer="0.3"/>
  <pageSetup paperSize="1" orientation="portrait"/>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C34"/>
  <sheetViews>
    <sheetView workbookViewId="0">
      <pane xSplit="2" ySplit="4" topLeftCell="C5" activePane="bottomRight" state="frozen"/>
      <selection/>
      <selection pane="topRight"/>
      <selection pane="bottomLeft"/>
      <selection pane="bottomRight" activeCell="A1" sqref="A1:AC1"/>
    </sheetView>
  </sheetViews>
  <sheetFormatPr defaultColWidth="9" defaultRowHeight="15"/>
  <cols>
    <col min="1" max="6" width="16" customWidth="1"/>
    <col min="7" max="7" width="32" customWidth="1"/>
    <col min="8" max="8" width="16" customWidth="1"/>
    <col min="9" max="9" width="62" customWidth="1"/>
    <col min="10" max="17" width="32" customWidth="1"/>
    <col min="18" max="22" width="62" customWidth="1"/>
  </cols>
  <sheetData>
    <row r="1" ht="24" customHeight="1" spans="1:29">
      <c r="A1" s="38" t="s">
        <v>788</v>
      </c>
    </row>
    <row r="2" ht="30" customHeight="1" spans="1:29">
      <c r="A2" s="39" t="s">
        <v>789</v>
      </c>
    </row>
    <row r="4" ht="30" customHeight="1" spans="1:29">
      <c r="A4" s="88" t="s">
        <v>414</v>
      </c>
      <c r="B4" s="88" t="s">
        <v>415</v>
      </c>
      <c r="C4" s="88" t="s">
        <v>445</v>
      </c>
      <c r="D4" s="88" t="s">
        <v>390</v>
      </c>
      <c r="E4" s="88" t="s">
        <v>416</v>
      </c>
      <c r="F4" s="88" t="s">
        <v>772</v>
      </c>
      <c r="G4" s="88" t="s">
        <v>424</v>
      </c>
      <c r="H4" s="88" t="s">
        <v>773</v>
      </c>
      <c r="I4" s="88" t="s">
        <v>790</v>
      </c>
      <c r="J4" s="88" t="s">
        <v>791</v>
      </c>
      <c r="K4" s="88" t="s">
        <v>792</v>
      </c>
      <c r="L4" s="88" t="s">
        <v>793</v>
      </c>
      <c r="M4" s="88" t="s">
        <v>794</v>
      </c>
      <c r="N4" s="88" t="s">
        <v>795</v>
      </c>
      <c r="O4" s="88" t="s">
        <v>796</v>
      </c>
      <c r="P4" s="88" t="s">
        <v>797</v>
      </c>
      <c r="Q4" s="88" t="s">
        <v>778</v>
      </c>
      <c r="R4" s="88" t="s">
        <v>798</v>
      </c>
      <c r="S4" s="88" t="s">
        <v>799</v>
      </c>
      <c r="T4" s="88" t="s">
        <v>800</v>
      </c>
      <c r="U4" s="88" t="s">
        <v>801</v>
      </c>
      <c r="V4" s="88" t="s">
        <v>802</v>
      </c>
      <c r="W4" s="88" t="s">
        <v>803</v>
      </c>
      <c r="X4" s="88" t="s">
        <v>804</v>
      </c>
      <c r="Y4" s="88" t="s">
        <v>805</v>
      </c>
      <c r="Z4" s="88" t="s">
        <v>806</v>
      </c>
      <c r="AA4" s="88" t="s">
        <v>807</v>
      </c>
      <c r="AB4" s="88" t="s">
        <v>808</v>
      </c>
      <c r="AC4" s="88" t="s">
        <v>809</v>
      </c>
    </row>
    <row r="5" spans="1:29">
      <c r="A5" s="105" t="str">
        <f>KOL_Database!$A$5</f>
        <v>KOL-01</v>
      </c>
      <c r="B5" s="105" t="str">
        <f>KOL_Database!$B$5</f>
        <v>Ardi Nugraha</v>
      </c>
      <c r="C5" s="105" t="str">
        <f>KOL_Database!$C$5</f>
        <v>@ardidigital</v>
      </c>
      <c r="D5" s="105" t="str">
        <f>KOL_Database!$D$5</f>
        <v>Instagram</v>
      </c>
      <c r="E5" s="105" t="str">
        <f>KOL_Database!$E$5</f>
        <v>Tech</v>
      </c>
      <c r="F5" s="146">
        <f ca="1">INDEX(Matching_Engine!$AP$6:$AP$95,$W5,1)</f>
        <v>80</v>
      </c>
      <c r="G5" s="105" t="str">
        <f ca="1">INDEX(Matching_Engine!$AQ$6:$AQ$95,$W5,1)</f>
        <v>Strong Match</v>
      </c>
      <c r="H5" s="105" t="str">
        <f>INDEX(Matching_Engine!$AS$6:$AS$95,$W5,1)</f>
        <v>High</v>
      </c>
      <c r="I5" s="105" t="str">
        <f ca="1">"Strongest on "&amp;INDEX(Lookup_Lists!$AC$6:$AC$11,MATCH(LARGE($X5:$AC5,1),$X5:$AC5,0),1)&amp;" at "&amp;ROUND(LARGE($X5:$AC5,1),0)&amp;"/100. "&amp;"Audience overlap "&amp;INDEX(Matching_Engine!$S$6:$S$95,$W5,1)&amp;"/100 against the "&amp;Brand_Profile!$G$16&amp;" / "&amp;Brand_Profile!$G$17&amp;" target; "&amp;KOL_Database!$E$5&amp;" content against a "&amp;Brand_Profile!$G$10&amp;" brief. "&amp;"Final Brand Match "&amp;INDEX(Matching_Engine!$AP$6:$AP$95,$W5,1)&amp;"/100 ("&amp;INDEX(Matching_Engine!$AQ$6:$AQ$95,$W5,1)&amp;")."</f>
        <v>Strongest on Target Audience Relevance at 83/100. Audience overlap 83/100 against the 25-34 / 18-24 target; Tech content against a Technology / SaaS brief. Final Brand Match 80/100 (Strong Match).</v>
      </c>
      <c r="J5" s="105" t="str">
        <f ca="1">IFERROR(INDEX(Lookup_Lists!$AC$6:$AC$11,MATCH(LARGE($X5:$AC5,1),$X5:$AC5,0),1)&amp;" — "&amp;ROUND(LARGE($X5:$AC5,1),0)&amp;"/100","")</f>
        <v>Target Audience Relevance — 83/100</v>
      </c>
      <c r="K5" s="105" t="str">
        <f ca="1">IFERROR(INDEX(Lookup_Lists!$AC$6:$AC$11,MATCH(LARGE($X5:$AC5,2),$X5:$AC5,0),1)&amp;" — "&amp;ROUND(LARGE($X5:$AC5,2),0)&amp;"/100","")</f>
        <v>Brand Personality Fit — 83/100</v>
      </c>
      <c r="L5" s="105" t="str">
        <f ca="1">IFERROR(INDEX(Lookup_Lists!$AC$6:$AC$11,MATCH(LARGE($X5:$AC5,3),$X5:$AC5,0),1)&amp;" — "&amp;ROUND(LARGE($X5:$AC5,3),0)&amp;"/100","")</f>
        <v>Brand &amp; Business Relevance — 82/100</v>
      </c>
      <c r="M5" s="105" t="str">
        <f ca="1">IFERROR(IF(SMALL($X5:$AC5,1)&gt;=Lookup_Lists!$D$161,"No material gap — "&amp;INDEX(Lookup_Lists!$AC$6:$AC$11,MATCH(SMALL($X5:$AC5,1),$X5:$AC5,0),1)&amp;" at "&amp;ROUND(SMALL($X5:$AC5,1),0)&amp;"/100",INDEX(Lookup_Lists!$AC$6:$AC$11,MATCH(SMALL($X5:$AC5,1),$X5:$AC5,0),1)&amp;" only "&amp;ROUND(SMALL($X5:$AC5,1),0)&amp;"/100"),"")</f>
        <v>Performance Quality only 69/100</v>
      </c>
      <c r="N5" s="105" t="str">
        <f ca="1">IFERROR(IF(SMALL($X5:$AC5,2)&gt;=Lookup_Lists!$D$161,"No material gap — "&amp;INDEX(Lookup_Lists!$AC$6:$AC$11,MATCH(SMALL($X5:$AC5,2),$X5:$AC5,0),1)&amp;" at "&amp;ROUND(SMALL($X5:$AC5,2),0)&amp;"/100",INDEX(Lookup_Lists!$AC$6:$AC$11,MATCH(SMALL($X5:$AC5,2),$X5:$AC5,0),1)&amp;" only "&amp;ROUND(SMALL($X5:$AC5,2),0)&amp;"/100"),"")</f>
        <v>No material gap — Content &amp; Category Relevance at 79/100</v>
      </c>
      <c r="O5" s="105" t="str">
        <f ca="1">IFERROR(IF(SMALL($X5:$AC5,3)&gt;=Lookup_Lists!$D$161,"No material gap — "&amp;INDEX(Lookup_Lists!$AC$6:$AC$11,MATCH(SMALL($X5:$AC5,3),$X5:$AC5,0),1)&amp;" at "&amp;ROUND(SMALL($X5:$AC5,3),0)&amp;"/100",INDEX(Lookup_Lists!$AC$6:$AC$11,MATCH(SMALL($X5:$AC5,3),$X5:$AC5,0),1)&amp;" only "&amp;ROUND(SMALL($X5:$AC5,3),0)&amp;"/100"),"")</f>
        <v>No material gap — Brand Safety at 81/100</v>
      </c>
      <c r="P5" s="105" t="str">
        <f>IF(INDEX(Matching_Engine!$AM$6:$AM$95,$W5,1)="None","No risk flag — competitor saturation "&amp;INDEX(Matching_Engine!$AL$6:$AL$95,$W5,1)&amp;"/100",INDEX(Matching_Engine!$AM$6:$AM$95,$W5,1)&amp;" risk flag — competitor saturation "&amp;INDEX(Matching_Engine!$AL$6:$AL$95,$W5,1)&amp;"/100")</f>
        <v>No risk flag — competitor saturation 56/100</v>
      </c>
      <c r="Q5" s="105" t="str">
        <f ca="1">INDEX(Matching_Engine!$AX$6:$AX$95,$W5,1)</f>
        <v>Recommended</v>
      </c>
      <c r="R5" s="105" t="str">
        <f>"Industry "&amp;INDEX(Matching_Engine!$K$6:$K$95,$W5,1)&amp;"/100, category "&amp;INDEX(Matching_Engine!$L$6:$L$95,$W5,1)&amp;"/100, keywords "&amp;INDEX(Matching_Engine!$M$6:$M$95,$W5,1)&amp;"/100 — a "&amp;Brand_Profile!$G$10&amp;" brief against a "&amp;KOL_Database!$E$5&amp;" / "&amp;KOL_Database!$F$5&amp;" creator."</f>
        <v>Industry 100/100, category 80/100, keywords 60/100 — a Technology / SaaS brief against a Tech / Gadget Review creator.</v>
      </c>
      <c r="S5" s="105" t="str">
        <f ca="1">"Age "&amp;INDEX(Matching_Engine!$O$6:$O$95,$W5,1)&amp;"/100, gender "&amp;INDEX(Matching_Engine!$P$6:$P$95,$W5,1)&amp;"/100, location "&amp;INDEX(Matching_Engine!$Q$6:$Q$95,$W5,1)&amp;"/100, interests "&amp;INDEX(Matching_Engine!$R$6:$R$95,$W5,1)&amp;"/100. Weighted with priority on "&amp;Brand_Profile!$G$23&amp;"."</f>
        <v>Age 100/100, gender 100/100, location 100/100, interests 60/100. Weighted with priority on Interest.</v>
      </c>
      <c r="T5" s="105" t="str">
        <f>"Category "&amp;INDEX(Matching_Engine!$T$6:$T$95,$W5,1)&amp;"/100, sub category "&amp;INDEX(Matching_Engine!$U$6:$U$95,$W5,1)&amp;"/100, topics "&amp;INDEX(Matching_Engine!$V$6:$V$95,$W5,1)&amp;"/100, style "&amp;INDEX(Matching_Engine!$W$6:$W$95,$W5,1)&amp;"/100 — brief wants "&amp;Brand_Profile!$G$39&amp;", creator delivers "&amp;KOL_Database!$AJ$5&amp;"."</f>
        <v>Category 100/100, sub category 75/100, topics 60/100, style 80/100 — brief wants Educational, creator delivers Review.</v>
      </c>
      <c r="U5" s="105" t="str">
        <f>"Personality "&amp;INDEX(Matching_Engine!$Y$6:$Y$95,$W5,1)&amp;"/100, tone vs style "&amp;INDEX(Matching_Engine!$Z$6:$Z$95,$W5,1)&amp;"/100, values "&amp;INDEX(Matching_Engine!$AA$6:$AA$95,$W5,1)&amp;"/100, communication "&amp;INDEX(Matching_Engine!$AB$6:$AB$95,$W5,1)&amp;"/100 — a "&amp;Brand_Profile!$G$25&amp;" / "&amp;Brand_Profile!$G$28&amp;" brand against a "&amp;KOL_Database!$AK$5&amp;" creator."</f>
        <v>Personality 85/100, tone vs style 90/100, values 80/100, communication 70/100 — a Innovative / Mid-market brand against a Reviewer creator.</v>
      </c>
      <c r="V5" s="105" t="str">
        <f>IF(INDEX(Matching_Engine!$AM$6:$AM$95,$W5,1)="None","No risk flag. ",INDEX(Matching_Engine!$AM$6:$AM$95,$W5,1)&amp;" risk flag. ")&amp;"Brand Safety "&amp;INDEX(Matching_Engine!$AK$6:$AK$95,$W5,1)&amp;"/100, competitor saturation "&amp;INDEX(Matching_Engine!$AL$6:$AL$95,$W5,1)&amp;"/100"&amp;IF(INDEX(Matching_Engine!$AL$6:$AL$95,$W5,1)&gt;=70," — high, so treat it as a consideration rather than an automatic exclusion.",".")</f>
        <v>No risk flag. Brand Safety 90/100, competitor saturation 56/100.</v>
      </c>
      <c r="W5" s="105">
        <f>MATCH(Brand_Profile!$B$4&amp;"|"&amp;KOL_Database!$A$5,Matching_Engine!$AZ$6:$AZ$95,0)</f>
        <v>1</v>
      </c>
      <c r="X5" s="147">
        <f>INDEX(Matching_Engine!$N$6:$N$95,$W5,1)+0.006</f>
        <v>82.006</v>
      </c>
      <c r="Y5" s="147">
        <f ca="1">INDEX(Matching_Engine!$S$6:$S$95,$W5,1)+0.005</f>
        <v>83.005</v>
      </c>
      <c r="Z5" s="147">
        <f>INDEX(Matching_Engine!$X$6:$X$95,$W5,1)+0.004</f>
        <v>79.004</v>
      </c>
      <c r="AA5" s="147">
        <f>INDEX(Matching_Engine!$AC$6:$AC$95,$W5,1)+0.003</f>
        <v>83.003</v>
      </c>
      <c r="AB5" s="147">
        <f>INDEX(Matching_Engine!$AJ$6:$AJ$95,$W5,1)+0.002</f>
        <v>69.002</v>
      </c>
      <c r="AC5" s="147">
        <f>INDEX(Matching_Engine!$AO$6:$AO$95,$W5,1)+0.001</f>
        <v>81.001</v>
      </c>
    </row>
    <row r="6" spans="1:29">
      <c r="A6" s="105" t="str">
        <f>KOL_Database!$A$6</f>
        <v>KOL-02</v>
      </c>
      <c r="B6" s="105" t="str">
        <f>KOL_Database!$B$6</f>
        <v>Rifqi Pratama</v>
      </c>
      <c r="C6" s="105" t="str">
        <f>KOL_Database!$C$6</f>
        <v>@rifqi.codes</v>
      </c>
      <c r="D6" s="105" t="str">
        <f>KOL_Database!$D$6</f>
        <v>TikTok</v>
      </c>
      <c r="E6" s="105" t="str">
        <f>KOL_Database!$E$6</f>
        <v>Tech</v>
      </c>
      <c r="F6" s="146">
        <f ca="1">INDEX(Matching_Engine!$AP$6:$AP$95,$W6,1)</f>
        <v>93</v>
      </c>
      <c r="G6" s="105" t="str">
        <f ca="1">INDEX(Matching_Engine!$AQ$6:$AQ$95,$W6,1)</f>
        <v>Excellent Match</v>
      </c>
      <c r="H6" s="105" t="str">
        <f>INDEX(Matching_Engine!$AS$6:$AS$95,$W6,1)</f>
        <v>High</v>
      </c>
      <c r="I6" s="105" t="str">
        <f ca="1">"Strongest on "&amp;INDEX(Lookup_Lists!$AC$6:$AC$11,MATCH(LARGE($X6:$AC6,1),$X6:$AC6,0),1)&amp;" at "&amp;ROUND(LARGE($X6:$AC6,1),0)&amp;"/100. "&amp;"Audience overlap "&amp;INDEX(Matching_Engine!$S$6:$S$95,$W6,1)&amp;"/100 against the "&amp;Brand_Profile!$G$16&amp;" / "&amp;Brand_Profile!$G$17&amp;" target; "&amp;KOL_Database!$E$6&amp;" content against a "&amp;Brand_Profile!$G$10&amp;" brief. "&amp;"Final Brand Match "&amp;INDEX(Matching_Engine!$AP$6:$AP$95,$W6,1)&amp;"/100 ("&amp;INDEX(Matching_Engine!$AQ$6:$AQ$95,$W6,1)&amp;")."</f>
        <v>Strongest on Brand &amp; Business Relevance at 100/100. Audience overlap 91/100 against the 25-34 / 18-24 target; Tech content against a Technology / SaaS brief. Final Brand Match 93/100 (Excellent Match).</v>
      </c>
      <c r="J6" s="105" t="str">
        <f ca="1">IFERROR(INDEX(Lookup_Lists!$AC$6:$AC$11,MATCH(LARGE($X6:$AC6,1),$X6:$AC6,0),1)&amp;" — "&amp;ROUND(LARGE($X6:$AC6,1),0)&amp;"/100","")</f>
        <v>Brand &amp; Business Relevance — 100/100</v>
      </c>
      <c r="K6" s="105" t="str">
        <f ca="1">IFERROR(INDEX(Lookup_Lists!$AC$6:$AC$11,MATCH(LARGE($X6:$AC6,2),$X6:$AC6,0),1)&amp;" — "&amp;ROUND(LARGE($X6:$AC6,2),0)&amp;"/100","")</f>
        <v>Content &amp; Category Relevance — 100/100</v>
      </c>
      <c r="L6" s="105" t="str">
        <f ca="1">IFERROR(INDEX(Lookup_Lists!$AC$6:$AC$11,MATCH(LARGE($X6:$AC6,3),$X6:$AC6,0),1)&amp;" — "&amp;ROUND(LARGE($X6:$AC6,3),0)&amp;"/100","")</f>
        <v>Brand Personality Fit — 93/100</v>
      </c>
      <c r="M6" s="105" t="str">
        <f ca="1">IFERROR(IF(SMALL($X6:$AC6,1)&gt;=Lookup_Lists!$D$161,"No material gap — "&amp;INDEX(Lookup_Lists!$AC$6:$AC$11,MATCH(SMALL($X6:$AC6,1),$X6:$AC6,0),1)&amp;" at "&amp;ROUND(SMALL($X6:$AC6,1),0)&amp;"/100",INDEX(Lookup_Lists!$AC$6:$AC$11,MATCH(SMALL($X6:$AC6,1),$X6:$AC6,0),1)&amp;" only "&amp;ROUND(SMALL($X6:$AC6,1),0)&amp;"/100"),"")</f>
        <v>No material gap — Brand Safety at 78/100</v>
      </c>
      <c r="N6" s="105" t="str">
        <f ca="1">IFERROR(IF(SMALL($X6:$AC6,2)&gt;=Lookup_Lists!$D$161,"No material gap — "&amp;INDEX(Lookup_Lists!$AC$6:$AC$11,MATCH(SMALL($X6:$AC6,2),$X6:$AC6,0),1)&amp;" at "&amp;ROUND(SMALL($X6:$AC6,2),0)&amp;"/100",INDEX(Lookup_Lists!$AC$6:$AC$11,MATCH(SMALL($X6:$AC6,2),$X6:$AC6,0),1)&amp;" only "&amp;ROUND(SMALL($X6:$AC6,2),0)&amp;"/100"),"")</f>
        <v>No material gap — Performance Quality at 84/100</v>
      </c>
      <c r="O6" s="105" t="str">
        <f ca="1">IFERROR(IF(SMALL($X6:$AC6,3)&gt;=Lookup_Lists!$D$161,"No material gap — "&amp;INDEX(Lookup_Lists!$AC$6:$AC$11,MATCH(SMALL($X6:$AC6,3),$X6:$AC6,0),1)&amp;" at "&amp;ROUND(SMALL($X6:$AC6,3),0)&amp;"/100",INDEX(Lookup_Lists!$AC$6:$AC$11,MATCH(SMALL($X6:$AC6,3),$X6:$AC6,0),1)&amp;" only "&amp;ROUND(SMALL($X6:$AC6,3),0)&amp;"/100"),"")</f>
        <v>No material gap — Target Audience Relevance at 91/100</v>
      </c>
      <c r="P6" s="105" t="str">
        <f>IF(INDEX(Matching_Engine!$AM$6:$AM$95,$W6,1)="None","No risk flag — competitor saturation "&amp;INDEX(Matching_Engine!$AL$6:$AL$95,$W6,1)&amp;"/100",INDEX(Matching_Engine!$AM$6:$AM$95,$W6,1)&amp;" risk flag — competitor saturation "&amp;INDEX(Matching_Engine!$AL$6:$AL$95,$W6,1)&amp;"/100")</f>
        <v>No risk flag — competitor saturation 40/100</v>
      </c>
      <c r="Q6" s="105" t="str">
        <f ca="1">INDEX(Matching_Engine!$AX$6:$AX$95,$W6,1)</f>
        <v>Highly Recommended</v>
      </c>
      <c r="R6" s="105" t="str">
        <f>"Industry "&amp;INDEX(Matching_Engine!$K$6:$K$95,$W6,1)&amp;"/100, category "&amp;INDEX(Matching_Engine!$L$6:$L$95,$W6,1)&amp;"/100, keywords "&amp;INDEX(Matching_Engine!$M$6:$M$95,$W6,1)&amp;"/100 — a "&amp;Brand_Profile!$G$10&amp;" brief against a "&amp;KOL_Database!$E$6&amp;" / "&amp;KOL_Database!$F$6&amp;" creator."</f>
        <v>Industry 100/100, category 100/100, keywords 100/100 — a Technology / SaaS brief against a Tech / Software &amp; SaaS creator.</v>
      </c>
      <c r="S6" s="105" t="str">
        <f ca="1">"Age "&amp;INDEX(Matching_Engine!$O$6:$O$95,$W6,1)&amp;"/100, gender "&amp;INDEX(Matching_Engine!$P$6:$P$95,$W6,1)&amp;"/100, location "&amp;INDEX(Matching_Engine!$Q$6:$Q$95,$W6,1)&amp;"/100, interests "&amp;INDEX(Matching_Engine!$R$6:$R$95,$W6,1)&amp;"/100. Weighted with priority on "&amp;Brand_Profile!$G$23&amp;"."</f>
        <v>Age 100/100, gender 100/100, location 65/100, interests 100/100. Weighted with priority on Interest.</v>
      </c>
      <c r="T6" s="105" t="str">
        <f>"Category "&amp;INDEX(Matching_Engine!$T$6:$T$95,$W6,1)&amp;"/100, sub category "&amp;INDEX(Matching_Engine!$U$6:$U$95,$W6,1)&amp;"/100, topics "&amp;INDEX(Matching_Engine!$V$6:$V$95,$W6,1)&amp;"/100, style "&amp;INDEX(Matching_Engine!$W$6:$W$95,$W6,1)&amp;"/100 — brief wants "&amp;Brand_Profile!$G$39&amp;", creator delivers "&amp;KOL_Database!$AJ$6&amp;"."</f>
        <v>Category 100/100, sub category 100/100, topics 100/100, style 100/100 — brief wants Educational, creator delivers Educational.</v>
      </c>
      <c r="U6" s="105" t="str">
        <f>"Personality "&amp;INDEX(Matching_Engine!$Y$6:$Y$95,$W6,1)&amp;"/100, tone vs style "&amp;INDEX(Matching_Engine!$Z$6:$Z$95,$W6,1)&amp;"/100, values "&amp;INDEX(Matching_Engine!$AA$6:$AA$95,$W6,1)&amp;"/100, communication "&amp;INDEX(Matching_Engine!$AB$6:$AB$95,$W6,1)&amp;"/100 — a "&amp;Brand_Profile!$G$25&amp;" / "&amp;Brand_Profile!$G$28&amp;" brand against a "&amp;KOL_Database!$AK$6&amp;" creator."</f>
        <v>Personality 95/100, tone vs style 100/100, values 80/100, communication 100/100 — a Innovative / Mid-market brand against a Educational creator.</v>
      </c>
      <c r="V6" s="105" t="str">
        <f>IF(INDEX(Matching_Engine!$AM$6:$AM$95,$W6,1)="None","No risk flag. ",INDEX(Matching_Engine!$AM$6:$AM$95,$W6,1)&amp;" risk flag. ")&amp;"Brand Safety "&amp;INDEX(Matching_Engine!$AK$6:$AK$95,$W6,1)&amp;"/100, competitor saturation "&amp;INDEX(Matching_Engine!$AL$6:$AL$95,$W6,1)&amp;"/100"&amp;IF(INDEX(Matching_Engine!$AL$6:$AL$95,$W6,1)&gt;=70," — high, so treat it as a consideration rather than an automatic exclusion.",".")</f>
        <v>No risk flag. Brand Safety 82/100, competitor saturation 40/100.</v>
      </c>
      <c r="W6" s="105">
        <f>MATCH(Brand_Profile!$B$4&amp;"|"&amp;KOL_Database!$A$6,Matching_Engine!$AZ$6:$AZ$95,0)</f>
        <v>2</v>
      </c>
      <c r="X6" s="147">
        <f>INDEX(Matching_Engine!$N$6:$N$95,$W6,1)+0.006</f>
        <v>100.006</v>
      </c>
      <c r="Y6" s="147">
        <f ca="1">INDEX(Matching_Engine!$S$6:$S$95,$W6,1)+0.005</f>
        <v>91.005</v>
      </c>
      <c r="Z6" s="147">
        <f>INDEX(Matching_Engine!$X$6:$X$95,$W6,1)+0.004</f>
        <v>100.004</v>
      </c>
      <c r="AA6" s="147">
        <f>INDEX(Matching_Engine!$AC$6:$AC$95,$W6,1)+0.003</f>
        <v>93.003</v>
      </c>
      <c r="AB6" s="147">
        <f>INDEX(Matching_Engine!$AJ$6:$AJ$95,$W6,1)+0.002</f>
        <v>84.002</v>
      </c>
      <c r="AC6" s="147">
        <f>INDEX(Matching_Engine!$AO$6:$AO$95,$W6,1)+0.001</f>
        <v>78.001</v>
      </c>
    </row>
    <row r="7" spans="1:29">
      <c r="A7" s="105" t="str">
        <f>KOL_Database!$A$7</f>
        <v>KOL-03</v>
      </c>
      <c r="B7" s="105" t="str">
        <f>KOL_Database!$B$7</f>
        <v>Salsa Aulia</v>
      </c>
      <c r="C7" s="105" t="str">
        <f>KOL_Database!$C$7</f>
        <v>@salsabeautydiary</v>
      </c>
      <c r="D7" s="105" t="str">
        <f>KOL_Database!$D$7</f>
        <v>Instagram</v>
      </c>
      <c r="E7" s="105" t="str">
        <f>KOL_Database!$E$7</f>
        <v>Beauty</v>
      </c>
      <c r="F7" s="146">
        <f ca="1">INDEX(Matching_Engine!$AP$6:$AP$95,$W7,1)</f>
        <v>48</v>
      </c>
      <c r="G7" s="105" t="str">
        <f ca="1">INDEX(Matching_Engine!$AQ$6:$AQ$95,$W7,1)</f>
        <v>Low Match</v>
      </c>
      <c r="H7" s="105" t="str">
        <f>INDEX(Matching_Engine!$AS$6:$AS$95,$W7,1)</f>
        <v>High</v>
      </c>
      <c r="I7" s="105" t="str">
        <f ca="1">"Strongest on "&amp;INDEX(Lookup_Lists!$AC$6:$AC$11,MATCH(LARGE($X7:$AC7,1),$X7:$AC7,0),1)&amp;" at "&amp;ROUND(LARGE($X7:$AC7,1),0)&amp;"/100. "&amp;"Audience overlap "&amp;INDEX(Matching_Engine!$S$6:$S$95,$W7,1)&amp;"/100 against the "&amp;Brand_Profile!$G$16&amp;" / "&amp;Brand_Profile!$G$17&amp;" target; "&amp;KOL_Database!$E$7&amp;" content against a "&amp;Brand_Profile!$G$10&amp;" brief. "&amp;"Final Brand Match "&amp;INDEX(Matching_Engine!$AP$6:$AP$95,$W7,1)&amp;"/100 ("&amp;INDEX(Matching_Engine!$AQ$6:$AQ$95,$W7,1)&amp;")."</f>
        <v>Strongest on Brand Safety at 79/100. Audience overlap 58/100 against the 25-34 / 18-24 target; Beauty content against a Technology / SaaS brief. Final Brand Match 48/100 (Low Match).</v>
      </c>
      <c r="J7" s="105" t="str">
        <f ca="1">IFERROR(INDEX(Lookup_Lists!$AC$6:$AC$11,MATCH(LARGE($X7:$AC7,1),$X7:$AC7,0),1)&amp;" — "&amp;ROUND(LARGE($X7:$AC7,1),0)&amp;"/100","")</f>
        <v>Brand Safety — 79/100</v>
      </c>
      <c r="K7" s="105" t="str">
        <f ca="1">IFERROR(INDEX(Lookup_Lists!$AC$6:$AC$11,MATCH(LARGE($X7:$AC7,2),$X7:$AC7,0),1)&amp;" — "&amp;ROUND(LARGE($X7:$AC7,2),0)&amp;"/100","")</f>
        <v>Brand Personality Fit — 73/100</v>
      </c>
      <c r="L7" s="105" t="str">
        <f ca="1">IFERROR(INDEX(Lookup_Lists!$AC$6:$AC$11,MATCH(LARGE($X7:$AC7,3),$X7:$AC7,0),1)&amp;" — "&amp;ROUND(LARGE($X7:$AC7,3),0)&amp;"/100","")</f>
        <v>Performance Quality — 71/100</v>
      </c>
      <c r="M7" s="105" t="str">
        <f ca="1">IFERROR(IF(SMALL($X7:$AC7,1)&gt;=Lookup_Lists!$D$161,"No material gap — "&amp;INDEX(Lookup_Lists!$AC$6:$AC$11,MATCH(SMALL($X7:$AC7,1),$X7:$AC7,0),1)&amp;" at "&amp;ROUND(SMALL($X7:$AC7,1),0)&amp;"/100",INDEX(Lookup_Lists!$AC$6:$AC$11,MATCH(SMALL($X7:$AC7,1),$X7:$AC7,0),1)&amp;" only "&amp;ROUND(SMALL($X7:$AC7,1),0)&amp;"/100"),"")</f>
        <v>Brand &amp; Business Relevance only 14/100</v>
      </c>
      <c r="N7" s="105" t="str">
        <f ca="1">IFERROR(IF(SMALL($X7:$AC7,2)&gt;=Lookup_Lists!$D$161,"No material gap — "&amp;INDEX(Lookup_Lists!$AC$6:$AC$11,MATCH(SMALL($X7:$AC7,2),$X7:$AC7,0),1)&amp;" at "&amp;ROUND(SMALL($X7:$AC7,2),0)&amp;"/100",INDEX(Lookup_Lists!$AC$6:$AC$11,MATCH(SMALL($X7:$AC7,2),$X7:$AC7,0),1)&amp;" only "&amp;ROUND(SMALL($X7:$AC7,2),0)&amp;"/100"),"")</f>
        <v>Content &amp; Category Relevance only 26/100</v>
      </c>
      <c r="O7" s="105" t="str">
        <f ca="1">IFERROR(IF(SMALL($X7:$AC7,3)&gt;=Lookup_Lists!$D$161,"No material gap — "&amp;INDEX(Lookup_Lists!$AC$6:$AC$11,MATCH(SMALL($X7:$AC7,3),$X7:$AC7,0),1)&amp;" at "&amp;ROUND(SMALL($X7:$AC7,3),0)&amp;"/100",INDEX(Lookup_Lists!$AC$6:$AC$11,MATCH(SMALL($X7:$AC7,3),$X7:$AC7,0),1)&amp;" only "&amp;ROUND(SMALL($X7:$AC7,3),0)&amp;"/100"),"")</f>
        <v>Target Audience Relevance only 58/100</v>
      </c>
      <c r="P7" s="105" t="str">
        <f>IF(INDEX(Matching_Engine!$AM$6:$AM$95,$W7,1)="None","No risk flag — competitor saturation "&amp;INDEX(Matching_Engine!$AL$6:$AL$95,$W7,1)&amp;"/100",INDEX(Matching_Engine!$AM$6:$AM$95,$W7,1)&amp;" risk flag — competitor saturation "&amp;INDEX(Matching_Engine!$AL$6:$AL$95,$W7,1)&amp;"/100")</f>
        <v>No risk flag — competitor saturation 45/100</v>
      </c>
      <c r="Q7" s="105" t="str">
        <f ca="1">INDEX(Matching_Engine!$AX$6:$AX$95,$W7,1)</f>
        <v>Low Priority</v>
      </c>
      <c r="R7" s="105" t="str">
        <f>"Industry "&amp;INDEX(Matching_Engine!$K$6:$K$95,$W7,1)&amp;"/100, category "&amp;INDEX(Matching_Engine!$L$6:$L$95,$W7,1)&amp;"/100, keywords "&amp;INDEX(Matching_Engine!$M$6:$M$95,$W7,1)&amp;"/100 — a "&amp;Brand_Profile!$G$10&amp;" brief against a "&amp;KOL_Database!$E$7&amp;" / "&amp;KOL_Database!$F$7&amp;" creator."</f>
        <v>Industry 20/100, category 20/100, keywords 0/100 — a Technology / SaaS brief against a Beauty / Skincare creator.</v>
      </c>
      <c r="S7" s="105" t="str">
        <f ca="1">"Age "&amp;INDEX(Matching_Engine!$O$6:$O$95,$W7,1)&amp;"/100, gender "&amp;INDEX(Matching_Engine!$P$6:$P$95,$W7,1)&amp;"/100, location "&amp;INDEX(Matching_Engine!$Q$6:$Q$95,$W7,1)&amp;"/100, interests "&amp;INDEX(Matching_Engine!$R$6:$R$95,$W7,1)&amp;"/100. Weighted with priority on "&amp;Brand_Profile!$G$23&amp;"."</f>
        <v>Age 100/100, gender 100/100, location 100/100, interests 0/100. Weighted with priority on Interest.</v>
      </c>
      <c r="T7" s="105" t="str">
        <f>"Category "&amp;INDEX(Matching_Engine!$T$6:$T$95,$W7,1)&amp;"/100, sub category "&amp;INDEX(Matching_Engine!$U$6:$U$95,$W7,1)&amp;"/100, topics "&amp;INDEX(Matching_Engine!$V$6:$V$95,$W7,1)&amp;"/100, style "&amp;INDEX(Matching_Engine!$W$6:$W$95,$W7,1)&amp;"/100 — brief wants "&amp;Brand_Profile!$G$39&amp;", creator delivers "&amp;KOL_Database!$AJ$7&amp;"."</f>
        <v>Category 20/100, sub category 20/100, topics 0/100, style 80/100 — brief wants Educational, creator delivers Review.</v>
      </c>
      <c r="U7" s="105" t="str">
        <f>"Personality "&amp;INDEX(Matching_Engine!$Y$6:$Y$95,$W7,1)&amp;"/100, tone vs style "&amp;INDEX(Matching_Engine!$Z$6:$Z$95,$W7,1)&amp;"/100, values "&amp;INDEX(Matching_Engine!$AA$6:$AA$95,$W7,1)&amp;"/100, communication "&amp;INDEX(Matching_Engine!$AB$6:$AB$95,$W7,1)&amp;"/100 — a "&amp;Brand_Profile!$G$25&amp;" / "&amp;Brand_Profile!$G$28&amp;" brand against a "&amp;KOL_Database!$AK$7&amp;" creator."</f>
        <v>Personality 85/100, tone vs style 90/100, values 40/100, communication 70/100 — a Innovative / Mid-market brand against a Reviewer creator.</v>
      </c>
      <c r="V7" s="105" t="str">
        <f>IF(INDEX(Matching_Engine!$AM$6:$AM$95,$W7,1)="None","No risk flag. ",INDEX(Matching_Engine!$AM$6:$AM$95,$W7,1)&amp;" risk flag. ")&amp;"Brand Safety "&amp;INDEX(Matching_Engine!$AK$6:$AK$95,$W7,1)&amp;"/100, competitor saturation "&amp;INDEX(Matching_Engine!$AL$6:$AL$95,$W7,1)&amp;"/100"&amp;IF(INDEX(Matching_Engine!$AL$6:$AL$95,$W7,1)&gt;=70," — high, so treat it as a consideration rather than an automatic exclusion.",".")</f>
        <v>No risk flag. Brand Safety 85/100, competitor saturation 45/100.</v>
      </c>
      <c r="W7" s="105">
        <f>MATCH(Brand_Profile!$B$4&amp;"|"&amp;KOL_Database!$A$7,Matching_Engine!$AZ$6:$AZ$95,0)</f>
        <v>3</v>
      </c>
      <c r="X7" s="147">
        <f>INDEX(Matching_Engine!$N$6:$N$95,$W7,1)+0.006</f>
        <v>14.006</v>
      </c>
      <c r="Y7" s="147">
        <f ca="1">INDEX(Matching_Engine!$S$6:$S$95,$W7,1)+0.005</f>
        <v>58.005</v>
      </c>
      <c r="Z7" s="147">
        <f>INDEX(Matching_Engine!$X$6:$X$95,$W7,1)+0.004</f>
        <v>26.004</v>
      </c>
      <c r="AA7" s="147">
        <f>INDEX(Matching_Engine!$AC$6:$AC$95,$W7,1)+0.003</f>
        <v>73.003</v>
      </c>
      <c r="AB7" s="147">
        <f>INDEX(Matching_Engine!$AJ$6:$AJ$95,$W7,1)+0.002</f>
        <v>71.002</v>
      </c>
      <c r="AC7" s="147">
        <f>INDEX(Matching_Engine!$AO$6:$AO$95,$W7,1)+0.001</f>
        <v>79.001</v>
      </c>
    </row>
    <row r="8" spans="1:29">
      <c r="A8" s="105" t="str">
        <f>KOL_Database!$A$8</f>
        <v>KOL-04</v>
      </c>
      <c r="B8" s="105" t="str">
        <f>KOL_Database!$B$8</f>
        <v>Nadia Puspa</v>
      </c>
      <c r="C8" s="105" t="str">
        <f>KOL_Database!$C$8</f>
        <v>@nadiaglowup</v>
      </c>
      <c r="D8" s="105" t="str">
        <f>KOL_Database!$D$8</f>
        <v>TikTok</v>
      </c>
      <c r="E8" s="105" t="str">
        <f>KOL_Database!$E$8</f>
        <v>Beauty</v>
      </c>
      <c r="F8" s="146">
        <f ca="1">INDEX(Matching_Engine!$AP$6:$AP$95,$W8,1)</f>
        <v>46</v>
      </c>
      <c r="G8" s="105" t="str">
        <f ca="1">INDEX(Matching_Engine!$AQ$6:$AQ$95,$W8,1)</f>
        <v>Low Match</v>
      </c>
      <c r="H8" s="105" t="str">
        <f>INDEX(Matching_Engine!$AS$6:$AS$95,$W8,1)</f>
        <v>High</v>
      </c>
      <c r="I8" s="105" t="str">
        <f ca="1">"Strongest on "&amp;INDEX(Lookup_Lists!$AC$6:$AC$11,MATCH(LARGE($X8:$AC8,1),$X8:$AC8,0),1)&amp;" at "&amp;ROUND(LARGE($X8:$AC8,1),0)&amp;"/100. "&amp;"Audience overlap "&amp;INDEX(Matching_Engine!$S$6:$S$95,$W8,1)&amp;"/100 against the "&amp;Brand_Profile!$G$16&amp;" / "&amp;Brand_Profile!$G$17&amp;" target; "&amp;KOL_Database!$E$8&amp;" content against a "&amp;Brand_Profile!$G$10&amp;" brief. "&amp;"Final Brand Match "&amp;INDEX(Matching_Engine!$AP$6:$AP$95,$W8,1)&amp;"/100 ("&amp;INDEX(Matching_Engine!$AQ$6:$AQ$95,$W8,1)&amp;")."</f>
        <v>Strongest on Performance Quality at 91/100. Audience overlap 49/100 against the 25-34 / 18-24 target; Beauty content against a Technology / SaaS brief. Final Brand Match 46/100 (Low Match).</v>
      </c>
      <c r="J8" s="105" t="str">
        <f ca="1">IFERROR(INDEX(Lookup_Lists!$AC$6:$AC$11,MATCH(LARGE($X8:$AC8,1),$X8:$AC8,0),1)&amp;" — "&amp;ROUND(LARGE($X8:$AC8,1),0)&amp;"/100","")</f>
        <v>Performance Quality — 91/100</v>
      </c>
      <c r="K8" s="105" t="str">
        <f ca="1">IFERROR(INDEX(Lookup_Lists!$AC$6:$AC$11,MATCH(LARGE($X8:$AC8,2),$X8:$AC8,0),1)&amp;" — "&amp;ROUND(LARGE($X8:$AC8,2),0)&amp;"/100","")</f>
        <v>Brand Personality Fit — 81/100</v>
      </c>
      <c r="L8" s="105" t="str">
        <f ca="1">IFERROR(INDEX(Lookup_Lists!$AC$6:$AC$11,MATCH(LARGE($X8:$AC8,3),$X8:$AC8,0),1)&amp;" — "&amp;ROUND(LARGE($X8:$AC8,3),0)&amp;"/100","")</f>
        <v>Brand Safety — 64/100</v>
      </c>
      <c r="M8" s="105" t="str">
        <f ca="1">IFERROR(IF(SMALL($X8:$AC8,1)&gt;=Lookup_Lists!$D$161,"No material gap — "&amp;INDEX(Lookup_Lists!$AC$6:$AC$11,MATCH(SMALL($X8:$AC8,1),$X8:$AC8,0),1)&amp;" at "&amp;ROUND(SMALL($X8:$AC8,1),0)&amp;"/100",INDEX(Lookup_Lists!$AC$6:$AC$11,MATCH(SMALL($X8:$AC8,1),$X8:$AC8,0),1)&amp;" only "&amp;ROUND(SMALL($X8:$AC8,1),0)&amp;"/100"),"")</f>
        <v>Brand &amp; Business Relevance only 14/100</v>
      </c>
      <c r="N8" s="105" t="str">
        <f ca="1">IFERROR(IF(SMALL($X8:$AC8,2)&gt;=Lookup_Lists!$D$161,"No material gap — "&amp;INDEX(Lookup_Lists!$AC$6:$AC$11,MATCH(SMALL($X8:$AC8,2),$X8:$AC8,0),1)&amp;" at "&amp;ROUND(SMALL($X8:$AC8,2),0)&amp;"/100",INDEX(Lookup_Lists!$AC$6:$AC$11,MATCH(SMALL($X8:$AC8,2),$X8:$AC8,0),1)&amp;" only "&amp;ROUND(SMALL($X8:$AC8,2),0)&amp;"/100"),"")</f>
        <v>Content &amp; Category Relevance only 26/100</v>
      </c>
      <c r="O8" s="105" t="str">
        <f ca="1">IFERROR(IF(SMALL($X8:$AC8,3)&gt;=Lookup_Lists!$D$161,"No material gap — "&amp;INDEX(Lookup_Lists!$AC$6:$AC$11,MATCH(SMALL($X8:$AC8,3),$X8:$AC8,0),1)&amp;" at "&amp;ROUND(SMALL($X8:$AC8,3),0)&amp;"/100",INDEX(Lookup_Lists!$AC$6:$AC$11,MATCH(SMALL($X8:$AC8,3),$X8:$AC8,0),1)&amp;" only "&amp;ROUND(SMALL($X8:$AC8,3),0)&amp;"/100"),"")</f>
        <v>Target Audience Relevance only 49/100</v>
      </c>
      <c r="P8" s="105" t="str">
        <f>IF(INDEX(Matching_Engine!$AM$6:$AM$95,$W8,1)="None","No risk flag — competitor saturation "&amp;INDEX(Matching_Engine!$AL$6:$AL$95,$W8,1)&amp;"/100",INDEX(Matching_Engine!$AM$6:$AM$95,$W8,1)&amp;" risk flag — competitor saturation "&amp;INDEX(Matching_Engine!$AL$6:$AL$95,$W8,1)&amp;"/100")</f>
        <v>Medium risk flag — competitor saturation 78/100</v>
      </c>
      <c r="Q8" s="105" t="str">
        <f ca="1">INDEX(Matching_Engine!$AX$6:$AX$95,$W8,1)</f>
        <v>Low Priority</v>
      </c>
      <c r="R8" s="105" t="str">
        <f>"Industry "&amp;INDEX(Matching_Engine!$K$6:$K$95,$W8,1)&amp;"/100, category "&amp;INDEX(Matching_Engine!$L$6:$L$95,$W8,1)&amp;"/100, keywords "&amp;INDEX(Matching_Engine!$M$6:$M$95,$W8,1)&amp;"/100 — a "&amp;Brand_Profile!$G$10&amp;" brief against a "&amp;KOL_Database!$E$8&amp;" / "&amp;KOL_Database!$F$8&amp;" creator."</f>
        <v>Industry 20/100, category 20/100, keywords 0/100 — a Technology / SaaS brief against a Beauty / Makeup creator.</v>
      </c>
      <c r="S8" s="105" t="str">
        <f ca="1">"Age "&amp;INDEX(Matching_Engine!$O$6:$O$95,$W8,1)&amp;"/100, gender "&amp;INDEX(Matching_Engine!$P$6:$P$95,$W8,1)&amp;"/100, location "&amp;INDEX(Matching_Engine!$Q$6:$Q$95,$W8,1)&amp;"/100, interests "&amp;INDEX(Matching_Engine!$R$6:$R$95,$W8,1)&amp;"/100. Weighted with priority on "&amp;Brand_Profile!$G$23&amp;"."</f>
        <v>Age 100/100, gender 100/100, location 65/100, interests 0/100. Weighted with priority on Interest.</v>
      </c>
      <c r="T8" s="105" t="str">
        <f>"Category "&amp;INDEX(Matching_Engine!$T$6:$T$95,$W8,1)&amp;"/100, sub category "&amp;INDEX(Matching_Engine!$U$6:$U$95,$W8,1)&amp;"/100, topics "&amp;INDEX(Matching_Engine!$V$6:$V$95,$W8,1)&amp;"/100, style "&amp;INDEX(Matching_Engine!$W$6:$W$95,$W8,1)&amp;"/100 — brief wants "&amp;Brand_Profile!$G$39&amp;", creator delivers "&amp;KOL_Database!$AJ$8&amp;"."</f>
        <v>Category 20/100, sub category 20/100, topics 0/100, style 80/100 — brief wants Educational, creator delivers Tutorial.</v>
      </c>
      <c r="U8" s="105" t="str">
        <f>"Personality "&amp;INDEX(Matching_Engine!$Y$6:$Y$95,$W8,1)&amp;"/100, tone vs style "&amp;INDEX(Matching_Engine!$Z$6:$Z$95,$W8,1)&amp;"/100, values "&amp;INDEX(Matching_Engine!$AA$6:$AA$95,$W8,1)&amp;"/100, communication "&amp;INDEX(Matching_Engine!$AB$6:$AB$95,$W8,1)&amp;"/100 — a "&amp;Brand_Profile!$G$25&amp;" / "&amp;Brand_Profile!$G$28&amp;" brand against a "&amp;KOL_Database!$AK$8&amp;" creator."</f>
        <v>Personality 95/100, tone vs style 95/100, values 40/100, communication 95/100 — a Innovative / Mid-market brand against a Creative creator.</v>
      </c>
      <c r="V8" s="105" t="str">
        <f>IF(INDEX(Matching_Engine!$AM$6:$AM$95,$W8,1)="None","No risk flag. ",INDEX(Matching_Engine!$AM$6:$AM$95,$W8,1)&amp;" risk flag. ")&amp;"Brand Safety "&amp;INDEX(Matching_Engine!$AK$6:$AK$95,$W8,1)&amp;"/100, competitor saturation "&amp;INDEX(Matching_Engine!$AL$6:$AL$95,$W8,1)&amp;"/100"&amp;IF(INDEX(Matching_Engine!$AL$6:$AL$95,$W8,1)&gt;=70," — high, so treat it as a consideration rather than an automatic exclusion.",".")</f>
        <v>Medium risk flag. Brand Safety 89/100, competitor saturation 78/100 — high, so treat it as a consideration rather than an automatic exclusion.</v>
      </c>
      <c r="W8" s="105">
        <f>MATCH(Brand_Profile!$B$4&amp;"|"&amp;KOL_Database!$A$8,Matching_Engine!$AZ$6:$AZ$95,0)</f>
        <v>4</v>
      </c>
      <c r="X8" s="147">
        <f>INDEX(Matching_Engine!$N$6:$N$95,$W8,1)+0.006</f>
        <v>14.006</v>
      </c>
      <c r="Y8" s="147">
        <f ca="1">INDEX(Matching_Engine!$S$6:$S$95,$W8,1)+0.005</f>
        <v>49.005</v>
      </c>
      <c r="Z8" s="147">
        <f>INDEX(Matching_Engine!$X$6:$X$95,$W8,1)+0.004</f>
        <v>26.004</v>
      </c>
      <c r="AA8" s="147">
        <f>INDEX(Matching_Engine!$AC$6:$AC$95,$W8,1)+0.003</f>
        <v>81.003</v>
      </c>
      <c r="AB8" s="147">
        <f>INDEX(Matching_Engine!$AJ$6:$AJ$95,$W8,1)+0.002</f>
        <v>91.002</v>
      </c>
      <c r="AC8" s="147">
        <f>INDEX(Matching_Engine!$AO$6:$AO$95,$W8,1)+0.001</f>
        <v>64.001</v>
      </c>
    </row>
    <row r="9" spans="1:29">
      <c r="A9" s="105" t="str">
        <f>KOL_Database!$A$9</f>
        <v>KOL-05</v>
      </c>
      <c r="B9" s="105" t="str">
        <f>KOL_Database!$B$9</f>
        <v>Bimo Saputra</v>
      </c>
      <c r="C9" s="105" t="str">
        <f>KOL_Database!$C$9</f>
        <v>@bimomakan</v>
      </c>
      <c r="D9" s="105" t="str">
        <f>KOL_Database!$D$9</f>
        <v>TikTok</v>
      </c>
      <c r="E9" s="105" t="str">
        <f>KOL_Database!$E$9</f>
        <v>Food</v>
      </c>
      <c r="F9" s="146">
        <f ca="1">INDEX(Matching_Engine!$AP$6:$AP$95,$W9,1)</f>
        <v>45</v>
      </c>
      <c r="G9" s="105" t="str">
        <f ca="1">INDEX(Matching_Engine!$AQ$6:$AQ$95,$W9,1)</f>
        <v>Low Match</v>
      </c>
      <c r="H9" s="105" t="str">
        <f>INDEX(Matching_Engine!$AS$6:$AS$95,$W9,1)</f>
        <v>High</v>
      </c>
      <c r="I9" s="105" t="str">
        <f ca="1">"Strongest on "&amp;INDEX(Lookup_Lists!$AC$6:$AC$11,MATCH(LARGE($X9:$AC9,1),$X9:$AC9,0),1)&amp;" at "&amp;ROUND(LARGE($X9:$AC9,1),0)&amp;"/100. "&amp;"Audience overlap "&amp;INDEX(Matching_Engine!$S$6:$S$95,$W9,1)&amp;"/100 against the "&amp;Brand_Profile!$G$16&amp;" / "&amp;Brand_Profile!$G$17&amp;" target; "&amp;KOL_Database!$E$9&amp;" content against a "&amp;Brand_Profile!$G$10&amp;" brief. "&amp;"Final Brand Match "&amp;INDEX(Matching_Engine!$AP$6:$AP$95,$W9,1)&amp;"/100 ("&amp;INDEX(Matching_Engine!$AQ$6:$AQ$95,$W9,1)&amp;")."</f>
        <v>Strongest on Performance Quality at 84/100. Audience overlap 54/100 against the 25-34 / 18-24 target; Food content against a Technology / SaaS brief. Final Brand Match 45/100 (Low Match).</v>
      </c>
      <c r="J9" s="105" t="str">
        <f ca="1">IFERROR(INDEX(Lookup_Lists!$AC$6:$AC$11,MATCH(LARGE($X9:$AC9,1),$X9:$AC9,0),1)&amp;" — "&amp;ROUND(LARGE($X9:$AC9,1),0)&amp;"/100","")</f>
        <v>Performance Quality — 84/100</v>
      </c>
      <c r="K9" s="105" t="str">
        <f ca="1">IFERROR(INDEX(Lookup_Lists!$AC$6:$AC$11,MATCH(LARGE($X9:$AC9,2),$X9:$AC9,0),1)&amp;" — "&amp;ROUND(LARGE($X9:$AC9,2),0)&amp;"/100","")</f>
        <v>Brand Safety — 73/100</v>
      </c>
      <c r="L9" s="105" t="str">
        <f ca="1">IFERROR(INDEX(Lookup_Lists!$AC$6:$AC$11,MATCH(LARGE($X9:$AC9,3),$X9:$AC9,0),1)&amp;" — "&amp;ROUND(LARGE($X9:$AC9,3),0)&amp;"/100","")</f>
        <v>Target Audience Relevance — 54/100</v>
      </c>
      <c r="M9" s="105" t="str">
        <f ca="1">IFERROR(IF(SMALL($X9:$AC9,1)&gt;=Lookup_Lists!$D$161,"No material gap — "&amp;INDEX(Lookup_Lists!$AC$6:$AC$11,MATCH(SMALL($X9:$AC9,1),$X9:$AC9,0),1)&amp;" at "&amp;ROUND(SMALL($X9:$AC9,1),0)&amp;"/100",INDEX(Lookup_Lists!$AC$6:$AC$11,MATCH(SMALL($X9:$AC9,1),$X9:$AC9,0),1)&amp;" only "&amp;ROUND(SMALL($X9:$AC9,1),0)&amp;"/100"),"")</f>
        <v>Brand &amp; Business Relevance only 14/100</v>
      </c>
      <c r="N9" s="105" t="str">
        <f ca="1">IFERROR(IF(SMALL($X9:$AC9,2)&gt;=Lookup_Lists!$D$161,"No material gap — "&amp;INDEX(Lookup_Lists!$AC$6:$AC$11,MATCH(SMALL($X9:$AC9,2),$X9:$AC9,0),1)&amp;" at "&amp;ROUND(SMALL($X9:$AC9,2),0)&amp;"/100",INDEX(Lookup_Lists!$AC$6:$AC$11,MATCH(SMALL($X9:$AC9,2),$X9:$AC9,0),1)&amp;" only "&amp;ROUND(SMALL($X9:$AC9,2),0)&amp;"/100"),"")</f>
        <v>Content &amp; Category Relevance only 26/100</v>
      </c>
      <c r="O9" s="105" t="str">
        <f ca="1">IFERROR(IF(SMALL($X9:$AC9,3)&gt;=Lookup_Lists!$D$161,"No material gap — "&amp;INDEX(Lookup_Lists!$AC$6:$AC$11,MATCH(SMALL($X9:$AC9,3),$X9:$AC9,0),1)&amp;" at "&amp;ROUND(SMALL($X9:$AC9,3),0)&amp;"/100",INDEX(Lookup_Lists!$AC$6:$AC$11,MATCH(SMALL($X9:$AC9,3),$X9:$AC9,0),1)&amp;" only "&amp;ROUND(SMALL($X9:$AC9,3),0)&amp;"/100"),"")</f>
        <v>Brand Personality Fit only 51/100</v>
      </c>
      <c r="P9" s="105" t="str">
        <f>IF(INDEX(Matching_Engine!$AM$6:$AM$95,$W9,1)="None","No risk flag — competitor saturation "&amp;INDEX(Matching_Engine!$AL$6:$AL$95,$W9,1)&amp;"/100",INDEX(Matching_Engine!$AM$6:$AM$95,$W9,1)&amp;" risk flag — competitor saturation "&amp;INDEX(Matching_Engine!$AL$6:$AL$95,$W9,1)&amp;"/100")</f>
        <v>Low risk flag — competitor saturation 30/100</v>
      </c>
      <c r="Q9" s="105" t="str">
        <f ca="1">INDEX(Matching_Engine!$AX$6:$AX$95,$W9,1)</f>
        <v>Low Priority</v>
      </c>
      <c r="R9" s="105" t="str">
        <f>"Industry "&amp;INDEX(Matching_Engine!$K$6:$K$95,$W9,1)&amp;"/100, category "&amp;INDEX(Matching_Engine!$L$6:$L$95,$W9,1)&amp;"/100, keywords "&amp;INDEX(Matching_Engine!$M$6:$M$95,$W9,1)&amp;"/100 — a "&amp;Brand_Profile!$G$10&amp;" brief against a "&amp;KOL_Database!$E$9&amp;" / "&amp;KOL_Database!$F$9&amp;" creator."</f>
        <v>Industry 20/100, category 20/100, keywords 0/100 — a Technology / SaaS brief against a Food / Culinary Review creator.</v>
      </c>
      <c r="S9" s="105" t="str">
        <f ca="1">"Age "&amp;INDEX(Matching_Engine!$O$6:$O$95,$W9,1)&amp;"/100, gender "&amp;INDEX(Matching_Engine!$P$6:$P$95,$W9,1)&amp;"/100, location "&amp;INDEX(Matching_Engine!$Q$6:$Q$95,$W9,1)&amp;"/100, interests "&amp;INDEX(Matching_Engine!$R$6:$R$95,$W9,1)&amp;"/100. Weighted with priority on "&amp;Brand_Profile!$G$23&amp;"."</f>
        <v>Age 100/100, gender 100/100, location 85/100, interests 0/100. Weighted with priority on Interest.</v>
      </c>
      <c r="T9" s="105" t="str">
        <f>"Category "&amp;INDEX(Matching_Engine!$T$6:$T$95,$W9,1)&amp;"/100, sub category "&amp;INDEX(Matching_Engine!$U$6:$U$95,$W9,1)&amp;"/100, topics "&amp;INDEX(Matching_Engine!$V$6:$V$95,$W9,1)&amp;"/100, style "&amp;INDEX(Matching_Engine!$W$6:$W$95,$W9,1)&amp;"/100 — brief wants "&amp;Brand_Profile!$G$39&amp;", creator delivers "&amp;KOL_Database!$AJ$9&amp;"."</f>
        <v>Category 20/100, sub category 20/100, topics 0/100, style 80/100 — brief wants Educational, creator delivers Review.</v>
      </c>
      <c r="U9" s="105" t="str">
        <f>"Personality "&amp;INDEX(Matching_Engine!$Y$6:$Y$95,$W9,1)&amp;"/100, tone vs style "&amp;INDEX(Matching_Engine!$Z$6:$Z$95,$W9,1)&amp;"/100, values "&amp;INDEX(Matching_Engine!$AA$6:$AA$95,$W9,1)&amp;"/100, communication "&amp;INDEX(Matching_Engine!$AB$6:$AB$95,$W9,1)&amp;"/100 — a "&amp;Brand_Profile!$G$25&amp;" / "&amp;Brand_Profile!$G$28&amp;" brand against a "&amp;KOL_Database!$AK$9&amp;" creator."</f>
        <v>Personality 50/100, tone vs style 90/100, values 0/100, communication 70/100 — a Innovative / Mid-market brand against a Relatable creator.</v>
      </c>
      <c r="V9" s="105" t="str">
        <f>IF(INDEX(Matching_Engine!$AM$6:$AM$95,$W9,1)="None","No risk flag. ",INDEX(Matching_Engine!$AM$6:$AM$95,$W9,1)&amp;" risk flag. ")&amp;"Brand Safety "&amp;INDEX(Matching_Engine!$AK$6:$AK$95,$W9,1)&amp;"/100, competitor saturation "&amp;INDEX(Matching_Engine!$AL$6:$AL$95,$W9,1)&amp;"/100"&amp;IF(INDEX(Matching_Engine!$AL$6:$AL$95,$W9,1)&gt;=70," — high, so treat it as a consideration rather than an automatic exclusion.",".")</f>
        <v>Low risk flag. Brand Safety 78/100, competitor saturation 30/100.</v>
      </c>
      <c r="W9" s="105">
        <f>MATCH(Brand_Profile!$B$4&amp;"|"&amp;KOL_Database!$A$9,Matching_Engine!$AZ$6:$AZ$95,0)</f>
        <v>5</v>
      </c>
      <c r="X9" s="147">
        <f>INDEX(Matching_Engine!$N$6:$N$95,$W9,1)+0.006</f>
        <v>14.006</v>
      </c>
      <c r="Y9" s="147">
        <f ca="1">INDEX(Matching_Engine!$S$6:$S$95,$W9,1)+0.005</f>
        <v>54.005</v>
      </c>
      <c r="Z9" s="147">
        <f>INDEX(Matching_Engine!$X$6:$X$95,$W9,1)+0.004</f>
        <v>26.004</v>
      </c>
      <c r="AA9" s="147">
        <f>INDEX(Matching_Engine!$AC$6:$AC$95,$W9,1)+0.003</f>
        <v>51.003</v>
      </c>
      <c r="AB9" s="147">
        <f>INDEX(Matching_Engine!$AJ$6:$AJ$95,$W9,1)+0.002</f>
        <v>84.002</v>
      </c>
      <c r="AC9" s="147">
        <f>INDEX(Matching_Engine!$AO$6:$AO$95,$W9,1)+0.001</f>
        <v>73.001</v>
      </c>
    </row>
    <row r="10" spans="1:29">
      <c r="A10" s="105" t="str">
        <f>KOL_Database!$A$10</f>
        <v>KOL-06</v>
      </c>
      <c r="B10" s="105" t="str">
        <f>KOL_Database!$B$10</f>
        <v>Ayu Lestari</v>
      </c>
      <c r="C10" s="105" t="str">
        <f>KOL_Database!$C$10</f>
        <v>@dapurayu</v>
      </c>
      <c r="D10" s="105" t="str">
        <f>KOL_Database!$D$10</f>
        <v>Instagram</v>
      </c>
      <c r="E10" s="105" t="str">
        <f>KOL_Database!$E$10</f>
        <v>Food</v>
      </c>
      <c r="F10" s="146">
        <f ca="1">INDEX(Matching_Engine!$AP$6:$AP$95,$W10,1)</f>
        <v>44</v>
      </c>
      <c r="G10" s="105" t="str">
        <f ca="1">INDEX(Matching_Engine!$AQ$6:$AQ$95,$W10,1)</f>
        <v>Low Match</v>
      </c>
      <c r="H10" s="105" t="str">
        <f>INDEX(Matching_Engine!$AS$6:$AS$95,$W10,1)</f>
        <v>Medium</v>
      </c>
      <c r="I10" s="105" t="str">
        <f ca="1">"Strongest on "&amp;INDEX(Lookup_Lists!$AC$6:$AC$11,MATCH(LARGE($X10:$AC10,1),$X10:$AC10,0),1)&amp;" at "&amp;ROUND(LARGE($X10:$AC10,1),0)&amp;"/100. "&amp;"Audience overlap "&amp;INDEX(Matching_Engine!$S$6:$S$95,$W10,1)&amp;"/100 against the "&amp;Brand_Profile!$G$16&amp;" / "&amp;Brand_Profile!$G$17&amp;" target; "&amp;KOL_Database!$E$10&amp;" content against a "&amp;Brand_Profile!$G$10&amp;" brief. "&amp;"Final Brand Match "&amp;INDEX(Matching_Engine!$AP$6:$AP$95,$W10,1)&amp;"/100 ("&amp;INDEX(Matching_Engine!$AQ$6:$AQ$95,$W10,1)&amp;")."</f>
        <v>Strongest on Brand Safety at 74/100. Audience overlap 50/100 against the 25-34 / 18-24 target; Food content against a Technology / SaaS brief. Final Brand Match 44/100 (Low Match).</v>
      </c>
      <c r="J10" s="105" t="str">
        <f ca="1">IFERROR(INDEX(Lookup_Lists!$AC$6:$AC$11,MATCH(LARGE($X10:$AC10,1),$X10:$AC10,0),1)&amp;" — "&amp;ROUND(LARGE($X10:$AC10,1),0)&amp;"/100","")</f>
        <v>Brand Safety — 74/100</v>
      </c>
      <c r="K10" s="105" t="str">
        <f ca="1">IFERROR(INDEX(Lookup_Lists!$AC$6:$AC$11,MATCH(LARGE($X10:$AC10,2),$X10:$AC10,0),1)&amp;" — "&amp;ROUND(LARGE($X10:$AC10,2),0)&amp;"/100","")</f>
        <v>Performance Quality — 73/100</v>
      </c>
      <c r="L10" s="105" t="str">
        <f ca="1">IFERROR(INDEX(Lookup_Lists!$AC$6:$AC$11,MATCH(LARGE($X10:$AC10,3),$X10:$AC10,0),1)&amp;" — "&amp;ROUND(LARGE($X10:$AC10,3),0)&amp;"/100","")</f>
        <v>Brand Personality Fit — 61/100</v>
      </c>
      <c r="M10" s="105" t="str">
        <f ca="1">IFERROR(IF(SMALL($X10:$AC10,1)&gt;=Lookup_Lists!$D$161,"No material gap — "&amp;INDEX(Lookup_Lists!$AC$6:$AC$11,MATCH(SMALL($X10:$AC10,1),$X10:$AC10,0),1)&amp;" at "&amp;ROUND(SMALL($X10:$AC10,1),0)&amp;"/100",INDEX(Lookup_Lists!$AC$6:$AC$11,MATCH(SMALL($X10:$AC10,1),$X10:$AC10,0),1)&amp;" only "&amp;ROUND(SMALL($X10:$AC10,1),0)&amp;"/100"),"")</f>
        <v>Brand &amp; Business Relevance only 14/100</v>
      </c>
      <c r="N10" s="105" t="str">
        <f ca="1">IFERROR(IF(SMALL($X10:$AC10,2)&gt;=Lookup_Lists!$D$161,"No material gap — "&amp;INDEX(Lookup_Lists!$AC$6:$AC$11,MATCH(SMALL($X10:$AC10,2),$X10:$AC10,0),1)&amp;" at "&amp;ROUND(SMALL($X10:$AC10,2),0)&amp;"/100",INDEX(Lookup_Lists!$AC$6:$AC$11,MATCH(SMALL($X10:$AC10,2),$X10:$AC10,0),1)&amp;" only "&amp;ROUND(SMALL($X10:$AC10,2),0)&amp;"/100"),"")</f>
        <v>Content &amp; Category Relevance only 26/100</v>
      </c>
      <c r="O10" s="105" t="str">
        <f ca="1">IFERROR(IF(SMALL($X10:$AC10,3)&gt;=Lookup_Lists!$D$161,"No material gap — "&amp;INDEX(Lookup_Lists!$AC$6:$AC$11,MATCH(SMALL($X10:$AC10,3),$X10:$AC10,0),1)&amp;" at "&amp;ROUND(SMALL($X10:$AC10,3),0)&amp;"/100",INDEX(Lookup_Lists!$AC$6:$AC$11,MATCH(SMALL($X10:$AC10,3),$X10:$AC10,0),1)&amp;" only "&amp;ROUND(SMALL($X10:$AC10,3),0)&amp;"/100"),"")</f>
        <v>Target Audience Relevance only 50/100</v>
      </c>
      <c r="P10" s="105" t="str">
        <f>IF(INDEX(Matching_Engine!$AM$6:$AM$95,$W10,1)="None","No risk flag — competitor saturation "&amp;INDEX(Matching_Engine!$AL$6:$AL$95,$W10,1)&amp;"/100",INDEX(Matching_Engine!$AM$6:$AM$95,$W10,1)&amp;" risk flag — competitor saturation "&amp;INDEX(Matching_Engine!$AL$6:$AL$95,$W10,1)&amp;"/100")</f>
        <v>Low risk flag — competitor saturation 29/100</v>
      </c>
      <c r="Q10" s="105" t="str">
        <f ca="1">INDEX(Matching_Engine!$AX$6:$AX$95,$W10,1)</f>
        <v>Low Priority</v>
      </c>
      <c r="R10" s="105" t="str">
        <f>"Industry "&amp;INDEX(Matching_Engine!$K$6:$K$95,$W10,1)&amp;"/100, category "&amp;INDEX(Matching_Engine!$L$6:$L$95,$W10,1)&amp;"/100, keywords "&amp;INDEX(Matching_Engine!$M$6:$M$95,$W10,1)&amp;"/100 — a "&amp;Brand_Profile!$G$10&amp;" brief against a "&amp;KOL_Database!$E$10&amp;" / "&amp;KOL_Database!$F$10&amp;" creator."</f>
        <v>Industry 20/100, category 20/100, keywords 0/100 — a Technology / SaaS brief against a Food / Home Cooking creator.</v>
      </c>
      <c r="S10" s="105" t="str">
        <f ca="1">"Age "&amp;INDEX(Matching_Engine!$O$6:$O$95,$W10,1)&amp;"/100, gender "&amp;INDEX(Matching_Engine!$P$6:$P$95,$W10,1)&amp;"/100, location "&amp;INDEX(Matching_Engine!$Q$6:$Q$95,$W10,1)&amp;"/100, interests "&amp;INDEX(Matching_Engine!$R$6:$R$95,$W10,1)&amp;"/100. Weighted with priority on "&amp;Brand_Profile!$G$23&amp;"."</f>
        <v>Age 100/100, gender 100/100, location 68/100, interests 0/100. Weighted with priority on Interest.</v>
      </c>
      <c r="T10" s="105" t="str">
        <f>"Category "&amp;INDEX(Matching_Engine!$T$6:$T$95,$W10,1)&amp;"/100, sub category "&amp;INDEX(Matching_Engine!$U$6:$U$95,$W10,1)&amp;"/100, topics "&amp;INDEX(Matching_Engine!$V$6:$V$95,$W10,1)&amp;"/100, style "&amp;INDEX(Matching_Engine!$W$6:$W$95,$W10,1)&amp;"/100 — brief wants "&amp;Brand_Profile!$G$39&amp;", creator delivers "&amp;KOL_Database!$AJ$10&amp;"."</f>
        <v>Category 20/100, sub category 20/100, topics 0/100, style 80/100 — brief wants Educational, creator delivers Tutorial.</v>
      </c>
      <c r="U10" s="105" t="str">
        <f>"Personality "&amp;INDEX(Matching_Engine!$Y$6:$Y$95,$W10,1)&amp;"/100, tone vs style "&amp;INDEX(Matching_Engine!$Z$6:$Z$95,$W10,1)&amp;"/100, values "&amp;INDEX(Matching_Engine!$AA$6:$AA$95,$W10,1)&amp;"/100, communication "&amp;INDEX(Matching_Engine!$AB$6:$AB$95,$W10,1)&amp;"/100 — a "&amp;Brand_Profile!$G$25&amp;" / "&amp;Brand_Profile!$G$28&amp;" brand against a "&amp;KOL_Database!$AK$10&amp;" creator."</f>
        <v>Personality 50/100, tone vs style 95/100, values 20/100, communication 95/100 — a Innovative / Mid-market brand against a Relatable creator.</v>
      </c>
      <c r="V10" s="105" t="str">
        <f>IF(INDEX(Matching_Engine!$AM$6:$AM$95,$W10,1)="None","No risk flag. ",INDEX(Matching_Engine!$AM$6:$AM$95,$W10,1)&amp;" risk flag. ")&amp;"Brand Safety "&amp;INDEX(Matching_Engine!$AK$6:$AK$95,$W10,1)&amp;"/100, competitor saturation "&amp;INDEX(Matching_Engine!$AL$6:$AL$95,$W10,1)&amp;"/100"&amp;IF(INDEX(Matching_Engine!$AL$6:$AL$95,$W10,1)&gt;=70," — high, so treat it as a consideration rather than an automatic exclusion.",".")</f>
        <v>Low risk flag. Brand Safety 79/100, competitor saturation 29/100.</v>
      </c>
      <c r="W10" s="105">
        <f>MATCH(Brand_Profile!$B$4&amp;"|"&amp;KOL_Database!$A$10,Matching_Engine!$AZ$6:$AZ$95,0)</f>
        <v>6</v>
      </c>
      <c r="X10" s="147">
        <f>INDEX(Matching_Engine!$N$6:$N$95,$W10,1)+0.006</f>
        <v>14.006</v>
      </c>
      <c r="Y10" s="147">
        <f ca="1">INDEX(Matching_Engine!$S$6:$S$95,$W10,1)+0.005</f>
        <v>50.005</v>
      </c>
      <c r="Z10" s="147">
        <f>INDEX(Matching_Engine!$X$6:$X$95,$W10,1)+0.004</f>
        <v>26.004</v>
      </c>
      <c r="AA10" s="147">
        <f>INDEX(Matching_Engine!$AC$6:$AC$95,$W10,1)+0.003</f>
        <v>61.003</v>
      </c>
      <c r="AB10" s="147">
        <f>INDEX(Matching_Engine!$AJ$6:$AJ$95,$W10,1)+0.002</f>
        <v>73.002</v>
      </c>
      <c r="AC10" s="147">
        <f>INDEX(Matching_Engine!$AO$6:$AO$95,$W10,1)+0.001</f>
        <v>74.001</v>
      </c>
    </row>
    <row r="11" spans="1:29">
      <c r="A11" s="105" t="str">
        <f>KOL_Database!$A$11</f>
        <v>KOL-07</v>
      </c>
      <c r="B11" s="105" t="str">
        <f>KOL_Database!$B$11</f>
        <v>Fajar Ramadhan</v>
      </c>
      <c r="C11" s="105" t="str">
        <f>KOL_Database!$C$11</f>
        <v>@fajarfinance</v>
      </c>
      <c r="D11" s="105" t="str">
        <f>KOL_Database!$D$11</f>
        <v>Instagram</v>
      </c>
      <c r="E11" s="105" t="str">
        <f>KOL_Database!$E$11</f>
        <v>Finance</v>
      </c>
      <c r="F11" s="146">
        <f ca="1">INDEX(Matching_Engine!$AP$6:$AP$95,$W11,1)</f>
        <v>87</v>
      </c>
      <c r="G11" s="105" t="str">
        <f ca="1">INDEX(Matching_Engine!$AQ$6:$AQ$95,$W11,1)</f>
        <v>Strong Match</v>
      </c>
      <c r="H11" s="105" t="str">
        <f>INDEX(Matching_Engine!$AS$6:$AS$95,$W11,1)</f>
        <v>High</v>
      </c>
      <c r="I11" s="105" t="str">
        <f ca="1">"Strongest on "&amp;INDEX(Lookup_Lists!$AC$6:$AC$11,MATCH(LARGE($X11:$AC11,1),$X11:$AC11,0),1)&amp;" at "&amp;ROUND(LARGE($X11:$AC11,1),0)&amp;"/100. "&amp;"Audience overlap "&amp;INDEX(Matching_Engine!$S$6:$S$95,$W11,1)&amp;"/100 against the "&amp;Brand_Profile!$G$16&amp;" / "&amp;Brand_Profile!$G$17&amp;" target; "&amp;KOL_Database!$E$11&amp;" content against a "&amp;Brand_Profile!$G$10&amp;" brief. "&amp;"Final Brand Match "&amp;INDEX(Matching_Engine!$AP$6:$AP$95,$W11,1)&amp;"/100 ("&amp;INDEX(Matching_Engine!$AQ$6:$AQ$95,$W11,1)&amp;")."</f>
        <v>Strongest on Target Audience Relevance at 100/100. Audience overlap 100/100 against the 25-34 / 18-24 target; Finance content against a Technology / SaaS brief. Final Brand Match 87/100 (Strong Match).</v>
      </c>
      <c r="J11" s="105" t="str">
        <f ca="1">IFERROR(INDEX(Lookup_Lists!$AC$6:$AC$11,MATCH(LARGE($X11:$AC11,1),$X11:$AC11,0),1)&amp;" — "&amp;ROUND(LARGE($X11:$AC11,1),0)&amp;"/100","")</f>
        <v>Target Audience Relevance — 100/100</v>
      </c>
      <c r="K11" s="105" t="str">
        <f ca="1">IFERROR(INDEX(Lookup_Lists!$AC$6:$AC$11,MATCH(LARGE($X11:$AC11,2),$X11:$AC11,0),1)&amp;" — "&amp;ROUND(LARGE($X11:$AC11,2),0)&amp;"/100","")</f>
        <v>Brand Personality Fit — 85/100</v>
      </c>
      <c r="L11" s="105" t="str">
        <f ca="1">IFERROR(INDEX(Lookup_Lists!$AC$6:$AC$11,MATCH(LARGE($X11:$AC11,3),$X11:$AC11,0),1)&amp;" — "&amp;ROUND(LARGE($X11:$AC11,3),0)&amp;"/100","")</f>
        <v>Content &amp; Category Relevance — 84/100</v>
      </c>
      <c r="M11" s="105" t="str">
        <f ca="1">IFERROR(IF(SMALL($X11:$AC11,1)&gt;=Lookup_Lists!$D$161,"No material gap — "&amp;INDEX(Lookup_Lists!$AC$6:$AC$11,MATCH(SMALL($X11:$AC11,1),$X11:$AC11,0),1)&amp;" at "&amp;ROUND(SMALL($X11:$AC11,1),0)&amp;"/100",INDEX(Lookup_Lists!$AC$6:$AC$11,MATCH(SMALL($X11:$AC11,1),$X11:$AC11,0),1)&amp;" only "&amp;ROUND(SMALL($X11:$AC11,1),0)&amp;"/100"),"")</f>
        <v>Performance Quality only 70/100</v>
      </c>
      <c r="N11" s="105" t="str">
        <f ca="1">IFERROR(IF(SMALL($X11:$AC11,2)&gt;=Lookup_Lists!$D$161,"No material gap — "&amp;INDEX(Lookup_Lists!$AC$6:$AC$11,MATCH(SMALL($X11:$AC11,2),$X11:$AC11,0),1)&amp;" at "&amp;ROUND(SMALL($X11:$AC11,2),0)&amp;"/100",INDEX(Lookup_Lists!$AC$6:$AC$11,MATCH(SMALL($X11:$AC11,2),$X11:$AC11,0),1)&amp;" only "&amp;ROUND(SMALL($X11:$AC11,2),0)&amp;"/100"),"")</f>
        <v>No material gap — Brand &amp; Business Relevance at 80/100</v>
      </c>
      <c r="O11" s="105" t="str">
        <f ca="1">IFERROR(IF(SMALL($X11:$AC11,3)&gt;=Lookup_Lists!$D$161,"No material gap — "&amp;INDEX(Lookup_Lists!$AC$6:$AC$11,MATCH(SMALL($X11:$AC11,3),$X11:$AC11,0),1)&amp;" at "&amp;ROUND(SMALL($X11:$AC11,3),0)&amp;"/100",INDEX(Lookup_Lists!$AC$6:$AC$11,MATCH(SMALL($X11:$AC11,3),$X11:$AC11,0),1)&amp;" only "&amp;ROUND(SMALL($X11:$AC11,3),0)&amp;"/100"),"")</f>
        <v>No material gap — Brand Safety at 82/100</v>
      </c>
      <c r="P11" s="105" t="str">
        <f>IF(INDEX(Matching_Engine!$AM$6:$AM$95,$W11,1)="None","No risk flag — competitor saturation "&amp;INDEX(Matching_Engine!$AL$6:$AL$95,$W11,1)&amp;"/100",INDEX(Matching_Engine!$AM$6:$AM$95,$W11,1)&amp;" risk flag — competitor saturation "&amp;INDEX(Matching_Engine!$AL$6:$AL$95,$W11,1)&amp;"/100")</f>
        <v>No risk flag — competitor saturation 60/100</v>
      </c>
      <c r="Q11" s="105" t="str">
        <f ca="1">INDEX(Matching_Engine!$AX$6:$AX$95,$W11,1)</f>
        <v>Highly Recommended</v>
      </c>
      <c r="R11" s="105" t="str">
        <f>"Industry "&amp;INDEX(Matching_Engine!$K$6:$K$95,$W11,1)&amp;"/100, category "&amp;INDEX(Matching_Engine!$L$6:$L$95,$W11,1)&amp;"/100, keywords "&amp;INDEX(Matching_Engine!$M$6:$M$95,$W11,1)&amp;"/100 — a "&amp;Brand_Profile!$G$10&amp;" brief against a "&amp;KOL_Database!$E$11&amp;" / "&amp;KOL_Database!$F$11&amp;" creator."</f>
        <v>Industry 80/100, category 60/100, keywords 100/100 — a Technology / SaaS brief against a Finance / Personal Finance creator.</v>
      </c>
      <c r="S11" s="105" t="str">
        <f ca="1">"Age "&amp;INDEX(Matching_Engine!$O$6:$O$95,$W11,1)&amp;"/100, gender "&amp;INDEX(Matching_Engine!$P$6:$P$95,$W11,1)&amp;"/100, location "&amp;INDEX(Matching_Engine!$Q$6:$Q$95,$W11,1)&amp;"/100, interests "&amp;INDEX(Matching_Engine!$R$6:$R$95,$W11,1)&amp;"/100. Weighted with priority on "&amp;Brand_Profile!$G$23&amp;"."</f>
        <v>Age 100/100, gender 100/100, location 100/100, interests 100/100. Weighted with priority on Interest.</v>
      </c>
      <c r="T11" s="105" t="str">
        <f>"Category "&amp;INDEX(Matching_Engine!$T$6:$T$95,$W11,1)&amp;"/100, sub category "&amp;INDEX(Matching_Engine!$U$6:$U$95,$W11,1)&amp;"/100, topics "&amp;INDEX(Matching_Engine!$V$6:$V$95,$W11,1)&amp;"/100, style "&amp;INDEX(Matching_Engine!$W$6:$W$95,$W11,1)&amp;"/100 — brief wants "&amp;Brand_Profile!$G$39&amp;", creator delivers "&amp;KOL_Database!$AJ$11&amp;"."</f>
        <v>Category 80/100, sub category 50/100, topics 100/100, style 100/100 — brief wants Educational, creator delivers Educational.</v>
      </c>
      <c r="U11" s="105" t="str">
        <f>"Personality "&amp;INDEX(Matching_Engine!$Y$6:$Y$95,$W11,1)&amp;"/100, tone vs style "&amp;INDEX(Matching_Engine!$Z$6:$Z$95,$W11,1)&amp;"/100, values "&amp;INDEX(Matching_Engine!$AA$6:$AA$95,$W11,1)&amp;"/100, communication "&amp;INDEX(Matching_Engine!$AB$6:$AB$95,$W11,1)&amp;"/100 — a "&amp;Brand_Profile!$G$25&amp;" / "&amp;Brand_Profile!$G$28&amp;" brand against a "&amp;KOL_Database!$AK$11&amp;" creator."</f>
        <v>Personality 70/100, tone vs style 100/100, values 80/100, communication 100/100 — a Innovative / Mid-market brand against a Professional creator.</v>
      </c>
      <c r="V11" s="105" t="str">
        <f>IF(INDEX(Matching_Engine!$AM$6:$AM$95,$W11,1)="None","No risk flag. ",INDEX(Matching_Engine!$AM$6:$AM$95,$W11,1)&amp;" risk flag. ")&amp;"Brand Safety "&amp;INDEX(Matching_Engine!$AK$6:$AK$95,$W11,1)&amp;"/100, competitor saturation "&amp;INDEX(Matching_Engine!$AL$6:$AL$95,$W11,1)&amp;"/100"&amp;IF(INDEX(Matching_Engine!$AL$6:$AL$95,$W11,1)&gt;=70," — high, so treat it as a consideration rather than an automatic exclusion.",".")</f>
        <v>No risk flag. Brand Safety 93/100, competitor saturation 60/100.</v>
      </c>
      <c r="W11" s="105">
        <f>MATCH(Brand_Profile!$B$4&amp;"|"&amp;KOL_Database!$A$11,Matching_Engine!$AZ$6:$AZ$95,0)</f>
        <v>7</v>
      </c>
      <c r="X11" s="147">
        <f>INDEX(Matching_Engine!$N$6:$N$95,$W11,1)+0.006</f>
        <v>80.006</v>
      </c>
      <c r="Y11" s="147">
        <f ca="1">INDEX(Matching_Engine!$S$6:$S$95,$W11,1)+0.005</f>
        <v>100.005</v>
      </c>
      <c r="Z11" s="147">
        <f>INDEX(Matching_Engine!$X$6:$X$95,$W11,1)+0.004</f>
        <v>84.004</v>
      </c>
      <c r="AA11" s="147">
        <f>INDEX(Matching_Engine!$AC$6:$AC$95,$W11,1)+0.003</f>
        <v>85.003</v>
      </c>
      <c r="AB11" s="147">
        <f>INDEX(Matching_Engine!$AJ$6:$AJ$95,$W11,1)+0.002</f>
        <v>70.002</v>
      </c>
      <c r="AC11" s="147">
        <f>INDEX(Matching_Engine!$AO$6:$AO$95,$W11,1)+0.001</f>
        <v>82.001</v>
      </c>
    </row>
    <row r="12" spans="1:29">
      <c r="A12" s="105" t="str">
        <f>KOL_Database!$A$12</f>
        <v>KOL-08</v>
      </c>
      <c r="B12" s="105" t="str">
        <f>KOL_Database!$B$12</f>
        <v>Tania Wijaya</v>
      </c>
      <c r="C12" s="105" t="str">
        <f>KOL_Database!$C$12</f>
        <v>@taniainvest</v>
      </c>
      <c r="D12" s="105" t="str">
        <f>KOL_Database!$D$12</f>
        <v>TikTok</v>
      </c>
      <c r="E12" s="105" t="str">
        <f>KOL_Database!$E$12</f>
        <v>Finance</v>
      </c>
      <c r="F12" s="146">
        <f ca="1">INDEX(Matching_Engine!$AP$6:$AP$95,$W12,1)</f>
        <v>82</v>
      </c>
      <c r="G12" s="105" t="str">
        <f ca="1">INDEX(Matching_Engine!$AQ$6:$AQ$95,$W12,1)</f>
        <v>Strong Match</v>
      </c>
      <c r="H12" s="105" t="str">
        <f>INDEX(Matching_Engine!$AS$6:$AS$95,$W12,1)</f>
        <v>High</v>
      </c>
      <c r="I12" s="105" t="str">
        <f ca="1">"Strongest on "&amp;INDEX(Lookup_Lists!$AC$6:$AC$11,MATCH(LARGE($X12:$AC12,1),$X12:$AC12,0),1)&amp;" at "&amp;ROUND(LARGE($X12:$AC12,1),0)&amp;"/100. "&amp;"Audience overlap "&amp;INDEX(Matching_Engine!$S$6:$S$95,$W12,1)&amp;"/100 against the "&amp;Brand_Profile!$G$16&amp;" / "&amp;Brand_Profile!$G$17&amp;" target; "&amp;KOL_Database!$E$12&amp;" content against a "&amp;Brand_Profile!$G$10&amp;" brief. "&amp;"Final Brand Match "&amp;INDEX(Matching_Engine!$AP$6:$AP$95,$W12,1)&amp;"/100 ("&amp;INDEX(Matching_Engine!$AQ$6:$AQ$95,$W12,1)&amp;")."</f>
        <v>Strongest on Brand Personality Fit at 93/100. Audience overlap 92/100 against the 25-34 / 18-24 target; Finance content against a Technology / SaaS brief. Final Brand Match 82/100 (Strong Match).</v>
      </c>
      <c r="J12" s="105" t="str">
        <f ca="1">IFERROR(INDEX(Lookup_Lists!$AC$6:$AC$11,MATCH(LARGE($X12:$AC12,1),$X12:$AC12,0),1)&amp;" — "&amp;ROUND(LARGE($X12:$AC12,1),0)&amp;"/100","")</f>
        <v>Brand Personality Fit — 93/100</v>
      </c>
      <c r="K12" s="105" t="str">
        <f ca="1">IFERROR(INDEX(Lookup_Lists!$AC$6:$AC$11,MATCH(LARGE($X12:$AC12,2),$X12:$AC12,0),1)&amp;" — "&amp;ROUND(LARGE($X12:$AC12,2),0)&amp;"/100","")</f>
        <v>Target Audience Relevance — 92/100</v>
      </c>
      <c r="L12" s="105" t="str">
        <f ca="1">IFERROR(INDEX(Lookup_Lists!$AC$6:$AC$11,MATCH(LARGE($X12:$AC12,3),$X12:$AC12,0),1)&amp;" — "&amp;ROUND(LARGE($X12:$AC12,3),0)&amp;"/100","")</f>
        <v>Performance Quality — 80/100</v>
      </c>
      <c r="M12" s="105" t="str">
        <f ca="1">IFERROR(IF(SMALL($X12:$AC12,1)&gt;=Lookup_Lists!$D$161,"No material gap — "&amp;INDEX(Lookup_Lists!$AC$6:$AC$11,MATCH(SMALL($X12:$AC12,1),$X12:$AC12,0),1)&amp;" at "&amp;ROUND(SMALL($X12:$AC12,1),0)&amp;"/100",INDEX(Lookup_Lists!$AC$6:$AC$11,MATCH(SMALL($X12:$AC12,1),$X12:$AC12,0),1)&amp;" only "&amp;ROUND(SMALL($X12:$AC12,1),0)&amp;"/100"),"")</f>
        <v>Brand Safety only 71/100</v>
      </c>
      <c r="N12" s="105" t="str">
        <f ca="1">IFERROR(IF(SMALL($X12:$AC12,2)&gt;=Lookup_Lists!$D$161,"No material gap — "&amp;INDEX(Lookup_Lists!$AC$6:$AC$11,MATCH(SMALL($X12:$AC12,2),$X12:$AC12,0),1)&amp;" at "&amp;ROUND(SMALL($X12:$AC12,2),0)&amp;"/100",INDEX(Lookup_Lists!$AC$6:$AC$11,MATCH(SMALL($X12:$AC12,2),$X12:$AC12,0),1)&amp;" only "&amp;ROUND(SMALL($X12:$AC12,2),0)&amp;"/100"),"")</f>
        <v>Brand &amp; Business Relevance only 74/100</v>
      </c>
      <c r="O12" s="105" t="str">
        <f ca="1">IFERROR(IF(SMALL($X12:$AC12,3)&gt;=Lookup_Lists!$D$161,"No material gap — "&amp;INDEX(Lookup_Lists!$AC$6:$AC$11,MATCH(SMALL($X12:$AC12,3),$X12:$AC12,0),1)&amp;" at "&amp;ROUND(SMALL($X12:$AC12,3),0)&amp;"/100",INDEX(Lookup_Lists!$AC$6:$AC$11,MATCH(SMALL($X12:$AC12,3),$X12:$AC12,0),1)&amp;" only "&amp;ROUND(SMALL($X12:$AC12,3),0)&amp;"/100"),"")</f>
        <v>No material gap — Content &amp; Category Relevance at 78/100</v>
      </c>
      <c r="P12" s="105" t="str">
        <f>IF(INDEX(Matching_Engine!$AM$6:$AM$95,$W12,1)="None","No risk flag — competitor saturation "&amp;INDEX(Matching_Engine!$AL$6:$AL$95,$W12,1)&amp;"/100",INDEX(Matching_Engine!$AM$6:$AM$95,$W12,1)&amp;" risk flag — competitor saturation "&amp;INDEX(Matching_Engine!$AL$6:$AL$95,$W12,1)&amp;"/100")</f>
        <v>Low risk flag — competitor saturation 14/100</v>
      </c>
      <c r="Q12" s="105" t="str">
        <f ca="1">INDEX(Matching_Engine!$AX$6:$AX$95,$W12,1)</f>
        <v>Excluded</v>
      </c>
      <c r="R12" s="105" t="str">
        <f>"Industry "&amp;INDEX(Matching_Engine!$K$6:$K$95,$W12,1)&amp;"/100, category "&amp;INDEX(Matching_Engine!$L$6:$L$95,$W12,1)&amp;"/100, keywords "&amp;INDEX(Matching_Engine!$M$6:$M$95,$W12,1)&amp;"/100 — a "&amp;Brand_Profile!$G$10&amp;" brief against a "&amp;KOL_Database!$E$12&amp;" / "&amp;KOL_Database!$F$12&amp;" creator."</f>
        <v>Industry 80/100, category 60/100, keywords 80/100 — a Technology / SaaS brief against a Finance / Investing creator.</v>
      </c>
      <c r="S12" s="105" t="str">
        <f ca="1">"Age "&amp;INDEX(Matching_Engine!$O$6:$O$95,$W12,1)&amp;"/100, gender "&amp;INDEX(Matching_Engine!$P$6:$P$95,$W12,1)&amp;"/100, location "&amp;INDEX(Matching_Engine!$Q$6:$Q$95,$W12,1)&amp;"/100, interests "&amp;INDEX(Matching_Engine!$R$6:$R$95,$W12,1)&amp;"/100. Weighted with priority on "&amp;Brand_Profile!$G$23&amp;"."</f>
        <v>Age 100/100, gender 100/100, location 100/100, interests 80/100. Weighted with priority on Interest.</v>
      </c>
      <c r="T12" s="105" t="str">
        <f>"Category "&amp;INDEX(Matching_Engine!$T$6:$T$95,$W12,1)&amp;"/100, sub category "&amp;INDEX(Matching_Engine!$U$6:$U$95,$W12,1)&amp;"/100, topics "&amp;INDEX(Matching_Engine!$V$6:$V$95,$W12,1)&amp;"/100, style "&amp;INDEX(Matching_Engine!$W$6:$W$95,$W12,1)&amp;"/100 — brief wants "&amp;Brand_Profile!$G$39&amp;", creator delivers "&amp;KOL_Database!$AJ$12&amp;"."</f>
        <v>Category 80/100, sub category 50/100, topics 80/100, style 100/100 — brief wants Educational, creator delivers Educational.</v>
      </c>
      <c r="U12" s="105" t="str">
        <f>"Personality "&amp;INDEX(Matching_Engine!$Y$6:$Y$95,$W12,1)&amp;"/100, tone vs style "&amp;INDEX(Matching_Engine!$Z$6:$Z$95,$W12,1)&amp;"/100, values "&amp;INDEX(Matching_Engine!$AA$6:$AA$95,$W12,1)&amp;"/100, communication "&amp;INDEX(Matching_Engine!$AB$6:$AB$95,$W12,1)&amp;"/100 — a "&amp;Brand_Profile!$G$25&amp;" / "&amp;Brand_Profile!$G$28&amp;" brand against a "&amp;KOL_Database!$AK$12&amp;" creator."</f>
        <v>Personality 95/100, tone vs style 100/100, values 80/100, communication 100/100 — a Innovative / Mid-market brand against a Educational creator.</v>
      </c>
      <c r="V12" s="105" t="str">
        <f>IF(INDEX(Matching_Engine!$AM$6:$AM$95,$W12,1)="None","No risk flag. ",INDEX(Matching_Engine!$AM$6:$AM$95,$W12,1)&amp;" risk flag. ")&amp;"Brand Safety "&amp;INDEX(Matching_Engine!$AK$6:$AK$95,$W12,1)&amp;"/100, competitor saturation "&amp;INDEX(Matching_Engine!$AL$6:$AL$95,$W12,1)&amp;"/100"&amp;IF(INDEX(Matching_Engine!$AL$6:$AL$95,$W12,1)&gt;=70," — high, so treat it as a consideration rather than an automatic exclusion.",".")</f>
        <v>Low risk flag. Brand Safety 72/100, competitor saturation 14/100.</v>
      </c>
      <c r="W12" s="105">
        <f>MATCH(Brand_Profile!$B$4&amp;"|"&amp;KOL_Database!$A$12,Matching_Engine!$AZ$6:$AZ$95,0)</f>
        <v>8</v>
      </c>
      <c r="X12" s="147">
        <f>INDEX(Matching_Engine!$N$6:$N$95,$W12,1)+0.006</f>
        <v>74.006</v>
      </c>
      <c r="Y12" s="147">
        <f ca="1">INDEX(Matching_Engine!$S$6:$S$95,$W12,1)+0.005</f>
        <v>92.005</v>
      </c>
      <c r="Z12" s="147">
        <f>INDEX(Matching_Engine!$X$6:$X$95,$W12,1)+0.004</f>
        <v>78.004</v>
      </c>
      <c r="AA12" s="147">
        <f>INDEX(Matching_Engine!$AC$6:$AC$95,$W12,1)+0.003</f>
        <v>93.003</v>
      </c>
      <c r="AB12" s="147">
        <f>INDEX(Matching_Engine!$AJ$6:$AJ$95,$W12,1)+0.002</f>
        <v>80.002</v>
      </c>
      <c r="AC12" s="147">
        <f>INDEX(Matching_Engine!$AO$6:$AO$95,$W12,1)+0.001</f>
        <v>71.001</v>
      </c>
    </row>
    <row r="13" spans="1:29">
      <c r="A13" s="105" t="str">
        <f>KOL_Database!$A$13</f>
        <v>KOL-09</v>
      </c>
      <c r="B13" s="105" t="str">
        <f>KOL_Database!$B$13</f>
        <v>Gilang Prakoso</v>
      </c>
      <c r="C13" s="105" t="str">
        <f>KOL_Database!$C$13</f>
        <v>@gilangbelajar</v>
      </c>
      <c r="D13" s="105" t="str">
        <f>KOL_Database!$D$13</f>
        <v>TikTok</v>
      </c>
      <c r="E13" s="105" t="str">
        <f>KOL_Database!$E$13</f>
        <v>Education</v>
      </c>
      <c r="F13" s="146">
        <f ca="1">INDEX(Matching_Engine!$AP$6:$AP$95,$W13,1)</f>
        <v>81</v>
      </c>
      <c r="G13" s="105" t="str">
        <f ca="1">INDEX(Matching_Engine!$AQ$6:$AQ$95,$W13,1)</f>
        <v>Strong Match</v>
      </c>
      <c r="H13" s="105" t="str">
        <f>INDEX(Matching_Engine!$AS$6:$AS$95,$W13,1)</f>
        <v>High</v>
      </c>
      <c r="I13" s="105" t="str">
        <f ca="1">"Strongest on "&amp;INDEX(Lookup_Lists!$AC$6:$AC$11,MATCH(LARGE($X13:$AC13,1),$X13:$AC13,0),1)&amp;" at "&amp;ROUND(LARGE($X13:$AC13,1),0)&amp;"/100. "&amp;"Audience overlap "&amp;INDEX(Matching_Engine!$S$6:$S$95,$W13,1)&amp;"/100 against the "&amp;Brand_Profile!$G$16&amp;" / "&amp;Brand_Profile!$G$17&amp;" target; "&amp;KOL_Database!$E$13&amp;" content against a "&amp;Brand_Profile!$G$10&amp;" brief. "&amp;"Final Brand Match "&amp;INDEX(Matching_Engine!$AP$6:$AP$95,$W13,1)&amp;"/100 ("&amp;INDEX(Matching_Engine!$AQ$6:$AQ$95,$W13,1)&amp;")."</f>
        <v>Strongest on Performance Quality at 92/100. Audience overlap 83/100 against the 25-34 / 18-24 target; Education content against a Technology / SaaS brief. Final Brand Match 81/100 (Strong Match).</v>
      </c>
      <c r="J13" s="105" t="str">
        <f ca="1">IFERROR(INDEX(Lookup_Lists!$AC$6:$AC$11,MATCH(LARGE($X13:$AC13,1),$X13:$AC13,0),1)&amp;" — "&amp;ROUND(LARGE($X13:$AC13,1),0)&amp;"/100","")</f>
        <v>Performance Quality — 92/100</v>
      </c>
      <c r="K13" s="105" t="str">
        <f ca="1">IFERROR(INDEX(Lookup_Lists!$AC$6:$AC$11,MATCH(LARGE($X13:$AC13,2),$X13:$AC13,0),1)&amp;" — "&amp;ROUND(LARGE($X13:$AC13,2),0)&amp;"/100","")</f>
        <v>Brand Personality Fit — 88/100</v>
      </c>
      <c r="L13" s="105" t="str">
        <f ca="1">IFERROR(INDEX(Lookup_Lists!$AC$6:$AC$11,MATCH(LARGE($X13:$AC13,3),$X13:$AC13,0),1)&amp;" — "&amp;ROUND(LARGE($X13:$AC13,3),0)&amp;"/100","")</f>
        <v>Target Audience Relevance — 83/100</v>
      </c>
      <c r="M13" s="105" t="str">
        <f ca="1">IFERROR(IF(SMALL($X13:$AC13,1)&gt;=Lookup_Lists!$D$161,"No material gap — "&amp;INDEX(Lookup_Lists!$AC$6:$AC$11,MATCH(SMALL($X13:$AC13,1),$X13:$AC13,0),1)&amp;" at "&amp;ROUND(SMALL($X13:$AC13,1),0)&amp;"/100",INDEX(Lookup_Lists!$AC$6:$AC$11,MATCH(SMALL($X13:$AC13,1),$X13:$AC13,0),1)&amp;" only "&amp;ROUND(SMALL($X13:$AC13,1),0)&amp;"/100"),"")</f>
        <v>Brand &amp; Business Relevance only 74/100</v>
      </c>
      <c r="N13" s="105" t="str">
        <f ca="1">IFERROR(IF(SMALL($X13:$AC13,2)&gt;=Lookup_Lists!$D$161,"No material gap — "&amp;INDEX(Lookup_Lists!$AC$6:$AC$11,MATCH(SMALL($X13:$AC13,2),$X13:$AC13,0),1)&amp;" at "&amp;ROUND(SMALL($X13:$AC13,2),0)&amp;"/100",INDEX(Lookup_Lists!$AC$6:$AC$11,MATCH(SMALL($X13:$AC13,2),$X13:$AC13,0),1)&amp;" only "&amp;ROUND(SMALL($X13:$AC13,2),0)&amp;"/100"),"")</f>
        <v>No material gap — Content &amp; Category Relevance at 78/100</v>
      </c>
      <c r="O13" s="105" t="str">
        <f ca="1">IFERROR(IF(SMALL($X13:$AC13,3)&gt;=Lookup_Lists!$D$161,"No material gap — "&amp;INDEX(Lookup_Lists!$AC$6:$AC$11,MATCH(SMALL($X13:$AC13,3),$X13:$AC13,0),1)&amp;" at "&amp;ROUND(SMALL($X13:$AC13,3),0)&amp;"/100",INDEX(Lookup_Lists!$AC$6:$AC$11,MATCH(SMALL($X13:$AC13,3),$X13:$AC13,0),1)&amp;" only "&amp;ROUND(SMALL($X13:$AC13,3),0)&amp;"/100"),"")</f>
        <v>No material gap — Brand Safety at 81/100</v>
      </c>
      <c r="P13" s="105" t="str">
        <f>IF(INDEX(Matching_Engine!$AM$6:$AM$95,$W13,1)="None","No risk flag — competitor saturation "&amp;INDEX(Matching_Engine!$AL$6:$AL$95,$W13,1)&amp;"/100",INDEX(Matching_Engine!$AM$6:$AM$95,$W13,1)&amp;" risk flag — competitor saturation "&amp;INDEX(Matching_Engine!$AL$6:$AL$95,$W13,1)&amp;"/100")</f>
        <v>No risk flag — competitor saturation 61/100</v>
      </c>
      <c r="Q13" s="105" t="str">
        <f ca="1">INDEX(Matching_Engine!$AX$6:$AX$95,$W13,1)</f>
        <v>Recommended</v>
      </c>
      <c r="R13" s="105" t="str">
        <f>"Industry "&amp;INDEX(Matching_Engine!$K$6:$K$95,$W13,1)&amp;"/100, category "&amp;INDEX(Matching_Engine!$L$6:$L$95,$W13,1)&amp;"/100, keywords "&amp;INDEX(Matching_Engine!$M$6:$M$95,$W13,1)&amp;"/100 — a "&amp;Brand_Profile!$G$10&amp;" brief against a "&amp;KOL_Database!$E$13&amp;" / "&amp;KOL_Database!$F$13&amp;" creator."</f>
        <v>Industry 80/100, category 60/100, keywords 80/100 — a Technology / SaaS brief against a Education / Study Tips creator.</v>
      </c>
      <c r="S13" s="105" t="str">
        <f ca="1">"Age "&amp;INDEX(Matching_Engine!$O$6:$O$95,$W13,1)&amp;"/100, gender "&amp;INDEX(Matching_Engine!$P$6:$P$95,$W13,1)&amp;"/100, location "&amp;INDEX(Matching_Engine!$Q$6:$Q$95,$W13,1)&amp;"/100, interests "&amp;INDEX(Matching_Engine!$R$6:$R$95,$W13,1)&amp;"/100. Weighted with priority on "&amp;Brand_Profile!$G$23&amp;"."</f>
        <v>Age 100/100, gender 100/100, location 65/100, interests 80/100. Weighted with priority on Interest.</v>
      </c>
      <c r="T13" s="105" t="str">
        <f>"Category "&amp;INDEX(Matching_Engine!$T$6:$T$95,$W13,1)&amp;"/100, sub category "&amp;INDEX(Matching_Engine!$U$6:$U$95,$W13,1)&amp;"/100, topics "&amp;INDEX(Matching_Engine!$V$6:$V$95,$W13,1)&amp;"/100, style "&amp;INDEX(Matching_Engine!$W$6:$W$95,$W13,1)&amp;"/100 — brief wants "&amp;Brand_Profile!$G$39&amp;", creator delivers "&amp;KOL_Database!$AJ$13&amp;"."</f>
        <v>Category 80/100, sub category 50/100, topics 80/100, style 100/100 — brief wants Educational, creator delivers Educational.</v>
      </c>
      <c r="U13" s="105" t="str">
        <f>"Personality "&amp;INDEX(Matching_Engine!$Y$6:$Y$95,$W13,1)&amp;"/100, tone vs style "&amp;INDEX(Matching_Engine!$Z$6:$Z$95,$W13,1)&amp;"/100, values "&amp;INDEX(Matching_Engine!$AA$6:$AA$95,$W13,1)&amp;"/100, communication "&amp;INDEX(Matching_Engine!$AB$6:$AB$95,$W13,1)&amp;"/100 — a "&amp;Brand_Profile!$G$25&amp;" / "&amp;Brand_Profile!$G$28&amp;" brand against a "&amp;KOL_Database!$AK$13&amp;" creator."</f>
        <v>Personality 95/100, tone vs style 100/100, values 60/100, communication 100/100 — a Innovative / Mid-market brand against a Educational creator.</v>
      </c>
      <c r="V13" s="105" t="str">
        <f>IF(INDEX(Matching_Engine!$AM$6:$AM$95,$W13,1)="None","No risk flag. ",INDEX(Matching_Engine!$AM$6:$AM$95,$W13,1)&amp;" risk flag. ")&amp;"Brand Safety "&amp;INDEX(Matching_Engine!$AK$6:$AK$95,$W13,1)&amp;"/100, competitor saturation "&amp;INDEX(Matching_Engine!$AL$6:$AL$95,$W13,1)&amp;"/100"&amp;IF(INDEX(Matching_Engine!$AL$6:$AL$95,$W13,1)&gt;=70," — high, so treat it as a consideration rather than an automatic exclusion.",".")</f>
        <v>No risk flag. Brand Safety 92/100, competitor saturation 61/100.</v>
      </c>
      <c r="W13" s="105">
        <f>MATCH(Brand_Profile!$B$4&amp;"|"&amp;KOL_Database!$A$13,Matching_Engine!$AZ$6:$AZ$95,0)</f>
        <v>9</v>
      </c>
      <c r="X13" s="147">
        <f>INDEX(Matching_Engine!$N$6:$N$95,$W13,1)+0.006</f>
        <v>74.006</v>
      </c>
      <c r="Y13" s="147">
        <f ca="1">INDEX(Matching_Engine!$S$6:$S$95,$W13,1)+0.005</f>
        <v>83.005</v>
      </c>
      <c r="Z13" s="147">
        <f>INDEX(Matching_Engine!$X$6:$X$95,$W13,1)+0.004</f>
        <v>78.004</v>
      </c>
      <c r="AA13" s="147">
        <f>INDEX(Matching_Engine!$AC$6:$AC$95,$W13,1)+0.003</f>
        <v>88.003</v>
      </c>
      <c r="AB13" s="147">
        <f>INDEX(Matching_Engine!$AJ$6:$AJ$95,$W13,1)+0.002</f>
        <v>92.002</v>
      </c>
      <c r="AC13" s="147">
        <f>INDEX(Matching_Engine!$AO$6:$AO$95,$W13,1)+0.001</f>
        <v>81.001</v>
      </c>
    </row>
    <row r="14" spans="1:29">
      <c r="A14" s="105" t="str">
        <f>KOL_Database!$A$14</f>
        <v>KOL-10</v>
      </c>
      <c r="B14" s="105" t="str">
        <f>KOL_Database!$B$14</f>
        <v>Mira Handayani</v>
      </c>
      <c r="C14" s="105" t="str">
        <f>KOL_Database!$C$14</f>
        <v>@mirabahasa</v>
      </c>
      <c r="D14" s="105" t="str">
        <f>KOL_Database!$D$14</f>
        <v>Instagram</v>
      </c>
      <c r="E14" s="105" t="str">
        <f>KOL_Database!$E$14</f>
        <v>Education</v>
      </c>
      <c r="F14" s="146">
        <f ca="1">INDEX(Matching_Engine!$AP$6:$AP$95,$W14,1)</f>
        <v>74</v>
      </c>
      <c r="G14" s="105" t="str">
        <f ca="1">INDEX(Matching_Engine!$AQ$6:$AQ$95,$W14,1)</f>
        <v>Good Match</v>
      </c>
      <c r="H14" s="105" t="str">
        <f>INDEX(Matching_Engine!$AS$6:$AS$95,$W14,1)</f>
        <v>Medium</v>
      </c>
      <c r="I14" s="105" t="str">
        <f ca="1">"Strongest on "&amp;INDEX(Lookup_Lists!$AC$6:$AC$11,MATCH(LARGE($X14:$AC14,1),$X14:$AC14,0),1)&amp;" at "&amp;ROUND(LARGE($X14:$AC14,1),0)&amp;"/100. "&amp;"Audience overlap "&amp;INDEX(Matching_Engine!$S$6:$S$95,$W14,1)&amp;"/100 against the "&amp;Brand_Profile!$G$16&amp;" / "&amp;Brand_Profile!$G$17&amp;" target; "&amp;KOL_Database!$E$14&amp;" content against a "&amp;Brand_Profile!$G$10&amp;" brief. "&amp;"Final Brand Match "&amp;INDEX(Matching_Engine!$AP$6:$AP$95,$W14,1)&amp;"/100 ("&amp;INDEX(Matching_Engine!$AQ$6:$AQ$95,$W14,1)&amp;")."</f>
        <v>Strongest on Brand Personality Fit at 86/100. Audience overlap 74/100 against the 25-34 / 18-24 target; Education content against a Technology / SaaS brief. Final Brand Match 74/100 (Good Match).</v>
      </c>
      <c r="J14" s="105" t="str">
        <f ca="1">IFERROR(INDEX(Lookup_Lists!$AC$6:$AC$11,MATCH(LARGE($X14:$AC14,1),$X14:$AC14,0),1)&amp;" — "&amp;ROUND(LARGE($X14:$AC14,1),0)&amp;"/100","")</f>
        <v>Brand Personality Fit — 86/100</v>
      </c>
      <c r="K14" s="105" t="str">
        <f ca="1">IFERROR(INDEX(Lookup_Lists!$AC$6:$AC$11,MATCH(LARGE($X14:$AC14,2),$X14:$AC14,0),1)&amp;" — "&amp;ROUND(LARGE($X14:$AC14,2),0)&amp;"/100","")</f>
        <v>Brand Safety — 80/100</v>
      </c>
      <c r="L14" s="105" t="str">
        <f ca="1">IFERROR(INDEX(Lookup_Lists!$AC$6:$AC$11,MATCH(LARGE($X14:$AC14,3),$X14:$AC14,0),1)&amp;" — "&amp;ROUND(LARGE($X14:$AC14,3),0)&amp;"/100","")</f>
        <v>Performance Quality — 78/100</v>
      </c>
      <c r="M14" s="105" t="str">
        <f ca="1">IFERROR(IF(SMALL($X14:$AC14,1)&gt;=Lookup_Lists!$D$161,"No material gap — "&amp;INDEX(Lookup_Lists!$AC$6:$AC$11,MATCH(SMALL($X14:$AC14,1),$X14:$AC14,0),1)&amp;" at "&amp;ROUND(SMALL($X14:$AC14,1),0)&amp;"/100",INDEX(Lookup_Lists!$AC$6:$AC$11,MATCH(SMALL($X14:$AC14,1),$X14:$AC14,0),1)&amp;" only "&amp;ROUND(SMALL($X14:$AC14,1),0)&amp;"/100"),"")</f>
        <v>Content &amp; Category Relevance only 68/100</v>
      </c>
      <c r="N14" s="105" t="str">
        <f ca="1">IFERROR(IF(SMALL($X14:$AC14,2)&gt;=Lookup_Lists!$D$161,"No material gap — "&amp;INDEX(Lookup_Lists!$AC$6:$AC$11,MATCH(SMALL($X14:$AC14,2),$X14:$AC14,0),1)&amp;" at "&amp;ROUND(SMALL($X14:$AC14,2),0)&amp;"/100",INDEX(Lookup_Lists!$AC$6:$AC$11,MATCH(SMALL($X14:$AC14,2),$X14:$AC14,0),1)&amp;" only "&amp;ROUND(SMALL($X14:$AC14,2),0)&amp;"/100"),"")</f>
        <v>Brand &amp; Business Relevance only 68/100</v>
      </c>
      <c r="O14" s="105" t="str">
        <f ca="1">IFERROR(IF(SMALL($X14:$AC14,3)&gt;=Lookup_Lists!$D$161,"No material gap — "&amp;INDEX(Lookup_Lists!$AC$6:$AC$11,MATCH(SMALL($X14:$AC14,3),$X14:$AC14,0),1)&amp;" at "&amp;ROUND(SMALL($X14:$AC14,3),0)&amp;"/100",INDEX(Lookup_Lists!$AC$6:$AC$11,MATCH(SMALL($X14:$AC14,3),$X14:$AC14,0),1)&amp;" only "&amp;ROUND(SMALL($X14:$AC14,3),0)&amp;"/100"),"")</f>
        <v>Target Audience Relevance only 74/100</v>
      </c>
      <c r="P14" s="105" t="str">
        <f>IF(INDEX(Matching_Engine!$AM$6:$AM$95,$W14,1)="None","No risk flag — competitor saturation "&amp;INDEX(Matching_Engine!$AL$6:$AL$95,$W14,1)&amp;"/100",INDEX(Matching_Engine!$AM$6:$AM$95,$W14,1)&amp;" risk flag — competitor saturation "&amp;INDEX(Matching_Engine!$AL$6:$AL$95,$W14,1)&amp;"/100")</f>
        <v>No risk flag — competitor saturation 32/100</v>
      </c>
      <c r="Q14" s="105" t="str">
        <f ca="1">INDEX(Matching_Engine!$AX$6:$AX$95,$W14,1)</f>
        <v>Recommended</v>
      </c>
      <c r="R14" s="105" t="str">
        <f>"Industry "&amp;INDEX(Matching_Engine!$K$6:$K$95,$W14,1)&amp;"/100, category "&amp;INDEX(Matching_Engine!$L$6:$L$95,$W14,1)&amp;"/100, keywords "&amp;INDEX(Matching_Engine!$M$6:$M$95,$W14,1)&amp;"/100 — a "&amp;Brand_Profile!$G$10&amp;" brief against a "&amp;KOL_Database!$E$14&amp;" / "&amp;KOL_Database!$F$14&amp;" creator."</f>
        <v>Industry 80/100, category 60/100, keywords 60/100 — a Technology / SaaS brief against a Education / Language creator.</v>
      </c>
      <c r="S14" s="105" t="str">
        <f ca="1">"Age "&amp;INDEX(Matching_Engine!$O$6:$O$95,$W14,1)&amp;"/100, gender "&amp;INDEX(Matching_Engine!$P$6:$P$95,$W14,1)&amp;"/100, location "&amp;INDEX(Matching_Engine!$Q$6:$Q$95,$W14,1)&amp;"/100, interests "&amp;INDEX(Matching_Engine!$R$6:$R$95,$W14,1)&amp;"/100. Weighted with priority on "&amp;Brand_Profile!$G$23&amp;"."</f>
        <v>Age 100/100, gender 100/100, location 65/100, interests 60/100. Weighted with priority on Interest.</v>
      </c>
      <c r="T14" s="105" t="str">
        <f>"Category "&amp;INDEX(Matching_Engine!$T$6:$T$95,$W14,1)&amp;"/100, sub category "&amp;INDEX(Matching_Engine!$U$6:$U$95,$W14,1)&amp;"/100, topics "&amp;INDEX(Matching_Engine!$V$6:$V$95,$W14,1)&amp;"/100, style "&amp;INDEX(Matching_Engine!$W$6:$W$95,$W14,1)&amp;"/100 — brief wants "&amp;Brand_Profile!$G$39&amp;", creator delivers "&amp;KOL_Database!$AJ$14&amp;"."</f>
        <v>Category 80/100, sub category 50/100, topics 60/100, style 80/100 — brief wants Educational, creator delivers Tutorial.</v>
      </c>
      <c r="U14" s="105" t="str">
        <f>"Personality "&amp;INDEX(Matching_Engine!$Y$6:$Y$95,$W14,1)&amp;"/100, tone vs style "&amp;INDEX(Matching_Engine!$Z$6:$Z$95,$W14,1)&amp;"/100, values "&amp;INDEX(Matching_Engine!$AA$6:$AA$95,$W14,1)&amp;"/100, communication "&amp;INDEX(Matching_Engine!$AB$6:$AB$95,$W14,1)&amp;"/100 — a "&amp;Brand_Profile!$G$25&amp;" / "&amp;Brand_Profile!$G$28&amp;" brand against a "&amp;KOL_Database!$AK$14&amp;" creator."</f>
        <v>Personality 95/100, tone vs style 95/100, values 60/100, communication 95/100 — a Innovative / Mid-market brand against a Educational creator.</v>
      </c>
      <c r="V14" s="105" t="str">
        <f>IF(INDEX(Matching_Engine!$AM$6:$AM$95,$W14,1)="None","No risk flag. ",INDEX(Matching_Engine!$AM$6:$AM$95,$W14,1)&amp;" risk flag. ")&amp;"Brand Safety "&amp;INDEX(Matching_Engine!$AK$6:$AK$95,$W14,1)&amp;"/100, competitor saturation "&amp;INDEX(Matching_Engine!$AL$6:$AL$95,$W14,1)&amp;"/100"&amp;IF(INDEX(Matching_Engine!$AL$6:$AL$95,$W14,1)&gt;=70," — high, so treat it as a consideration rather than an automatic exclusion.",".")</f>
        <v>No risk flag. Brand Safety 83/100, competitor saturation 32/100.</v>
      </c>
      <c r="W14" s="105">
        <f>MATCH(Brand_Profile!$B$4&amp;"|"&amp;KOL_Database!$A$14,Matching_Engine!$AZ$6:$AZ$95,0)</f>
        <v>10</v>
      </c>
      <c r="X14" s="147">
        <f>INDEX(Matching_Engine!$N$6:$N$95,$W14,1)+0.006</f>
        <v>68.006</v>
      </c>
      <c r="Y14" s="147">
        <f ca="1">INDEX(Matching_Engine!$S$6:$S$95,$W14,1)+0.005</f>
        <v>74.005</v>
      </c>
      <c r="Z14" s="147">
        <f>INDEX(Matching_Engine!$X$6:$X$95,$W14,1)+0.004</f>
        <v>68.004</v>
      </c>
      <c r="AA14" s="147">
        <f>INDEX(Matching_Engine!$AC$6:$AC$95,$W14,1)+0.003</f>
        <v>86.003</v>
      </c>
      <c r="AB14" s="147">
        <f>INDEX(Matching_Engine!$AJ$6:$AJ$95,$W14,1)+0.002</f>
        <v>78.002</v>
      </c>
      <c r="AC14" s="147">
        <f>INDEX(Matching_Engine!$AO$6:$AO$95,$W14,1)+0.001</f>
        <v>80.001</v>
      </c>
    </row>
    <row r="15" spans="1:29">
      <c r="A15" s="105" t="str">
        <f>KOL_Database!$A$15</f>
        <v>KOL-11</v>
      </c>
      <c r="B15" s="105" t="str">
        <f>KOL_Database!$B$15</f>
        <v>Dimas Anggara</v>
      </c>
      <c r="C15" s="105" t="str">
        <f>KOL_Database!$C$15</f>
        <v>@dimasfit</v>
      </c>
      <c r="D15" s="105" t="str">
        <f>KOL_Database!$D$15</f>
        <v>Instagram</v>
      </c>
      <c r="E15" s="105" t="str">
        <f>KOL_Database!$E$15</f>
        <v>Fitness</v>
      </c>
      <c r="F15" s="146">
        <f ca="1">INDEX(Matching_Engine!$AP$6:$AP$95,$W15,1)</f>
        <v>47</v>
      </c>
      <c r="G15" s="105" t="str">
        <f ca="1">INDEX(Matching_Engine!$AQ$6:$AQ$95,$W15,1)</f>
        <v>Low Match</v>
      </c>
      <c r="H15" s="105" t="str">
        <f>INDEX(Matching_Engine!$AS$6:$AS$95,$W15,1)</f>
        <v>High</v>
      </c>
      <c r="I15" s="105" t="str">
        <f ca="1">"Strongest on "&amp;INDEX(Lookup_Lists!$AC$6:$AC$11,MATCH(LARGE($X15:$AC15,1),$X15:$AC15,0),1)&amp;" at "&amp;ROUND(LARGE($X15:$AC15,1),0)&amp;"/100. "&amp;"Audience overlap "&amp;INDEX(Matching_Engine!$S$6:$S$95,$W15,1)&amp;"/100 against the "&amp;Brand_Profile!$G$16&amp;" / "&amp;Brand_Profile!$G$17&amp;" target; "&amp;KOL_Database!$E$15&amp;" content against a "&amp;Brand_Profile!$G$10&amp;" brief. "&amp;"Final Brand Match "&amp;INDEX(Matching_Engine!$AP$6:$AP$95,$W15,1)&amp;"/100 ("&amp;INDEX(Matching_Engine!$AQ$6:$AQ$95,$W15,1)&amp;")."</f>
        <v>Strongest on Brand Safety at 70/100. Audience overlap 58/100 against the 25-34 / 18-24 target; Fitness content against a Technology / SaaS brief. Final Brand Match 47/100 (Low Match).</v>
      </c>
      <c r="J15" s="105" t="str">
        <f ca="1">IFERROR(INDEX(Lookup_Lists!$AC$6:$AC$11,MATCH(LARGE($X15:$AC15,1),$X15:$AC15,0),1)&amp;" — "&amp;ROUND(LARGE($X15:$AC15,1),0)&amp;"/100","")</f>
        <v>Brand Safety — 70/100</v>
      </c>
      <c r="K15" s="105" t="str">
        <f ca="1">IFERROR(INDEX(Lookup_Lists!$AC$6:$AC$11,MATCH(LARGE($X15:$AC15,2),$X15:$AC15,0),1)&amp;" — "&amp;ROUND(LARGE($X15:$AC15,2),0)&amp;"/100","")</f>
        <v>Brand Personality Fit — 68/100</v>
      </c>
      <c r="L15" s="105" t="str">
        <f ca="1">IFERROR(INDEX(Lookup_Lists!$AC$6:$AC$11,MATCH(LARGE($X15:$AC15,3),$X15:$AC15,0),1)&amp;" — "&amp;ROUND(LARGE($X15:$AC15,3),0)&amp;"/100","")</f>
        <v>Performance Quality — 66/100</v>
      </c>
      <c r="M15" s="105" t="str">
        <f ca="1">IFERROR(IF(SMALL($X15:$AC15,1)&gt;=Lookup_Lists!$D$161,"No material gap — "&amp;INDEX(Lookup_Lists!$AC$6:$AC$11,MATCH(SMALL($X15:$AC15,1),$X15:$AC15,0),1)&amp;" at "&amp;ROUND(SMALL($X15:$AC15,1),0)&amp;"/100",INDEX(Lookup_Lists!$AC$6:$AC$11,MATCH(SMALL($X15:$AC15,1),$X15:$AC15,0),1)&amp;" only "&amp;ROUND(SMALL($X15:$AC15,1),0)&amp;"/100"),"")</f>
        <v>Brand &amp; Business Relevance only 22/100</v>
      </c>
      <c r="N15" s="105" t="str">
        <f ca="1">IFERROR(IF(SMALL($X15:$AC15,2)&gt;=Lookup_Lists!$D$161,"No material gap — "&amp;INDEX(Lookup_Lists!$AC$6:$AC$11,MATCH(SMALL($X15:$AC15,2),$X15:$AC15,0),1)&amp;" at "&amp;ROUND(SMALL($X15:$AC15,2),0)&amp;"/100",INDEX(Lookup_Lists!$AC$6:$AC$11,MATCH(SMALL($X15:$AC15,2),$X15:$AC15,0),1)&amp;" only "&amp;ROUND(SMALL($X15:$AC15,2),0)&amp;"/100"),"")</f>
        <v>Content &amp; Category Relevance only 26/100</v>
      </c>
      <c r="O15" s="105" t="str">
        <f ca="1">IFERROR(IF(SMALL($X15:$AC15,3)&gt;=Lookup_Lists!$D$161,"No material gap — "&amp;INDEX(Lookup_Lists!$AC$6:$AC$11,MATCH(SMALL($X15:$AC15,3),$X15:$AC15,0),1)&amp;" at "&amp;ROUND(SMALL($X15:$AC15,3),0)&amp;"/100",INDEX(Lookup_Lists!$AC$6:$AC$11,MATCH(SMALL($X15:$AC15,3),$X15:$AC15,0),1)&amp;" only "&amp;ROUND(SMALL($X15:$AC15,3),0)&amp;"/100"),"")</f>
        <v>Target Audience Relevance only 58/100</v>
      </c>
      <c r="P15" s="105" t="str">
        <f>IF(INDEX(Matching_Engine!$AM$6:$AM$95,$W15,1)="None","No risk flag — competitor saturation "&amp;INDEX(Matching_Engine!$AL$6:$AL$95,$W15,1)&amp;"/100",INDEX(Matching_Engine!$AM$6:$AM$95,$W15,1)&amp;" risk flag — competitor saturation "&amp;INDEX(Matching_Engine!$AL$6:$AL$95,$W15,1)&amp;"/100")</f>
        <v>Low risk flag — competitor saturation 15/100</v>
      </c>
      <c r="Q15" s="105" t="str">
        <f ca="1">INDEX(Matching_Engine!$AX$6:$AX$95,$W15,1)</f>
        <v>Excluded</v>
      </c>
      <c r="R15" s="105" t="str">
        <f>"Industry "&amp;INDEX(Matching_Engine!$K$6:$K$95,$W15,1)&amp;"/100, category "&amp;INDEX(Matching_Engine!$L$6:$L$95,$W15,1)&amp;"/100, keywords "&amp;INDEX(Matching_Engine!$M$6:$M$95,$W15,1)&amp;"/100 — a "&amp;Brand_Profile!$G$10&amp;" brief against a "&amp;KOL_Database!$E$15&amp;" / "&amp;KOL_Database!$F$15&amp;" creator."</f>
        <v>Industry 40/100, category 20/100, keywords 0/100 — a Technology / SaaS brief against a Fitness / Gym &amp; Strength creator.</v>
      </c>
      <c r="S15" s="105" t="str">
        <f ca="1">"Age "&amp;INDEX(Matching_Engine!$O$6:$O$95,$W15,1)&amp;"/100, gender "&amp;INDEX(Matching_Engine!$P$6:$P$95,$W15,1)&amp;"/100, location "&amp;INDEX(Matching_Engine!$Q$6:$Q$95,$W15,1)&amp;"/100, interests "&amp;INDEX(Matching_Engine!$R$6:$R$95,$W15,1)&amp;"/100. Weighted with priority on "&amp;Brand_Profile!$G$23&amp;"."</f>
        <v>Age 100/100, gender 100/100, location 100/100, interests 0/100. Weighted with priority on Interest.</v>
      </c>
      <c r="T15" s="105" t="str">
        <f>"Category "&amp;INDEX(Matching_Engine!$T$6:$T$95,$W15,1)&amp;"/100, sub category "&amp;INDEX(Matching_Engine!$U$6:$U$95,$W15,1)&amp;"/100, topics "&amp;INDEX(Matching_Engine!$V$6:$V$95,$W15,1)&amp;"/100, style "&amp;INDEX(Matching_Engine!$W$6:$W$95,$W15,1)&amp;"/100 — brief wants "&amp;Brand_Profile!$G$39&amp;", creator delivers "&amp;KOL_Database!$AJ$15&amp;"."</f>
        <v>Category 20/100, sub category 20/100, topics 0/100, style 80/100 — brief wants Educational, creator delivers Demo.</v>
      </c>
      <c r="U15" s="105" t="str">
        <f>"Personality "&amp;INDEX(Matching_Engine!$Y$6:$Y$95,$W15,1)&amp;"/100, tone vs style "&amp;INDEX(Matching_Engine!$Z$6:$Z$95,$W15,1)&amp;"/100, values "&amp;INDEX(Matching_Engine!$AA$6:$AA$95,$W15,1)&amp;"/100, communication "&amp;INDEX(Matching_Engine!$AB$6:$AB$95,$W15,1)&amp;"/100 — a "&amp;Brand_Profile!$G$25&amp;" / "&amp;Brand_Profile!$G$28&amp;" brand against a "&amp;KOL_Database!$AK$15&amp;" creator."</f>
        <v>Personality 70/100, tone vs style 85/100, values 40/100, communication 80/100 — a Innovative / Mid-market brand against a Professional creator.</v>
      </c>
      <c r="V15" s="105" t="str">
        <f>IF(INDEX(Matching_Engine!$AM$6:$AM$95,$W15,1)="None","No risk flag. ",INDEX(Matching_Engine!$AM$6:$AM$95,$W15,1)&amp;" risk flag. ")&amp;"Brand Safety "&amp;INDEX(Matching_Engine!$AK$6:$AK$95,$W15,1)&amp;"/100, competitor saturation "&amp;INDEX(Matching_Engine!$AL$6:$AL$95,$W15,1)&amp;"/100"&amp;IF(INDEX(Matching_Engine!$AL$6:$AL$95,$W15,1)&gt;=70," — high, so treat it as a consideration rather than an automatic exclusion.",".")</f>
        <v>Low risk flag. Brand Safety 71/100, competitor saturation 15/100.</v>
      </c>
      <c r="W15" s="105">
        <f>MATCH(Brand_Profile!$B$4&amp;"|"&amp;KOL_Database!$A$15,Matching_Engine!$AZ$6:$AZ$95,0)</f>
        <v>11</v>
      </c>
      <c r="X15" s="147">
        <f>INDEX(Matching_Engine!$N$6:$N$95,$W15,1)+0.006</f>
        <v>22.006</v>
      </c>
      <c r="Y15" s="147">
        <f ca="1">INDEX(Matching_Engine!$S$6:$S$95,$W15,1)+0.005</f>
        <v>58.005</v>
      </c>
      <c r="Z15" s="147">
        <f>INDEX(Matching_Engine!$X$6:$X$95,$W15,1)+0.004</f>
        <v>26.004</v>
      </c>
      <c r="AA15" s="147">
        <f>INDEX(Matching_Engine!$AC$6:$AC$95,$W15,1)+0.003</f>
        <v>68.003</v>
      </c>
      <c r="AB15" s="147">
        <f>INDEX(Matching_Engine!$AJ$6:$AJ$95,$W15,1)+0.002</f>
        <v>66.002</v>
      </c>
      <c r="AC15" s="147">
        <f>INDEX(Matching_Engine!$AO$6:$AO$95,$W15,1)+0.001</f>
        <v>70.001</v>
      </c>
    </row>
    <row r="16" spans="1:29">
      <c r="A16" s="105" t="str">
        <f>KOL_Database!$A$16</f>
        <v>KOL-12</v>
      </c>
      <c r="B16" s="105" t="str">
        <f>KOL_Database!$B$16</f>
        <v>Rani Kusuma</v>
      </c>
      <c r="C16" s="105" t="str">
        <f>KOL_Database!$C$16</f>
        <v>@ranihomeworkout</v>
      </c>
      <c r="D16" s="105" t="str">
        <f>KOL_Database!$D$16</f>
        <v>TikTok</v>
      </c>
      <c r="E16" s="105" t="str">
        <f>KOL_Database!$E$16</f>
        <v>Fitness</v>
      </c>
      <c r="F16" s="146">
        <f ca="1">INDEX(Matching_Engine!$AP$6:$AP$95,$W16,1)</f>
        <v>48</v>
      </c>
      <c r="G16" s="105" t="str">
        <f ca="1">INDEX(Matching_Engine!$AQ$6:$AQ$95,$W16,1)</f>
        <v>Low Match</v>
      </c>
      <c r="H16" s="105" t="str">
        <f>INDEX(Matching_Engine!$AS$6:$AS$95,$W16,1)</f>
        <v>High</v>
      </c>
      <c r="I16" s="105" t="str">
        <f ca="1">"Strongest on "&amp;INDEX(Lookup_Lists!$AC$6:$AC$11,MATCH(LARGE($X16:$AC16,1),$X16:$AC16,0),1)&amp;" at "&amp;ROUND(LARGE($X16:$AC16,1),0)&amp;"/100. "&amp;"Audience overlap "&amp;INDEX(Matching_Engine!$S$6:$S$95,$W16,1)&amp;"/100 against the "&amp;Brand_Profile!$G$16&amp;" / "&amp;Brand_Profile!$G$17&amp;" target; "&amp;KOL_Database!$E$16&amp;" content against a "&amp;Brand_Profile!$G$10&amp;" brief. "&amp;"Final Brand Match "&amp;INDEX(Matching_Engine!$AP$6:$AP$95,$W16,1)&amp;"/100 ("&amp;INDEX(Matching_Engine!$AQ$6:$AQ$95,$W16,1)&amp;")."</f>
        <v>Strongest on Performance Quality at 89/100. Audience overlap 49/100 against the 25-34 / 18-24 target; Fitness content against a Technology / SaaS brief. Final Brand Match 48/100 (Low Match).</v>
      </c>
      <c r="J16" s="105" t="str">
        <f ca="1">IFERROR(INDEX(Lookup_Lists!$AC$6:$AC$11,MATCH(LARGE($X16:$AC16,1),$X16:$AC16,0),1)&amp;" — "&amp;ROUND(LARGE($X16:$AC16,1),0)&amp;"/100","")</f>
        <v>Performance Quality — 89/100</v>
      </c>
      <c r="K16" s="105" t="str">
        <f ca="1">IFERROR(INDEX(Lookup_Lists!$AC$6:$AC$11,MATCH(LARGE($X16:$AC16,2),$X16:$AC16,0),1)&amp;" — "&amp;ROUND(LARGE($X16:$AC16,2),0)&amp;"/100","")</f>
        <v>Brand Safety — 81/100</v>
      </c>
      <c r="L16" s="105" t="str">
        <f ca="1">IFERROR(INDEX(Lookup_Lists!$AC$6:$AC$11,MATCH(LARGE($X16:$AC16,3),$X16:$AC16,0),1)&amp;" — "&amp;ROUND(LARGE($X16:$AC16,3),0)&amp;"/100","")</f>
        <v>Brand Personality Fit — 68/100</v>
      </c>
      <c r="M16" s="105" t="str">
        <f ca="1">IFERROR(IF(SMALL($X16:$AC16,1)&gt;=Lookup_Lists!$D$161,"No material gap — "&amp;INDEX(Lookup_Lists!$AC$6:$AC$11,MATCH(SMALL($X16:$AC16,1),$X16:$AC16,0),1)&amp;" at "&amp;ROUND(SMALL($X16:$AC16,1),0)&amp;"/100",INDEX(Lookup_Lists!$AC$6:$AC$11,MATCH(SMALL($X16:$AC16,1),$X16:$AC16,0),1)&amp;" only "&amp;ROUND(SMALL($X16:$AC16,1),0)&amp;"/100"),"")</f>
        <v>Brand &amp; Business Relevance only 22/100</v>
      </c>
      <c r="N16" s="105" t="str">
        <f ca="1">IFERROR(IF(SMALL($X16:$AC16,2)&gt;=Lookup_Lists!$D$161,"No material gap — "&amp;INDEX(Lookup_Lists!$AC$6:$AC$11,MATCH(SMALL($X16:$AC16,2),$X16:$AC16,0),1)&amp;" at "&amp;ROUND(SMALL($X16:$AC16,2),0)&amp;"/100",INDEX(Lookup_Lists!$AC$6:$AC$11,MATCH(SMALL($X16:$AC16,2),$X16:$AC16,0),1)&amp;" only "&amp;ROUND(SMALL($X16:$AC16,2),0)&amp;"/100"),"")</f>
        <v>Content &amp; Category Relevance only 26/100</v>
      </c>
      <c r="O16" s="105" t="str">
        <f ca="1">IFERROR(IF(SMALL($X16:$AC16,3)&gt;=Lookup_Lists!$D$161,"No material gap — "&amp;INDEX(Lookup_Lists!$AC$6:$AC$11,MATCH(SMALL($X16:$AC16,3),$X16:$AC16,0),1)&amp;" at "&amp;ROUND(SMALL($X16:$AC16,3),0)&amp;"/100",INDEX(Lookup_Lists!$AC$6:$AC$11,MATCH(SMALL($X16:$AC16,3),$X16:$AC16,0),1)&amp;" only "&amp;ROUND(SMALL($X16:$AC16,3),0)&amp;"/100"),"")</f>
        <v>Target Audience Relevance only 49/100</v>
      </c>
      <c r="P16" s="105" t="str">
        <f>IF(INDEX(Matching_Engine!$AM$6:$AM$95,$W16,1)="None","No risk flag — competitor saturation "&amp;INDEX(Matching_Engine!$AL$6:$AL$95,$W16,1)&amp;"/100",INDEX(Matching_Engine!$AM$6:$AM$95,$W16,1)&amp;" risk flag — competitor saturation "&amp;INDEX(Matching_Engine!$AL$6:$AL$95,$W16,1)&amp;"/100")</f>
        <v>No risk flag — competitor saturation 49/100</v>
      </c>
      <c r="Q16" s="105" t="str">
        <f ca="1">INDEX(Matching_Engine!$AX$6:$AX$95,$W16,1)</f>
        <v>Low Priority</v>
      </c>
      <c r="R16" s="105" t="str">
        <f>"Industry "&amp;INDEX(Matching_Engine!$K$6:$K$95,$W16,1)&amp;"/100, category "&amp;INDEX(Matching_Engine!$L$6:$L$95,$W16,1)&amp;"/100, keywords "&amp;INDEX(Matching_Engine!$M$6:$M$95,$W16,1)&amp;"/100 — a "&amp;Brand_Profile!$G$10&amp;" brief against a "&amp;KOL_Database!$E$16&amp;" / "&amp;KOL_Database!$F$16&amp;" creator."</f>
        <v>Industry 40/100, category 20/100, keywords 0/100 — a Technology / SaaS brief against a Fitness / Home Workout creator.</v>
      </c>
      <c r="S16" s="105" t="str">
        <f ca="1">"Age "&amp;INDEX(Matching_Engine!$O$6:$O$95,$W16,1)&amp;"/100, gender "&amp;INDEX(Matching_Engine!$P$6:$P$95,$W16,1)&amp;"/100, location "&amp;INDEX(Matching_Engine!$Q$6:$Q$95,$W16,1)&amp;"/100, interests "&amp;INDEX(Matching_Engine!$R$6:$R$95,$W16,1)&amp;"/100. Weighted with priority on "&amp;Brand_Profile!$G$23&amp;"."</f>
        <v>Age 100/100, gender 100/100, location 65/100, interests 0/100. Weighted with priority on Interest.</v>
      </c>
      <c r="T16" s="105" t="str">
        <f>"Category "&amp;INDEX(Matching_Engine!$T$6:$T$95,$W16,1)&amp;"/100, sub category "&amp;INDEX(Matching_Engine!$U$6:$U$95,$W16,1)&amp;"/100, topics "&amp;INDEX(Matching_Engine!$V$6:$V$95,$W16,1)&amp;"/100, style "&amp;INDEX(Matching_Engine!$W$6:$W$95,$W16,1)&amp;"/100 — brief wants "&amp;Brand_Profile!$G$39&amp;", creator delivers "&amp;KOL_Database!$AJ$16&amp;"."</f>
        <v>Category 20/100, sub category 20/100, topics 0/100, style 80/100 — brief wants Educational, creator delivers Tutorial.</v>
      </c>
      <c r="U16" s="105" t="str">
        <f>"Personality "&amp;INDEX(Matching_Engine!$Y$6:$Y$95,$W16,1)&amp;"/100, tone vs style "&amp;INDEX(Matching_Engine!$Z$6:$Z$95,$W16,1)&amp;"/100, values "&amp;INDEX(Matching_Engine!$AA$6:$AA$95,$W16,1)&amp;"/100, communication "&amp;INDEX(Matching_Engine!$AB$6:$AB$95,$W16,1)&amp;"/100 — a "&amp;Brand_Profile!$G$25&amp;" / "&amp;Brand_Profile!$G$28&amp;" brand against a "&amp;KOL_Database!$AK$16&amp;" creator."</f>
        <v>Personality 70/100, tone vs style 95/100, values 20/100, communication 95/100 — a Innovative / Mid-market brand against a Inspirational creator.</v>
      </c>
      <c r="V16" s="105" t="str">
        <f>IF(INDEX(Matching_Engine!$AM$6:$AM$95,$W16,1)="None","No risk flag. ",INDEX(Matching_Engine!$AM$6:$AM$95,$W16,1)&amp;" risk flag. ")&amp;"Brand Safety "&amp;INDEX(Matching_Engine!$AK$6:$AK$95,$W16,1)&amp;"/100, competitor saturation "&amp;INDEX(Matching_Engine!$AL$6:$AL$95,$W16,1)&amp;"/100"&amp;IF(INDEX(Matching_Engine!$AL$6:$AL$95,$W16,1)&gt;=70," — high, so treat it as a consideration rather than an automatic exclusion.",".")</f>
        <v>No risk flag. Brand Safety 88/100, competitor saturation 49/100.</v>
      </c>
      <c r="W16" s="105">
        <f>MATCH(Brand_Profile!$B$4&amp;"|"&amp;KOL_Database!$A$16,Matching_Engine!$AZ$6:$AZ$95,0)</f>
        <v>12</v>
      </c>
      <c r="X16" s="147">
        <f>INDEX(Matching_Engine!$N$6:$N$95,$W16,1)+0.006</f>
        <v>22.006</v>
      </c>
      <c r="Y16" s="147">
        <f ca="1">INDEX(Matching_Engine!$S$6:$S$95,$W16,1)+0.005</f>
        <v>49.005</v>
      </c>
      <c r="Z16" s="147">
        <f>INDEX(Matching_Engine!$X$6:$X$95,$W16,1)+0.004</f>
        <v>26.004</v>
      </c>
      <c r="AA16" s="147">
        <f>INDEX(Matching_Engine!$AC$6:$AC$95,$W16,1)+0.003</f>
        <v>68.003</v>
      </c>
      <c r="AB16" s="147">
        <f>INDEX(Matching_Engine!$AJ$6:$AJ$95,$W16,1)+0.002</f>
        <v>89.002</v>
      </c>
      <c r="AC16" s="147">
        <f>INDEX(Matching_Engine!$AO$6:$AO$95,$W16,1)+0.001</f>
        <v>81.001</v>
      </c>
    </row>
    <row r="17" spans="1:29">
      <c r="A17" s="105" t="str">
        <f>KOL_Database!$A$17</f>
        <v>KOL-13</v>
      </c>
      <c r="B17" s="105" t="str">
        <f>KOL_Database!$B$17</f>
        <v>Kevin Halim</v>
      </c>
      <c r="C17" s="105" t="str">
        <f>KOL_Database!$C$17</f>
        <v>@kevinstyleid</v>
      </c>
      <c r="D17" s="105" t="str">
        <f>KOL_Database!$D$17</f>
        <v>Instagram</v>
      </c>
      <c r="E17" s="105" t="str">
        <f>KOL_Database!$E$17</f>
        <v>Fashion</v>
      </c>
      <c r="F17" s="146">
        <f ca="1">INDEX(Matching_Engine!$AP$6:$AP$95,$W17,1)</f>
        <v>45</v>
      </c>
      <c r="G17" s="105" t="str">
        <f ca="1">INDEX(Matching_Engine!$AQ$6:$AQ$95,$W17,1)</f>
        <v>Low Match</v>
      </c>
      <c r="H17" s="105" t="str">
        <f>INDEX(Matching_Engine!$AS$6:$AS$95,$W17,1)</f>
        <v>High</v>
      </c>
      <c r="I17" s="105" t="str">
        <f ca="1">"Strongest on "&amp;INDEX(Lookup_Lists!$AC$6:$AC$11,MATCH(LARGE($X17:$AC17,1),$X17:$AC17,0),1)&amp;" at "&amp;ROUND(LARGE($X17:$AC17,1),0)&amp;"/100. "&amp;"Audience overlap "&amp;INDEX(Matching_Engine!$S$6:$S$95,$W17,1)&amp;"/100 against the "&amp;Brand_Profile!$G$16&amp;" / "&amp;Brand_Profile!$G$17&amp;" target; "&amp;KOL_Database!$E$17&amp;" content against a "&amp;Brand_Profile!$G$10&amp;" brief. "&amp;"Final Brand Match "&amp;INDEX(Matching_Engine!$AP$6:$AP$95,$W17,1)&amp;"/100 ("&amp;INDEX(Matching_Engine!$AQ$6:$AQ$95,$W17,1)&amp;")."</f>
        <v>Strongest on Brand Safety at 80/100. Audience overlap 58/100 against the 25-34 / 18-24 target; Fashion content against a Technology / SaaS brief. Final Brand Match 45/100 (Low Match).</v>
      </c>
      <c r="J17" s="105" t="str">
        <f ca="1">IFERROR(INDEX(Lookup_Lists!$AC$6:$AC$11,MATCH(LARGE($X17:$AC17,1),$X17:$AC17,0),1)&amp;" — "&amp;ROUND(LARGE($X17:$AC17,1),0)&amp;"/100","")</f>
        <v>Brand Safety — 80/100</v>
      </c>
      <c r="K17" s="105" t="str">
        <f ca="1">IFERROR(INDEX(Lookup_Lists!$AC$6:$AC$11,MATCH(LARGE($X17:$AC17,2),$X17:$AC17,0),1)&amp;" — "&amp;ROUND(LARGE($X17:$AC17,2),0)&amp;"/100","")</f>
        <v>Performance Quality — 67/100</v>
      </c>
      <c r="L17" s="105" t="str">
        <f ca="1">IFERROR(INDEX(Lookup_Lists!$AC$6:$AC$11,MATCH(LARGE($X17:$AC17,3),$X17:$AC17,0),1)&amp;" — "&amp;ROUND(LARGE($X17:$AC17,3),0)&amp;"/100","")</f>
        <v>Target Audience Relevance — 58/100</v>
      </c>
      <c r="M17" s="105" t="str">
        <f ca="1">IFERROR(IF(SMALL($X17:$AC17,1)&gt;=Lookup_Lists!$D$161,"No material gap — "&amp;INDEX(Lookup_Lists!$AC$6:$AC$11,MATCH(SMALL($X17:$AC17,1),$X17:$AC17,0),1)&amp;" at "&amp;ROUND(SMALL($X17:$AC17,1),0)&amp;"/100",INDEX(Lookup_Lists!$AC$6:$AC$11,MATCH(SMALL($X17:$AC17,1),$X17:$AC17,0),1)&amp;" only "&amp;ROUND(SMALL($X17:$AC17,1),0)&amp;"/100"),"")</f>
        <v>Brand &amp; Business Relevance only 14/100</v>
      </c>
      <c r="N17" s="105" t="str">
        <f ca="1">IFERROR(IF(SMALL($X17:$AC17,2)&gt;=Lookup_Lists!$D$161,"No material gap — "&amp;INDEX(Lookup_Lists!$AC$6:$AC$11,MATCH(SMALL($X17:$AC17,2),$X17:$AC17,0),1)&amp;" at "&amp;ROUND(SMALL($X17:$AC17,2),0)&amp;"/100",INDEX(Lookup_Lists!$AC$6:$AC$11,MATCH(SMALL($X17:$AC17,2),$X17:$AC17,0),1)&amp;" only "&amp;ROUND(SMALL($X17:$AC17,2),0)&amp;"/100"),"")</f>
        <v>Content &amp; Category Relevance only 19/100</v>
      </c>
      <c r="O17" s="105" t="str">
        <f ca="1">IFERROR(IF(SMALL($X17:$AC17,3)&gt;=Lookup_Lists!$D$161,"No material gap — "&amp;INDEX(Lookup_Lists!$AC$6:$AC$11,MATCH(SMALL($X17:$AC17,3),$X17:$AC17,0),1)&amp;" at "&amp;ROUND(SMALL($X17:$AC17,3),0)&amp;"/100",INDEX(Lookup_Lists!$AC$6:$AC$11,MATCH(SMALL($X17:$AC17,3),$X17:$AC17,0),1)&amp;" only "&amp;ROUND(SMALL($X17:$AC17,3),0)&amp;"/100"),"")</f>
        <v>Brand Personality Fit only 58/100</v>
      </c>
      <c r="P17" s="105" t="str">
        <f>IF(INDEX(Matching_Engine!$AM$6:$AM$95,$W17,1)="None","No risk flag — competitor saturation "&amp;INDEX(Matching_Engine!$AL$6:$AL$95,$W17,1)&amp;"/100",INDEX(Matching_Engine!$AM$6:$AM$95,$W17,1)&amp;" risk flag — competitor saturation "&amp;INDEX(Matching_Engine!$AL$6:$AL$95,$W17,1)&amp;"/100")</f>
        <v>No risk flag — competitor saturation 54/100</v>
      </c>
      <c r="Q17" s="105" t="str">
        <f ca="1">INDEX(Matching_Engine!$AX$6:$AX$95,$W17,1)</f>
        <v>Low Priority</v>
      </c>
      <c r="R17" s="105" t="str">
        <f>"Industry "&amp;INDEX(Matching_Engine!$K$6:$K$95,$W17,1)&amp;"/100, category "&amp;INDEX(Matching_Engine!$L$6:$L$95,$W17,1)&amp;"/100, keywords "&amp;INDEX(Matching_Engine!$M$6:$M$95,$W17,1)&amp;"/100 — a "&amp;Brand_Profile!$G$10&amp;" brief against a "&amp;KOL_Database!$E$17&amp;" / "&amp;KOL_Database!$F$17&amp;" creator."</f>
        <v>Industry 20/100, category 20/100, keywords 0/100 — a Technology / SaaS brief against a Fashion / Streetwear creator.</v>
      </c>
      <c r="S17" s="105" t="str">
        <f ca="1">"Age "&amp;INDEX(Matching_Engine!$O$6:$O$95,$W17,1)&amp;"/100, gender "&amp;INDEX(Matching_Engine!$P$6:$P$95,$W17,1)&amp;"/100, location "&amp;INDEX(Matching_Engine!$Q$6:$Q$95,$W17,1)&amp;"/100, interests "&amp;INDEX(Matching_Engine!$R$6:$R$95,$W17,1)&amp;"/100. Weighted with priority on "&amp;Brand_Profile!$G$23&amp;"."</f>
        <v>Age 100/100, gender 100/100, location 100/100, interests 0/100. Weighted with priority on Interest.</v>
      </c>
      <c r="T17" s="105" t="str">
        <f>"Category "&amp;INDEX(Matching_Engine!$T$6:$T$95,$W17,1)&amp;"/100, sub category "&amp;INDEX(Matching_Engine!$U$6:$U$95,$W17,1)&amp;"/100, topics "&amp;INDEX(Matching_Engine!$V$6:$V$95,$W17,1)&amp;"/100, style "&amp;INDEX(Matching_Engine!$W$6:$W$95,$W17,1)&amp;"/100 — brief wants "&amp;Brand_Profile!$G$39&amp;", creator delivers "&amp;KOL_Database!$AJ$17&amp;"."</f>
        <v>Category 20/100, sub category 20/100, topics 0/100, style 45/100 — brief wants Educational, creator delivers Aesthetic.</v>
      </c>
      <c r="U17" s="105" t="str">
        <f>"Personality "&amp;INDEX(Matching_Engine!$Y$6:$Y$95,$W17,1)&amp;"/100, tone vs style "&amp;INDEX(Matching_Engine!$Z$6:$Z$95,$W17,1)&amp;"/100, values "&amp;INDEX(Matching_Engine!$AA$6:$AA$95,$W17,1)&amp;"/100, communication "&amp;INDEX(Matching_Engine!$AB$6:$AB$95,$W17,1)&amp;"/100 — a "&amp;Brand_Profile!$G$25&amp;" / "&amp;Brand_Profile!$G$28&amp;" brand against a "&amp;KOL_Database!$AK$17&amp;" creator."</f>
        <v>Personality 95/100, tone vs style 50/100, values 20/100, communication 45/100 — a Innovative / Mid-market brand against a Creative creator.</v>
      </c>
      <c r="V17" s="105" t="str">
        <f>IF(INDEX(Matching_Engine!$AM$6:$AM$95,$W17,1)="None","No risk flag. ",INDEX(Matching_Engine!$AM$6:$AM$95,$W17,1)&amp;" risk flag. ")&amp;"Brand Safety "&amp;INDEX(Matching_Engine!$AK$6:$AK$95,$W17,1)&amp;"/100, competitor saturation "&amp;INDEX(Matching_Engine!$AL$6:$AL$95,$W17,1)&amp;"/100"&amp;IF(INDEX(Matching_Engine!$AL$6:$AL$95,$W17,1)&gt;=70," — high, so treat it as a consideration rather than an automatic exclusion.",".")</f>
        <v>No risk flag. Brand Safety 89/100, competitor saturation 54/100.</v>
      </c>
      <c r="W17" s="105">
        <f>MATCH(Brand_Profile!$B$4&amp;"|"&amp;KOL_Database!$A$17,Matching_Engine!$AZ$6:$AZ$95,0)</f>
        <v>13</v>
      </c>
      <c r="X17" s="147">
        <f>INDEX(Matching_Engine!$N$6:$N$95,$W17,1)+0.006</f>
        <v>14.006</v>
      </c>
      <c r="Y17" s="147">
        <f ca="1">INDEX(Matching_Engine!$S$6:$S$95,$W17,1)+0.005</f>
        <v>58.005</v>
      </c>
      <c r="Z17" s="147">
        <f>INDEX(Matching_Engine!$X$6:$X$95,$W17,1)+0.004</f>
        <v>19.004</v>
      </c>
      <c r="AA17" s="147">
        <f>INDEX(Matching_Engine!$AC$6:$AC$95,$W17,1)+0.003</f>
        <v>58.003</v>
      </c>
      <c r="AB17" s="147">
        <f>INDEX(Matching_Engine!$AJ$6:$AJ$95,$W17,1)+0.002</f>
        <v>67.002</v>
      </c>
      <c r="AC17" s="147">
        <f>INDEX(Matching_Engine!$AO$6:$AO$95,$W17,1)+0.001</f>
        <v>80.001</v>
      </c>
    </row>
    <row r="18" spans="1:29">
      <c r="A18" s="105" t="str">
        <f>KOL_Database!$A$18</f>
        <v>KOL-14</v>
      </c>
      <c r="B18" s="105" t="str">
        <f>KOL_Database!$B$18</f>
        <v>Zahra Amelia</v>
      </c>
      <c r="C18" s="105" t="str">
        <f>KOL_Database!$C$18</f>
        <v>@zahrahijabstyle</v>
      </c>
      <c r="D18" s="105" t="str">
        <f>KOL_Database!$D$18</f>
        <v>Instagram</v>
      </c>
      <c r="E18" s="105" t="str">
        <f>KOL_Database!$E$18</f>
        <v>Fashion</v>
      </c>
      <c r="F18" s="146">
        <f ca="1">INDEX(Matching_Engine!$AP$6:$AP$95,$W18,1)</f>
        <v>41</v>
      </c>
      <c r="G18" s="105" t="str">
        <f ca="1">INDEX(Matching_Engine!$AQ$6:$AQ$95,$W18,1)</f>
        <v>Low Match</v>
      </c>
      <c r="H18" s="105" t="str">
        <f>INDEX(Matching_Engine!$AS$6:$AS$95,$W18,1)</f>
        <v>High</v>
      </c>
      <c r="I18" s="105" t="str">
        <f ca="1">"Strongest on "&amp;INDEX(Lookup_Lists!$AC$6:$AC$11,MATCH(LARGE($X18:$AC18,1),$X18:$AC18,0),1)&amp;" at "&amp;ROUND(LARGE($X18:$AC18,1),0)&amp;"/100. "&amp;"Audience overlap "&amp;INDEX(Matching_Engine!$S$6:$S$95,$W18,1)&amp;"/100 against the "&amp;Brand_Profile!$G$16&amp;" / "&amp;Brand_Profile!$G$17&amp;" target; "&amp;KOL_Database!$E$18&amp;" content against a "&amp;Brand_Profile!$G$10&amp;" brief. "&amp;"Final Brand Match "&amp;INDEX(Matching_Engine!$AP$6:$AP$95,$W18,1)&amp;"/100 ("&amp;INDEX(Matching_Engine!$AQ$6:$AQ$95,$W18,1)&amp;")."</f>
        <v>Strongest on Performance Quality at 75/100. Audience overlap 49/100 against the 25-34 / 18-24 target; Fashion content against a Technology / SaaS brief. Final Brand Match 41/100 (Low Match).</v>
      </c>
      <c r="J18" s="105" t="str">
        <f ca="1">IFERROR(INDEX(Lookup_Lists!$AC$6:$AC$11,MATCH(LARGE($X18:$AC18,1),$X18:$AC18,0),1)&amp;" — "&amp;ROUND(LARGE($X18:$AC18,1),0)&amp;"/100","")</f>
        <v>Performance Quality — 75/100</v>
      </c>
      <c r="K18" s="105" t="str">
        <f ca="1">IFERROR(INDEX(Lookup_Lists!$AC$6:$AC$11,MATCH(LARGE($X18:$AC18,2),$X18:$AC18,0),1)&amp;" — "&amp;ROUND(LARGE($X18:$AC18,2),0)&amp;"/100","")</f>
        <v>Brand Safety — 71/100</v>
      </c>
      <c r="L18" s="105" t="str">
        <f ca="1">IFERROR(INDEX(Lookup_Lists!$AC$6:$AC$11,MATCH(LARGE($X18:$AC18,3),$X18:$AC18,0),1)&amp;" — "&amp;ROUND(LARGE($X18:$AC18,3),0)&amp;"/100","")</f>
        <v>Brand Personality Fit — 50/100</v>
      </c>
      <c r="M18" s="105" t="str">
        <f ca="1">IFERROR(IF(SMALL($X18:$AC18,1)&gt;=Lookup_Lists!$D$161,"No material gap — "&amp;INDEX(Lookup_Lists!$AC$6:$AC$11,MATCH(SMALL($X18:$AC18,1),$X18:$AC18,0),1)&amp;" at "&amp;ROUND(SMALL($X18:$AC18,1),0)&amp;"/100",INDEX(Lookup_Lists!$AC$6:$AC$11,MATCH(SMALL($X18:$AC18,1),$X18:$AC18,0),1)&amp;" only "&amp;ROUND(SMALL($X18:$AC18,1),0)&amp;"/100"),"")</f>
        <v>Brand &amp; Business Relevance only 14/100</v>
      </c>
      <c r="N18" s="105" t="str">
        <f ca="1">IFERROR(IF(SMALL($X18:$AC18,2)&gt;=Lookup_Lists!$D$161,"No material gap — "&amp;INDEX(Lookup_Lists!$AC$6:$AC$11,MATCH(SMALL($X18:$AC18,2),$X18:$AC18,0),1)&amp;" at "&amp;ROUND(SMALL($X18:$AC18,2),0)&amp;"/100",INDEX(Lookup_Lists!$AC$6:$AC$11,MATCH(SMALL($X18:$AC18,2),$X18:$AC18,0),1)&amp;" only "&amp;ROUND(SMALL($X18:$AC18,2),0)&amp;"/100"),"")</f>
        <v>Content &amp; Category Relevance only 19/100</v>
      </c>
      <c r="O18" s="105" t="str">
        <f ca="1">IFERROR(IF(SMALL($X18:$AC18,3)&gt;=Lookup_Lists!$D$161,"No material gap — "&amp;INDEX(Lookup_Lists!$AC$6:$AC$11,MATCH(SMALL($X18:$AC18,3),$X18:$AC18,0),1)&amp;" at "&amp;ROUND(SMALL($X18:$AC18,3),0)&amp;"/100",INDEX(Lookup_Lists!$AC$6:$AC$11,MATCH(SMALL($X18:$AC18,3),$X18:$AC18,0),1)&amp;" only "&amp;ROUND(SMALL($X18:$AC18,3),0)&amp;"/100"),"")</f>
        <v>Target Audience Relevance only 49/100</v>
      </c>
      <c r="P18" s="105" t="str">
        <f>IF(INDEX(Matching_Engine!$AM$6:$AM$95,$W18,1)="None","No risk flag — competitor saturation "&amp;INDEX(Matching_Engine!$AL$6:$AL$95,$W18,1)&amp;"/100",INDEX(Matching_Engine!$AM$6:$AM$95,$W18,1)&amp;" risk flag — competitor saturation "&amp;INDEX(Matching_Engine!$AL$6:$AL$95,$W18,1)&amp;"/100")</f>
        <v>Low risk flag — competitor saturation 15/100</v>
      </c>
      <c r="Q18" s="105" t="str">
        <f ca="1">INDEX(Matching_Engine!$AX$6:$AX$95,$W18,1)</f>
        <v>Excluded</v>
      </c>
      <c r="R18" s="105" t="str">
        <f>"Industry "&amp;INDEX(Matching_Engine!$K$6:$K$95,$W18,1)&amp;"/100, category "&amp;INDEX(Matching_Engine!$L$6:$L$95,$W18,1)&amp;"/100, keywords "&amp;INDEX(Matching_Engine!$M$6:$M$95,$W18,1)&amp;"/100 — a "&amp;Brand_Profile!$G$10&amp;" brief against a "&amp;KOL_Database!$E$18&amp;" / "&amp;KOL_Database!$F$18&amp;" creator."</f>
        <v>Industry 20/100, category 20/100, keywords 0/100 — a Technology / SaaS brief against a Fashion / Hijab Fashion creator.</v>
      </c>
      <c r="S18" s="105" t="str">
        <f ca="1">"Age "&amp;INDEX(Matching_Engine!$O$6:$O$95,$W18,1)&amp;"/100, gender "&amp;INDEX(Matching_Engine!$P$6:$P$95,$W18,1)&amp;"/100, location "&amp;INDEX(Matching_Engine!$Q$6:$Q$95,$W18,1)&amp;"/100, interests "&amp;INDEX(Matching_Engine!$R$6:$R$95,$W18,1)&amp;"/100. Weighted with priority on "&amp;Brand_Profile!$G$23&amp;"."</f>
        <v>Age 100/100, gender 100/100, location 65/100, interests 0/100. Weighted with priority on Interest.</v>
      </c>
      <c r="T18" s="105" t="str">
        <f>"Category "&amp;INDEX(Matching_Engine!$T$6:$T$95,$W18,1)&amp;"/100, sub category "&amp;INDEX(Matching_Engine!$U$6:$U$95,$W18,1)&amp;"/100, topics "&amp;INDEX(Matching_Engine!$V$6:$V$95,$W18,1)&amp;"/100, style "&amp;INDEX(Matching_Engine!$W$6:$W$95,$W18,1)&amp;"/100 — brief wants "&amp;Brand_Profile!$G$39&amp;", creator delivers "&amp;KOL_Database!$AJ$18&amp;"."</f>
        <v>Category 20/100, sub category 20/100, topics 0/100, style 45/100 — brief wants Educational, creator delivers Aesthetic.</v>
      </c>
      <c r="U18" s="105" t="str">
        <f>"Personality "&amp;INDEX(Matching_Engine!$Y$6:$Y$95,$W18,1)&amp;"/100, tone vs style "&amp;INDEX(Matching_Engine!$Z$6:$Z$95,$W18,1)&amp;"/100, values "&amp;INDEX(Matching_Engine!$AA$6:$AA$95,$W18,1)&amp;"/100, communication "&amp;INDEX(Matching_Engine!$AB$6:$AB$95,$W18,1)&amp;"/100 — a "&amp;Brand_Profile!$G$25&amp;" / "&amp;Brand_Profile!$G$28&amp;" brand against a "&amp;KOL_Database!$AK$18&amp;" creator."</f>
        <v>Personality 60/100, tone vs style 50/100, values 40/100, communication 45/100 — a Innovative / Mid-market brand against a Premium creator.</v>
      </c>
      <c r="V18" s="105" t="str">
        <f>IF(INDEX(Matching_Engine!$AM$6:$AM$95,$W18,1)="None","No risk flag. ",INDEX(Matching_Engine!$AM$6:$AM$95,$W18,1)&amp;" risk flag. ")&amp;"Brand Safety "&amp;INDEX(Matching_Engine!$AK$6:$AK$95,$W18,1)&amp;"/100, competitor saturation "&amp;INDEX(Matching_Engine!$AL$6:$AL$95,$W18,1)&amp;"/100"&amp;IF(INDEX(Matching_Engine!$AL$6:$AL$95,$W18,1)&gt;=70," — high, so treat it as a consideration rather than an automatic exclusion.",".")</f>
        <v>Low risk flag. Brand Safety 72/100, competitor saturation 15/100.</v>
      </c>
      <c r="W18" s="105">
        <f>MATCH(Brand_Profile!$B$4&amp;"|"&amp;KOL_Database!$A$18,Matching_Engine!$AZ$6:$AZ$95,0)</f>
        <v>14</v>
      </c>
      <c r="X18" s="147">
        <f>INDEX(Matching_Engine!$N$6:$N$95,$W18,1)+0.006</f>
        <v>14.006</v>
      </c>
      <c r="Y18" s="147">
        <f ca="1">INDEX(Matching_Engine!$S$6:$S$95,$W18,1)+0.005</f>
        <v>49.005</v>
      </c>
      <c r="Z18" s="147">
        <f>INDEX(Matching_Engine!$X$6:$X$95,$W18,1)+0.004</f>
        <v>19.004</v>
      </c>
      <c r="AA18" s="147">
        <f>INDEX(Matching_Engine!$AC$6:$AC$95,$W18,1)+0.003</f>
        <v>50.003</v>
      </c>
      <c r="AB18" s="147">
        <f>INDEX(Matching_Engine!$AJ$6:$AJ$95,$W18,1)+0.002</f>
        <v>75.002</v>
      </c>
      <c r="AC18" s="147">
        <f>INDEX(Matching_Engine!$AO$6:$AO$95,$W18,1)+0.001</f>
        <v>71.001</v>
      </c>
    </row>
    <row r="19" spans="1:29">
      <c r="A19" s="105" t="str">
        <f>KOL_Database!$A$19</f>
        <v>KOL-15</v>
      </c>
      <c r="B19" s="105" t="str">
        <f>KOL_Database!$B$19</f>
        <v>Andini Rahma</v>
      </c>
      <c r="C19" s="105" t="str">
        <f>KOL_Database!$C$19</f>
        <v>@andinidaily</v>
      </c>
      <c r="D19" s="105" t="str">
        <f>KOL_Database!$D$19</f>
        <v>Instagram</v>
      </c>
      <c r="E19" s="105" t="str">
        <f>KOL_Database!$E$19</f>
        <v>Lifestyle</v>
      </c>
      <c r="F19" s="146">
        <f ca="1">INDEX(Matching_Engine!$AP$6:$AP$95,$W19,1)</f>
        <v>48</v>
      </c>
      <c r="G19" s="105" t="str">
        <f ca="1">INDEX(Matching_Engine!$AQ$6:$AQ$95,$W19,1)</f>
        <v>Low Match</v>
      </c>
      <c r="H19" s="105" t="str">
        <f>INDEX(Matching_Engine!$AS$6:$AS$95,$W19,1)</f>
        <v>Limited Data</v>
      </c>
      <c r="I19" s="105" t="str">
        <f ca="1">"Strongest on "&amp;INDEX(Lookup_Lists!$AC$6:$AC$11,MATCH(LARGE($X19:$AC19,1),$X19:$AC19,0),1)&amp;" at "&amp;ROUND(LARGE($X19:$AC19,1),0)&amp;"/100. "&amp;"Audience overlap "&amp;INDEX(Matching_Engine!$S$6:$S$95,$W19,1)&amp;"/100 against the "&amp;Brand_Profile!$G$16&amp;" / "&amp;Brand_Profile!$G$17&amp;" target; "&amp;KOL_Database!$E$19&amp;" content against a "&amp;Brand_Profile!$G$10&amp;" brief. "&amp;"Final Brand Match "&amp;INDEX(Matching_Engine!$AP$6:$AP$95,$W19,1)&amp;"/100 ("&amp;INDEX(Matching_Engine!$AQ$6:$AQ$95,$W19,1)&amp;")."</f>
        <v>Strongest on Brand Safety at 80/100. Audience overlap 58/100 against the 25-34 / 18-24 target; Lifestyle content against a Technology / SaaS brief. Final Brand Match 48/100 (Low Match).</v>
      </c>
      <c r="J19" s="105" t="str">
        <f ca="1">IFERROR(INDEX(Lookup_Lists!$AC$6:$AC$11,MATCH(LARGE($X19:$AC19,1),$X19:$AC19,0),1)&amp;" — "&amp;ROUND(LARGE($X19:$AC19,1),0)&amp;"/100","")</f>
        <v>Brand Safety — 80/100</v>
      </c>
      <c r="K19" s="105" t="str">
        <f ca="1">IFERROR(INDEX(Lookup_Lists!$AC$6:$AC$11,MATCH(LARGE($X19:$AC19,2),$X19:$AC19,0),1)&amp;" — "&amp;ROUND(LARGE($X19:$AC19,2),0)&amp;"/100","")</f>
        <v>Performance Quality — 74/100</v>
      </c>
      <c r="L19" s="105" t="str">
        <f ca="1">IFERROR(INDEX(Lookup_Lists!$AC$6:$AC$11,MATCH(LARGE($X19:$AC19,3),$X19:$AC19,0),1)&amp;" — "&amp;ROUND(LARGE($X19:$AC19,3),0)&amp;"/100","")</f>
        <v>Target Audience Relevance — 58/100</v>
      </c>
      <c r="M19" s="105" t="str">
        <f ca="1">IFERROR(IF(SMALL($X19:$AC19,1)&gt;=Lookup_Lists!$D$161,"No material gap — "&amp;INDEX(Lookup_Lists!$AC$6:$AC$11,MATCH(SMALL($X19:$AC19,1),$X19:$AC19,0),1)&amp;" at "&amp;ROUND(SMALL($X19:$AC19,1),0)&amp;"/100",INDEX(Lookup_Lists!$AC$6:$AC$11,MATCH(SMALL($X19:$AC19,1),$X19:$AC19,0),1)&amp;" only "&amp;ROUND(SMALL($X19:$AC19,1),0)&amp;"/100"),"")</f>
        <v>Content &amp; Category Relevance only 25/100</v>
      </c>
      <c r="N19" s="105" t="str">
        <f ca="1">IFERROR(IF(SMALL($X19:$AC19,2)&gt;=Lookup_Lists!$D$161,"No material gap — "&amp;INDEX(Lookup_Lists!$AC$6:$AC$11,MATCH(SMALL($X19:$AC19,2),$X19:$AC19,0),1)&amp;" at "&amp;ROUND(SMALL($X19:$AC19,2),0)&amp;"/100",INDEX(Lookup_Lists!$AC$6:$AC$11,MATCH(SMALL($X19:$AC19,2),$X19:$AC19,0),1)&amp;" only "&amp;ROUND(SMALL($X19:$AC19,2),0)&amp;"/100"),"")</f>
        <v>Brand &amp; Business Relevance only 30/100</v>
      </c>
      <c r="O19" s="105" t="str">
        <f ca="1">IFERROR(IF(SMALL($X19:$AC19,3)&gt;=Lookup_Lists!$D$161,"No material gap — "&amp;INDEX(Lookup_Lists!$AC$6:$AC$11,MATCH(SMALL($X19:$AC19,3),$X19:$AC19,0),1)&amp;" at "&amp;ROUND(SMALL($X19:$AC19,3),0)&amp;"/100",INDEX(Lookup_Lists!$AC$6:$AC$11,MATCH(SMALL($X19:$AC19,3),$X19:$AC19,0),1)&amp;" only "&amp;ROUND(SMALL($X19:$AC19,3),0)&amp;"/100"),"")</f>
        <v>Brand Personality Fit only 39/100</v>
      </c>
      <c r="P19" s="105" t="str">
        <f>IF(INDEX(Matching_Engine!$AM$6:$AM$95,$W19,1)="None","No risk flag — competitor saturation "&amp;INDEX(Matching_Engine!$AL$6:$AL$95,$W19,1)&amp;"/100",INDEX(Matching_Engine!$AM$6:$AM$95,$W19,1)&amp;" risk flag — competitor saturation "&amp;INDEX(Matching_Engine!$AL$6:$AL$95,$W19,1)&amp;"/100")</f>
        <v>No risk flag — competitor saturation 47/100</v>
      </c>
      <c r="Q19" s="105" t="str">
        <f ca="1">INDEX(Matching_Engine!$AX$6:$AX$95,$W19,1)</f>
        <v>Low Priority</v>
      </c>
      <c r="R19" s="105" t="str">
        <f>"Industry "&amp;INDEX(Matching_Engine!$K$6:$K$95,$W19,1)&amp;"/100, category "&amp;INDEX(Matching_Engine!$L$6:$L$95,$W19,1)&amp;"/100, keywords "&amp;INDEX(Matching_Engine!$M$6:$M$95,$W19,1)&amp;"/100 — a "&amp;Brand_Profile!$G$10&amp;" brief against a "&amp;KOL_Database!$E$19&amp;" / "&amp;KOL_Database!$F$19&amp;" creator."</f>
        <v>Industry 60/100, category 20/100, keywords 0/100 — a Technology / SaaS brief against a Lifestyle / Daily Vlog creator.</v>
      </c>
      <c r="S19" s="105" t="str">
        <f ca="1">"Age "&amp;INDEX(Matching_Engine!$O$6:$O$95,$W19,1)&amp;"/100, gender "&amp;INDEX(Matching_Engine!$P$6:$P$95,$W19,1)&amp;"/100, location "&amp;INDEX(Matching_Engine!$Q$6:$Q$95,$W19,1)&amp;"/100, interests "&amp;INDEX(Matching_Engine!$R$6:$R$95,$W19,1)&amp;"/100. Weighted with priority on "&amp;Brand_Profile!$G$23&amp;"."</f>
        <v>Age 100/100, gender 100/100, location 100/100, interests 0/100. Weighted with priority on Interest.</v>
      </c>
      <c r="T19" s="105" t="str">
        <f>"Category "&amp;INDEX(Matching_Engine!$T$6:$T$95,$W19,1)&amp;"/100, sub category "&amp;INDEX(Matching_Engine!$U$6:$U$95,$W19,1)&amp;"/100, topics "&amp;INDEX(Matching_Engine!$V$6:$V$95,$W19,1)&amp;"/100, style "&amp;INDEX(Matching_Engine!$W$6:$W$95,$W19,1)&amp;"/100 — brief wants "&amp;Brand_Profile!$G$39&amp;", creator delivers "&amp;KOL_Database!$AJ$19&amp;"."</f>
        <v>Category 40/100, sub category 20/100, topics 0/100, style 45/100 — brief wants Educational, creator delivers Vlog.</v>
      </c>
      <c r="U19" s="105" t="str">
        <f>"Personality "&amp;INDEX(Matching_Engine!$Y$6:$Y$95,$W19,1)&amp;"/100, tone vs style "&amp;INDEX(Matching_Engine!$Z$6:$Z$95,$W19,1)&amp;"/100, values "&amp;INDEX(Matching_Engine!$AA$6:$AA$95,$W19,1)&amp;"/100, communication "&amp;INDEX(Matching_Engine!$AB$6:$AB$95,$W19,1)&amp;"/100 — a "&amp;Brand_Profile!$G$25&amp;" / "&amp;Brand_Profile!$G$28&amp;" brand against a "&amp;KOL_Database!$AK$19&amp;" creator."</f>
        <v>Personality 50/100, tone vs style 55/100, values 0/100, communication 50/100 — a Innovative / Mid-market brand against a Relatable creator.</v>
      </c>
      <c r="V19" s="105" t="str">
        <f>IF(INDEX(Matching_Engine!$AM$6:$AM$95,$W19,1)="None","No risk flag. ",INDEX(Matching_Engine!$AM$6:$AM$95,$W19,1)&amp;" risk flag. ")&amp;"Brand Safety "&amp;INDEX(Matching_Engine!$AK$6:$AK$95,$W19,1)&amp;"/100, competitor saturation "&amp;INDEX(Matching_Engine!$AL$6:$AL$95,$W19,1)&amp;"/100"&amp;IF(INDEX(Matching_Engine!$AL$6:$AL$95,$W19,1)&gt;=70," — high, so treat it as a consideration rather than an automatic exclusion.",".")</f>
        <v>No risk flag. Brand Safety 87/100, competitor saturation 47/100.</v>
      </c>
      <c r="W19" s="105">
        <f>MATCH(Brand_Profile!$B$4&amp;"|"&amp;KOL_Database!$A$19,Matching_Engine!$AZ$6:$AZ$95,0)</f>
        <v>15</v>
      </c>
      <c r="X19" s="147">
        <f>INDEX(Matching_Engine!$N$6:$N$95,$W19,1)+0.006</f>
        <v>30.006</v>
      </c>
      <c r="Y19" s="147">
        <f ca="1">INDEX(Matching_Engine!$S$6:$S$95,$W19,1)+0.005</f>
        <v>58.005</v>
      </c>
      <c r="Z19" s="147">
        <f>INDEX(Matching_Engine!$X$6:$X$95,$W19,1)+0.004</f>
        <v>25.004</v>
      </c>
      <c r="AA19" s="147">
        <f>INDEX(Matching_Engine!$AC$6:$AC$95,$W19,1)+0.003</f>
        <v>39.003</v>
      </c>
      <c r="AB19" s="147">
        <f>INDEX(Matching_Engine!$AJ$6:$AJ$95,$W19,1)+0.002</f>
        <v>74.002</v>
      </c>
      <c r="AC19" s="147">
        <f>INDEX(Matching_Engine!$AO$6:$AO$95,$W19,1)+0.001</f>
        <v>80.001</v>
      </c>
    </row>
    <row r="20" spans="1:29">
      <c r="A20" s="105" t="str">
        <f>KOL_Database!$A$20</f>
        <v>KOL-16</v>
      </c>
      <c r="B20" s="105" t="str">
        <f>KOL_Database!$B$20</f>
        <v>Yoga Pratama</v>
      </c>
      <c r="C20" s="105" t="str">
        <f>KOL_Database!$C$20</f>
        <v>@yogaminimal</v>
      </c>
      <c r="D20" s="105" t="str">
        <f>KOL_Database!$D$20</f>
        <v>TikTok</v>
      </c>
      <c r="E20" s="105" t="str">
        <f>KOL_Database!$E$20</f>
        <v>Lifestyle</v>
      </c>
      <c r="F20" s="146">
        <f ca="1">INDEX(Matching_Engine!$AP$6:$AP$95,$W20,1)</f>
        <v>67</v>
      </c>
      <c r="G20" s="105" t="str">
        <f ca="1">INDEX(Matching_Engine!$AQ$6:$AQ$95,$W20,1)</f>
        <v>Moderate Match</v>
      </c>
      <c r="H20" s="105" t="str">
        <f>INDEX(Matching_Engine!$AS$6:$AS$95,$W20,1)</f>
        <v>High</v>
      </c>
      <c r="I20" s="105" t="str">
        <f ca="1">"Strongest on "&amp;INDEX(Lookup_Lists!$AC$6:$AC$11,MATCH(LARGE($X20:$AC20,1),$X20:$AC20,0),1)&amp;" at "&amp;ROUND(LARGE($X20:$AC20,1),0)&amp;"/100. "&amp;"Audience overlap "&amp;INDEX(Matching_Engine!$S$6:$S$95,$W20,1)&amp;"/100 against the "&amp;Brand_Profile!$G$16&amp;" / "&amp;Brand_Profile!$G$17&amp;" target; "&amp;KOL_Database!$E$20&amp;" content against a "&amp;Brand_Profile!$G$10&amp;" brief. "&amp;"Final Brand Match "&amp;INDEX(Matching_Engine!$AP$6:$AP$95,$W20,1)&amp;"/100 ("&amp;INDEX(Matching_Engine!$AQ$6:$AQ$95,$W20,1)&amp;")."</f>
        <v>Strongest on Target Audience Relevance at 83/100. Audience overlap 83/100 against the 25-34 / 18-24 target; Lifestyle content against a Technology / SaaS brief. Final Brand Match 67/100 (Moderate Match).</v>
      </c>
      <c r="J20" s="105" t="str">
        <f ca="1">IFERROR(INDEX(Lookup_Lists!$AC$6:$AC$11,MATCH(LARGE($X20:$AC20,1),$X20:$AC20,0),1)&amp;" — "&amp;ROUND(LARGE($X20:$AC20,1),0)&amp;"/100","")</f>
        <v>Target Audience Relevance — 83/100</v>
      </c>
      <c r="K20" s="105" t="str">
        <f ca="1">IFERROR(INDEX(Lookup_Lists!$AC$6:$AC$11,MATCH(LARGE($X20:$AC20,2),$X20:$AC20,0),1)&amp;" — "&amp;ROUND(LARGE($X20:$AC20,2),0)&amp;"/100","")</f>
        <v>Performance Quality — 81/100</v>
      </c>
      <c r="L20" s="105" t="str">
        <f ca="1">IFERROR(INDEX(Lookup_Lists!$AC$6:$AC$11,MATCH(LARGE($X20:$AC20,3),$X20:$AC20,0),1)&amp;" — "&amp;ROUND(LARGE($X20:$AC20,3),0)&amp;"/100","")</f>
        <v>Brand Safety — 75/100</v>
      </c>
      <c r="M20" s="105" t="str">
        <f ca="1">IFERROR(IF(SMALL($X20:$AC20,1)&gt;=Lookup_Lists!$D$161,"No material gap — "&amp;INDEX(Lookup_Lists!$AC$6:$AC$11,MATCH(SMALL($X20:$AC20,1),$X20:$AC20,0),1)&amp;" at "&amp;ROUND(SMALL($X20:$AC20,1),0)&amp;"/100",INDEX(Lookup_Lists!$AC$6:$AC$11,MATCH(SMALL($X20:$AC20,1),$X20:$AC20,0),1)&amp;" only "&amp;ROUND(SMALL($X20:$AC20,1),0)&amp;"/100"),"")</f>
        <v>Content &amp; Category Relevance only 49/100</v>
      </c>
      <c r="N20" s="105" t="str">
        <f ca="1">IFERROR(IF(SMALL($X20:$AC20,2)&gt;=Lookup_Lists!$D$161,"No material gap — "&amp;INDEX(Lookup_Lists!$AC$6:$AC$11,MATCH(SMALL($X20:$AC20,2),$X20:$AC20,0),1)&amp;" at "&amp;ROUND(SMALL($X20:$AC20,2),0)&amp;"/100",INDEX(Lookup_Lists!$AC$6:$AC$11,MATCH(SMALL($X20:$AC20,2),$X20:$AC20,0),1)&amp;" only "&amp;ROUND(SMALL($X20:$AC20,2),0)&amp;"/100"),"")</f>
        <v>Brand &amp; Business Relevance only 54/100</v>
      </c>
      <c r="O20" s="105" t="str">
        <f ca="1">IFERROR(IF(SMALL($X20:$AC20,3)&gt;=Lookup_Lists!$D$161,"No material gap — "&amp;INDEX(Lookup_Lists!$AC$6:$AC$11,MATCH(SMALL($X20:$AC20,3),$X20:$AC20,0),1)&amp;" at "&amp;ROUND(SMALL($X20:$AC20,3),0)&amp;"/100",INDEX(Lookup_Lists!$AC$6:$AC$11,MATCH(SMALL($X20:$AC20,3),$X20:$AC20,0),1)&amp;" only "&amp;ROUND(SMALL($X20:$AC20,3),0)&amp;"/100"),"")</f>
        <v>Brand Personality Fit only 60/100</v>
      </c>
      <c r="P20" s="105" t="str">
        <f>IF(INDEX(Matching_Engine!$AM$6:$AM$95,$W20,1)="None","No risk flag — competitor saturation "&amp;INDEX(Matching_Engine!$AL$6:$AL$95,$W20,1)&amp;"/100",INDEX(Matching_Engine!$AM$6:$AM$95,$W20,1)&amp;" risk flag — competitor saturation "&amp;INDEX(Matching_Engine!$AL$6:$AL$95,$W20,1)&amp;"/100")</f>
        <v>Low risk flag — competitor saturation 27/100</v>
      </c>
      <c r="Q20" s="105" t="str">
        <f ca="1">INDEX(Matching_Engine!$AX$6:$AX$95,$W20,1)</f>
        <v>Consider</v>
      </c>
      <c r="R20" s="105" t="str">
        <f>"Industry "&amp;INDEX(Matching_Engine!$K$6:$K$95,$W20,1)&amp;"/100, category "&amp;INDEX(Matching_Engine!$L$6:$L$95,$W20,1)&amp;"/100, keywords "&amp;INDEX(Matching_Engine!$M$6:$M$95,$W20,1)&amp;"/100 — a "&amp;Brand_Profile!$G$10&amp;" brief against a "&amp;KOL_Database!$E$20&amp;" / "&amp;KOL_Database!$F$20&amp;" creator."</f>
        <v>Industry 60/100, category 20/100, keywords 80/100 — a Technology / SaaS brief against a Lifestyle / Self Improvement creator.</v>
      </c>
      <c r="S20" s="105" t="str">
        <f ca="1">"Age "&amp;INDEX(Matching_Engine!$O$6:$O$95,$W20,1)&amp;"/100, gender "&amp;INDEX(Matching_Engine!$P$6:$P$95,$W20,1)&amp;"/100, location "&amp;INDEX(Matching_Engine!$Q$6:$Q$95,$W20,1)&amp;"/100, interests "&amp;INDEX(Matching_Engine!$R$6:$R$95,$W20,1)&amp;"/100. Weighted with priority on "&amp;Brand_Profile!$G$23&amp;"."</f>
        <v>Age 100/100, gender 100/100, location 65/100, interests 80/100. Weighted with priority on Interest.</v>
      </c>
      <c r="T20" s="105" t="str">
        <f>"Category "&amp;INDEX(Matching_Engine!$T$6:$T$95,$W20,1)&amp;"/100, sub category "&amp;INDEX(Matching_Engine!$U$6:$U$95,$W20,1)&amp;"/100, topics "&amp;INDEX(Matching_Engine!$V$6:$V$95,$W20,1)&amp;"/100, style "&amp;INDEX(Matching_Engine!$W$6:$W$95,$W20,1)&amp;"/100 — brief wants "&amp;Brand_Profile!$G$39&amp;", creator delivers "&amp;KOL_Database!$AJ$20&amp;"."</f>
        <v>Category 40/100, sub category 20/100, topics 80/100, style 45/100 — brief wants Educational, creator delivers Storytelling.</v>
      </c>
      <c r="U20" s="105" t="str">
        <f>"Personality "&amp;INDEX(Matching_Engine!$Y$6:$Y$95,$W20,1)&amp;"/100, tone vs style "&amp;INDEX(Matching_Engine!$Z$6:$Z$95,$W20,1)&amp;"/100, values "&amp;INDEX(Matching_Engine!$AA$6:$AA$95,$W20,1)&amp;"/100, communication "&amp;INDEX(Matching_Engine!$AB$6:$AB$95,$W20,1)&amp;"/100 — a "&amp;Brand_Profile!$G$25&amp;" / "&amp;Brand_Profile!$G$28&amp;" brand against a "&amp;KOL_Database!$AK$20&amp;" creator."</f>
        <v>Personality 70/100, tone vs style 65/100, values 40/100, communication 60/100 — a Innovative / Mid-market brand against a Inspirational creator.</v>
      </c>
      <c r="V20" s="105" t="str">
        <f>IF(INDEX(Matching_Engine!$AM$6:$AM$95,$W20,1)="None","No risk flag. ",INDEX(Matching_Engine!$AM$6:$AM$95,$W20,1)&amp;" risk flag. ")&amp;"Brand Safety "&amp;INDEX(Matching_Engine!$AK$6:$AK$95,$W20,1)&amp;"/100, competitor saturation "&amp;INDEX(Matching_Engine!$AL$6:$AL$95,$W20,1)&amp;"/100"&amp;IF(INDEX(Matching_Engine!$AL$6:$AL$95,$W20,1)&gt;=70," — high, so treat it as a consideration rather than an automatic exclusion.",".")</f>
        <v>Low risk flag. Brand Safety 80/100, competitor saturation 27/100.</v>
      </c>
      <c r="W20" s="105">
        <f>MATCH(Brand_Profile!$B$4&amp;"|"&amp;KOL_Database!$A$20,Matching_Engine!$AZ$6:$AZ$95,0)</f>
        <v>16</v>
      </c>
      <c r="X20" s="147">
        <f>INDEX(Matching_Engine!$N$6:$N$95,$W20,1)+0.006</f>
        <v>54.006</v>
      </c>
      <c r="Y20" s="147">
        <f ca="1">INDEX(Matching_Engine!$S$6:$S$95,$W20,1)+0.005</f>
        <v>83.005</v>
      </c>
      <c r="Z20" s="147">
        <f>INDEX(Matching_Engine!$X$6:$X$95,$W20,1)+0.004</f>
        <v>49.004</v>
      </c>
      <c r="AA20" s="147">
        <f>INDEX(Matching_Engine!$AC$6:$AC$95,$W20,1)+0.003</f>
        <v>60.003</v>
      </c>
      <c r="AB20" s="147">
        <f>INDEX(Matching_Engine!$AJ$6:$AJ$95,$W20,1)+0.002</f>
        <v>81.002</v>
      </c>
      <c r="AC20" s="147">
        <f>INDEX(Matching_Engine!$AO$6:$AO$95,$W20,1)+0.001</f>
        <v>75.001</v>
      </c>
    </row>
    <row r="21" spans="1:29">
      <c r="A21" s="105" t="str">
        <f>KOL_Database!$A$21</f>
        <v>KOL-17</v>
      </c>
      <c r="B21" s="105" t="str">
        <f>KOL_Database!$B$21</f>
        <v>Sinta Maharani</v>
      </c>
      <c r="C21" s="105" t="str">
        <f>KOL_Database!$C$21</f>
        <v>@sintajalanjalan</v>
      </c>
      <c r="D21" s="105" t="str">
        <f>KOL_Database!$D$21</f>
        <v>Instagram</v>
      </c>
      <c r="E21" s="105" t="str">
        <f>KOL_Database!$E$21</f>
        <v>Travel</v>
      </c>
      <c r="F21" s="146">
        <f ca="1">INDEX(Matching_Engine!$AP$6:$AP$95,$W21,1)</f>
        <v>42</v>
      </c>
      <c r="G21" s="105" t="str">
        <f ca="1">INDEX(Matching_Engine!$AQ$6:$AQ$95,$W21,1)</f>
        <v>Low Match</v>
      </c>
      <c r="H21" s="105" t="str">
        <f>INDEX(Matching_Engine!$AS$6:$AS$95,$W21,1)</f>
        <v>High</v>
      </c>
      <c r="I21" s="105" t="str">
        <f ca="1">"Strongest on "&amp;INDEX(Lookup_Lists!$AC$6:$AC$11,MATCH(LARGE($X21:$AC21,1),$X21:$AC21,0),1)&amp;" at "&amp;ROUND(LARGE($X21:$AC21,1),0)&amp;"/100. "&amp;"Audience overlap "&amp;INDEX(Matching_Engine!$S$6:$S$95,$W21,1)&amp;"/100 against the "&amp;Brand_Profile!$G$16&amp;" / "&amp;Brand_Profile!$G$17&amp;" target; "&amp;KOL_Database!$E$21&amp;" content against a "&amp;Brand_Profile!$G$10&amp;" brief. "&amp;"Final Brand Match "&amp;INDEX(Matching_Engine!$AP$6:$AP$95,$W21,1)&amp;"/100 ("&amp;INDEX(Matching_Engine!$AQ$6:$AQ$95,$W21,1)&amp;")."</f>
        <v>Strongest on Brand Safety at 78/100. Audience overlap 49/100 against the 25-34 / 18-24 target; Travel content against a Technology / SaaS brief. Final Brand Match 42/100 (Low Match).</v>
      </c>
      <c r="J21" s="105" t="str">
        <f ca="1">IFERROR(INDEX(Lookup_Lists!$AC$6:$AC$11,MATCH(LARGE($X21:$AC21,1),$X21:$AC21,0),1)&amp;" — "&amp;ROUND(LARGE($X21:$AC21,1),0)&amp;"/100","")</f>
        <v>Brand Safety — 78/100</v>
      </c>
      <c r="K21" s="105" t="str">
        <f ca="1">IFERROR(INDEX(Lookup_Lists!$AC$6:$AC$11,MATCH(LARGE($X21:$AC21,2),$X21:$AC21,0),1)&amp;" — "&amp;ROUND(LARGE($X21:$AC21,2),0)&amp;"/100","")</f>
        <v>Performance Quality — 67/100</v>
      </c>
      <c r="L21" s="105" t="str">
        <f ca="1">IFERROR(INDEX(Lookup_Lists!$AC$6:$AC$11,MATCH(LARGE($X21:$AC21,3),$X21:$AC21,0),1)&amp;" — "&amp;ROUND(LARGE($X21:$AC21,3),0)&amp;"/100","")</f>
        <v>Target Audience Relevance — 49/100</v>
      </c>
      <c r="M21" s="105" t="str">
        <f ca="1">IFERROR(IF(SMALL($X21:$AC21,1)&gt;=Lookup_Lists!$D$161,"No material gap — "&amp;INDEX(Lookup_Lists!$AC$6:$AC$11,MATCH(SMALL($X21:$AC21,1),$X21:$AC21,0),1)&amp;" at "&amp;ROUND(SMALL($X21:$AC21,1),0)&amp;"/100",INDEX(Lookup_Lists!$AC$6:$AC$11,MATCH(SMALL($X21:$AC21,1),$X21:$AC21,0),1)&amp;" only "&amp;ROUND(SMALL($X21:$AC21,1),0)&amp;"/100"),"")</f>
        <v>Content &amp; Category Relevance only 19/100</v>
      </c>
      <c r="N21" s="105" t="str">
        <f ca="1">IFERROR(IF(SMALL($X21:$AC21,2)&gt;=Lookup_Lists!$D$161,"No material gap — "&amp;INDEX(Lookup_Lists!$AC$6:$AC$11,MATCH(SMALL($X21:$AC21,2),$X21:$AC21,0),1)&amp;" at "&amp;ROUND(SMALL($X21:$AC21,2),0)&amp;"/100",INDEX(Lookup_Lists!$AC$6:$AC$11,MATCH(SMALL($X21:$AC21,2),$X21:$AC21,0),1)&amp;" only "&amp;ROUND(SMALL($X21:$AC21,2),0)&amp;"/100"),"")</f>
        <v>Brand &amp; Business Relevance only 22/100</v>
      </c>
      <c r="O21" s="105" t="str">
        <f ca="1">IFERROR(IF(SMALL($X21:$AC21,3)&gt;=Lookup_Lists!$D$161,"No material gap — "&amp;INDEX(Lookup_Lists!$AC$6:$AC$11,MATCH(SMALL($X21:$AC21,3),$X21:$AC21,0),1)&amp;" at "&amp;ROUND(SMALL($X21:$AC21,3),0)&amp;"/100",INDEX(Lookup_Lists!$AC$6:$AC$11,MATCH(SMALL($X21:$AC21,3),$X21:$AC21,0),1)&amp;" only "&amp;ROUND(SMALL($X21:$AC21,3),0)&amp;"/100"),"")</f>
        <v>Brand Personality Fit only 45/100</v>
      </c>
      <c r="P21" s="105" t="str">
        <f>IF(INDEX(Matching_Engine!$AM$6:$AM$95,$W21,1)="None","No risk flag — competitor saturation "&amp;INDEX(Matching_Engine!$AL$6:$AL$95,$W21,1)&amp;"/100",INDEX(Matching_Engine!$AM$6:$AM$95,$W21,1)&amp;" risk flag — competitor saturation "&amp;INDEX(Matching_Engine!$AL$6:$AL$95,$W21,1)&amp;"/100")</f>
        <v>No risk flag — competitor saturation 41/100</v>
      </c>
      <c r="Q21" s="105" t="str">
        <f ca="1">INDEX(Matching_Engine!$AX$6:$AX$95,$W21,1)</f>
        <v>Low Priority</v>
      </c>
      <c r="R21" s="105" t="str">
        <f>"Industry "&amp;INDEX(Matching_Engine!$K$6:$K$95,$W21,1)&amp;"/100, category "&amp;INDEX(Matching_Engine!$L$6:$L$95,$W21,1)&amp;"/100, keywords "&amp;INDEX(Matching_Engine!$M$6:$M$95,$W21,1)&amp;"/100 — a "&amp;Brand_Profile!$G$10&amp;" brief against a "&amp;KOL_Database!$E$21&amp;" / "&amp;KOL_Database!$F$21&amp;" creator."</f>
        <v>Industry 40/100, category 20/100, keywords 0/100 — a Technology / SaaS brief against a Travel / Domestic Travel creator.</v>
      </c>
      <c r="S21" s="105" t="str">
        <f ca="1">"Age "&amp;INDEX(Matching_Engine!$O$6:$O$95,$W21,1)&amp;"/100, gender "&amp;INDEX(Matching_Engine!$P$6:$P$95,$W21,1)&amp;"/100, location "&amp;INDEX(Matching_Engine!$Q$6:$Q$95,$W21,1)&amp;"/100, interests "&amp;INDEX(Matching_Engine!$R$6:$R$95,$W21,1)&amp;"/100. Weighted with priority on "&amp;Brand_Profile!$G$23&amp;"."</f>
        <v>Age 100/100, gender 100/100, location 65/100, interests 0/100. Weighted with priority on Interest.</v>
      </c>
      <c r="T21" s="105" t="str">
        <f>"Category "&amp;INDEX(Matching_Engine!$T$6:$T$95,$W21,1)&amp;"/100, sub category "&amp;INDEX(Matching_Engine!$U$6:$U$95,$W21,1)&amp;"/100, topics "&amp;INDEX(Matching_Engine!$V$6:$V$95,$W21,1)&amp;"/100, style "&amp;INDEX(Matching_Engine!$W$6:$W$95,$W21,1)&amp;"/100 — brief wants "&amp;Brand_Profile!$G$39&amp;", creator delivers "&amp;KOL_Database!$AJ$21&amp;"."</f>
        <v>Category 20/100, sub category 20/100, topics 0/100, style 45/100 — brief wants Educational, creator delivers Aesthetic.</v>
      </c>
      <c r="U21" s="105" t="str">
        <f>"Personality "&amp;INDEX(Matching_Engine!$Y$6:$Y$95,$W21,1)&amp;"/100, tone vs style "&amp;INDEX(Matching_Engine!$Z$6:$Z$95,$W21,1)&amp;"/100, values "&amp;INDEX(Matching_Engine!$AA$6:$AA$95,$W21,1)&amp;"/100, communication "&amp;INDEX(Matching_Engine!$AB$6:$AB$95,$W21,1)&amp;"/100 — a "&amp;Brand_Profile!$G$25&amp;" / "&amp;Brand_Profile!$G$28&amp;" brand against a "&amp;KOL_Database!$AK$21&amp;" creator."</f>
        <v>Personality 60/100, tone vs style 50/100, values 20/100, communication 45/100 — a Innovative / Mid-market brand against a Premium creator.</v>
      </c>
      <c r="V21" s="105" t="str">
        <f>IF(INDEX(Matching_Engine!$AM$6:$AM$95,$W21,1)="None","No risk flag. ",INDEX(Matching_Engine!$AM$6:$AM$95,$W21,1)&amp;" risk flag. ")&amp;"Brand Safety "&amp;INDEX(Matching_Engine!$AK$6:$AK$95,$W21,1)&amp;"/100, competitor saturation "&amp;INDEX(Matching_Engine!$AL$6:$AL$95,$W21,1)&amp;"/100"&amp;IF(INDEX(Matching_Engine!$AL$6:$AL$95,$W21,1)&gt;=70," — high, so treat it as a consideration rather than an automatic exclusion.",".")</f>
        <v>No risk flag. Brand Safety 83/100, competitor saturation 41/100.</v>
      </c>
      <c r="W21" s="105">
        <f>MATCH(Brand_Profile!$B$4&amp;"|"&amp;KOL_Database!$A$21,Matching_Engine!$AZ$6:$AZ$95,0)</f>
        <v>17</v>
      </c>
      <c r="X21" s="147">
        <f>INDEX(Matching_Engine!$N$6:$N$95,$W21,1)+0.006</f>
        <v>22.006</v>
      </c>
      <c r="Y21" s="147">
        <f ca="1">INDEX(Matching_Engine!$S$6:$S$95,$W21,1)+0.005</f>
        <v>49.005</v>
      </c>
      <c r="Z21" s="147">
        <f>INDEX(Matching_Engine!$X$6:$X$95,$W21,1)+0.004</f>
        <v>19.004</v>
      </c>
      <c r="AA21" s="147">
        <f>INDEX(Matching_Engine!$AC$6:$AC$95,$W21,1)+0.003</f>
        <v>45.003</v>
      </c>
      <c r="AB21" s="147">
        <f>INDEX(Matching_Engine!$AJ$6:$AJ$95,$W21,1)+0.002</f>
        <v>67.002</v>
      </c>
      <c r="AC21" s="147">
        <f>INDEX(Matching_Engine!$AO$6:$AO$95,$W21,1)+0.001</f>
        <v>78.001</v>
      </c>
    </row>
    <row r="22" spans="1:29">
      <c r="A22" s="105" t="str">
        <f>KOL_Database!$A$22</f>
        <v>KOL-18</v>
      </c>
      <c r="B22" s="105" t="str">
        <f>KOL_Database!$B$22</f>
        <v>Reza Fadillah</v>
      </c>
      <c r="C22" s="105" t="str">
        <f>KOL_Database!$C$22</f>
        <v>@rezabudgettrip</v>
      </c>
      <c r="D22" s="105" t="str">
        <f>KOL_Database!$D$22</f>
        <v>TikTok</v>
      </c>
      <c r="E22" s="105" t="str">
        <f>KOL_Database!$E$22</f>
        <v>Travel</v>
      </c>
      <c r="F22" s="146">
        <f ca="1">INDEX(Matching_Engine!$AP$6:$AP$95,$W22,1)</f>
        <v>48</v>
      </c>
      <c r="G22" s="105" t="str">
        <f ca="1">INDEX(Matching_Engine!$AQ$6:$AQ$95,$W22,1)</f>
        <v>Low Match</v>
      </c>
      <c r="H22" s="105" t="str">
        <f>INDEX(Matching_Engine!$AS$6:$AS$95,$W22,1)</f>
        <v>Medium</v>
      </c>
      <c r="I22" s="105" t="str">
        <f ca="1">"Strongest on "&amp;INDEX(Lookup_Lists!$AC$6:$AC$11,MATCH(LARGE($X22:$AC22,1),$X22:$AC22,0),1)&amp;" at "&amp;ROUND(LARGE($X22:$AC22,1),0)&amp;"/100. "&amp;"Audience overlap "&amp;INDEX(Matching_Engine!$S$6:$S$95,$W22,1)&amp;"/100 against the "&amp;Brand_Profile!$G$16&amp;" / "&amp;Brand_Profile!$G$17&amp;" target; "&amp;KOL_Database!$E$22&amp;" content against a "&amp;Brand_Profile!$G$10&amp;" brief. "&amp;"Final Brand Match "&amp;INDEX(Matching_Engine!$AP$6:$AP$95,$W22,1)&amp;"/100 ("&amp;INDEX(Matching_Engine!$AQ$6:$AQ$95,$W22,1)&amp;")."</f>
        <v>Strongest on Performance Quality at 87/100. Audience overlap 57/100 against the 25-34 / 18-24 target; Travel content against a Technology / SaaS brief. Final Brand Match 48/100 (Low Match).</v>
      </c>
      <c r="J22" s="105" t="str">
        <f ca="1">IFERROR(INDEX(Lookup_Lists!$AC$6:$AC$11,MATCH(LARGE($X22:$AC22,1),$X22:$AC22,0),1)&amp;" — "&amp;ROUND(LARGE($X22:$AC22,1),0)&amp;"/100","")</f>
        <v>Performance Quality — 87/100</v>
      </c>
      <c r="K22" s="105" t="str">
        <f ca="1">IFERROR(INDEX(Lookup_Lists!$AC$6:$AC$11,MATCH(LARGE($X22:$AC22,2),$X22:$AC22,0),1)&amp;" — "&amp;ROUND(LARGE($X22:$AC22,2),0)&amp;"/100","")</f>
        <v>Brand Safety — 79/100</v>
      </c>
      <c r="L22" s="105" t="str">
        <f ca="1">IFERROR(INDEX(Lookup_Lists!$AC$6:$AC$11,MATCH(LARGE($X22:$AC22,3),$X22:$AC22,0),1)&amp;" — "&amp;ROUND(LARGE($X22:$AC22,3),0)&amp;"/100","")</f>
        <v>Target Audience Relevance — 57/100</v>
      </c>
      <c r="M22" s="105" t="str">
        <f ca="1">IFERROR(IF(SMALL($X22:$AC22,1)&gt;=Lookup_Lists!$D$161,"No material gap — "&amp;INDEX(Lookup_Lists!$AC$6:$AC$11,MATCH(SMALL($X22:$AC22,1),$X22:$AC22,0),1)&amp;" at "&amp;ROUND(SMALL($X22:$AC22,1),0)&amp;"/100",INDEX(Lookup_Lists!$AC$6:$AC$11,MATCH(SMALL($X22:$AC22,1),$X22:$AC22,0),1)&amp;" only "&amp;ROUND(SMALL($X22:$AC22,1),0)&amp;"/100"),"")</f>
        <v>Content &amp; Category Relevance only 25/100</v>
      </c>
      <c r="N22" s="105" t="str">
        <f ca="1">IFERROR(IF(SMALL($X22:$AC22,2)&gt;=Lookup_Lists!$D$161,"No material gap — "&amp;INDEX(Lookup_Lists!$AC$6:$AC$11,MATCH(SMALL($X22:$AC22,2),$X22:$AC22,0),1)&amp;" at "&amp;ROUND(SMALL($X22:$AC22,2),0)&amp;"/100",INDEX(Lookup_Lists!$AC$6:$AC$11,MATCH(SMALL($X22:$AC22,2),$X22:$AC22,0),1)&amp;" only "&amp;ROUND(SMALL($X22:$AC22,2),0)&amp;"/100"),"")</f>
        <v>Brand &amp; Business Relevance only 28/100</v>
      </c>
      <c r="O22" s="105" t="str">
        <f ca="1">IFERROR(IF(SMALL($X22:$AC22,3)&gt;=Lookup_Lists!$D$161,"No material gap — "&amp;INDEX(Lookup_Lists!$AC$6:$AC$11,MATCH(SMALL($X22:$AC22,3),$X22:$AC22,0),1)&amp;" at "&amp;ROUND(SMALL($X22:$AC22,3),0)&amp;"/100",INDEX(Lookup_Lists!$AC$6:$AC$11,MATCH(SMALL($X22:$AC22,3),$X22:$AC22,0),1)&amp;" only "&amp;ROUND(SMALL($X22:$AC22,3),0)&amp;"/100"),"")</f>
        <v>Brand Personality Fit only 35/100</v>
      </c>
      <c r="P22" s="105" t="str">
        <f>IF(INDEX(Matching_Engine!$AM$6:$AM$95,$W22,1)="None","No risk flag — competitor saturation "&amp;INDEX(Matching_Engine!$AL$6:$AL$95,$W22,1)&amp;"/100",INDEX(Matching_Engine!$AM$6:$AM$95,$W22,1)&amp;" risk flag — competitor saturation "&amp;INDEX(Matching_Engine!$AL$6:$AL$95,$W22,1)&amp;"/100")</f>
        <v>No risk flag — competitor saturation 47/100</v>
      </c>
      <c r="Q22" s="105" t="str">
        <f ca="1">INDEX(Matching_Engine!$AX$6:$AX$95,$W22,1)</f>
        <v>Low Priority</v>
      </c>
      <c r="R22" s="105" t="str">
        <f>"Industry "&amp;INDEX(Matching_Engine!$K$6:$K$95,$W22,1)&amp;"/100, category "&amp;INDEX(Matching_Engine!$L$6:$L$95,$W22,1)&amp;"/100, keywords "&amp;INDEX(Matching_Engine!$M$6:$M$95,$W22,1)&amp;"/100 — a "&amp;Brand_Profile!$G$10&amp;" brief against a "&amp;KOL_Database!$E$22&amp;" / "&amp;KOL_Database!$F$22&amp;" creator."</f>
        <v>Industry 40/100, category 20/100, keywords 20/100 — a Technology / SaaS brief against a Travel / Budget Travel creator.</v>
      </c>
      <c r="S22" s="105" t="str">
        <f ca="1">"Age "&amp;INDEX(Matching_Engine!$O$6:$O$95,$W22,1)&amp;"/100, gender "&amp;INDEX(Matching_Engine!$P$6:$P$95,$W22,1)&amp;"/100, location "&amp;INDEX(Matching_Engine!$Q$6:$Q$95,$W22,1)&amp;"/100, interests "&amp;INDEX(Matching_Engine!$R$6:$R$95,$W22,1)&amp;"/100. Weighted with priority on "&amp;Brand_Profile!$G$23&amp;"."</f>
        <v>Age 100/100, gender 100/100, location 65/100, interests 20/100. Weighted with priority on Interest.</v>
      </c>
      <c r="T22" s="105" t="str">
        <f>"Category "&amp;INDEX(Matching_Engine!$T$6:$T$95,$W22,1)&amp;"/100, sub category "&amp;INDEX(Matching_Engine!$U$6:$U$95,$W22,1)&amp;"/100, topics "&amp;INDEX(Matching_Engine!$V$6:$V$95,$W22,1)&amp;"/100, style "&amp;INDEX(Matching_Engine!$W$6:$W$95,$W22,1)&amp;"/100 — brief wants "&amp;Brand_Profile!$G$39&amp;", creator delivers "&amp;KOL_Database!$AJ$22&amp;"."</f>
        <v>Category 20/100, sub category 20/100, topics 20/100, style 45/100 — brief wants Educational, creator delivers Vlog.</v>
      </c>
      <c r="U22" s="105" t="str">
        <f>"Personality "&amp;INDEX(Matching_Engine!$Y$6:$Y$95,$W22,1)&amp;"/100, tone vs style "&amp;INDEX(Matching_Engine!$Z$6:$Z$95,$W22,1)&amp;"/100, values "&amp;INDEX(Matching_Engine!$AA$6:$AA$95,$W22,1)&amp;"/100, communication "&amp;INDEX(Matching_Engine!$AB$6:$AB$95,$W22,1)&amp;"/100 — a "&amp;Brand_Profile!$G$25&amp;" / "&amp;Brand_Profile!$G$28&amp;" brand against a "&amp;KOL_Database!$AK$22&amp;" creator."</f>
        <v>Personality 40/100, tone vs style 55/100, values 0/100, communication 50/100 — a Innovative / Mid-market brand against a Casual creator.</v>
      </c>
      <c r="V22" s="105" t="str">
        <f>IF(INDEX(Matching_Engine!$AM$6:$AM$95,$W22,1)="None","No risk flag. ",INDEX(Matching_Engine!$AM$6:$AM$95,$W22,1)&amp;" risk flag. ")&amp;"Brand Safety "&amp;INDEX(Matching_Engine!$AK$6:$AK$95,$W22,1)&amp;"/100, competitor saturation "&amp;INDEX(Matching_Engine!$AL$6:$AL$95,$W22,1)&amp;"/100"&amp;IF(INDEX(Matching_Engine!$AL$6:$AL$95,$W22,1)&gt;=70," — high, so treat it as a consideration rather than an automatic exclusion.",".")</f>
        <v>No risk flag. Brand Safety 86/100, competitor saturation 47/100.</v>
      </c>
      <c r="W22" s="105">
        <f>MATCH(Brand_Profile!$B$4&amp;"|"&amp;KOL_Database!$A$22,Matching_Engine!$AZ$6:$AZ$95,0)</f>
        <v>18</v>
      </c>
      <c r="X22" s="147">
        <f>INDEX(Matching_Engine!$N$6:$N$95,$W22,1)+0.006</f>
        <v>28.006</v>
      </c>
      <c r="Y22" s="147">
        <f ca="1">INDEX(Matching_Engine!$S$6:$S$95,$W22,1)+0.005</f>
        <v>57.005</v>
      </c>
      <c r="Z22" s="147">
        <f>INDEX(Matching_Engine!$X$6:$X$95,$W22,1)+0.004</f>
        <v>25.004</v>
      </c>
      <c r="AA22" s="147">
        <f>INDEX(Matching_Engine!$AC$6:$AC$95,$W22,1)+0.003</f>
        <v>35.003</v>
      </c>
      <c r="AB22" s="147">
        <f>INDEX(Matching_Engine!$AJ$6:$AJ$95,$W22,1)+0.002</f>
        <v>87.002</v>
      </c>
      <c r="AC22" s="147">
        <f>INDEX(Matching_Engine!$AO$6:$AO$95,$W22,1)+0.001</f>
        <v>79.001</v>
      </c>
    </row>
    <row r="23" spans="1:29">
      <c r="A23" s="105" t="str">
        <f>KOL_Database!$A$23</f>
        <v>KOL-19</v>
      </c>
      <c r="B23" s="105" t="str">
        <f>KOL_Database!$B$23</f>
        <v>Putri Amanda</v>
      </c>
      <c r="C23" s="105" t="str">
        <f>KOL_Database!$C$23</f>
        <v>@putrimomlife</v>
      </c>
      <c r="D23" s="105" t="str">
        <f>KOL_Database!$D$23</f>
        <v>Instagram</v>
      </c>
      <c r="E23" s="105" t="str">
        <f>KOL_Database!$E$23</f>
        <v>Parenting</v>
      </c>
      <c r="F23" s="146">
        <f ca="1">INDEX(Matching_Engine!$AP$6:$AP$95,$W23,1)</f>
        <v>41</v>
      </c>
      <c r="G23" s="105" t="str">
        <f ca="1">INDEX(Matching_Engine!$AQ$6:$AQ$95,$W23,1)</f>
        <v>Low Match</v>
      </c>
      <c r="H23" s="105" t="str">
        <f>INDEX(Matching_Engine!$AS$6:$AS$95,$W23,1)</f>
        <v>High</v>
      </c>
      <c r="I23" s="105" t="str">
        <f ca="1">"Strongest on "&amp;INDEX(Lookup_Lists!$AC$6:$AC$11,MATCH(LARGE($X23:$AC23,1),$X23:$AC23,0),1)&amp;" at "&amp;ROUND(LARGE($X23:$AC23,1),0)&amp;"/100. "&amp;"Audience overlap "&amp;INDEX(Matching_Engine!$S$6:$S$95,$W23,1)&amp;"/100 against the "&amp;Brand_Profile!$G$16&amp;" / "&amp;Brand_Profile!$G$17&amp;" target; "&amp;KOL_Database!$E$23&amp;" content against a "&amp;Brand_Profile!$G$10&amp;" brief. "&amp;"Final Brand Match "&amp;INDEX(Matching_Engine!$AP$6:$AP$95,$W23,1)&amp;"/100 ("&amp;INDEX(Matching_Engine!$AQ$6:$AQ$95,$W23,1)&amp;")."</f>
        <v>Strongest on Brand Safety at 79/100. Audience overlap 49/100 against the 25-34 / 18-24 target; Parenting content against a Technology / SaaS brief. Final Brand Match 41/100 (Low Match).</v>
      </c>
      <c r="J23" s="105" t="str">
        <f ca="1">IFERROR(INDEX(Lookup_Lists!$AC$6:$AC$11,MATCH(LARGE($X23:$AC23,1),$X23:$AC23,0),1)&amp;" — "&amp;ROUND(LARGE($X23:$AC23,1),0)&amp;"/100","")</f>
        <v>Brand Safety — 79/100</v>
      </c>
      <c r="K23" s="105" t="str">
        <f ca="1">IFERROR(INDEX(Lookup_Lists!$AC$6:$AC$11,MATCH(LARGE($X23:$AC23,2),$X23:$AC23,0),1)&amp;" — "&amp;ROUND(LARGE($X23:$AC23,2),0)&amp;"/100","")</f>
        <v>Performance Quality — 66/100</v>
      </c>
      <c r="L23" s="105" t="str">
        <f ca="1">IFERROR(INDEX(Lookup_Lists!$AC$6:$AC$11,MATCH(LARGE($X23:$AC23,3),$X23:$AC23,0),1)&amp;" — "&amp;ROUND(LARGE($X23:$AC23,3),0)&amp;"/100","")</f>
        <v>Target Audience Relevance — 49/100</v>
      </c>
      <c r="M23" s="105" t="str">
        <f ca="1">IFERROR(IF(SMALL($X23:$AC23,1)&gt;=Lookup_Lists!$D$161,"No material gap — "&amp;INDEX(Lookup_Lists!$AC$6:$AC$11,MATCH(SMALL($X23:$AC23,1),$X23:$AC23,0),1)&amp;" at "&amp;ROUND(SMALL($X23:$AC23,1),0)&amp;"/100",INDEX(Lookup_Lists!$AC$6:$AC$11,MATCH(SMALL($X23:$AC23,1),$X23:$AC23,0),1)&amp;" only "&amp;ROUND(SMALL($X23:$AC23,1),0)&amp;"/100"),"")</f>
        <v>Brand &amp; Business Relevance only 14/100</v>
      </c>
      <c r="N23" s="105" t="str">
        <f ca="1">IFERROR(IF(SMALL($X23:$AC23,2)&gt;=Lookup_Lists!$D$161,"No material gap — "&amp;INDEX(Lookup_Lists!$AC$6:$AC$11,MATCH(SMALL($X23:$AC23,2),$X23:$AC23,0),1)&amp;" at "&amp;ROUND(SMALL($X23:$AC23,2),0)&amp;"/100",INDEX(Lookup_Lists!$AC$6:$AC$11,MATCH(SMALL($X23:$AC23,2),$X23:$AC23,0),1)&amp;" only "&amp;ROUND(SMALL($X23:$AC23,2),0)&amp;"/100"),"")</f>
        <v>Content &amp; Category Relevance only 19/100</v>
      </c>
      <c r="O23" s="105" t="str">
        <f ca="1">IFERROR(IF(SMALL($X23:$AC23,3)&gt;=Lookup_Lists!$D$161,"No material gap — "&amp;INDEX(Lookup_Lists!$AC$6:$AC$11,MATCH(SMALL($X23:$AC23,3),$X23:$AC23,0),1)&amp;" at "&amp;ROUND(SMALL($X23:$AC23,3),0)&amp;"/100",INDEX(Lookup_Lists!$AC$6:$AC$11,MATCH(SMALL($X23:$AC23,3),$X23:$AC23,0),1)&amp;" only "&amp;ROUND(SMALL($X23:$AC23,3),0)&amp;"/100"),"")</f>
        <v>Brand Personality Fit only 48/100</v>
      </c>
      <c r="P23" s="105" t="str">
        <f>IF(INDEX(Matching_Engine!$AM$6:$AM$95,$W23,1)="None","No risk flag — competitor saturation "&amp;INDEX(Matching_Engine!$AL$6:$AL$95,$W23,1)&amp;"/100",INDEX(Matching_Engine!$AM$6:$AM$95,$W23,1)&amp;" risk flag — competitor saturation "&amp;INDEX(Matching_Engine!$AL$6:$AL$95,$W23,1)&amp;"/100")</f>
        <v>No risk flag — competitor saturation 48/100</v>
      </c>
      <c r="Q23" s="105" t="str">
        <f ca="1">INDEX(Matching_Engine!$AX$6:$AX$95,$W23,1)</f>
        <v>Low Priority</v>
      </c>
      <c r="R23" s="105" t="str">
        <f>"Industry "&amp;INDEX(Matching_Engine!$K$6:$K$95,$W23,1)&amp;"/100, category "&amp;INDEX(Matching_Engine!$L$6:$L$95,$W23,1)&amp;"/100, keywords "&amp;INDEX(Matching_Engine!$M$6:$M$95,$W23,1)&amp;"/100 — a "&amp;Brand_Profile!$G$10&amp;" brief against a "&amp;KOL_Database!$E$23&amp;" / "&amp;KOL_Database!$F$23&amp;" creator."</f>
        <v>Industry 20/100, category 20/100, keywords 0/100 — a Technology / SaaS brief against a Parenting / Momlife creator.</v>
      </c>
      <c r="S23" s="105" t="str">
        <f ca="1">"Age "&amp;INDEX(Matching_Engine!$O$6:$O$95,$W23,1)&amp;"/100, gender "&amp;INDEX(Matching_Engine!$P$6:$P$95,$W23,1)&amp;"/100, location "&amp;INDEX(Matching_Engine!$Q$6:$Q$95,$W23,1)&amp;"/100, interests "&amp;INDEX(Matching_Engine!$R$6:$R$95,$W23,1)&amp;"/100. Weighted with priority on "&amp;Brand_Profile!$G$23&amp;"."</f>
        <v>Age 100/100, gender 100/100, location 65/100, interests 0/100. Weighted with priority on Interest.</v>
      </c>
      <c r="T23" s="105" t="str">
        <f>"Category "&amp;INDEX(Matching_Engine!$T$6:$T$95,$W23,1)&amp;"/100, sub category "&amp;INDEX(Matching_Engine!$U$6:$U$95,$W23,1)&amp;"/100, topics "&amp;INDEX(Matching_Engine!$V$6:$V$95,$W23,1)&amp;"/100, style "&amp;INDEX(Matching_Engine!$W$6:$W$95,$W23,1)&amp;"/100 — brief wants "&amp;Brand_Profile!$G$39&amp;", creator delivers "&amp;KOL_Database!$AJ$23&amp;"."</f>
        <v>Category 20/100, sub category 20/100, topics 0/100, style 45/100 — brief wants Educational, creator delivers Storytelling.</v>
      </c>
      <c r="U23" s="105" t="str">
        <f>"Personality "&amp;INDEX(Matching_Engine!$Y$6:$Y$95,$W23,1)&amp;"/100, tone vs style "&amp;INDEX(Matching_Engine!$Z$6:$Z$95,$W23,1)&amp;"/100, values "&amp;INDEX(Matching_Engine!$AA$6:$AA$95,$W23,1)&amp;"/100, communication "&amp;INDEX(Matching_Engine!$AB$6:$AB$95,$W23,1)&amp;"/100 — a "&amp;Brand_Profile!$G$25&amp;" / "&amp;Brand_Profile!$G$28&amp;" brand against a "&amp;KOL_Database!$AK$23&amp;" creator."</f>
        <v>Personality 50/100, tone vs style 65/100, values 20/100, communication 60/100 — a Innovative / Mid-market brand against a Relatable creator.</v>
      </c>
      <c r="V23" s="105" t="str">
        <f>IF(INDEX(Matching_Engine!$AM$6:$AM$95,$W23,1)="None","No risk flag. ",INDEX(Matching_Engine!$AM$6:$AM$95,$W23,1)&amp;" risk flag. ")&amp;"Brand Safety "&amp;INDEX(Matching_Engine!$AK$6:$AK$95,$W23,1)&amp;"/100, competitor saturation "&amp;INDEX(Matching_Engine!$AL$6:$AL$95,$W23,1)&amp;"/100"&amp;IF(INDEX(Matching_Engine!$AL$6:$AL$95,$W23,1)&gt;=70," — high, so treat it as a consideration rather than an automatic exclusion.",".")</f>
        <v>No risk flag. Brand Safety 86/100, competitor saturation 48/100.</v>
      </c>
      <c r="W23" s="105">
        <f>MATCH(Brand_Profile!$B$4&amp;"|"&amp;KOL_Database!$A$23,Matching_Engine!$AZ$6:$AZ$95,0)</f>
        <v>19</v>
      </c>
      <c r="X23" s="147">
        <f>INDEX(Matching_Engine!$N$6:$N$95,$W23,1)+0.006</f>
        <v>14.006</v>
      </c>
      <c r="Y23" s="147">
        <f ca="1">INDEX(Matching_Engine!$S$6:$S$95,$W23,1)+0.005</f>
        <v>49.005</v>
      </c>
      <c r="Z23" s="147">
        <f>INDEX(Matching_Engine!$X$6:$X$95,$W23,1)+0.004</f>
        <v>19.004</v>
      </c>
      <c r="AA23" s="147">
        <f>INDEX(Matching_Engine!$AC$6:$AC$95,$W23,1)+0.003</f>
        <v>48.003</v>
      </c>
      <c r="AB23" s="147">
        <f>INDEX(Matching_Engine!$AJ$6:$AJ$95,$W23,1)+0.002</f>
        <v>66.002</v>
      </c>
      <c r="AC23" s="147">
        <f>INDEX(Matching_Engine!$AO$6:$AO$95,$W23,1)+0.001</f>
        <v>79.001</v>
      </c>
    </row>
    <row r="24" spans="1:29">
      <c r="A24" s="105" t="str">
        <f>KOL_Database!$A$24</f>
        <v>KOL-20</v>
      </c>
      <c r="B24" s="105" t="str">
        <f>KOL_Database!$B$24</f>
        <v>Hendra Wijoyo</v>
      </c>
      <c r="C24" s="105" t="str">
        <f>KOL_Database!$C$24</f>
        <v>@hendrakeluarga</v>
      </c>
      <c r="D24" s="105" t="str">
        <f>KOL_Database!$D$24</f>
        <v>TikTok</v>
      </c>
      <c r="E24" s="105" t="str">
        <f>KOL_Database!$E$24</f>
        <v>Parenting</v>
      </c>
      <c r="F24" s="146">
        <f ca="1">INDEX(Matching_Engine!$AP$6:$AP$95,$W24,1)</f>
        <v>45</v>
      </c>
      <c r="G24" s="105" t="str">
        <f ca="1">INDEX(Matching_Engine!$AQ$6:$AQ$95,$W24,1)</f>
        <v>Low Match</v>
      </c>
      <c r="H24" s="105" t="str">
        <f>INDEX(Matching_Engine!$AS$6:$AS$95,$W24,1)</f>
        <v>High</v>
      </c>
      <c r="I24" s="105" t="str">
        <f ca="1">"Strongest on "&amp;INDEX(Lookup_Lists!$AC$6:$AC$11,MATCH(LARGE($X24:$AC24,1),$X24:$AC24,0),1)&amp;" at "&amp;ROUND(LARGE($X24:$AC24,1),0)&amp;"/100. "&amp;"Audience overlap "&amp;INDEX(Matching_Engine!$S$6:$S$95,$W24,1)&amp;"/100 against the "&amp;Brand_Profile!$G$16&amp;" / "&amp;Brand_Profile!$G$17&amp;" target; "&amp;KOL_Database!$E$24&amp;" content against a "&amp;Brand_Profile!$G$10&amp;" brief. "&amp;"Final Brand Match "&amp;INDEX(Matching_Engine!$AP$6:$AP$95,$W24,1)&amp;"/100 ("&amp;INDEX(Matching_Engine!$AQ$6:$AQ$95,$W24,1)&amp;")."</f>
        <v>Strongest on Brand Safety at 82/100. Audience overlap 57/100 against the 25-34 / 18-24 target; Parenting content against a Technology / SaaS brief. Final Brand Match 45/100 (Low Match).</v>
      </c>
      <c r="J24" s="105" t="str">
        <f ca="1">IFERROR(INDEX(Lookup_Lists!$AC$6:$AC$11,MATCH(LARGE($X24:$AC24,1),$X24:$AC24,0),1)&amp;" — "&amp;ROUND(LARGE($X24:$AC24,1),0)&amp;"/100","")</f>
        <v>Brand Safety — 82/100</v>
      </c>
      <c r="K24" s="105" t="str">
        <f ca="1">IFERROR(INDEX(Lookup_Lists!$AC$6:$AC$11,MATCH(LARGE($X24:$AC24,2),$X24:$AC24,0),1)&amp;" — "&amp;ROUND(LARGE($X24:$AC24,2),0)&amp;"/100","")</f>
        <v>Performance Quality — 75/100</v>
      </c>
      <c r="L24" s="105" t="str">
        <f ca="1">IFERROR(INDEX(Lookup_Lists!$AC$6:$AC$11,MATCH(LARGE($X24:$AC24,3),$X24:$AC24,0),1)&amp;" — "&amp;ROUND(LARGE($X24:$AC24,3),0)&amp;"/100","")</f>
        <v>Target Audience Relevance — 57/100</v>
      </c>
      <c r="M24" s="105" t="str">
        <f ca="1">IFERROR(IF(SMALL($X24:$AC24,1)&gt;=Lookup_Lists!$D$161,"No material gap — "&amp;INDEX(Lookup_Lists!$AC$6:$AC$11,MATCH(SMALL($X24:$AC24,1),$X24:$AC24,0),1)&amp;" at "&amp;ROUND(SMALL($X24:$AC24,1),0)&amp;"/100",INDEX(Lookup_Lists!$AC$6:$AC$11,MATCH(SMALL($X24:$AC24,1),$X24:$AC24,0),1)&amp;" only "&amp;ROUND(SMALL($X24:$AC24,1),0)&amp;"/100"),"")</f>
        <v>Brand &amp; Business Relevance only 20/100</v>
      </c>
      <c r="N24" s="105" t="str">
        <f ca="1">IFERROR(IF(SMALL($X24:$AC24,2)&gt;=Lookup_Lists!$D$161,"No material gap — "&amp;INDEX(Lookup_Lists!$AC$6:$AC$11,MATCH(SMALL($X24:$AC24,2),$X24:$AC24,0),1)&amp;" at "&amp;ROUND(SMALL($X24:$AC24,2),0)&amp;"/100",INDEX(Lookup_Lists!$AC$6:$AC$11,MATCH(SMALL($X24:$AC24,2),$X24:$AC24,0),1)&amp;" only "&amp;ROUND(SMALL($X24:$AC24,2),0)&amp;"/100"),"")</f>
        <v>Content &amp; Category Relevance only 25/100</v>
      </c>
      <c r="O24" s="105" t="str">
        <f ca="1">IFERROR(IF(SMALL($X24:$AC24,3)&gt;=Lookup_Lists!$D$161,"No material gap — "&amp;INDEX(Lookup_Lists!$AC$6:$AC$11,MATCH(SMALL($X24:$AC24,3),$X24:$AC24,0),1)&amp;" at "&amp;ROUND(SMALL($X24:$AC24,3),0)&amp;"/100",INDEX(Lookup_Lists!$AC$6:$AC$11,MATCH(SMALL($X24:$AC24,3),$X24:$AC24,0),1)&amp;" only "&amp;ROUND(SMALL($X24:$AC24,3),0)&amp;"/100"),"")</f>
        <v>Brand Personality Fit only 27/100</v>
      </c>
      <c r="P24" s="105" t="str">
        <f>IF(INDEX(Matching_Engine!$AM$6:$AM$95,$W24,1)="None","No risk flag — competitor saturation "&amp;INDEX(Matching_Engine!$AL$6:$AL$95,$W24,1)&amp;"/100",INDEX(Matching_Engine!$AM$6:$AM$95,$W24,1)&amp;" risk flag — competitor saturation "&amp;INDEX(Matching_Engine!$AL$6:$AL$95,$W24,1)&amp;"/100")</f>
        <v>No risk flag — competitor saturation 58/100</v>
      </c>
      <c r="Q24" s="105" t="str">
        <f ca="1">INDEX(Matching_Engine!$AX$6:$AX$95,$W24,1)</f>
        <v>Low Priority</v>
      </c>
      <c r="R24" s="105" t="str">
        <f>"Industry "&amp;INDEX(Matching_Engine!$K$6:$K$95,$W24,1)&amp;"/100, category "&amp;INDEX(Matching_Engine!$L$6:$L$95,$W24,1)&amp;"/100, keywords "&amp;INDEX(Matching_Engine!$M$6:$M$95,$W24,1)&amp;"/100 — a "&amp;Brand_Profile!$G$10&amp;" brief against a "&amp;KOL_Database!$E$24&amp;" / "&amp;KOL_Database!$F$24&amp;" creator."</f>
        <v>Industry 20/100, category 20/100, keywords 20/100 — a Technology / SaaS brief against a Parenting / Kids &amp; Family creator.</v>
      </c>
      <c r="S24" s="105" t="str">
        <f ca="1">"Age "&amp;INDEX(Matching_Engine!$O$6:$O$95,$W24,1)&amp;"/100, gender "&amp;INDEX(Matching_Engine!$P$6:$P$95,$W24,1)&amp;"/100, location "&amp;INDEX(Matching_Engine!$Q$6:$Q$95,$W24,1)&amp;"/100, interests "&amp;INDEX(Matching_Engine!$R$6:$R$95,$W24,1)&amp;"/100. Weighted with priority on "&amp;Brand_Profile!$G$23&amp;"."</f>
        <v>Age 97/100, gender 100/100, location 65/100, interests 20/100. Weighted with priority on Interest.</v>
      </c>
      <c r="T24" s="105" t="str">
        <f>"Category "&amp;INDEX(Matching_Engine!$T$6:$T$95,$W24,1)&amp;"/100, sub category "&amp;INDEX(Matching_Engine!$U$6:$U$95,$W24,1)&amp;"/100, topics "&amp;INDEX(Matching_Engine!$V$6:$V$95,$W24,1)&amp;"/100, style "&amp;INDEX(Matching_Engine!$W$6:$W$95,$W24,1)&amp;"/100 — brief wants "&amp;Brand_Profile!$G$39&amp;", creator delivers "&amp;KOL_Database!$AJ$24&amp;"."</f>
        <v>Category 20/100, sub category 20/100, topics 20/100, style 45/100 — brief wants Educational, creator delivers Entertaining.</v>
      </c>
      <c r="U24" s="105" t="str">
        <f>"Personality "&amp;INDEX(Matching_Engine!$Y$6:$Y$95,$W24,1)&amp;"/100, tone vs style "&amp;INDEX(Matching_Engine!$Z$6:$Z$95,$W24,1)&amp;"/100, values "&amp;INDEX(Matching_Engine!$AA$6:$AA$95,$W24,1)&amp;"/100, communication "&amp;INDEX(Matching_Engine!$AB$6:$AB$95,$W24,1)&amp;"/100 — a "&amp;Brand_Profile!$G$25&amp;" / "&amp;Brand_Profile!$G$28&amp;" brand against a "&amp;KOL_Database!$AK$24&amp;" creator."</f>
        <v>Personality 30/100, tone vs style 40/100, values 0/100, communication 40/100 — a Innovative / Mid-market brand against a Humorous creator.</v>
      </c>
      <c r="V24" s="105" t="str">
        <f>IF(INDEX(Matching_Engine!$AM$6:$AM$95,$W24,1)="None","No risk flag. ",INDEX(Matching_Engine!$AM$6:$AM$95,$W24,1)&amp;" risk flag. ")&amp;"Brand Safety "&amp;INDEX(Matching_Engine!$AK$6:$AK$95,$W24,1)&amp;"/100, competitor saturation "&amp;INDEX(Matching_Engine!$AL$6:$AL$95,$W24,1)&amp;"/100"&amp;IF(INDEX(Matching_Engine!$AL$6:$AL$95,$W24,1)&gt;=70," — high, so treat it as a consideration rather than an automatic exclusion.",".")</f>
        <v>No risk flag. Brand Safety 92/100, competitor saturation 58/100.</v>
      </c>
      <c r="W24" s="105">
        <f>MATCH(Brand_Profile!$B$4&amp;"|"&amp;KOL_Database!$A$24,Matching_Engine!$AZ$6:$AZ$95,0)</f>
        <v>20</v>
      </c>
      <c r="X24" s="147">
        <f>INDEX(Matching_Engine!$N$6:$N$95,$W24,1)+0.006</f>
        <v>20.006</v>
      </c>
      <c r="Y24" s="147">
        <f ca="1">INDEX(Matching_Engine!$S$6:$S$95,$W24,1)+0.005</f>
        <v>57.005</v>
      </c>
      <c r="Z24" s="147">
        <f>INDEX(Matching_Engine!$X$6:$X$95,$W24,1)+0.004</f>
        <v>25.004</v>
      </c>
      <c r="AA24" s="147">
        <f>INDEX(Matching_Engine!$AC$6:$AC$95,$W24,1)+0.003</f>
        <v>27.003</v>
      </c>
      <c r="AB24" s="147">
        <f>INDEX(Matching_Engine!$AJ$6:$AJ$95,$W24,1)+0.002</f>
        <v>75.002</v>
      </c>
      <c r="AC24" s="147">
        <f>INDEX(Matching_Engine!$AO$6:$AO$95,$W24,1)+0.001</f>
        <v>82.001</v>
      </c>
    </row>
    <row r="25" spans="1:29">
      <c r="A25" s="105" t="str">
        <f>KOL_Database!$A$25</f>
        <v>KOL-21</v>
      </c>
      <c r="B25" s="105" t="str">
        <f>KOL_Database!$B$25</f>
        <v>Bagas Setiawan</v>
      </c>
      <c r="C25" s="105" t="str">
        <f>KOL_Database!$C$25</f>
        <v>@bagaskomedi</v>
      </c>
      <c r="D25" s="105" t="str">
        <f>KOL_Database!$D$25</f>
        <v>TikTok</v>
      </c>
      <c r="E25" s="105" t="str">
        <f>KOL_Database!$E$25</f>
        <v>Entertainment</v>
      </c>
      <c r="F25" s="146">
        <f ca="1">INDEX(Matching_Engine!$AP$6:$AP$95,$W25,1)</f>
        <v>39</v>
      </c>
      <c r="G25" s="105" t="str">
        <f ca="1">INDEX(Matching_Engine!$AQ$6:$AQ$95,$W25,1)</f>
        <v>Low Match</v>
      </c>
      <c r="H25" s="105" t="str">
        <f>INDEX(Matching_Engine!$AS$6:$AS$95,$W25,1)</f>
        <v>High</v>
      </c>
      <c r="I25" s="105" t="str">
        <f ca="1">"Strongest on "&amp;INDEX(Lookup_Lists!$AC$6:$AC$11,MATCH(LARGE($X25:$AC25,1),$X25:$AC25,0),1)&amp;" at "&amp;ROUND(LARGE($X25:$AC25,1),0)&amp;"/100. "&amp;"Audience overlap "&amp;INDEX(Matching_Engine!$S$6:$S$95,$W25,1)&amp;"/100 against the "&amp;Brand_Profile!$G$16&amp;" / "&amp;Brand_Profile!$G$17&amp;" target; "&amp;KOL_Database!$E$25&amp;" content against a "&amp;Brand_Profile!$G$10&amp;" brief. "&amp;"Final Brand Match "&amp;INDEX(Matching_Engine!$AP$6:$AP$95,$W25,1)&amp;"/100 ("&amp;INDEX(Matching_Engine!$AQ$6:$AQ$95,$W25,1)&amp;")."</f>
        <v>Strongest on Performance Quality at 80/100. Audience overlap 49/100 against the 25-34 / 18-24 target; Entertainment content against a Technology / SaaS brief. Final Brand Match 39/100 (Low Match).</v>
      </c>
      <c r="J25" s="105" t="str">
        <f ca="1">IFERROR(INDEX(Lookup_Lists!$AC$6:$AC$11,MATCH(LARGE($X25:$AC25,1),$X25:$AC25,0),1)&amp;" — "&amp;ROUND(LARGE($X25:$AC25,1),0)&amp;"/100","")</f>
        <v>Performance Quality — 80/100</v>
      </c>
      <c r="K25" s="105" t="str">
        <f ca="1">IFERROR(INDEX(Lookup_Lists!$AC$6:$AC$11,MATCH(LARGE($X25:$AC25,2),$X25:$AC25,0),1)&amp;" — "&amp;ROUND(LARGE($X25:$AC25,2),0)&amp;"/100","")</f>
        <v>Target Audience Relevance — 49/100</v>
      </c>
      <c r="L25" s="105" t="str">
        <f ca="1">IFERROR(INDEX(Lookup_Lists!$AC$6:$AC$11,MATCH(LARGE($X25:$AC25,3),$X25:$AC25,0),1)&amp;" — "&amp;ROUND(LARGE($X25:$AC25,3),0)&amp;"/100","")</f>
        <v>Brand Safety — 44/100</v>
      </c>
      <c r="M25" s="105" t="str">
        <f ca="1">IFERROR(IF(SMALL($X25:$AC25,1)&gt;=Lookup_Lists!$D$161,"No material gap — "&amp;INDEX(Lookup_Lists!$AC$6:$AC$11,MATCH(SMALL($X25:$AC25,1),$X25:$AC25,0),1)&amp;" at "&amp;ROUND(SMALL($X25:$AC25,1),0)&amp;"/100",INDEX(Lookup_Lists!$AC$6:$AC$11,MATCH(SMALL($X25:$AC25,1),$X25:$AC25,0),1)&amp;" only "&amp;ROUND(SMALL($X25:$AC25,1),0)&amp;"/100"),"")</f>
        <v>Brand &amp; Business Relevance only 22/100</v>
      </c>
      <c r="N25" s="105" t="str">
        <f ca="1">IFERROR(IF(SMALL($X25:$AC25,2)&gt;=Lookup_Lists!$D$161,"No material gap — "&amp;INDEX(Lookup_Lists!$AC$6:$AC$11,MATCH(SMALL($X25:$AC25,2),$X25:$AC25,0),1)&amp;" at "&amp;ROUND(SMALL($X25:$AC25,2),0)&amp;"/100",INDEX(Lookup_Lists!$AC$6:$AC$11,MATCH(SMALL($X25:$AC25,2),$X25:$AC25,0),1)&amp;" only "&amp;ROUND(SMALL($X25:$AC25,2),0)&amp;"/100"),"")</f>
        <v>Brand Personality Fit only 23/100</v>
      </c>
      <c r="O25" s="105" t="str">
        <f ca="1">IFERROR(IF(SMALL($X25:$AC25,3)&gt;=Lookup_Lists!$D$161,"No material gap — "&amp;INDEX(Lookup_Lists!$AC$6:$AC$11,MATCH(SMALL($X25:$AC25,3),$X25:$AC25,0),1)&amp;" at "&amp;ROUND(SMALL($X25:$AC25,3),0)&amp;"/100",INDEX(Lookup_Lists!$AC$6:$AC$11,MATCH(SMALL($X25:$AC25,3),$X25:$AC25,0),1)&amp;" only "&amp;ROUND(SMALL($X25:$AC25,3),0)&amp;"/100"),"")</f>
        <v>Content &amp; Category Relevance only 25/100</v>
      </c>
      <c r="P25" s="105" t="str">
        <f>IF(INDEX(Matching_Engine!$AM$6:$AM$95,$W25,1)="None","No risk flag — competitor saturation "&amp;INDEX(Matching_Engine!$AL$6:$AL$95,$W25,1)&amp;"/100",INDEX(Matching_Engine!$AM$6:$AM$95,$W25,1)&amp;" risk flag — competitor saturation "&amp;INDEX(Matching_Engine!$AL$6:$AL$95,$W25,1)&amp;"/100")</f>
        <v>Medium risk flag — competitor saturation 88/100</v>
      </c>
      <c r="Q25" s="105" t="str">
        <f ca="1">INDEX(Matching_Engine!$AX$6:$AX$95,$W25,1)</f>
        <v>Excluded</v>
      </c>
      <c r="R25" s="105" t="str">
        <f>"Industry "&amp;INDEX(Matching_Engine!$K$6:$K$95,$W25,1)&amp;"/100, category "&amp;INDEX(Matching_Engine!$L$6:$L$95,$W25,1)&amp;"/100, keywords "&amp;INDEX(Matching_Engine!$M$6:$M$95,$W25,1)&amp;"/100 — a "&amp;Brand_Profile!$G$10&amp;" brief against a "&amp;KOL_Database!$E$25&amp;" / "&amp;KOL_Database!$F$25&amp;" creator."</f>
        <v>Industry 40/100, category 20/100, keywords 0/100 — a Technology / SaaS brief against a Entertainment / Comedy creator.</v>
      </c>
      <c r="S25" s="105" t="str">
        <f ca="1">"Age "&amp;INDEX(Matching_Engine!$O$6:$O$95,$W25,1)&amp;"/100, gender "&amp;INDEX(Matching_Engine!$P$6:$P$95,$W25,1)&amp;"/100, location "&amp;INDEX(Matching_Engine!$Q$6:$Q$95,$W25,1)&amp;"/100, interests "&amp;INDEX(Matching_Engine!$R$6:$R$95,$W25,1)&amp;"/100. Weighted with priority on "&amp;Brand_Profile!$G$23&amp;"."</f>
        <v>Age 100/100, gender 100/100, location 65/100, interests 0/100. Weighted with priority on Interest.</v>
      </c>
      <c r="T25" s="105" t="str">
        <f>"Category "&amp;INDEX(Matching_Engine!$T$6:$T$95,$W25,1)&amp;"/100, sub category "&amp;INDEX(Matching_Engine!$U$6:$U$95,$W25,1)&amp;"/100, topics "&amp;INDEX(Matching_Engine!$V$6:$V$95,$W25,1)&amp;"/100, style "&amp;INDEX(Matching_Engine!$W$6:$W$95,$W25,1)&amp;"/100 — brief wants "&amp;Brand_Profile!$G$39&amp;", creator delivers "&amp;KOL_Database!$AJ$25&amp;"."</f>
        <v>Category 40/100, sub category 20/100, topics 0/100, style 45/100 — brief wants Educational, creator delivers Comedy.</v>
      </c>
      <c r="U25" s="105" t="str">
        <f>"Personality "&amp;INDEX(Matching_Engine!$Y$6:$Y$95,$W25,1)&amp;"/100, tone vs style "&amp;INDEX(Matching_Engine!$Z$6:$Z$95,$W25,1)&amp;"/100, values "&amp;INDEX(Matching_Engine!$AA$6:$AA$95,$W25,1)&amp;"/100, communication "&amp;INDEX(Matching_Engine!$AB$6:$AB$95,$W25,1)&amp;"/100 — a "&amp;Brand_Profile!$G$25&amp;" / "&amp;Brand_Profile!$G$28&amp;" brand against a "&amp;KOL_Database!$AK$25&amp;" creator."</f>
        <v>Personality 30/100, tone vs style 30/100, values 0/100, communication 30/100 — a Innovative / Mid-market brand against a Humorous creator.</v>
      </c>
      <c r="V25" s="105" t="str">
        <f>IF(INDEX(Matching_Engine!$AM$6:$AM$95,$W25,1)="None","No risk flag. ",INDEX(Matching_Engine!$AM$6:$AM$95,$W25,1)&amp;" risk flag. ")&amp;"Brand Safety "&amp;INDEX(Matching_Engine!$AK$6:$AK$95,$W25,1)&amp;"/100, competitor saturation "&amp;INDEX(Matching_Engine!$AL$6:$AL$95,$W25,1)&amp;"/100"&amp;IF(INDEX(Matching_Engine!$AL$6:$AL$95,$W25,1)&gt;=70," — high, so treat it as a consideration rather than an automatic exclusion.",".")</f>
        <v>Medium risk flag. Brand Safety 62/100, competitor saturation 88/100 — high, so treat it as a consideration rather than an automatic exclusion.</v>
      </c>
      <c r="W25" s="105">
        <f>MATCH(Brand_Profile!$B$4&amp;"|"&amp;KOL_Database!$A$25,Matching_Engine!$AZ$6:$AZ$95,0)</f>
        <v>21</v>
      </c>
      <c r="X25" s="147">
        <f>INDEX(Matching_Engine!$N$6:$N$95,$W25,1)+0.006</f>
        <v>22.006</v>
      </c>
      <c r="Y25" s="147">
        <f ca="1">INDEX(Matching_Engine!$S$6:$S$95,$W25,1)+0.005</f>
        <v>49.005</v>
      </c>
      <c r="Z25" s="147">
        <f>INDEX(Matching_Engine!$X$6:$X$95,$W25,1)+0.004</f>
        <v>25.004</v>
      </c>
      <c r="AA25" s="147">
        <f>INDEX(Matching_Engine!$AC$6:$AC$95,$W25,1)+0.003</f>
        <v>23.003</v>
      </c>
      <c r="AB25" s="147">
        <f>INDEX(Matching_Engine!$AJ$6:$AJ$95,$W25,1)+0.002</f>
        <v>80.002</v>
      </c>
      <c r="AC25" s="147">
        <f>INDEX(Matching_Engine!$AO$6:$AO$95,$W25,1)+0.001</f>
        <v>44.001</v>
      </c>
    </row>
    <row r="26" spans="1:29">
      <c r="A26" s="105" t="str">
        <f>KOL_Database!$A$26</f>
        <v>KOL-22</v>
      </c>
      <c r="B26" s="105" t="str">
        <f>KOL_Database!$B$26</f>
        <v>Nabila Kirana</v>
      </c>
      <c r="C26" s="105" t="str">
        <f>KOL_Database!$C$26</f>
        <v>@nabilamusic</v>
      </c>
      <c r="D26" s="105" t="str">
        <f>KOL_Database!$D$26</f>
        <v>Instagram</v>
      </c>
      <c r="E26" s="105" t="str">
        <f>KOL_Database!$E$26</f>
        <v>Entertainment</v>
      </c>
      <c r="F26" s="146">
        <f ca="1">INDEX(Matching_Engine!$AP$6:$AP$95,$W26,1)</f>
        <v>41</v>
      </c>
      <c r="G26" s="105" t="str">
        <f ca="1">INDEX(Matching_Engine!$AQ$6:$AQ$95,$W26,1)</f>
        <v>Low Match</v>
      </c>
      <c r="H26" s="105" t="str">
        <f>INDEX(Matching_Engine!$AS$6:$AS$95,$W26,1)</f>
        <v>High</v>
      </c>
      <c r="I26" s="105" t="str">
        <f ca="1">"Strongest on "&amp;INDEX(Lookup_Lists!$AC$6:$AC$11,MATCH(LARGE($X26:$AC26,1),$X26:$AC26,0),1)&amp;" at "&amp;ROUND(LARGE($X26:$AC26,1),0)&amp;"/100. "&amp;"Audience overlap "&amp;INDEX(Matching_Engine!$S$6:$S$95,$W26,1)&amp;"/100 against the "&amp;Brand_Profile!$G$16&amp;" / "&amp;Brand_Profile!$G$17&amp;" target; "&amp;KOL_Database!$E$26&amp;" content against a "&amp;Brand_Profile!$G$10&amp;" brief. "&amp;"Final Brand Match "&amp;INDEX(Matching_Engine!$AP$6:$AP$95,$W26,1)&amp;"/100 ("&amp;INDEX(Matching_Engine!$AQ$6:$AQ$95,$W26,1)&amp;")."</f>
        <v>Strongest on Performance Quality at 66/100. Audience overlap 54/100 against the 25-34 / 18-24 target; Entertainment content against a Technology / SaaS brief. Final Brand Match 41/100 (Low Match).</v>
      </c>
      <c r="J26" s="105" t="str">
        <f ca="1">IFERROR(INDEX(Lookup_Lists!$AC$6:$AC$11,MATCH(LARGE($X26:$AC26,1),$X26:$AC26,0),1)&amp;" — "&amp;ROUND(LARGE($X26:$AC26,1),0)&amp;"/100","")</f>
        <v>Performance Quality — 66/100</v>
      </c>
      <c r="K26" s="105" t="str">
        <f ca="1">IFERROR(INDEX(Lookup_Lists!$AC$6:$AC$11,MATCH(LARGE($X26:$AC26,2),$X26:$AC26,0),1)&amp;" — "&amp;ROUND(LARGE($X26:$AC26,2),0)&amp;"/100","")</f>
        <v>Target Audience Relevance — 54/100</v>
      </c>
      <c r="L26" s="105" t="str">
        <f ca="1">IFERROR(INDEX(Lookup_Lists!$AC$6:$AC$11,MATCH(LARGE($X26:$AC26,3),$X26:$AC26,0),1)&amp;" — "&amp;ROUND(LARGE($X26:$AC26,3),0)&amp;"/100","")</f>
        <v>Brand Personality Fit — 53/100</v>
      </c>
      <c r="M26" s="105" t="str">
        <f ca="1">IFERROR(IF(SMALL($X26:$AC26,1)&gt;=Lookup_Lists!$D$161,"No material gap — "&amp;INDEX(Lookup_Lists!$AC$6:$AC$11,MATCH(SMALL($X26:$AC26,1),$X26:$AC26,0),1)&amp;" at "&amp;ROUND(SMALL($X26:$AC26,1),0)&amp;"/100",INDEX(Lookup_Lists!$AC$6:$AC$11,MATCH(SMALL($X26:$AC26,1),$X26:$AC26,0),1)&amp;" only "&amp;ROUND(SMALL($X26:$AC26,1),0)&amp;"/100"),"")</f>
        <v>Brand &amp; Business Relevance only 22/100</v>
      </c>
      <c r="N26" s="105" t="str">
        <f ca="1">IFERROR(IF(SMALL($X26:$AC26,2)&gt;=Lookup_Lists!$D$161,"No material gap — "&amp;INDEX(Lookup_Lists!$AC$6:$AC$11,MATCH(SMALL($X26:$AC26,2),$X26:$AC26,0),1)&amp;" at "&amp;ROUND(SMALL($X26:$AC26,2),0)&amp;"/100",INDEX(Lookup_Lists!$AC$6:$AC$11,MATCH(SMALL($X26:$AC26,2),$X26:$AC26,0),1)&amp;" only "&amp;ROUND(SMALL($X26:$AC26,2),0)&amp;"/100"),"")</f>
        <v>Content &amp; Category Relevance only 25/100</v>
      </c>
      <c r="O26" s="105" t="str">
        <f ca="1">IFERROR(IF(SMALL($X26:$AC26,3)&gt;=Lookup_Lists!$D$161,"No material gap — "&amp;INDEX(Lookup_Lists!$AC$6:$AC$11,MATCH(SMALL($X26:$AC26,3),$X26:$AC26,0),1)&amp;" at "&amp;ROUND(SMALL($X26:$AC26,3),0)&amp;"/100",INDEX(Lookup_Lists!$AC$6:$AC$11,MATCH(SMALL($X26:$AC26,3),$X26:$AC26,0),1)&amp;" only "&amp;ROUND(SMALL($X26:$AC26,3),0)&amp;"/100"),"")</f>
        <v>Brand Safety only 34/100</v>
      </c>
      <c r="P26" s="105" t="str">
        <f>IF(INDEX(Matching_Engine!$AM$6:$AM$95,$W26,1)="None","No risk flag — competitor saturation "&amp;INDEX(Matching_Engine!$AL$6:$AL$95,$W26,1)&amp;"/100",INDEX(Matching_Engine!$AM$6:$AM$95,$W26,1)&amp;" risk flag — competitor saturation "&amp;INDEX(Matching_Engine!$AL$6:$AL$95,$W26,1)&amp;"/100")</f>
        <v>High risk flag — competitor saturation 40/100</v>
      </c>
      <c r="Q26" s="105" t="str">
        <f ca="1">INDEX(Matching_Engine!$AX$6:$AX$95,$W26,1)</f>
        <v>Excluded</v>
      </c>
      <c r="R26" s="105" t="str">
        <f>"Industry "&amp;INDEX(Matching_Engine!$K$6:$K$95,$W26,1)&amp;"/100, category "&amp;INDEX(Matching_Engine!$L$6:$L$95,$W26,1)&amp;"/100, keywords "&amp;INDEX(Matching_Engine!$M$6:$M$95,$W26,1)&amp;"/100 — a "&amp;Brand_Profile!$G$10&amp;" brief against a "&amp;KOL_Database!$E$26&amp;" / "&amp;KOL_Database!$F$26&amp;" creator."</f>
        <v>Industry 40/100, category 20/100, keywords 0/100 — a Technology / SaaS brief against a Entertainment / Music creator.</v>
      </c>
      <c r="S26" s="105" t="str">
        <f ca="1">"Age "&amp;INDEX(Matching_Engine!$O$6:$O$95,$W26,1)&amp;"/100, gender "&amp;INDEX(Matching_Engine!$P$6:$P$95,$W26,1)&amp;"/100, location "&amp;INDEX(Matching_Engine!$Q$6:$Q$95,$W26,1)&amp;"/100, interests "&amp;INDEX(Matching_Engine!$R$6:$R$95,$W26,1)&amp;"/100. Weighted with priority on "&amp;Brand_Profile!$G$23&amp;"."</f>
        <v>Age 100/100, gender 100/100, location 85/100, interests 0/100. Weighted with priority on Interest.</v>
      </c>
      <c r="T26" s="105" t="str">
        <f>"Category "&amp;INDEX(Matching_Engine!$T$6:$T$95,$W26,1)&amp;"/100, sub category "&amp;INDEX(Matching_Engine!$U$6:$U$95,$W26,1)&amp;"/100, topics "&amp;INDEX(Matching_Engine!$V$6:$V$95,$W26,1)&amp;"/100, style "&amp;INDEX(Matching_Engine!$W$6:$W$95,$W26,1)&amp;"/100 — brief wants "&amp;Brand_Profile!$G$39&amp;", creator delivers "&amp;KOL_Database!$AJ$26&amp;"."</f>
        <v>Category 40/100, sub category 20/100, topics 0/100, style 45/100 — brief wants Educational, creator delivers Aesthetic.</v>
      </c>
      <c r="U26" s="105" t="str">
        <f>"Personality "&amp;INDEX(Matching_Engine!$Y$6:$Y$95,$W26,1)&amp;"/100, tone vs style "&amp;INDEX(Matching_Engine!$Z$6:$Z$95,$W26,1)&amp;"/100, values "&amp;INDEX(Matching_Engine!$AA$6:$AA$95,$W26,1)&amp;"/100, communication "&amp;INDEX(Matching_Engine!$AB$6:$AB$95,$W26,1)&amp;"/100 — a "&amp;Brand_Profile!$G$25&amp;" / "&amp;Brand_Profile!$G$28&amp;" brand against a "&amp;KOL_Database!$AK$26&amp;" creator."</f>
        <v>Personality 95/100, tone vs style 50/100, values 0/100, communication 45/100 — a Innovative / Mid-market brand against a Creative creator.</v>
      </c>
      <c r="V26" s="105" t="str">
        <f>IF(INDEX(Matching_Engine!$AM$6:$AM$95,$W26,1)="None","No risk flag. ",INDEX(Matching_Engine!$AM$6:$AM$95,$W26,1)&amp;" risk flag. ")&amp;"Brand Safety "&amp;INDEX(Matching_Engine!$AK$6:$AK$95,$W26,1)&amp;"/100, competitor saturation "&amp;INDEX(Matching_Engine!$AL$6:$AL$95,$W26,1)&amp;"/100"&amp;IF(INDEX(Matching_Engine!$AL$6:$AL$95,$W26,1)&gt;=70," — high, so treat it as a consideration rather than an automatic exclusion.",".")</f>
        <v>High risk flag. Brand Safety 55/100, competitor saturation 40/100.</v>
      </c>
      <c r="W26" s="105">
        <f>MATCH(Brand_Profile!$B$4&amp;"|"&amp;KOL_Database!$A$26,Matching_Engine!$AZ$6:$AZ$95,0)</f>
        <v>22</v>
      </c>
      <c r="X26" s="147">
        <f>INDEX(Matching_Engine!$N$6:$N$95,$W26,1)+0.006</f>
        <v>22.006</v>
      </c>
      <c r="Y26" s="147">
        <f ca="1">INDEX(Matching_Engine!$S$6:$S$95,$W26,1)+0.005</f>
        <v>54.005</v>
      </c>
      <c r="Z26" s="147">
        <f>INDEX(Matching_Engine!$X$6:$X$95,$W26,1)+0.004</f>
        <v>25.004</v>
      </c>
      <c r="AA26" s="147">
        <f>INDEX(Matching_Engine!$AC$6:$AC$95,$W26,1)+0.003</f>
        <v>53.003</v>
      </c>
      <c r="AB26" s="147">
        <f>INDEX(Matching_Engine!$AJ$6:$AJ$95,$W26,1)+0.002</f>
        <v>66.002</v>
      </c>
      <c r="AC26" s="147">
        <f>INDEX(Matching_Engine!$AO$6:$AO$95,$W26,1)+0.001</f>
        <v>34.001</v>
      </c>
    </row>
    <row r="27" spans="1:29">
      <c r="A27" s="105" t="str">
        <f>KOL_Database!$A$27</f>
        <v>KOL-23</v>
      </c>
      <c r="B27" s="105" t="str">
        <f>KOL_Database!$B$27</f>
        <v>Arya Mahendra</v>
      </c>
      <c r="C27" s="105" t="str">
        <f>KOL_Database!$C$27</f>
        <v>@aryagaming</v>
      </c>
      <c r="D27" s="105" t="str">
        <f>KOL_Database!$D$27</f>
        <v>TikTok</v>
      </c>
      <c r="E27" s="105" t="str">
        <f>KOL_Database!$E$27</f>
        <v>Gaming</v>
      </c>
      <c r="F27" s="146">
        <f ca="1">INDEX(Matching_Engine!$AP$6:$AP$95,$W27,1)</f>
        <v>57</v>
      </c>
      <c r="G27" s="105" t="str">
        <f ca="1">INDEX(Matching_Engine!$AQ$6:$AQ$95,$W27,1)</f>
        <v>Low Match</v>
      </c>
      <c r="H27" s="105" t="str">
        <f>INDEX(Matching_Engine!$AS$6:$AS$95,$W27,1)</f>
        <v>High</v>
      </c>
      <c r="I27" s="105" t="str">
        <f ca="1">"Strongest on "&amp;INDEX(Lookup_Lists!$AC$6:$AC$11,MATCH(LARGE($X27:$AC27,1),$X27:$AC27,0),1)&amp;" at "&amp;ROUND(LARGE($X27:$AC27,1),0)&amp;"/100. "&amp;"Audience overlap "&amp;INDEX(Matching_Engine!$S$6:$S$95,$W27,1)&amp;"/100 against the "&amp;Brand_Profile!$G$16&amp;" / "&amp;Brand_Profile!$G$17&amp;" target; "&amp;KOL_Database!$E$27&amp;" content against a "&amp;Brand_Profile!$G$10&amp;" brief. "&amp;"Final Brand Match "&amp;INDEX(Matching_Engine!$AP$6:$AP$95,$W27,1)&amp;"/100 ("&amp;INDEX(Matching_Engine!$AQ$6:$AQ$95,$W27,1)&amp;")."</f>
        <v>Strongest on Performance Quality at 86/100. Audience overlap 57/100 against the 25-34 / 18-24 target; Gaming content against a Technology / SaaS brief. Final Brand Match 57/100 (Low Match).</v>
      </c>
      <c r="J27" s="105" t="str">
        <f ca="1">IFERROR(INDEX(Lookup_Lists!$AC$6:$AC$11,MATCH(LARGE($X27:$AC27,1),$X27:$AC27,0),1)&amp;" — "&amp;ROUND(LARGE($X27:$AC27,1),0)&amp;"/100","")</f>
        <v>Performance Quality — 86/100</v>
      </c>
      <c r="K27" s="105" t="str">
        <f ca="1">IFERROR(INDEX(Lookup_Lists!$AC$6:$AC$11,MATCH(LARGE($X27:$AC27,2),$X27:$AC27,0),1)&amp;" — "&amp;ROUND(LARGE($X27:$AC27,2),0)&amp;"/100","")</f>
        <v>Brand Safety — 79/100</v>
      </c>
      <c r="L27" s="105" t="str">
        <f ca="1">IFERROR(INDEX(Lookup_Lists!$AC$6:$AC$11,MATCH(LARGE($X27:$AC27,3),$X27:$AC27,0),1)&amp;" — "&amp;ROUND(LARGE($X27:$AC27,3),0)&amp;"/100","")</f>
        <v>Target Audience Relevance — 57/100</v>
      </c>
      <c r="M27" s="105" t="str">
        <f ca="1">IFERROR(IF(SMALL($X27:$AC27,1)&gt;=Lookup_Lists!$D$161,"No material gap — "&amp;INDEX(Lookup_Lists!$AC$6:$AC$11,MATCH(SMALL($X27:$AC27,1),$X27:$AC27,0),1)&amp;" at "&amp;ROUND(SMALL($X27:$AC27,1),0)&amp;"/100",INDEX(Lookup_Lists!$AC$6:$AC$11,MATCH(SMALL($X27:$AC27,1),$X27:$AC27,0),1)&amp;" only "&amp;ROUND(SMALL($X27:$AC27,1),0)&amp;"/100"),"")</f>
        <v>Brand Personality Fit only 37/100</v>
      </c>
      <c r="N27" s="105" t="str">
        <f ca="1">IFERROR(IF(SMALL($X27:$AC27,2)&gt;=Lookup_Lists!$D$161,"No material gap — "&amp;INDEX(Lookup_Lists!$AC$6:$AC$11,MATCH(SMALL($X27:$AC27,2),$X27:$AC27,0),1)&amp;" at "&amp;ROUND(SMALL($X27:$AC27,2),0)&amp;"/100",INDEX(Lookup_Lists!$AC$6:$AC$11,MATCH(SMALL($X27:$AC27,2),$X27:$AC27,0),1)&amp;" only "&amp;ROUND(SMALL($X27:$AC27,2),0)&amp;"/100"),"")</f>
        <v>Brand &amp; Business Relevance only 48/100</v>
      </c>
      <c r="O27" s="105" t="str">
        <f ca="1">IFERROR(IF(SMALL($X27:$AC27,3)&gt;=Lookup_Lists!$D$161,"No material gap — "&amp;INDEX(Lookup_Lists!$AC$6:$AC$11,MATCH(SMALL($X27:$AC27,3),$X27:$AC27,0),1)&amp;" at "&amp;ROUND(SMALL($X27:$AC27,3),0)&amp;"/100",INDEX(Lookup_Lists!$AC$6:$AC$11,MATCH(SMALL($X27:$AC27,3),$X27:$AC27,0),1)&amp;" only "&amp;ROUND(SMALL($X27:$AC27,3),0)&amp;"/100"),"")</f>
        <v>Content &amp; Category Relevance only 49/100</v>
      </c>
      <c r="P27" s="105" t="str">
        <f>IF(INDEX(Matching_Engine!$AM$6:$AM$95,$W27,1)="None","No risk flag — competitor saturation "&amp;INDEX(Matching_Engine!$AL$6:$AL$95,$W27,1)&amp;"/100",INDEX(Matching_Engine!$AM$6:$AM$95,$W27,1)&amp;" risk flag — competitor saturation "&amp;INDEX(Matching_Engine!$AL$6:$AL$95,$W27,1)&amp;"/100")</f>
        <v>No risk flag — competitor saturation 35/100</v>
      </c>
      <c r="Q27" s="105" t="str">
        <f ca="1">INDEX(Matching_Engine!$AX$6:$AX$95,$W27,1)</f>
        <v>Low Priority</v>
      </c>
      <c r="R27" s="105" t="str">
        <f>"Industry "&amp;INDEX(Matching_Engine!$K$6:$K$95,$W27,1)&amp;"/100, category "&amp;INDEX(Matching_Engine!$L$6:$L$95,$W27,1)&amp;"/100, keywords "&amp;INDEX(Matching_Engine!$M$6:$M$95,$W27,1)&amp;"/100 — a "&amp;Brand_Profile!$G$10&amp;" brief against a "&amp;KOL_Database!$E$27&amp;" / "&amp;KOL_Database!$F$27&amp;" creator."</f>
        <v>Industry 60/100, category 60/100, keywords 20/100 — a Technology / SaaS brief against a Gaming / Mobile Gaming creator.</v>
      </c>
      <c r="S27" s="105" t="str">
        <f ca="1">"Age "&amp;INDEX(Matching_Engine!$O$6:$O$95,$W27,1)&amp;"/100, gender "&amp;INDEX(Matching_Engine!$P$6:$P$95,$W27,1)&amp;"/100, location "&amp;INDEX(Matching_Engine!$Q$6:$Q$95,$W27,1)&amp;"/100, interests "&amp;INDEX(Matching_Engine!$R$6:$R$95,$W27,1)&amp;"/100. Weighted with priority on "&amp;Brand_Profile!$G$23&amp;"."</f>
        <v>Age 100/100, gender 100/100, location 65/100, interests 20/100. Weighted with priority on Interest.</v>
      </c>
      <c r="T27" s="105" t="str">
        <f>"Category "&amp;INDEX(Matching_Engine!$T$6:$T$95,$W27,1)&amp;"/100, sub category "&amp;INDEX(Matching_Engine!$U$6:$U$95,$W27,1)&amp;"/100, topics "&amp;INDEX(Matching_Engine!$V$6:$V$95,$W27,1)&amp;"/100, style "&amp;INDEX(Matching_Engine!$W$6:$W$95,$W27,1)&amp;"/100 — brief wants "&amp;Brand_Profile!$G$39&amp;", creator delivers "&amp;KOL_Database!$AJ$27&amp;"."</f>
        <v>Category 80/100, sub category 50/100, topics 20/100, style 45/100 — brief wants Educational, creator delivers Entertaining.</v>
      </c>
      <c r="U27" s="105" t="str">
        <f>"Personality "&amp;INDEX(Matching_Engine!$Y$6:$Y$95,$W27,1)&amp;"/100, tone vs style "&amp;INDEX(Matching_Engine!$Z$6:$Z$95,$W27,1)&amp;"/100, values "&amp;INDEX(Matching_Engine!$AA$6:$AA$95,$W27,1)&amp;"/100, communication "&amp;INDEX(Matching_Engine!$AB$6:$AB$95,$W27,1)&amp;"/100 — a "&amp;Brand_Profile!$G$25&amp;" / "&amp;Brand_Profile!$G$28&amp;" brand against a "&amp;KOL_Database!$AK$27&amp;" creator."</f>
        <v>Personality 45/100, tone vs style 40/100, values 20/100, communication 40/100 — a Innovative / Mid-market brand against a Entertaining creator.</v>
      </c>
      <c r="V27" s="105" t="str">
        <f>IF(INDEX(Matching_Engine!$AM$6:$AM$95,$W27,1)="None","No risk flag. ",INDEX(Matching_Engine!$AM$6:$AM$95,$W27,1)&amp;" risk flag. ")&amp;"Brand Safety "&amp;INDEX(Matching_Engine!$AK$6:$AK$95,$W27,1)&amp;"/100, competitor saturation "&amp;INDEX(Matching_Engine!$AL$6:$AL$95,$W27,1)&amp;"/100"&amp;IF(INDEX(Matching_Engine!$AL$6:$AL$95,$W27,1)&gt;=70," — high, so treat it as a consideration rather than an automatic exclusion.",".")</f>
        <v>No risk flag. Brand Safety 82/100, competitor saturation 35/100.</v>
      </c>
      <c r="W27" s="105">
        <f>MATCH(Brand_Profile!$B$4&amp;"|"&amp;KOL_Database!$A$27,Matching_Engine!$AZ$6:$AZ$95,0)</f>
        <v>23</v>
      </c>
      <c r="X27" s="147">
        <f>INDEX(Matching_Engine!$N$6:$N$95,$W27,1)+0.006</f>
        <v>48.006</v>
      </c>
      <c r="Y27" s="147">
        <f ca="1">INDEX(Matching_Engine!$S$6:$S$95,$W27,1)+0.005</f>
        <v>57.005</v>
      </c>
      <c r="Z27" s="147">
        <f>INDEX(Matching_Engine!$X$6:$X$95,$W27,1)+0.004</f>
        <v>49.004</v>
      </c>
      <c r="AA27" s="147">
        <f>INDEX(Matching_Engine!$AC$6:$AC$95,$W27,1)+0.003</f>
        <v>37.003</v>
      </c>
      <c r="AB27" s="147">
        <f>INDEX(Matching_Engine!$AJ$6:$AJ$95,$W27,1)+0.002</f>
        <v>86.002</v>
      </c>
      <c r="AC27" s="147">
        <f>INDEX(Matching_Engine!$AO$6:$AO$95,$W27,1)+0.001</f>
        <v>79.001</v>
      </c>
    </row>
    <row r="28" spans="1:29">
      <c r="A28" s="105" t="str">
        <f>KOL_Database!$A$28</f>
        <v>KOL-24</v>
      </c>
      <c r="B28" s="105" t="str">
        <f>KOL_Database!$B$28</f>
        <v>Rio Saputra</v>
      </c>
      <c r="C28" s="105" t="str">
        <f>KOL_Database!$C$28</f>
        <v>@riopcbuild</v>
      </c>
      <c r="D28" s="105" t="str">
        <f>KOL_Database!$D$28</f>
        <v>Instagram</v>
      </c>
      <c r="E28" s="105" t="str">
        <f>KOL_Database!$E$28</f>
        <v>Gaming</v>
      </c>
      <c r="F28" s="146">
        <f ca="1">INDEX(Matching_Engine!$AP$6:$AP$95,$W28,1)</f>
        <v>66</v>
      </c>
      <c r="G28" s="105" t="str">
        <f ca="1">INDEX(Matching_Engine!$AQ$6:$AQ$95,$W28,1)</f>
        <v>Moderate Match</v>
      </c>
      <c r="H28" s="105" t="str">
        <f>INDEX(Matching_Engine!$AS$6:$AS$95,$W28,1)</f>
        <v>Medium</v>
      </c>
      <c r="I28" s="105" t="str">
        <f ca="1">"Strongest on "&amp;INDEX(Lookup_Lists!$AC$6:$AC$11,MATCH(LARGE($X28:$AC28,1),$X28:$AC28,0),1)&amp;" at "&amp;ROUND(LARGE($X28:$AC28,1),0)&amp;"/100. "&amp;"Audience overlap "&amp;INDEX(Matching_Engine!$S$6:$S$95,$W28,1)&amp;"/100 against the "&amp;Brand_Profile!$G$16&amp;" / "&amp;Brand_Profile!$G$17&amp;" target; "&amp;KOL_Database!$E$28&amp;" content against a "&amp;Brand_Profile!$G$10&amp;" brief. "&amp;"Final Brand Match "&amp;INDEX(Matching_Engine!$AP$6:$AP$95,$W28,1)&amp;"/100 ("&amp;INDEX(Matching_Engine!$AQ$6:$AQ$95,$W28,1)&amp;")."</f>
        <v>Strongest on Brand Personality Fit at 78/100. Audience overlap 68/100 against the 25-34 / 18-24 target; Gaming content against a Technology / SaaS brief. Final Brand Match 66/100 (Moderate Match).</v>
      </c>
      <c r="J28" s="105" t="str">
        <f ca="1">IFERROR(INDEX(Lookup_Lists!$AC$6:$AC$11,MATCH(LARGE($X28:$AC28,1),$X28:$AC28,0),1)&amp;" — "&amp;ROUND(LARGE($X28:$AC28,1),0)&amp;"/100","")</f>
        <v>Brand Personality Fit — 78/100</v>
      </c>
      <c r="K28" s="105" t="str">
        <f ca="1">IFERROR(INDEX(Lookup_Lists!$AC$6:$AC$11,MATCH(LARGE($X28:$AC28,2),$X28:$AC28,0),1)&amp;" — "&amp;ROUND(LARGE($X28:$AC28,2),0)&amp;"/100","")</f>
        <v>Brand Safety — 78/100</v>
      </c>
      <c r="L28" s="105" t="str">
        <f ca="1">IFERROR(INDEX(Lookup_Lists!$AC$6:$AC$11,MATCH(LARGE($X28:$AC28,3),$X28:$AC28,0),1)&amp;" — "&amp;ROUND(LARGE($X28:$AC28,3),0)&amp;"/100","")</f>
        <v>Target Audience Relevance — 68/100</v>
      </c>
      <c r="M28" s="105" t="str">
        <f ca="1">IFERROR(IF(SMALL($X28:$AC28,1)&gt;=Lookup_Lists!$D$161,"No material gap — "&amp;INDEX(Lookup_Lists!$AC$6:$AC$11,MATCH(SMALL($X28:$AC28,1),$X28:$AC28,0),1)&amp;" at "&amp;ROUND(SMALL($X28:$AC28,1),0)&amp;"/100",INDEX(Lookup_Lists!$AC$6:$AC$11,MATCH(SMALL($X28:$AC28,1),$X28:$AC28,0),1)&amp;" only "&amp;ROUND(SMALL($X28:$AC28,1),0)&amp;"/100"),"")</f>
        <v>Brand &amp; Business Relevance only 54/100</v>
      </c>
      <c r="N28" s="105" t="str">
        <f ca="1">IFERROR(IF(SMALL($X28:$AC28,2)&gt;=Lookup_Lists!$D$161,"No material gap — "&amp;INDEX(Lookup_Lists!$AC$6:$AC$11,MATCH(SMALL($X28:$AC28,2),$X28:$AC28,0),1)&amp;" at "&amp;ROUND(SMALL($X28:$AC28,2),0)&amp;"/100",INDEX(Lookup_Lists!$AC$6:$AC$11,MATCH(SMALL($X28:$AC28,2),$X28:$AC28,0),1)&amp;" only "&amp;ROUND(SMALL($X28:$AC28,2),0)&amp;"/100"),"")</f>
        <v>Content &amp; Category Relevance only 62/100</v>
      </c>
      <c r="O28" s="105" t="str">
        <f ca="1">IFERROR(IF(SMALL($X28:$AC28,3)&gt;=Lookup_Lists!$D$161,"No material gap — "&amp;INDEX(Lookup_Lists!$AC$6:$AC$11,MATCH(SMALL($X28:$AC28,3),$X28:$AC28,0),1)&amp;" at "&amp;ROUND(SMALL($X28:$AC28,3),0)&amp;"/100",INDEX(Lookup_Lists!$AC$6:$AC$11,MATCH(SMALL($X28:$AC28,3),$X28:$AC28,0),1)&amp;" only "&amp;ROUND(SMALL($X28:$AC28,3),0)&amp;"/100"),"")</f>
        <v>Performance Quality only 66/100</v>
      </c>
      <c r="P28" s="105" t="str">
        <f>IF(INDEX(Matching_Engine!$AM$6:$AM$95,$W28,1)="None","No risk flag — competitor saturation "&amp;INDEX(Matching_Engine!$AL$6:$AL$95,$W28,1)&amp;"/100",INDEX(Matching_Engine!$AM$6:$AM$95,$W28,1)&amp;" risk flag — competitor saturation "&amp;INDEX(Matching_Engine!$AL$6:$AL$95,$W28,1)&amp;"/100")</f>
        <v>No risk flag — competitor saturation 38/100</v>
      </c>
      <c r="Q28" s="105" t="str">
        <f ca="1">INDEX(Matching_Engine!$AX$6:$AX$95,$W28,1)</f>
        <v>Consider</v>
      </c>
      <c r="R28" s="105" t="str">
        <f>"Industry "&amp;INDEX(Matching_Engine!$K$6:$K$95,$W28,1)&amp;"/100, category "&amp;INDEX(Matching_Engine!$L$6:$L$95,$W28,1)&amp;"/100, keywords "&amp;INDEX(Matching_Engine!$M$6:$M$95,$W28,1)&amp;"/100 — a "&amp;Brand_Profile!$G$10&amp;" brief against a "&amp;KOL_Database!$E$28&amp;" / "&amp;KOL_Database!$F$28&amp;" creator."</f>
        <v>Industry 60/100, category 60/100, keywords 40/100 — a Technology / SaaS brief against a Gaming / PC &amp; Console creator.</v>
      </c>
      <c r="S28" s="105" t="str">
        <f ca="1">"Age "&amp;INDEX(Matching_Engine!$O$6:$O$95,$W28,1)&amp;"/100, gender "&amp;INDEX(Matching_Engine!$P$6:$P$95,$W28,1)&amp;"/100, location "&amp;INDEX(Matching_Engine!$Q$6:$Q$95,$W28,1)&amp;"/100, interests "&amp;INDEX(Matching_Engine!$R$6:$R$95,$W28,1)&amp;"/100. Weighted with priority on "&amp;Brand_Profile!$G$23&amp;"."</f>
        <v>Age 100/100, gender 100/100, location 73/100, interests 40/100. Weighted with priority on Interest.</v>
      </c>
      <c r="T28" s="105" t="str">
        <f>"Category "&amp;INDEX(Matching_Engine!$T$6:$T$95,$W28,1)&amp;"/100, sub category "&amp;INDEX(Matching_Engine!$U$6:$U$95,$W28,1)&amp;"/100, topics "&amp;INDEX(Matching_Engine!$V$6:$V$95,$W28,1)&amp;"/100, style "&amp;INDEX(Matching_Engine!$W$6:$W$95,$W28,1)&amp;"/100 — brief wants "&amp;Brand_Profile!$G$39&amp;", creator delivers "&amp;KOL_Database!$AJ$28&amp;"."</f>
        <v>Category 80/100, sub category 50/100, topics 40/100, style 80/100 — brief wants Educational, creator delivers Demo.</v>
      </c>
      <c r="U28" s="105" t="str">
        <f>"Personality "&amp;INDEX(Matching_Engine!$Y$6:$Y$95,$W28,1)&amp;"/100, tone vs style "&amp;INDEX(Matching_Engine!$Z$6:$Z$95,$W28,1)&amp;"/100, values "&amp;INDEX(Matching_Engine!$AA$6:$AA$95,$W28,1)&amp;"/100, communication "&amp;INDEX(Matching_Engine!$AB$6:$AB$95,$W28,1)&amp;"/100 — a "&amp;Brand_Profile!$G$25&amp;" / "&amp;Brand_Profile!$G$28&amp;" brand against a "&amp;KOL_Database!$AK$28&amp;" creator."</f>
        <v>Personality 100/100, tone vs style 85/100, values 40/100, communication 80/100 — a Innovative / Mid-market brand against a Tech-savvy creator.</v>
      </c>
      <c r="V28" s="105" t="str">
        <f>IF(INDEX(Matching_Engine!$AM$6:$AM$95,$W28,1)="None","No risk flag. ",INDEX(Matching_Engine!$AM$6:$AM$95,$W28,1)&amp;" risk flag. ")&amp;"Brand Safety "&amp;INDEX(Matching_Engine!$AK$6:$AK$95,$W28,1)&amp;"/100, competitor saturation "&amp;INDEX(Matching_Engine!$AL$6:$AL$95,$W28,1)&amp;"/100"&amp;IF(INDEX(Matching_Engine!$AL$6:$AL$95,$W28,1)&gt;=70," — high, so treat it as a consideration rather than an automatic exclusion.",".")</f>
        <v>No risk flag. Brand Safety 82/100, competitor saturation 38/100.</v>
      </c>
      <c r="W28" s="105">
        <f>MATCH(Brand_Profile!$B$4&amp;"|"&amp;KOL_Database!$A$28,Matching_Engine!$AZ$6:$AZ$95,0)</f>
        <v>24</v>
      </c>
      <c r="X28" s="147">
        <f>INDEX(Matching_Engine!$N$6:$N$95,$W28,1)+0.006</f>
        <v>54.006</v>
      </c>
      <c r="Y28" s="147">
        <f ca="1">INDEX(Matching_Engine!$S$6:$S$95,$W28,1)+0.005</f>
        <v>68.005</v>
      </c>
      <c r="Z28" s="147">
        <f>INDEX(Matching_Engine!$X$6:$X$95,$W28,1)+0.004</f>
        <v>62.004</v>
      </c>
      <c r="AA28" s="147">
        <f>INDEX(Matching_Engine!$AC$6:$AC$95,$W28,1)+0.003</f>
        <v>78.003</v>
      </c>
      <c r="AB28" s="147">
        <f>INDEX(Matching_Engine!$AJ$6:$AJ$95,$W28,1)+0.002</f>
        <v>66.002</v>
      </c>
      <c r="AC28" s="147">
        <f>INDEX(Matching_Engine!$AO$6:$AO$95,$W28,1)+0.001</f>
        <v>78.001</v>
      </c>
    </row>
    <row r="29" spans="1:29">
      <c r="A29" s="105" t="str">
        <f>KOL_Database!$A$29</f>
        <v>KOL-25</v>
      </c>
      <c r="B29" s="105" t="str">
        <f>KOL_Database!$B$29</f>
        <v>Denny Kurniawan</v>
      </c>
      <c r="C29" s="105" t="str">
        <f>KOL_Database!$C$29</f>
        <v>@dennymotovlog</v>
      </c>
      <c r="D29" s="105" t="str">
        <f>KOL_Database!$D$29</f>
        <v>TikTok</v>
      </c>
      <c r="E29" s="105" t="str">
        <f>KOL_Database!$E$29</f>
        <v>Automotive</v>
      </c>
      <c r="F29" s="146">
        <f ca="1">INDEX(Matching_Engine!$AP$6:$AP$95,$W29,1)</f>
        <v>54</v>
      </c>
      <c r="G29" s="105" t="str">
        <f ca="1">INDEX(Matching_Engine!$AQ$6:$AQ$95,$W29,1)</f>
        <v>Low Match</v>
      </c>
      <c r="H29" s="105" t="str">
        <f>INDEX(Matching_Engine!$AS$6:$AS$95,$W29,1)</f>
        <v>High</v>
      </c>
      <c r="I29" s="105" t="str">
        <f ca="1">"Strongest on "&amp;INDEX(Lookup_Lists!$AC$6:$AC$11,MATCH(LARGE($X29:$AC29,1),$X29:$AC29,0),1)&amp;" at "&amp;ROUND(LARGE($X29:$AC29,1),0)&amp;"/100. "&amp;"Audience overlap "&amp;INDEX(Matching_Engine!$S$6:$S$95,$W29,1)&amp;"/100 against the "&amp;Brand_Profile!$G$16&amp;" / "&amp;Brand_Profile!$G$17&amp;" target; "&amp;KOL_Database!$E$29&amp;" content against a "&amp;Brand_Profile!$G$10&amp;" brief. "&amp;"Final Brand Match "&amp;INDEX(Matching_Engine!$AP$6:$AP$95,$W29,1)&amp;"/100 ("&amp;INDEX(Matching_Engine!$AQ$6:$AQ$95,$W29,1)&amp;")."</f>
        <v>Strongest on Performance Quality at 78/100. Audience overlap 57/100 against the 25-34 / 18-24 target; Automotive content against a Technology / SaaS brief. Final Brand Match 54/100 (Low Match).</v>
      </c>
      <c r="J29" s="105" t="str">
        <f ca="1">IFERROR(INDEX(Lookup_Lists!$AC$6:$AC$11,MATCH(LARGE($X29:$AC29,1),$X29:$AC29,0),1)&amp;" — "&amp;ROUND(LARGE($X29:$AC29,1),0)&amp;"/100","")</f>
        <v>Performance Quality — 78/100</v>
      </c>
      <c r="K29" s="105" t="str">
        <f ca="1">IFERROR(INDEX(Lookup_Lists!$AC$6:$AC$11,MATCH(LARGE($X29:$AC29,2),$X29:$AC29,0),1)&amp;" — "&amp;ROUND(LARGE($X29:$AC29,2),0)&amp;"/100","")</f>
        <v>Brand Safety — 74/100</v>
      </c>
      <c r="L29" s="105" t="str">
        <f ca="1">IFERROR(INDEX(Lookup_Lists!$AC$6:$AC$11,MATCH(LARGE($X29:$AC29,3),$X29:$AC29,0),1)&amp;" — "&amp;ROUND(LARGE($X29:$AC29,3),0)&amp;"/100","")</f>
        <v>Target Audience Relevance — 57/100</v>
      </c>
      <c r="M29" s="105" t="str">
        <f ca="1">IFERROR(IF(SMALL($X29:$AC29,1)&gt;=Lookup_Lists!$D$161,"No material gap — "&amp;INDEX(Lookup_Lists!$AC$6:$AC$11,MATCH(SMALL($X29:$AC29,1),$X29:$AC29,0),1)&amp;" at "&amp;ROUND(SMALL($X29:$AC29,1),0)&amp;"/100",INDEX(Lookup_Lists!$AC$6:$AC$11,MATCH(SMALL($X29:$AC29,1),$X29:$AC29,0),1)&amp;" only "&amp;ROUND(SMALL($X29:$AC29,1),0)&amp;"/100"),"")</f>
        <v>Brand Personality Fit only 35/100</v>
      </c>
      <c r="N29" s="105" t="str">
        <f ca="1">IFERROR(IF(SMALL($X29:$AC29,2)&gt;=Lookup_Lists!$D$161,"No material gap — "&amp;INDEX(Lookup_Lists!$AC$6:$AC$11,MATCH(SMALL($X29:$AC29,2),$X29:$AC29,0),1)&amp;" at "&amp;ROUND(SMALL($X29:$AC29,2),0)&amp;"/100",INDEX(Lookup_Lists!$AC$6:$AC$11,MATCH(SMALL($X29:$AC29,2),$X29:$AC29,0),1)&amp;" only "&amp;ROUND(SMALL($X29:$AC29,2),0)&amp;"/100"),"")</f>
        <v>Brand &amp; Business Relevance only 40/100</v>
      </c>
      <c r="O29" s="105" t="str">
        <f ca="1">IFERROR(IF(SMALL($X29:$AC29,3)&gt;=Lookup_Lists!$D$161,"No material gap — "&amp;INDEX(Lookup_Lists!$AC$6:$AC$11,MATCH(SMALL($X29:$AC29,3),$X29:$AC29,0),1)&amp;" at "&amp;ROUND(SMALL($X29:$AC29,3),0)&amp;"/100",INDEX(Lookup_Lists!$AC$6:$AC$11,MATCH(SMALL($X29:$AC29,3),$X29:$AC29,0),1)&amp;" only "&amp;ROUND(SMALL($X29:$AC29,3),0)&amp;"/100"),"")</f>
        <v>Content &amp; Category Relevance only 49/100</v>
      </c>
      <c r="P29" s="105" t="str">
        <f>IF(INDEX(Matching_Engine!$AM$6:$AM$95,$W29,1)="None","No risk flag — competitor saturation "&amp;INDEX(Matching_Engine!$AL$6:$AL$95,$W29,1)&amp;"/100",INDEX(Matching_Engine!$AM$6:$AM$95,$W29,1)&amp;" risk flag — competitor saturation "&amp;INDEX(Matching_Engine!$AL$6:$AL$95,$W29,1)&amp;"/100")</f>
        <v>Low risk flag — competitor saturation 28/100</v>
      </c>
      <c r="Q29" s="105" t="str">
        <f ca="1">INDEX(Matching_Engine!$AX$6:$AX$95,$W29,1)</f>
        <v>Low Priority</v>
      </c>
      <c r="R29" s="105" t="str">
        <f>"Industry "&amp;INDEX(Matching_Engine!$K$6:$K$95,$W29,1)&amp;"/100, category "&amp;INDEX(Matching_Engine!$L$6:$L$95,$W29,1)&amp;"/100, keywords "&amp;INDEX(Matching_Engine!$M$6:$M$95,$W29,1)&amp;"/100 — a "&amp;Brand_Profile!$G$10&amp;" brief against a "&amp;KOL_Database!$E$29&amp;" / "&amp;KOL_Database!$F$29&amp;" creator."</f>
        <v>Industry 40/100, category 60/100, keywords 20/100 — a Technology / SaaS brief against a Automotive / Motorcycle creator.</v>
      </c>
      <c r="S29" s="105" t="str">
        <f ca="1">"Age "&amp;INDEX(Matching_Engine!$O$6:$O$95,$W29,1)&amp;"/100, gender "&amp;INDEX(Matching_Engine!$P$6:$P$95,$W29,1)&amp;"/100, location "&amp;INDEX(Matching_Engine!$Q$6:$Q$95,$W29,1)&amp;"/100, interests "&amp;INDEX(Matching_Engine!$R$6:$R$95,$W29,1)&amp;"/100. Weighted with priority on "&amp;Brand_Profile!$G$23&amp;"."</f>
        <v>Age 100/100, gender 100/100, location 65/100, interests 20/100. Weighted with priority on Interest.</v>
      </c>
      <c r="T29" s="105" t="str">
        <f>"Category "&amp;INDEX(Matching_Engine!$T$6:$T$95,$W29,1)&amp;"/100, sub category "&amp;INDEX(Matching_Engine!$U$6:$U$95,$W29,1)&amp;"/100, topics "&amp;INDEX(Matching_Engine!$V$6:$V$95,$W29,1)&amp;"/100, style "&amp;INDEX(Matching_Engine!$W$6:$W$95,$W29,1)&amp;"/100 — brief wants "&amp;Brand_Profile!$G$39&amp;", creator delivers "&amp;KOL_Database!$AJ$29&amp;"."</f>
        <v>Category 80/100, sub category 50/100, topics 20/100, style 45/100 — brief wants Educational, creator delivers Vlog.</v>
      </c>
      <c r="U29" s="105" t="str">
        <f>"Personality "&amp;INDEX(Matching_Engine!$Y$6:$Y$95,$W29,1)&amp;"/100, tone vs style "&amp;INDEX(Matching_Engine!$Z$6:$Z$95,$W29,1)&amp;"/100, values "&amp;INDEX(Matching_Engine!$AA$6:$AA$95,$W29,1)&amp;"/100, communication "&amp;INDEX(Matching_Engine!$AB$6:$AB$95,$W29,1)&amp;"/100 — a "&amp;Brand_Profile!$G$25&amp;" / "&amp;Brand_Profile!$G$28&amp;" brand against a "&amp;KOL_Database!$AK$29&amp;" creator."</f>
        <v>Personality 40/100, tone vs style 55/100, values 0/100, communication 50/100 — a Innovative / Mid-market brand against a Casual creator.</v>
      </c>
      <c r="V29" s="105" t="str">
        <f>IF(INDEX(Matching_Engine!$AM$6:$AM$95,$W29,1)="None","No risk flag. ",INDEX(Matching_Engine!$AM$6:$AM$95,$W29,1)&amp;" risk flag. ")&amp;"Brand Safety "&amp;INDEX(Matching_Engine!$AK$6:$AK$95,$W29,1)&amp;"/100, competitor saturation "&amp;INDEX(Matching_Engine!$AL$6:$AL$95,$W29,1)&amp;"/100"&amp;IF(INDEX(Matching_Engine!$AL$6:$AL$95,$W29,1)&gt;=70," — high, so treat it as a consideration rather than an automatic exclusion.",".")</f>
        <v>Low risk flag. Brand Safety 80/100, competitor saturation 28/100.</v>
      </c>
      <c r="W29" s="105">
        <f>MATCH(Brand_Profile!$B$4&amp;"|"&amp;KOL_Database!$A$29,Matching_Engine!$AZ$6:$AZ$95,0)</f>
        <v>25</v>
      </c>
      <c r="X29" s="147">
        <f>INDEX(Matching_Engine!$N$6:$N$95,$W29,1)+0.006</f>
        <v>40.006</v>
      </c>
      <c r="Y29" s="147">
        <f ca="1">INDEX(Matching_Engine!$S$6:$S$95,$W29,1)+0.005</f>
        <v>57.005</v>
      </c>
      <c r="Z29" s="147">
        <f>INDEX(Matching_Engine!$X$6:$X$95,$W29,1)+0.004</f>
        <v>49.004</v>
      </c>
      <c r="AA29" s="147">
        <f>INDEX(Matching_Engine!$AC$6:$AC$95,$W29,1)+0.003</f>
        <v>35.003</v>
      </c>
      <c r="AB29" s="147">
        <f>INDEX(Matching_Engine!$AJ$6:$AJ$95,$W29,1)+0.002</f>
        <v>78.002</v>
      </c>
      <c r="AC29" s="147">
        <f>INDEX(Matching_Engine!$AO$6:$AO$95,$W29,1)+0.001</f>
        <v>74.001</v>
      </c>
    </row>
    <row r="30" spans="1:29">
      <c r="A30" s="105" t="str">
        <f>KOL_Database!$A$30</f>
        <v>KOL-26</v>
      </c>
      <c r="B30" s="105" t="str">
        <f>KOL_Database!$B$30</f>
        <v>Wisnu Adi</v>
      </c>
      <c r="C30" s="105" t="str">
        <f>KOL_Database!$C$30</f>
        <v>@wisnucarreview</v>
      </c>
      <c r="D30" s="105" t="str">
        <f>KOL_Database!$D$30</f>
        <v>Instagram</v>
      </c>
      <c r="E30" s="105" t="str">
        <f>KOL_Database!$E$30</f>
        <v>Automotive</v>
      </c>
      <c r="F30" s="146">
        <f ca="1">INDEX(Matching_Engine!$AP$6:$AP$95,$W30,1)</f>
        <v>68</v>
      </c>
      <c r="G30" s="105" t="str">
        <f ca="1">INDEX(Matching_Engine!$AQ$6:$AQ$95,$W30,1)</f>
        <v>Moderate Match</v>
      </c>
      <c r="H30" s="105" t="str">
        <f>INDEX(Matching_Engine!$AS$6:$AS$95,$W30,1)</f>
        <v>High</v>
      </c>
      <c r="I30" s="105" t="str">
        <f ca="1">"Strongest on "&amp;INDEX(Lookup_Lists!$AC$6:$AC$11,MATCH(LARGE($X30:$AC30,1),$X30:$AC30,0),1)&amp;" at "&amp;ROUND(LARGE($X30:$AC30,1),0)&amp;"/100. "&amp;"Audience overlap "&amp;INDEX(Matching_Engine!$S$6:$S$95,$W30,1)&amp;"/100 against the "&amp;Brand_Profile!$G$16&amp;" / "&amp;Brand_Profile!$G$17&amp;" target; "&amp;KOL_Database!$E$30&amp;" content against a "&amp;Brand_Profile!$G$10&amp;" brief. "&amp;"Final Brand Match "&amp;INDEX(Matching_Engine!$AP$6:$AP$95,$W30,1)&amp;"/100 ("&amp;INDEX(Matching_Engine!$AQ$6:$AQ$95,$W30,1)&amp;")."</f>
        <v>Strongest on Target Audience Relevance at 83/100. Audience overlap 83/100 against the 25-34 / 18-24 target; Automotive content against a Technology / SaaS brief. Final Brand Match 68/100 (Moderate Match).</v>
      </c>
      <c r="J30" s="105" t="str">
        <f ca="1">IFERROR(INDEX(Lookup_Lists!$AC$6:$AC$11,MATCH(LARGE($X30:$AC30,1),$X30:$AC30,0),1)&amp;" — "&amp;ROUND(LARGE($X30:$AC30,1),0)&amp;"/100","")</f>
        <v>Target Audience Relevance — 83/100</v>
      </c>
      <c r="K30" s="105" t="str">
        <f ca="1">IFERROR(INDEX(Lookup_Lists!$AC$6:$AC$11,MATCH(LARGE($X30:$AC30,2),$X30:$AC30,0),1)&amp;" — "&amp;ROUND(LARGE($X30:$AC30,2),0)&amp;"/100","")</f>
        <v>Brand Personality Fit — 73/100</v>
      </c>
      <c r="L30" s="105" t="str">
        <f ca="1">IFERROR(INDEX(Lookup_Lists!$AC$6:$AC$11,MATCH(LARGE($X30:$AC30,3),$X30:$AC30,0),1)&amp;" — "&amp;ROUND(LARGE($X30:$AC30,3),0)&amp;"/100","")</f>
        <v>Brand Safety — 70/100</v>
      </c>
      <c r="M30" s="105" t="str">
        <f ca="1">IFERROR(IF(SMALL($X30:$AC30,1)&gt;=Lookup_Lists!$D$161,"No material gap — "&amp;INDEX(Lookup_Lists!$AC$6:$AC$11,MATCH(SMALL($X30:$AC30,1),$X30:$AC30,0),1)&amp;" at "&amp;ROUND(SMALL($X30:$AC30,1),0)&amp;"/100",INDEX(Lookup_Lists!$AC$6:$AC$11,MATCH(SMALL($X30:$AC30,1),$X30:$AC30,0),1)&amp;" only "&amp;ROUND(SMALL($X30:$AC30,1),0)&amp;"/100"),"")</f>
        <v>Performance Quality only 51/100</v>
      </c>
      <c r="N30" s="105" t="str">
        <f ca="1">IFERROR(IF(SMALL($X30:$AC30,2)&gt;=Lookup_Lists!$D$161,"No material gap — "&amp;INDEX(Lookup_Lists!$AC$6:$AC$11,MATCH(SMALL($X30:$AC30,2),$X30:$AC30,0),1)&amp;" at "&amp;ROUND(SMALL($X30:$AC30,2),0)&amp;"/100",INDEX(Lookup_Lists!$AC$6:$AC$11,MATCH(SMALL($X30:$AC30,2),$X30:$AC30,0),1)&amp;" only "&amp;ROUND(SMALL($X30:$AC30,2),0)&amp;"/100"),"")</f>
        <v>Brand &amp; Business Relevance only 52/100</v>
      </c>
      <c r="O30" s="105" t="str">
        <f ca="1">IFERROR(IF(SMALL($X30:$AC30,3)&gt;=Lookup_Lists!$D$161,"No material gap — "&amp;INDEX(Lookup_Lists!$AC$6:$AC$11,MATCH(SMALL($X30:$AC30,3),$X30:$AC30,0),1)&amp;" at "&amp;ROUND(SMALL($X30:$AC30,3),0)&amp;"/100",INDEX(Lookup_Lists!$AC$6:$AC$11,MATCH(SMALL($X30:$AC30,3),$X30:$AC30,0),1)&amp;" only "&amp;ROUND(SMALL($X30:$AC30,3),0)&amp;"/100"),"")</f>
        <v>Content &amp; Category Relevance only 68/100</v>
      </c>
      <c r="P30" s="105" t="str">
        <f>IF(INDEX(Matching_Engine!$AM$6:$AM$95,$W30,1)="None","No risk flag — competitor saturation "&amp;INDEX(Matching_Engine!$AL$6:$AL$95,$W30,1)&amp;"/100",INDEX(Matching_Engine!$AM$6:$AM$95,$W30,1)&amp;" risk flag — competitor saturation "&amp;INDEX(Matching_Engine!$AL$6:$AL$95,$W30,1)&amp;"/100")</f>
        <v>Low risk flag — competitor saturation 13/100</v>
      </c>
      <c r="Q30" s="105" t="str">
        <f ca="1">INDEX(Matching_Engine!$AX$6:$AX$95,$W30,1)</f>
        <v>Excluded</v>
      </c>
      <c r="R30" s="105" t="str">
        <f>"Industry "&amp;INDEX(Matching_Engine!$K$6:$K$95,$W30,1)&amp;"/100, category "&amp;INDEX(Matching_Engine!$L$6:$L$95,$W30,1)&amp;"/100, keywords "&amp;INDEX(Matching_Engine!$M$6:$M$95,$W30,1)&amp;"/100 — a "&amp;Brand_Profile!$G$10&amp;" brief against a "&amp;KOL_Database!$E$30&amp;" / "&amp;KOL_Database!$F$30&amp;" creator."</f>
        <v>Industry 40/100, category 60/100, keywords 60/100 — a Technology / SaaS brief against a Automotive / Car Review creator.</v>
      </c>
      <c r="S30" s="105" t="str">
        <f ca="1">"Age "&amp;INDEX(Matching_Engine!$O$6:$O$95,$W30,1)&amp;"/100, gender "&amp;INDEX(Matching_Engine!$P$6:$P$95,$W30,1)&amp;"/100, location "&amp;INDEX(Matching_Engine!$Q$6:$Q$95,$W30,1)&amp;"/100, interests "&amp;INDEX(Matching_Engine!$R$6:$R$95,$W30,1)&amp;"/100. Weighted with priority on "&amp;Brand_Profile!$G$23&amp;"."</f>
        <v>Age 100/100, gender 100/100, location 100/100, interests 60/100. Weighted with priority on Interest.</v>
      </c>
      <c r="T30" s="105" t="str">
        <f>"Category "&amp;INDEX(Matching_Engine!$T$6:$T$95,$W30,1)&amp;"/100, sub category "&amp;INDEX(Matching_Engine!$U$6:$U$95,$W30,1)&amp;"/100, topics "&amp;INDEX(Matching_Engine!$V$6:$V$95,$W30,1)&amp;"/100, style "&amp;INDEX(Matching_Engine!$W$6:$W$95,$W30,1)&amp;"/100 — brief wants "&amp;Brand_Profile!$G$39&amp;", creator delivers "&amp;KOL_Database!$AJ$30&amp;"."</f>
        <v>Category 80/100, sub category 50/100, topics 60/100, style 80/100 — brief wants Educational, creator delivers Review.</v>
      </c>
      <c r="U30" s="105" t="str">
        <f>"Personality "&amp;INDEX(Matching_Engine!$Y$6:$Y$95,$W30,1)&amp;"/100, tone vs style "&amp;INDEX(Matching_Engine!$Z$6:$Z$95,$W30,1)&amp;"/100, values "&amp;INDEX(Matching_Engine!$AA$6:$AA$95,$W30,1)&amp;"/100, communication "&amp;INDEX(Matching_Engine!$AB$6:$AB$95,$W30,1)&amp;"/100 — a "&amp;Brand_Profile!$G$25&amp;" / "&amp;Brand_Profile!$G$28&amp;" brand against a "&amp;KOL_Database!$AK$30&amp;" creator."</f>
        <v>Personality 70/100, tone vs style 90/100, values 60/100, communication 70/100 — a Innovative / Mid-market brand against a Professional creator.</v>
      </c>
      <c r="V30" s="105" t="str">
        <f>IF(INDEX(Matching_Engine!$AM$6:$AM$95,$W30,1)="None","No risk flag. ",INDEX(Matching_Engine!$AM$6:$AM$95,$W30,1)&amp;" risk flag. ")&amp;"Brand Safety "&amp;INDEX(Matching_Engine!$AK$6:$AK$95,$W30,1)&amp;"/100, competitor saturation "&amp;INDEX(Matching_Engine!$AL$6:$AL$95,$W30,1)&amp;"/100"&amp;IF(INDEX(Matching_Engine!$AL$6:$AL$95,$W30,1)&gt;=70," — high, so treat it as a consideration rather than an automatic exclusion.",".")</f>
        <v>Low risk flag. Brand Safety 71/100, competitor saturation 13/100.</v>
      </c>
      <c r="W30" s="105">
        <f>MATCH(Brand_Profile!$B$4&amp;"|"&amp;KOL_Database!$A$30,Matching_Engine!$AZ$6:$AZ$95,0)</f>
        <v>26</v>
      </c>
      <c r="X30" s="147">
        <f>INDEX(Matching_Engine!$N$6:$N$95,$W30,1)+0.006</f>
        <v>52.006</v>
      </c>
      <c r="Y30" s="147">
        <f ca="1">INDEX(Matching_Engine!$S$6:$S$95,$W30,1)+0.005</f>
        <v>83.005</v>
      </c>
      <c r="Z30" s="147">
        <f>INDEX(Matching_Engine!$X$6:$X$95,$W30,1)+0.004</f>
        <v>68.004</v>
      </c>
      <c r="AA30" s="147">
        <f>INDEX(Matching_Engine!$AC$6:$AC$95,$W30,1)+0.003</f>
        <v>73.003</v>
      </c>
      <c r="AB30" s="147">
        <f>INDEX(Matching_Engine!$AJ$6:$AJ$95,$W30,1)+0.002</f>
        <v>51.002</v>
      </c>
      <c r="AC30" s="147">
        <f>INDEX(Matching_Engine!$AO$6:$AO$95,$W30,1)+0.001</f>
        <v>70.001</v>
      </c>
    </row>
    <row r="31" spans="1:29">
      <c r="A31" s="105" t="str">
        <f>KOL_Database!$A$31</f>
        <v>KOL-27</v>
      </c>
      <c r="B31" s="105" t="str">
        <f>KOL_Database!$B$31</f>
        <v>Laras Ayu</v>
      </c>
      <c r="C31" s="105" t="str">
        <f>KOL_Database!$C$31</f>
        <v>@larasinterior</v>
      </c>
      <c r="D31" s="105" t="str">
        <f>KOL_Database!$D$31</f>
        <v>Instagram</v>
      </c>
      <c r="E31" s="105" t="str">
        <f>KOL_Database!$E$31</f>
        <v>Home &amp; Living</v>
      </c>
      <c r="F31" s="146">
        <f ca="1">INDEX(Matching_Engine!$AP$6:$AP$95,$W31,1)</f>
        <v>42</v>
      </c>
      <c r="G31" s="105" t="str">
        <f ca="1">INDEX(Matching_Engine!$AQ$6:$AQ$95,$W31,1)</f>
        <v>Low Match</v>
      </c>
      <c r="H31" s="105" t="str">
        <f>INDEX(Matching_Engine!$AS$6:$AS$95,$W31,1)</f>
        <v>Medium</v>
      </c>
      <c r="I31" s="105" t="str">
        <f ca="1">"Strongest on "&amp;INDEX(Lookup_Lists!$AC$6:$AC$11,MATCH(LARGE($X31:$AC31,1),$X31:$AC31,0),1)&amp;" at "&amp;ROUND(LARGE($X31:$AC31,1),0)&amp;"/100. "&amp;"Audience overlap "&amp;INDEX(Matching_Engine!$S$6:$S$95,$W31,1)&amp;"/100 against the "&amp;Brand_Profile!$G$16&amp;" / "&amp;Brand_Profile!$G$17&amp;" target; "&amp;KOL_Database!$E$31&amp;" content against a "&amp;Brand_Profile!$G$10&amp;" brief. "&amp;"Final Brand Match "&amp;INDEX(Matching_Engine!$AP$6:$AP$95,$W31,1)&amp;"/100 ("&amp;INDEX(Matching_Engine!$AQ$6:$AQ$95,$W31,1)&amp;")."</f>
        <v>Strongest on Brand Safety at 81/100. Audience overlap 49/100 against the 25-34 / 18-24 target; Home &amp; Living content against a Technology / SaaS brief. Final Brand Match 42/100 (Low Match).</v>
      </c>
      <c r="J31" s="105" t="str">
        <f ca="1">IFERROR(INDEX(Lookup_Lists!$AC$6:$AC$11,MATCH(LARGE($X31:$AC31,1),$X31:$AC31,0),1)&amp;" — "&amp;ROUND(LARGE($X31:$AC31,1),0)&amp;"/100","")</f>
        <v>Brand Safety — 81/100</v>
      </c>
      <c r="K31" s="105" t="str">
        <f ca="1">IFERROR(INDEX(Lookup_Lists!$AC$6:$AC$11,MATCH(LARGE($X31:$AC31,2),$X31:$AC31,0),1)&amp;" — "&amp;ROUND(LARGE($X31:$AC31,2),0)&amp;"/100","")</f>
        <v>Performance Quality — 68/100</v>
      </c>
      <c r="L31" s="105" t="str">
        <f ca="1">IFERROR(INDEX(Lookup_Lists!$AC$6:$AC$11,MATCH(LARGE($X31:$AC31,3),$X31:$AC31,0),1)&amp;" — "&amp;ROUND(LARGE($X31:$AC31,3),0)&amp;"/100","")</f>
        <v>Target Audience Relevance — 49/100</v>
      </c>
      <c r="M31" s="105" t="str">
        <f ca="1">IFERROR(IF(SMALL($X31:$AC31,1)&gt;=Lookup_Lists!$D$161,"No material gap — "&amp;INDEX(Lookup_Lists!$AC$6:$AC$11,MATCH(SMALL($X31:$AC31,1),$X31:$AC31,0),1)&amp;" at "&amp;ROUND(SMALL($X31:$AC31,1),0)&amp;"/100",INDEX(Lookup_Lists!$AC$6:$AC$11,MATCH(SMALL($X31:$AC31,1),$X31:$AC31,0),1)&amp;" only "&amp;ROUND(SMALL($X31:$AC31,1),0)&amp;"/100"),"")</f>
        <v>Content &amp; Category Relevance only 19/100</v>
      </c>
      <c r="N31" s="105" t="str">
        <f ca="1">IFERROR(IF(SMALL($X31:$AC31,2)&gt;=Lookup_Lists!$D$161,"No material gap — "&amp;INDEX(Lookup_Lists!$AC$6:$AC$11,MATCH(SMALL($X31:$AC31,2),$X31:$AC31,0),1)&amp;" at "&amp;ROUND(SMALL($X31:$AC31,2),0)&amp;"/100",INDEX(Lookup_Lists!$AC$6:$AC$11,MATCH(SMALL($X31:$AC31,2),$X31:$AC31,0),1)&amp;" only "&amp;ROUND(SMALL($X31:$AC31,2),0)&amp;"/100"),"")</f>
        <v>Brand &amp; Business Relevance only 22/100</v>
      </c>
      <c r="O31" s="105" t="str">
        <f ca="1">IFERROR(IF(SMALL($X31:$AC31,3)&gt;=Lookup_Lists!$D$161,"No material gap — "&amp;INDEX(Lookup_Lists!$AC$6:$AC$11,MATCH(SMALL($X31:$AC31,3),$X31:$AC31,0),1)&amp;" at "&amp;ROUND(SMALL($X31:$AC31,3),0)&amp;"/100",INDEX(Lookup_Lists!$AC$6:$AC$11,MATCH(SMALL($X31:$AC31,3),$X31:$AC31,0),1)&amp;" only "&amp;ROUND(SMALL($X31:$AC31,3),0)&amp;"/100"),"")</f>
        <v>Brand Personality Fit only 45/100</v>
      </c>
      <c r="P31" s="105" t="str">
        <f>IF(INDEX(Matching_Engine!$AM$6:$AM$95,$W31,1)="None","No risk flag — competitor saturation "&amp;INDEX(Matching_Engine!$AL$6:$AL$95,$W31,1)&amp;"/100",INDEX(Matching_Engine!$AM$6:$AM$95,$W31,1)&amp;" risk flag — competitor saturation "&amp;INDEX(Matching_Engine!$AL$6:$AL$95,$W31,1)&amp;"/100")</f>
        <v>No risk flag — competitor saturation 64/100</v>
      </c>
      <c r="Q31" s="105" t="str">
        <f ca="1">INDEX(Matching_Engine!$AX$6:$AX$95,$W31,1)</f>
        <v>Low Priority</v>
      </c>
      <c r="R31" s="105" t="str">
        <f>"Industry "&amp;INDEX(Matching_Engine!$K$6:$K$95,$W31,1)&amp;"/100, category "&amp;INDEX(Matching_Engine!$L$6:$L$95,$W31,1)&amp;"/100, keywords "&amp;INDEX(Matching_Engine!$M$6:$M$95,$W31,1)&amp;"/100 — a "&amp;Brand_Profile!$G$10&amp;" brief against a "&amp;KOL_Database!$E$31&amp;" / "&amp;KOL_Database!$F$31&amp;" creator."</f>
        <v>Industry 40/100, category 20/100, keywords 0/100 — a Technology / SaaS brief against a Home &amp; Living / Interior creator.</v>
      </c>
      <c r="S31" s="105" t="str">
        <f ca="1">"Age "&amp;INDEX(Matching_Engine!$O$6:$O$95,$W31,1)&amp;"/100, gender "&amp;INDEX(Matching_Engine!$P$6:$P$95,$W31,1)&amp;"/100, location "&amp;INDEX(Matching_Engine!$Q$6:$Q$95,$W31,1)&amp;"/100, interests "&amp;INDEX(Matching_Engine!$R$6:$R$95,$W31,1)&amp;"/100. Weighted with priority on "&amp;Brand_Profile!$G$23&amp;"."</f>
        <v>Age 100/100, gender 100/100, location 65/100, interests 0/100. Weighted with priority on Interest.</v>
      </c>
      <c r="T31" s="105" t="str">
        <f>"Category "&amp;INDEX(Matching_Engine!$T$6:$T$95,$W31,1)&amp;"/100, sub category "&amp;INDEX(Matching_Engine!$U$6:$U$95,$W31,1)&amp;"/100, topics "&amp;INDEX(Matching_Engine!$V$6:$V$95,$W31,1)&amp;"/100, style "&amp;INDEX(Matching_Engine!$W$6:$W$95,$W31,1)&amp;"/100 — brief wants "&amp;Brand_Profile!$G$39&amp;", creator delivers "&amp;KOL_Database!$AJ$31&amp;"."</f>
        <v>Category 20/100, sub category 20/100, topics 0/100, style 45/100 — brief wants Educational, creator delivers Aesthetic.</v>
      </c>
      <c r="U31" s="105" t="str">
        <f>"Personality "&amp;INDEX(Matching_Engine!$Y$6:$Y$95,$W31,1)&amp;"/100, tone vs style "&amp;INDEX(Matching_Engine!$Z$6:$Z$95,$W31,1)&amp;"/100, values "&amp;INDEX(Matching_Engine!$AA$6:$AA$95,$W31,1)&amp;"/100, communication "&amp;INDEX(Matching_Engine!$AB$6:$AB$95,$W31,1)&amp;"/100 — a "&amp;Brand_Profile!$G$25&amp;" / "&amp;Brand_Profile!$G$28&amp;" brand against a "&amp;KOL_Database!$AK$31&amp;" creator."</f>
        <v>Personality 60/100, tone vs style 50/100, values 20/100, communication 45/100 — a Innovative / Mid-market brand against a Premium creator.</v>
      </c>
      <c r="V31" s="105" t="str">
        <f>IF(INDEX(Matching_Engine!$AM$6:$AM$95,$W31,1)="None","No risk flag. ",INDEX(Matching_Engine!$AM$6:$AM$95,$W31,1)&amp;" risk flag. ")&amp;"Brand Safety "&amp;INDEX(Matching_Engine!$AK$6:$AK$95,$W31,1)&amp;"/100, competitor saturation "&amp;INDEX(Matching_Engine!$AL$6:$AL$95,$W31,1)&amp;"/100"&amp;IF(INDEX(Matching_Engine!$AL$6:$AL$95,$W31,1)&gt;=70," — high, so treat it as a consideration rather than an automatic exclusion.",".")</f>
        <v>No risk flag. Brand Safety 92/100, competitor saturation 64/100.</v>
      </c>
      <c r="W31" s="105">
        <f>MATCH(Brand_Profile!$B$4&amp;"|"&amp;KOL_Database!$A$31,Matching_Engine!$AZ$6:$AZ$95,0)</f>
        <v>27</v>
      </c>
      <c r="X31" s="147">
        <f>INDEX(Matching_Engine!$N$6:$N$95,$W31,1)+0.006</f>
        <v>22.006</v>
      </c>
      <c r="Y31" s="147">
        <f ca="1">INDEX(Matching_Engine!$S$6:$S$95,$W31,1)+0.005</f>
        <v>49.005</v>
      </c>
      <c r="Z31" s="147">
        <f>INDEX(Matching_Engine!$X$6:$X$95,$W31,1)+0.004</f>
        <v>19.004</v>
      </c>
      <c r="AA31" s="147">
        <f>INDEX(Matching_Engine!$AC$6:$AC$95,$W31,1)+0.003</f>
        <v>45.003</v>
      </c>
      <c r="AB31" s="147">
        <f>INDEX(Matching_Engine!$AJ$6:$AJ$95,$W31,1)+0.002</f>
        <v>68.002</v>
      </c>
      <c r="AC31" s="147">
        <f>INDEX(Matching_Engine!$AO$6:$AO$95,$W31,1)+0.001</f>
        <v>81.001</v>
      </c>
    </row>
    <row r="32" spans="1:29">
      <c r="A32" s="105" t="str">
        <f>KOL_Database!$A$32</f>
        <v>KOL-28</v>
      </c>
      <c r="B32" s="105" t="str">
        <f>KOL_Database!$B$32</f>
        <v>Tiara Nisrina</v>
      </c>
      <c r="C32" s="105" t="str">
        <f>KOL_Database!$C$32</f>
        <v>@tiararapihin</v>
      </c>
      <c r="D32" s="105" t="str">
        <f>KOL_Database!$D$32</f>
        <v>TikTok</v>
      </c>
      <c r="E32" s="105" t="str">
        <f>KOL_Database!$E$32</f>
        <v>Home &amp; Living</v>
      </c>
      <c r="F32" s="146">
        <f ca="1">INDEX(Matching_Engine!$AP$6:$AP$95,$W32,1)</f>
        <v>55</v>
      </c>
      <c r="G32" s="105" t="str">
        <f ca="1">INDEX(Matching_Engine!$AQ$6:$AQ$95,$W32,1)</f>
        <v>Low Match</v>
      </c>
      <c r="H32" s="105" t="str">
        <f>INDEX(Matching_Engine!$AS$6:$AS$95,$W32,1)</f>
        <v>High</v>
      </c>
      <c r="I32" s="105" t="str">
        <f ca="1">"Strongest on "&amp;INDEX(Lookup_Lists!$AC$6:$AC$11,MATCH(LARGE($X32:$AC32,1),$X32:$AC32,0),1)&amp;" at "&amp;ROUND(LARGE($X32:$AC32,1),0)&amp;"/100. "&amp;"Audience overlap "&amp;INDEX(Matching_Engine!$S$6:$S$95,$W32,1)&amp;"/100 against the "&amp;Brand_Profile!$G$16&amp;" / "&amp;Brand_Profile!$G$17&amp;" target; "&amp;KOL_Database!$E$32&amp;" content against a "&amp;Brand_Profile!$G$10&amp;" brief. "&amp;"Final Brand Match "&amp;INDEX(Matching_Engine!$AP$6:$AP$95,$W32,1)&amp;"/100 ("&amp;INDEX(Matching_Engine!$AQ$6:$AQ$95,$W32,1)&amp;")."</f>
        <v>Strongest on Performance Quality at 87/100. Audience overlap 66/100 against the 25-34 / 18-24 target; Home &amp; Living content against a Technology / SaaS brief. Final Brand Match 55/100 (Low Match).</v>
      </c>
      <c r="J32" s="105" t="str">
        <f ca="1">IFERROR(INDEX(Lookup_Lists!$AC$6:$AC$11,MATCH(LARGE($X32:$AC32,1),$X32:$AC32,0),1)&amp;" — "&amp;ROUND(LARGE($X32:$AC32,1),0)&amp;"/100","")</f>
        <v>Performance Quality — 87/100</v>
      </c>
      <c r="K32" s="105" t="str">
        <f ca="1">IFERROR(INDEX(Lookup_Lists!$AC$6:$AC$11,MATCH(LARGE($X32:$AC32,2),$X32:$AC32,0),1)&amp;" — "&amp;ROUND(LARGE($X32:$AC32,2),0)&amp;"/100","")</f>
        <v>Brand Safety — 80/100</v>
      </c>
      <c r="L32" s="105" t="str">
        <f ca="1">IFERROR(INDEX(Lookup_Lists!$AC$6:$AC$11,MATCH(LARGE($X32:$AC32,3),$X32:$AC32,0),1)&amp;" — "&amp;ROUND(LARGE($X32:$AC32,3),0)&amp;"/100","")</f>
        <v>Target Audience Relevance — 66/100</v>
      </c>
      <c r="M32" s="105" t="str">
        <f ca="1">IFERROR(IF(SMALL($X32:$AC32,1)&gt;=Lookup_Lists!$D$161,"No material gap — "&amp;INDEX(Lookup_Lists!$AC$6:$AC$11,MATCH(SMALL($X32:$AC32,1),$X32:$AC32,0),1)&amp;" at "&amp;ROUND(SMALL($X32:$AC32,1),0)&amp;"/100",INDEX(Lookup_Lists!$AC$6:$AC$11,MATCH(SMALL($X32:$AC32,1),$X32:$AC32,0),1)&amp;" only "&amp;ROUND(SMALL($X32:$AC32,1),0)&amp;"/100"),"")</f>
        <v>Brand &amp; Business Relevance only 28/100</v>
      </c>
      <c r="N32" s="105" t="str">
        <f ca="1">IFERROR(IF(SMALL($X32:$AC32,2)&gt;=Lookup_Lists!$D$161,"No material gap — "&amp;INDEX(Lookup_Lists!$AC$6:$AC$11,MATCH(SMALL($X32:$AC32,2),$X32:$AC32,0),1)&amp;" at "&amp;ROUND(SMALL($X32:$AC32,2),0)&amp;"/100",INDEX(Lookup_Lists!$AC$6:$AC$11,MATCH(SMALL($X32:$AC32,2),$X32:$AC32,0),1)&amp;" only "&amp;ROUND(SMALL($X32:$AC32,2),0)&amp;"/100"),"")</f>
        <v>Content &amp; Category Relevance only 32/100</v>
      </c>
      <c r="O32" s="105" t="str">
        <f ca="1">IFERROR(IF(SMALL($X32:$AC32,3)&gt;=Lookup_Lists!$D$161,"No material gap — "&amp;INDEX(Lookup_Lists!$AC$6:$AC$11,MATCH(SMALL($X32:$AC32,3),$X32:$AC32,0),1)&amp;" at "&amp;ROUND(SMALL($X32:$AC32,3),0)&amp;"/100",INDEX(Lookup_Lists!$AC$6:$AC$11,MATCH(SMALL($X32:$AC32,3),$X32:$AC32,0),1)&amp;" only "&amp;ROUND(SMALL($X32:$AC32,3),0)&amp;"/100"),"")</f>
        <v>Brand Personality Fit only 61/100</v>
      </c>
      <c r="P32" s="105" t="str">
        <f>IF(INDEX(Matching_Engine!$AM$6:$AM$95,$W32,1)="None","No risk flag — competitor saturation "&amp;INDEX(Matching_Engine!$AL$6:$AL$95,$W32,1)&amp;"/100",INDEX(Matching_Engine!$AM$6:$AM$95,$W32,1)&amp;" risk flag — competitor saturation "&amp;INDEX(Matching_Engine!$AL$6:$AL$95,$W32,1)&amp;"/100")</f>
        <v>No risk flag — competitor saturation 42/100</v>
      </c>
      <c r="Q32" s="105" t="str">
        <f ca="1">INDEX(Matching_Engine!$AX$6:$AX$95,$W32,1)</f>
        <v>Low Priority</v>
      </c>
      <c r="R32" s="105" t="str">
        <f>"Industry "&amp;INDEX(Matching_Engine!$K$6:$K$95,$W32,1)&amp;"/100, category "&amp;INDEX(Matching_Engine!$L$6:$L$95,$W32,1)&amp;"/100, keywords "&amp;INDEX(Matching_Engine!$M$6:$M$95,$W32,1)&amp;"/100 — a "&amp;Brand_Profile!$G$10&amp;" brief against a "&amp;KOL_Database!$E$32&amp;" / "&amp;KOL_Database!$F$32&amp;" creator."</f>
        <v>Industry 40/100, category 20/100, keywords 20/100 — a Technology / SaaS brief against a Home &amp; Living / Home Organization creator.</v>
      </c>
      <c r="S32" s="105" t="str">
        <f ca="1">"Age "&amp;INDEX(Matching_Engine!$O$6:$O$95,$W32,1)&amp;"/100, gender "&amp;INDEX(Matching_Engine!$P$6:$P$95,$W32,1)&amp;"/100, location "&amp;INDEX(Matching_Engine!$Q$6:$Q$95,$W32,1)&amp;"/100, interests "&amp;INDEX(Matching_Engine!$R$6:$R$95,$W32,1)&amp;"/100. Weighted with priority on "&amp;Brand_Profile!$G$23&amp;"."</f>
        <v>Age 100/100, gender 100/100, location 100/100, interests 20/100. Weighted with priority on Interest.</v>
      </c>
      <c r="T32" s="105" t="str">
        <f>"Category "&amp;INDEX(Matching_Engine!$T$6:$T$95,$W32,1)&amp;"/100, sub category "&amp;INDEX(Matching_Engine!$U$6:$U$95,$W32,1)&amp;"/100, topics "&amp;INDEX(Matching_Engine!$V$6:$V$95,$W32,1)&amp;"/100, style "&amp;INDEX(Matching_Engine!$W$6:$W$95,$W32,1)&amp;"/100 — brief wants "&amp;Brand_Profile!$G$39&amp;", creator delivers "&amp;KOL_Database!$AJ$32&amp;"."</f>
        <v>Category 20/100, sub category 20/100, topics 20/100, style 80/100 — brief wants Educational, creator delivers Tutorial.</v>
      </c>
      <c r="U32" s="105" t="str">
        <f>"Personality "&amp;INDEX(Matching_Engine!$Y$6:$Y$95,$W32,1)&amp;"/100, tone vs style "&amp;INDEX(Matching_Engine!$Z$6:$Z$95,$W32,1)&amp;"/100, values "&amp;INDEX(Matching_Engine!$AA$6:$AA$95,$W32,1)&amp;"/100, communication "&amp;INDEX(Matching_Engine!$AB$6:$AB$95,$W32,1)&amp;"/100 — a "&amp;Brand_Profile!$G$25&amp;" / "&amp;Brand_Profile!$G$28&amp;" brand against a "&amp;KOL_Database!$AK$32&amp;" creator."</f>
        <v>Personality 50/100, tone vs style 95/100, values 20/100, communication 95/100 — a Innovative / Mid-market brand against a Relatable creator.</v>
      </c>
      <c r="V32" s="105" t="str">
        <f>IF(INDEX(Matching_Engine!$AM$6:$AM$95,$W32,1)="None","No risk flag. ",INDEX(Matching_Engine!$AM$6:$AM$95,$W32,1)&amp;" risk flag. ")&amp;"Brand Safety "&amp;INDEX(Matching_Engine!$AK$6:$AK$95,$W32,1)&amp;"/100, competitor saturation "&amp;INDEX(Matching_Engine!$AL$6:$AL$95,$W32,1)&amp;"/100"&amp;IF(INDEX(Matching_Engine!$AL$6:$AL$95,$W32,1)&gt;=70," — high, so treat it as a consideration rather than an automatic exclusion.",".")</f>
        <v>No risk flag. Brand Safety 85/100, competitor saturation 42/100.</v>
      </c>
      <c r="W32" s="105">
        <f>MATCH(Brand_Profile!$B$4&amp;"|"&amp;KOL_Database!$A$32,Matching_Engine!$AZ$6:$AZ$95,0)</f>
        <v>28</v>
      </c>
      <c r="X32" s="147">
        <f>INDEX(Matching_Engine!$N$6:$N$95,$W32,1)+0.006</f>
        <v>28.006</v>
      </c>
      <c r="Y32" s="147">
        <f ca="1">INDEX(Matching_Engine!$S$6:$S$95,$W32,1)+0.005</f>
        <v>66.005</v>
      </c>
      <c r="Z32" s="147">
        <f>INDEX(Matching_Engine!$X$6:$X$95,$W32,1)+0.004</f>
        <v>32.004</v>
      </c>
      <c r="AA32" s="147">
        <f>INDEX(Matching_Engine!$AC$6:$AC$95,$W32,1)+0.003</f>
        <v>61.003</v>
      </c>
      <c r="AB32" s="147">
        <f>INDEX(Matching_Engine!$AJ$6:$AJ$95,$W32,1)+0.002</f>
        <v>87.002</v>
      </c>
      <c r="AC32" s="147">
        <f>INDEX(Matching_Engine!$AO$6:$AO$95,$W32,1)+0.001</f>
        <v>80.001</v>
      </c>
    </row>
    <row r="33" spans="1:29">
      <c r="A33" s="105" t="str">
        <f>KOL_Database!$A$33</f>
        <v>KOL-29</v>
      </c>
      <c r="B33" s="105" t="str">
        <f>KOL_Database!$B$33</f>
        <v>Sekar Ayu</v>
      </c>
      <c r="C33" s="105" t="str">
        <f>KOL_Database!$C$33</f>
        <v>@sekarskincarejujur</v>
      </c>
      <c r="D33" s="105" t="str">
        <f>KOL_Database!$D$33</f>
        <v>TikTok</v>
      </c>
      <c r="E33" s="105" t="str">
        <f>KOL_Database!$E$33</f>
        <v>Beauty</v>
      </c>
      <c r="F33" s="146">
        <f ca="1">INDEX(Matching_Engine!$AP$6:$AP$95,$W33,1)</f>
        <v>47</v>
      </c>
      <c r="G33" s="105" t="str">
        <f ca="1">INDEX(Matching_Engine!$AQ$6:$AQ$95,$W33,1)</f>
        <v>Low Match</v>
      </c>
      <c r="H33" s="105" t="str">
        <f>INDEX(Matching_Engine!$AS$6:$AS$95,$W33,1)</f>
        <v>High</v>
      </c>
      <c r="I33" s="105" t="str">
        <f ca="1">"Strongest on "&amp;INDEX(Lookup_Lists!$AC$6:$AC$11,MATCH(LARGE($X33:$AC33,1),$X33:$AC33,0),1)&amp;" at "&amp;ROUND(LARGE($X33:$AC33,1),0)&amp;"/100. "&amp;"Audience overlap "&amp;INDEX(Matching_Engine!$S$6:$S$95,$W33,1)&amp;"/100 against the "&amp;Brand_Profile!$G$16&amp;" / "&amp;Brand_Profile!$G$17&amp;" target; "&amp;KOL_Database!$E$33&amp;" content against a "&amp;Brand_Profile!$G$10&amp;" brief. "&amp;"Final Brand Match "&amp;INDEX(Matching_Engine!$AP$6:$AP$95,$W33,1)&amp;"/100 ("&amp;INDEX(Matching_Engine!$AQ$6:$AQ$95,$W33,1)&amp;")."</f>
        <v>Strongest on Brand Safety at 93/100. Audience overlap 49/100 against the 25-34 / 18-24 target; Beauty content against a Technology / SaaS brief. Final Brand Match 47/100 (Low Match).</v>
      </c>
      <c r="J33" s="105" t="str">
        <f ca="1">IFERROR(INDEX(Lookup_Lists!$AC$6:$AC$11,MATCH(LARGE($X33:$AC33,1),$X33:$AC33,0),1)&amp;" — "&amp;ROUND(LARGE($X33:$AC33,1),0)&amp;"/100","")</f>
        <v>Brand Safety — 93/100</v>
      </c>
      <c r="K33" s="105" t="str">
        <f ca="1">IFERROR(INDEX(Lookup_Lists!$AC$6:$AC$11,MATCH(LARGE($X33:$AC33,2),$X33:$AC33,0),1)&amp;" — "&amp;ROUND(LARGE($X33:$AC33,2),0)&amp;"/100","")</f>
        <v>Performance Quality — 88/100</v>
      </c>
      <c r="L33" s="105" t="str">
        <f ca="1">IFERROR(INDEX(Lookup_Lists!$AC$6:$AC$11,MATCH(LARGE($X33:$AC33,3),$X33:$AC33,0),1)&amp;" — "&amp;ROUND(LARGE($X33:$AC33,3),0)&amp;"/100","")</f>
        <v>Brand Personality Fit — 61/100</v>
      </c>
      <c r="M33" s="105" t="str">
        <f ca="1">IFERROR(IF(SMALL($X33:$AC33,1)&gt;=Lookup_Lists!$D$161,"No material gap — "&amp;INDEX(Lookup_Lists!$AC$6:$AC$11,MATCH(SMALL($X33:$AC33,1),$X33:$AC33,0),1)&amp;" at "&amp;ROUND(SMALL($X33:$AC33,1),0)&amp;"/100",INDEX(Lookup_Lists!$AC$6:$AC$11,MATCH(SMALL($X33:$AC33,1),$X33:$AC33,0),1)&amp;" only "&amp;ROUND(SMALL($X33:$AC33,1),0)&amp;"/100"),"")</f>
        <v>Brand &amp; Business Relevance only 14/100</v>
      </c>
      <c r="N33" s="105" t="str">
        <f ca="1">IFERROR(IF(SMALL($X33:$AC33,2)&gt;=Lookup_Lists!$D$161,"No material gap — "&amp;INDEX(Lookup_Lists!$AC$6:$AC$11,MATCH(SMALL($X33:$AC33,2),$X33:$AC33,0),1)&amp;" at "&amp;ROUND(SMALL($X33:$AC33,2),0)&amp;"/100",INDEX(Lookup_Lists!$AC$6:$AC$11,MATCH(SMALL($X33:$AC33,2),$X33:$AC33,0),1)&amp;" only "&amp;ROUND(SMALL($X33:$AC33,2),0)&amp;"/100"),"")</f>
        <v>Content &amp; Category Relevance only 26/100</v>
      </c>
      <c r="O33" s="105" t="str">
        <f ca="1">IFERROR(IF(SMALL($X33:$AC33,3)&gt;=Lookup_Lists!$D$161,"No material gap — "&amp;INDEX(Lookup_Lists!$AC$6:$AC$11,MATCH(SMALL($X33:$AC33,3),$X33:$AC33,0),1)&amp;" at "&amp;ROUND(SMALL($X33:$AC33,3),0)&amp;"/100",INDEX(Lookup_Lists!$AC$6:$AC$11,MATCH(SMALL($X33:$AC33,3),$X33:$AC33,0),1)&amp;" only "&amp;ROUND(SMALL($X33:$AC33,3),0)&amp;"/100"),"")</f>
        <v>Target Audience Relevance only 49/100</v>
      </c>
      <c r="P33" s="105" t="str">
        <f>IF(INDEX(Matching_Engine!$AM$6:$AM$95,$W33,1)="None","No risk flag — competitor saturation "&amp;INDEX(Matching_Engine!$AL$6:$AL$95,$W33,1)&amp;"/100",INDEX(Matching_Engine!$AM$6:$AM$95,$W33,1)&amp;" risk flag — competitor saturation "&amp;INDEX(Matching_Engine!$AL$6:$AL$95,$W33,1)&amp;"/100")</f>
        <v>No risk flag — competitor saturation 12/100</v>
      </c>
      <c r="Q33" s="105" t="str">
        <f ca="1">INDEX(Matching_Engine!$AX$6:$AX$95,$W33,1)</f>
        <v>Low Priority</v>
      </c>
      <c r="R33" s="105" t="str">
        <f>"Industry "&amp;INDEX(Matching_Engine!$K$6:$K$95,$W33,1)&amp;"/100, category "&amp;INDEX(Matching_Engine!$L$6:$L$95,$W33,1)&amp;"/100, keywords "&amp;INDEX(Matching_Engine!$M$6:$M$95,$W33,1)&amp;"/100 — a "&amp;Brand_Profile!$G$10&amp;" brief against a "&amp;KOL_Database!$E$33&amp;" / "&amp;KOL_Database!$F$33&amp;" creator."</f>
        <v>Industry 20/100, category 20/100, keywords 0/100 — a Technology / SaaS brief against a Beauty / Skincare creator.</v>
      </c>
      <c r="S33" s="105" t="str">
        <f ca="1">"Age "&amp;INDEX(Matching_Engine!$O$6:$O$95,$W33,1)&amp;"/100, gender "&amp;INDEX(Matching_Engine!$P$6:$P$95,$W33,1)&amp;"/100, location "&amp;INDEX(Matching_Engine!$Q$6:$Q$95,$W33,1)&amp;"/100, interests "&amp;INDEX(Matching_Engine!$R$6:$R$95,$W33,1)&amp;"/100. Weighted with priority on "&amp;Brand_Profile!$G$23&amp;"."</f>
        <v>Age 100/100, gender 100/100, location 65/100, interests 0/100. Weighted with priority on Interest.</v>
      </c>
      <c r="T33" s="105" t="str">
        <f>"Category "&amp;INDEX(Matching_Engine!$T$6:$T$95,$W33,1)&amp;"/100, sub category "&amp;INDEX(Matching_Engine!$U$6:$U$95,$W33,1)&amp;"/100, topics "&amp;INDEX(Matching_Engine!$V$6:$V$95,$W33,1)&amp;"/100, style "&amp;INDEX(Matching_Engine!$W$6:$W$95,$W33,1)&amp;"/100 — brief wants "&amp;Brand_Profile!$G$39&amp;", creator delivers "&amp;KOL_Database!$AJ$33&amp;"."</f>
        <v>Category 20/100, sub category 20/100, topics 0/100, style 80/100 — brief wants Educational, creator delivers Review.</v>
      </c>
      <c r="U33" s="105" t="str">
        <f>"Personality "&amp;INDEX(Matching_Engine!$Y$6:$Y$95,$W33,1)&amp;"/100, tone vs style "&amp;INDEX(Matching_Engine!$Z$6:$Z$95,$W33,1)&amp;"/100, values "&amp;INDEX(Matching_Engine!$AA$6:$AA$95,$W33,1)&amp;"/100, communication "&amp;INDEX(Matching_Engine!$AB$6:$AB$95,$W33,1)&amp;"/100 — a "&amp;Brand_Profile!$G$25&amp;" / "&amp;Brand_Profile!$G$28&amp;" brand against a "&amp;KOL_Database!$AK$33&amp;" creator."</f>
        <v>Personality 50/100, tone vs style 90/100, values 40/100, communication 70/100 — a Innovative / Mid-market brand against a Relatable creator.</v>
      </c>
      <c r="V33" s="105" t="str">
        <f>IF(INDEX(Matching_Engine!$AM$6:$AM$95,$W33,1)="None","No risk flag. ",INDEX(Matching_Engine!$AM$6:$AM$95,$W33,1)&amp;" risk flag. ")&amp;"Brand Safety "&amp;INDEX(Matching_Engine!$AK$6:$AK$95,$W33,1)&amp;"/100, competitor saturation "&amp;INDEX(Matching_Engine!$AL$6:$AL$95,$W33,1)&amp;"/100"&amp;IF(INDEX(Matching_Engine!$AL$6:$AL$95,$W33,1)&gt;=70," — high, so treat it as a consideration rather than an automatic exclusion.",".")</f>
        <v>No risk flag. Brand Safety 94/100, competitor saturation 12/100.</v>
      </c>
      <c r="W33" s="105">
        <f>MATCH(Brand_Profile!$B$4&amp;"|"&amp;KOL_Database!$A$33,Matching_Engine!$AZ$6:$AZ$95,0)</f>
        <v>29</v>
      </c>
      <c r="X33" s="147">
        <f>INDEX(Matching_Engine!$N$6:$N$95,$W33,1)+0.006</f>
        <v>14.006</v>
      </c>
      <c r="Y33" s="147">
        <f ca="1">INDEX(Matching_Engine!$S$6:$S$95,$W33,1)+0.005</f>
        <v>49.005</v>
      </c>
      <c r="Z33" s="147">
        <f>INDEX(Matching_Engine!$X$6:$X$95,$W33,1)+0.004</f>
        <v>26.004</v>
      </c>
      <c r="AA33" s="147">
        <f>INDEX(Matching_Engine!$AC$6:$AC$95,$W33,1)+0.003</f>
        <v>61.003</v>
      </c>
      <c r="AB33" s="147">
        <f>INDEX(Matching_Engine!$AJ$6:$AJ$95,$W33,1)+0.002</f>
        <v>88.002</v>
      </c>
      <c r="AC33" s="147">
        <f>INDEX(Matching_Engine!$AO$6:$AO$95,$W33,1)+0.001</f>
        <v>93.001</v>
      </c>
    </row>
    <row r="34" spans="1:29">
      <c r="A34" s="105" t="str">
        <f>KOL_Database!$A$34</f>
        <v>KOL-30</v>
      </c>
      <c r="B34" s="105" t="str">
        <f>KOL_Database!$B$34</f>
        <v>Ibnu Faisal</v>
      </c>
      <c r="C34" s="105" t="str">
        <f>KOL_Database!$C$34</f>
        <v>@ibnubisnis</v>
      </c>
      <c r="D34" s="105" t="str">
        <f>KOL_Database!$D$34</f>
        <v>Instagram</v>
      </c>
      <c r="E34" s="105" t="str">
        <f>KOL_Database!$E$34</f>
        <v>Finance</v>
      </c>
      <c r="F34" s="146">
        <f ca="1">INDEX(Matching_Engine!$AP$6:$AP$95,$W34,1)</f>
        <v>82</v>
      </c>
      <c r="G34" s="105" t="str">
        <f ca="1">INDEX(Matching_Engine!$AQ$6:$AQ$95,$W34,1)</f>
        <v>Strong Match</v>
      </c>
      <c r="H34" s="105" t="str">
        <f>INDEX(Matching_Engine!$AS$6:$AS$95,$W34,1)</f>
        <v>Medium</v>
      </c>
      <c r="I34" s="105" t="str">
        <f ca="1">"Strongest on "&amp;INDEX(Lookup_Lists!$AC$6:$AC$11,MATCH(LARGE($X34:$AC34,1),$X34:$AC34,0),1)&amp;" at "&amp;ROUND(LARGE($X34:$AC34,1),0)&amp;"/100. "&amp;"Audience overlap "&amp;INDEX(Matching_Engine!$S$6:$S$95,$W34,1)&amp;"/100 against the "&amp;Brand_Profile!$G$16&amp;" / "&amp;Brand_Profile!$G$17&amp;" target; "&amp;KOL_Database!$E$34&amp;" content against a "&amp;Brand_Profile!$G$10&amp;" brief. "&amp;"Final Brand Match "&amp;INDEX(Matching_Engine!$AP$6:$AP$95,$W34,1)&amp;"/100 ("&amp;INDEX(Matching_Engine!$AQ$6:$AQ$95,$W34,1)&amp;")."</f>
        <v>Strongest on Target Audience Relevance at 99/100. Audience overlap 99/100 against the 25-34 / 18-24 target; Finance content against a Technology / SaaS brief. Final Brand Match 82/100 (Strong Match).</v>
      </c>
      <c r="J34" s="105" t="str">
        <f ca="1">IFERROR(INDEX(Lookup_Lists!$AC$6:$AC$11,MATCH(LARGE($X34:$AC34,1),$X34:$AC34,0),1)&amp;" — "&amp;ROUND(LARGE($X34:$AC34,1),0)&amp;"/100","")</f>
        <v>Target Audience Relevance — 99/100</v>
      </c>
      <c r="K34" s="105" t="str">
        <f ca="1">IFERROR(INDEX(Lookup_Lists!$AC$6:$AC$11,MATCH(LARGE($X34:$AC34,2),$X34:$AC34,0),1)&amp;" — "&amp;ROUND(LARGE($X34:$AC34,2),0)&amp;"/100","")</f>
        <v>Brand &amp; Business Relevance — 80/100</v>
      </c>
      <c r="L34" s="105" t="str">
        <f ca="1">IFERROR(INDEX(Lookup_Lists!$AC$6:$AC$11,MATCH(LARGE($X34:$AC34,3),$X34:$AC34,0),1)&amp;" — "&amp;ROUND(LARGE($X34:$AC34,3),0)&amp;"/100","")</f>
        <v>Content &amp; Category Relevance — 80/100</v>
      </c>
      <c r="M34" s="105" t="str">
        <f ca="1">IFERROR(IF(SMALL($X34:$AC34,1)&gt;=Lookup_Lists!$D$161,"No material gap — "&amp;INDEX(Lookup_Lists!$AC$6:$AC$11,MATCH(SMALL($X34:$AC34,1),$X34:$AC34,0),1)&amp;" at "&amp;ROUND(SMALL($X34:$AC34,1),0)&amp;"/100",INDEX(Lookup_Lists!$AC$6:$AC$11,MATCH(SMALL($X34:$AC34,1),$X34:$AC34,0),1)&amp;" only "&amp;ROUND(SMALL($X34:$AC34,1),0)&amp;"/100"),"")</f>
        <v>Performance Quality only 54/100</v>
      </c>
      <c r="N34" s="105" t="str">
        <f ca="1">IFERROR(IF(SMALL($X34:$AC34,2)&gt;=Lookup_Lists!$D$161,"No material gap — "&amp;INDEX(Lookup_Lists!$AC$6:$AC$11,MATCH(SMALL($X34:$AC34,2),$X34:$AC34,0),1)&amp;" at "&amp;ROUND(SMALL($X34:$AC34,2),0)&amp;"/100",INDEX(Lookup_Lists!$AC$6:$AC$11,MATCH(SMALL($X34:$AC34,2),$X34:$AC34,0),1)&amp;" only "&amp;ROUND(SMALL($X34:$AC34,2),0)&amp;"/100"),"")</f>
        <v>Brand Safety only 72/100</v>
      </c>
      <c r="O34" s="105" t="str">
        <f ca="1">IFERROR(IF(SMALL($X34:$AC34,3)&gt;=Lookup_Lists!$D$161,"No material gap — "&amp;INDEX(Lookup_Lists!$AC$6:$AC$11,MATCH(SMALL($X34:$AC34,3),$X34:$AC34,0),1)&amp;" at "&amp;ROUND(SMALL($X34:$AC34,3),0)&amp;"/100",INDEX(Lookup_Lists!$AC$6:$AC$11,MATCH(SMALL($X34:$AC34,3),$X34:$AC34,0),1)&amp;" only "&amp;ROUND(SMALL($X34:$AC34,3),0)&amp;"/100"),"")</f>
        <v>No material gap — Brand Personality Fit at 76/100</v>
      </c>
      <c r="P34" s="105" t="str">
        <f>IF(INDEX(Matching_Engine!$AM$6:$AM$95,$W34,1)="None","No risk flag — competitor saturation "&amp;INDEX(Matching_Engine!$AL$6:$AL$95,$W34,1)&amp;"/100",INDEX(Matching_Engine!$AM$6:$AM$95,$W34,1)&amp;" risk flag — competitor saturation "&amp;INDEX(Matching_Engine!$AL$6:$AL$95,$W34,1)&amp;"/100")</f>
        <v>Low risk flag — competitor saturation 21/100</v>
      </c>
      <c r="Q34" s="105" t="str">
        <f ca="1">INDEX(Matching_Engine!$AX$6:$AX$95,$W34,1)</f>
        <v>Recommended</v>
      </c>
      <c r="R34" s="105" t="str">
        <f>"Industry "&amp;INDEX(Matching_Engine!$K$6:$K$95,$W34,1)&amp;"/100, category "&amp;INDEX(Matching_Engine!$L$6:$L$95,$W34,1)&amp;"/100, keywords "&amp;INDEX(Matching_Engine!$M$6:$M$95,$W34,1)&amp;"/100 — a "&amp;Brand_Profile!$G$10&amp;" brief against a "&amp;KOL_Database!$E$34&amp;" / "&amp;KOL_Database!$F$34&amp;" creator."</f>
        <v>Industry 80/100, category 60/100, keywords 100/100 — a Technology / SaaS brief against a Finance / Business creator.</v>
      </c>
      <c r="S34" s="105" t="str">
        <f ca="1">"Age "&amp;INDEX(Matching_Engine!$O$6:$O$95,$W34,1)&amp;"/100, gender "&amp;INDEX(Matching_Engine!$P$6:$P$95,$W34,1)&amp;"/100, location "&amp;INDEX(Matching_Engine!$Q$6:$Q$95,$W34,1)&amp;"/100, interests "&amp;INDEX(Matching_Engine!$R$6:$R$95,$W34,1)&amp;"/100. Weighted with priority on "&amp;Brand_Profile!$G$23&amp;"."</f>
        <v>Age 97/100, gender 100/100, location 100/100, interests 100/100. Weighted with priority on Interest.</v>
      </c>
      <c r="T34" s="105" t="str">
        <f>"Category "&amp;INDEX(Matching_Engine!$T$6:$T$95,$W34,1)&amp;"/100, sub category "&amp;INDEX(Matching_Engine!$U$6:$U$95,$W34,1)&amp;"/100, topics "&amp;INDEX(Matching_Engine!$V$6:$V$95,$W34,1)&amp;"/100, style "&amp;INDEX(Matching_Engine!$W$6:$W$95,$W34,1)&amp;"/100 — brief wants "&amp;Brand_Profile!$G$39&amp;", creator delivers "&amp;KOL_Database!$AJ$34&amp;"."</f>
        <v>Category 80/100, sub category 50/100, topics 100/100, style 80/100 — brief wants Educational, creator delivers Talking Head.</v>
      </c>
      <c r="U34" s="105" t="str">
        <f>"Personality "&amp;INDEX(Matching_Engine!$Y$6:$Y$95,$W34,1)&amp;"/100, tone vs style "&amp;INDEX(Matching_Engine!$Z$6:$Z$95,$W34,1)&amp;"/100, values "&amp;INDEX(Matching_Engine!$AA$6:$AA$95,$W34,1)&amp;"/100, communication "&amp;INDEX(Matching_Engine!$AB$6:$AB$95,$W34,1)&amp;"/100 — a "&amp;Brand_Profile!$G$25&amp;" / "&amp;Brand_Profile!$G$28&amp;" brand against a "&amp;KOL_Database!$AK$34&amp;" creator."</f>
        <v>Personality 70/100, tone vs style 80/100, values 80/100, communication 75/100 — a Innovative / Mid-market brand against a Professional creator.</v>
      </c>
      <c r="V34" s="105" t="str">
        <f>IF(INDEX(Matching_Engine!$AM$6:$AM$95,$W34,1)="None","No risk flag. ",INDEX(Matching_Engine!$AM$6:$AM$95,$W34,1)&amp;" risk flag. ")&amp;"Brand Safety "&amp;INDEX(Matching_Engine!$AK$6:$AK$95,$W34,1)&amp;"/100, competitor saturation "&amp;INDEX(Matching_Engine!$AL$6:$AL$95,$W34,1)&amp;"/100"&amp;IF(INDEX(Matching_Engine!$AL$6:$AL$95,$W34,1)&gt;=70," — high, so treat it as a consideration rather than an automatic exclusion.",".")</f>
        <v>Low risk flag. Brand Safety 75/100, competitor saturation 21/100.</v>
      </c>
      <c r="W34" s="105">
        <f>MATCH(Brand_Profile!$B$4&amp;"|"&amp;KOL_Database!$A$34,Matching_Engine!$AZ$6:$AZ$95,0)</f>
        <v>30</v>
      </c>
      <c r="X34" s="147">
        <f>INDEX(Matching_Engine!$N$6:$N$95,$W34,1)+0.006</f>
        <v>80.006</v>
      </c>
      <c r="Y34" s="147">
        <f ca="1">INDEX(Matching_Engine!$S$6:$S$95,$W34,1)+0.005</f>
        <v>99.005</v>
      </c>
      <c r="Z34" s="147">
        <f>INDEX(Matching_Engine!$X$6:$X$95,$W34,1)+0.004</f>
        <v>80.004</v>
      </c>
      <c r="AA34" s="147">
        <f>INDEX(Matching_Engine!$AC$6:$AC$95,$W34,1)+0.003</f>
        <v>76.003</v>
      </c>
      <c r="AB34" s="147">
        <f>INDEX(Matching_Engine!$AJ$6:$AJ$95,$W34,1)+0.002</f>
        <v>54.002</v>
      </c>
      <c r="AC34" s="147">
        <f>INDEX(Matching_Engine!$AO$6:$AO$95,$W34,1)+0.001</f>
        <v>72.001</v>
      </c>
    </row>
  </sheetData>
  <autoFilter xmlns:etc="http://www.wps.cn/officeDocument/2017/etCustomData" ref="A4:AC34" etc:filterBottomFollowUsedRange="0">
    <extLst/>
  </autoFilter>
  <mergeCells count="2">
    <mergeCell ref="A1:AC1"/>
    <mergeCell ref="A2:AC2"/>
  </mergeCells>
  <conditionalFormatting sqref="F5:F34">
    <cfRule type="colorScale" priority="1">
      <colorScale>
        <cfvo type="num" val="40"/>
        <cfvo type="num" val="70"/>
        <cfvo type="num" val="95"/>
        <color rgb="FFF8696B"/>
        <color rgb="FFFFEB84"/>
        <color rgb="FF63BE7B"/>
      </colorScale>
    </cfRule>
  </conditionalFormatting>
  <conditionalFormatting sqref="Q5:Q34">
    <cfRule type="containsText" dxfId="5" priority="2" operator="between" text="Highly Recommended">
      <formula>NOT(ISERROR(SEARCH("Highly Recommended",Q5)))</formula>
    </cfRule>
    <cfRule type="containsText" dxfId="0" priority="2" operator="between" text="Excluded">
      <formula>NOT(ISERROR(SEARCH("Excluded",Q5)))</formula>
    </cfRule>
    <cfRule type="containsText" dxfId="1" priority="3" operator="between" text="Low Priority">
      <formula>NOT(ISERROR(SEARCH("Low Priority",Q5)))</formula>
    </cfRule>
  </conditionalFormatting>
  <pageMargins left="0.7" right="0.7" top="0.75" bottom="0.75" header="0.3" footer="0.3"/>
  <pageSetup paperSize="1" orientation="portrait"/>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69"/>
  <sheetViews>
    <sheetView workbookViewId="0">
      <pane ySplit="4" topLeftCell="A5" activePane="bottomLeft" state="frozen"/>
      <selection/>
      <selection pane="bottomLeft" activeCell="A1" sqref="A1:J1"/>
    </sheetView>
  </sheetViews>
  <sheetFormatPr defaultColWidth="9" defaultRowHeight="15"/>
  <cols>
    <col min="1" max="1" width="16" customWidth="1"/>
    <col min="2" max="3" width="26" customWidth="1"/>
    <col min="4" max="4" width="13" customWidth="1"/>
    <col min="5" max="5" width="22" customWidth="1"/>
    <col min="6" max="6" width="26" customWidth="1"/>
    <col min="7" max="7" width="28" customWidth="1"/>
    <col min="8" max="8" width="17" customWidth="1"/>
    <col min="9" max="9" width="44" customWidth="1"/>
    <col min="10" max="10" width="26" customWidth="1"/>
  </cols>
  <sheetData>
    <row r="1" ht="24" customHeight="1" spans="1:10">
      <c r="A1" s="38" t="s">
        <v>810</v>
      </c>
    </row>
    <row r="2" ht="30" customHeight="1" spans="1:10">
      <c r="A2" s="39" t="s">
        <v>811</v>
      </c>
    </row>
    <row r="4" spans="1:10">
      <c r="A4" t="s">
        <v>812</v>
      </c>
      <c r="B4" t="s">
        <v>813</v>
      </c>
      <c r="C4" t="s">
        <v>814</v>
      </c>
      <c r="D4" t="s">
        <v>815</v>
      </c>
      <c r="E4" t="s">
        <v>816</v>
      </c>
      <c r="F4" t="s">
        <v>817</v>
      </c>
      <c r="G4" t="s">
        <v>818</v>
      </c>
      <c r="H4" t="s">
        <v>819</v>
      </c>
      <c r="I4" t="s">
        <v>820</v>
      </c>
      <c r="J4" t="s">
        <v>821</v>
      </c>
    </row>
    <row r="5" ht="24" spans="1:10">
      <c r="A5" s="129" t="s">
        <v>822</v>
      </c>
      <c r="B5" s="129" t="s">
        <v>823</v>
      </c>
      <c r="C5" s="129" t="s">
        <v>824</v>
      </c>
      <c r="D5" s="129" t="s">
        <v>825</v>
      </c>
      <c r="E5" s="129" t="s">
        <v>826</v>
      </c>
      <c r="F5" s="129" t="s">
        <v>827</v>
      </c>
      <c r="G5" s="129" t="s">
        <v>444</v>
      </c>
      <c r="H5" s="129" t="s">
        <v>828</v>
      </c>
      <c r="I5" s="129" t="s">
        <v>829</v>
      </c>
      <c r="J5" s="129" t="s">
        <v>830</v>
      </c>
    </row>
    <row r="6" spans="1:10">
      <c r="A6" s="129" t="s">
        <v>822</v>
      </c>
      <c r="B6" s="129" t="s">
        <v>445</v>
      </c>
      <c r="C6" s="129" t="s">
        <v>831</v>
      </c>
      <c r="D6" s="129" t="s">
        <v>825</v>
      </c>
      <c r="E6" s="129" t="s">
        <v>832</v>
      </c>
      <c r="F6" s="129" t="s">
        <v>827</v>
      </c>
      <c r="G6" s="129" t="s">
        <v>445</v>
      </c>
      <c r="H6" s="129" t="s">
        <v>828</v>
      </c>
      <c r="I6" s="129" t="s">
        <v>833</v>
      </c>
      <c r="J6" s="129" t="s">
        <v>830</v>
      </c>
    </row>
    <row r="7" ht="24" spans="1:10">
      <c r="A7" s="129" t="s">
        <v>822</v>
      </c>
      <c r="B7" s="129" t="s">
        <v>834</v>
      </c>
      <c r="C7" s="129" t="s">
        <v>835</v>
      </c>
      <c r="D7" s="129" t="s">
        <v>825</v>
      </c>
      <c r="E7" s="129" t="s">
        <v>832</v>
      </c>
      <c r="F7" s="129" t="s">
        <v>226</v>
      </c>
      <c r="G7" s="129" t="s">
        <v>836</v>
      </c>
      <c r="H7" s="129" t="s">
        <v>837</v>
      </c>
      <c r="I7" s="129" t="s">
        <v>838</v>
      </c>
      <c r="J7" s="129" t="s">
        <v>839</v>
      </c>
    </row>
    <row r="8" spans="1:10">
      <c r="A8" s="129" t="s">
        <v>822</v>
      </c>
      <c r="B8" s="129" t="s">
        <v>840</v>
      </c>
      <c r="C8" s="129" t="s">
        <v>841</v>
      </c>
      <c r="D8" s="129" t="s">
        <v>842</v>
      </c>
      <c r="E8" s="129" t="s">
        <v>843</v>
      </c>
      <c r="F8" s="129" t="s">
        <v>269</v>
      </c>
      <c r="G8" s="129" t="s">
        <v>474</v>
      </c>
      <c r="H8" s="129" t="s">
        <v>844</v>
      </c>
      <c r="I8" s="129" t="s">
        <v>845</v>
      </c>
      <c r="J8" s="129" t="s">
        <v>846</v>
      </c>
    </row>
    <row r="9" spans="1:10">
      <c r="A9" s="129" t="s">
        <v>847</v>
      </c>
      <c r="B9" s="129" t="s">
        <v>391</v>
      </c>
      <c r="C9" s="129" t="s">
        <v>848</v>
      </c>
      <c r="D9" s="129" t="s">
        <v>825</v>
      </c>
      <c r="E9" s="129" t="s">
        <v>849</v>
      </c>
      <c r="F9" s="129" t="s">
        <v>238</v>
      </c>
      <c r="G9" s="129" t="s">
        <v>390</v>
      </c>
      <c r="H9" s="129" t="s">
        <v>828</v>
      </c>
      <c r="I9" s="129" t="s">
        <v>850</v>
      </c>
      <c r="J9" s="129" t="s">
        <v>830</v>
      </c>
    </row>
    <row r="10" spans="1:10">
      <c r="A10" s="129" t="s">
        <v>847</v>
      </c>
      <c r="B10" s="129" t="s">
        <v>392</v>
      </c>
      <c r="C10" s="129" t="s">
        <v>851</v>
      </c>
      <c r="D10" s="129" t="s">
        <v>825</v>
      </c>
      <c r="E10" s="129" t="s">
        <v>849</v>
      </c>
      <c r="F10" s="129" t="s">
        <v>238</v>
      </c>
      <c r="G10" s="129" t="s">
        <v>390</v>
      </c>
      <c r="H10" s="129" t="s">
        <v>828</v>
      </c>
      <c r="I10" s="129" t="s">
        <v>850</v>
      </c>
      <c r="J10" s="129" t="s">
        <v>830</v>
      </c>
    </row>
    <row r="11" spans="1:10">
      <c r="A11" s="129" t="s">
        <v>852</v>
      </c>
      <c r="B11" s="129" t="s">
        <v>416</v>
      </c>
      <c r="C11" s="129" t="s">
        <v>853</v>
      </c>
      <c r="D11" s="129" t="s">
        <v>825</v>
      </c>
      <c r="E11" s="129" t="s">
        <v>854</v>
      </c>
      <c r="F11" s="129" t="s">
        <v>242</v>
      </c>
      <c r="G11" s="129" t="s">
        <v>416</v>
      </c>
      <c r="H11" s="129" t="s">
        <v>828</v>
      </c>
      <c r="I11" s="129" t="s">
        <v>855</v>
      </c>
      <c r="J11" s="129" t="s">
        <v>856</v>
      </c>
    </row>
    <row r="12" spans="1:10">
      <c r="A12" s="129" t="s">
        <v>852</v>
      </c>
      <c r="B12" s="129" t="s">
        <v>446</v>
      </c>
      <c r="C12" s="129" t="s">
        <v>857</v>
      </c>
      <c r="D12" s="129" t="s">
        <v>842</v>
      </c>
      <c r="E12" s="129" t="s">
        <v>854</v>
      </c>
      <c r="F12" s="129" t="s">
        <v>248</v>
      </c>
      <c r="G12" s="129" t="s">
        <v>446</v>
      </c>
      <c r="H12" s="129" t="s">
        <v>844</v>
      </c>
      <c r="I12" s="129" t="s">
        <v>858</v>
      </c>
      <c r="J12" s="129" t="s">
        <v>859</v>
      </c>
    </row>
    <row r="13" spans="1:10">
      <c r="A13" s="129" t="s">
        <v>852</v>
      </c>
      <c r="B13" s="129" t="s">
        <v>447</v>
      </c>
      <c r="C13" s="129" t="s">
        <v>860</v>
      </c>
      <c r="D13" s="129" t="s">
        <v>825</v>
      </c>
      <c r="E13" s="129" t="s">
        <v>854</v>
      </c>
      <c r="F13" s="129" t="s">
        <v>251</v>
      </c>
      <c r="G13" s="129" t="s">
        <v>447</v>
      </c>
      <c r="H13" s="129" t="s">
        <v>828</v>
      </c>
      <c r="I13" s="129" t="s">
        <v>861</v>
      </c>
      <c r="J13" s="129" t="s">
        <v>862</v>
      </c>
    </row>
    <row r="14" spans="1:10">
      <c r="A14" s="129" t="s">
        <v>852</v>
      </c>
      <c r="B14" s="129" t="s">
        <v>450</v>
      </c>
      <c r="C14" s="129" t="s">
        <v>863</v>
      </c>
      <c r="D14" s="129" t="s">
        <v>825</v>
      </c>
      <c r="E14" s="129" t="s">
        <v>864</v>
      </c>
      <c r="F14" s="129" t="s">
        <v>865</v>
      </c>
      <c r="G14" s="129" t="s">
        <v>450</v>
      </c>
      <c r="H14" s="129" t="s">
        <v>828</v>
      </c>
      <c r="I14" s="129" t="s">
        <v>866</v>
      </c>
      <c r="J14" s="129" t="s">
        <v>830</v>
      </c>
    </row>
    <row r="15" spans="1:10">
      <c r="A15" s="129" t="s">
        <v>852</v>
      </c>
      <c r="B15" s="129" t="s">
        <v>867</v>
      </c>
      <c r="C15" s="129" t="s">
        <v>868</v>
      </c>
      <c r="D15" s="129" t="s">
        <v>825</v>
      </c>
      <c r="E15" s="129" t="s">
        <v>869</v>
      </c>
      <c r="F15" s="129" t="s">
        <v>262</v>
      </c>
      <c r="G15" s="129" t="s">
        <v>867</v>
      </c>
      <c r="H15" s="129" t="s">
        <v>828</v>
      </c>
      <c r="I15" s="129" t="s">
        <v>870</v>
      </c>
      <c r="J15" s="129" t="s">
        <v>871</v>
      </c>
    </row>
    <row r="16" spans="1:10">
      <c r="A16" s="129" t="s">
        <v>852</v>
      </c>
      <c r="B16" s="129" t="s">
        <v>872</v>
      </c>
      <c r="C16" s="129" t="s">
        <v>873</v>
      </c>
      <c r="D16" s="129" t="s">
        <v>842</v>
      </c>
      <c r="E16" s="129" t="s">
        <v>874</v>
      </c>
      <c r="F16" s="129" t="s">
        <v>187</v>
      </c>
      <c r="G16" s="129" t="s">
        <v>449</v>
      </c>
      <c r="H16" s="129" t="s">
        <v>844</v>
      </c>
      <c r="I16" s="129" t="s">
        <v>875</v>
      </c>
      <c r="J16" s="129" t="s">
        <v>876</v>
      </c>
    </row>
    <row r="17" spans="1:10">
      <c r="A17" s="129" t="s">
        <v>852</v>
      </c>
      <c r="B17" s="129" t="s">
        <v>448</v>
      </c>
      <c r="C17" s="129" t="s">
        <v>877</v>
      </c>
      <c r="D17" s="129" t="s">
        <v>825</v>
      </c>
      <c r="E17" s="129" t="s">
        <v>878</v>
      </c>
      <c r="F17" s="129" t="s">
        <v>827</v>
      </c>
      <c r="G17" s="129" t="s">
        <v>448</v>
      </c>
      <c r="H17" s="129" t="s">
        <v>828</v>
      </c>
      <c r="I17" s="129" t="s">
        <v>879</v>
      </c>
      <c r="J17" s="129" t="s">
        <v>880</v>
      </c>
    </row>
    <row r="18" spans="1:10">
      <c r="A18" s="129" t="s">
        <v>437</v>
      </c>
      <c r="B18" s="129" t="s">
        <v>470</v>
      </c>
      <c r="C18" s="129" t="s">
        <v>881</v>
      </c>
      <c r="D18" s="129" t="s">
        <v>825</v>
      </c>
      <c r="E18" s="129" t="s">
        <v>874</v>
      </c>
      <c r="F18" s="129" t="s">
        <v>178</v>
      </c>
      <c r="G18" s="129" t="s">
        <v>470</v>
      </c>
      <c r="H18" s="129" t="s">
        <v>844</v>
      </c>
      <c r="I18" s="129" t="s">
        <v>882</v>
      </c>
      <c r="J18" s="129" t="s">
        <v>883</v>
      </c>
    </row>
    <row r="19" spans="1:10">
      <c r="A19" s="129" t="s">
        <v>437</v>
      </c>
      <c r="B19" s="129" t="s">
        <v>471</v>
      </c>
      <c r="C19" s="129" t="s">
        <v>884</v>
      </c>
      <c r="D19" s="129" t="s">
        <v>842</v>
      </c>
      <c r="E19" s="129" t="s">
        <v>874</v>
      </c>
      <c r="F19" s="129" t="s">
        <v>182</v>
      </c>
      <c r="G19" s="129" t="s">
        <v>471</v>
      </c>
      <c r="H19" s="129" t="s">
        <v>844</v>
      </c>
      <c r="I19" s="129" t="s">
        <v>885</v>
      </c>
      <c r="J19" s="129" t="s">
        <v>886</v>
      </c>
    </row>
    <row r="20" spans="1:10">
      <c r="A20" s="129" t="s">
        <v>437</v>
      </c>
      <c r="B20" s="129" t="s">
        <v>472</v>
      </c>
      <c r="C20" s="129" t="s">
        <v>887</v>
      </c>
      <c r="D20" s="129" t="s">
        <v>842</v>
      </c>
      <c r="E20" s="129" t="s">
        <v>874</v>
      </c>
      <c r="F20" s="129" t="s">
        <v>187</v>
      </c>
      <c r="G20" s="129" t="s">
        <v>472</v>
      </c>
      <c r="H20" s="129" t="s">
        <v>844</v>
      </c>
      <c r="I20" s="129" t="s">
        <v>888</v>
      </c>
      <c r="J20" s="129" t="s">
        <v>889</v>
      </c>
    </row>
    <row r="21" ht="24" spans="1:10">
      <c r="A21" s="129" t="s">
        <v>437</v>
      </c>
      <c r="B21" s="129" t="s">
        <v>890</v>
      </c>
      <c r="C21" s="129" t="s">
        <v>891</v>
      </c>
      <c r="D21" s="129" t="s">
        <v>842</v>
      </c>
      <c r="E21" s="129" t="s">
        <v>892</v>
      </c>
      <c r="F21" s="129" t="s">
        <v>893</v>
      </c>
      <c r="G21" s="129" t="s">
        <v>894</v>
      </c>
      <c r="H21" s="129" t="s">
        <v>844</v>
      </c>
      <c r="I21" s="129" t="s">
        <v>895</v>
      </c>
      <c r="J21" s="129" t="s">
        <v>846</v>
      </c>
    </row>
    <row r="22" spans="1:10">
      <c r="A22" s="129" t="s">
        <v>437</v>
      </c>
      <c r="B22" s="129" t="s">
        <v>896</v>
      </c>
      <c r="C22" s="129" t="s">
        <v>897</v>
      </c>
      <c r="D22" s="129" t="s">
        <v>842</v>
      </c>
      <c r="E22" s="129" t="s">
        <v>898</v>
      </c>
      <c r="F22" s="129" t="s">
        <v>172</v>
      </c>
      <c r="G22" s="129" t="s">
        <v>899</v>
      </c>
      <c r="H22" s="129" t="s">
        <v>844</v>
      </c>
      <c r="I22" s="129" t="s">
        <v>900</v>
      </c>
      <c r="J22" s="129" t="s">
        <v>901</v>
      </c>
    </row>
    <row r="23" spans="1:10">
      <c r="A23" s="129" t="s">
        <v>437</v>
      </c>
      <c r="B23" s="129" t="s">
        <v>190</v>
      </c>
      <c r="C23" s="129" t="s">
        <v>902</v>
      </c>
      <c r="D23" s="129" t="s">
        <v>842</v>
      </c>
      <c r="E23" s="129" t="s">
        <v>843</v>
      </c>
      <c r="F23" s="129" t="s">
        <v>191</v>
      </c>
      <c r="G23" s="129" t="s">
        <v>190</v>
      </c>
      <c r="H23" s="129" t="s">
        <v>844</v>
      </c>
      <c r="I23" s="129" t="s">
        <v>903</v>
      </c>
      <c r="J23" s="129" t="s">
        <v>904</v>
      </c>
    </row>
    <row r="24" ht="24" spans="1:10">
      <c r="A24" s="129" t="s">
        <v>437</v>
      </c>
      <c r="B24" s="129" t="s">
        <v>458</v>
      </c>
      <c r="C24" s="129" t="s">
        <v>905</v>
      </c>
      <c r="D24" s="129" t="s">
        <v>825</v>
      </c>
      <c r="E24" s="129" t="s">
        <v>906</v>
      </c>
      <c r="F24" s="129" t="s">
        <v>283</v>
      </c>
      <c r="G24" s="129" t="s">
        <v>458</v>
      </c>
      <c r="H24" s="129" t="s">
        <v>844</v>
      </c>
      <c r="I24" s="129" t="s">
        <v>907</v>
      </c>
      <c r="J24" s="129" t="s">
        <v>883</v>
      </c>
    </row>
    <row r="25" spans="1:10">
      <c r="A25" s="129" t="s">
        <v>437</v>
      </c>
      <c r="B25" s="129" t="s">
        <v>459</v>
      </c>
      <c r="C25" s="129" t="s">
        <v>908</v>
      </c>
      <c r="D25" s="129" t="s">
        <v>842</v>
      </c>
      <c r="E25" s="129" t="s">
        <v>906</v>
      </c>
      <c r="F25" s="129" t="s">
        <v>827</v>
      </c>
      <c r="G25" s="129" t="s">
        <v>459</v>
      </c>
      <c r="H25" s="129" t="s">
        <v>844</v>
      </c>
      <c r="I25" s="129" t="s">
        <v>909</v>
      </c>
      <c r="J25" s="129" t="s">
        <v>883</v>
      </c>
    </row>
    <row r="26" spans="1:10">
      <c r="A26" s="129" t="s">
        <v>437</v>
      </c>
      <c r="B26" s="129" t="s">
        <v>473</v>
      </c>
      <c r="C26" s="129" t="s">
        <v>910</v>
      </c>
      <c r="D26" s="129" t="s">
        <v>842</v>
      </c>
      <c r="E26" s="129" t="s">
        <v>874</v>
      </c>
      <c r="F26" s="129" t="s">
        <v>827</v>
      </c>
      <c r="G26" s="129" t="s">
        <v>473</v>
      </c>
      <c r="H26" s="129" t="s">
        <v>911</v>
      </c>
      <c r="I26" s="129" t="s">
        <v>912</v>
      </c>
      <c r="J26" s="129" t="s">
        <v>859</v>
      </c>
    </row>
    <row r="27" spans="1:10">
      <c r="A27" s="129" t="s">
        <v>436</v>
      </c>
      <c r="B27" s="129" t="s">
        <v>452</v>
      </c>
      <c r="C27" s="129" t="s">
        <v>913</v>
      </c>
      <c r="D27" s="129" t="s">
        <v>842</v>
      </c>
      <c r="E27" s="129" t="s">
        <v>914</v>
      </c>
      <c r="F27" s="129" t="s">
        <v>827</v>
      </c>
      <c r="G27" s="129" t="s">
        <v>452</v>
      </c>
      <c r="H27" s="129" t="s">
        <v>837</v>
      </c>
      <c r="I27" s="129" t="s">
        <v>915</v>
      </c>
      <c r="J27" s="129" t="s">
        <v>916</v>
      </c>
    </row>
    <row r="28" spans="1:10">
      <c r="A28" s="129" t="s">
        <v>436</v>
      </c>
      <c r="B28" s="129" t="s">
        <v>453</v>
      </c>
      <c r="C28" s="129" t="s">
        <v>917</v>
      </c>
      <c r="D28" s="129" t="s">
        <v>842</v>
      </c>
      <c r="E28" s="129" t="s">
        <v>914</v>
      </c>
      <c r="F28" s="129" t="s">
        <v>827</v>
      </c>
      <c r="G28" s="129" t="s">
        <v>453</v>
      </c>
      <c r="H28" s="129" t="s">
        <v>911</v>
      </c>
      <c r="I28" s="129" t="s">
        <v>918</v>
      </c>
      <c r="J28" s="129" t="s">
        <v>859</v>
      </c>
    </row>
    <row r="29" spans="1:10">
      <c r="A29" s="129" t="s">
        <v>436</v>
      </c>
      <c r="B29" s="129" t="s">
        <v>867</v>
      </c>
      <c r="C29" s="129" t="s">
        <v>868</v>
      </c>
      <c r="D29" s="129" t="s">
        <v>825</v>
      </c>
      <c r="E29" s="129" t="s">
        <v>914</v>
      </c>
      <c r="F29" s="129" t="s">
        <v>262</v>
      </c>
      <c r="G29" s="129" t="s">
        <v>867</v>
      </c>
      <c r="H29" s="129" t="s">
        <v>828</v>
      </c>
      <c r="I29" s="129" t="s">
        <v>919</v>
      </c>
      <c r="J29" s="129" t="s">
        <v>920</v>
      </c>
    </row>
    <row r="30" spans="1:10">
      <c r="A30" s="129" t="s">
        <v>436</v>
      </c>
      <c r="B30" s="129" t="s">
        <v>921</v>
      </c>
      <c r="C30" s="129" t="s">
        <v>922</v>
      </c>
      <c r="D30" s="129" t="s">
        <v>842</v>
      </c>
      <c r="E30" s="129" t="s">
        <v>914</v>
      </c>
      <c r="F30" s="129" t="s">
        <v>827</v>
      </c>
      <c r="G30" s="129" t="s">
        <v>921</v>
      </c>
      <c r="H30" s="129" t="s">
        <v>837</v>
      </c>
      <c r="I30" s="129" t="s">
        <v>923</v>
      </c>
      <c r="J30" s="129" t="s">
        <v>924</v>
      </c>
    </row>
    <row r="31" spans="1:10">
      <c r="A31" s="129" t="s">
        <v>436</v>
      </c>
      <c r="B31" s="129" t="s">
        <v>925</v>
      </c>
      <c r="C31" s="129" t="s">
        <v>926</v>
      </c>
      <c r="D31" s="129" t="s">
        <v>842</v>
      </c>
      <c r="E31" s="129" t="s">
        <v>914</v>
      </c>
      <c r="F31" s="129" t="s">
        <v>827</v>
      </c>
      <c r="G31" s="129" t="s">
        <v>925</v>
      </c>
      <c r="H31" s="129" t="s">
        <v>837</v>
      </c>
      <c r="I31" s="129" t="s">
        <v>927</v>
      </c>
      <c r="J31" s="129" t="s">
        <v>924</v>
      </c>
    </row>
    <row r="32" spans="1:10">
      <c r="A32" s="129" t="s">
        <v>436</v>
      </c>
      <c r="B32" s="129" t="s">
        <v>928</v>
      </c>
      <c r="C32" s="129" t="s">
        <v>929</v>
      </c>
      <c r="D32" s="129" t="s">
        <v>842</v>
      </c>
      <c r="E32" s="129" t="s">
        <v>914</v>
      </c>
      <c r="F32" s="129" t="s">
        <v>827</v>
      </c>
      <c r="G32" s="129" t="s">
        <v>456</v>
      </c>
      <c r="H32" s="129" t="s">
        <v>844</v>
      </c>
      <c r="I32" s="129" t="s">
        <v>930</v>
      </c>
      <c r="J32" s="129" t="s">
        <v>859</v>
      </c>
    </row>
    <row r="33" spans="1:10">
      <c r="A33" s="129" t="s">
        <v>436</v>
      </c>
      <c r="B33" s="129" t="s">
        <v>931</v>
      </c>
      <c r="C33" s="129" t="s">
        <v>932</v>
      </c>
      <c r="D33" s="129" t="s">
        <v>842</v>
      </c>
      <c r="E33" s="129" t="s">
        <v>914</v>
      </c>
      <c r="F33" s="129" t="s">
        <v>827</v>
      </c>
      <c r="G33" s="129" t="s">
        <v>931</v>
      </c>
      <c r="H33" s="129" t="s">
        <v>844</v>
      </c>
      <c r="I33" s="129" t="s">
        <v>933</v>
      </c>
      <c r="J33" s="129" t="s">
        <v>934</v>
      </c>
    </row>
    <row r="34" spans="1:10">
      <c r="A34" s="129" t="s">
        <v>436</v>
      </c>
      <c r="B34" s="129" t="s">
        <v>935</v>
      </c>
      <c r="C34" s="129" t="s">
        <v>936</v>
      </c>
      <c r="D34" s="129" t="s">
        <v>842</v>
      </c>
      <c r="E34" s="129" t="s">
        <v>914</v>
      </c>
      <c r="F34" s="129" t="s">
        <v>827</v>
      </c>
      <c r="G34" s="129" t="s">
        <v>935</v>
      </c>
      <c r="H34" s="129" t="s">
        <v>844</v>
      </c>
      <c r="I34" s="129" t="s">
        <v>937</v>
      </c>
      <c r="J34" s="129" t="s">
        <v>938</v>
      </c>
    </row>
    <row r="35" spans="1:10">
      <c r="A35" s="129" t="s">
        <v>436</v>
      </c>
      <c r="B35" s="129" t="s">
        <v>462</v>
      </c>
      <c r="C35" s="129" t="s">
        <v>939</v>
      </c>
      <c r="D35" s="129" t="s">
        <v>842</v>
      </c>
      <c r="E35" s="129" t="s">
        <v>914</v>
      </c>
      <c r="F35" s="129" t="s">
        <v>827</v>
      </c>
      <c r="G35" s="129" t="s">
        <v>462</v>
      </c>
      <c r="H35" s="129" t="s">
        <v>844</v>
      </c>
      <c r="I35" s="129" t="s">
        <v>940</v>
      </c>
      <c r="J35" s="129" t="s">
        <v>941</v>
      </c>
    </row>
    <row r="36" spans="1:10">
      <c r="A36" s="129" t="s">
        <v>436</v>
      </c>
      <c r="B36" s="129" t="s">
        <v>492</v>
      </c>
      <c r="C36" s="129" t="s">
        <v>942</v>
      </c>
      <c r="D36" s="129" t="s">
        <v>842</v>
      </c>
      <c r="E36" s="129" t="s">
        <v>914</v>
      </c>
      <c r="F36" s="129" t="s">
        <v>827</v>
      </c>
      <c r="G36" s="129" t="s">
        <v>492</v>
      </c>
      <c r="H36" s="129" t="s">
        <v>837</v>
      </c>
      <c r="I36" s="129" t="s">
        <v>943</v>
      </c>
      <c r="J36" s="129" t="s">
        <v>944</v>
      </c>
    </row>
    <row r="37" spans="1:10">
      <c r="A37" s="129" t="s">
        <v>439</v>
      </c>
      <c r="B37" s="129" t="s">
        <v>945</v>
      </c>
      <c r="C37" s="129" t="s">
        <v>946</v>
      </c>
      <c r="D37" s="129" t="s">
        <v>825</v>
      </c>
      <c r="E37" s="129" t="s">
        <v>947</v>
      </c>
      <c r="F37" s="129" t="s">
        <v>827</v>
      </c>
      <c r="G37" s="129" t="s">
        <v>477</v>
      </c>
      <c r="H37" s="129" t="s">
        <v>844</v>
      </c>
      <c r="I37" s="129" t="s">
        <v>948</v>
      </c>
      <c r="J37" s="129" t="s">
        <v>846</v>
      </c>
    </row>
    <row r="38" spans="1:10">
      <c r="A38" s="129" t="s">
        <v>439</v>
      </c>
      <c r="B38" s="129" t="s">
        <v>478</v>
      </c>
      <c r="C38" s="129" t="s">
        <v>949</v>
      </c>
      <c r="D38" s="129" t="s">
        <v>842</v>
      </c>
      <c r="E38" s="129" t="s">
        <v>914</v>
      </c>
      <c r="F38" s="129" t="s">
        <v>827</v>
      </c>
      <c r="G38" s="129" t="s">
        <v>478</v>
      </c>
      <c r="H38" s="129" t="s">
        <v>844</v>
      </c>
      <c r="I38" s="129" t="s">
        <v>950</v>
      </c>
      <c r="J38" s="129" t="s">
        <v>951</v>
      </c>
    </row>
    <row r="39" spans="1:10">
      <c r="A39" s="129" t="s">
        <v>439</v>
      </c>
      <c r="B39" s="129" t="s">
        <v>479</v>
      </c>
      <c r="C39" s="129" t="s">
        <v>952</v>
      </c>
      <c r="D39" s="129" t="s">
        <v>842</v>
      </c>
      <c r="E39" s="129" t="s">
        <v>914</v>
      </c>
      <c r="F39" s="129" t="s">
        <v>827</v>
      </c>
      <c r="G39" s="129" t="s">
        <v>479</v>
      </c>
      <c r="H39" s="129" t="s">
        <v>844</v>
      </c>
      <c r="I39" s="129" t="s">
        <v>953</v>
      </c>
      <c r="J39" s="129" t="s">
        <v>859</v>
      </c>
    </row>
    <row r="40" spans="1:10">
      <c r="A40" s="129" t="s">
        <v>439</v>
      </c>
      <c r="B40" s="129" t="s">
        <v>480</v>
      </c>
      <c r="C40" s="129" t="s">
        <v>954</v>
      </c>
      <c r="D40" s="129" t="s">
        <v>842</v>
      </c>
      <c r="E40" s="129" t="s">
        <v>914</v>
      </c>
      <c r="F40" s="129" t="s">
        <v>827</v>
      </c>
      <c r="G40" s="129" t="s">
        <v>480</v>
      </c>
      <c r="H40" s="129" t="s">
        <v>844</v>
      </c>
      <c r="I40" s="129" t="s">
        <v>955</v>
      </c>
      <c r="J40" s="129" t="s">
        <v>859</v>
      </c>
    </row>
    <row r="41" spans="1:10">
      <c r="A41" s="129" t="s">
        <v>439</v>
      </c>
      <c r="B41" s="129" t="s">
        <v>493</v>
      </c>
      <c r="C41" s="129" t="s">
        <v>956</v>
      </c>
      <c r="D41" s="129" t="s">
        <v>842</v>
      </c>
      <c r="E41" s="129" t="s">
        <v>914</v>
      </c>
      <c r="F41" s="129" t="s">
        <v>827</v>
      </c>
      <c r="G41" s="129" t="s">
        <v>493</v>
      </c>
      <c r="H41" s="129" t="s">
        <v>844</v>
      </c>
      <c r="I41" s="129" t="s">
        <v>957</v>
      </c>
      <c r="J41" s="129" t="s">
        <v>859</v>
      </c>
    </row>
    <row r="42" spans="1:10">
      <c r="A42" s="129" t="s">
        <v>439</v>
      </c>
      <c r="B42" s="129" t="s">
        <v>482</v>
      </c>
      <c r="C42" s="129" t="s">
        <v>958</v>
      </c>
      <c r="D42" s="129" t="s">
        <v>842</v>
      </c>
      <c r="E42" s="129" t="s">
        <v>914</v>
      </c>
      <c r="F42" s="129" t="s">
        <v>827</v>
      </c>
      <c r="G42" s="129" t="s">
        <v>482</v>
      </c>
      <c r="H42" s="129" t="s">
        <v>844</v>
      </c>
      <c r="I42" s="129" t="s">
        <v>959</v>
      </c>
      <c r="J42" s="129" t="s">
        <v>859</v>
      </c>
    </row>
    <row r="43" spans="1:10">
      <c r="A43" s="129" t="s">
        <v>960</v>
      </c>
      <c r="B43" s="129" t="s">
        <v>417</v>
      </c>
      <c r="C43" s="129" t="s">
        <v>961</v>
      </c>
      <c r="D43" s="129" t="s">
        <v>842</v>
      </c>
      <c r="E43" s="129" t="s">
        <v>906</v>
      </c>
      <c r="F43" s="129" t="s">
        <v>299</v>
      </c>
      <c r="G43" s="129" t="s">
        <v>772</v>
      </c>
      <c r="H43" s="129" t="s">
        <v>911</v>
      </c>
      <c r="I43" s="129" t="s">
        <v>962</v>
      </c>
      <c r="J43" s="129" t="s">
        <v>963</v>
      </c>
    </row>
    <row r="44" spans="1:10">
      <c r="A44" s="129" t="s">
        <v>960</v>
      </c>
      <c r="B44" s="129" t="s">
        <v>964</v>
      </c>
      <c r="C44" s="129" t="s">
        <v>965</v>
      </c>
      <c r="D44" s="129" t="s">
        <v>842</v>
      </c>
      <c r="E44" s="129" t="s">
        <v>906</v>
      </c>
      <c r="F44" s="129" t="s">
        <v>827</v>
      </c>
      <c r="G44" s="129" t="s">
        <v>774</v>
      </c>
      <c r="H44" s="129" t="s">
        <v>844</v>
      </c>
      <c r="I44" s="129" t="s">
        <v>966</v>
      </c>
      <c r="J44" s="129" t="s">
        <v>846</v>
      </c>
    </row>
    <row r="45" spans="1:10">
      <c r="A45" s="129" t="s">
        <v>960</v>
      </c>
      <c r="B45" s="129" t="s">
        <v>775</v>
      </c>
      <c r="C45" s="129" t="s">
        <v>967</v>
      </c>
      <c r="D45" s="129" t="s">
        <v>842</v>
      </c>
      <c r="E45" s="129" t="s">
        <v>906</v>
      </c>
      <c r="F45" s="129" t="s">
        <v>827</v>
      </c>
      <c r="G45" s="129" t="s">
        <v>775</v>
      </c>
      <c r="H45" s="129" t="s">
        <v>911</v>
      </c>
      <c r="I45" s="129" t="s">
        <v>962</v>
      </c>
      <c r="J45" s="129" t="s">
        <v>963</v>
      </c>
    </row>
    <row r="46" spans="1:10">
      <c r="A46" s="129" t="s">
        <v>960</v>
      </c>
      <c r="B46" s="129" t="s">
        <v>968</v>
      </c>
      <c r="C46" s="129" t="s">
        <v>969</v>
      </c>
      <c r="D46" s="129" t="s">
        <v>842</v>
      </c>
      <c r="E46" s="129" t="s">
        <v>906</v>
      </c>
      <c r="F46" s="129" t="s">
        <v>269</v>
      </c>
      <c r="G46" s="129" t="s">
        <v>59</v>
      </c>
      <c r="H46" s="129" t="s">
        <v>911</v>
      </c>
      <c r="I46" s="129" t="s">
        <v>970</v>
      </c>
      <c r="J46" s="129" t="s">
        <v>859</v>
      </c>
    </row>
    <row r="47" spans="1:10">
      <c r="A47" s="129" t="s">
        <v>960</v>
      </c>
      <c r="B47" s="129" t="s">
        <v>484</v>
      </c>
      <c r="C47" s="129" t="s">
        <v>971</v>
      </c>
      <c r="D47" s="129" t="s">
        <v>842</v>
      </c>
      <c r="E47" s="129" t="s">
        <v>906</v>
      </c>
      <c r="F47" s="129" t="s">
        <v>297</v>
      </c>
      <c r="G47" s="129" t="s">
        <v>484</v>
      </c>
      <c r="H47" s="129" t="s">
        <v>844</v>
      </c>
      <c r="I47" s="129" t="s">
        <v>972</v>
      </c>
      <c r="J47" s="129" t="s">
        <v>859</v>
      </c>
    </row>
    <row r="48" spans="1:10">
      <c r="A48" s="129" t="s">
        <v>960</v>
      </c>
      <c r="B48" s="129" t="s">
        <v>65</v>
      </c>
      <c r="C48" s="129" t="s">
        <v>973</v>
      </c>
      <c r="D48" s="129" t="s">
        <v>825</v>
      </c>
      <c r="E48" s="129" t="s">
        <v>906</v>
      </c>
      <c r="F48" s="129" t="s">
        <v>286</v>
      </c>
      <c r="G48" s="129" t="s">
        <v>483</v>
      </c>
      <c r="H48" s="129" t="s">
        <v>844</v>
      </c>
      <c r="I48" s="129" t="s">
        <v>974</v>
      </c>
      <c r="J48" s="129" t="s">
        <v>859</v>
      </c>
    </row>
    <row r="49" spans="1:10">
      <c r="A49" s="129" t="s">
        <v>975</v>
      </c>
      <c r="B49" s="129" t="s">
        <v>976</v>
      </c>
      <c r="C49" s="129" t="s">
        <v>977</v>
      </c>
      <c r="D49" s="129" t="s">
        <v>842</v>
      </c>
      <c r="E49" s="129" t="s">
        <v>978</v>
      </c>
      <c r="F49" s="129" t="s">
        <v>827</v>
      </c>
      <c r="G49" s="129" t="s">
        <v>490</v>
      </c>
      <c r="H49" s="129" t="s">
        <v>828</v>
      </c>
      <c r="I49" s="129" t="s">
        <v>979</v>
      </c>
      <c r="J49" s="129" t="s">
        <v>980</v>
      </c>
    </row>
    <row r="50" spans="1:10">
      <c r="A50" s="129" t="s">
        <v>975</v>
      </c>
      <c r="B50" s="129" t="s">
        <v>981</v>
      </c>
      <c r="C50" s="129" t="s">
        <v>982</v>
      </c>
      <c r="D50" s="129" t="s">
        <v>842</v>
      </c>
      <c r="E50" s="129" t="s">
        <v>978</v>
      </c>
      <c r="F50" s="129" t="s">
        <v>827</v>
      </c>
      <c r="G50" s="129" t="s">
        <v>491</v>
      </c>
      <c r="H50" s="129" t="s">
        <v>828</v>
      </c>
      <c r="I50" s="129" t="s">
        <v>983</v>
      </c>
      <c r="J50" s="129" t="s">
        <v>830</v>
      </c>
    </row>
    <row r="51" spans="1:10">
      <c r="A51" s="129" t="s">
        <v>975</v>
      </c>
      <c r="B51" s="129" t="s">
        <v>984</v>
      </c>
      <c r="C51" s="129" t="s">
        <v>985</v>
      </c>
      <c r="D51" s="129" t="s">
        <v>842</v>
      </c>
      <c r="E51" s="129" t="s">
        <v>978</v>
      </c>
      <c r="F51" s="129" t="s">
        <v>827</v>
      </c>
      <c r="G51" s="129" t="s">
        <v>986</v>
      </c>
      <c r="H51" s="129" t="s">
        <v>844</v>
      </c>
      <c r="I51" s="129" t="s">
        <v>940</v>
      </c>
      <c r="J51" s="129" t="s">
        <v>941</v>
      </c>
    </row>
    <row r="52" spans="1:10">
      <c r="A52" s="129" t="s">
        <v>975</v>
      </c>
      <c r="B52" s="129" t="s">
        <v>987</v>
      </c>
      <c r="C52" s="129" t="s">
        <v>988</v>
      </c>
      <c r="D52" s="129" t="s">
        <v>842</v>
      </c>
      <c r="E52" s="129" t="s">
        <v>978</v>
      </c>
      <c r="F52" s="129" t="s">
        <v>827</v>
      </c>
      <c r="G52" s="129" t="s">
        <v>989</v>
      </c>
      <c r="H52" s="129" t="s">
        <v>844</v>
      </c>
      <c r="I52" s="129" t="s">
        <v>990</v>
      </c>
      <c r="J52" s="129" t="s">
        <v>991</v>
      </c>
    </row>
    <row r="53" spans="1:10">
      <c r="A53" s="129" t="s">
        <v>975</v>
      </c>
      <c r="B53" s="129" t="s">
        <v>992</v>
      </c>
      <c r="C53" s="129" t="s">
        <v>993</v>
      </c>
      <c r="D53" s="129" t="s">
        <v>842</v>
      </c>
      <c r="E53" s="129" t="s">
        <v>978</v>
      </c>
      <c r="F53" s="129" t="s">
        <v>827</v>
      </c>
      <c r="G53" s="129" t="s">
        <v>994</v>
      </c>
      <c r="H53" s="129" t="s">
        <v>911</v>
      </c>
      <c r="I53" s="129" t="s">
        <v>995</v>
      </c>
      <c r="J53" s="129" t="s">
        <v>996</v>
      </c>
    </row>
    <row r="54" spans="1:10">
      <c r="A54" s="129" t="s">
        <v>975</v>
      </c>
      <c r="B54" s="129" t="s">
        <v>997</v>
      </c>
      <c r="C54" s="129" t="s">
        <v>998</v>
      </c>
      <c r="D54" s="129" t="s">
        <v>842</v>
      </c>
      <c r="E54" s="129" t="s">
        <v>978</v>
      </c>
      <c r="F54" s="129" t="s">
        <v>999</v>
      </c>
      <c r="G54" s="129" t="s">
        <v>1000</v>
      </c>
      <c r="H54" s="129" t="s">
        <v>911</v>
      </c>
      <c r="I54" s="129" t="s">
        <v>962</v>
      </c>
      <c r="J54" s="129" t="s">
        <v>963</v>
      </c>
    </row>
    <row r="55" spans="1:10">
      <c r="A55" s="129" t="s">
        <v>1001</v>
      </c>
      <c r="B55" s="129" t="s">
        <v>486</v>
      </c>
      <c r="C55" s="129" t="s">
        <v>301</v>
      </c>
      <c r="D55" s="129" t="s">
        <v>825</v>
      </c>
      <c r="E55" s="129" t="s">
        <v>878</v>
      </c>
      <c r="F55" s="129" t="s">
        <v>301</v>
      </c>
      <c r="G55" s="129" t="s">
        <v>486</v>
      </c>
      <c r="H55" s="129" t="s">
        <v>828</v>
      </c>
      <c r="I55" s="129" t="s">
        <v>1002</v>
      </c>
      <c r="J55" s="129" t="s">
        <v>1003</v>
      </c>
    </row>
    <row r="56" spans="1:10">
      <c r="A56" s="129" t="s">
        <v>1001</v>
      </c>
      <c r="B56" s="129" t="s">
        <v>1004</v>
      </c>
      <c r="C56" s="129" t="s">
        <v>303</v>
      </c>
      <c r="D56" s="129" t="s">
        <v>825</v>
      </c>
      <c r="E56" s="129" t="s">
        <v>878</v>
      </c>
      <c r="F56" s="129" t="s">
        <v>303</v>
      </c>
      <c r="G56" s="129" t="s">
        <v>487</v>
      </c>
      <c r="H56" s="129" t="s">
        <v>828</v>
      </c>
      <c r="I56" s="129" t="s">
        <v>1005</v>
      </c>
      <c r="J56" s="129" t="s">
        <v>1006</v>
      </c>
    </row>
    <row r="57" spans="1:10">
      <c r="A57" s="129" t="s">
        <v>1001</v>
      </c>
      <c r="B57" s="129" t="s">
        <v>488</v>
      </c>
      <c r="C57" s="129" t="s">
        <v>305</v>
      </c>
      <c r="D57" s="129" t="s">
        <v>825</v>
      </c>
      <c r="E57" s="129" t="s">
        <v>878</v>
      </c>
      <c r="F57" s="129" t="s">
        <v>305</v>
      </c>
      <c r="G57" s="129" t="s">
        <v>488</v>
      </c>
      <c r="H57" s="129" t="s">
        <v>844</v>
      </c>
      <c r="I57" s="129" t="s">
        <v>1007</v>
      </c>
      <c r="J57" s="129" t="s">
        <v>846</v>
      </c>
    </row>
    <row r="58" spans="1:10">
      <c r="A58" s="129" t="s">
        <v>1001</v>
      </c>
      <c r="B58" s="129" t="s">
        <v>489</v>
      </c>
      <c r="C58" s="129" t="s">
        <v>307</v>
      </c>
      <c r="D58" s="129" t="s">
        <v>825</v>
      </c>
      <c r="E58" s="129" t="s">
        <v>878</v>
      </c>
      <c r="F58" s="129" t="s">
        <v>307</v>
      </c>
      <c r="G58" s="129" t="s">
        <v>489</v>
      </c>
      <c r="H58" s="129" t="s">
        <v>911</v>
      </c>
      <c r="I58" s="129" t="s">
        <v>1008</v>
      </c>
      <c r="J58" s="129" t="s">
        <v>859</v>
      </c>
    </row>
    <row r="59" spans="1:10">
      <c r="A59" s="129" t="s">
        <v>1001</v>
      </c>
      <c r="B59" s="129" t="s">
        <v>1009</v>
      </c>
      <c r="C59" s="129" t="s">
        <v>297</v>
      </c>
      <c r="D59" s="129" t="s">
        <v>825</v>
      </c>
      <c r="E59" s="129" t="s">
        <v>1010</v>
      </c>
      <c r="F59" s="129" t="s">
        <v>297</v>
      </c>
      <c r="G59" s="129" t="s">
        <v>484</v>
      </c>
      <c r="H59" s="129" t="s">
        <v>844</v>
      </c>
      <c r="I59" s="129" t="s">
        <v>1011</v>
      </c>
      <c r="J59" s="129" t="s">
        <v>859</v>
      </c>
    </row>
    <row r="60" spans="1:10">
      <c r="A60" s="129" t="s">
        <v>1001</v>
      </c>
      <c r="B60" s="129" t="s">
        <v>1012</v>
      </c>
      <c r="C60" s="129" t="s">
        <v>286</v>
      </c>
      <c r="D60" s="129" t="s">
        <v>825</v>
      </c>
      <c r="E60" s="129" t="s">
        <v>914</v>
      </c>
      <c r="F60" s="129" t="s">
        <v>286</v>
      </c>
      <c r="G60" s="129" t="s">
        <v>483</v>
      </c>
      <c r="H60" s="129" t="s">
        <v>844</v>
      </c>
      <c r="I60" s="129" t="s">
        <v>1011</v>
      </c>
      <c r="J60" s="129" t="s">
        <v>859</v>
      </c>
    </row>
    <row r="62" ht="18" customHeight="1" spans="1:10">
      <c r="A62" s="87" t="s">
        <v>1013</v>
      </c>
    </row>
    <row r="63" spans="1:10">
      <c r="A63" s="96" t="s">
        <v>1014</v>
      </c>
      <c r="B63" s="28"/>
      <c r="C63" s="29"/>
      <c r="D63" s="97">
        <f>COUNTA($B$5:$B$60)</f>
        <v>56</v>
      </c>
    </row>
    <row r="64" spans="1:10">
      <c r="A64" s="90" t="s">
        <v>1015</v>
      </c>
      <c r="B64" s="28"/>
      <c r="C64" s="29"/>
      <c r="D64" s="97">
        <f>COUNTIF($D$5:$D$60,"HARD FILTER")</f>
        <v>21</v>
      </c>
    </row>
    <row r="65" spans="1:4">
      <c r="A65" s="90" t="s">
        <v>1016</v>
      </c>
      <c r="B65" s="28"/>
      <c r="C65" s="29"/>
      <c r="D65" s="97">
        <f>COUNTIF($D$5:$D$60,"SOFT MATCH")</f>
        <v>35</v>
      </c>
    </row>
    <row r="66" spans="1:4">
      <c r="A66" s="90" t="s">
        <v>1017</v>
      </c>
      <c r="B66" s="28"/>
      <c r="C66" s="29"/>
      <c r="D66" s="97">
        <f>COUNTIF($H$5:$H$60,"DONE")</f>
        <v>14</v>
      </c>
    </row>
    <row r="67" spans="1:4">
      <c r="A67" s="90" t="s">
        <v>1018</v>
      </c>
      <c r="B67" s="28"/>
      <c r="C67" s="29"/>
      <c r="D67" s="97">
        <f>COUNTIF($H$5:$H$60,"PARTIAL")</f>
        <v>5</v>
      </c>
    </row>
    <row r="68" spans="1:4">
      <c r="A68" s="90" t="s">
        <v>1019</v>
      </c>
      <c r="B68" s="28"/>
      <c r="C68" s="29"/>
      <c r="D68" s="97">
        <f>COUNTIF($H$5:$H$60,"BLOCKED BY DATA")</f>
        <v>29</v>
      </c>
    </row>
    <row r="69" spans="1:4">
      <c r="A69" s="90" t="s">
        <v>1020</v>
      </c>
      <c r="B69" s="28"/>
      <c r="C69" s="29"/>
      <c r="D69" s="97">
        <f>COUNTIF($H$5:$H$60,"NEW")</f>
        <v>8</v>
      </c>
    </row>
  </sheetData>
  <mergeCells count="10">
    <mergeCell ref="A1:J1"/>
    <mergeCell ref="A2:J2"/>
    <mergeCell ref="A62:J62"/>
    <mergeCell ref="A63:C63"/>
    <mergeCell ref="A64:C64"/>
    <mergeCell ref="A65:C65"/>
    <mergeCell ref="A66:C66"/>
    <mergeCell ref="A67:C67"/>
    <mergeCell ref="A68:C68"/>
    <mergeCell ref="A69:C69"/>
  </mergeCells>
  <conditionalFormatting sqref="D5:D60">
    <cfRule type="containsText" dxfId="0" priority="1" operator="between" text="HARD">
      <formula>NOT(ISERROR(SEARCH("HARD",D5)))</formula>
    </cfRule>
    <cfRule type="containsText" dxfId="8" priority="2" operator="between" text="SOFT">
      <formula>NOT(ISERROR(SEARCH("SOFT",D5)))</formula>
    </cfRule>
  </conditionalFormatting>
  <conditionalFormatting sqref="H5:H60">
    <cfRule type="containsText" dxfId="9" priority="3" operator="between" text="BLOCKED">
      <formula>NOT(ISERROR(SEARCH("BLOCKED",H5)))</formula>
    </cfRule>
    <cfRule type="containsText" dxfId="1" priority="3" operator="between" text="PARTIAL">
      <formula>NOT(ISERROR(SEARCH("PARTIAL",H5)))</formula>
    </cfRule>
    <cfRule type="containsText" dxfId="10" priority="3" operator="between" text="DONE">
      <formula>NOT(ISERROR(SEARCH("DONE",H5)))</formula>
    </cfRule>
    <cfRule type="containsText" dxfId="11" priority="4" operator="between" text="NEW">
      <formula>NOT(ISERROR(SEARCH("NEW",H5)))</formula>
    </cfRule>
  </conditionalFormatting>
  <pageMargins left="0.7" right="0.7" top="0.75" bottom="0.75" header="0.3" footer="0.3"/>
  <pageSetup paperSize="1" orientation="portrait"/>
  <headerFooter/>
  <tableParts count="1">
    <tablePart r:id="rId1"/>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A36"/>
  <sheetViews>
    <sheetView workbookViewId="0">
      <pane xSplit="2" ySplit="6" topLeftCell="C7" activePane="bottomRight" state="frozen"/>
      <selection/>
      <selection pane="topRight"/>
      <selection pane="bottomLeft"/>
      <selection pane="bottomRight" activeCell="A1" sqref="A1:BA1"/>
    </sheetView>
  </sheetViews>
  <sheetFormatPr defaultColWidth="9" defaultRowHeight="15"/>
  <cols>
    <col min="2" max="2" width="20" customWidth="1"/>
    <col min="3" max="3" width="22" customWidth="1"/>
    <col min="4" max="5" width="11" customWidth="1"/>
    <col min="7" max="7" width="12" customWidth="1"/>
    <col min="8" max="9" width="17" customWidth="1"/>
    <col min="10" max="10" width="14" customWidth="1"/>
    <col min="11" max="11" width="18" customWidth="1"/>
    <col min="12" max="12" width="14" customWidth="1"/>
    <col min="13" max="13" width="15" customWidth="1"/>
    <col min="14" max="14" width="14" customWidth="1"/>
    <col min="15" max="15" width="16" customWidth="1"/>
    <col min="16" max="16" width="17" customWidth="1"/>
    <col min="17" max="17" width="19" customWidth="1"/>
    <col min="19" max="19" width="15" customWidth="1"/>
    <col min="20" max="20" width="14" customWidth="1"/>
    <col min="21" max="21" width="17" customWidth="1"/>
    <col min="23" max="53" width="13" customWidth="1"/>
  </cols>
  <sheetData>
    <row r="1" ht="24" customHeight="1" spans="1:53">
      <c r="A1" s="38" t="s">
        <v>1021</v>
      </c>
    </row>
    <row r="2" ht="30" customHeight="1" spans="1:53">
      <c r="A2" s="39" t="s">
        <v>1022</v>
      </c>
    </row>
    <row r="4" ht="22" customHeight="1" spans="1:53">
      <c r="A4" s="17" t="s">
        <v>1023</v>
      </c>
      <c r="B4" s="130" t="s">
        <v>1024</v>
      </c>
      <c r="C4" s="68"/>
      <c r="D4" s="93" t="s">
        <v>1025</v>
      </c>
      <c r="E4" s="131" t="str">
        <f>INDEX(Lookup_Lists!$C$250:$C$279,Discovery_Ranking!$K$4,1)</f>
        <v>Final Match Score</v>
      </c>
      <c r="F4" s="132" t="str">
        <f>INDEX(Lookup_Lists!$D$250:$D$279,Discovery_Ranking!$K$4,1)</f>
        <v>desc</v>
      </c>
      <c r="G4" s="93" t="s">
        <v>1026</v>
      </c>
      <c r="H4" s="131" t="str">
        <f>INDEX(Lookup_Lists!$E$250:$E$279,Discovery_Ranking!$K$4,1)</f>
        <v>NEW</v>
      </c>
      <c r="J4" s="133" t="s">
        <v>1027</v>
      </c>
      <c r="K4" s="134">
        <f>MATCH($B$4,Lookup_Lists!$B$250:$B$279,0)</f>
        <v>1</v>
      </c>
    </row>
    <row r="5" spans="1:53">
      <c r="A5" s="135" t="s">
        <v>1028</v>
      </c>
      <c r="B5" s="136" t="str">
        <f>Brand_Profile!$B$4&amp;" — "&amp;Brand_Profile!$G$9</f>
        <v>BRAND-A — Nusatech Cloud</v>
      </c>
      <c r="X5" s="137" t="s">
        <v>1029</v>
      </c>
      <c r="Y5" s="138"/>
      <c r="Z5" s="138"/>
      <c r="AA5" s="138"/>
      <c r="AB5" s="138"/>
      <c r="AC5" s="138"/>
      <c r="AD5" s="138"/>
      <c r="AE5" s="138"/>
      <c r="AF5" s="138"/>
      <c r="AG5" s="138"/>
      <c r="AH5" s="138"/>
      <c r="AI5" s="138"/>
      <c r="AJ5" s="138"/>
      <c r="AK5" s="138"/>
      <c r="AL5" s="138"/>
      <c r="AM5" s="138"/>
      <c r="AN5" s="138"/>
      <c r="AO5" s="138"/>
      <c r="AP5" s="138"/>
      <c r="AQ5" s="138"/>
      <c r="AR5" s="138"/>
      <c r="AS5" s="138"/>
      <c r="AT5" s="138"/>
      <c r="AU5" s="138"/>
      <c r="AV5" s="138"/>
      <c r="AW5" s="138"/>
      <c r="AX5" s="138"/>
      <c r="AY5" s="138"/>
      <c r="AZ5" s="138"/>
      <c r="BA5" s="139"/>
    </row>
    <row r="6" ht="34" customHeight="1" spans="1:53">
      <c r="A6" s="88" t="s">
        <v>1030</v>
      </c>
      <c r="B6" s="88" t="s">
        <v>1031</v>
      </c>
      <c r="C6" s="88" t="s">
        <v>445</v>
      </c>
      <c r="D6" s="88" t="s">
        <v>390</v>
      </c>
      <c r="E6" s="88" t="s">
        <v>416</v>
      </c>
      <c r="F6" s="88" t="s">
        <v>447</v>
      </c>
      <c r="G6" s="88" t="s">
        <v>450</v>
      </c>
      <c r="H6" s="88" t="s">
        <v>451</v>
      </c>
      <c r="I6" s="88" t="s">
        <v>1032</v>
      </c>
      <c r="J6" s="88" t="s">
        <v>417</v>
      </c>
      <c r="K6" s="88" t="s">
        <v>968</v>
      </c>
      <c r="L6" s="88" t="s">
        <v>1033</v>
      </c>
      <c r="M6" s="88" t="s">
        <v>65</v>
      </c>
      <c r="N6" s="88" t="s">
        <v>1034</v>
      </c>
      <c r="O6" s="88" t="s">
        <v>482</v>
      </c>
      <c r="P6" s="88" t="s">
        <v>424</v>
      </c>
      <c r="Q6" s="88" t="s">
        <v>778</v>
      </c>
      <c r="R6" s="88" t="s">
        <v>1035</v>
      </c>
      <c r="S6" s="88" t="s">
        <v>1036</v>
      </c>
      <c r="T6" s="88" t="s">
        <v>1037</v>
      </c>
      <c r="U6" s="88" t="s">
        <v>1038</v>
      </c>
      <c r="V6" s="88" t="s">
        <v>414</v>
      </c>
      <c r="W6" s="88" t="s">
        <v>803</v>
      </c>
      <c r="X6" s="88" t="s">
        <v>1024</v>
      </c>
      <c r="Y6" s="88" t="s">
        <v>1039</v>
      </c>
      <c r="Z6" s="88" t="s">
        <v>1040</v>
      </c>
      <c r="AA6" s="88" t="s">
        <v>1041</v>
      </c>
      <c r="AB6" s="88" t="s">
        <v>1042</v>
      </c>
      <c r="AC6" s="88" t="s">
        <v>1043</v>
      </c>
      <c r="AD6" s="88" t="s">
        <v>1044</v>
      </c>
      <c r="AE6" s="88" t="s">
        <v>1045</v>
      </c>
      <c r="AF6" s="88" t="s">
        <v>1046</v>
      </c>
      <c r="AG6" s="88" t="s">
        <v>1047</v>
      </c>
      <c r="AH6" s="88" t="s">
        <v>1048</v>
      </c>
      <c r="AI6" s="88" t="s">
        <v>987</v>
      </c>
      <c r="AJ6" s="88" t="s">
        <v>1049</v>
      </c>
      <c r="AK6" s="88" t="s">
        <v>1050</v>
      </c>
      <c r="AL6" s="88" t="s">
        <v>1051</v>
      </c>
      <c r="AM6" s="88" t="s">
        <v>1052</v>
      </c>
      <c r="AN6" s="88" t="s">
        <v>1053</v>
      </c>
      <c r="AO6" s="88" t="s">
        <v>1054</v>
      </c>
      <c r="AP6" s="88" t="s">
        <v>1055</v>
      </c>
      <c r="AQ6" s="88" t="s">
        <v>1056</v>
      </c>
      <c r="AR6" s="88" t="s">
        <v>1057</v>
      </c>
      <c r="AS6" s="88" t="s">
        <v>1058</v>
      </c>
      <c r="AT6" s="88" t="s">
        <v>1059</v>
      </c>
      <c r="AU6" s="88" t="s">
        <v>1060</v>
      </c>
      <c r="AV6" s="88" t="s">
        <v>1061</v>
      </c>
      <c r="AW6" s="88" t="s">
        <v>976</v>
      </c>
      <c r="AX6" s="88" t="s">
        <v>981</v>
      </c>
      <c r="AY6" s="88" t="s">
        <v>984</v>
      </c>
      <c r="AZ6" s="88" t="s">
        <v>992</v>
      </c>
      <c r="BA6" s="88" t="s">
        <v>997</v>
      </c>
    </row>
    <row r="7" spans="1:53">
      <c r="A7" s="89">
        <f ca="1" t="shared" ref="A7:A36" si="0">IF($R7="EXCLUDED","—",COUNTIFS($S$7:$S$36,"&gt;"&amp;$S7,$R$7:$R$36,"PASS")+1)</f>
        <v>5</v>
      </c>
      <c r="B7" s="89" t="str">
        <f>KOL_Database!$B$5</f>
        <v>Ardi Nugraha</v>
      </c>
      <c r="C7" s="89" t="str">
        <f>KOL_Database!$C$5</f>
        <v>@ardidigital</v>
      </c>
      <c r="D7" s="89" t="str">
        <f>KOL_Database!$D$5</f>
        <v>Instagram</v>
      </c>
      <c r="E7" s="89" t="str">
        <f>KOL_Database!$E$5</f>
        <v>Tech</v>
      </c>
      <c r="F7" s="89" t="str">
        <f>KOL_Database!$G$5</f>
        <v>Macro</v>
      </c>
      <c r="G7" s="140">
        <f>KOL_Database!$J$5</f>
        <v>128000</v>
      </c>
      <c r="H7" s="141">
        <f>KOL_Database!$K$5</f>
        <v>3.8</v>
      </c>
      <c r="I7" s="142">
        <f ca="1">INDEX(Matching_Engine!$S$6:$S$95,$W7,1)</f>
        <v>83</v>
      </c>
      <c r="J7" s="13">
        <f ca="1">INDEX(Matching_Engine!$AP$6:$AP$95,$W7,1)</f>
        <v>80</v>
      </c>
      <c r="K7" s="142">
        <f>INDEX(Matching_Engine!$X$6:$X$95,$W7,1)</f>
        <v>79</v>
      </c>
      <c r="L7" s="142">
        <f>INDEX(Matching_Engine!$AJ$6:$AJ$95,$W7,1)</f>
        <v>69</v>
      </c>
      <c r="M7" s="142">
        <f>INDEX(Matching_Engine!$AO$6:$AO$95,$W7,1)</f>
        <v>81</v>
      </c>
      <c r="N7" s="142">
        <f>INDEX(Matching_Engine!$AU$6:$AU$95,$W7,1)</f>
        <v>54</v>
      </c>
      <c r="O7" s="143">
        <f>IF(KOL_Database!$AS$5="","—",KOL_Database!$AS$5)</f>
        <v>6.37</v>
      </c>
      <c r="P7" s="89" t="str">
        <f ca="1">INDEX(Matching_Engine!$AQ$6:$AQ$95,$W7,1)</f>
        <v>Strong Match</v>
      </c>
      <c r="Q7" s="89" t="str">
        <f ca="1">INDEX(Matching_Engine!$AX$6:$AX$95,$W7,1)</f>
        <v>Recommended</v>
      </c>
      <c r="R7" s="89" t="str">
        <f ca="1">INDEX(Matching_Engine!$AV$6:$AV$95,$W7,1)</f>
        <v>PASS</v>
      </c>
      <c r="S7" s="144">
        <f ca="1" t="shared" ref="S7:S36" si="1">IF($R7="EXCLUDED",-1,$J7+$I7/1000+$K7/100000+$L7/10000000+$M7/1000000000)</f>
        <v>80.083796981</v>
      </c>
      <c r="T7" s="89">
        <f ca="1">IF($R7="EXCLUDED","—",IF(Discovery_Ranking!$F$4="asc",COUNTIFS($U$7:$U$36,"&lt;"&amp;$U7,$R$7:$R$36,"PASS")+1,COUNTIFS($U$7:$U$36,"&gt;"&amp;$U7,$R$7:$R$36,"PASS")+1))</f>
        <v>5</v>
      </c>
      <c r="U7" s="143">
        <f ca="1">INDEX($X7:$BA7,1,Discovery_Ranking!$K$4)</f>
        <v>80</v>
      </c>
      <c r="V7" s="89" t="str">
        <f>KOL_Database!$A$5</f>
        <v>KOL-01</v>
      </c>
      <c r="W7" s="89">
        <f>MATCH(Brand_Profile!$B$4&amp;"|"&amp;KOL_Database!$A$5,Matching_Engine!$AZ$6:$AZ$95,0)</f>
        <v>1</v>
      </c>
      <c r="X7" s="145">
        <f ca="1">INDEX(Matching_Engine!$AP$6:$AP$95,$W7,1)</f>
        <v>80</v>
      </c>
      <c r="Y7" s="145">
        <f>IF(KOL_Database!$L$5="",0,KOL_Database!$L$5)</f>
        <v>46223</v>
      </c>
      <c r="Z7" s="145">
        <f>IF(KOL_Database!$M$5="",0,KOL_Database!$M$5)</f>
        <v>37645</v>
      </c>
      <c r="AA7" s="145">
        <f>ROUND(INDEX(Matching_Engine!$AD$6:$AD$95,$W7,1)*0.6+INDEX(Matching_Engine!$AE$6:$AE$95,$W7,1)*0.4,1)</f>
        <v>71</v>
      </c>
      <c r="AB7" s="145">
        <f>IF(KOL_Database!$T$5="",0,KOL_Database!$T$5)</f>
        <v>1.65</v>
      </c>
      <c r="AC7" s="145">
        <f>IF(KOL_Database!$U$5="",0,KOL_Database!$U$5)</f>
        <v>3.46</v>
      </c>
      <c r="AD7" s="145">
        <f>IF(KOL_Database!$P$5="",0,KOL_Database!$P$5)</f>
        <v>73</v>
      </c>
      <c r="AE7" s="145">
        <f>IF(KOL_Database!$BC$5="",0,KOL_Database!$BC$5)</f>
        <v>0.361</v>
      </c>
      <c r="AF7" s="145">
        <f>IF(KOL_Database!$V$5="",0,KOL_Database!$V$5)</f>
        <v>84</v>
      </c>
      <c r="AG7" s="145">
        <f>IF(KOL_Database!$N$5="",0,KOL_Database!$N$5)</f>
        <v>2.7</v>
      </c>
      <c r="AH7" s="145">
        <f>IF(KOL_Database!$O$5="",0,KOL_Database!$O$5)</f>
        <v>6.7</v>
      </c>
      <c r="AI7" s="145">
        <f>ROUND(MIN(100,IF(KOL_Database!$N$5="",0,KOL_Database!$N$5)*8+IF(KOL_Database!$O$5="",0,KOL_Database!$O$5)*2+IF(KOL_Database!$K$5="",0,KOL_Database!$K$5)*3),1)</f>
        <v>46.4</v>
      </c>
      <c r="AJ7" s="145">
        <f>IF(KOL_Database!$R$5="",0,KOL_Database!$R$5)</f>
        <v>83</v>
      </c>
      <c r="AK7" s="145">
        <f>IF(KOL_Database!$S$5="",0,KOL_Database!$S$5)</f>
        <v>75</v>
      </c>
      <c r="AL7" s="145">
        <f ca="1">INDEX(Matching_Engine!$S$6:$S$95,$W7,1)</f>
        <v>83</v>
      </c>
      <c r="AM7" s="145">
        <f>IF(KOL_Database!$Q$5="",0,KOL_Database!$Q$5)</f>
        <v>66</v>
      </c>
      <c r="AN7" s="145">
        <f>IF(KOL_Database!$AO$5="",999999999,KOL_Database!$AO$5)</f>
        <v>79.55</v>
      </c>
      <c r="AO7" s="145">
        <f>IF(KOL_Database!$AP$5="",999999999,KOL_Database!$AP$5)</f>
        <v>2093</v>
      </c>
      <c r="AP7" s="145">
        <f>IF(KOL_Database!$AQ$5="",999999999,KOL_Database!$AQ$5)</f>
        <v>28727</v>
      </c>
      <c r="AQ7" s="145">
        <f>IF(KOL_Database!$BD$5="",0,KOL_Database!$BD$5)</f>
        <v>70</v>
      </c>
      <c r="AR7" s="145">
        <f>IF(KOL_Database!$AS$5="",0,KOL_Database!$AS$5)</f>
        <v>6.37</v>
      </c>
      <c r="AS7" s="145">
        <f>INDEX(Matching_Engine!$AT$6:$AT$95,$W7,1)</f>
        <v>81</v>
      </c>
      <c r="AT7" s="145">
        <f>INDEX(Matching_Engine!$AU$6:$AU$95,$W7,1)</f>
        <v>54</v>
      </c>
      <c r="AU7" s="145">
        <f>IF(KOL_Database!$AU$5="",0,KOL_Database!$AU$5)</f>
        <v>56</v>
      </c>
      <c r="AV7" s="145">
        <f>INDEX(Matching_Engine!$X$6:$X$95,$W7,1)</f>
        <v>79</v>
      </c>
      <c r="AW7" s="145">
        <f>IF(KOL_Database!$BA$5="",0,KOL_Database!$BA$5+0)</f>
        <v>46171.7083333333</v>
      </c>
      <c r="AX7" s="145">
        <f>IF(KOL_Database!$BB$5="",0,KOL_Database!$BB$5+0)</f>
        <v>46234.7083333333</v>
      </c>
      <c r="AY7" s="145">
        <f>ROUND(IF(KOL_Database!$V$5="",0,KOL_Database!$V$5)*0.6+MIN(100,IF(KOL_Database!$N$5="",0,KOL_Database!$N$5)*10)*0.4,1)</f>
        <v>61.2</v>
      </c>
      <c r="AZ7" s="145">
        <f>ROUND(MIN(100,IF(KOL_Database!$K$5="",0,KOL_Database!$K$5)/8*100)*0.35+IF(KOL_Database!$R$5="",0,KOL_Database!$R$5)*0.25+(100-IF(KOL_Database!$AU$5="",0,KOL_Database!$AU$5))*0.25+(100-MIN(100,IF(KOL_Database!$J$5="",0,KOL_Database!$J$5)/5000))*0.15,1)</f>
        <v>59.5</v>
      </c>
      <c r="BA7" s="145">
        <f ca="1">ROUND(INDEX(Matching_Engine!$AP$6:$AP$95,$W7,1)*IF(INDEX(Matching_Engine!$AS$6:$AS$95,$W7,1)="High",1,IF(INDEX(Matching_Engine!$AS$6:$AS$95,$W7,1)="Medium",0.92,0.8)),1)</f>
        <v>80</v>
      </c>
    </row>
    <row r="8" spans="1:53">
      <c r="A8" s="89">
        <f ca="1" t="shared" si="0"/>
        <v>1</v>
      </c>
      <c r="B8" s="89" t="str">
        <f>KOL_Database!$B$6</f>
        <v>Rifqi Pratama</v>
      </c>
      <c r="C8" s="89" t="str">
        <f>KOL_Database!$C$6</f>
        <v>@rifqi.codes</v>
      </c>
      <c r="D8" s="89" t="str">
        <f>KOL_Database!$D$6</f>
        <v>TikTok</v>
      </c>
      <c r="E8" s="89" t="str">
        <f>KOL_Database!$E$6</f>
        <v>Tech</v>
      </c>
      <c r="F8" s="89" t="str">
        <f>KOL_Database!$G$6</f>
        <v>Mid-tier</v>
      </c>
      <c r="G8" s="140">
        <f>KOL_Database!$J$6</f>
        <v>86000</v>
      </c>
      <c r="H8" s="141">
        <f>KOL_Database!$K$6</f>
        <v>6.2</v>
      </c>
      <c r="I8" s="142">
        <f ca="1">INDEX(Matching_Engine!$S$6:$S$95,$W8,1)</f>
        <v>91</v>
      </c>
      <c r="J8" s="13">
        <f ca="1">INDEX(Matching_Engine!$AP$6:$AP$95,$W8,1)</f>
        <v>93</v>
      </c>
      <c r="K8" s="142">
        <f>INDEX(Matching_Engine!$X$6:$X$95,$W8,1)</f>
        <v>100</v>
      </c>
      <c r="L8" s="142">
        <f>INDEX(Matching_Engine!$AJ$6:$AJ$95,$W8,1)</f>
        <v>84</v>
      </c>
      <c r="M8" s="142">
        <f>INDEX(Matching_Engine!$AO$6:$AO$95,$W8,1)</f>
        <v>78</v>
      </c>
      <c r="N8" s="142">
        <f>INDEX(Matching_Engine!$AU$6:$AU$95,$W8,1)</f>
        <v>78</v>
      </c>
      <c r="O8" s="143">
        <f>IF(KOL_Database!$AS$6="","—",KOL_Database!$AS$6)</f>
        <v>13.08</v>
      </c>
      <c r="P8" s="89" t="str">
        <f ca="1">INDEX(Matching_Engine!$AQ$6:$AQ$95,$W8,1)</f>
        <v>Excellent Match</v>
      </c>
      <c r="Q8" s="89" t="str">
        <f ca="1">INDEX(Matching_Engine!$AX$6:$AX$95,$W8,1)</f>
        <v>Highly Recommended</v>
      </c>
      <c r="R8" s="89" t="str">
        <f ca="1">INDEX(Matching_Engine!$AV$6:$AV$95,$W8,1)</f>
        <v>PASS</v>
      </c>
      <c r="S8" s="144">
        <f ca="1" t="shared" si="1"/>
        <v>93.092008478</v>
      </c>
      <c r="T8" s="89">
        <f ca="1">IF($R8="EXCLUDED","—",IF(Discovery_Ranking!$F$4="asc",COUNTIFS($U$7:$U$36,"&lt;"&amp;$U8,$R$7:$R$36,"PASS")+1,COUNTIFS($U$7:$U$36,"&gt;"&amp;$U8,$R$7:$R$36,"PASS")+1))</f>
        <v>1</v>
      </c>
      <c r="U8" s="143">
        <f ca="1">INDEX($X8:$BA8,1,Discovery_Ranking!$K$4)</f>
        <v>93</v>
      </c>
      <c r="V8" s="89" t="str">
        <f>KOL_Database!$A$6</f>
        <v>KOL-02</v>
      </c>
      <c r="W8" s="89">
        <f>MATCH(Brand_Profile!$B$4&amp;"|"&amp;KOL_Database!$A$6,Matching_Engine!$AZ$6:$AZ$95,0)</f>
        <v>2</v>
      </c>
      <c r="X8" s="145">
        <f ca="1">INDEX(Matching_Engine!$AP$6:$AP$95,$W8,1)</f>
        <v>93</v>
      </c>
      <c r="Y8" s="145">
        <f>IF(KOL_Database!$L$6="",0,KOL_Database!$L$6)</f>
        <v>87604</v>
      </c>
      <c r="Z8" s="145">
        <f>IF(KOL_Database!$M$6="",0,KOL_Database!$M$6)</f>
        <v>64637</v>
      </c>
      <c r="AA8" s="145">
        <f>ROUND(INDEX(Matching_Engine!$AD$6:$AD$95,$W8,1)*0.6+INDEX(Matching_Engine!$AE$6:$AE$95,$W8,1)*0.4,1)</f>
        <v>90</v>
      </c>
      <c r="AB8" s="145">
        <f>IF(KOL_Database!$T$6="",0,KOL_Database!$T$6)</f>
        <v>1.15</v>
      </c>
      <c r="AC8" s="145">
        <f>IF(KOL_Database!$U$6="",0,KOL_Database!$U$6)</f>
        <v>2.52</v>
      </c>
      <c r="AD8" s="145">
        <f>IF(KOL_Database!$P$6="",0,KOL_Database!$P$6)</f>
        <v>56</v>
      </c>
      <c r="AE8" s="145">
        <f>IF(KOL_Database!$BC$6="",0,KOL_Database!$BC$6)</f>
        <v>1.019</v>
      </c>
      <c r="AF8" s="145">
        <f>IF(KOL_Database!$V$6="",0,KOL_Database!$V$6)</f>
        <v>69</v>
      </c>
      <c r="AG8" s="145">
        <f>IF(KOL_Database!$N$6="",0,KOL_Database!$N$6)</f>
        <v>4.9</v>
      </c>
      <c r="AH8" s="145">
        <f>IF(KOL_Database!$O$6="",0,KOL_Database!$O$6)</f>
        <v>10.8</v>
      </c>
      <c r="AI8" s="145">
        <f>ROUND(MIN(100,IF(KOL_Database!$N$6="",0,KOL_Database!$N$6)*8+IF(KOL_Database!$O$6="",0,KOL_Database!$O$6)*2+IF(KOL_Database!$K$6="",0,KOL_Database!$K$6)*3),1)</f>
        <v>79.4</v>
      </c>
      <c r="AJ8" s="145">
        <f>IF(KOL_Database!$R$6="",0,KOL_Database!$R$6)</f>
        <v>75</v>
      </c>
      <c r="AK8" s="145">
        <f>IF(KOL_Database!$S$6="",0,KOL_Database!$S$6)</f>
        <v>89</v>
      </c>
      <c r="AL8" s="145">
        <f ca="1">INDEX(Matching_Engine!$S$6:$S$95,$W8,1)</f>
        <v>91</v>
      </c>
      <c r="AM8" s="145">
        <f>IF(KOL_Database!$Q$6="",0,KOL_Database!$Q$6)</f>
        <v>92</v>
      </c>
      <c r="AN8" s="145">
        <f>IF(KOL_Database!$AO$6="",999999999,KOL_Database!$AO$6)</f>
        <v>54.08</v>
      </c>
      <c r="AO8" s="145">
        <f>IF(KOL_Database!$AP$6="",999999999,KOL_Database!$AP$6)</f>
        <v>872</v>
      </c>
      <c r="AP8" s="145">
        <f>IF(KOL_Database!$AQ$6="",999999999,KOL_Database!$AQ$6)</f>
        <v>55093</v>
      </c>
      <c r="AQ8" s="145">
        <f>IF(KOL_Database!$BD$6="",0,KOL_Database!$BD$6)</f>
        <v>100</v>
      </c>
      <c r="AR8" s="145">
        <f>IF(KOL_Database!$AS$6="",0,KOL_Database!$AS$6)</f>
        <v>13.08</v>
      </c>
      <c r="AS8" s="145">
        <f>INDEX(Matching_Engine!$AT$6:$AT$95,$W8,1)</f>
        <v>98</v>
      </c>
      <c r="AT8" s="145">
        <f>INDEX(Matching_Engine!$AU$6:$AU$95,$W8,1)</f>
        <v>78</v>
      </c>
      <c r="AU8" s="145">
        <f>IF(KOL_Database!$AU$6="",0,KOL_Database!$AU$6)</f>
        <v>40</v>
      </c>
      <c r="AV8" s="145">
        <f>INDEX(Matching_Engine!$X$6:$X$95,$W8,1)</f>
        <v>100</v>
      </c>
      <c r="AW8" s="145">
        <f>IF(KOL_Database!$BA$6="",0,KOL_Database!$BA$6+0)</f>
        <v>46069.7083333333</v>
      </c>
      <c r="AX8" s="145">
        <f>IF(KOL_Database!$BB$6="",0,KOL_Database!$BB$6+0)</f>
        <v>46248.7083333333</v>
      </c>
      <c r="AY8" s="145">
        <f>ROUND(IF(KOL_Database!$V$6="",0,KOL_Database!$V$6)*0.6+MIN(100,IF(KOL_Database!$N$6="",0,KOL_Database!$N$6)*10)*0.4,1)</f>
        <v>61</v>
      </c>
      <c r="AZ8" s="145">
        <f>ROUND(MIN(100,IF(KOL_Database!$K$6="",0,KOL_Database!$K$6)/8*100)*0.35+IF(KOL_Database!$R$6="",0,KOL_Database!$R$6)*0.25+(100-IF(KOL_Database!$AU$6="",0,KOL_Database!$AU$6))*0.25+(100-MIN(100,IF(KOL_Database!$J$6="",0,KOL_Database!$J$6)/5000))*0.15,1)</f>
        <v>73.3</v>
      </c>
      <c r="BA8" s="145">
        <f ca="1">ROUND(INDEX(Matching_Engine!$AP$6:$AP$95,$W8,1)*IF(INDEX(Matching_Engine!$AS$6:$AS$95,$W8,1)="High",1,IF(INDEX(Matching_Engine!$AS$6:$AS$95,$W8,1)="Medium",0.92,0.8)),1)</f>
        <v>93</v>
      </c>
    </row>
    <row r="9" spans="1:53">
      <c r="A9" s="89">
        <f ca="1" t="shared" si="0"/>
        <v>12</v>
      </c>
      <c r="B9" s="89" t="str">
        <f>KOL_Database!$B$7</f>
        <v>Salsa Aulia</v>
      </c>
      <c r="C9" s="89" t="str">
        <f>KOL_Database!$C$7</f>
        <v>@salsabeautydiary</v>
      </c>
      <c r="D9" s="89" t="str">
        <f>KOL_Database!$D$7</f>
        <v>Instagram</v>
      </c>
      <c r="E9" s="89" t="str">
        <f>KOL_Database!$E$7</f>
        <v>Beauty</v>
      </c>
      <c r="F9" s="89" t="str">
        <f>KOL_Database!$G$7</f>
        <v>Macro</v>
      </c>
      <c r="G9" s="140">
        <f>KOL_Database!$J$7</f>
        <v>240000</v>
      </c>
      <c r="H9" s="141">
        <f>KOL_Database!$K$7</f>
        <v>4.4</v>
      </c>
      <c r="I9" s="142">
        <f ca="1">INDEX(Matching_Engine!$S$6:$S$95,$W9,1)</f>
        <v>58</v>
      </c>
      <c r="J9" s="13">
        <f ca="1">INDEX(Matching_Engine!$AP$6:$AP$95,$W9,1)</f>
        <v>48</v>
      </c>
      <c r="K9" s="142">
        <f>INDEX(Matching_Engine!$X$6:$X$95,$W9,1)</f>
        <v>26</v>
      </c>
      <c r="L9" s="142">
        <f>INDEX(Matching_Engine!$AJ$6:$AJ$95,$W9,1)</f>
        <v>71</v>
      </c>
      <c r="M9" s="142">
        <f>INDEX(Matching_Engine!$AO$6:$AO$95,$W9,1)</f>
        <v>79</v>
      </c>
      <c r="N9" s="142">
        <f>INDEX(Matching_Engine!$AU$6:$AU$95,$W9,1)</f>
        <v>59</v>
      </c>
      <c r="O9" s="143">
        <f>IF(KOL_Database!$AS$7="","—",KOL_Database!$AS$7)</f>
        <v>6.35</v>
      </c>
      <c r="P9" s="89" t="str">
        <f ca="1">INDEX(Matching_Engine!$AQ$6:$AQ$95,$W9,1)</f>
        <v>Low Match</v>
      </c>
      <c r="Q9" s="89" t="str">
        <f ca="1">INDEX(Matching_Engine!$AX$6:$AX$95,$W9,1)</f>
        <v>Low Priority</v>
      </c>
      <c r="R9" s="89" t="str">
        <f ca="1">INDEX(Matching_Engine!$AV$6:$AV$95,$W9,1)</f>
        <v>PASS</v>
      </c>
      <c r="S9" s="144">
        <f ca="1" t="shared" si="1"/>
        <v>48.058267179</v>
      </c>
      <c r="T9" s="89">
        <f ca="1">IF($R9="EXCLUDED","—",IF(Discovery_Ranking!$F$4="asc",COUNTIFS($U$7:$U$36,"&lt;"&amp;$U9,$R$7:$R$36,"PASS")+1,COUNTIFS($U$7:$U$36,"&gt;"&amp;$U9,$R$7:$R$36,"PASS")+1))</f>
        <v>12</v>
      </c>
      <c r="U9" s="143">
        <f ca="1">INDEX($X9:$BA9,1,Discovery_Ranking!$K$4)</f>
        <v>48</v>
      </c>
      <c r="V9" s="89" t="str">
        <f>KOL_Database!$A$7</f>
        <v>KOL-03</v>
      </c>
      <c r="W9" s="89">
        <f>MATCH(Brand_Profile!$B$4&amp;"|"&amp;KOL_Database!$A$7,Matching_Engine!$AZ$6:$AZ$95,0)</f>
        <v>3</v>
      </c>
      <c r="X9" s="145">
        <f ca="1">INDEX(Matching_Engine!$AP$6:$AP$95,$W9,1)</f>
        <v>48</v>
      </c>
      <c r="Y9" s="145">
        <f>IF(KOL_Database!$L$7="",0,KOL_Database!$L$7)</f>
        <v>71261</v>
      </c>
      <c r="Z9" s="145">
        <f>IF(KOL_Database!$M$7="",0,KOL_Database!$M$7)</f>
        <v>54519</v>
      </c>
      <c r="AA9" s="145">
        <f>ROUND(INDEX(Matching_Engine!$AD$6:$AD$95,$W9,1)*0.6+INDEX(Matching_Engine!$AE$6:$AE$95,$W9,1)*0.4,1)</f>
        <v>74.6</v>
      </c>
      <c r="AB9" s="145">
        <f>IF(KOL_Database!$T$7="",0,KOL_Database!$T$7)</f>
        <v>1.34</v>
      </c>
      <c r="AC9" s="145">
        <f>IF(KOL_Database!$U$7="",0,KOL_Database!$U$7)</f>
        <v>2.94</v>
      </c>
      <c r="AD9" s="145">
        <f>IF(KOL_Database!$P$7="",0,KOL_Database!$P$7)</f>
        <v>74</v>
      </c>
      <c r="AE9" s="145">
        <f>IF(KOL_Database!$BC$7="",0,KOL_Database!$BC$7)</f>
        <v>0.297</v>
      </c>
      <c r="AF9" s="145">
        <f>IF(KOL_Database!$V$7="",0,KOL_Database!$V$7)</f>
        <v>74</v>
      </c>
      <c r="AG9" s="145">
        <f>IF(KOL_Database!$N$7="",0,KOL_Database!$N$7)</f>
        <v>2.7</v>
      </c>
      <c r="AH9" s="145">
        <f>IF(KOL_Database!$O$7="",0,KOL_Database!$O$7)</f>
        <v>8.5</v>
      </c>
      <c r="AI9" s="145">
        <f>ROUND(MIN(100,IF(KOL_Database!$N$7="",0,KOL_Database!$N$7)*8+IF(KOL_Database!$O$7="",0,KOL_Database!$O$7)*2+IF(KOL_Database!$K$7="",0,KOL_Database!$K$7)*3),1)</f>
        <v>51.8</v>
      </c>
      <c r="AJ9" s="145">
        <f>IF(KOL_Database!$R$7="",0,KOL_Database!$R$7)</f>
        <v>77</v>
      </c>
      <c r="AK9" s="145">
        <f>IF(KOL_Database!$S$7="",0,KOL_Database!$S$7)</f>
        <v>84</v>
      </c>
      <c r="AL9" s="145">
        <f ca="1">INDEX(Matching_Engine!$S$6:$S$95,$W9,1)</f>
        <v>58</v>
      </c>
      <c r="AM9" s="145">
        <f>IF(KOL_Database!$Q$7="",0,KOL_Database!$Q$7)</f>
        <v>68</v>
      </c>
      <c r="AN9" s="145">
        <f>IF(KOL_Database!$AO$7="",999999999,KOL_Database!$AO$7)</f>
        <v>96.91</v>
      </c>
      <c r="AO9" s="145">
        <f>IF(KOL_Database!$AP$7="",999999999,KOL_Database!$AP$7)</f>
        <v>2203</v>
      </c>
      <c r="AP9" s="145">
        <f>IF(KOL_Database!$AQ$7="",999999999,KOL_Database!$AQ$7)</f>
        <v>28775</v>
      </c>
      <c r="AQ9" s="145">
        <f>IF(KOL_Database!$BD$7="",0,KOL_Database!$BD$7)</f>
        <v>67</v>
      </c>
      <c r="AR9" s="145">
        <f>IF(KOL_Database!$AS$7="",0,KOL_Database!$AS$7)</f>
        <v>6.35</v>
      </c>
      <c r="AS9" s="145">
        <f>INDEX(Matching_Engine!$AT$6:$AT$95,$W9,1)</f>
        <v>38</v>
      </c>
      <c r="AT9" s="145">
        <f>INDEX(Matching_Engine!$AU$6:$AU$95,$W9,1)</f>
        <v>59</v>
      </c>
      <c r="AU9" s="145">
        <f>IF(KOL_Database!$AU$7="",0,KOL_Database!$AU$7)</f>
        <v>45</v>
      </c>
      <c r="AV9" s="145">
        <f>INDEX(Matching_Engine!$X$6:$X$95,$W9,1)</f>
        <v>26</v>
      </c>
      <c r="AW9" s="145">
        <f>IF(KOL_Database!$BA$7="",0,KOL_Database!$BA$7+0)</f>
        <v>46088.7083333333</v>
      </c>
      <c r="AX9" s="145">
        <f>IF(KOL_Database!$BB$7="",0,KOL_Database!$BB$7+0)</f>
        <v>46238.7083333333</v>
      </c>
      <c r="AY9" s="145">
        <f>ROUND(IF(KOL_Database!$V$7="",0,KOL_Database!$V$7)*0.6+MIN(100,IF(KOL_Database!$N$7="",0,KOL_Database!$N$7)*10)*0.4,1)</f>
        <v>55.2</v>
      </c>
      <c r="AZ9" s="145">
        <f>ROUND(MIN(100,IF(KOL_Database!$K$7="",0,KOL_Database!$K$7)/8*100)*0.35+IF(KOL_Database!$R$7="",0,KOL_Database!$R$7)*0.25+(100-IF(KOL_Database!$AU$7="",0,KOL_Database!$AU$7))*0.25+(100-MIN(100,IF(KOL_Database!$J$7="",0,KOL_Database!$J$7)/5000))*0.15,1)</f>
        <v>60.1</v>
      </c>
      <c r="BA9" s="145">
        <f ca="1">ROUND(INDEX(Matching_Engine!$AP$6:$AP$95,$W9,1)*IF(INDEX(Matching_Engine!$AS$6:$AS$95,$W9,1)="High",1,IF(INDEX(Matching_Engine!$AS$6:$AS$95,$W9,1)="Medium",0.92,0.8)),1)</f>
        <v>48</v>
      </c>
    </row>
    <row r="10" spans="1:53">
      <c r="A10" s="89">
        <f ca="1" t="shared" si="0"/>
        <v>17</v>
      </c>
      <c r="B10" s="89" t="str">
        <f>KOL_Database!$B$8</f>
        <v>Nadia Puspa</v>
      </c>
      <c r="C10" s="89" t="str">
        <f>KOL_Database!$C$8</f>
        <v>@nadiaglowup</v>
      </c>
      <c r="D10" s="89" t="str">
        <f>KOL_Database!$D$8</f>
        <v>TikTok</v>
      </c>
      <c r="E10" s="89" t="str">
        <f>KOL_Database!$E$8</f>
        <v>Beauty</v>
      </c>
      <c r="F10" s="89" t="str">
        <f>KOL_Database!$G$8</f>
        <v>Macro</v>
      </c>
      <c r="G10" s="140">
        <f>KOL_Database!$J$8</f>
        <v>512000</v>
      </c>
      <c r="H10" s="141">
        <f>KOL_Database!$K$8</f>
        <v>7.1</v>
      </c>
      <c r="I10" s="142">
        <f ca="1">INDEX(Matching_Engine!$S$6:$S$95,$W10,1)</f>
        <v>49</v>
      </c>
      <c r="J10" s="13">
        <f ca="1">INDEX(Matching_Engine!$AP$6:$AP$95,$W10,1)</f>
        <v>46</v>
      </c>
      <c r="K10" s="142">
        <f>INDEX(Matching_Engine!$X$6:$X$95,$W10,1)</f>
        <v>26</v>
      </c>
      <c r="L10" s="142">
        <f>INDEX(Matching_Engine!$AJ$6:$AJ$95,$W10,1)</f>
        <v>91</v>
      </c>
      <c r="M10" s="142">
        <f>INDEX(Matching_Engine!$AO$6:$AO$95,$W10,1)</f>
        <v>64</v>
      </c>
      <c r="N10" s="142">
        <f>INDEX(Matching_Engine!$AU$6:$AU$95,$W10,1)</f>
        <v>70</v>
      </c>
      <c r="O10" s="143">
        <f>IF(KOL_Database!$AS$8="","—",KOL_Database!$AS$8)</f>
        <v>36.34</v>
      </c>
      <c r="P10" s="89" t="str">
        <f ca="1">INDEX(Matching_Engine!$AQ$6:$AQ$95,$W10,1)</f>
        <v>Low Match</v>
      </c>
      <c r="Q10" s="89" t="str">
        <f ca="1">INDEX(Matching_Engine!$AX$6:$AX$95,$W10,1)</f>
        <v>Low Priority</v>
      </c>
      <c r="R10" s="89" t="str">
        <f ca="1">INDEX(Matching_Engine!$AV$6:$AV$95,$W10,1)</f>
        <v>PASS</v>
      </c>
      <c r="S10" s="144">
        <f ca="1" t="shared" si="1"/>
        <v>46.049269164</v>
      </c>
      <c r="T10" s="89">
        <f ca="1">IF($R10="EXCLUDED","—",IF(Discovery_Ranking!$F$4="asc",COUNTIFS($U$7:$U$36,"&lt;"&amp;$U10,$R$7:$R$36,"PASS")+1,COUNTIFS($U$7:$U$36,"&gt;"&amp;$U10,$R$7:$R$36,"PASS")+1))</f>
        <v>17</v>
      </c>
      <c r="U10" s="143">
        <f ca="1">INDEX($X10:$BA10,1,Discovery_Ranking!$K$4)</f>
        <v>46</v>
      </c>
      <c r="V10" s="89" t="str">
        <f>KOL_Database!$A$8</f>
        <v>KOL-04</v>
      </c>
      <c r="W10" s="89">
        <f>MATCH(Brand_Profile!$B$4&amp;"|"&amp;KOL_Database!$A$8,Matching_Engine!$AZ$6:$AZ$95,0)</f>
        <v>4</v>
      </c>
      <c r="X10" s="145">
        <f ca="1">INDEX(Matching_Engine!$AP$6:$AP$95,$W10,1)</f>
        <v>46</v>
      </c>
      <c r="Y10" s="145">
        <f>IF(KOL_Database!$L$8="",0,KOL_Database!$L$8)</f>
        <v>663796</v>
      </c>
      <c r="Z10" s="145">
        <f>IF(KOL_Database!$M$8="",0,KOL_Database!$M$8)</f>
        <v>524778</v>
      </c>
      <c r="AA10" s="145">
        <f>ROUND(INDEX(Matching_Engine!$AD$6:$AD$95,$W10,1)*0.6+INDEX(Matching_Engine!$AE$6:$AE$95,$W10,1)*0.4,1)</f>
        <v>92.8</v>
      </c>
      <c r="AB10" s="145">
        <f>IF(KOL_Database!$T$8="",0,KOL_Database!$T$8)</f>
        <v>1.63</v>
      </c>
      <c r="AC10" s="145">
        <f>IF(KOL_Database!$U$8="",0,KOL_Database!$U$8)</f>
        <v>3.35</v>
      </c>
      <c r="AD10" s="145">
        <f>IF(KOL_Database!$P$8="",0,KOL_Database!$P$8)</f>
        <v>85</v>
      </c>
      <c r="AE10" s="145">
        <f>IF(KOL_Database!$BC$8="",0,KOL_Database!$BC$8)</f>
        <v>1.296</v>
      </c>
      <c r="AF10" s="145">
        <f>IF(KOL_Database!$V$8="",0,KOL_Database!$V$8)</f>
        <v>81</v>
      </c>
      <c r="AG10" s="145">
        <f>IF(KOL_Database!$N$8="",0,KOL_Database!$N$8)</f>
        <v>7</v>
      </c>
      <c r="AH10" s="145">
        <f>IF(KOL_Database!$O$8="",0,KOL_Database!$O$8)</f>
        <v>19.3</v>
      </c>
      <c r="AI10" s="145">
        <f>ROUND(MIN(100,IF(KOL_Database!$N$8="",0,KOL_Database!$N$8)*8+IF(KOL_Database!$O$8="",0,KOL_Database!$O$8)*2+IF(KOL_Database!$K$8="",0,KOL_Database!$K$8)*3),1)</f>
        <v>100</v>
      </c>
      <c r="AJ10" s="145">
        <f>IF(KOL_Database!$R$8="",0,KOL_Database!$R$8)</f>
        <v>82</v>
      </c>
      <c r="AK10" s="145">
        <f>IF(KOL_Database!$S$8="",0,KOL_Database!$S$8)</f>
        <v>85</v>
      </c>
      <c r="AL10" s="145">
        <f ca="1">INDEX(Matching_Engine!$S$6:$S$95,$W10,1)</f>
        <v>49</v>
      </c>
      <c r="AM10" s="145">
        <f>IF(KOL_Database!$Q$8="",0,KOL_Database!$Q$8)</f>
        <v>78</v>
      </c>
      <c r="AN10" s="145">
        <f>IF(KOL_Database!$AO$8="",999999999,KOL_Database!$AO$8)</f>
        <v>21.85</v>
      </c>
      <c r="AO10" s="145">
        <f>IF(KOL_Database!$AP$8="",999999999,KOL_Database!$AP$8)</f>
        <v>308</v>
      </c>
      <c r="AP10" s="145">
        <f>IF(KOL_Database!$AQ$8="",999999999,KOL_Database!$AQ$8)</f>
        <v>28328</v>
      </c>
      <c r="AQ10" s="145">
        <f>IF(KOL_Database!$BD$8="",0,KOL_Database!$BD$8)</f>
        <v>100</v>
      </c>
      <c r="AR10" s="145">
        <f>IF(KOL_Database!$AS$8="",0,KOL_Database!$AS$8)</f>
        <v>36.34</v>
      </c>
      <c r="AS10" s="145">
        <f>INDEX(Matching_Engine!$AT$6:$AT$95,$W10,1)</f>
        <v>40</v>
      </c>
      <c r="AT10" s="145">
        <f>INDEX(Matching_Engine!$AU$6:$AU$95,$W10,1)</f>
        <v>70</v>
      </c>
      <c r="AU10" s="145">
        <f>IF(KOL_Database!$AU$8="",0,KOL_Database!$AU$8)</f>
        <v>78</v>
      </c>
      <c r="AV10" s="145">
        <f>INDEX(Matching_Engine!$X$6:$X$95,$W10,1)</f>
        <v>26</v>
      </c>
      <c r="AW10" s="145">
        <f>IF(KOL_Database!$BA$8="",0,KOL_Database!$BA$8+0)</f>
        <v>46098.7083333333</v>
      </c>
      <c r="AX10" s="145">
        <f>IF(KOL_Database!$BB$8="",0,KOL_Database!$BB$8+0)</f>
        <v>46253.7083333333</v>
      </c>
      <c r="AY10" s="145">
        <f>ROUND(IF(KOL_Database!$V$8="",0,KOL_Database!$V$8)*0.6+MIN(100,IF(KOL_Database!$N$8="",0,KOL_Database!$N$8)*10)*0.4,1)</f>
        <v>76.6</v>
      </c>
      <c r="AZ10" s="145">
        <f>ROUND(MIN(100,IF(KOL_Database!$K$8="",0,KOL_Database!$K$8)/8*100)*0.35+IF(KOL_Database!$R$8="",0,KOL_Database!$R$8)*0.25+(100-IF(KOL_Database!$AU$8="",0,KOL_Database!$AU$8))*0.25+(100-MIN(100,IF(KOL_Database!$J$8="",0,KOL_Database!$J$8)/5000))*0.15,1)</f>
        <v>57.1</v>
      </c>
      <c r="BA10" s="145">
        <f ca="1">ROUND(INDEX(Matching_Engine!$AP$6:$AP$95,$W10,1)*IF(INDEX(Matching_Engine!$AS$6:$AS$95,$W10,1)="High",1,IF(INDEX(Matching_Engine!$AS$6:$AS$95,$W10,1)="Medium",0.92,0.8)),1)</f>
        <v>46</v>
      </c>
    </row>
    <row r="11" spans="1:53">
      <c r="A11" s="89">
        <f ca="1" t="shared" si="0"/>
        <v>20</v>
      </c>
      <c r="B11" s="89" t="str">
        <f>KOL_Database!$B$9</f>
        <v>Bimo Saputra</v>
      </c>
      <c r="C11" s="89" t="str">
        <f>KOL_Database!$C$9</f>
        <v>@bimomakan</v>
      </c>
      <c r="D11" s="89" t="str">
        <f>KOL_Database!$D$9</f>
        <v>TikTok</v>
      </c>
      <c r="E11" s="89" t="str">
        <f>KOL_Database!$E$9</f>
        <v>Food</v>
      </c>
      <c r="F11" s="89" t="str">
        <f>KOL_Database!$G$9</f>
        <v>Macro</v>
      </c>
      <c r="G11" s="140">
        <f>KOL_Database!$J$9</f>
        <v>375000</v>
      </c>
      <c r="H11" s="141">
        <f>KOL_Database!$K$9</f>
        <v>8.4</v>
      </c>
      <c r="I11" s="142">
        <f ca="1">INDEX(Matching_Engine!$S$6:$S$95,$W11,1)</f>
        <v>54</v>
      </c>
      <c r="J11" s="13">
        <f ca="1">INDEX(Matching_Engine!$AP$6:$AP$95,$W11,1)</f>
        <v>45</v>
      </c>
      <c r="K11" s="142">
        <f>INDEX(Matching_Engine!$X$6:$X$95,$W11,1)</f>
        <v>26</v>
      </c>
      <c r="L11" s="142">
        <f>INDEX(Matching_Engine!$AJ$6:$AJ$95,$W11,1)</f>
        <v>84</v>
      </c>
      <c r="M11" s="142">
        <f>INDEX(Matching_Engine!$AO$6:$AO$95,$W11,1)</f>
        <v>73</v>
      </c>
      <c r="N11" s="142">
        <f>INDEX(Matching_Engine!$AU$6:$AU$95,$W11,1)</f>
        <v>79</v>
      </c>
      <c r="O11" s="143">
        <f>IF(KOL_Database!$AS$9="","—",KOL_Database!$AS$9)</f>
        <v>30.26</v>
      </c>
      <c r="P11" s="89" t="str">
        <f ca="1">INDEX(Matching_Engine!$AQ$6:$AQ$95,$W11,1)</f>
        <v>Low Match</v>
      </c>
      <c r="Q11" s="89" t="str">
        <f ca="1">INDEX(Matching_Engine!$AX$6:$AX$95,$W11,1)</f>
        <v>Low Priority</v>
      </c>
      <c r="R11" s="89" t="str">
        <f ca="1">INDEX(Matching_Engine!$AV$6:$AV$95,$W11,1)</f>
        <v>PASS</v>
      </c>
      <c r="S11" s="144">
        <f ca="1" t="shared" si="1"/>
        <v>45.054268473</v>
      </c>
      <c r="T11" s="89">
        <f ca="1">IF($R11="EXCLUDED","—",IF(Discovery_Ranking!$F$4="asc",COUNTIFS($U$7:$U$36,"&lt;"&amp;$U11,$R$7:$R$36,"PASS")+1,COUNTIFS($U$7:$U$36,"&gt;"&amp;$U11,$R$7:$R$36,"PASS")+1))</f>
        <v>18</v>
      </c>
      <c r="U11" s="143">
        <f ca="1">INDEX($X11:$BA11,1,Discovery_Ranking!$K$4)</f>
        <v>45</v>
      </c>
      <c r="V11" s="89" t="str">
        <f>KOL_Database!$A$9</f>
        <v>KOL-05</v>
      </c>
      <c r="W11" s="89">
        <f>MATCH(Brand_Profile!$B$4&amp;"|"&amp;KOL_Database!$A$9,Matching_Engine!$AZ$6:$AZ$95,0)</f>
        <v>5</v>
      </c>
      <c r="X11" s="145">
        <f ca="1">INDEX(Matching_Engine!$AP$6:$AP$95,$W11,1)</f>
        <v>45</v>
      </c>
      <c r="Y11" s="145">
        <f>IF(KOL_Database!$L$9="",0,KOL_Database!$L$9)</f>
        <v>360494</v>
      </c>
      <c r="Z11" s="145">
        <f>IF(KOL_Database!$M$9="",0,KOL_Database!$M$9)</f>
        <v>255180</v>
      </c>
      <c r="AA11" s="145">
        <f>ROUND(INDEX(Matching_Engine!$AD$6:$AD$95,$W11,1)*0.6+INDEX(Matching_Engine!$AE$6:$AE$95,$W11,1)*0.4,1)</f>
        <v>88</v>
      </c>
      <c r="AB11" s="145">
        <f>IF(KOL_Database!$T$9="",0,KOL_Database!$T$9)</f>
        <v>1.1</v>
      </c>
      <c r="AC11" s="145">
        <f>IF(KOL_Database!$U$9="",0,KOL_Database!$U$9)</f>
        <v>2.04</v>
      </c>
      <c r="AD11" s="145">
        <f>IF(KOL_Database!$P$9="",0,KOL_Database!$P$9)</f>
        <v>75</v>
      </c>
      <c r="AE11" s="145">
        <f>IF(KOL_Database!$BC$9="",0,KOL_Database!$BC$9)</f>
        <v>0.961</v>
      </c>
      <c r="AF11" s="145">
        <f>IF(KOL_Database!$V$9="",0,KOL_Database!$V$9)</f>
        <v>61</v>
      </c>
      <c r="AG11" s="145">
        <f>IF(KOL_Database!$N$9="",0,KOL_Database!$N$9)</f>
        <v>3.6</v>
      </c>
      <c r="AH11" s="145">
        <f>IF(KOL_Database!$O$9="",0,KOL_Database!$O$9)</f>
        <v>9.5</v>
      </c>
      <c r="AI11" s="145">
        <f>ROUND(MIN(100,IF(KOL_Database!$N$9="",0,KOL_Database!$N$9)*8+IF(KOL_Database!$O$9="",0,KOL_Database!$O$9)*2+IF(KOL_Database!$K$9="",0,KOL_Database!$K$9)*3),1)</f>
        <v>73</v>
      </c>
      <c r="AJ11" s="145">
        <f>IF(KOL_Database!$R$9="",0,KOL_Database!$R$9)</f>
        <v>70</v>
      </c>
      <c r="AK11" s="145">
        <f>IF(KOL_Database!$S$9="",0,KOL_Database!$S$9)</f>
        <v>83</v>
      </c>
      <c r="AL11" s="145">
        <f ca="1">INDEX(Matching_Engine!$S$6:$S$95,$W11,1)</f>
        <v>54</v>
      </c>
      <c r="AM11" s="145">
        <f>IF(KOL_Database!$Q$9="",0,KOL_Database!$Q$9)</f>
        <v>67</v>
      </c>
      <c r="AN11" s="145">
        <f>IF(KOL_Database!$AO$9="",999999999,KOL_Database!$AO$9)</f>
        <v>31.85</v>
      </c>
      <c r="AO11" s="145">
        <f>IF(KOL_Database!$AP$9="",999999999,KOL_Database!$AP$9)</f>
        <v>379</v>
      </c>
      <c r="AP11" s="145">
        <f>IF(KOL_Database!$AQ$9="",999999999,KOL_Database!$AQ$9)</f>
        <v>30619</v>
      </c>
      <c r="AQ11" s="145">
        <f>IF(KOL_Database!$BD$9="",0,KOL_Database!$BD$9)</f>
        <v>100</v>
      </c>
      <c r="AR11" s="145">
        <f>IF(KOL_Database!$AS$9="",0,KOL_Database!$AS$9)</f>
        <v>30.26</v>
      </c>
      <c r="AS11" s="145">
        <f>INDEX(Matching_Engine!$AT$6:$AT$95,$W11,1)</f>
        <v>30</v>
      </c>
      <c r="AT11" s="145">
        <f>INDEX(Matching_Engine!$AU$6:$AU$95,$W11,1)</f>
        <v>79</v>
      </c>
      <c r="AU11" s="145">
        <f>IF(KOL_Database!$AU$9="",0,KOL_Database!$AU$9)</f>
        <v>30</v>
      </c>
      <c r="AV11" s="145">
        <f>INDEX(Matching_Engine!$X$6:$X$95,$W11,1)</f>
        <v>26</v>
      </c>
      <c r="AW11" s="145">
        <f>IF(KOL_Database!$BA$9="",0,KOL_Database!$BA$9+0)</f>
        <v>46157.7083333333</v>
      </c>
      <c r="AX11" s="145">
        <f>IF(KOL_Database!$BB$9="",0,KOL_Database!$BB$9+0)</f>
        <v>46260.7083333333</v>
      </c>
      <c r="AY11" s="145">
        <f>ROUND(IF(KOL_Database!$V$9="",0,KOL_Database!$V$9)*0.6+MIN(100,IF(KOL_Database!$N$9="",0,KOL_Database!$N$9)*10)*0.4,1)</f>
        <v>51</v>
      </c>
      <c r="AZ11" s="145">
        <f>ROUND(MIN(100,IF(KOL_Database!$K$9="",0,KOL_Database!$K$9)/8*100)*0.35+IF(KOL_Database!$R$9="",0,KOL_Database!$R$9)*0.25+(100-IF(KOL_Database!$AU$9="",0,KOL_Database!$AU$9))*0.25+(100-MIN(100,IF(KOL_Database!$J$9="",0,KOL_Database!$J$9)/5000))*0.15,1)</f>
        <v>73.8</v>
      </c>
      <c r="BA11" s="145">
        <f ca="1">ROUND(INDEX(Matching_Engine!$AP$6:$AP$95,$W11,1)*IF(INDEX(Matching_Engine!$AS$6:$AS$95,$W11,1)="High",1,IF(INDEX(Matching_Engine!$AS$6:$AS$95,$W11,1)="Medium",0.92,0.8)),1)</f>
        <v>45</v>
      </c>
    </row>
    <row r="12" spans="1:53">
      <c r="A12" s="89">
        <f ca="1" t="shared" si="0"/>
        <v>21</v>
      </c>
      <c r="B12" s="89" t="str">
        <f>KOL_Database!$B$10</f>
        <v>Ayu Lestari</v>
      </c>
      <c r="C12" s="89" t="str">
        <f>KOL_Database!$C$10</f>
        <v>@dapurayu</v>
      </c>
      <c r="D12" s="89" t="str">
        <f>KOL_Database!$D$10</f>
        <v>Instagram</v>
      </c>
      <c r="E12" s="89" t="str">
        <f>KOL_Database!$E$10</f>
        <v>Food</v>
      </c>
      <c r="F12" s="89" t="str">
        <f>KOL_Database!$G$10</f>
        <v>Mid-tier</v>
      </c>
      <c r="G12" s="140">
        <f>KOL_Database!$J$10</f>
        <v>64000</v>
      </c>
      <c r="H12" s="141">
        <f>KOL_Database!$K$10</f>
        <v>5.2</v>
      </c>
      <c r="I12" s="142">
        <f ca="1">INDEX(Matching_Engine!$S$6:$S$95,$W12,1)</f>
        <v>50</v>
      </c>
      <c r="J12" s="13">
        <f ca="1">INDEX(Matching_Engine!$AP$6:$AP$95,$W12,1)</f>
        <v>44</v>
      </c>
      <c r="K12" s="142">
        <f>INDEX(Matching_Engine!$X$6:$X$95,$W12,1)</f>
        <v>26</v>
      </c>
      <c r="L12" s="142">
        <f>INDEX(Matching_Engine!$AJ$6:$AJ$95,$W12,1)</f>
        <v>73</v>
      </c>
      <c r="M12" s="142">
        <f>INDEX(Matching_Engine!$AO$6:$AO$95,$W12,1)</f>
        <v>74</v>
      </c>
      <c r="N12" s="142">
        <f>INDEX(Matching_Engine!$AU$6:$AU$95,$W12,1)</f>
        <v>72</v>
      </c>
      <c r="O12" s="143">
        <f>IF(KOL_Database!$AS$10="","—",KOL_Database!$AS$10)</f>
        <v>5.28</v>
      </c>
      <c r="P12" s="89" t="str">
        <f ca="1">INDEX(Matching_Engine!$AQ$6:$AQ$95,$W12,1)</f>
        <v>Low Match</v>
      </c>
      <c r="Q12" s="89" t="str">
        <f ca="1">INDEX(Matching_Engine!$AX$6:$AX$95,$W12,1)</f>
        <v>Low Priority</v>
      </c>
      <c r="R12" s="89" t="str">
        <f ca="1">INDEX(Matching_Engine!$AV$6:$AV$95,$W12,1)</f>
        <v>PASS</v>
      </c>
      <c r="S12" s="144">
        <f ca="1" t="shared" si="1"/>
        <v>44.050267374</v>
      </c>
      <c r="T12" s="89">
        <f ca="1">IF($R12="EXCLUDED","—",IF(Discovery_Ranking!$F$4="asc",COUNTIFS($U$7:$U$36,"&lt;"&amp;$U12,$R$7:$R$36,"PASS")+1,COUNTIFS($U$7:$U$36,"&gt;"&amp;$U12,$R$7:$R$36,"PASS")+1))</f>
        <v>21</v>
      </c>
      <c r="U12" s="143">
        <f ca="1">INDEX($X12:$BA12,1,Discovery_Ranking!$K$4)</f>
        <v>44</v>
      </c>
      <c r="V12" s="89" t="str">
        <f>KOL_Database!$A$10</f>
        <v>KOL-06</v>
      </c>
      <c r="W12" s="89">
        <f>MATCH(Brand_Profile!$B$4&amp;"|"&amp;KOL_Database!$A$10,Matching_Engine!$AZ$6:$AZ$95,0)</f>
        <v>6</v>
      </c>
      <c r="X12" s="145">
        <f ca="1">INDEX(Matching_Engine!$AP$6:$AP$95,$W12,1)</f>
        <v>44</v>
      </c>
      <c r="Y12" s="145">
        <f>IF(KOL_Database!$L$10="",0,KOL_Database!$L$10)</f>
        <v>19195</v>
      </c>
      <c r="Z12" s="145">
        <f>IF(KOL_Database!$M$10="",0,KOL_Database!$M$10)</f>
        <v>14121</v>
      </c>
      <c r="AA12" s="145">
        <f>ROUND(INDEX(Matching_Engine!$AD$6:$AD$95,$W12,1)*0.6+INDEX(Matching_Engine!$AE$6:$AE$95,$W12,1)*0.4,1)</f>
        <v>81.4</v>
      </c>
      <c r="AB12" s="145">
        <f>IF(KOL_Database!$T$10="",0,KOL_Database!$T$10)</f>
        <v>0.96</v>
      </c>
      <c r="AC12" s="145">
        <f>IF(KOL_Database!$U$10="",0,KOL_Database!$U$10)</f>
        <v>1.97</v>
      </c>
      <c r="AD12" s="145">
        <f>IF(KOL_Database!$P$10="",0,KOL_Database!$P$10)</f>
        <v>63</v>
      </c>
      <c r="AE12" s="145">
        <f>IF(KOL_Database!$BC$10="",0,KOL_Database!$BC$10)</f>
        <v>0.3</v>
      </c>
      <c r="AF12" s="145">
        <f>IF(KOL_Database!$V$10="",0,KOL_Database!$V$10)</f>
        <v>61</v>
      </c>
      <c r="AG12" s="145">
        <f>IF(KOL_Database!$N$10="",0,KOL_Database!$N$10)</f>
        <v>6</v>
      </c>
      <c r="AH12" s="145">
        <f>IF(KOL_Database!$O$10="",0,KOL_Database!$O$10)</f>
        <v>18.5</v>
      </c>
      <c r="AI12" s="145">
        <f>ROUND(MIN(100,IF(KOL_Database!$N$10="",0,KOL_Database!$N$10)*8+IF(KOL_Database!$O$10="",0,KOL_Database!$O$10)*2+IF(KOL_Database!$K$10="",0,KOL_Database!$K$10)*3),1)</f>
        <v>100</v>
      </c>
      <c r="AJ12" s="145">
        <f>IF(KOL_Database!$R$10="",0,KOL_Database!$R$10)</f>
        <v>73</v>
      </c>
      <c r="AK12" s="145">
        <f>IF(KOL_Database!$S$10="",0,KOL_Database!$S$10)</f>
        <v>67</v>
      </c>
      <c r="AL12" s="145">
        <f ca="1">INDEX(Matching_Engine!$S$6:$S$95,$W12,1)</f>
        <v>50</v>
      </c>
      <c r="AM12" s="145">
        <f>IF(KOL_Database!$Q$10="",0,KOL_Database!$Q$10)</f>
        <v>58</v>
      </c>
      <c r="AN12" s="145">
        <f>IF(KOL_Database!$AO$10="",999999999,KOL_Database!$AO$10)</f>
        <v>137.43</v>
      </c>
      <c r="AO12" s="145">
        <f>IF(KOL_Database!$AP$10="",999999999,KOL_Database!$AP$10)</f>
        <v>2643</v>
      </c>
      <c r="AP12" s="145">
        <f>IF(KOL_Database!$AQ$10="",999999999,KOL_Database!$AQ$10)</f>
        <v>41219</v>
      </c>
      <c r="AQ12" s="145">
        <f>IF(KOL_Database!$BD$10="",0,KOL_Database!$BD$10)</f>
        <v>56</v>
      </c>
      <c r="AR12" s="145">
        <f>IF(KOL_Database!$AS$10="",0,KOL_Database!$AS$10)</f>
        <v>5.28</v>
      </c>
      <c r="AS12" s="145">
        <f>INDEX(Matching_Engine!$AT$6:$AT$95,$W12,1)</f>
        <v>34</v>
      </c>
      <c r="AT12" s="145">
        <f>INDEX(Matching_Engine!$AU$6:$AU$95,$W12,1)</f>
        <v>72</v>
      </c>
      <c r="AU12" s="145">
        <f>IF(KOL_Database!$AU$10="",0,KOL_Database!$AU$10)</f>
        <v>29</v>
      </c>
      <c r="AV12" s="145">
        <f>INDEX(Matching_Engine!$X$6:$X$95,$W12,1)</f>
        <v>26</v>
      </c>
      <c r="AW12" s="145">
        <f>IF(KOL_Database!$BA$10="",0,KOL_Database!$BA$10+0)</f>
        <v>46053.7083333333</v>
      </c>
      <c r="AX12" s="145">
        <f>IF(KOL_Database!$BB$10="",0,KOL_Database!$BB$10+0)</f>
        <v>46266.7083333333</v>
      </c>
      <c r="AY12" s="145">
        <f>ROUND(IF(KOL_Database!$V$10="",0,KOL_Database!$V$10)*0.6+MIN(100,IF(KOL_Database!$N$10="",0,KOL_Database!$N$10)*10)*0.4,1)</f>
        <v>60.6</v>
      </c>
      <c r="AZ12" s="145">
        <f>ROUND(MIN(100,IF(KOL_Database!$K$10="",0,KOL_Database!$K$10)/8*100)*0.35+IF(KOL_Database!$R$10="",0,KOL_Database!$R$10)*0.25+(100-IF(KOL_Database!$AU$10="",0,KOL_Database!$AU$10))*0.25+(100-MIN(100,IF(KOL_Database!$J$10="",0,KOL_Database!$J$10)/5000))*0.15,1)</f>
        <v>71.8</v>
      </c>
      <c r="BA12" s="145">
        <f ca="1">ROUND(INDEX(Matching_Engine!$AP$6:$AP$95,$W12,1)*IF(INDEX(Matching_Engine!$AS$6:$AS$95,$W12,1)="High",1,IF(INDEX(Matching_Engine!$AS$6:$AS$95,$W12,1)="Medium",0.92,0.8)),1)</f>
        <v>40.5</v>
      </c>
    </row>
    <row r="13" spans="1:53">
      <c r="A13" s="89">
        <f ca="1" t="shared" si="0"/>
        <v>2</v>
      </c>
      <c r="B13" s="89" t="str">
        <f>KOL_Database!$B$11</f>
        <v>Fajar Ramadhan</v>
      </c>
      <c r="C13" s="89" t="str">
        <f>KOL_Database!$C$11</f>
        <v>@fajarfinance</v>
      </c>
      <c r="D13" s="89" t="str">
        <f>KOL_Database!$D$11</f>
        <v>Instagram</v>
      </c>
      <c r="E13" s="89" t="str">
        <f>KOL_Database!$E$11</f>
        <v>Finance</v>
      </c>
      <c r="F13" s="89" t="str">
        <f>KOL_Database!$G$11</f>
        <v>Macro</v>
      </c>
      <c r="G13" s="140">
        <f>KOL_Database!$J$11</f>
        <v>152000</v>
      </c>
      <c r="H13" s="141">
        <f>KOL_Database!$K$11</f>
        <v>3.2</v>
      </c>
      <c r="I13" s="142">
        <f ca="1">INDEX(Matching_Engine!$S$6:$S$95,$W13,1)</f>
        <v>100</v>
      </c>
      <c r="J13" s="13">
        <f ca="1">INDEX(Matching_Engine!$AP$6:$AP$95,$W13,1)</f>
        <v>87</v>
      </c>
      <c r="K13" s="142">
        <f>INDEX(Matching_Engine!$X$6:$X$95,$W13,1)</f>
        <v>84</v>
      </c>
      <c r="L13" s="142">
        <f>INDEX(Matching_Engine!$AJ$6:$AJ$95,$W13,1)</f>
        <v>70</v>
      </c>
      <c r="M13" s="142">
        <f>INDEX(Matching_Engine!$AO$6:$AO$95,$W13,1)</f>
        <v>82</v>
      </c>
      <c r="N13" s="142">
        <f>INDEX(Matching_Engine!$AU$6:$AU$95,$W13,1)</f>
        <v>47</v>
      </c>
      <c r="O13" s="143">
        <f>IF(KOL_Database!$AS$11="","—",KOL_Database!$AS$11)</f>
        <v>4.53</v>
      </c>
      <c r="P13" s="89" t="str">
        <f ca="1">INDEX(Matching_Engine!$AQ$6:$AQ$95,$W13,1)</f>
        <v>Strong Match</v>
      </c>
      <c r="Q13" s="89" t="str">
        <f ca="1">INDEX(Matching_Engine!$AX$6:$AX$95,$W13,1)</f>
        <v>Highly Recommended</v>
      </c>
      <c r="R13" s="89" t="str">
        <f ca="1">INDEX(Matching_Engine!$AV$6:$AV$95,$W13,1)</f>
        <v>PASS</v>
      </c>
      <c r="S13" s="144">
        <f ca="1" t="shared" si="1"/>
        <v>87.100847082</v>
      </c>
      <c r="T13" s="89">
        <f ca="1">IF($R13="EXCLUDED","—",IF(Discovery_Ranking!$F$4="asc",COUNTIFS($U$7:$U$36,"&lt;"&amp;$U13,$R$7:$R$36,"PASS")+1,COUNTIFS($U$7:$U$36,"&gt;"&amp;$U13,$R$7:$R$36,"PASS")+1))</f>
        <v>2</v>
      </c>
      <c r="U13" s="143">
        <f ca="1">INDEX($X13:$BA13,1,Discovery_Ranking!$K$4)</f>
        <v>87</v>
      </c>
      <c r="V13" s="89" t="str">
        <f>KOL_Database!$A$11</f>
        <v>KOL-07</v>
      </c>
      <c r="W13" s="89">
        <f>MATCH(Brand_Profile!$B$4&amp;"|"&amp;KOL_Database!$A$11,Matching_Engine!$AZ$6:$AZ$95,0)</f>
        <v>7</v>
      </c>
      <c r="X13" s="145">
        <f ca="1">INDEX(Matching_Engine!$AP$6:$AP$95,$W13,1)</f>
        <v>87</v>
      </c>
      <c r="Y13" s="145">
        <f>IF(KOL_Database!$L$11="",0,KOL_Database!$L$11)</f>
        <v>53466</v>
      </c>
      <c r="Z13" s="145">
        <f>IF(KOL_Database!$M$11="",0,KOL_Database!$M$11)</f>
        <v>43843</v>
      </c>
      <c r="AA13" s="145">
        <f>ROUND(INDEX(Matching_Engine!$AD$6:$AD$95,$W13,1)*0.6+INDEX(Matching_Engine!$AE$6:$AE$95,$W13,1)*0.4,1)</f>
        <v>66.2</v>
      </c>
      <c r="AB13" s="145">
        <f>IF(KOL_Database!$T$11="",0,KOL_Database!$T$11)</f>
        <v>2.08</v>
      </c>
      <c r="AC13" s="145">
        <f>IF(KOL_Database!$U$11="",0,KOL_Database!$U$11)</f>
        <v>3.82</v>
      </c>
      <c r="AD13" s="145">
        <f>IF(KOL_Database!$P$11="",0,KOL_Database!$P$11)</f>
        <v>83</v>
      </c>
      <c r="AE13" s="145">
        <f>IF(KOL_Database!$BC$11="",0,KOL_Database!$BC$11)</f>
        <v>0.352</v>
      </c>
      <c r="AF13" s="145">
        <f>IF(KOL_Database!$V$11="",0,KOL_Database!$V$11)</f>
        <v>88</v>
      </c>
      <c r="AG13" s="145">
        <f>IF(KOL_Database!$N$11="",0,KOL_Database!$N$11)</f>
        <v>3.2</v>
      </c>
      <c r="AH13" s="145">
        <f>IF(KOL_Database!$O$11="",0,KOL_Database!$O$11)</f>
        <v>8.1</v>
      </c>
      <c r="AI13" s="145">
        <f>ROUND(MIN(100,IF(KOL_Database!$N$11="",0,KOL_Database!$N$11)*8+IF(KOL_Database!$O$11="",0,KOL_Database!$O$11)*2+IF(KOL_Database!$K$11="",0,KOL_Database!$K$11)*3),1)</f>
        <v>51.4</v>
      </c>
      <c r="AJ13" s="145">
        <f>IF(KOL_Database!$R$11="",0,KOL_Database!$R$11)</f>
        <v>86</v>
      </c>
      <c r="AK13" s="145">
        <f>IF(KOL_Database!$S$11="",0,KOL_Database!$S$11)</f>
        <v>73</v>
      </c>
      <c r="AL13" s="145">
        <f ca="1">INDEX(Matching_Engine!$S$6:$S$95,$W13,1)</f>
        <v>100</v>
      </c>
      <c r="AM13" s="145">
        <f>IF(KOL_Database!$Q$11="",0,KOL_Database!$Q$11)</f>
        <v>85</v>
      </c>
      <c r="AN13" s="145">
        <f>IF(KOL_Database!$AO$11="",999999999,KOL_Database!$AO$11)</f>
        <v>94.73</v>
      </c>
      <c r="AO13" s="145">
        <f>IF(KOL_Database!$AP$11="",999999999,KOL_Database!$AP$11)</f>
        <v>2960</v>
      </c>
      <c r="AP13" s="145">
        <f>IF(KOL_Database!$AQ$11="",999999999,KOL_Database!$AQ$11)</f>
        <v>33322</v>
      </c>
      <c r="AQ13" s="145">
        <f>IF(KOL_Database!$BD$11="",0,KOL_Database!$BD$11)</f>
        <v>50</v>
      </c>
      <c r="AR13" s="145">
        <f>IF(KOL_Database!$AS$11="",0,KOL_Database!$AS$11)</f>
        <v>4.53</v>
      </c>
      <c r="AS13" s="145">
        <f>INDEX(Matching_Engine!$AT$6:$AT$95,$W13,1)</f>
        <v>83</v>
      </c>
      <c r="AT13" s="145">
        <f>INDEX(Matching_Engine!$AU$6:$AU$95,$W13,1)</f>
        <v>47</v>
      </c>
      <c r="AU13" s="145">
        <f>IF(KOL_Database!$AU$11="",0,KOL_Database!$AU$11)</f>
        <v>60</v>
      </c>
      <c r="AV13" s="145">
        <f>INDEX(Matching_Engine!$X$6:$X$95,$W13,1)</f>
        <v>84</v>
      </c>
      <c r="AW13" s="145">
        <f>IF(KOL_Database!$BA$11="",0,KOL_Database!$BA$11+0)</f>
        <v>46225.7083333333</v>
      </c>
      <c r="AX13" s="145">
        <f>IF(KOL_Database!$BB$11="",0,KOL_Database!$BB$11+0)</f>
        <v>46236.7083333333</v>
      </c>
      <c r="AY13" s="145">
        <f>ROUND(IF(KOL_Database!$V$11="",0,KOL_Database!$V$11)*0.6+MIN(100,IF(KOL_Database!$N$11="",0,KOL_Database!$N$11)*10)*0.4,1)</f>
        <v>65.6</v>
      </c>
      <c r="AZ13" s="145">
        <f>ROUND(MIN(100,IF(KOL_Database!$K$11="",0,KOL_Database!$K$11)/8*100)*0.35+IF(KOL_Database!$R$11="",0,KOL_Database!$R$11)*0.25+(100-IF(KOL_Database!$AU$11="",0,KOL_Database!$AU$11))*0.25+(100-MIN(100,IF(KOL_Database!$J$11="",0,KOL_Database!$J$11)/5000))*0.15,1)</f>
        <v>55.9</v>
      </c>
      <c r="BA13" s="145">
        <f ca="1">ROUND(INDEX(Matching_Engine!$AP$6:$AP$95,$W13,1)*IF(INDEX(Matching_Engine!$AS$6:$AS$95,$W13,1)="High",1,IF(INDEX(Matching_Engine!$AS$6:$AS$95,$W13,1)="Medium",0.92,0.8)),1)</f>
        <v>87</v>
      </c>
    </row>
    <row r="14" spans="1:53">
      <c r="A14" s="89" t="str">
        <f ca="1" t="shared" si="0"/>
        <v>—</v>
      </c>
      <c r="B14" s="89" t="str">
        <f>KOL_Database!$B$12</f>
        <v>Tania Wijaya</v>
      </c>
      <c r="C14" s="89" t="str">
        <f>KOL_Database!$C$12</f>
        <v>@taniainvest</v>
      </c>
      <c r="D14" s="89" t="str">
        <f>KOL_Database!$D$12</f>
        <v>TikTok</v>
      </c>
      <c r="E14" s="89" t="str">
        <f>KOL_Database!$E$12</f>
        <v>Finance</v>
      </c>
      <c r="F14" s="89" t="str">
        <f>KOL_Database!$G$12</f>
        <v>Mid-tier</v>
      </c>
      <c r="G14" s="140">
        <f>KOL_Database!$J$12</f>
        <v>98000</v>
      </c>
      <c r="H14" s="141">
        <f>KOL_Database!$K$12</f>
        <v>5.6</v>
      </c>
      <c r="I14" s="142">
        <f ca="1">INDEX(Matching_Engine!$S$6:$S$95,$W14,1)</f>
        <v>92</v>
      </c>
      <c r="J14" s="13">
        <f ca="1">INDEX(Matching_Engine!$AP$6:$AP$95,$W14,1)</f>
        <v>82</v>
      </c>
      <c r="K14" s="142">
        <f>INDEX(Matching_Engine!$X$6:$X$95,$W14,1)</f>
        <v>78</v>
      </c>
      <c r="L14" s="142">
        <f>INDEX(Matching_Engine!$AJ$6:$AJ$95,$W14,1)</f>
        <v>80</v>
      </c>
      <c r="M14" s="142">
        <f>INDEX(Matching_Engine!$AO$6:$AO$95,$W14,1)</f>
        <v>71</v>
      </c>
      <c r="N14" s="142">
        <f>INDEX(Matching_Engine!$AU$6:$AU$95,$W14,1)</f>
        <v>84</v>
      </c>
      <c r="O14" s="143">
        <f>IF(KOL_Database!$AS$12="","—",KOL_Database!$AS$12)</f>
        <v>12.74</v>
      </c>
      <c r="P14" s="89" t="str">
        <f ca="1">INDEX(Matching_Engine!$AQ$6:$AQ$95,$W14,1)</f>
        <v>Strong Match</v>
      </c>
      <c r="Q14" s="89" t="str">
        <f ca="1">INDEX(Matching_Engine!$AX$6:$AX$95,$W14,1)</f>
        <v>Excluded</v>
      </c>
      <c r="R14" s="89" t="str">
        <f ca="1">INDEX(Matching_Engine!$AV$6:$AV$95,$W14,1)</f>
        <v>EXCLUDED</v>
      </c>
      <c r="S14" s="144">
        <f ca="1" t="shared" si="1"/>
        <v>-1</v>
      </c>
      <c r="T14" s="89" t="str">
        <f ca="1">IF($R14="EXCLUDED","—",IF(Discovery_Ranking!$F$4="asc",COUNTIFS($U$7:$U$36,"&lt;"&amp;$U14,$R$7:$R$36,"PASS")+1,COUNTIFS($U$7:$U$36,"&gt;"&amp;$U14,$R$7:$R$36,"PASS")+1))</f>
        <v>—</v>
      </c>
      <c r="U14" s="143">
        <f ca="1">INDEX($X14:$BA14,1,Discovery_Ranking!$K$4)</f>
        <v>82</v>
      </c>
      <c r="V14" s="89" t="str">
        <f>KOL_Database!$A$12</f>
        <v>KOL-08</v>
      </c>
      <c r="W14" s="89">
        <f>MATCH(Brand_Profile!$B$4&amp;"|"&amp;KOL_Database!$A$12,Matching_Engine!$AZ$6:$AZ$95,0)</f>
        <v>8</v>
      </c>
      <c r="X14" s="145">
        <f ca="1">INDEX(Matching_Engine!$AP$6:$AP$95,$W14,1)</f>
        <v>82</v>
      </c>
      <c r="Y14" s="145">
        <f>IF(KOL_Database!$L$12="",0,KOL_Database!$L$12)</f>
        <v>66537</v>
      </c>
      <c r="Z14" s="145">
        <f>IF(KOL_Database!$M$12="",0,KOL_Database!$M$12)</f>
        <v>43248</v>
      </c>
      <c r="AA14" s="145">
        <f>ROUND(INDEX(Matching_Engine!$AD$6:$AD$95,$W14,1)*0.6+INDEX(Matching_Engine!$AE$6:$AE$95,$W14,1)*0.4,1)</f>
        <v>81.4</v>
      </c>
      <c r="AB14" s="145">
        <f>IF(KOL_Database!$T$12="",0,KOL_Database!$T$12)</f>
        <v>0.4</v>
      </c>
      <c r="AC14" s="145">
        <f>IF(KOL_Database!$U$12="",0,KOL_Database!$U$12)</f>
        <v>0.87</v>
      </c>
      <c r="AD14" s="145">
        <f>IF(KOL_Database!$P$12="",0,KOL_Database!$P$12)</f>
        <v>77</v>
      </c>
      <c r="AE14" s="145">
        <f>IF(KOL_Database!$BC$12="",0,KOL_Database!$BC$12)</f>
        <v>0.679</v>
      </c>
      <c r="AF14" s="145">
        <f>IF(KOL_Database!$V$12="",0,KOL_Database!$V$12)</f>
        <v>50</v>
      </c>
      <c r="AG14" s="145">
        <f>IF(KOL_Database!$N$12="",0,KOL_Database!$N$12)</f>
        <v>3.8</v>
      </c>
      <c r="AH14" s="145">
        <f>IF(KOL_Database!$O$12="",0,KOL_Database!$O$12)</f>
        <v>12.9</v>
      </c>
      <c r="AI14" s="145">
        <f>ROUND(MIN(100,IF(KOL_Database!$N$12="",0,KOL_Database!$N$12)*8+IF(KOL_Database!$O$12="",0,KOL_Database!$O$12)*2+IF(KOL_Database!$K$12="",0,KOL_Database!$K$12)*3),1)</f>
        <v>73</v>
      </c>
      <c r="AJ14" s="145">
        <f>IF(KOL_Database!$R$12="",0,KOL_Database!$R$12)</f>
        <v>64</v>
      </c>
      <c r="AK14" s="145">
        <f>IF(KOL_Database!$S$12="",0,KOL_Database!$S$12)</f>
        <v>94</v>
      </c>
      <c r="AL14" s="145">
        <f ca="1">INDEX(Matching_Engine!$S$6:$S$95,$W14,1)</f>
        <v>92</v>
      </c>
      <c r="AM14" s="145">
        <f>IF(KOL_Database!$Q$12="",0,KOL_Database!$Q$12)</f>
        <v>67</v>
      </c>
      <c r="AN14" s="145">
        <f>IF(KOL_Database!$AO$12="",999999999,KOL_Database!$AO$12)</f>
        <v>52.48</v>
      </c>
      <c r="AO14" s="145">
        <f>IF(KOL_Database!$AP$12="",999999999,KOL_Database!$AP$12)</f>
        <v>937</v>
      </c>
      <c r="AP14" s="145">
        <f>IF(KOL_Database!$AQ$12="",999999999,KOL_Database!$AQ$12)</f>
        <v>35633</v>
      </c>
      <c r="AQ14" s="145">
        <f>IF(KOL_Database!$BD$12="",0,KOL_Database!$BD$12)</f>
        <v>100</v>
      </c>
      <c r="AR14" s="145">
        <f>IF(KOL_Database!$AS$12="",0,KOL_Database!$AS$12)</f>
        <v>12.74</v>
      </c>
      <c r="AS14" s="145">
        <f>INDEX(Matching_Engine!$AT$6:$AT$95,$W14,1)</f>
        <v>82</v>
      </c>
      <c r="AT14" s="145">
        <f>INDEX(Matching_Engine!$AU$6:$AU$95,$W14,1)</f>
        <v>84</v>
      </c>
      <c r="AU14" s="145">
        <f>IF(KOL_Database!$AU$12="",0,KOL_Database!$AU$12)</f>
        <v>14</v>
      </c>
      <c r="AV14" s="145">
        <f>INDEX(Matching_Engine!$X$6:$X$95,$W14,1)</f>
        <v>78</v>
      </c>
      <c r="AW14" s="145">
        <f>IF(KOL_Database!$BA$12="",0,KOL_Database!$BA$12+0)</f>
        <v>46121.7083333333</v>
      </c>
      <c r="AX14" s="145">
        <f>IF(KOL_Database!$BB$12="",0,KOL_Database!$BB$12+0)</f>
        <v>46265.7083333333</v>
      </c>
      <c r="AY14" s="145">
        <f>ROUND(IF(KOL_Database!$V$12="",0,KOL_Database!$V$12)*0.6+MIN(100,IF(KOL_Database!$N$12="",0,KOL_Database!$N$12)*10)*0.4,1)</f>
        <v>45.2</v>
      </c>
      <c r="AZ14" s="145">
        <f>ROUND(MIN(100,IF(KOL_Database!$K$12="",0,KOL_Database!$K$12)/8*100)*0.35+IF(KOL_Database!$R$12="",0,KOL_Database!$R$12)*0.25+(100-IF(KOL_Database!$AU$12="",0,KOL_Database!$AU$12))*0.25+(100-MIN(100,IF(KOL_Database!$J$12="",0,KOL_Database!$J$12)/5000))*0.15,1)</f>
        <v>74.1</v>
      </c>
      <c r="BA14" s="145">
        <f ca="1">ROUND(INDEX(Matching_Engine!$AP$6:$AP$95,$W14,1)*IF(INDEX(Matching_Engine!$AS$6:$AS$95,$W14,1)="High",1,IF(INDEX(Matching_Engine!$AS$6:$AS$95,$W14,1)="Medium",0.92,0.8)),1)</f>
        <v>82</v>
      </c>
    </row>
    <row r="15" spans="1:53">
      <c r="A15" s="89">
        <f ca="1" t="shared" si="0"/>
        <v>4</v>
      </c>
      <c r="B15" s="89" t="str">
        <f>KOL_Database!$B$13</f>
        <v>Gilang Prakoso</v>
      </c>
      <c r="C15" s="89" t="str">
        <f>KOL_Database!$C$13</f>
        <v>@gilangbelajar</v>
      </c>
      <c r="D15" s="89" t="str">
        <f>KOL_Database!$D$13</f>
        <v>TikTok</v>
      </c>
      <c r="E15" s="89" t="str">
        <f>KOL_Database!$E$13</f>
        <v>Education</v>
      </c>
      <c r="F15" s="89" t="str">
        <f>KOL_Database!$G$13</f>
        <v>Macro</v>
      </c>
      <c r="G15" s="140">
        <f>KOL_Database!$J$13</f>
        <v>210000</v>
      </c>
      <c r="H15" s="141">
        <f>KOL_Database!$K$13</f>
        <v>6.8</v>
      </c>
      <c r="I15" s="142">
        <f ca="1">INDEX(Matching_Engine!$S$6:$S$95,$W15,1)</f>
        <v>83</v>
      </c>
      <c r="J15" s="13">
        <f ca="1">INDEX(Matching_Engine!$AP$6:$AP$95,$W15,1)</f>
        <v>81</v>
      </c>
      <c r="K15" s="142">
        <f>INDEX(Matching_Engine!$X$6:$X$95,$W15,1)</f>
        <v>78</v>
      </c>
      <c r="L15" s="142">
        <f>INDEX(Matching_Engine!$AJ$6:$AJ$95,$W15,1)</f>
        <v>92</v>
      </c>
      <c r="M15" s="142">
        <f>INDEX(Matching_Engine!$AO$6:$AO$95,$W15,1)</f>
        <v>81</v>
      </c>
      <c r="N15" s="142">
        <f>INDEX(Matching_Engine!$AU$6:$AU$95,$W15,1)</f>
        <v>77</v>
      </c>
      <c r="O15" s="143">
        <f>IF(KOL_Database!$AS$13="","—",KOL_Database!$AS$13)</f>
        <v>50.3</v>
      </c>
      <c r="P15" s="89" t="str">
        <f ca="1">INDEX(Matching_Engine!$AQ$6:$AQ$95,$W15,1)</f>
        <v>Strong Match</v>
      </c>
      <c r="Q15" s="89" t="str">
        <f ca="1">INDEX(Matching_Engine!$AX$6:$AX$95,$W15,1)</f>
        <v>Recommended</v>
      </c>
      <c r="R15" s="89" t="str">
        <f ca="1">INDEX(Matching_Engine!$AV$6:$AV$95,$W15,1)</f>
        <v>PASS</v>
      </c>
      <c r="S15" s="144">
        <f ca="1" t="shared" si="1"/>
        <v>81.083789281</v>
      </c>
      <c r="T15" s="89">
        <f ca="1">IF($R15="EXCLUDED","—",IF(Discovery_Ranking!$F$4="asc",COUNTIFS($U$7:$U$36,"&lt;"&amp;$U15,$R$7:$R$36,"PASS")+1,COUNTIFS($U$7:$U$36,"&gt;"&amp;$U15,$R$7:$R$36,"PASS")+1))</f>
        <v>4</v>
      </c>
      <c r="U15" s="143">
        <f ca="1">INDEX($X15:$BA15,1,Discovery_Ranking!$K$4)</f>
        <v>81</v>
      </c>
      <c r="V15" s="89" t="str">
        <f>KOL_Database!$A$13</f>
        <v>KOL-09</v>
      </c>
      <c r="W15" s="89">
        <f>MATCH(Brand_Profile!$B$4&amp;"|"&amp;KOL_Database!$A$13,Matching_Engine!$AZ$6:$AZ$95,0)</f>
        <v>9</v>
      </c>
      <c r="X15" s="145">
        <f ca="1">INDEX(Matching_Engine!$AP$6:$AP$95,$W15,1)</f>
        <v>81</v>
      </c>
      <c r="Y15" s="145">
        <f>IF(KOL_Database!$L$13="",0,KOL_Database!$L$13)</f>
        <v>310647</v>
      </c>
      <c r="Z15" s="145">
        <f>IF(KOL_Database!$M$13="",0,KOL_Database!$M$13)</f>
        <v>254639</v>
      </c>
      <c r="AA15" s="145">
        <f>ROUND(INDEX(Matching_Engine!$AD$6:$AD$95,$W15,1)*0.6+INDEX(Matching_Engine!$AE$6:$AE$95,$W15,1)*0.4,1)</f>
        <v>94.4</v>
      </c>
      <c r="AB15" s="145">
        <f>IF(KOL_Database!$T$13="",0,KOL_Database!$T$13)</f>
        <v>2.11</v>
      </c>
      <c r="AC15" s="145">
        <f>IF(KOL_Database!$U$13="",0,KOL_Database!$U$13)</f>
        <v>3.81</v>
      </c>
      <c r="AD15" s="145">
        <f>IF(KOL_Database!$P$13="",0,KOL_Database!$P$13)</f>
        <v>85</v>
      </c>
      <c r="AE15" s="145">
        <f>IF(KOL_Database!$BC$13="",0,KOL_Database!$BC$13)</f>
        <v>1.479</v>
      </c>
      <c r="AF15" s="145">
        <f>IF(KOL_Database!$V$13="",0,KOL_Database!$V$13)</f>
        <v>86</v>
      </c>
      <c r="AG15" s="145">
        <f>IF(KOL_Database!$N$13="",0,KOL_Database!$N$13)</f>
        <v>7.3</v>
      </c>
      <c r="AH15" s="145">
        <f>IF(KOL_Database!$O$13="",0,KOL_Database!$O$13)</f>
        <v>24.7</v>
      </c>
      <c r="AI15" s="145">
        <f>ROUND(MIN(100,IF(KOL_Database!$N$13="",0,KOL_Database!$N$13)*8+IF(KOL_Database!$O$13="",0,KOL_Database!$O$13)*2+IF(KOL_Database!$K$13="",0,KOL_Database!$K$13)*3),1)</f>
        <v>100</v>
      </c>
      <c r="AJ15" s="145">
        <f>IF(KOL_Database!$R$13="",0,KOL_Database!$R$13)</f>
        <v>86</v>
      </c>
      <c r="AK15" s="145">
        <f>IF(KOL_Database!$S$13="",0,KOL_Database!$S$13)</f>
        <v>91</v>
      </c>
      <c r="AL15" s="145">
        <f ca="1">INDEX(Matching_Engine!$S$6:$S$95,$W15,1)</f>
        <v>83</v>
      </c>
      <c r="AM15" s="145">
        <f>IF(KOL_Database!$Q$13="",0,KOL_Database!$Q$13)</f>
        <v>83</v>
      </c>
      <c r="AN15" s="145">
        <f>IF(KOL_Database!$AO$13="",999999999,KOL_Database!$AO$13)</f>
        <v>14.98</v>
      </c>
      <c r="AO15" s="145">
        <f>IF(KOL_Database!$AP$13="",999999999,KOL_Database!$AP$13)</f>
        <v>220</v>
      </c>
      <c r="AP15" s="145">
        <f>IF(KOL_Database!$AQ$13="",999999999,KOL_Database!$AQ$13)</f>
        <v>22157</v>
      </c>
      <c r="AQ15" s="145">
        <f>IF(KOL_Database!$BD$13="",0,KOL_Database!$BD$13)</f>
        <v>100</v>
      </c>
      <c r="AR15" s="145">
        <f>IF(KOL_Database!$AS$13="",0,KOL_Database!$AS$13)</f>
        <v>50.3</v>
      </c>
      <c r="AS15" s="145">
        <f>INDEX(Matching_Engine!$AT$6:$AT$95,$W15,1)</f>
        <v>80</v>
      </c>
      <c r="AT15" s="145">
        <f>INDEX(Matching_Engine!$AU$6:$AU$95,$W15,1)</f>
        <v>77</v>
      </c>
      <c r="AU15" s="145">
        <f>IF(KOL_Database!$AU$13="",0,KOL_Database!$AU$13)</f>
        <v>61</v>
      </c>
      <c r="AV15" s="145">
        <f>INDEX(Matching_Engine!$X$6:$X$95,$W15,1)</f>
        <v>78</v>
      </c>
      <c r="AW15" s="145">
        <f>IF(KOL_Database!$BA$13="",0,KOL_Database!$BA$13+0)</f>
        <v>46177.7083333333</v>
      </c>
      <c r="AX15" s="145">
        <f>IF(KOL_Database!$BB$13="",0,KOL_Database!$BB$13+0)</f>
        <v>46272.7083333333</v>
      </c>
      <c r="AY15" s="145">
        <f>ROUND(IF(KOL_Database!$V$13="",0,KOL_Database!$V$13)*0.6+MIN(100,IF(KOL_Database!$N$13="",0,KOL_Database!$N$13)*10)*0.4,1)</f>
        <v>80.8</v>
      </c>
      <c r="AZ15" s="145">
        <f>ROUND(MIN(100,IF(KOL_Database!$K$13="",0,KOL_Database!$K$13)/8*100)*0.35+IF(KOL_Database!$R$13="",0,KOL_Database!$R$13)*0.25+(100-IF(KOL_Database!$AU$13="",0,KOL_Database!$AU$13))*0.25+(100-MIN(100,IF(KOL_Database!$J$13="",0,KOL_Database!$J$13)/5000))*0.15,1)</f>
        <v>69.7</v>
      </c>
      <c r="BA15" s="145">
        <f ca="1">ROUND(INDEX(Matching_Engine!$AP$6:$AP$95,$W15,1)*IF(INDEX(Matching_Engine!$AS$6:$AS$95,$W15,1)="High",1,IF(INDEX(Matching_Engine!$AS$6:$AS$95,$W15,1)="Medium",0.92,0.8)),1)</f>
        <v>81</v>
      </c>
    </row>
    <row r="16" spans="1:53">
      <c r="A16" s="89">
        <f ca="1" t="shared" si="0"/>
        <v>6</v>
      </c>
      <c r="B16" s="89" t="str">
        <f>KOL_Database!$B$14</f>
        <v>Mira Handayani</v>
      </c>
      <c r="C16" s="89" t="str">
        <f>KOL_Database!$C$14</f>
        <v>@mirabahasa</v>
      </c>
      <c r="D16" s="89" t="str">
        <f>KOL_Database!$D$14</f>
        <v>Instagram</v>
      </c>
      <c r="E16" s="89" t="str">
        <f>KOL_Database!$E$14</f>
        <v>Education</v>
      </c>
      <c r="F16" s="89" t="str">
        <f>KOL_Database!$G$14</f>
        <v>Micro</v>
      </c>
      <c r="G16" s="140">
        <f>KOL_Database!$J$14</f>
        <v>42000</v>
      </c>
      <c r="H16" s="141">
        <f>KOL_Database!$K$14</f>
        <v>4.9</v>
      </c>
      <c r="I16" s="142">
        <f ca="1">INDEX(Matching_Engine!$S$6:$S$95,$W16,1)</f>
        <v>74</v>
      </c>
      <c r="J16" s="13">
        <f ca="1">INDEX(Matching_Engine!$AP$6:$AP$95,$W16,1)</f>
        <v>74</v>
      </c>
      <c r="K16" s="142">
        <f>INDEX(Matching_Engine!$X$6:$X$95,$W16,1)</f>
        <v>68</v>
      </c>
      <c r="L16" s="142">
        <f>INDEX(Matching_Engine!$AJ$6:$AJ$95,$W16,1)</f>
        <v>78</v>
      </c>
      <c r="M16" s="142">
        <f>INDEX(Matching_Engine!$AO$6:$AO$95,$W16,1)</f>
        <v>80</v>
      </c>
      <c r="N16" s="142">
        <f>INDEX(Matching_Engine!$AU$6:$AU$95,$W16,1)</f>
        <v>60</v>
      </c>
      <c r="O16" s="143">
        <f>IF(KOL_Database!$AS$14="","—",KOL_Database!$AS$14)</f>
        <v>5.75</v>
      </c>
      <c r="P16" s="89" t="str">
        <f ca="1">INDEX(Matching_Engine!$AQ$6:$AQ$95,$W16,1)</f>
        <v>Good Match</v>
      </c>
      <c r="Q16" s="89" t="str">
        <f ca="1">INDEX(Matching_Engine!$AX$6:$AX$95,$W16,1)</f>
        <v>Recommended</v>
      </c>
      <c r="R16" s="89" t="str">
        <f ca="1">INDEX(Matching_Engine!$AV$6:$AV$95,$W16,1)</f>
        <v>PASS</v>
      </c>
      <c r="S16" s="144">
        <f ca="1" t="shared" si="1"/>
        <v>74.07468788</v>
      </c>
      <c r="T16" s="89">
        <f ca="1">IF($R16="EXCLUDED","—",IF(Discovery_Ranking!$F$4="asc",COUNTIFS($U$7:$U$36,"&lt;"&amp;$U16,$R$7:$R$36,"PASS")+1,COUNTIFS($U$7:$U$36,"&gt;"&amp;$U16,$R$7:$R$36,"PASS")+1))</f>
        <v>6</v>
      </c>
      <c r="U16" s="143">
        <f ca="1">INDEX($X16:$BA16,1,Discovery_Ranking!$K$4)</f>
        <v>74</v>
      </c>
      <c r="V16" s="89" t="str">
        <f>KOL_Database!$A$14</f>
        <v>KOL-10</v>
      </c>
      <c r="W16" s="89">
        <f>MATCH(Brand_Profile!$B$4&amp;"|"&amp;KOL_Database!$A$14,Matching_Engine!$AZ$6:$AZ$95,0)</f>
        <v>10</v>
      </c>
      <c r="X16" s="145">
        <f ca="1">INDEX(Matching_Engine!$AP$6:$AP$95,$W16,1)</f>
        <v>74</v>
      </c>
      <c r="Y16" s="145">
        <f>IF(KOL_Database!$L$14="",0,KOL_Database!$L$14)</f>
        <v>11783</v>
      </c>
      <c r="Z16" s="145">
        <f>IF(KOL_Database!$M$14="",0,KOL_Database!$M$14)</f>
        <v>0</v>
      </c>
      <c r="AA16" s="145">
        <f>ROUND(INDEX(Matching_Engine!$AD$6:$AD$95,$W16,1)*0.6+INDEX(Matching_Engine!$AE$6:$AE$95,$W16,1)*0.4,1)</f>
        <v>79.2</v>
      </c>
      <c r="AB16" s="145">
        <f>IF(KOL_Database!$T$14="",0,KOL_Database!$T$14)</f>
        <v>1.29</v>
      </c>
      <c r="AC16" s="145">
        <f>IF(KOL_Database!$U$14="",0,KOL_Database!$U$14)</f>
        <v>2.15</v>
      </c>
      <c r="AD16" s="145">
        <f>IF(KOL_Database!$P$14="",0,KOL_Database!$P$14)</f>
        <v>94</v>
      </c>
      <c r="AE16" s="145">
        <f>IF(KOL_Database!$BC$14="",0,KOL_Database!$BC$14)</f>
        <v>0.281</v>
      </c>
      <c r="AF16" s="145">
        <f>IF(KOL_Database!$V$14="",0,KOL_Database!$V$14)</f>
        <v>69</v>
      </c>
      <c r="AG16" s="145">
        <f>IF(KOL_Database!$N$14="",0,KOL_Database!$N$14)</f>
        <v>1.6</v>
      </c>
      <c r="AH16" s="145">
        <f>IF(KOL_Database!$O$14="",0,KOL_Database!$O$14)</f>
        <v>4.7</v>
      </c>
      <c r="AI16" s="145">
        <f>ROUND(MIN(100,IF(KOL_Database!$N$14="",0,KOL_Database!$N$14)*8+IF(KOL_Database!$O$14="",0,KOL_Database!$O$14)*2+IF(KOL_Database!$K$14="",0,KOL_Database!$K$14)*3),1)</f>
        <v>36.9</v>
      </c>
      <c r="AJ16" s="145">
        <f>IF(KOL_Database!$R$14="",0,KOL_Database!$R$14)</f>
        <v>75</v>
      </c>
      <c r="AK16" s="145">
        <f>IF(KOL_Database!$S$14="",0,KOL_Database!$S$14)</f>
        <v>64</v>
      </c>
      <c r="AL16" s="145">
        <f ca="1">INDEX(Matching_Engine!$S$6:$S$95,$W16,1)</f>
        <v>74</v>
      </c>
      <c r="AM16" s="145">
        <f>IF(KOL_Database!$Q$14="",0,KOL_Database!$Q$14)</f>
        <v>85</v>
      </c>
      <c r="AN16" s="145">
        <f>IF(KOL_Database!$AO$14="",999999999,KOL_Database!$AO$14)</f>
        <v>121.11</v>
      </c>
      <c r="AO16" s="145">
        <f>IF(KOL_Database!$AP$14="",999999999,KOL_Database!$AP$14)</f>
        <v>2472</v>
      </c>
      <c r="AP16" s="145">
        <f>IF(KOL_Database!$AQ$14="",999999999,KOL_Database!$AQ$14)</f>
        <v>33976</v>
      </c>
      <c r="AQ16" s="145">
        <f>IF(KOL_Database!$BD$14="",0,KOL_Database!$BD$14)</f>
        <v>60</v>
      </c>
      <c r="AR16" s="145">
        <f>IF(KOL_Database!$AS$14="",0,KOL_Database!$AS$14)</f>
        <v>5.75</v>
      </c>
      <c r="AS16" s="145">
        <f>INDEX(Matching_Engine!$AT$6:$AT$95,$W16,1)</f>
        <v>74</v>
      </c>
      <c r="AT16" s="145">
        <f>INDEX(Matching_Engine!$AU$6:$AU$95,$W16,1)</f>
        <v>60</v>
      </c>
      <c r="AU16" s="145">
        <f>IF(KOL_Database!$AU$14="",0,KOL_Database!$AU$14)</f>
        <v>32</v>
      </c>
      <c r="AV16" s="145">
        <f>INDEX(Matching_Engine!$X$6:$X$95,$W16,1)</f>
        <v>68</v>
      </c>
      <c r="AW16" s="145">
        <f>IF(KOL_Database!$BA$14="",0,KOL_Database!$BA$14+0)</f>
        <v>46093.7083333333</v>
      </c>
      <c r="AX16" s="145">
        <f>IF(KOL_Database!$BB$14="",0,KOL_Database!$BB$14+0)</f>
        <v>46239.7083333333</v>
      </c>
      <c r="AY16" s="145">
        <f>ROUND(IF(KOL_Database!$V$14="",0,KOL_Database!$V$14)*0.6+MIN(100,IF(KOL_Database!$N$14="",0,KOL_Database!$N$14)*10)*0.4,1)</f>
        <v>47.8</v>
      </c>
      <c r="AZ16" s="145">
        <f>ROUND(MIN(100,IF(KOL_Database!$K$14="",0,KOL_Database!$K$14)/8*100)*0.35+IF(KOL_Database!$R$14="",0,KOL_Database!$R$14)*0.25+(100-IF(KOL_Database!$AU$14="",0,KOL_Database!$AU$14))*0.25+(100-MIN(100,IF(KOL_Database!$J$14="",0,KOL_Database!$J$14)/5000))*0.15,1)</f>
        <v>70.9</v>
      </c>
      <c r="BA16" s="145">
        <f ca="1">ROUND(INDEX(Matching_Engine!$AP$6:$AP$95,$W16,1)*IF(INDEX(Matching_Engine!$AS$6:$AS$95,$W16,1)="High",1,IF(INDEX(Matching_Engine!$AS$6:$AS$95,$W16,1)="Medium",0.92,0.8)),1)</f>
        <v>68.1</v>
      </c>
    </row>
    <row r="17" spans="1:53">
      <c r="A17" s="89" t="str">
        <f ca="1" t="shared" si="0"/>
        <v>—</v>
      </c>
      <c r="B17" s="89" t="str">
        <f>KOL_Database!$B$15</f>
        <v>Dimas Anggara</v>
      </c>
      <c r="C17" s="89" t="str">
        <f>KOL_Database!$C$15</f>
        <v>@dimasfit</v>
      </c>
      <c r="D17" s="89" t="str">
        <f>KOL_Database!$D$15</f>
        <v>Instagram</v>
      </c>
      <c r="E17" s="89" t="str">
        <f>KOL_Database!$E$15</f>
        <v>Fitness</v>
      </c>
      <c r="F17" s="89" t="str">
        <f>KOL_Database!$G$15</f>
        <v>Macro</v>
      </c>
      <c r="G17" s="140">
        <f>KOL_Database!$J$15</f>
        <v>178000</v>
      </c>
      <c r="H17" s="141">
        <f>KOL_Database!$K$15</f>
        <v>3.9</v>
      </c>
      <c r="I17" s="142">
        <f ca="1">INDEX(Matching_Engine!$S$6:$S$95,$W17,1)</f>
        <v>58</v>
      </c>
      <c r="J17" s="13">
        <f ca="1">INDEX(Matching_Engine!$AP$6:$AP$95,$W17,1)</f>
        <v>47</v>
      </c>
      <c r="K17" s="142">
        <f>INDEX(Matching_Engine!$X$6:$X$95,$W17,1)</f>
        <v>26</v>
      </c>
      <c r="L17" s="142">
        <f>INDEX(Matching_Engine!$AJ$6:$AJ$95,$W17,1)</f>
        <v>66</v>
      </c>
      <c r="M17" s="142">
        <f>INDEX(Matching_Engine!$AO$6:$AO$95,$W17,1)</f>
        <v>70</v>
      </c>
      <c r="N17" s="142">
        <f>INDEX(Matching_Engine!$AU$6:$AU$95,$W17,1)</f>
        <v>56</v>
      </c>
      <c r="O17" s="143">
        <f>IF(KOL_Database!$AS$15="","—",KOL_Database!$AS$15)</f>
        <v>2.76</v>
      </c>
      <c r="P17" s="89" t="str">
        <f ca="1">INDEX(Matching_Engine!$AQ$6:$AQ$95,$W17,1)</f>
        <v>Low Match</v>
      </c>
      <c r="Q17" s="89" t="str">
        <f ca="1">INDEX(Matching_Engine!$AX$6:$AX$95,$W17,1)</f>
        <v>Excluded</v>
      </c>
      <c r="R17" s="89" t="str">
        <f ca="1">INDEX(Matching_Engine!$AV$6:$AV$95,$W17,1)</f>
        <v>EXCLUDED</v>
      </c>
      <c r="S17" s="144">
        <f ca="1" t="shared" si="1"/>
        <v>-1</v>
      </c>
      <c r="T17" s="89" t="str">
        <f ca="1">IF($R17="EXCLUDED","—",IF(Discovery_Ranking!$F$4="asc",COUNTIFS($U$7:$U$36,"&lt;"&amp;$U17,$R$7:$R$36,"PASS")+1,COUNTIFS($U$7:$U$36,"&gt;"&amp;$U17,$R$7:$R$36,"PASS")+1))</f>
        <v>—</v>
      </c>
      <c r="U17" s="143">
        <f ca="1">INDEX($X17:$BA17,1,Discovery_Ranking!$K$4)</f>
        <v>47</v>
      </c>
      <c r="V17" s="89" t="str">
        <f>KOL_Database!$A$15</f>
        <v>KOL-11</v>
      </c>
      <c r="W17" s="89">
        <f>MATCH(Brand_Profile!$B$4&amp;"|"&amp;KOL_Database!$A$15,Matching_Engine!$AZ$6:$AZ$95,0)</f>
        <v>11</v>
      </c>
      <c r="X17" s="145">
        <f ca="1">INDEX(Matching_Engine!$AP$6:$AP$95,$W17,1)</f>
        <v>47</v>
      </c>
      <c r="Y17" s="145">
        <f>IF(KOL_Database!$L$15="",0,KOL_Database!$L$15)</f>
        <v>34767</v>
      </c>
      <c r="Z17" s="145">
        <f>IF(KOL_Database!$M$15="",0,KOL_Database!$M$15)</f>
        <v>22194</v>
      </c>
      <c r="AA17" s="145">
        <f>ROUND(INDEX(Matching_Engine!$AD$6:$AD$95,$W17,1)*0.6+INDEX(Matching_Engine!$AE$6:$AE$95,$W17,1)*0.4,1)</f>
        <v>63.4</v>
      </c>
      <c r="AB17" s="145">
        <f>IF(KOL_Database!$T$15="",0,KOL_Database!$T$15)</f>
        <v>0.31</v>
      </c>
      <c r="AC17" s="145">
        <f>IF(KOL_Database!$U$15="",0,KOL_Database!$U$15)</f>
        <v>0.95</v>
      </c>
      <c r="AD17" s="145">
        <f>IF(KOL_Database!$P$15="",0,KOL_Database!$P$15)</f>
        <v>87</v>
      </c>
      <c r="AE17" s="145">
        <f>IF(KOL_Database!$BC$15="",0,KOL_Database!$BC$15)</f>
        <v>0.195</v>
      </c>
      <c r="AF17" s="145">
        <f>IF(KOL_Database!$V$15="",0,KOL_Database!$V$15)</f>
        <v>48</v>
      </c>
      <c r="AG17" s="145">
        <f>IF(KOL_Database!$N$15="",0,KOL_Database!$N$15)</f>
        <v>2</v>
      </c>
      <c r="AH17" s="145">
        <f>IF(KOL_Database!$O$15="",0,KOL_Database!$O$15)</f>
        <v>6.1</v>
      </c>
      <c r="AI17" s="145">
        <f>ROUND(MIN(100,IF(KOL_Database!$N$15="",0,KOL_Database!$N$15)*8+IF(KOL_Database!$O$15="",0,KOL_Database!$O$15)*2+IF(KOL_Database!$K$15="",0,KOL_Database!$K$15)*3),1)</f>
        <v>39.9</v>
      </c>
      <c r="AJ17" s="145">
        <f>IF(KOL_Database!$R$15="",0,KOL_Database!$R$15)</f>
        <v>61</v>
      </c>
      <c r="AK17" s="145">
        <f>IF(KOL_Database!$S$15="",0,KOL_Database!$S$15)</f>
        <v>77</v>
      </c>
      <c r="AL17" s="145">
        <f ca="1">INDEX(Matching_Engine!$S$6:$S$95,$W17,1)</f>
        <v>58</v>
      </c>
      <c r="AM17" s="145">
        <f>IF(KOL_Database!$Q$15="",0,KOL_Database!$Q$15)</f>
        <v>79</v>
      </c>
      <c r="AN17" s="145">
        <f>IF(KOL_Database!$AO$15="",999999999,KOL_Database!$AO$15)</f>
        <v>224.15</v>
      </c>
      <c r="AO17" s="145">
        <f>IF(KOL_Database!$AP$15="",999999999,KOL_Database!$AP$15)</f>
        <v>5747</v>
      </c>
      <c r="AP17" s="145">
        <f>IF(KOL_Database!$AQ$15="",999999999,KOL_Database!$AQ$15)</f>
        <v>43781</v>
      </c>
      <c r="AQ17" s="145">
        <f>IF(KOL_Database!$BD$15="",0,KOL_Database!$BD$15)</f>
        <v>26</v>
      </c>
      <c r="AR17" s="145">
        <f>IF(KOL_Database!$AS$15="",0,KOL_Database!$AS$15)</f>
        <v>2.76</v>
      </c>
      <c r="AS17" s="145">
        <f>INDEX(Matching_Engine!$AT$6:$AT$95,$W17,1)</f>
        <v>39</v>
      </c>
      <c r="AT17" s="145">
        <f>INDEX(Matching_Engine!$AU$6:$AU$95,$W17,1)</f>
        <v>56</v>
      </c>
      <c r="AU17" s="145">
        <f>IF(KOL_Database!$AU$15="",0,KOL_Database!$AU$15)</f>
        <v>15</v>
      </c>
      <c r="AV17" s="145">
        <f>INDEX(Matching_Engine!$X$6:$X$95,$W17,1)</f>
        <v>26</v>
      </c>
      <c r="AW17" s="145">
        <f>IF(KOL_Database!$BA$15="",0,KOL_Database!$BA$15+0)</f>
        <v>46092.7083333333</v>
      </c>
      <c r="AX17" s="145">
        <f>IF(KOL_Database!$BB$15="",0,KOL_Database!$BB$15+0)</f>
        <v>46252.7083333333</v>
      </c>
      <c r="AY17" s="145">
        <f>ROUND(IF(KOL_Database!$V$15="",0,KOL_Database!$V$15)*0.6+MIN(100,IF(KOL_Database!$N$15="",0,KOL_Database!$N$15)*10)*0.4,1)</f>
        <v>36.8</v>
      </c>
      <c r="AZ17" s="145">
        <f>ROUND(MIN(100,IF(KOL_Database!$K$15="",0,KOL_Database!$K$15)/8*100)*0.35+IF(KOL_Database!$R$15="",0,KOL_Database!$R$15)*0.25+(100-IF(KOL_Database!$AU$15="",0,KOL_Database!$AU$15))*0.25+(100-MIN(100,IF(KOL_Database!$J$15="",0,KOL_Database!$J$15)/5000))*0.15,1)</f>
        <v>63.2</v>
      </c>
      <c r="BA17" s="145">
        <f ca="1">ROUND(INDEX(Matching_Engine!$AP$6:$AP$95,$W17,1)*IF(INDEX(Matching_Engine!$AS$6:$AS$95,$W17,1)="High",1,IF(INDEX(Matching_Engine!$AS$6:$AS$95,$W17,1)="Medium",0.92,0.8)),1)</f>
        <v>47</v>
      </c>
    </row>
    <row r="18" spans="1:53">
      <c r="A18" s="89">
        <f ca="1" t="shared" si="0"/>
        <v>15</v>
      </c>
      <c r="B18" s="89" t="str">
        <f>KOL_Database!$B$16</f>
        <v>Rani Kusuma</v>
      </c>
      <c r="C18" s="89" t="str">
        <f>KOL_Database!$C$16</f>
        <v>@ranihomeworkout</v>
      </c>
      <c r="D18" s="89" t="str">
        <f>KOL_Database!$D$16</f>
        <v>TikTok</v>
      </c>
      <c r="E18" s="89" t="str">
        <f>KOL_Database!$E$16</f>
        <v>Fitness</v>
      </c>
      <c r="F18" s="89" t="str">
        <f>KOL_Database!$G$16</f>
        <v>Macro</v>
      </c>
      <c r="G18" s="140">
        <f>KOL_Database!$J$16</f>
        <v>305000</v>
      </c>
      <c r="H18" s="141">
        <f>KOL_Database!$K$16</f>
        <v>6.5</v>
      </c>
      <c r="I18" s="142">
        <f ca="1">INDEX(Matching_Engine!$S$6:$S$95,$W18,1)</f>
        <v>49</v>
      </c>
      <c r="J18" s="13">
        <f ca="1">INDEX(Matching_Engine!$AP$6:$AP$95,$W18,1)</f>
        <v>48</v>
      </c>
      <c r="K18" s="142">
        <f>INDEX(Matching_Engine!$X$6:$X$95,$W18,1)</f>
        <v>26</v>
      </c>
      <c r="L18" s="142">
        <f>INDEX(Matching_Engine!$AJ$6:$AJ$95,$W18,1)</f>
        <v>89</v>
      </c>
      <c r="M18" s="142">
        <f>INDEX(Matching_Engine!$AO$6:$AO$95,$W18,1)</f>
        <v>81</v>
      </c>
      <c r="N18" s="142">
        <f>INDEX(Matching_Engine!$AU$6:$AU$95,$W18,1)</f>
        <v>70</v>
      </c>
      <c r="O18" s="143">
        <f>IF(KOL_Database!$AS$16="","—",KOL_Database!$AS$16)</f>
        <v>22.93</v>
      </c>
      <c r="P18" s="89" t="str">
        <f ca="1">INDEX(Matching_Engine!$AQ$6:$AQ$95,$W18,1)</f>
        <v>Low Match</v>
      </c>
      <c r="Q18" s="89" t="str">
        <f ca="1">INDEX(Matching_Engine!$AX$6:$AX$95,$W18,1)</f>
        <v>Low Priority</v>
      </c>
      <c r="R18" s="89" t="str">
        <f ca="1">INDEX(Matching_Engine!$AV$6:$AV$95,$W18,1)</f>
        <v>PASS</v>
      </c>
      <c r="S18" s="144">
        <f ca="1" t="shared" si="1"/>
        <v>48.049268981</v>
      </c>
      <c r="T18" s="89">
        <f ca="1">IF($R18="EXCLUDED","—",IF(Discovery_Ranking!$F$4="asc",COUNTIFS($U$7:$U$36,"&lt;"&amp;$U18,$R$7:$R$36,"PASS")+1,COUNTIFS($U$7:$U$36,"&gt;"&amp;$U18,$R$7:$R$36,"PASS")+1))</f>
        <v>12</v>
      </c>
      <c r="U18" s="143">
        <f ca="1">INDEX($X18:$BA18,1,Discovery_Ranking!$K$4)</f>
        <v>48</v>
      </c>
      <c r="V18" s="89" t="str">
        <f>KOL_Database!$A$16</f>
        <v>KOL-12</v>
      </c>
      <c r="W18" s="89">
        <f>MATCH(Brand_Profile!$B$4&amp;"|"&amp;KOL_Database!$A$16,Matching_Engine!$AZ$6:$AZ$95,0)</f>
        <v>12</v>
      </c>
      <c r="X18" s="145">
        <f ca="1">INDEX(Matching_Engine!$AP$6:$AP$95,$W18,1)</f>
        <v>48</v>
      </c>
      <c r="Y18" s="145">
        <f>IF(KOL_Database!$L$16="",0,KOL_Database!$L$16)</f>
        <v>343139</v>
      </c>
      <c r="Z18" s="145">
        <f>IF(KOL_Database!$M$16="",0,KOL_Database!$M$16)</f>
        <v>266395</v>
      </c>
      <c r="AA18" s="145">
        <f>ROUND(INDEX(Matching_Engine!$AD$6:$AD$95,$W18,1)*0.6+INDEX(Matching_Engine!$AE$6:$AE$95,$W18,1)*0.4,1)</f>
        <v>92</v>
      </c>
      <c r="AB18" s="145">
        <f>IF(KOL_Database!$T$16="",0,KOL_Database!$T$16)</f>
        <v>1.71</v>
      </c>
      <c r="AC18" s="145">
        <f>IF(KOL_Database!$U$16="",0,KOL_Database!$U$16)</f>
        <v>3.13</v>
      </c>
      <c r="AD18" s="145">
        <f>IF(KOL_Database!$P$16="",0,KOL_Database!$P$16)</f>
        <v>86</v>
      </c>
      <c r="AE18" s="145">
        <f>IF(KOL_Database!$BC$16="",0,KOL_Database!$BC$16)</f>
        <v>1.125</v>
      </c>
      <c r="AF18" s="145">
        <f>IF(KOL_Database!$V$16="",0,KOL_Database!$V$16)</f>
        <v>79</v>
      </c>
      <c r="AG18" s="145">
        <f>IF(KOL_Database!$N$16="",0,KOL_Database!$N$16)</f>
        <v>2.7</v>
      </c>
      <c r="AH18" s="145">
        <f>IF(KOL_Database!$O$16="",0,KOL_Database!$O$16)</f>
        <v>8.5</v>
      </c>
      <c r="AI18" s="145">
        <f>ROUND(MIN(100,IF(KOL_Database!$N$16="",0,KOL_Database!$N$16)*8+IF(KOL_Database!$O$16="",0,KOL_Database!$O$16)*2+IF(KOL_Database!$K$16="",0,KOL_Database!$K$16)*3),1)</f>
        <v>58.1</v>
      </c>
      <c r="AJ18" s="145">
        <f>IF(KOL_Database!$R$16="",0,KOL_Database!$R$16)</f>
        <v>80</v>
      </c>
      <c r="AK18" s="145">
        <f>IF(KOL_Database!$S$16="",0,KOL_Database!$S$16)</f>
        <v>75</v>
      </c>
      <c r="AL18" s="145">
        <f ca="1">INDEX(Matching_Engine!$S$6:$S$95,$W18,1)</f>
        <v>49</v>
      </c>
      <c r="AM18" s="145">
        <f>IF(KOL_Database!$Q$16="",0,KOL_Database!$Q$16)</f>
        <v>88</v>
      </c>
      <c r="AN18" s="145">
        <f>IF(KOL_Database!$AO$16="",999999999,KOL_Database!$AO$16)</f>
        <v>32.06</v>
      </c>
      <c r="AO18" s="145">
        <f>IF(KOL_Database!$AP$16="",999999999,KOL_Database!$AP$16)</f>
        <v>493</v>
      </c>
      <c r="AP18" s="145">
        <f>IF(KOL_Database!$AQ$16="",999999999,KOL_Database!$AQ$16)</f>
        <v>36066</v>
      </c>
      <c r="AQ18" s="145">
        <f>IF(KOL_Database!$BD$16="",0,KOL_Database!$BD$16)</f>
        <v>100</v>
      </c>
      <c r="AR18" s="145">
        <f>IF(KOL_Database!$AS$16="",0,KOL_Database!$AS$16)</f>
        <v>22.93</v>
      </c>
      <c r="AS18" s="145">
        <f>INDEX(Matching_Engine!$AT$6:$AT$95,$W18,1)</f>
        <v>39</v>
      </c>
      <c r="AT18" s="145">
        <f>INDEX(Matching_Engine!$AU$6:$AU$95,$W18,1)</f>
        <v>70</v>
      </c>
      <c r="AU18" s="145">
        <f>IF(KOL_Database!$AU$16="",0,KOL_Database!$AU$16)</f>
        <v>49</v>
      </c>
      <c r="AV18" s="145">
        <f>INDEX(Matching_Engine!$X$6:$X$95,$W18,1)</f>
        <v>26</v>
      </c>
      <c r="AW18" s="145">
        <f>IF(KOL_Database!$BA$16="",0,KOL_Database!$BA$16+0)</f>
        <v>46096.7083333333</v>
      </c>
      <c r="AX18" s="145">
        <f>IF(KOL_Database!$BB$16="",0,KOL_Database!$BB$16+0)</f>
        <v>46253.7083333333</v>
      </c>
      <c r="AY18" s="145">
        <f>ROUND(IF(KOL_Database!$V$16="",0,KOL_Database!$V$16)*0.6+MIN(100,IF(KOL_Database!$N$16="",0,KOL_Database!$N$16)*10)*0.4,1)</f>
        <v>58.2</v>
      </c>
      <c r="AZ18" s="145">
        <f>ROUND(MIN(100,IF(KOL_Database!$K$16="",0,KOL_Database!$K$16)/8*100)*0.35+IF(KOL_Database!$R$16="",0,KOL_Database!$R$16)*0.25+(100-IF(KOL_Database!$AU$16="",0,KOL_Database!$AU$16))*0.25+(100-MIN(100,IF(KOL_Database!$J$16="",0,KOL_Database!$J$16)/5000))*0.15,1)</f>
        <v>67</v>
      </c>
      <c r="BA18" s="145">
        <f ca="1">ROUND(INDEX(Matching_Engine!$AP$6:$AP$95,$W18,1)*IF(INDEX(Matching_Engine!$AS$6:$AS$95,$W18,1)="High",1,IF(INDEX(Matching_Engine!$AS$6:$AS$95,$W18,1)="Medium",0.92,0.8)),1)</f>
        <v>48</v>
      </c>
    </row>
    <row r="19" spans="1:53">
      <c r="A19" s="89">
        <f ca="1" t="shared" si="0"/>
        <v>18</v>
      </c>
      <c r="B19" s="89" t="str">
        <f>KOL_Database!$B$17</f>
        <v>Kevin Halim</v>
      </c>
      <c r="C19" s="89" t="str">
        <f>KOL_Database!$C$17</f>
        <v>@kevinstyleid</v>
      </c>
      <c r="D19" s="89" t="str">
        <f>KOL_Database!$D$17</f>
        <v>Instagram</v>
      </c>
      <c r="E19" s="89" t="str">
        <f>KOL_Database!$E$17</f>
        <v>Fashion</v>
      </c>
      <c r="F19" s="89" t="str">
        <f>KOL_Database!$G$17</f>
        <v>Mid-tier</v>
      </c>
      <c r="G19" s="140">
        <f>KOL_Database!$J$17</f>
        <v>96000</v>
      </c>
      <c r="H19" s="141">
        <f>KOL_Database!$K$17</f>
        <v>3.4</v>
      </c>
      <c r="I19" s="142">
        <f ca="1">INDEX(Matching_Engine!$S$6:$S$95,$W19,1)</f>
        <v>58</v>
      </c>
      <c r="J19" s="13">
        <f ca="1">INDEX(Matching_Engine!$AP$6:$AP$95,$W19,1)</f>
        <v>45</v>
      </c>
      <c r="K19" s="142">
        <f>INDEX(Matching_Engine!$X$6:$X$95,$W19,1)</f>
        <v>19</v>
      </c>
      <c r="L19" s="142">
        <f>INDEX(Matching_Engine!$AJ$6:$AJ$95,$W19,1)</f>
        <v>67</v>
      </c>
      <c r="M19" s="142">
        <f>INDEX(Matching_Engine!$AO$6:$AO$95,$W19,1)</f>
        <v>80</v>
      </c>
      <c r="N19" s="142">
        <f>INDEX(Matching_Engine!$AU$6:$AU$95,$W19,1)</f>
        <v>51</v>
      </c>
      <c r="O19" s="143">
        <f>IF(KOL_Database!$AS$17="","—",KOL_Database!$AS$17)</f>
        <v>2.74</v>
      </c>
      <c r="P19" s="89" t="str">
        <f ca="1">INDEX(Matching_Engine!$AQ$6:$AQ$95,$W19,1)</f>
        <v>Low Match</v>
      </c>
      <c r="Q19" s="89" t="str">
        <f ca="1">INDEX(Matching_Engine!$AX$6:$AX$95,$W19,1)</f>
        <v>Low Priority</v>
      </c>
      <c r="R19" s="89" t="str">
        <f ca="1">INDEX(Matching_Engine!$AV$6:$AV$95,$W19,1)</f>
        <v>PASS</v>
      </c>
      <c r="S19" s="144">
        <f ca="1" t="shared" si="1"/>
        <v>45.05819678</v>
      </c>
      <c r="T19" s="89">
        <f ca="1">IF($R19="EXCLUDED","—",IF(Discovery_Ranking!$F$4="asc",COUNTIFS($U$7:$U$36,"&lt;"&amp;$U19,$R$7:$R$36,"PASS")+1,COUNTIFS($U$7:$U$36,"&gt;"&amp;$U19,$R$7:$R$36,"PASS")+1))</f>
        <v>18</v>
      </c>
      <c r="U19" s="143">
        <f ca="1">INDEX($X19:$BA19,1,Discovery_Ranking!$K$4)</f>
        <v>45</v>
      </c>
      <c r="V19" s="89" t="str">
        <f>KOL_Database!$A$17</f>
        <v>KOL-13</v>
      </c>
      <c r="W19" s="89">
        <f>MATCH(Brand_Profile!$B$4&amp;"|"&amp;KOL_Database!$A$17,Matching_Engine!$AZ$6:$AZ$95,0)</f>
        <v>13</v>
      </c>
      <c r="X19" s="145">
        <f ca="1">INDEX(Matching_Engine!$AP$6:$AP$95,$W19,1)</f>
        <v>45</v>
      </c>
      <c r="Y19" s="145">
        <f>IF(KOL_Database!$L$17="",0,KOL_Database!$L$17)</f>
        <v>33575</v>
      </c>
      <c r="Z19" s="145">
        <f>IF(KOL_Database!$M$17="",0,KOL_Database!$M$17)</f>
        <v>27597</v>
      </c>
      <c r="AA19" s="145">
        <f>ROUND(INDEX(Matching_Engine!$AD$6:$AD$95,$W19,1)*0.6+INDEX(Matching_Engine!$AE$6:$AE$95,$W19,1)*0.4,1)</f>
        <v>68.6</v>
      </c>
      <c r="AB19" s="145">
        <f>IF(KOL_Database!$T$17="",0,KOL_Database!$T$17)</f>
        <v>1.76</v>
      </c>
      <c r="AC19" s="145">
        <f>IF(KOL_Database!$U$17="",0,KOL_Database!$U$17)</f>
        <v>3.33</v>
      </c>
      <c r="AD19" s="145">
        <f>IF(KOL_Database!$P$17="",0,KOL_Database!$P$17)</f>
        <v>64</v>
      </c>
      <c r="AE19" s="145">
        <f>IF(KOL_Database!$BC$17="",0,KOL_Database!$BC$17)</f>
        <v>0.35</v>
      </c>
      <c r="AF19" s="145">
        <f>IF(KOL_Database!$V$17="",0,KOL_Database!$V$17)</f>
        <v>81</v>
      </c>
      <c r="AG19" s="145">
        <f>IF(KOL_Database!$N$17="",0,KOL_Database!$N$17)</f>
        <v>5.5</v>
      </c>
      <c r="AH19" s="145">
        <f>IF(KOL_Database!$O$17="",0,KOL_Database!$O$17)</f>
        <v>16.4</v>
      </c>
      <c r="AI19" s="145">
        <f>ROUND(MIN(100,IF(KOL_Database!$N$17="",0,KOL_Database!$N$17)*8+IF(KOL_Database!$O$17="",0,KOL_Database!$O$17)*2+IF(KOL_Database!$K$17="",0,KOL_Database!$K$17)*3),1)</f>
        <v>87</v>
      </c>
      <c r="AJ19" s="145">
        <f>IF(KOL_Database!$R$17="",0,KOL_Database!$R$17)</f>
        <v>86</v>
      </c>
      <c r="AK19" s="145">
        <f>IF(KOL_Database!$S$17="",0,KOL_Database!$S$17)</f>
        <v>69</v>
      </c>
      <c r="AL19" s="145">
        <f ca="1">INDEX(Matching_Engine!$S$6:$S$95,$W19,1)</f>
        <v>58</v>
      </c>
      <c r="AM19" s="145">
        <f>IF(KOL_Database!$Q$17="",0,KOL_Database!$Q$17)</f>
        <v>64</v>
      </c>
      <c r="AN19" s="145">
        <f>IF(KOL_Database!$AO$17="",999999999,KOL_Database!$AO$17)</f>
        <v>166.64</v>
      </c>
      <c r="AO19" s="145">
        <f>IF(KOL_Database!$AP$17="",999999999,KOL_Database!$AP$17)</f>
        <v>4901</v>
      </c>
      <c r="AP19" s="145">
        <f>IF(KOL_Database!$AQ$17="",999999999,KOL_Database!$AQ$17)</f>
        <v>58281</v>
      </c>
      <c r="AQ19" s="145">
        <f>IF(KOL_Database!$BD$17="",0,KOL_Database!$BD$17)</f>
        <v>30</v>
      </c>
      <c r="AR19" s="145">
        <f>IF(KOL_Database!$AS$17="",0,KOL_Database!$AS$17)</f>
        <v>2.74</v>
      </c>
      <c r="AS19" s="145">
        <f>INDEX(Matching_Engine!$AT$6:$AT$95,$W19,1)</f>
        <v>30</v>
      </c>
      <c r="AT19" s="145">
        <f>INDEX(Matching_Engine!$AU$6:$AU$95,$W19,1)</f>
        <v>51</v>
      </c>
      <c r="AU19" s="145">
        <f>IF(KOL_Database!$AU$17="",0,KOL_Database!$AU$17)</f>
        <v>54</v>
      </c>
      <c r="AV19" s="145">
        <f>INDEX(Matching_Engine!$X$6:$X$95,$W19,1)</f>
        <v>19</v>
      </c>
      <c r="AW19" s="145">
        <f>IF(KOL_Database!$BA$17="",0,KOL_Database!$BA$17+0)</f>
        <v>46164.7083333333</v>
      </c>
      <c r="AX19" s="145">
        <f>IF(KOL_Database!$BB$17="",0,KOL_Database!$BB$17+0)</f>
        <v>46255.7083333333</v>
      </c>
      <c r="AY19" s="145">
        <f>ROUND(IF(KOL_Database!$V$17="",0,KOL_Database!$V$17)*0.6+MIN(100,IF(KOL_Database!$N$17="",0,KOL_Database!$N$17)*10)*0.4,1)</f>
        <v>70.6</v>
      </c>
      <c r="AZ19" s="145">
        <f>ROUND(MIN(100,IF(KOL_Database!$K$17="",0,KOL_Database!$K$17)/8*100)*0.35+IF(KOL_Database!$R$17="",0,KOL_Database!$R$17)*0.25+(100-IF(KOL_Database!$AU$17="",0,KOL_Database!$AU$17))*0.25+(100-MIN(100,IF(KOL_Database!$J$17="",0,KOL_Database!$J$17)/5000))*0.15,1)</f>
        <v>60</v>
      </c>
      <c r="BA19" s="145">
        <f ca="1">ROUND(INDEX(Matching_Engine!$AP$6:$AP$95,$W19,1)*IF(INDEX(Matching_Engine!$AS$6:$AS$95,$W19,1)="High",1,IF(INDEX(Matching_Engine!$AS$6:$AS$95,$W19,1)="Medium",0.92,0.8)),1)</f>
        <v>45</v>
      </c>
    </row>
    <row r="20" spans="1:53">
      <c r="A20" s="89" t="str">
        <f ca="1" t="shared" si="0"/>
        <v>—</v>
      </c>
      <c r="B20" s="89" t="str">
        <f>KOL_Database!$B$18</f>
        <v>Zahra Amelia</v>
      </c>
      <c r="C20" s="89" t="str">
        <f>KOL_Database!$C$18</f>
        <v>@zahrahijabstyle</v>
      </c>
      <c r="D20" s="89" t="str">
        <f>KOL_Database!$D$18</f>
        <v>Instagram</v>
      </c>
      <c r="E20" s="89" t="str">
        <f>KOL_Database!$E$18</f>
        <v>Fashion</v>
      </c>
      <c r="F20" s="89" t="str">
        <f>KOL_Database!$G$18</f>
        <v>Macro</v>
      </c>
      <c r="G20" s="140">
        <f>KOL_Database!$J$18</f>
        <v>268000</v>
      </c>
      <c r="H20" s="141">
        <f>KOL_Database!$K$18</f>
        <v>4.7</v>
      </c>
      <c r="I20" s="142">
        <f ca="1">INDEX(Matching_Engine!$S$6:$S$95,$W20,1)</f>
        <v>49</v>
      </c>
      <c r="J20" s="13">
        <f ca="1">INDEX(Matching_Engine!$AP$6:$AP$95,$W20,1)</f>
        <v>41</v>
      </c>
      <c r="K20" s="142">
        <f>INDEX(Matching_Engine!$X$6:$X$95,$W20,1)</f>
        <v>19</v>
      </c>
      <c r="L20" s="142">
        <f>INDEX(Matching_Engine!$AJ$6:$AJ$95,$W20,1)</f>
        <v>75</v>
      </c>
      <c r="M20" s="142">
        <f>INDEX(Matching_Engine!$AO$6:$AO$95,$W20,1)</f>
        <v>71</v>
      </c>
      <c r="N20" s="142">
        <f>INDEX(Matching_Engine!$AU$6:$AU$95,$W20,1)</f>
        <v>70</v>
      </c>
      <c r="O20" s="143">
        <f>IF(KOL_Database!$AS$18="","—",KOL_Database!$AS$18)</f>
        <v>4.71</v>
      </c>
      <c r="P20" s="89" t="str">
        <f ca="1">INDEX(Matching_Engine!$AQ$6:$AQ$95,$W20,1)</f>
        <v>Low Match</v>
      </c>
      <c r="Q20" s="89" t="str">
        <f ca="1">INDEX(Matching_Engine!$AX$6:$AX$95,$W20,1)</f>
        <v>Excluded</v>
      </c>
      <c r="R20" s="89" t="str">
        <f ca="1">INDEX(Matching_Engine!$AV$6:$AV$95,$W20,1)</f>
        <v>EXCLUDED</v>
      </c>
      <c r="S20" s="144">
        <f ca="1" t="shared" si="1"/>
        <v>-1</v>
      </c>
      <c r="T20" s="89" t="str">
        <f ca="1">IF($R20="EXCLUDED","—",IF(Discovery_Ranking!$F$4="asc",COUNTIFS($U$7:$U$36,"&lt;"&amp;$U20,$R$7:$R$36,"PASS")+1,COUNTIFS($U$7:$U$36,"&gt;"&amp;$U20,$R$7:$R$36,"PASS")+1))</f>
        <v>—</v>
      </c>
      <c r="U20" s="143">
        <f ca="1">INDEX($X20:$BA20,1,Discovery_Ranking!$K$4)</f>
        <v>41</v>
      </c>
      <c r="V20" s="89" t="str">
        <f>KOL_Database!$A$18</f>
        <v>KOL-14</v>
      </c>
      <c r="W20" s="89">
        <f>MATCH(Brand_Profile!$B$4&amp;"|"&amp;KOL_Database!$A$18,Matching_Engine!$AZ$6:$AZ$95,0)</f>
        <v>14</v>
      </c>
      <c r="X20" s="145">
        <f ca="1">INDEX(Matching_Engine!$AP$6:$AP$95,$W20,1)</f>
        <v>41</v>
      </c>
      <c r="Y20" s="145">
        <f>IF(KOL_Database!$L$18="",0,KOL_Database!$L$18)</f>
        <v>60835</v>
      </c>
      <c r="Z20" s="145">
        <f>IF(KOL_Database!$M$18="",0,KOL_Database!$M$18)</f>
        <v>38966</v>
      </c>
      <c r="AA20" s="145">
        <f>ROUND(INDEX(Matching_Engine!$AD$6:$AD$95,$W20,1)*0.6+INDEX(Matching_Engine!$AE$6:$AE$95,$W20,1)*0.4,1)</f>
        <v>71.6</v>
      </c>
      <c r="AB20" s="145">
        <f>IF(KOL_Database!$T$18="",0,KOL_Database!$T$18)</f>
        <v>0.6</v>
      </c>
      <c r="AC20" s="145">
        <f>IF(KOL_Database!$U$18="",0,KOL_Database!$U$18)</f>
        <v>0.98</v>
      </c>
      <c r="AD20" s="145">
        <f>IF(KOL_Database!$P$18="",0,KOL_Database!$P$18)</f>
        <v>93</v>
      </c>
      <c r="AE20" s="145">
        <f>IF(KOL_Database!$BC$18="",0,KOL_Database!$BC$18)</f>
        <v>0.227</v>
      </c>
      <c r="AF20" s="145">
        <f>IF(KOL_Database!$V$18="",0,KOL_Database!$V$18)</f>
        <v>49</v>
      </c>
      <c r="AG20" s="145">
        <f>IF(KOL_Database!$N$18="",0,KOL_Database!$N$18)</f>
        <v>4.7</v>
      </c>
      <c r="AH20" s="145">
        <f>IF(KOL_Database!$O$18="",0,KOL_Database!$O$18)</f>
        <v>13.5</v>
      </c>
      <c r="AI20" s="145">
        <f>ROUND(MIN(100,IF(KOL_Database!$N$18="",0,KOL_Database!$N$18)*8+IF(KOL_Database!$O$18="",0,KOL_Database!$O$18)*2+IF(KOL_Database!$K$18="",0,KOL_Database!$K$18)*3),1)</f>
        <v>78.7</v>
      </c>
      <c r="AJ20" s="145">
        <f>IF(KOL_Database!$R$18="",0,KOL_Database!$R$18)</f>
        <v>62</v>
      </c>
      <c r="AK20" s="145">
        <f>IF(KOL_Database!$S$18="",0,KOL_Database!$S$18)</f>
        <v>68</v>
      </c>
      <c r="AL20" s="145">
        <f ca="1">INDEX(Matching_Engine!$S$6:$S$95,$W20,1)</f>
        <v>49</v>
      </c>
      <c r="AM20" s="145">
        <f>IF(KOL_Database!$Q$18="",0,KOL_Database!$Q$18)</f>
        <v>92</v>
      </c>
      <c r="AN20" s="145">
        <f>IF(KOL_Database!$AO$18="",999999999,KOL_Database!$AO$18)</f>
        <v>150.87</v>
      </c>
      <c r="AO20" s="145">
        <f>IF(KOL_Database!$AP$18="",999999999,KOL_Database!$AP$18)</f>
        <v>3210</v>
      </c>
      <c r="AP20" s="145">
        <f>IF(KOL_Database!$AQ$18="",999999999,KOL_Database!$AQ$18)</f>
        <v>34246</v>
      </c>
      <c r="AQ20" s="145">
        <f>IF(KOL_Database!$BD$18="",0,KOL_Database!$BD$18)</f>
        <v>46</v>
      </c>
      <c r="AR20" s="145">
        <f>IF(KOL_Database!$AS$18="",0,KOL_Database!$AS$18)</f>
        <v>4.71</v>
      </c>
      <c r="AS20" s="145">
        <f>INDEX(Matching_Engine!$AT$6:$AT$95,$W20,1)</f>
        <v>28</v>
      </c>
      <c r="AT20" s="145">
        <f>INDEX(Matching_Engine!$AU$6:$AU$95,$W20,1)</f>
        <v>70</v>
      </c>
      <c r="AU20" s="145">
        <f>IF(KOL_Database!$AU$18="",0,KOL_Database!$AU$18)</f>
        <v>15</v>
      </c>
      <c r="AV20" s="145">
        <f>INDEX(Matching_Engine!$X$6:$X$95,$W20,1)</f>
        <v>19</v>
      </c>
      <c r="AW20" s="145">
        <f>IF(KOL_Database!$BA$18="",0,KOL_Database!$BA$18+0)</f>
        <v>46091.7083333333</v>
      </c>
      <c r="AX20" s="145">
        <f>IF(KOL_Database!$BB$18="",0,KOL_Database!$BB$18+0)</f>
        <v>46257.7083333333</v>
      </c>
      <c r="AY20" s="145">
        <f>ROUND(IF(KOL_Database!$V$18="",0,KOL_Database!$V$18)*0.6+MIN(100,IF(KOL_Database!$N$18="",0,KOL_Database!$N$18)*10)*0.4,1)</f>
        <v>48.2</v>
      </c>
      <c r="AZ20" s="145">
        <f>ROUND(MIN(100,IF(KOL_Database!$K$18="",0,KOL_Database!$K$18)/8*100)*0.35+IF(KOL_Database!$R$18="",0,KOL_Database!$R$18)*0.25+(100-IF(KOL_Database!$AU$18="",0,KOL_Database!$AU$18))*0.25+(100-MIN(100,IF(KOL_Database!$J$18="",0,KOL_Database!$J$18)/5000))*0.15,1)</f>
        <v>64.3</v>
      </c>
      <c r="BA20" s="145">
        <f ca="1">ROUND(INDEX(Matching_Engine!$AP$6:$AP$95,$W20,1)*IF(INDEX(Matching_Engine!$AS$6:$AS$95,$W20,1)="High",1,IF(INDEX(Matching_Engine!$AS$6:$AS$95,$W20,1)="Medium",0.92,0.8)),1)</f>
        <v>41</v>
      </c>
    </row>
    <row r="21" spans="1:53">
      <c r="A21" s="89">
        <f ca="1" t="shared" si="0"/>
        <v>13</v>
      </c>
      <c r="B21" s="89" t="str">
        <f>KOL_Database!$B$19</f>
        <v>Andini Rahma</v>
      </c>
      <c r="C21" s="89" t="str">
        <f>KOL_Database!$C$19</f>
        <v>@andinidaily</v>
      </c>
      <c r="D21" s="89" t="str">
        <f>KOL_Database!$D$19</f>
        <v>Instagram</v>
      </c>
      <c r="E21" s="89" t="str">
        <f>KOL_Database!$E$19</f>
        <v>Lifestyle</v>
      </c>
      <c r="F21" s="89" t="str">
        <f>KOL_Database!$G$19</f>
        <v>Mid-tier</v>
      </c>
      <c r="G21" s="140">
        <f>KOL_Database!$J$19</f>
        <v>58000</v>
      </c>
      <c r="H21" s="141">
        <f>KOL_Database!$K$19</f>
        <v>5.8</v>
      </c>
      <c r="I21" s="142">
        <f ca="1">INDEX(Matching_Engine!$S$6:$S$95,$W21,1)</f>
        <v>58</v>
      </c>
      <c r="J21" s="13">
        <f ca="1">INDEX(Matching_Engine!$AP$6:$AP$95,$W21,1)</f>
        <v>48</v>
      </c>
      <c r="K21" s="142">
        <f>INDEX(Matching_Engine!$X$6:$X$95,$W21,1)</f>
        <v>25</v>
      </c>
      <c r="L21" s="142">
        <f>INDEX(Matching_Engine!$AJ$6:$AJ$95,$W21,1)</f>
        <v>74</v>
      </c>
      <c r="M21" s="142">
        <f>INDEX(Matching_Engine!$AO$6:$AO$95,$W21,1)</f>
        <v>80</v>
      </c>
      <c r="N21" s="142">
        <f>INDEX(Matching_Engine!$AU$6:$AU$95,$W21,1)</f>
        <v>53</v>
      </c>
      <c r="O21" s="143" t="str">
        <f>IF(KOL_Database!$AS$19="","—",KOL_Database!$AS$19)</f>
        <v>—</v>
      </c>
      <c r="P21" s="89" t="str">
        <f ca="1">INDEX(Matching_Engine!$AQ$6:$AQ$95,$W21,1)</f>
        <v>Low Match</v>
      </c>
      <c r="Q21" s="89" t="str">
        <f ca="1">INDEX(Matching_Engine!$AX$6:$AX$95,$W21,1)</f>
        <v>Low Priority</v>
      </c>
      <c r="R21" s="89" t="str">
        <f ca="1">INDEX(Matching_Engine!$AV$6:$AV$95,$W21,1)</f>
        <v>PASS</v>
      </c>
      <c r="S21" s="144">
        <f ca="1" t="shared" si="1"/>
        <v>48.05825748</v>
      </c>
      <c r="T21" s="89">
        <f ca="1">IF($R21="EXCLUDED","—",IF(Discovery_Ranking!$F$4="asc",COUNTIFS($U$7:$U$36,"&lt;"&amp;$U21,$R$7:$R$36,"PASS")+1,COUNTIFS($U$7:$U$36,"&gt;"&amp;$U21,$R$7:$R$36,"PASS")+1))</f>
        <v>12</v>
      </c>
      <c r="U21" s="143">
        <f ca="1">INDEX($X21:$BA21,1,Discovery_Ranking!$K$4)</f>
        <v>48</v>
      </c>
      <c r="V21" s="89" t="str">
        <f>KOL_Database!$A$19</f>
        <v>KOL-15</v>
      </c>
      <c r="W21" s="89">
        <f>MATCH(Brand_Profile!$B$4&amp;"|"&amp;KOL_Database!$A$19,Matching_Engine!$AZ$6:$AZ$95,0)</f>
        <v>15</v>
      </c>
      <c r="X21" s="145">
        <f ca="1">INDEX(Matching_Engine!$AP$6:$AP$95,$W21,1)</f>
        <v>48</v>
      </c>
      <c r="Y21" s="145">
        <f>IF(KOL_Database!$L$19="",0,KOL_Database!$L$19)</f>
        <v>19817</v>
      </c>
      <c r="Z21" s="145">
        <f>IF(KOL_Database!$M$19="",0,KOL_Database!$M$19)</f>
        <v>0</v>
      </c>
      <c r="AA21" s="145">
        <f>ROUND(INDEX(Matching_Engine!$AD$6:$AD$95,$W21,1)*0.6+INDEX(Matching_Engine!$AE$6:$AE$95,$W21,1)*0.4,1)</f>
        <v>89.8</v>
      </c>
      <c r="AB21" s="145">
        <f>IF(KOL_Database!$T$19="",0,KOL_Database!$T$19)</f>
        <v>1.78</v>
      </c>
      <c r="AC21" s="145">
        <f>IF(KOL_Database!$U$19="",0,KOL_Database!$U$19)</f>
        <v>2.87</v>
      </c>
      <c r="AD21" s="145">
        <f>IF(KOL_Database!$P$19="",0,KOL_Database!$P$19)</f>
        <v>54</v>
      </c>
      <c r="AE21" s="145">
        <f>IF(KOL_Database!$BC$19="",0,KOL_Database!$BC$19)</f>
        <v>0.342</v>
      </c>
      <c r="AF21" s="145">
        <f>IF(KOL_Database!$V$19="",0,KOL_Database!$V$19)</f>
        <v>77</v>
      </c>
      <c r="AG21" s="145">
        <f>IF(KOL_Database!$N$19="",0,KOL_Database!$N$19)</f>
        <v>0.8</v>
      </c>
      <c r="AH21" s="145">
        <f>IF(KOL_Database!$O$19="",0,KOL_Database!$O$19)</f>
        <v>2.2</v>
      </c>
      <c r="AI21" s="145">
        <f>ROUND(MIN(100,IF(KOL_Database!$N$19="",0,KOL_Database!$N$19)*8+IF(KOL_Database!$O$19="",0,KOL_Database!$O$19)*2+IF(KOL_Database!$K$19="",0,KOL_Database!$K$19)*3),1)</f>
        <v>28.2</v>
      </c>
      <c r="AJ21" s="145">
        <f>IF(KOL_Database!$R$19="",0,KOL_Database!$R$19)</f>
        <v>79</v>
      </c>
      <c r="AK21" s="145">
        <f>IF(KOL_Database!$S$19="",0,KOL_Database!$S$19)</f>
        <v>75</v>
      </c>
      <c r="AL21" s="145">
        <f ca="1">INDEX(Matching_Engine!$S$6:$S$95,$W21,1)</f>
        <v>58</v>
      </c>
      <c r="AM21" s="145">
        <f>IF(KOL_Database!$Q$19="",0,KOL_Database!$Q$19)</f>
        <v>49</v>
      </c>
      <c r="AN21" s="145">
        <f>IF(KOL_Database!$AO$19="",999999999,KOL_Database!$AO$19)</f>
        <v>999999999</v>
      </c>
      <c r="AO21" s="145">
        <f>IF(KOL_Database!$AP$19="",999999999,KOL_Database!$AP$19)</f>
        <v>999999999</v>
      </c>
      <c r="AP21" s="145">
        <f>IF(KOL_Database!$AQ$19="",999999999,KOL_Database!$AQ$19)</f>
        <v>999999999</v>
      </c>
      <c r="AQ21" s="145">
        <f>IF(KOL_Database!$BD$19="",0,KOL_Database!$BD$19)</f>
        <v>0</v>
      </c>
      <c r="AR21" s="145">
        <f>IF(KOL_Database!$AS$19="",0,KOL_Database!$AS$19)</f>
        <v>0</v>
      </c>
      <c r="AS21" s="145">
        <f>INDEX(Matching_Engine!$AT$6:$AT$95,$W21,1)</f>
        <v>31</v>
      </c>
      <c r="AT21" s="145">
        <f>INDEX(Matching_Engine!$AU$6:$AU$95,$W21,1)</f>
        <v>53</v>
      </c>
      <c r="AU21" s="145">
        <f>IF(KOL_Database!$AU$19="",0,KOL_Database!$AU$19)</f>
        <v>47</v>
      </c>
      <c r="AV21" s="145">
        <f>INDEX(Matching_Engine!$X$6:$X$95,$W21,1)</f>
        <v>25</v>
      </c>
      <c r="AW21" s="145">
        <f>IF(KOL_Database!$BA$19="",0,KOL_Database!$BA$19+0)</f>
        <v>46192.7083333333</v>
      </c>
      <c r="AX21" s="145">
        <f>IF(KOL_Database!$BB$19="",0,KOL_Database!$BB$19+0)</f>
        <v>46241.7083333333</v>
      </c>
      <c r="AY21" s="145">
        <f>ROUND(IF(KOL_Database!$V$19="",0,KOL_Database!$V$19)*0.6+MIN(100,IF(KOL_Database!$N$19="",0,KOL_Database!$N$19)*10)*0.4,1)</f>
        <v>49.4</v>
      </c>
      <c r="AZ21" s="145">
        <f>ROUND(MIN(100,IF(KOL_Database!$K$19="",0,KOL_Database!$K$19)/8*100)*0.35+IF(KOL_Database!$R$19="",0,KOL_Database!$R$19)*0.25+(100-IF(KOL_Database!$AU$19="",0,KOL_Database!$AU$19))*0.25+(100-MIN(100,IF(KOL_Database!$J$19="",0,KOL_Database!$J$19)/5000))*0.15,1)</f>
        <v>71.6</v>
      </c>
      <c r="BA21" s="145">
        <f ca="1">ROUND(INDEX(Matching_Engine!$AP$6:$AP$95,$W21,1)*IF(INDEX(Matching_Engine!$AS$6:$AS$95,$W21,1)="High",1,IF(INDEX(Matching_Engine!$AS$6:$AS$95,$W21,1)="Medium",0.92,0.8)),1)</f>
        <v>38.4</v>
      </c>
    </row>
    <row r="22" spans="1:53">
      <c r="A22" s="89">
        <f ca="1" t="shared" si="0"/>
        <v>7</v>
      </c>
      <c r="B22" s="89" t="str">
        <f>KOL_Database!$B$20</f>
        <v>Yoga Pratama</v>
      </c>
      <c r="C22" s="89" t="str">
        <f>KOL_Database!$C$20</f>
        <v>@yogaminimal</v>
      </c>
      <c r="D22" s="89" t="str">
        <f>KOL_Database!$D$20</f>
        <v>TikTok</v>
      </c>
      <c r="E22" s="89" t="str">
        <f>KOL_Database!$E$20</f>
        <v>Lifestyle</v>
      </c>
      <c r="F22" s="89" t="str">
        <f>KOL_Database!$G$20</f>
        <v>Macro</v>
      </c>
      <c r="G22" s="140">
        <f>KOL_Database!$J$20</f>
        <v>143000</v>
      </c>
      <c r="H22" s="141">
        <f>KOL_Database!$K$20</f>
        <v>7.3</v>
      </c>
      <c r="I22" s="142">
        <f ca="1">INDEX(Matching_Engine!$S$6:$S$95,$W22,1)</f>
        <v>83</v>
      </c>
      <c r="J22" s="13">
        <f ca="1">INDEX(Matching_Engine!$AP$6:$AP$95,$W22,1)</f>
        <v>67</v>
      </c>
      <c r="K22" s="142">
        <f>INDEX(Matching_Engine!$X$6:$X$95,$W22,1)</f>
        <v>49</v>
      </c>
      <c r="L22" s="142">
        <f>INDEX(Matching_Engine!$AJ$6:$AJ$95,$W22,1)</f>
        <v>81</v>
      </c>
      <c r="M22" s="142">
        <f>INDEX(Matching_Engine!$AO$6:$AO$95,$W22,1)</f>
        <v>75</v>
      </c>
      <c r="N22" s="142">
        <f>INDEX(Matching_Engine!$AU$6:$AU$95,$W22,1)</f>
        <v>75</v>
      </c>
      <c r="O22" s="143">
        <f>IF(KOL_Database!$AS$20="","—",KOL_Database!$AS$20)</f>
        <v>14.62</v>
      </c>
      <c r="P22" s="89" t="str">
        <f ca="1">INDEX(Matching_Engine!$AQ$6:$AQ$95,$W22,1)</f>
        <v>Moderate Match</v>
      </c>
      <c r="Q22" s="89" t="str">
        <f ca="1">INDEX(Matching_Engine!$AX$6:$AX$95,$W22,1)</f>
        <v>Consider</v>
      </c>
      <c r="R22" s="89" t="str">
        <f ca="1">INDEX(Matching_Engine!$AV$6:$AV$95,$W22,1)</f>
        <v>PASS</v>
      </c>
      <c r="S22" s="144">
        <f ca="1" t="shared" si="1"/>
        <v>67.083498175</v>
      </c>
      <c r="T22" s="89">
        <f ca="1">IF($R22="EXCLUDED","—",IF(Discovery_Ranking!$F$4="asc",COUNTIFS($U$7:$U$36,"&lt;"&amp;$U22,$R$7:$R$36,"PASS")+1,COUNTIFS($U$7:$U$36,"&gt;"&amp;$U22,$R$7:$R$36,"PASS")+1))</f>
        <v>7</v>
      </c>
      <c r="U22" s="143">
        <f ca="1">INDEX($X22:$BA22,1,Discovery_Ranking!$K$4)</f>
        <v>67</v>
      </c>
      <c r="V22" s="89" t="str">
        <f>KOL_Database!$A$20</f>
        <v>KOL-16</v>
      </c>
      <c r="W22" s="89">
        <f>MATCH(Brand_Profile!$B$4&amp;"|"&amp;KOL_Database!$A$20,Matching_Engine!$AZ$6:$AZ$95,0)</f>
        <v>16</v>
      </c>
      <c r="X22" s="145">
        <f ca="1">INDEX(Matching_Engine!$AP$6:$AP$95,$W22,1)</f>
        <v>67</v>
      </c>
      <c r="Y22" s="145">
        <f>IF(KOL_Database!$L$20="",0,KOL_Database!$L$20)</f>
        <v>128922</v>
      </c>
      <c r="Z22" s="145">
        <f>IF(KOL_Database!$M$20="",0,KOL_Database!$M$20)</f>
        <v>93520</v>
      </c>
      <c r="AA22" s="145">
        <f>ROUND(INDEX(Matching_Engine!$AD$6:$AD$95,$W22,1)*0.6+INDEX(Matching_Engine!$AE$6:$AE$95,$W22,1)*0.4,1)</f>
        <v>88.8</v>
      </c>
      <c r="AB22" s="145">
        <f>IF(KOL_Database!$T$20="",0,KOL_Database!$T$20)</f>
        <v>1.11</v>
      </c>
      <c r="AC22" s="145">
        <f>IF(KOL_Database!$U$20="",0,KOL_Database!$U$20)</f>
        <v>1.8</v>
      </c>
      <c r="AD22" s="145">
        <f>IF(KOL_Database!$P$20="",0,KOL_Database!$P$20)</f>
        <v>69</v>
      </c>
      <c r="AE22" s="145">
        <f>IF(KOL_Database!$BC$20="",0,KOL_Database!$BC$20)</f>
        <v>0.902</v>
      </c>
      <c r="AF22" s="145">
        <f>IF(KOL_Database!$V$20="",0,KOL_Database!$V$20)</f>
        <v>65</v>
      </c>
      <c r="AG22" s="145">
        <f>IF(KOL_Database!$N$20="",0,KOL_Database!$N$20)</f>
        <v>1.6</v>
      </c>
      <c r="AH22" s="145">
        <f>IF(KOL_Database!$O$20="",0,KOL_Database!$O$20)</f>
        <v>4.7</v>
      </c>
      <c r="AI22" s="145">
        <f>ROUND(MIN(100,IF(KOL_Database!$N$20="",0,KOL_Database!$N$20)*8+IF(KOL_Database!$O$20="",0,KOL_Database!$O$20)*2+IF(KOL_Database!$K$20="",0,KOL_Database!$K$20)*3),1)</f>
        <v>44.1</v>
      </c>
      <c r="AJ22" s="145">
        <f>IF(KOL_Database!$R$20="",0,KOL_Database!$R$20)</f>
        <v>72</v>
      </c>
      <c r="AK22" s="145">
        <f>IF(KOL_Database!$S$20="",0,KOL_Database!$S$20)</f>
        <v>75</v>
      </c>
      <c r="AL22" s="145">
        <f ca="1">INDEX(Matching_Engine!$S$6:$S$95,$W22,1)</f>
        <v>83</v>
      </c>
      <c r="AM22" s="145">
        <f>IF(KOL_Database!$Q$20="",0,KOL_Database!$Q$20)</f>
        <v>58</v>
      </c>
      <c r="AN22" s="145">
        <f>IF(KOL_Database!$AO$20="",999999999,KOL_Database!$AO$20)</f>
        <v>57.66</v>
      </c>
      <c r="AO22" s="145">
        <f>IF(KOL_Database!$AP$20="",999999999,KOL_Database!$AP$20)</f>
        <v>790</v>
      </c>
      <c r="AP22" s="145">
        <f>IF(KOL_Database!$AQ$20="",999999999,KOL_Database!$AQ$20)</f>
        <v>51986</v>
      </c>
      <c r="AQ22" s="145">
        <f>IF(KOL_Database!$BD$20="",0,KOL_Database!$BD$20)</f>
        <v>100</v>
      </c>
      <c r="AR22" s="145">
        <f>IF(KOL_Database!$AS$20="",0,KOL_Database!$AS$20)</f>
        <v>14.62</v>
      </c>
      <c r="AS22" s="145">
        <f>INDEX(Matching_Engine!$AT$6:$AT$95,$W22,1)</f>
        <v>54</v>
      </c>
      <c r="AT22" s="145">
        <f>INDEX(Matching_Engine!$AU$6:$AU$95,$W22,1)</f>
        <v>75</v>
      </c>
      <c r="AU22" s="145">
        <f>IF(KOL_Database!$AU$20="",0,KOL_Database!$AU$20)</f>
        <v>27</v>
      </c>
      <c r="AV22" s="145">
        <f>INDEX(Matching_Engine!$X$6:$X$95,$W22,1)</f>
        <v>49</v>
      </c>
      <c r="AW22" s="145">
        <f>IF(KOL_Database!$BA$20="",0,KOL_Database!$BA$20+0)</f>
        <v>46208.7083333333</v>
      </c>
      <c r="AX22" s="145">
        <f>IF(KOL_Database!$BB$20="",0,KOL_Database!$BB$20+0)</f>
        <v>46258.7083333333</v>
      </c>
      <c r="AY22" s="145">
        <f>ROUND(IF(KOL_Database!$V$20="",0,KOL_Database!$V$20)*0.6+MIN(100,IF(KOL_Database!$N$20="",0,KOL_Database!$N$20)*10)*0.4,1)</f>
        <v>45.4</v>
      </c>
      <c r="AZ22" s="145">
        <f>ROUND(MIN(100,IF(KOL_Database!$K$20="",0,KOL_Database!$K$20)/8*100)*0.35+IF(KOL_Database!$R$20="",0,KOL_Database!$R$20)*0.25+(100-IF(KOL_Database!$AU$20="",0,KOL_Database!$AU$20))*0.25+(100-MIN(100,IF(KOL_Database!$J$20="",0,KOL_Database!$J$20)/5000))*0.15,1)</f>
        <v>78.9</v>
      </c>
      <c r="BA22" s="145">
        <f ca="1">ROUND(INDEX(Matching_Engine!$AP$6:$AP$95,$W22,1)*IF(INDEX(Matching_Engine!$AS$6:$AS$95,$W22,1)="High",1,IF(INDEX(Matching_Engine!$AS$6:$AS$95,$W22,1)="Medium",0.92,0.8)),1)</f>
        <v>67</v>
      </c>
    </row>
    <row r="23" spans="1:53">
      <c r="A23" s="89">
        <f ca="1" t="shared" si="0"/>
        <v>23</v>
      </c>
      <c r="B23" s="89" t="str">
        <f>KOL_Database!$B$21</f>
        <v>Sinta Maharani</v>
      </c>
      <c r="C23" s="89" t="str">
        <f>KOL_Database!$C$21</f>
        <v>@sintajalanjalan</v>
      </c>
      <c r="D23" s="89" t="str">
        <f>KOL_Database!$D$21</f>
        <v>Instagram</v>
      </c>
      <c r="E23" s="89" t="str">
        <f>KOL_Database!$E$21</f>
        <v>Travel</v>
      </c>
      <c r="F23" s="89" t="str">
        <f>KOL_Database!$G$21</f>
        <v>Macro</v>
      </c>
      <c r="G23" s="140">
        <f>KOL_Database!$J$21</f>
        <v>187000</v>
      </c>
      <c r="H23" s="141">
        <f>KOL_Database!$K$21</f>
        <v>4.1</v>
      </c>
      <c r="I23" s="142">
        <f ca="1">INDEX(Matching_Engine!$S$6:$S$95,$W23,1)</f>
        <v>49</v>
      </c>
      <c r="J23" s="13">
        <f ca="1">INDEX(Matching_Engine!$AP$6:$AP$95,$W23,1)</f>
        <v>42</v>
      </c>
      <c r="K23" s="142">
        <f>INDEX(Matching_Engine!$X$6:$X$95,$W23,1)</f>
        <v>19</v>
      </c>
      <c r="L23" s="142">
        <f>INDEX(Matching_Engine!$AJ$6:$AJ$95,$W23,1)</f>
        <v>67</v>
      </c>
      <c r="M23" s="142">
        <f>INDEX(Matching_Engine!$AO$6:$AO$95,$W23,1)</f>
        <v>78</v>
      </c>
      <c r="N23" s="142">
        <f>INDEX(Matching_Engine!$AU$6:$AU$95,$W23,1)</f>
        <v>59</v>
      </c>
      <c r="O23" s="143">
        <f>IF(KOL_Database!$AS$21="","—",KOL_Database!$AS$21)</f>
        <v>4.91</v>
      </c>
      <c r="P23" s="89" t="str">
        <f ca="1">INDEX(Matching_Engine!$AQ$6:$AQ$95,$W23,1)</f>
        <v>Low Match</v>
      </c>
      <c r="Q23" s="89" t="str">
        <f ca="1">INDEX(Matching_Engine!$AX$6:$AX$95,$W23,1)</f>
        <v>Low Priority</v>
      </c>
      <c r="R23" s="89" t="str">
        <f ca="1">INDEX(Matching_Engine!$AV$6:$AV$95,$W23,1)</f>
        <v>PASS</v>
      </c>
      <c r="S23" s="144">
        <f ca="1" t="shared" si="1"/>
        <v>42.049196778</v>
      </c>
      <c r="T23" s="89">
        <f ca="1">IF($R23="EXCLUDED","—",IF(Discovery_Ranking!$F$4="asc",COUNTIFS($U$7:$U$36,"&lt;"&amp;$U23,$R$7:$R$36,"PASS")+1,COUNTIFS($U$7:$U$36,"&gt;"&amp;$U23,$R$7:$R$36,"PASS")+1))</f>
        <v>22</v>
      </c>
      <c r="U23" s="143">
        <f ca="1">INDEX($X23:$BA23,1,Discovery_Ranking!$K$4)</f>
        <v>42</v>
      </c>
      <c r="V23" s="89" t="str">
        <f>KOL_Database!$A$21</f>
        <v>KOL-17</v>
      </c>
      <c r="W23" s="89">
        <f>MATCH(Brand_Profile!$B$4&amp;"|"&amp;KOL_Database!$A$21,Matching_Engine!$AZ$6:$AZ$95,0)</f>
        <v>17</v>
      </c>
      <c r="X23" s="145">
        <f ca="1">INDEX(Matching_Engine!$AP$6:$AP$95,$W23,1)</f>
        <v>42</v>
      </c>
      <c r="Y23" s="145">
        <f>IF(KOL_Database!$L$21="",0,KOL_Database!$L$21)</f>
        <v>63792</v>
      </c>
      <c r="Z23" s="145">
        <f>IF(KOL_Database!$M$21="",0,KOL_Database!$M$21)</f>
        <v>49777</v>
      </c>
      <c r="AA23" s="145">
        <f>ROUND(INDEX(Matching_Engine!$AD$6:$AD$95,$W23,1)*0.6+INDEX(Matching_Engine!$AE$6:$AE$95,$W23,1)*0.4,1)</f>
        <v>72.4</v>
      </c>
      <c r="AB23" s="145">
        <f>IF(KOL_Database!$T$21="",0,KOL_Database!$T$21)</f>
        <v>1.33</v>
      </c>
      <c r="AC23" s="145">
        <f>IF(KOL_Database!$U$21="",0,KOL_Database!$U$21)</f>
        <v>2.67</v>
      </c>
      <c r="AD23" s="145">
        <f>IF(KOL_Database!$P$21="",0,KOL_Database!$P$21)</f>
        <v>60</v>
      </c>
      <c r="AE23" s="145">
        <f>IF(KOL_Database!$BC$21="",0,KOL_Database!$BC$21)</f>
        <v>0.341</v>
      </c>
      <c r="AF23" s="145">
        <f>IF(KOL_Database!$V$21="",0,KOL_Database!$V$21)</f>
        <v>70</v>
      </c>
      <c r="AG23" s="145">
        <f>IF(KOL_Database!$N$21="",0,KOL_Database!$N$21)</f>
        <v>3.8</v>
      </c>
      <c r="AH23" s="145">
        <f>IF(KOL_Database!$O$21="",0,KOL_Database!$O$21)</f>
        <v>10.1</v>
      </c>
      <c r="AI23" s="145">
        <f>ROUND(MIN(100,IF(KOL_Database!$N$21="",0,KOL_Database!$N$21)*8+IF(KOL_Database!$O$21="",0,KOL_Database!$O$21)*2+IF(KOL_Database!$K$21="",0,KOL_Database!$K$21)*3),1)</f>
        <v>62.9</v>
      </c>
      <c r="AJ23" s="145">
        <f>IF(KOL_Database!$R$21="",0,KOL_Database!$R$21)</f>
        <v>79</v>
      </c>
      <c r="AK23" s="145">
        <f>IF(KOL_Database!$S$21="",0,KOL_Database!$S$21)</f>
        <v>65</v>
      </c>
      <c r="AL23" s="145">
        <f ca="1">INDEX(Matching_Engine!$S$6:$S$95,$W23,1)</f>
        <v>49</v>
      </c>
      <c r="AM23" s="145">
        <f>IF(KOL_Database!$Q$21="",0,KOL_Database!$Q$21)</f>
        <v>55</v>
      </c>
      <c r="AN23" s="145">
        <f>IF(KOL_Database!$AO$21="",999999999,KOL_Database!$AO$21)</f>
        <v>112.98</v>
      </c>
      <c r="AO23" s="145">
        <f>IF(KOL_Database!$AP$21="",999999999,KOL_Database!$AP$21)</f>
        <v>2756</v>
      </c>
      <c r="AP23" s="145">
        <f>IF(KOL_Database!$AQ$21="",999999999,KOL_Database!$AQ$21)</f>
        <v>38540</v>
      </c>
      <c r="AQ23" s="145">
        <f>IF(KOL_Database!$BD$21="",0,KOL_Database!$BD$21)</f>
        <v>53</v>
      </c>
      <c r="AR23" s="145">
        <f>IF(KOL_Database!$AS$21="",0,KOL_Database!$AS$21)</f>
        <v>4.91</v>
      </c>
      <c r="AS23" s="145">
        <f>INDEX(Matching_Engine!$AT$6:$AT$95,$W23,1)</f>
        <v>29</v>
      </c>
      <c r="AT23" s="145">
        <f>INDEX(Matching_Engine!$AU$6:$AU$95,$W23,1)</f>
        <v>59</v>
      </c>
      <c r="AU23" s="145">
        <f>IF(KOL_Database!$AU$21="",0,KOL_Database!$AU$21)</f>
        <v>41</v>
      </c>
      <c r="AV23" s="145">
        <f>INDEX(Matching_Engine!$X$6:$X$95,$W23,1)</f>
        <v>19</v>
      </c>
      <c r="AW23" s="145">
        <f>IF(KOL_Database!$BA$21="",0,KOL_Database!$BA$21+0)</f>
        <v>46212.7083333333</v>
      </c>
      <c r="AX23" s="145">
        <f>IF(KOL_Database!$BB$21="",0,KOL_Database!$BB$21+0)</f>
        <v>46254.7083333333</v>
      </c>
      <c r="AY23" s="145">
        <f>ROUND(IF(KOL_Database!$V$21="",0,KOL_Database!$V$21)*0.6+MIN(100,IF(KOL_Database!$N$21="",0,KOL_Database!$N$21)*10)*0.4,1)</f>
        <v>57.2</v>
      </c>
      <c r="AZ23" s="145">
        <f>ROUND(MIN(100,IF(KOL_Database!$K$21="",0,KOL_Database!$K$21)/8*100)*0.35+IF(KOL_Database!$R$21="",0,KOL_Database!$R$21)*0.25+(100-IF(KOL_Database!$AU$21="",0,KOL_Database!$AU$21))*0.25+(100-MIN(100,IF(KOL_Database!$J$21="",0,KOL_Database!$J$21)/5000))*0.15,1)</f>
        <v>61.8</v>
      </c>
      <c r="BA23" s="145">
        <f ca="1">ROUND(INDEX(Matching_Engine!$AP$6:$AP$95,$W23,1)*IF(INDEX(Matching_Engine!$AS$6:$AS$95,$W23,1)="High",1,IF(INDEX(Matching_Engine!$AS$6:$AS$95,$W23,1)="Medium",0.92,0.8)),1)</f>
        <v>42</v>
      </c>
    </row>
    <row r="24" spans="1:53">
      <c r="A24" s="89">
        <f ca="1" t="shared" si="0"/>
        <v>14</v>
      </c>
      <c r="B24" s="89" t="str">
        <f>KOL_Database!$B$22</f>
        <v>Reza Fadillah</v>
      </c>
      <c r="C24" s="89" t="str">
        <f>KOL_Database!$C$22</f>
        <v>@rezabudgettrip</v>
      </c>
      <c r="D24" s="89" t="str">
        <f>KOL_Database!$D$22</f>
        <v>TikTok</v>
      </c>
      <c r="E24" s="89" t="str">
        <f>KOL_Database!$E$22</f>
        <v>Travel</v>
      </c>
      <c r="F24" s="89" t="str">
        <f>KOL_Database!$G$22</f>
        <v>Mid-tier</v>
      </c>
      <c r="G24" s="140">
        <f>KOL_Database!$J$22</f>
        <v>72000</v>
      </c>
      <c r="H24" s="141">
        <f>KOL_Database!$K$22</f>
        <v>6.9</v>
      </c>
      <c r="I24" s="142">
        <f ca="1">INDEX(Matching_Engine!$S$6:$S$95,$W24,1)</f>
        <v>57</v>
      </c>
      <c r="J24" s="13">
        <f ca="1">INDEX(Matching_Engine!$AP$6:$AP$95,$W24,1)</f>
        <v>48</v>
      </c>
      <c r="K24" s="142">
        <f>INDEX(Matching_Engine!$X$6:$X$95,$W24,1)</f>
        <v>25</v>
      </c>
      <c r="L24" s="142">
        <f>INDEX(Matching_Engine!$AJ$6:$AJ$95,$W24,1)</f>
        <v>87</v>
      </c>
      <c r="M24" s="142">
        <f>INDEX(Matching_Engine!$AO$6:$AO$95,$W24,1)</f>
        <v>79</v>
      </c>
      <c r="N24" s="142">
        <f>INDEX(Matching_Engine!$AU$6:$AU$95,$W24,1)</f>
        <v>68</v>
      </c>
      <c r="O24" s="143">
        <f>IF(KOL_Database!$AS$22="","—",KOL_Database!$AS$22)</f>
        <v>19.42</v>
      </c>
      <c r="P24" s="89" t="str">
        <f ca="1">INDEX(Matching_Engine!$AQ$6:$AQ$95,$W24,1)</f>
        <v>Low Match</v>
      </c>
      <c r="Q24" s="89" t="str">
        <f ca="1">INDEX(Matching_Engine!$AX$6:$AX$95,$W24,1)</f>
        <v>Low Priority</v>
      </c>
      <c r="R24" s="89" t="str">
        <f ca="1">INDEX(Matching_Engine!$AV$6:$AV$95,$W24,1)</f>
        <v>PASS</v>
      </c>
      <c r="S24" s="144">
        <f ca="1" t="shared" si="1"/>
        <v>48.057258779</v>
      </c>
      <c r="T24" s="89">
        <f ca="1">IF($R24="EXCLUDED","—",IF(Discovery_Ranking!$F$4="asc",COUNTIFS($U$7:$U$36,"&lt;"&amp;$U24,$R$7:$R$36,"PASS")+1,COUNTIFS($U$7:$U$36,"&gt;"&amp;$U24,$R$7:$R$36,"PASS")+1))</f>
        <v>12</v>
      </c>
      <c r="U24" s="143">
        <f ca="1">INDEX($X24:$BA24,1,Discovery_Ranking!$K$4)</f>
        <v>48</v>
      </c>
      <c r="V24" s="89" t="str">
        <f>KOL_Database!$A$22</f>
        <v>KOL-18</v>
      </c>
      <c r="W24" s="89">
        <f>MATCH(Brand_Profile!$B$4&amp;"|"&amp;KOL_Database!$A$22,Matching_Engine!$AZ$6:$AZ$95,0)</f>
        <v>18</v>
      </c>
      <c r="X24" s="145">
        <f ca="1">INDEX(Matching_Engine!$AP$6:$AP$95,$W24,1)</f>
        <v>48</v>
      </c>
      <c r="Y24" s="145">
        <f>IF(KOL_Database!$L$22="",0,KOL_Database!$L$22)</f>
        <v>78906</v>
      </c>
      <c r="Z24" s="145">
        <f>IF(KOL_Database!$M$22="",0,KOL_Database!$M$22)</f>
        <v>60692</v>
      </c>
      <c r="AA24" s="145">
        <f>ROUND(INDEX(Matching_Engine!$AD$6:$AD$95,$W24,1)*0.6+INDEX(Matching_Engine!$AE$6:$AE$95,$W24,1)*0.4,1)</f>
        <v>92.8</v>
      </c>
      <c r="AB24" s="145">
        <f>IF(KOL_Database!$T$22="",0,KOL_Database!$T$22)</f>
        <v>1.34</v>
      </c>
      <c r="AC24" s="145">
        <f>IF(KOL_Database!$U$22="",0,KOL_Database!$U$22)</f>
        <v>3.01</v>
      </c>
      <c r="AD24" s="145">
        <f>IF(KOL_Database!$P$22="",0,KOL_Database!$P$22)</f>
        <v>79</v>
      </c>
      <c r="AE24" s="145">
        <f>IF(KOL_Database!$BC$22="",0,KOL_Database!$BC$22)</f>
        <v>1.096</v>
      </c>
      <c r="AF24" s="145">
        <f>IF(KOL_Database!$V$22="",0,KOL_Database!$V$22)</f>
        <v>76</v>
      </c>
      <c r="AG24" s="145">
        <f>IF(KOL_Database!$N$22="",0,KOL_Database!$N$22)</f>
        <v>1.8</v>
      </c>
      <c r="AH24" s="145">
        <f>IF(KOL_Database!$O$22="",0,KOL_Database!$O$22)</f>
        <v>0</v>
      </c>
      <c r="AI24" s="145">
        <f>ROUND(MIN(100,IF(KOL_Database!$N$22="",0,KOL_Database!$N$22)*8+IF(KOL_Database!$O$22="",0,KOL_Database!$O$22)*2+IF(KOL_Database!$K$22="",0,KOL_Database!$K$22)*3),1)</f>
        <v>35.1</v>
      </c>
      <c r="AJ24" s="145">
        <f>IF(KOL_Database!$R$22="",0,KOL_Database!$R$22)</f>
        <v>82</v>
      </c>
      <c r="AK24" s="145">
        <f>IF(KOL_Database!$S$22="",0,KOL_Database!$S$22)</f>
        <v>75</v>
      </c>
      <c r="AL24" s="145">
        <f ca="1">INDEX(Matching_Engine!$S$6:$S$95,$W24,1)</f>
        <v>57</v>
      </c>
      <c r="AM24" s="145">
        <f>IF(KOL_Database!$Q$22="",0,KOL_Database!$Q$22)</f>
        <v>74</v>
      </c>
      <c r="AN24" s="145">
        <f>IF(KOL_Database!$AO$22="",999999999,KOL_Database!$AO$22)</f>
        <v>40.28</v>
      </c>
      <c r="AO24" s="145">
        <f>IF(KOL_Database!$AP$22="",999999999,KOL_Database!$AP$22)</f>
        <v>584</v>
      </c>
      <c r="AP24" s="145">
        <f>IF(KOL_Database!$AQ$22="",999999999,KOL_Database!$AQ$22)</f>
        <v>44139</v>
      </c>
      <c r="AQ24" s="145">
        <f>IF(KOL_Database!$BD$22="",0,KOL_Database!$BD$22)</f>
        <v>100</v>
      </c>
      <c r="AR24" s="145">
        <f>IF(KOL_Database!$AS$22="",0,KOL_Database!$AS$22)</f>
        <v>19.42</v>
      </c>
      <c r="AS24" s="145">
        <f>INDEX(Matching_Engine!$AT$6:$AT$95,$W24,1)</f>
        <v>29</v>
      </c>
      <c r="AT24" s="145">
        <f>INDEX(Matching_Engine!$AU$6:$AU$95,$W24,1)</f>
        <v>68</v>
      </c>
      <c r="AU24" s="145">
        <f>IF(KOL_Database!$AU$22="",0,KOL_Database!$AU$22)</f>
        <v>47</v>
      </c>
      <c r="AV24" s="145">
        <f>INDEX(Matching_Engine!$X$6:$X$95,$W24,1)</f>
        <v>25</v>
      </c>
      <c r="AW24" s="145">
        <f>IF(KOL_Database!$BA$22="",0,KOL_Database!$BA$22+0)</f>
        <v>46042.7083333333</v>
      </c>
      <c r="AX24" s="145">
        <f>IF(KOL_Database!$BB$22="",0,KOL_Database!$BB$22+0)</f>
        <v>46262.7083333333</v>
      </c>
      <c r="AY24" s="145">
        <f>ROUND(IF(KOL_Database!$V$22="",0,KOL_Database!$V$22)*0.6+MIN(100,IF(KOL_Database!$N$22="",0,KOL_Database!$N$22)*10)*0.4,1)</f>
        <v>52.8</v>
      </c>
      <c r="AZ24" s="145">
        <f>ROUND(MIN(100,IF(KOL_Database!$K$22="",0,KOL_Database!$K$22)/8*100)*0.35+IF(KOL_Database!$R$22="",0,KOL_Database!$R$22)*0.25+(100-IF(KOL_Database!$AU$22="",0,KOL_Database!$AU$22))*0.25+(100-MIN(100,IF(KOL_Database!$J$22="",0,KOL_Database!$J$22)/5000))*0.15,1)</f>
        <v>76.8</v>
      </c>
      <c r="BA24" s="145">
        <f ca="1">ROUND(INDEX(Matching_Engine!$AP$6:$AP$95,$W24,1)*IF(INDEX(Matching_Engine!$AS$6:$AS$95,$W24,1)="High",1,IF(INDEX(Matching_Engine!$AS$6:$AS$95,$W24,1)="Medium",0.92,0.8)),1)</f>
        <v>44.2</v>
      </c>
    </row>
    <row r="25" spans="1:53">
      <c r="A25" s="89">
        <f ca="1" t="shared" si="0"/>
        <v>24</v>
      </c>
      <c r="B25" s="89" t="str">
        <f>KOL_Database!$B$23</f>
        <v>Putri Amanda</v>
      </c>
      <c r="C25" s="89" t="str">
        <f>KOL_Database!$C$23</f>
        <v>@putrimomlife</v>
      </c>
      <c r="D25" s="89" t="str">
        <f>KOL_Database!$D$23</f>
        <v>Instagram</v>
      </c>
      <c r="E25" s="89" t="str">
        <f>KOL_Database!$E$23</f>
        <v>Parenting</v>
      </c>
      <c r="F25" s="89" t="str">
        <f>KOL_Database!$G$23</f>
        <v>Macro</v>
      </c>
      <c r="G25" s="140">
        <f>KOL_Database!$J$23</f>
        <v>134000</v>
      </c>
      <c r="H25" s="141">
        <f>KOL_Database!$K$23</f>
        <v>4.6</v>
      </c>
      <c r="I25" s="142">
        <f ca="1">INDEX(Matching_Engine!$S$6:$S$95,$W25,1)</f>
        <v>49</v>
      </c>
      <c r="J25" s="13">
        <f ca="1">INDEX(Matching_Engine!$AP$6:$AP$95,$W25,1)</f>
        <v>41</v>
      </c>
      <c r="K25" s="142">
        <f>INDEX(Matching_Engine!$X$6:$X$95,$W25,1)</f>
        <v>19</v>
      </c>
      <c r="L25" s="142">
        <f>INDEX(Matching_Engine!$AJ$6:$AJ$95,$W25,1)</f>
        <v>66</v>
      </c>
      <c r="M25" s="142">
        <f>INDEX(Matching_Engine!$AO$6:$AO$95,$W25,1)</f>
        <v>79</v>
      </c>
      <c r="N25" s="142">
        <f>INDEX(Matching_Engine!$AU$6:$AU$95,$W25,1)</f>
        <v>55</v>
      </c>
      <c r="O25" s="143">
        <f>IF(KOL_Database!$AS$23="","—",KOL_Database!$AS$23)</f>
        <v>6.72</v>
      </c>
      <c r="P25" s="89" t="str">
        <f ca="1">INDEX(Matching_Engine!$AQ$6:$AQ$95,$W25,1)</f>
        <v>Low Match</v>
      </c>
      <c r="Q25" s="89" t="str">
        <f ca="1">INDEX(Matching_Engine!$AX$6:$AX$95,$W25,1)</f>
        <v>Low Priority</v>
      </c>
      <c r="R25" s="89" t="str">
        <f ca="1">INDEX(Matching_Engine!$AV$6:$AV$95,$W25,1)</f>
        <v>PASS</v>
      </c>
      <c r="S25" s="144">
        <f ca="1" t="shared" si="1"/>
        <v>41.049196679</v>
      </c>
      <c r="T25" s="89">
        <f ca="1">IF($R25="EXCLUDED","—",IF(Discovery_Ranking!$F$4="asc",COUNTIFS($U$7:$U$36,"&lt;"&amp;$U25,$R$7:$R$36,"PASS")+1,COUNTIFS($U$7:$U$36,"&gt;"&amp;$U25,$R$7:$R$36,"PASS")+1))</f>
        <v>24</v>
      </c>
      <c r="U25" s="143">
        <f ca="1">INDEX($X25:$BA25,1,Discovery_Ranking!$K$4)</f>
        <v>41</v>
      </c>
      <c r="V25" s="89" t="str">
        <f>KOL_Database!$A$23</f>
        <v>KOL-19</v>
      </c>
      <c r="W25" s="89">
        <f>MATCH(Brand_Profile!$B$4&amp;"|"&amp;KOL_Database!$A$23,Matching_Engine!$AZ$6:$AZ$95,0)</f>
        <v>19</v>
      </c>
      <c r="X25" s="145">
        <f ca="1">INDEX(Matching_Engine!$AP$6:$AP$95,$W25,1)</f>
        <v>41</v>
      </c>
      <c r="Y25" s="145">
        <f>IF(KOL_Database!$L$23="",0,KOL_Database!$L$23)</f>
        <v>45915</v>
      </c>
      <c r="Z25" s="145">
        <f>IF(KOL_Database!$M$23="",0,KOL_Database!$M$23)</f>
        <v>35162</v>
      </c>
      <c r="AA25" s="145">
        <f>ROUND(INDEX(Matching_Engine!$AD$6:$AD$95,$W25,1)*0.6+INDEX(Matching_Engine!$AE$6:$AE$95,$W25,1)*0.4,1)</f>
        <v>77.8</v>
      </c>
      <c r="AB25" s="145">
        <f>IF(KOL_Database!$T$23="",0,KOL_Database!$T$23)</f>
        <v>1.66</v>
      </c>
      <c r="AC25" s="145">
        <f>IF(KOL_Database!$U$23="",0,KOL_Database!$U$23)</f>
        <v>2.96</v>
      </c>
      <c r="AD25" s="145">
        <f>IF(KOL_Database!$P$23="",0,KOL_Database!$P$23)</f>
        <v>52</v>
      </c>
      <c r="AE25" s="145">
        <f>IF(KOL_Database!$BC$23="",0,KOL_Database!$BC$23)</f>
        <v>0.343</v>
      </c>
      <c r="AF25" s="145">
        <f>IF(KOL_Database!$V$23="",0,KOL_Database!$V$23)</f>
        <v>75</v>
      </c>
      <c r="AG25" s="145">
        <f>IF(KOL_Database!$N$23="",0,KOL_Database!$N$23)</f>
        <v>0.7</v>
      </c>
      <c r="AH25" s="145">
        <f>IF(KOL_Database!$O$23="",0,KOL_Database!$O$23)</f>
        <v>1.5</v>
      </c>
      <c r="AI25" s="145">
        <f>ROUND(MIN(100,IF(KOL_Database!$N$23="",0,KOL_Database!$N$23)*8+IF(KOL_Database!$O$23="",0,KOL_Database!$O$23)*2+IF(KOL_Database!$K$23="",0,KOL_Database!$K$23)*3),1)</f>
        <v>22.4</v>
      </c>
      <c r="AJ25" s="145">
        <f>IF(KOL_Database!$R$23="",0,KOL_Database!$R$23)</f>
        <v>79</v>
      </c>
      <c r="AK25" s="145">
        <f>IF(KOL_Database!$S$23="",0,KOL_Database!$S$23)</f>
        <v>66</v>
      </c>
      <c r="AL25" s="145">
        <f ca="1">INDEX(Matching_Engine!$S$6:$S$95,$W25,1)</f>
        <v>49</v>
      </c>
      <c r="AM25" s="145">
        <f>IF(KOL_Database!$Q$23="",0,KOL_Database!$Q$23)</f>
        <v>47</v>
      </c>
      <c r="AN25" s="145">
        <f>IF(KOL_Database!$AO$23="",999999999,KOL_Database!$AO$23)</f>
        <v>92.39</v>
      </c>
      <c r="AO25" s="145">
        <f>IF(KOL_Database!$AP$23="",999999999,KOL_Database!$AP$23)</f>
        <v>2008</v>
      </c>
      <c r="AP25" s="145">
        <f>IF(KOL_Database!$AQ$23="",999999999,KOL_Database!$AQ$23)</f>
        <v>31657</v>
      </c>
      <c r="AQ25" s="145">
        <f>IF(KOL_Database!$BD$23="",0,KOL_Database!$BD$23)</f>
        <v>73</v>
      </c>
      <c r="AR25" s="145">
        <f>IF(KOL_Database!$AS$23="",0,KOL_Database!$AS$23)</f>
        <v>6.72</v>
      </c>
      <c r="AS25" s="145">
        <f>INDEX(Matching_Engine!$AT$6:$AT$95,$W25,1)</f>
        <v>27</v>
      </c>
      <c r="AT25" s="145">
        <f>INDEX(Matching_Engine!$AU$6:$AU$95,$W25,1)</f>
        <v>55</v>
      </c>
      <c r="AU25" s="145">
        <f>IF(KOL_Database!$AU$23="",0,KOL_Database!$AU$23)</f>
        <v>48</v>
      </c>
      <c r="AV25" s="145">
        <f>INDEX(Matching_Engine!$X$6:$X$95,$W25,1)</f>
        <v>19</v>
      </c>
      <c r="AW25" s="145">
        <f>IF(KOL_Database!$BA$23="",0,KOL_Database!$BA$23+0)</f>
        <v>46079.7083333333</v>
      </c>
      <c r="AX25" s="145">
        <f>IF(KOL_Database!$BB$23="",0,KOL_Database!$BB$23+0)</f>
        <v>46255.7083333333</v>
      </c>
      <c r="AY25" s="145">
        <f>ROUND(IF(KOL_Database!$V$23="",0,KOL_Database!$V$23)*0.6+MIN(100,IF(KOL_Database!$N$23="",0,KOL_Database!$N$23)*10)*0.4,1)</f>
        <v>47.8</v>
      </c>
      <c r="AZ25" s="145">
        <f>ROUND(MIN(100,IF(KOL_Database!$K$23="",0,KOL_Database!$K$23)/8*100)*0.35+IF(KOL_Database!$R$23="",0,KOL_Database!$R$23)*0.25+(100-IF(KOL_Database!$AU$23="",0,KOL_Database!$AU$23))*0.25+(100-MIN(100,IF(KOL_Database!$J$23="",0,KOL_Database!$J$23)/5000))*0.15,1)</f>
        <v>63.9</v>
      </c>
      <c r="BA25" s="145">
        <f ca="1">ROUND(INDEX(Matching_Engine!$AP$6:$AP$95,$W25,1)*IF(INDEX(Matching_Engine!$AS$6:$AS$95,$W25,1)="High",1,IF(INDEX(Matching_Engine!$AS$6:$AS$95,$W25,1)="Medium",0.92,0.8)),1)</f>
        <v>41</v>
      </c>
    </row>
    <row r="26" spans="1:53">
      <c r="A26" s="89">
        <f ca="1" t="shared" si="0"/>
        <v>19</v>
      </c>
      <c r="B26" s="89" t="str">
        <f>KOL_Database!$B$24</f>
        <v>Hendra Wijoyo</v>
      </c>
      <c r="C26" s="89" t="str">
        <f>KOL_Database!$C$24</f>
        <v>@hendrakeluarga</v>
      </c>
      <c r="D26" s="89" t="str">
        <f>KOL_Database!$D$24</f>
        <v>TikTok</v>
      </c>
      <c r="E26" s="89" t="str">
        <f>KOL_Database!$E$24</f>
        <v>Parenting</v>
      </c>
      <c r="F26" s="89" t="str">
        <f>KOL_Database!$G$24</f>
        <v>Mid-tier</v>
      </c>
      <c r="G26" s="140">
        <f>KOL_Database!$J$24</f>
        <v>89000</v>
      </c>
      <c r="H26" s="141">
        <f>KOL_Database!$K$24</f>
        <v>5.4</v>
      </c>
      <c r="I26" s="142">
        <f ca="1">INDEX(Matching_Engine!$S$6:$S$95,$W26,1)</f>
        <v>57</v>
      </c>
      <c r="J26" s="13">
        <f ca="1">INDEX(Matching_Engine!$AP$6:$AP$95,$W26,1)</f>
        <v>45</v>
      </c>
      <c r="K26" s="142">
        <f>INDEX(Matching_Engine!$X$6:$X$95,$W26,1)</f>
        <v>25</v>
      </c>
      <c r="L26" s="142">
        <f>INDEX(Matching_Engine!$AJ$6:$AJ$95,$W26,1)</f>
        <v>75</v>
      </c>
      <c r="M26" s="142">
        <f>INDEX(Matching_Engine!$AO$6:$AO$95,$W26,1)</f>
        <v>82</v>
      </c>
      <c r="N26" s="142">
        <f>INDEX(Matching_Engine!$AU$6:$AU$95,$W26,1)</f>
        <v>59</v>
      </c>
      <c r="O26" s="143">
        <f>IF(KOL_Database!$AS$24="","—",KOL_Database!$AS$24)</f>
        <v>33.4</v>
      </c>
      <c r="P26" s="89" t="str">
        <f ca="1">INDEX(Matching_Engine!$AQ$6:$AQ$95,$W26,1)</f>
        <v>Low Match</v>
      </c>
      <c r="Q26" s="89" t="str">
        <f ca="1">INDEX(Matching_Engine!$AX$6:$AX$95,$W26,1)</f>
        <v>Low Priority</v>
      </c>
      <c r="R26" s="89" t="str">
        <f ca="1">INDEX(Matching_Engine!$AV$6:$AV$95,$W26,1)</f>
        <v>PASS</v>
      </c>
      <c r="S26" s="144">
        <f ca="1" t="shared" si="1"/>
        <v>45.057257582</v>
      </c>
      <c r="T26" s="89">
        <f ca="1">IF($R26="EXCLUDED","—",IF(Discovery_Ranking!$F$4="asc",COUNTIFS($U$7:$U$36,"&lt;"&amp;$U26,$R$7:$R$36,"PASS")+1,COUNTIFS($U$7:$U$36,"&gt;"&amp;$U26,$R$7:$R$36,"PASS")+1))</f>
        <v>18</v>
      </c>
      <c r="U26" s="143">
        <f ca="1">INDEX($X26:$BA26,1,Discovery_Ranking!$K$4)</f>
        <v>45</v>
      </c>
      <c r="V26" s="89" t="str">
        <f>KOL_Database!$A$24</f>
        <v>KOL-20</v>
      </c>
      <c r="W26" s="89">
        <f>MATCH(Brand_Profile!$B$4&amp;"|"&amp;KOL_Database!$A$24,Matching_Engine!$AZ$6:$AZ$95,0)</f>
        <v>20</v>
      </c>
      <c r="X26" s="145">
        <f ca="1">INDEX(Matching_Engine!$AP$6:$AP$95,$W26,1)</f>
        <v>45</v>
      </c>
      <c r="Y26" s="145">
        <f>IF(KOL_Database!$L$24="",0,KOL_Database!$L$24)</f>
        <v>124509</v>
      </c>
      <c r="Z26" s="145">
        <f>IF(KOL_Database!$M$24="",0,KOL_Database!$M$24)</f>
        <v>101100</v>
      </c>
      <c r="AA26" s="145">
        <f>ROUND(INDEX(Matching_Engine!$AD$6:$AD$95,$W26,1)*0.6+INDEX(Matching_Engine!$AE$6:$AE$95,$W26,1)*0.4,1)</f>
        <v>88</v>
      </c>
      <c r="AB26" s="145">
        <f>IF(KOL_Database!$T$24="",0,KOL_Database!$T$24)</f>
        <v>1.74</v>
      </c>
      <c r="AC26" s="145">
        <f>IF(KOL_Database!$U$24="",0,KOL_Database!$U$24)</f>
        <v>3.68</v>
      </c>
      <c r="AD26" s="145">
        <f>IF(KOL_Database!$P$24="",0,KOL_Database!$P$24)</f>
        <v>55</v>
      </c>
      <c r="AE26" s="145">
        <f>IF(KOL_Database!$BC$24="",0,KOL_Database!$BC$24)</f>
        <v>1.399</v>
      </c>
      <c r="AF26" s="145">
        <f>IF(KOL_Database!$V$24="",0,KOL_Database!$V$24)</f>
        <v>86</v>
      </c>
      <c r="AG26" s="145">
        <f>IF(KOL_Database!$N$24="",0,KOL_Database!$N$24)</f>
        <v>0.5</v>
      </c>
      <c r="AH26" s="145">
        <f>IF(KOL_Database!$O$24="",0,KOL_Database!$O$24)</f>
        <v>1.7</v>
      </c>
      <c r="AI26" s="145">
        <f>ROUND(MIN(100,IF(KOL_Database!$N$24="",0,KOL_Database!$N$24)*8+IF(KOL_Database!$O$24="",0,KOL_Database!$O$24)*2+IF(KOL_Database!$K$24="",0,KOL_Database!$K$24)*3),1)</f>
        <v>23.6</v>
      </c>
      <c r="AJ26" s="145">
        <f>IF(KOL_Database!$R$24="",0,KOL_Database!$R$24)</f>
        <v>85</v>
      </c>
      <c r="AK26" s="145">
        <f>IF(KOL_Database!$S$24="",0,KOL_Database!$S$24)</f>
        <v>95</v>
      </c>
      <c r="AL26" s="145">
        <f ca="1">INDEX(Matching_Engine!$S$6:$S$95,$W26,1)</f>
        <v>57</v>
      </c>
      <c r="AM26" s="145">
        <f>IF(KOL_Database!$Q$24="",0,KOL_Database!$Q$24)</f>
        <v>47</v>
      </c>
      <c r="AN26" s="145">
        <f>IF(KOL_Database!$AO$24="",999999999,KOL_Database!$AO$24)</f>
        <v>17.98</v>
      </c>
      <c r="AO26" s="145">
        <f>IF(KOL_Database!$AP$24="",999999999,KOL_Database!$AP$24)</f>
        <v>333</v>
      </c>
      <c r="AP26" s="145">
        <f>IF(KOL_Database!$AQ$24="",999999999,KOL_Database!$AQ$24)</f>
        <v>25157</v>
      </c>
      <c r="AQ26" s="145">
        <f>IF(KOL_Database!$BD$24="",0,KOL_Database!$BD$24)</f>
        <v>100</v>
      </c>
      <c r="AR26" s="145">
        <f>IF(KOL_Database!$AS$24="",0,KOL_Database!$AS$24)</f>
        <v>33.4</v>
      </c>
      <c r="AS26" s="145">
        <f>INDEX(Matching_Engine!$AT$6:$AT$95,$W26,1)</f>
        <v>24</v>
      </c>
      <c r="AT26" s="145">
        <f>INDEX(Matching_Engine!$AU$6:$AU$95,$W26,1)</f>
        <v>59</v>
      </c>
      <c r="AU26" s="145">
        <f>IF(KOL_Database!$AU$24="",0,KOL_Database!$AU$24)</f>
        <v>58</v>
      </c>
      <c r="AV26" s="145">
        <f>INDEX(Matching_Engine!$X$6:$X$95,$W26,1)</f>
        <v>25</v>
      </c>
      <c r="AW26" s="145">
        <f>IF(KOL_Database!$BA$24="",0,KOL_Database!$BA$24+0)</f>
        <v>46166.7083333333</v>
      </c>
      <c r="AX26" s="145">
        <f>IF(KOL_Database!$BB$24="",0,KOL_Database!$BB$24+0)</f>
        <v>46241.7083333333</v>
      </c>
      <c r="AY26" s="145">
        <f>ROUND(IF(KOL_Database!$V$24="",0,KOL_Database!$V$24)*0.6+MIN(100,IF(KOL_Database!$N$24="",0,KOL_Database!$N$24)*10)*0.4,1)</f>
        <v>53.6</v>
      </c>
      <c r="AZ26" s="145">
        <f>ROUND(MIN(100,IF(KOL_Database!$K$24="",0,KOL_Database!$K$24)/8*100)*0.35+IF(KOL_Database!$R$24="",0,KOL_Database!$R$24)*0.25+(100-IF(KOL_Database!$AU$24="",0,KOL_Database!$AU$24))*0.25+(100-MIN(100,IF(KOL_Database!$J$24="",0,KOL_Database!$J$24)/5000))*0.15,1)</f>
        <v>67.7</v>
      </c>
      <c r="BA26" s="145">
        <f ca="1">ROUND(INDEX(Matching_Engine!$AP$6:$AP$95,$W26,1)*IF(INDEX(Matching_Engine!$AS$6:$AS$95,$W26,1)="High",1,IF(INDEX(Matching_Engine!$AS$6:$AS$95,$W26,1)="Medium",0.92,0.8)),1)</f>
        <v>45</v>
      </c>
    </row>
    <row r="27" spans="1:53">
      <c r="A27" s="89" t="str">
        <f ca="1" t="shared" si="0"/>
        <v>—</v>
      </c>
      <c r="B27" s="89" t="str">
        <f>KOL_Database!$B$25</f>
        <v>Bagas Setiawan</v>
      </c>
      <c r="C27" s="89" t="str">
        <f>KOL_Database!$C$25</f>
        <v>@bagaskomedi</v>
      </c>
      <c r="D27" s="89" t="str">
        <f>KOL_Database!$D$25</f>
        <v>TikTok</v>
      </c>
      <c r="E27" s="89" t="str">
        <f>KOL_Database!$E$25</f>
        <v>Entertainment</v>
      </c>
      <c r="F27" s="89" t="str">
        <f>KOL_Database!$G$25</f>
        <v>Mega</v>
      </c>
      <c r="G27" s="140">
        <f>KOL_Database!$J$25</f>
        <v>1240000</v>
      </c>
      <c r="H27" s="141">
        <f>KOL_Database!$K$25</f>
        <v>9.2</v>
      </c>
      <c r="I27" s="142">
        <f ca="1">INDEX(Matching_Engine!$S$6:$S$95,$W27,1)</f>
        <v>49</v>
      </c>
      <c r="J27" s="13">
        <f ca="1">INDEX(Matching_Engine!$AP$6:$AP$95,$W27,1)</f>
        <v>39</v>
      </c>
      <c r="K27" s="142">
        <f>INDEX(Matching_Engine!$X$6:$X$95,$W27,1)</f>
        <v>25</v>
      </c>
      <c r="L27" s="142">
        <f>INDEX(Matching_Engine!$AJ$6:$AJ$95,$W27,1)</f>
        <v>80</v>
      </c>
      <c r="M27" s="142">
        <f>INDEX(Matching_Engine!$AO$6:$AO$95,$W27,1)</f>
        <v>44</v>
      </c>
      <c r="N27" s="142">
        <f>INDEX(Matching_Engine!$AU$6:$AU$95,$W27,1)</f>
        <v>55</v>
      </c>
      <c r="O27" s="143">
        <f>IF(KOL_Database!$AS$25="","—",KOL_Database!$AS$25)</f>
        <v>20.49</v>
      </c>
      <c r="P27" s="89" t="str">
        <f ca="1">INDEX(Matching_Engine!$AQ$6:$AQ$95,$W27,1)</f>
        <v>Low Match</v>
      </c>
      <c r="Q27" s="89" t="str">
        <f ca="1">INDEX(Matching_Engine!$AX$6:$AX$95,$W27,1)</f>
        <v>Excluded</v>
      </c>
      <c r="R27" s="89" t="str">
        <f ca="1">INDEX(Matching_Engine!$AV$6:$AV$95,$W27,1)</f>
        <v>EXCLUDED</v>
      </c>
      <c r="S27" s="144">
        <f ca="1" t="shared" si="1"/>
        <v>-1</v>
      </c>
      <c r="T27" s="89" t="str">
        <f ca="1">IF($R27="EXCLUDED","—",IF(Discovery_Ranking!$F$4="asc",COUNTIFS($U$7:$U$36,"&lt;"&amp;$U27,$R$7:$R$36,"PASS")+1,COUNTIFS($U$7:$U$36,"&gt;"&amp;$U27,$R$7:$R$36,"PASS")+1))</f>
        <v>—</v>
      </c>
      <c r="U27" s="143">
        <f ca="1">INDEX($X27:$BA27,1,Discovery_Ranking!$K$4)</f>
        <v>39</v>
      </c>
      <c r="V27" s="89" t="str">
        <f>KOL_Database!$A$25</f>
        <v>KOL-21</v>
      </c>
      <c r="W27" s="89">
        <f>MATCH(Brand_Profile!$B$4&amp;"|"&amp;KOL_Database!$A$25,Matching_Engine!$AZ$6:$AZ$95,0)</f>
        <v>21</v>
      </c>
      <c r="X27" s="145">
        <f ca="1">INDEX(Matching_Engine!$AP$6:$AP$95,$W27,1)</f>
        <v>39</v>
      </c>
      <c r="Y27" s="145">
        <f>IF(KOL_Database!$L$25="",0,KOL_Database!$L$25)</f>
        <v>1287497</v>
      </c>
      <c r="Z27" s="145">
        <f>IF(KOL_Database!$M$25="",0,KOL_Database!$M$25)</f>
        <v>977803</v>
      </c>
      <c r="AA27" s="145">
        <f>ROUND(INDEX(Matching_Engine!$AD$6:$AD$95,$W27,1)*0.6+INDEX(Matching_Engine!$AE$6:$AE$95,$W27,1)*0.4,1)</f>
        <v>90.4</v>
      </c>
      <c r="AB27" s="145">
        <f>IF(KOL_Database!$T$25="",0,KOL_Database!$T$25)</f>
        <v>1.43</v>
      </c>
      <c r="AC27" s="145">
        <f>IF(KOL_Database!$U$25="",0,KOL_Database!$U$25)</f>
        <v>2.34</v>
      </c>
      <c r="AD27" s="145">
        <f>IF(KOL_Database!$P$25="",0,KOL_Database!$P$25)</f>
        <v>63</v>
      </c>
      <c r="AE27" s="145">
        <f>IF(KOL_Database!$BC$25="",0,KOL_Database!$BC$25)</f>
        <v>1.038</v>
      </c>
      <c r="AF27" s="145">
        <f>IF(KOL_Database!$V$25="",0,KOL_Database!$V$25)</f>
        <v>66</v>
      </c>
      <c r="AG27" s="145">
        <f>IF(KOL_Database!$N$25="",0,KOL_Database!$N$25)</f>
        <v>2.2</v>
      </c>
      <c r="AH27" s="145">
        <f>IF(KOL_Database!$O$25="",0,KOL_Database!$O$25)</f>
        <v>6.7</v>
      </c>
      <c r="AI27" s="145">
        <f>ROUND(MIN(100,IF(KOL_Database!$N$25="",0,KOL_Database!$N$25)*8+IF(KOL_Database!$O$25="",0,KOL_Database!$O$25)*2+IF(KOL_Database!$K$25="",0,KOL_Database!$K$25)*3),1)</f>
        <v>58.6</v>
      </c>
      <c r="AJ27" s="145">
        <f>IF(KOL_Database!$R$25="",0,KOL_Database!$R$25)</f>
        <v>76</v>
      </c>
      <c r="AK27" s="145">
        <f>IF(KOL_Database!$S$25="",0,KOL_Database!$S$25)</f>
        <v>83</v>
      </c>
      <c r="AL27" s="145">
        <f ca="1">INDEX(Matching_Engine!$S$6:$S$95,$W27,1)</f>
        <v>49</v>
      </c>
      <c r="AM27" s="145">
        <f>IF(KOL_Database!$Q$25="",0,KOL_Database!$Q$25)</f>
        <v>52</v>
      </c>
      <c r="AN27" s="145">
        <f>IF(KOL_Database!$AO$25="",999999999,KOL_Database!$AO$25)</f>
        <v>51.13</v>
      </c>
      <c r="AO27" s="145">
        <f>IF(KOL_Database!$AP$25="",999999999,KOL_Database!$AP$25)</f>
        <v>556</v>
      </c>
      <c r="AP27" s="145">
        <f>IF(KOL_Database!$AQ$25="",999999999,KOL_Database!$AQ$25)</f>
        <v>53089</v>
      </c>
      <c r="AQ27" s="145">
        <f>IF(KOL_Database!$BD$25="",0,KOL_Database!$BD$25)</f>
        <v>100</v>
      </c>
      <c r="AR27" s="145">
        <f>IF(KOL_Database!$AS$25="",0,KOL_Database!$AS$25)</f>
        <v>20.49</v>
      </c>
      <c r="AS27" s="145">
        <f>INDEX(Matching_Engine!$AT$6:$AT$95,$W27,1)</f>
        <v>23</v>
      </c>
      <c r="AT27" s="145">
        <f>INDEX(Matching_Engine!$AU$6:$AU$95,$W27,1)</f>
        <v>55</v>
      </c>
      <c r="AU27" s="145">
        <f>IF(KOL_Database!$AU$25="",0,KOL_Database!$AU$25)</f>
        <v>88</v>
      </c>
      <c r="AV27" s="145">
        <f>INDEX(Matching_Engine!$X$6:$X$95,$W27,1)</f>
        <v>25</v>
      </c>
      <c r="AW27" s="145">
        <f>IF(KOL_Database!$BA$25="",0,KOL_Database!$BA$25+0)</f>
        <v>46071.7083333333</v>
      </c>
      <c r="AX27" s="145">
        <f>IF(KOL_Database!$BB$25="",0,KOL_Database!$BB$25+0)</f>
        <v>46236.7083333333</v>
      </c>
      <c r="AY27" s="145">
        <f>ROUND(IF(KOL_Database!$V$25="",0,KOL_Database!$V$25)*0.6+MIN(100,IF(KOL_Database!$N$25="",0,KOL_Database!$N$25)*10)*0.4,1)</f>
        <v>48.4</v>
      </c>
      <c r="AZ27" s="145">
        <f>ROUND(MIN(100,IF(KOL_Database!$K$25="",0,KOL_Database!$K$25)/8*100)*0.35+IF(KOL_Database!$R$25="",0,KOL_Database!$R$25)*0.25+(100-IF(KOL_Database!$AU$25="",0,KOL_Database!$AU$25))*0.25+(100-MIN(100,IF(KOL_Database!$J$25="",0,KOL_Database!$J$25)/5000))*0.15,1)</f>
        <v>57</v>
      </c>
      <c r="BA27" s="145">
        <f ca="1">ROUND(INDEX(Matching_Engine!$AP$6:$AP$95,$W27,1)*IF(INDEX(Matching_Engine!$AS$6:$AS$95,$W27,1)="High",1,IF(INDEX(Matching_Engine!$AS$6:$AS$95,$W27,1)="Medium",0.92,0.8)),1)</f>
        <v>39</v>
      </c>
    </row>
    <row r="28" spans="1:53">
      <c r="A28" s="89" t="str">
        <f ca="1" t="shared" si="0"/>
        <v>—</v>
      </c>
      <c r="B28" s="89" t="str">
        <f>KOL_Database!$B$26</f>
        <v>Nabila Kirana</v>
      </c>
      <c r="C28" s="89" t="str">
        <f>KOL_Database!$C$26</f>
        <v>@nabilamusic</v>
      </c>
      <c r="D28" s="89" t="str">
        <f>KOL_Database!$D$26</f>
        <v>Instagram</v>
      </c>
      <c r="E28" s="89" t="str">
        <f>KOL_Database!$E$26</f>
        <v>Entertainment</v>
      </c>
      <c r="F28" s="89" t="str">
        <f>KOL_Database!$G$26</f>
        <v>Macro</v>
      </c>
      <c r="G28" s="140">
        <f>KOL_Database!$J$26</f>
        <v>420000</v>
      </c>
      <c r="H28" s="141">
        <f>KOL_Database!$K$26</f>
        <v>3.6</v>
      </c>
      <c r="I28" s="142">
        <f ca="1">INDEX(Matching_Engine!$S$6:$S$95,$W28,1)</f>
        <v>54</v>
      </c>
      <c r="J28" s="13">
        <f ca="1">INDEX(Matching_Engine!$AP$6:$AP$95,$W28,1)</f>
        <v>41</v>
      </c>
      <c r="K28" s="142">
        <f>INDEX(Matching_Engine!$X$6:$X$95,$W28,1)</f>
        <v>25</v>
      </c>
      <c r="L28" s="142">
        <f>INDEX(Matching_Engine!$AJ$6:$AJ$95,$W28,1)</f>
        <v>66</v>
      </c>
      <c r="M28" s="142">
        <f>INDEX(Matching_Engine!$AO$6:$AO$95,$W28,1)</f>
        <v>34</v>
      </c>
      <c r="N28" s="142">
        <f>INDEX(Matching_Engine!$AU$6:$AU$95,$W28,1)</f>
        <v>52</v>
      </c>
      <c r="O28" s="143">
        <f>IF(KOL_Database!$AS$26="","—",KOL_Database!$AS$26)</f>
        <v>3.9</v>
      </c>
      <c r="P28" s="89" t="str">
        <f ca="1">INDEX(Matching_Engine!$AQ$6:$AQ$95,$W28,1)</f>
        <v>Low Match</v>
      </c>
      <c r="Q28" s="89" t="str">
        <f ca="1">INDEX(Matching_Engine!$AX$6:$AX$95,$W28,1)</f>
        <v>Excluded</v>
      </c>
      <c r="R28" s="89" t="str">
        <f ca="1">INDEX(Matching_Engine!$AV$6:$AV$95,$W28,1)</f>
        <v>EXCLUDED</v>
      </c>
      <c r="S28" s="144">
        <f ca="1" t="shared" si="1"/>
        <v>-1</v>
      </c>
      <c r="T28" s="89" t="str">
        <f ca="1">IF($R28="EXCLUDED","—",IF(Discovery_Ranking!$F$4="asc",COUNTIFS($U$7:$U$36,"&lt;"&amp;$U28,$R$7:$R$36,"PASS")+1,COUNTIFS($U$7:$U$36,"&gt;"&amp;$U28,$R$7:$R$36,"PASS")+1))</f>
        <v>—</v>
      </c>
      <c r="U28" s="143">
        <f ca="1">INDEX($X28:$BA28,1,Discovery_Ranking!$K$4)</f>
        <v>41</v>
      </c>
      <c r="V28" s="89" t="str">
        <f>KOL_Database!$A$26</f>
        <v>KOL-22</v>
      </c>
      <c r="W28" s="89">
        <f>MATCH(Brand_Profile!$B$4&amp;"|"&amp;KOL_Database!$A$26,Matching_Engine!$AZ$6:$AZ$95,0)</f>
        <v>22</v>
      </c>
      <c r="X28" s="145">
        <f ca="1">INDEX(Matching_Engine!$AP$6:$AP$95,$W28,1)</f>
        <v>41</v>
      </c>
      <c r="Y28" s="145">
        <f>IF(KOL_Database!$L$26="",0,KOL_Database!$L$26)</f>
        <v>129874</v>
      </c>
      <c r="Z28" s="145">
        <f>IF(KOL_Database!$M$26="",0,KOL_Database!$M$26)</f>
        <v>96335</v>
      </c>
      <c r="AA28" s="145">
        <f>ROUND(INDEX(Matching_Engine!$AD$6:$AD$95,$W28,1)*0.6+INDEX(Matching_Engine!$AE$6:$AE$95,$W28,1)*0.4,1)</f>
        <v>66</v>
      </c>
      <c r="AB28" s="145">
        <f>IF(KOL_Database!$T$26="",0,KOL_Database!$T$26)</f>
        <v>1.14</v>
      </c>
      <c r="AC28" s="145">
        <f>IF(KOL_Database!$U$26="",0,KOL_Database!$U$26)</f>
        <v>2.58</v>
      </c>
      <c r="AD28" s="145">
        <f>IF(KOL_Database!$P$26="",0,KOL_Database!$P$26)</f>
        <v>74</v>
      </c>
      <c r="AE28" s="145">
        <f>IF(KOL_Database!$BC$26="",0,KOL_Database!$BC$26)</f>
        <v>0.309</v>
      </c>
      <c r="AF28" s="145">
        <f>IF(KOL_Database!$V$26="",0,KOL_Database!$V$26)</f>
        <v>72</v>
      </c>
      <c r="AG28" s="145">
        <f>IF(KOL_Database!$N$26="",0,KOL_Database!$N$26)</f>
        <v>2.4</v>
      </c>
      <c r="AH28" s="145">
        <f>IF(KOL_Database!$O$26="",0,KOL_Database!$O$26)</f>
        <v>5.7</v>
      </c>
      <c r="AI28" s="145">
        <f>ROUND(MIN(100,IF(KOL_Database!$N$26="",0,KOL_Database!$N$26)*8+IF(KOL_Database!$O$26="",0,KOL_Database!$O$26)*2+IF(KOL_Database!$K$26="",0,KOL_Database!$K$26)*3),1)</f>
        <v>41.4</v>
      </c>
      <c r="AJ28" s="145">
        <f>IF(KOL_Database!$R$26="",0,KOL_Database!$R$26)</f>
        <v>75</v>
      </c>
      <c r="AK28" s="145">
        <f>IF(KOL_Database!$S$26="",0,KOL_Database!$S$26)</f>
        <v>74</v>
      </c>
      <c r="AL28" s="145">
        <f ca="1">INDEX(Matching_Engine!$S$6:$S$95,$W28,1)</f>
        <v>54</v>
      </c>
      <c r="AM28" s="145">
        <f>IF(KOL_Database!$Q$26="",0,KOL_Database!$Q$26)</f>
        <v>69</v>
      </c>
      <c r="AN28" s="145">
        <f>IF(KOL_Database!$AO$26="",999999999,KOL_Database!$AO$26)</f>
        <v>127.73</v>
      </c>
      <c r="AO28" s="145">
        <f>IF(KOL_Database!$AP$26="",999999999,KOL_Database!$AP$26)</f>
        <v>3548</v>
      </c>
      <c r="AP28" s="145">
        <f>IF(KOL_Database!$AQ$26="",999999999,KOL_Database!$AQ$26)</f>
        <v>39498</v>
      </c>
      <c r="AQ28" s="145">
        <f>IF(KOL_Database!$BD$26="",0,KOL_Database!$BD$26)</f>
        <v>42</v>
      </c>
      <c r="AR28" s="145">
        <f>IF(KOL_Database!$AS$26="",0,KOL_Database!$AS$26)</f>
        <v>3.9</v>
      </c>
      <c r="AS28" s="145">
        <f>INDEX(Matching_Engine!$AT$6:$AT$95,$W28,1)</f>
        <v>33</v>
      </c>
      <c r="AT28" s="145">
        <f>INDEX(Matching_Engine!$AU$6:$AU$95,$W28,1)</f>
        <v>52</v>
      </c>
      <c r="AU28" s="145">
        <f>IF(KOL_Database!$AU$26="",0,KOL_Database!$AU$26)</f>
        <v>40</v>
      </c>
      <c r="AV28" s="145">
        <f>INDEX(Matching_Engine!$X$6:$X$95,$W28,1)</f>
        <v>25</v>
      </c>
      <c r="AW28" s="145">
        <f>IF(KOL_Database!$BA$26="",0,KOL_Database!$BA$26+0)</f>
        <v>46113.7083333333</v>
      </c>
      <c r="AX28" s="145">
        <f>IF(KOL_Database!$BB$26="",0,KOL_Database!$BB$26+0)</f>
        <v>46271.7083333333</v>
      </c>
      <c r="AY28" s="145">
        <f>ROUND(IF(KOL_Database!$V$26="",0,KOL_Database!$V$26)*0.6+MIN(100,IF(KOL_Database!$N$26="",0,KOL_Database!$N$26)*10)*0.4,1)</f>
        <v>52.8</v>
      </c>
      <c r="AZ28" s="145">
        <f>ROUND(MIN(100,IF(KOL_Database!$K$26="",0,KOL_Database!$K$26)/8*100)*0.35+IF(KOL_Database!$R$26="",0,KOL_Database!$R$26)*0.25+(100-IF(KOL_Database!$AU$26="",0,KOL_Database!$AU$26))*0.25+(100-MIN(100,IF(KOL_Database!$J$26="",0,KOL_Database!$J$26)/5000))*0.15,1)</f>
        <v>51.9</v>
      </c>
      <c r="BA28" s="145">
        <f ca="1">ROUND(INDEX(Matching_Engine!$AP$6:$AP$95,$W28,1)*IF(INDEX(Matching_Engine!$AS$6:$AS$95,$W28,1)="High",1,IF(INDEX(Matching_Engine!$AS$6:$AS$95,$W28,1)="Medium",0.92,0.8)),1)</f>
        <v>41</v>
      </c>
    </row>
    <row r="29" spans="1:53">
      <c r="A29" s="89">
        <f ca="1" t="shared" si="0"/>
        <v>9</v>
      </c>
      <c r="B29" s="89" t="str">
        <f>KOL_Database!$B$27</f>
        <v>Arya Mahendra</v>
      </c>
      <c r="C29" s="89" t="str">
        <f>KOL_Database!$C$27</f>
        <v>@aryagaming</v>
      </c>
      <c r="D29" s="89" t="str">
        <f>KOL_Database!$D$27</f>
        <v>TikTok</v>
      </c>
      <c r="E29" s="89" t="str">
        <f>KOL_Database!$E$27</f>
        <v>Gaming</v>
      </c>
      <c r="F29" s="89" t="str">
        <f>KOL_Database!$G$27</f>
        <v>Macro</v>
      </c>
      <c r="G29" s="140">
        <f>KOL_Database!$J$27</f>
        <v>640000</v>
      </c>
      <c r="H29" s="141">
        <f>KOL_Database!$K$27</f>
        <v>7.8</v>
      </c>
      <c r="I29" s="142">
        <f ca="1">INDEX(Matching_Engine!$S$6:$S$95,$W29,1)</f>
        <v>57</v>
      </c>
      <c r="J29" s="13">
        <f ca="1">INDEX(Matching_Engine!$AP$6:$AP$95,$W29,1)</f>
        <v>57</v>
      </c>
      <c r="K29" s="142">
        <f>INDEX(Matching_Engine!$X$6:$X$95,$W29,1)</f>
        <v>49</v>
      </c>
      <c r="L29" s="142">
        <f>INDEX(Matching_Engine!$AJ$6:$AJ$95,$W29,1)</f>
        <v>86</v>
      </c>
      <c r="M29" s="142">
        <f>INDEX(Matching_Engine!$AO$6:$AO$95,$W29,1)</f>
        <v>79</v>
      </c>
      <c r="N29" s="142">
        <f>INDEX(Matching_Engine!$AU$6:$AU$95,$W29,1)</f>
        <v>76</v>
      </c>
      <c r="O29" s="143">
        <f>IF(KOL_Database!$AS$27="","—",KOL_Database!$AS$27)</f>
        <v>17.5</v>
      </c>
      <c r="P29" s="89" t="str">
        <f ca="1">INDEX(Matching_Engine!$AQ$6:$AQ$95,$W29,1)</f>
        <v>Low Match</v>
      </c>
      <c r="Q29" s="89" t="str">
        <f ca="1">INDEX(Matching_Engine!$AX$6:$AX$95,$W29,1)</f>
        <v>Low Priority</v>
      </c>
      <c r="R29" s="89" t="str">
        <f ca="1">INDEX(Matching_Engine!$AV$6:$AV$95,$W29,1)</f>
        <v>PASS</v>
      </c>
      <c r="S29" s="144">
        <f ca="1" t="shared" si="1"/>
        <v>57.057498679</v>
      </c>
      <c r="T29" s="89">
        <f ca="1">IF($R29="EXCLUDED","—",IF(Discovery_Ranking!$F$4="asc",COUNTIFS($U$7:$U$36,"&lt;"&amp;$U29,$R$7:$R$36,"PASS")+1,COUNTIFS($U$7:$U$36,"&gt;"&amp;$U29,$R$7:$R$36,"PASS")+1))</f>
        <v>9</v>
      </c>
      <c r="U29" s="143">
        <f ca="1">INDEX($X29:$BA29,1,Discovery_Ranking!$K$4)</f>
        <v>57</v>
      </c>
      <c r="V29" s="89" t="str">
        <f>KOL_Database!$A$27</f>
        <v>KOL-23</v>
      </c>
      <c r="W29" s="89">
        <f>MATCH(Brand_Profile!$B$4&amp;"|"&amp;KOL_Database!$A$27,Matching_Engine!$AZ$6:$AZ$95,0)</f>
        <v>23</v>
      </c>
      <c r="X29" s="145">
        <f ca="1">INDEX(Matching_Engine!$AP$6:$AP$95,$W29,1)</f>
        <v>57</v>
      </c>
      <c r="Y29" s="145">
        <f>IF(KOL_Database!$L$27="",0,KOL_Database!$L$27)</f>
        <v>579030</v>
      </c>
      <c r="Z29" s="145">
        <f>IF(KOL_Database!$M$27="",0,KOL_Database!$M$27)</f>
        <v>417940</v>
      </c>
      <c r="AA29" s="145">
        <f>ROUND(INDEX(Matching_Engine!$AD$6:$AD$95,$W29,1)*0.6+INDEX(Matching_Engine!$AE$6:$AE$95,$W29,1)*0.4,1)</f>
        <v>89.2</v>
      </c>
      <c r="AB29" s="145">
        <f>IF(KOL_Database!$T$27="",0,KOL_Database!$T$27)</f>
        <v>1.25</v>
      </c>
      <c r="AC29" s="145">
        <f>IF(KOL_Database!$U$27="",0,KOL_Database!$U$27)</f>
        <v>2.27</v>
      </c>
      <c r="AD29" s="145">
        <f>IF(KOL_Database!$P$27="",0,KOL_Database!$P$27)</f>
        <v>93</v>
      </c>
      <c r="AE29" s="145">
        <f>IF(KOL_Database!$BC$27="",0,KOL_Database!$BC$27)</f>
        <v>0.905</v>
      </c>
      <c r="AF29" s="145">
        <f>IF(KOL_Database!$V$27="",0,KOL_Database!$V$27)</f>
        <v>67</v>
      </c>
      <c r="AG29" s="145">
        <f>IF(KOL_Database!$N$27="",0,KOL_Database!$N$27)</f>
        <v>3.2</v>
      </c>
      <c r="AH29" s="145">
        <f>IF(KOL_Database!$O$27="",0,KOL_Database!$O$27)</f>
        <v>8.1</v>
      </c>
      <c r="AI29" s="145">
        <f>ROUND(MIN(100,IF(KOL_Database!$N$27="",0,KOL_Database!$N$27)*8+IF(KOL_Database!$O$27="",0,KOL_Database!$O$27)*2+IF(KOL_Database!$K$27="",0,KOL_Database!$K$27)*3),1)</f>
        <v>65.2</v>
      </c>
      <c r="AJ29" s="145">
        <f>IF(KOL_Database!$R$27="",0,KOL_Database!$R$27)</f>
        <v>73</v>
      </c>
      <c r="AK29" s="145">
        <f>IF(KOL_Database!$S$27="",0,KOL_Database!$S$27)</f>
        <v>80</v>
      </c>
      <c r="AL29" s="145">
        <f ca="1">INDEX(Matching_Engine!$S$6:$S$95,$W29,1)</f>
        <v>57</v>
      </c>
      <c r="AM29" s="145">
        <f>IF(KOL_Database!$Q$27="",0,KOL_Database!$Q$27)</f>
        <v>48</v>
      </c>
      <c r="AN29" s="145">
        <f>IF(KOL_Database!$AO$27="",999999999,KOL_Database!$AO$27)</f>
        <v>51.45</v>
      </c>
      <c r="AO29" s="145">
        <f>IF(KOL_Database!$AP$27="",999999999,KOL_Database!$AP$27)</f>
        <v>660</v>
      </c>
      <c r="AP29" s="145">
        <f>IF(KOL_Database!$AQ$27="",999999999,KOL_Database!$AQ$27)</f>
        <v>46552</v>
      </c>
      <c r="AQ29" s="145">
        <f>IF(KOL_Database!$BD$27="",0,KOL_Database!$BD$27)</f>
        <v>100</v>
      </c>
      <c r="AR29" s="145">
        <f>IF(KOL_Database!$AS$27="",0,KOL_Database!$AS$27)</f>
        <v>17.5</v>
      </c>
      <c r="AS29" s="145">
        <f>INDEX(Matching_Engine!$AT$6:$AT$95,$W29,1)</f>
        <v>45</v>
      </c>
      <c r="AT29" s="145">
        <f>INDEX(Matching_Engine!$AU$6:$AU$95,$W29,1)</f>
        <v>76</v>
      </c>
      <c r="AU29" s="145">
        <f>IF(KOL_Database!$AU$27="",0,KOL_Database!$AU$27)</f>
        <v>35</v>
      </c>
      <c r="AV29" s="145">
        <f>INDEX(Matching_Engine!$X$6:$X$95,$W29,1)</f>
        <v>49</v>
      </c>
      <c r="AW29" s="145">
        <f>IF(KOL_Database!$BA$27="",0,KOL_Database!$BA$27+0)</f>
        <v>46112.7083333333</v>
      </c>
      <c r="AX29" s="145">
        <f>IF(KOL_Database!$BB$27="",0,KOL_Database!$BB$27+0)</f>
        <v>46255.7083333333</v>
      </c>
      <c r="AY29" s="145">
        <f>ROUND(IF(KOL_Database!$V$27="",0,KOL_Database!$V$27)*0.6+MIN(100,IF(KOL_Database!$N$27="",0,KOL_Database!$N$27)*10)*0.4,1)</f>
        <v>53</v>
      </c>
      <c r="AZ29" s="145">
        <f>ROUND(MIN(100,IF(KOL_Database!$K$27="",0,KOL_Database!$K$27)/8*100)*0.35+IF(KOL_Database!$R$27="",0,KOL_Database!$R$27)*0.25+(100-IF(KOL_Database!$AU$27="",0,KOL_Database!$AU$27))*0.25+(100-MIN(100,IF(KOL_Database!$J$27="",0,KOL_Database!$J$27)/5000))*0.15,1)</f>
        <v>68.6</v>
      </c>
      <c r="BA29" s="145">
        <f ca="1">ROUND(INDEX(Matching_Engine!$AP$6:$AP$95,$W29,1)*IF(INDEX(Matching_Engine!$AS$6:$AS$95,$W29,1)="High",1,IF(INDEX(Matching_Engine!$AS$6:$AS$95,$W29,1)="Medium",0.92,0.8)),1)</f>
        <v>57</v>
      </c>
    </row>
    <row r="30" spans="1:53">
      <c r="A30" s="89">
        <f ca="1" t="shared" si="0"/>
        <v>8</v>
      </c>
      <c r="B30" s="89" t="str">
        <f>KOL_Database!$B$28</f>
        <v>Rio Saputra</v>
      </c>
      <c r="C30" s="89" t="str">
        <f>KOL_Database!$C$28</f>
        <v>@riopcbuild</v>
      </c>
      <c r="D30" s="89" t="str">
        <f>KOL_Database!$D$28</f>
        <v>Instagram</v>
      </c>
      <c r="E30" s="89" t="str">
        <f>KOL_Database!$E$28</f>
        <v>Gaming</v>
      </c>
      <c r="F30" s="89" t="str">
        <f>KOL_Database!$G$28</f>
        <v>Mid-tier</v>
      </c>
      <c r="G30" s="140">
        <f>KOL_Database!$J$28</f>
        <v>51000</v>
      </c>
      <c r="H30" s="141">
        <f>KOL_Database!$K$28</f>
        <v>4.2</v>
      </c>
      <c r="I30" s="142">
        <f ca="1">INDEX(Matching_Engine!$S$6:$S$95,$W30,1)</f>
        <v>68</v>
      </c>
      <c r="J30" s="13">
        <f ca="1">INDEX(Matching_Engine!$AP$6:$AP$95,$W30,1)</f>
        <v>66</v>
      </c>
      <c r="K30" s="142">
        <f>INDEX(Matching_Engine!$X$6:$X$95,$W30,1)</f>
        <v>62</v>
      </c>
      <c r="L30" s="142">
        <f>INDEX(Matching_Engine!$AJ$6:$AJ$95,$W30,1)</f>
        <v>66</v>
      </c>
      <c r="M30" s="142">
        <f>INDEX(Matching_Engine!$AO$6:$AO$95,$W30,1)</f>
        <v>78</v>
      </c>
      <c r="N30" s="142">
        <f>INDEX(Matching_Engine!$AU$6:$AU$95,$W30,1)</f>
        <v>56</v>
      </c>
      <c r="O30" s="143">
        <f>IF(KOL_Database!$AS$28="","—",KOL_Database!$AS$28)</f>
        <v>3.91</v>
      </c>
      <c r="P30" s="89" t="str">
        <f ca="1">INDEX(Matching_Engine!$AQ$6:$AQ$95,$W30,1)</f>
        <v>Moderate Match</v>
      </c>
      <c r="Q30" s="89" t="str">
        <f ca="1">INDEX(Matching_Engine!$AX$6:$AX$95,$W30,1)</f>
        <v>Consider</v>
      </c>
      <c r="R30" s="89" t="str">
        <f ca="1">INDEX(Matching_Engine!$AV$6:$AV$95,$W30,1)</f>
        <v>PASS</v>
      </c>
      <c r="S30" s="144">
        <f ca="1" t="shared" si="1"/>
        <v>66.068626678</v>
      </c>
      <c r="T30" s="89">
        <f ca="1">IF($R30="EXCLUDED","—",IF(Discovery_Ranking!$F$4="asc",COUNTIFS($U$7:$U$36,"&lt;"&amp;$U30,$R$7:$R$36,"PASS")+1,COUNTIFS($U$7:$U$36,"&gt;"&amp;$U30,$R$7:$R$36,"PASS")+1))</f>
        <v>8</v>
      </c>
      <c r="U30" s="143">
        <f ca="1">INDEX($X30:$BA30,1,Discovery_Ranking!$K$4)</f>
        <v>66</v>
      </c>
      <c r="V30" s="89" t="str">
        <f>KOL_Database!$A$28</f>
        <v>KOL-24</v>
      </c>
      <c r="W30" s="89">
        <f>MATCH(Brand_Profile!$B$4&amp;"|"&amp;KOL_Database!$A$28,Matching_Engine!$AZ$6:$AZ$95,0)</f>
        <v>24</v>
      </c>
      <c r="X30" s="145">
        <f ca="1">INDEX(Matching_Engine!$AP$6:$AP$95,$W30,1)</f>
        <v>66</v>
      </c>
      <c r="Y30" s="145">
        <f>IF(KOL_Database!$L$28="",0,KOL_Database!$L$28)</f>
        <v>15813</v>
      </c>
      <c r="Z30" s="145">
        <f>IF(KOL_Database!$M$28="",0,KOL_Database!$M$28)</f>
        <v>11551</v>
      </c>
      <c r="AA30" s="145">
        <f>ROUND(INDEX(Matching_Engine!$AD$6:$AD$95,$W30,1)*0.6+INDEX(Matching_Engine!$AE$6:$AE$95,$W30,1)*0.4,1)</f>
        <v>71.6</v>
      </c>
      <c r="AB30" s="145">
        <f>IF(KOL_Database!$T$28="",0,KOL_Database!$T$28)</f>
        <v>1.36</v>
      </c>
      <c r="AC30" s="145">
        <f>IF(KOL_Database!$U$28="",0,KOL_Database!$U$28)</f>
        <v>2.4</v>
      </c>
      <c r="AD30" s="145">
        <f>IF(KOL_Database!$P$28="",0,KOL_Database!$P$28)</f>
        <v>62</v>
      </c>
      <c r="AE30" s="145">
        <f>IF(KOL_Database!$BC$28="",0,KOL_Database!$BC$28)</f>
        <v>0.31</v>
      </c>
      <c r="AF30" s="145">
        <f>IF(KOL_Database!$V$28="",0,KOL_Database!$V$28)</f>
        <v>67</v>
      </c>
      <c r="AG30" s="145">
        <f>IF(KOL_Database!$N$28="",0,KOL_Database!$N$28)</f>
        <v>3.5</v>
      </c>
      <c r="AH30" s="145">
        <f>IF(KOL_Database!$O$28="",0,KOL_Database!$O$28)</f>
        <v>9.2</v>
      </c>
      <c r="AI30" s="145">
        <f>ROUND(MIN(100,IF(KOL_Database!$N$28="",0,KOL_Database!$N$28)*8+IF(KOL_Database!$O$28="",0,KOL_Database!$O$28)*2+IF(KOL_Database!$K$28="",0,KOL_Database!$K$28)*3),1)</f>
        <v>59</v>
      </c>
      <c r="AJ30" s="145">
        <f>IF(KOL_Database!$R$28="",0,KOL_Database!$R$28)</f>
        <v>74</v>
      </c>
      <c r="AK30" s="145">
        <f>IF(KOL_Database!$S$28="",0,KOL_Database!$S$28)</f>
        <v>74</v>
      </c>
      <c r="AL30" s="145">
        <f ca="1">INDEX(Matching_Engine!$S$6:$S$95,$W30,1)</f>
        <v>68</v>
      </c>
      <c r="AM30" s="145">
        <f>IF(KOL_Database!$Q$28="",0,KOL_Database!$Q$28)</f>
        <v>58</v>
      </c>
      <c r="AN30" s="145">
        <f>IF(KOL_Database!$AO$28="",999999999,KOL_Database!$AO$28)</f>
        <v>148.61</v>
      </c>
      <c r="AO30" s="145">
        <f>IF(KOL_Database!$AP$28="",999999999,KOL_Database!$AP$28)</f>
        <v>3538</v>
      </c>
      <c r="AP30" s="145">
        <f>IF(KOL_Database!$AQ$28="",999999999,KOL_Database!$AQ$28)</f>
        <v>46078</v>
      </c>
      <c r="AQ30" s="145">
        <f>IF(KOL_Database!$BD$28="",0,KOL_Database!$BD$28)</f>
        <v>42</v>
      </c>
      <c r="AR30" s="145">
        <f>IF(KOL_Database!$AS$28="",0,KOL_Database!$AS$28)</f>
        <v>3.91</v>
      </c>
      <c r="AS30" s="145">
        <f>INDEX(Matching_Engine!$AT$6:$AT$95,$W30,1)</f>
        <v>65</v>
      </c>
      <c r="AT30" s="145">
        <f>INDEX(Matching_Engine!$AU$6:$AU$95,$W30,1)</f>
        <v>56</v>
      </c>
      <c r="AU30" s="145">
        <f>IF(KOL_Database!$AU$28="",0,KOL_Database!$AU$28)</f>
        <v>38</v>
      </c>
      <c r="AV30" s="145">
        <f>INDEX(Matching_Engine!$X$6:$X$95,$W30,1)</f>
        <v>62</v>
      </c>
      <c r="AW30" s="145">
        <f>IF(KOL_Database!$BA$28="",0,KOL_Database!$BA$28+0)</f>
        <v>46169.7083333333</v>
      </c>
      <c r="AX30" s="145">
        <f>IF(KOL_Database!$BB$28="",0,KOL_Database!$BB$28+0)</f>
        <v>46270.7083333333</v>
      </c>
      <c r="AY30" s="145">
        <f>ROUND(IF(KOL_Database!$V$28="",0,KOL_Database!$V$28)*0.6+MIN(100,IF(KOL_Database!$N$28="",0,KOL_Database!$N$28)*10)*0.4,1)</f>
        <v>54.2</v>
      </c>
      <c r="AZ30" s="145">
        <f>ROUND(MIN(100,IF(KOL_Database!$K$28="",0,KOL_Database!$K$28)/8*100)*0.35+IF(KOL_Database!$R$28="",0,KOL_Database!$R$28)*0.25+(100-IF(KOL_Database!$AU$28="",0,KOL_Database!$AU$28))*0.25+(100-MIN(100,IF(KOL_Database!$J$28="",0,KOL_Database!$J$28)/5000))*0.15,1)</f>
        <v>65.8</v>
      </c>
      <c r="BA30" s="145">
        <f ca="1">ROUND(INDEX(Matching_Engine!$AP$6:$AP$95,$W30,1)*IF(INDEX(Matching_Engine!$AS$6:$AS$95,$W30,1)="High",1,IF(INDEX(Matching_Engine!$AS$6:$AS$95,$W30,1)="Medium",0.92,0.8)),1)</f>
        <v>60.7</v>
      </c>
    </row>
    <row r="31" spans="1:53">
      <c r="A31" s="89">
        <f ca="1" t="shared" si="0"/>
        <v>11</v>
      </c>
      <c r="B31" s="89" t="str">
        <f>KOL_Database!$B$29</f>
        <v>Denny Kurniawan</v>
      </c>
      <c r="C31" s="89" t="str">
        <f>KOL_Database!$C$29</f>
        <v>@dennymotovlog</v>
      </c>
      <c r="D31" s="89" t="str">
        <f>KOL_Database!$D$29</f>
        <v>TikTok</v>
      </c>
      <c r="E31" s="89" t="str">
        <f>KOL_Database!$E$29</f>
        <v>Automotive</v>
      </c>
      <c r="F31" s="89" t="str">
        <f>KOL_Database!$G$29</f>
        <v>Macro</v>
      </c>
      <c r="G31" s="140">
        <f>KOL_Database!$J$29</f>
        <v>228000</v>
      </c>
      <c r="H31" s="141">
        <f>KOL_Database!$K$29</f>
        <v>5.1</v>
      </c>
      <c r="I31" s="142">
        <f ca="1">INDEX(Matching_Engine!$S$6:$S$95,$W31,1)</f>
        <v>57</v>
      </c>
      <c r="J31" s="13">
        <f ca="1">INDEX(Matching_Engine!$AP$6:$AP$95,$W31,1)</f>
        <v>54</v>
      </c>
      <c r="K31" s="142">
        <f>INDEX(Matching_Engine!$X$6:$X$95,$W31,1)</f>
        <v>49</v>
      </c>
      <c r="L31" s="142">
        <f>INDEX(Matching_Engine!$AJ$6:$AJ$95,$W31,1)</f>
        <v>78</v>
      </c>
      <c r="M31" s="142">
        <f>INDEX(Matching_Engine!$AO$6:$AO$95,$W31,1)</f>
        <v>74</v>
      </c>
      <c r="N31" s="142">
        <f>INDEX(Matching_Engine!$AU$6:$AU$95,$W31,1)</f>
        <v>86</v>
      </c>
      <c r="O31" s="143">
        <f>IF(KOL_Database!$AS$29="","—",KOL_Database!$AS$29)</f>
        <v>12.53</v>
      </c>
      <c r="P31" s="89" t="str">
        <f ca="1">INDEX(Matching_Engine!$AQ$6:$AQ$95,$W31,1)</f>
        <v>Low Match</v>
      </c>
      <c r="Q31" s="89" t="str">
        <f ca="1">INDEX(Matching_Engine!$AX$6:$AX$95,$W31,1)</f>
        <v>Low Priority</v>
      </c>
      <c r="R31" s="89" t="str">
        <f ca="1">INDEX(Matching_Engine!$AV$6:$AV$95,$W31,1)</f>
        <v>PASS</v>
      </c>
      <c r="S31" s="144">
        <f ca="1" t="shared" si="1"/>
        <v>54.057497874</v>
      </c>
      <c r="T31" s="89">
        <f ca="1">IF($R31="EXCLUDED","—",IF(Discovery_Ranking!$F$4="asc",COUNTIFS($U$7:$U$36,"&lt;"&amp;$U31,$R$7:$R$36,"PASS")+1,COUNTIFS($U$7:$U$36,"&gt;"&amp;$U31,$R$7:$R$36,"PASS")+1))</f>
        <v>11</v>
      </c>
      <c r="U31" s="143">
        <f ca="1">INDEX($X31:$BA31,1,Discovery_Ranking!$K$4)</f>
        <v>54</v>
      </c>
      <c r="V31" s="89" t="str">
        <f>KOL_Database!$A$29</f>
        <v>KOL-25</v>
      </c>
      <c r="W31" s="89">
        <f>MATCH(Brand_Profile!$B$4&amp;"|"&amp;KOL_Database!$A$29,Matching_Engine!$AZ$6:$AZ$95,0)</f>
        <v>25</v>
      </c>
      <c r="X31" s="145">
        <f ca="1">INDEX(Matching_Engine!$AP$6:$AP$95,$W31,1)</f>
        <v>54</v>
      </c>
      <c r="Y31" s="145">
        <f>IF(KOL_Database!$L$29="",0,KOL_Database!$L$29)</f>
        <v>238888</v>
      </c>
      <c r="Z31" s="145">
        <f>IF(KOL_Database!$M$29="",0,KOL_Database!$M$29)</f>
        <v>174098</v>
      </c>
      <c r="AA31" s="145">
        <f>ROUND(INDEX(Matching_Engine!$AD$6:$AD$95,$W31,1)*0.6+INDEX(Matching_Engine!$AE$6:$AE$95,$W31,1)*0.4,1)</f>
        <v>80.2</v>
      </c>
      <c r="AB31" s="145">
        <f>IF(KOL_Database!$T$29="",0,KOL_Database!$T$29)</f>
        <v>0.86</v>
      </c>
      <c r="AC31" s="145">
        <f>IF(KOL_Database!$U$29="",0,KOL_Database!$U$29)</f>
        <v>1.86</v>
      </c>
      <c r="AD31" s="145">
        <f>IF(KOL_Database!$P$29="",0,KOL_Database!$P$29)</f>
        <v>64</v>
      </c>
      <c r="AE31" s="145">
        <f>IF(KOL_Database!$BC$29="",0,KOL_Database!$BC$29)</f>
        <v>1.048</v>
      </c>
      <c r="AF31" s="145">
        <f>IF(KOL_Database!$V$29="",0,KOL_Database!$V$29)</f>
        <v>65</v>
      </c>
      <c r="AG31" s="145">
        <f>IF(KOL_Database!$N$29="",0,KOL_Database!$N$29)</f>
        <v>7.3</v>
      </c>
      <c r="AH31" s="145">
        <f>IF(KOL_Database!$O$29="",0,KOL_Database!$O$29)</f>
        <v>19.6</v>
      </c>
      <c r="AI31" s="145">
        <f>ROUND(MIN(100,IF(KOL_Database!$N$29="",0,KOL_Database!$N$29)*8+IF(KOL_Database!$O$29="",0,KOL_Database!$O$29)*2+IF(KOL_Database!$K$29="",0,KOL_Database!$K$29)*3),1)</f>
        <v>100</v>
      </c>
      <c r="AJ31" s="145">
        <f>IF(KOL_Database!$R$29="",0,KOL_Database!$R$29)</f>
        <v>73</v>
      </c>
      <c r="AK31" s="145">
        <f>IF(KOL_Database!$S$29="",0,KOL_Database!$S$29)</f>
        <v>79</v>
      </c>
      <c r="AL31" s="145">
        <f ca="1">INDEX(Matching_Engine!$S$6:$S$95,$W31,1)</f>
        <v>57</v>
      </c>
      <c r="AM31" s="145">
        <f>IF(KOL_Database!$Q$29="",0,KOL_Database!$Q$29)</f>
        <v>58</v>
      </c>
      <c r="AN31" s="145">
        <f>IF(KOL_Database!$AO$29="",999999999,KOL_Database!$AO$29)</f>
        <v>46.32</v>
      </c>
      <c r="AO31" s="145">
        <f>IF(KOL_Database!$AP$29="",999999999,KOL_Database!$AP$29)</f>
        <v>908</v>
      </c>
      <c r="AP31" s="145">
        <f>IF(KOL_Database!$AQ$29="",999999999,KOL_Database!$AQ$29)</f>
        <v>48535</v>
      </c>
      <c r="AQ31" s="145">
        <f>IF(KOL_Database!$BD$29="",0,KOL_Database!$BD$29)</f>
        <v>100</v>
      </c>
      <c r="AR31" s="145">
        <f>IF(KOL_Database!$AS$29="",0,KOL_Database!$AS$29)</f>
        <v>12.53</v>
      </c>
      <c r="AS31" s="145">
        <f>INDEX(Matching_Engine!$AT$6:$AT$95,$W31,1)</f>
        <v>41</v>
      </c>
      <c r="AT31" s="145">
        <f>INDEX(Matching_Engine!$AU$6:$AU$95,$W31,1)</f>
        <v>86</v>
      </c>
      <c r="AU31" s="145">
        <f>IF(KOL_Database!$AU$29="",0,KOL_Database!$AU$29)</f>
        <v>28</v>
      </c>
      <c r="AV31" s="145">
        <f>INDEX(Matching_Engine!$X$6:$X$95,$W31,1)</f>
        <v>49</v>
      </c>
      <c r="AW31" s="145">
        <f>IF(KOL_Database!$BA$29="",0,KOL_Database!$BA$29+0)</f>
        <v>46192.7083333333</v>
      </c>
      <c r="AX31" s="145">
        <f>IF(KOL_Database!$BB$29="",0,KOL_Database!$BB$29+0)</f>
        <v>46241.7083333333</v>
      </c>
      <c r="AY31" s="145">
        <f>ROUND(IF(KOL_Database!$V$29="",0,KOL_Database!$V$29)*0.6+MIN(100,IF(KOL_Database!$N$29="",0,KOL_Database!$N$29)*10)*0.4,1)</f>
        <v>68.2</v>
      </c>
      <c r="AZ31" s="145">
        <f>ROUND(MIN(100,IF(KOL_Database!$K$29="",0,KOL_Database!$K$29)/8*100)*0.35+IF(KOL_Database!$R$29="",0,KOL_Database!$R$29)*0.25+(100-IF(KOL_Database!$AU$29="",0,KOL_Database!$AU$29))*0.25+(100-MIN(100,IF(KOL_Database!$J$29="",0,KOL_Database!$J$29)/5000))*0.15,1)</f>
        <v>66.7</v>
      </c>
      <c r="BA31" s="145">
        <f ca="1">ROUND(INDEX(Matching_Engine!$AP$6:$AP$95,$W31,1)*IF(INDEX(Matching_Engine!$AS$6:$AS$95,$W31,1)="High",1,IF(INDEX(Matching_Engine!$AS$6:$AS$95,$W31,1)="Medium",0.92,0.8)),1)</f>
        <v>54</v>
      </c>
    </row>
    <row r="32" spans="1:53">
      <c r="A32" s="89" t="str">
        <f ca="1" t="shared" si="0"/>
        <v>—</v>
      </c>
      <c r="B32" s="89" t="str">
        <f>KOL_Database!$B$30</f>
        <v>Wisnu Adi</v>
      </c>
      <c r="C32" s="89" t="str">
        <f>KOL_Database!$C$30</f>
        <v>@wisnucarreview</v>
      </c>
      <c r="D32" s="89" t="str">
        <f>KOL_Database!$D$30</f>
        <v>Instagram</v>
      </c>
      <c r="E32" s="89" t="str">
        <f>KOL_Database!$E$30</f>
        <v>Automotive</v>
      </c>
      <c r="F32" s="89" t="str">
        <f>KOL_Database!$G$30</f>
        <v>Mid-tier</v>
      </c>
      <c r="G32" s="140">
        <f>KOL_Database!$J$30</f>
        <v>76000</v>
      </c>
      <c r="H32" s="141">
        <f>KOL_Database!$K$30</f>
        <v>2.9</v>
      </c>
      <c r="I32" s="142">
        <f ca="1">INDEX(Matching_Engine!$S$6:$S$95,$W32,1)</f>
        <v>83</v>
      </c>
      <c r="J32" s="13">
        <f ca="1">INDEX(Matching_Engine!$AP$6:$AP$95,$W32,1)</f>
        <v>68</v>
      </c>
      <c r="K32" s="142">
        <f>INDEX(Matching_Engine!$X$6:$X$95,$W32,1)</f>
        <v>68</v>
      </c>
      <c r="L32" s="142">
        <f>INDEX(Matching_Engine!$AJ$6:$AJ$95,$W32,1)</f>
        <v>51</v>
      </c>
      <c r="M32" s="142">
        <f>INDEX(Matching_Engine!$AO$6:$AO$95,$W32,1)</f>
        <v>70</v>
      </c>
      <c r="N32" s="142">
        <f>INDEX(Matching_Engine!$AU$6:$AU$95,$W32,1)</f>
        <v>61</v>
      </c>
      <c r="O32" s="143">
        <f>IF(KOL_Database!$AS$30="","—",KOL_Database!$AS$30)</f>
        <v>3.75</v>
      </c>
      <c r="P32" s="89" t="str">
        <f ca="1">INDEX(Matching_Engine!$AQ$6:$AQ$95,$W32,1)</f>
        <v>Moderate Match</v>
      </c>
      <c r="Q32" s="89" t="str">
        <f ca="1">INDEX(Matching_Engine!$AX$6:$AX$95,$W32,1)</f>
        <v>Excluded</v>
      </c>
      <c r="R32" s="89" t="str">
        <f ca="1">INDEX(Matching_Engine!$AV$6:$AV$95,$W32,1)</f>
        <v>EXCLUDED</v>
      </c>
      <c r="S32" s="144">
        <f ca="1" t="shared" si="1"/>
        <v>-1</v>
      </c>
      <c r="T32" s="89" t="str">
        <f ca="1">IF($R32="EXCLUDED","—",IF(Discovery_Ranking!$F$4="asc",COUNTIFS($U$7:$U$36,"&lt;"&amp;$U32,$R$7:$R$36,"PASS")+1,COUNTIFS($U$7:$U$36,"&gt;"&amp;$U32,$R$7:$R$36,"PASS")+1))</f>
        <v>—</v>
      </c>
      <c r="U32" s="143">
        <f ca="1">INDEX($X32:$BA32,1,Discovery_Ranking!$K$4)</f>
        <v>68</v>
      </c>
      <c r="V32" s="89" t="str">
        <f>KOL_Database!$A$30</f>
        <v>KOL-26</v>
      </c>
      <c r="W32" s="89">
        <f>MATCH(Brand_Profile!$B$4&amp;"|"&amp;KOL_Database!$A$30,Matching_Engine!$AZ$6:$AZ$95,0)</f>
        <v>26</v>
      </c>
      <c r="X32" s="145">
        <f ca="1">INDEX(Matching_Engine!$AP$6:$AP$95,$W32,1)</f>
        <v>68</v>
      </c>
      <c r="Y32" s="145">
        <f>IF(KOL_Database!$L$30="",0,KOL_Database!$L$30)</f>
        <v>16184</v>
      </c>
      <c r="Z32" s="145">
        <f>IF(KOL_Database!$M$30="",0,KOL_Database!$M$30)</f>
        <v>10841</v>
      </c>
      <c r="AA32" s="145">
        <f>ROUND(INDEX(Matching_Engine!$AD$6:$AD$95,$W32,1)*0.6+INDEX(Matching_Engine!$AE$6:$AE$95,$W32,1)*0.4,1)</f>
        <v>54.4</v>
      </c>
      <c r="AB32" s="145">
        <f>IF(KOL_Database!$T$30="",0,KOL_Database!$T$30)</f>
        <v>0.64</v>
      </c>
      <c r="AC32" s="145">
        <f>IF(KOL_Database!$U$30="",0,KOL_Database!$U$30)</f>
        <v>0.93</v>
      </c>
      <c r="AD32" s="145">
        <f>IF(KOL_Database!$P$30="",0,KOL_Database!$P$30)</f>
        <v>48</v>
      </c>
      <c r="AE32" s="145">
        <f>IF(KOL_Database!$BC$30="",0,KOL_Database!$BC$30)</f>
        <v>0.213</v>
      </c>
      <c r="AF32" s="145">
        <f>IF(KOL_Database!$V$30="",0,KOL_Database!$V$30)</f>
        <v>49</v>
      </c>
      <c r="AG32" s="145">
        <f>IF(KOL_Database!$N$30="",0,KOL_Database!$N$30)</f>
        <v>3.7</v>
      </c>
      <c r="AH32" s="145">
        <f>IF(KOL_Database!$O$30="",0,KOL_Database!$O$30)</f>
        <v>12.5</v>
      </c>
      <c r="AI32" s="145">
        <f>ROUND(MIN(100,IF(KOL_Database!$N$30="",0,KOL_Database!$N$30)*8+IF(KOL_Database!$O$30="",0,KOL_Database!$O$30)*2+IF(KOL_Database!$K$30="",0,KOL_Database!$K$30)*3),1)</f>
        <v>63.3</v>
      </c>
      <c r="AJ32" s="145">
        <f>IF(KOL_Database!$R$30="",0,KOL_Database!$R$30)</f>
        <v>64</v>
      </c>
      <c r="AK32" s="145">
        <f>IF(KOL_Database!$S$30="",0,KOL_Database!$S$30)</f>
        <v>74</v>
      </c>
      <c r="AL32" s="145">
        <f ca="1">INDEX(Matching_Engine!$S$6:$S$95,$W32,1)</f>
        <v>83</v>
      </c>
      <c r="AM32" s="145">
        <f>IF(KOL_Database!$Q$30="",0,KOL_Database!$Q$30)</f>
        <v>51</v>
      </c>
      <c r="AN32" s="145">
        <f>IF(KOL_Database!$AO$30="",999999999,KOL_Database!$AO$30)</f>
        <v>119.25</v>
      </c>
      <c r="AO32" s="145">
        <f>IF(KOL_Database!$AP$30="",999999999,KOL_Database!$AP$30)</f>
        <v>4112</v>
      </c>
      <c r="AP32" s="145">
        <f>IF(KOL_Database!$AQ$30="",999999999,KOL_Database!$AQ$30)</f>
        <v>25395</v>
      </c>
      <c r="AQ32" s="145">
        <f>IF(KOL_Database!$BD$30="",0,KOL_Database!$BD$30)</f>
        <v>36</v>
      </c>
      <c r="AR32" s="145">
        <f>IF(KOL_Database!$AS$30="",0,KOL_Database!$AS$30)</f>
        <v>3.75</v>
      </c>
      <c r="AS32" s="145">
        <f>INDEX(Matching_Engine!$AT$6:$AT$95,$W32,1)</f>
        <v>64</v>
      </c>
      <c r="AT32" s="145">
        <f>INDEX(Matching_Engine!$AU$6:$AU$95,$W32,1)</f>
        <v>61</v>
      </c>
      <c r="AU32" s="145">
        <f>IF(KOL_Database!$AU$30="",0,KOL_Database!$AU$30)</f>
        <v>13</v>
      </c>
      <c r="AV32" s="145">
        <f>INDEX(Matching_Engine!$X$6:$X$95,$W32,1)</f>
        <v>68</v>
      </c>
      <c r="AW32" s="145">
        <f>IF(KOL_Database!$BA$30="",0,KOL_Database!$BA$30+0)</f>
        <v>46189.7083333333</v>
      </c>
      <c r="AX32" s="145">
        <f>IF(KOL_Database!$BB$30="",0,KOL_Database!$BB$30+0)</f>
        <v>46248.7083333333</v>
      </c>
      <c r="AY32" s="145">
        <f>ROUND(IF(KOL_Database!$V$30="",0,KOL_Database!$V$30)*0.6+MIN(100,IF(KOL_Database!$N$30="",0,KOL_Database!$N$30)*10)*0.4,1)</f>
        <v>44.2</v>
      </c>
      <c r="AZ32" s="145">
        <f>ROUND(MIN(100,IF(KOL_Database!$K$30="",0,KOL_Database!$K$30)/8*100)*0.35+IF(KOL_Database!$R$30="",0,KOL_Database!$R$30)*0.25+(100-IF(KOL_Database!$AU$30="",0,KOL_Database!$AU$30))*0.25+(100-MIN(100,IF(KOL_Database!$J$30="",0,KOL_Database!$J$30)/5000))*0.15,1)</f>
        <v>63.2</v>
      </c>
      <c r="BA32" s="145">
        <f ca="1">ROUND(INDEX(Matching_Engine!$AP$6:$AP$95,$W32,1)*IF(INDEX(Matching_Engine!$AS$6:$AS$95,$W32,1)="High",1,IF(INDEX(Matching_Engine!$AS$6:$AS$95,$W32,1)="Medium",0.92,0.8)),1)</f>
        <v>68</v>
      </c>
    </row>
    <row r="33" spans="1:53">
      <c r="A33" s="89">
        <f ca="1" t="shared" si="0"/>
        <v>22</v>
      </c>
      <c r="B33" s="89" t="str">
        <f>KOL_Database!$B$31</f>
        <v>Laras Ayu</v>
      </c>
      <c r="C33" s="89" t="str">
        <f>KOL_Database!$C$31</f>
        <v>@larasinterior</v>
      </c>
      <c r="D33" s="89" t="str">
        <f>KOL_Database!$D$31</f>
        <v>Instagram</v>
      </c>
      <c r="E33" s="89" t="str">
        <f>KOL_Database!$E$31</f>
        <v>Home &amp; Living</v>
      </c>
      <c r="F33" s="89" t="str">
        <f>KOL_Database!$G$31</f>
        <v>Micro</v>
      </c>
      <c r="G33" s="140">
        <f>KOL_Database!$J$31</f>
        <v>46000</v>
      </c>
      <c r="H33" s="141">
        <f>KOL_Database!$K$31</f>
        <v>4.4</v>
      </c>
      <c r="I33" s="142">
        <f ca="1">INDEX(Matching_Engine!$S$6:$S$95,$W33,1)</f>
        <v>49</v>
      </c>
      <c r="J33" s="13">
        <f ca="1">INDEX(Matching_Engine!$AP$6:$AP$95,$W33,1)</f>
        <v>42</v>
      </c>
      <c r="K33" s="142">
        <f>INDEX(Matching_Engine!$X$6:$X$95,$W33,1)</f>
        <v>19</v>
      </c>
      <c r="L33" s="142">
        <f>INDEX(Matching_Engine!$AJ$6:$AJ$95,$W33,1)</f>
        <v>68</v>
      </c>
      <c r="M33" s="142">
        <f>INDEX(Matching_Engine!$AO$6:$AO$95,$W33,1)</f>
        <v>81</v>
      </c>
      <c r="N33" s="142">
        <f>INDEX(Matching_Engine!$AU$6:$AU$95,$W33,1)</f>
        <v>50</v>
      </c>
      <c r="O33" s="143" t="str">
        <f>IF(KOL_Database!$AS$31="","—",KOL_Database!$AS$31)</f>
        <v>—</v>
      </c>
      <c r="P33" s="89" t="str">
        <f ca="1">INDEX(Matching_Engine!$AQ$6:$AQ$95,$W33,1)</f>
        <v>Low Match</v>
      </c>
      <c r="Q33" s="89" t="str">
        <f ca="1">INDEX(Matching_Engine!$AX$6:$AX$95,$W33,1)</f>
        <v>Low Priority</v>
      </c>
      <c r="R33" s="89" t="str">
        <f ca="1">INDEX(Matching_Engine!$AV$6:$AV$95,$W33,1)</f>
        <v>PASS</v>
      </c>
      <c r="S33" s="144">
        <f ca="1" t="shared" si="1"/>
        <v>42.049196881</v>
      </c>
      <c r="T33" s="89">
        <f ca="1">IF($R33="EXCLUDED","—",IF(Discovery_Ranking!$F$4="asc",COUNTIFS($U$7:$U$36,"&lt;"&amp;$U33,$R$7:$R$36,"PASS")+1,COUNTIFS($U$7:$U$36,"&gt;"&amp;$U33,$R$7:$R$36,"PASS")+1))</f>
        <v>22</v>
      </c>
      <c r="U33" s="143">
        <f ca="1">INDEX($X33:$BA33,1,Discovery_Ranking!$K$4)</f>
        <v>42</v>
      </c>
      <c r="V33" s="89" t="str">
        <f>KOL_Database!$A$31</f>
        <v>KOL-27</v>
      </c>
      <c r="W33" s="89">
        <f>MATCH(Brand_Profile!$B$4&amp;"|"&amp;KOL_Database!$A$31,Matching_Engine!$AZ$6:$AZ$95,0)</f>
        <v>27</v>
      </c>
      <c r="X33" s="145">
        <f ca="1">INDEX(Matching_Engine!$AP$6:$AP$95,$W33,1)</f>
        <v>42</v>
      </c>
      <c r="Y33" s="145">
        <f>IF(KOL_Database!$L$31="",0,KOL_Database!$L$31)</f>
        <v>16691</v>
      </c>
      <c r="Z33" s="145">
        <f>IF(KOL_Database!$M$31="",0,KOL_Database!$M$31)</f>
        <v>13958</v>
      </c>
      <c r="AA33" s="145">
        <f>ROUND(INDEX(Matching_Engine!$AD$6:$AD$95,$W33,1)*0.6+INDEX(Matching_Engine!$AE$6:$AE$95,$W33,1)*0.4,1)</f>
        <v>79</v>
      </c>
      <c r="AB33" s="145">
        <f>IF(KOL_Database!$T$31="",0,KOL_Database!$T$31)</f>
        <v>1.91</v>
      </c>
      <c r="AC33" s="145">
        <f>IF(KOL_Database!$U$31="",0,KOL_Database!$U$31)</f>
        <v>4.07</v>
      </c>
      <c r="AD33" s="145">
        <f>IF(KOL_Database!$P$31="",0,KOL_Database!$P$31)</f>
        <v>52</v>
      </c>
      <c r="AE33" s="145">
        <f>IF(KOL_Database!$BC$31="",0,KOL_Database!$BC$31)</f>
        <v>0.363</v>
      </c>
      <c r="AF33" s="145">
        <f>IF(KOL_Database!$V$31="",0,KOL_Database!$V$31)</f>
        <v>88</v>
      </c>
      <c r="AG33" s="145">
        <f>IF(KOL_Database!$N$31="",0,KOL_Database!$N$31)</f>
        <v>3.4</v>
      </c>
      <c r="AH33" s="145">
        <f>IF(KOL_Database!$O$31="",0,KOL_Database!$O$31)</f>
        <v>8.9</v>
      </c>
      <c r="AI33" s="145">
        <f>ROUND(MIN(100,IF(KOL_Database!$N$31="",0,KOL_Database!$N$31)*8+IF(KOL_Database!$O$31="",0,KOL_Database!$O$31)*2+IF(KOL_Database!$K$31="",0,KOL_Database!$K$31)*3),1)</f>
        <v>58.2</v>
      </c>
      <c r="AJ33" s="145">
        <f>IF(KOL_Database!$R$31="",0,KOL_Database!$R$31)</f>
        <v>88</v>
      </c>
      <c r="AK33" s="145">
        <f>IF(KOL_Database!$S$31="",0,KOL_Database!$S$31)</f>
        <v>86</v>
      </c>
      <c r="AL33" s="145">
        <f ca="1">INDEX(Matching_Engine!$S$6:$S$95,$W33,1)</f>
        <v>49</v>
      </c>
      <c r="AM33" s="145">
        <f>IF(KOL_Database!$Q$31="",0,KOL_Database!$Q$31)</f>
        <v>49</v>
      </c>
      <c r="AN33" s="145">
        <f>IF(KOL_Database!$AO$31="",999999999,KOL_Database!$AO$31)</f>
        <v>999999999</v>
      </c>
      <c r="AO33" s="145">
        <f>IF(KOL_Database!$AP$31="",999999999,KOL_Database!$AP$31)</f>
        <v>999999999</v>
      </c>
      <c r="AP33" s="145">
        <f>IF(KOL_Database!$AQ$31="",999999999,KOL_Database!$AQ$31)</f>
        <v>999999999</v>
      </c>
      <c r="AQ33" s="145">
        <f>IF(KOL_Database!$BD$31="",0,KOL_Database!$BD$31)</f>
        <v>0</v>
      </c>
      <c r="AR33" s="145">
        <f>IF(KOL_Database!$AS$31="",0,KOL_Database!$AS$31)</f>
        <v>0</v>
      </c>
      <c r="AS33" s="145">
        <f>INDEX(Matching_Engine!$AT$6:$AT$95,$W33,1)</f>
        <v>29</v>
      </c>
      <c r="AT33" s="145">
        <f>INDEX(Matching_Engine!$AU$6:$AU$95,$W33,1)</f>
        <v>50</v>
      </c>
      <c r="AU33" s="145">
        <f>IF(KOL_Database!$AU$31="",0,KOL_Database!$AU$31)</f>
        <v>64</v>
      </c>
      <c r="AV33" s="145">
        <f>INDEX(Matching_Engine!$X$6:$X$95,$W33,1)</f>
        <v>19</v>
      </c>
      <c r="AW33" s="145">
        <f>IF(KOL_Database!$BA$31="",0,KOL_Database!$BA$31+0)</f>
        <v>46180.7083333333</v>
      </c>
      <c r="AX33" s="145">
        <f>IF(KOL_Database!$BB$31="",0,KOL_Database!$BB$31+0)</f>
        <v>46239.7083333333</v>
      </c>
      <c r="AY33" s="145">
        <f>ROUND(IF(KOL_Database!$V$31="",0,KOL_Database!$V$31)*0.6+MIN(100,IF(KOL_Database!$N$31="",0,KOL_Database!$N$31)*10)*0.4,1)</f>
        <v>66.4</v>
      </c>
      <c r="AZ33" s="145">
        <f>ROUND(MIN(100,IF(KOL_Database!$K$31="",0,KOL_Database!$K$31)/8*100)*0.35+IF(KOL_Database!$R$31="",0,KOL_Database!$R$31)*0.25+(100-IF(KOL_Database!$AU$31="",0,KOL_Database!$AU$31))*0.25+(100-MIN(100,IF(KOL_Database!$J$31="",0,KOL_Database!$J$31)/5000))*0.15,1)</f>
        <v>63.9</v>
      </c>
      <c r="BA33" s="145">
        <f ca="1">ROUND(INDEX(Matching_Engine!$AP$6:$AP$95,$W33,1)*IF(INDEX(Matching_Engine!$AS$6:$AS$95,$W33,1)="High",1,IF(INDEX(Matching_Engine!$AS$6:$AS$95,$W33,1)="Medium",0.92,0.8)),1)</f>
        <v>38.6</v>
      </c>
    </row>
    <row r="34" spans="1:53">
      <c r="A34" s="89">
        <f ca="1" t="shared" si="0"/>
        <v>10</v>
      </c>
      <c r="B34" s="89" t="str">
        <f>KOL_Database!$B$32</f>
        <v>Tiara Nisrina</v>
      </c>
      <c r="C34" s="89" t="str">
        <f>KOL_Database!$C$32</f>
        <v>@tiararapihin</v>
      </c>
      <c r="D34" s="89" t="str">
        <f>KOL_Database!$D$32</f>
        <v>TikTok</v>
      </c>
      <c r="E34" s="89" t="str">
        <f>KOL_Database!$E$32</f>
        <v>Home &amp; Living</v>
      </c>
      <c r="F34" s="89" t="str">
        <f>KOL_Database!$G$32</f>
        <v>Macro</v>
      </c>
      <c r="G34" s="140">
        <f>KOL_Database!$J$32</f>
        <v>118000</v>
      </c>
      <c r="H34" s="141">
        <f>KOL_Database!$K$32</f>
        <v>6.1</v>
      </c>
      <c r="I34" s="142">
        <f ca="1">INDEX(Matching_Engine!$S$6:$S$95,$W34,1)</f>
        <v>66</v>
      </c>
      <c r="J34" s="13">
        <f ca="1">INDEX(Matching_Engine!$AP$6:$AP$95,$W34,1)</f>
        <v>55</v>
      </c>
      <c r="K34" s="142">
        <f>INDEX(Matching_Engine!$X$6:$X$95,$W34,1)</f>
        <v>32</v>
      </c>
      <c r="L34" s="142">
        <f>INDEX(Matching_Engine!$AJ$6:$AJ$95,$W34,1)</f>
        <v>87</v>
      </c>
      <c r="M34" s="142">
        <f>INDEX(Matching_Engine!$AO$6:$AO$95,$W34,1)</f>
        <v>80</v>
      </c>
      <c r="N34" s="142">
        <f>INDEX(Matching_Engine!$AU$6:$AU$95,$W34,1)</f>
        <v>75</v>
      </c>
      <c r="O34" s="143">
        <f>IF(KOL_Database!$AS$32="","—",KOL_Database!$AS$32)</f>
        <v>20.23</v>
      </c>
      <c r="P34" s="89" t="str">
        <f ca="1">INDEX(Matching_Engine!$AQ$6:$AQ$95,$W34,1)</f>
        <v>Low Match</v>
      </c>
      <c r="Q34" s="89" t="str">
        <f ca="1">INDEX(Matching_Engine!$AX$6:$AX$95,$W34,1)</f>
        <v>Low Priority</v>
      </c>
      <c r="R34" s="89" t="str">
        <f ca="1">INDEX(Matching_Engine!$AV$6:$AV$95,$W34,1)</f>
        <v>PASS</v>
      </c>
      <c r="S34" s="144">
        <f ca="1" t="shared" si="1"/>
        <v>55.06632878</v>
      </c>
      <c r="T34" s="89">
        <f ca="1">IF($R34="EXCLUDED","—",IF(Discovery_Ranking!$F$4="asc",COUNTIFS($U$7:$U$36,"&lt;"&amp;$U34,$R$7:$R$36,"PASS")+1,COUNTIFS($U$7:$U$36,"&gt;"&amp;$U34,$R$7:$R$36,"PASS")+1))</f>
        <v>10</v>
      </c>
      <c r="U34" s="143">
        <f ca="1">INDEX($X34:$BA34,1,Discovery_Ranking!$K$4)</f>
        <v>55</v>
      </c>
      <c r="V34" s="89" t="str">
        <f>KOL_Database!$A$32</f>
        <v>KOL-28</v>
      </c>
      <c r="W34" s="89">
        <f>MATCH(Brand_Profile!$B$4&amp;"|"&amp;KOL_Database!$A$32,Matching_Engine!$AZ$6:$AZ$95,0)</f>
        <v>28</v>
      </c>
      <c r="X34" s="145">
        <f ca="1">INDEX(Matching_Engine!$AP$6:$AP$95,$W34,1)</f>
        <v>55</v>
      </c>
      <c r="Y34" s="145">
        <f>IF(KOL_Database!$L$32="",0,KOL_Database!$L$32)</f>
        <v>134895</v>
      </c>
      <c r="Z34" s="145">
        <f>IF(KOL_Database!$M$32="",0,KOL_Database!$M$32)</f>
        <v>105352</v>
      </c>
      <c r="AA34" s="145">
        <f>ROUND(INDEX(Matching_Engine!$AD$6:$AD$95,$W34,1)*0.6+INDEX(Matching_Engine!$AE$6:$AE$95,$W34,1)*0.4,1)</f>
        <v>92.4</v>
      </c>
      <c r="AB34" s="145">
        <f>IF(KOL_Database!$T$32="",0,KOL_Database!$T$32)</f>
        <v>1.34</v>
      </c>
      <c r="AC34" s="145">
        <f>IF(KOL_Database!$U$32="",0,KOL_Database!$U$32)</f>
        <v>2.68</v>
      </c>
      <c r="AD34" s="145">
        <f>IF(KOL_Database!$P$32="",0,KOL_Database!$P$32)</f>
        <v>77</v>
      </c>
      <c r="AE34" s="145">
        <f>IF(KOL_Database!$BC$32="",0,KOL_Database!$BC$32)</f>
        <v>1.143</v>
      </c>
      <c r="AF34" s="145">
        <f>IF(KOL_Database!$V$32="",0,KOL_Database!$V$32)</f>
        <v>73</v>
      </c>
      <c r="AG34" s="145">
        <f>IF(KOL_Database!$N$32="",0,KOL_Database!$N$32)</f>
        <v>4</v>
      </c>
      <c r="AH34" s="145">
        <f>IF(KOL_Database!$O$32="",0,KOL_Database!$O$32)</f>
        <v>13.5</v>
      </c>
      <c r="AI34" s="145">
        <f>ROUND(MIN(100,IF(KOL_Database!$N$32="",0,KOL_Database!$N$32)*8+IF(KOL_Database!$O$32="",0,KOL_Database!$O$32)*2+IF(KOL_Database!$K$32="",0,KOL_Database!$K$32)*3),1)</f>
        <v>77.3</v>
      </c>
      <c r="AJ34" s="145">
        <f>IF(KOL_Database!$R$32="",0,KOL_Database!$R$32)</f>
        <v>81</v>
      </c>
      <c r="AK34" s="145">
        <f>IF(KOL_Database!$S$32="",0,KOL_Database!$S$32)</f>
        <v>75</v>
      </c>
      <c r="AL34" s="145">
        <f ca="1">INDEX(Matching_Engine!$S$6:$S$95,$W34,1)</f>
        <v>66</v>
      </c>
      <c r="AM34" s="145">
        <f>IF(KOL_Database!$Q$32="",0,KOL_Database!$Q$32)</f>
        <v>75</v>
      </c>
      <c r="AN34" s="145">
        <f>IF(KOL_Database!$AO$32="",999999999,KOL_Database!$AO$32)</f>
        <v>34.06</v>
      </c>
      <c r="AO34" s="145">
        <f>IF(KOL_Database!$AP$32="",999999999,KOL_Database!$AP$32)</f>
        <v>558</v>
      </c>
      <c r="AP34" s="145">
        <f>IF(KOL_Database!$AQ$32="",999999999,KOL_Database!$AQ$32)</f>
        <v>38932</v>
      </c>
      <c r="AQ34" s="145">
        <f>IF(KOL_Database!$BD$32="",0,KOL_Database!$BD$32)</f>
        <v>100</v>
      </c>
      <c r="AR34" s="145">
        <f>IF(KOL_Database!$AS$32="",0,KOL_Database!$AS$32)</f>
        <v>20.23</v>
      </c>
      <c r="AS34" s="145">
        <f>INDEX(Matching_Engine!$AT$6:$AT$95,$W34,1)</f>
        <v>40</v>
      </c>
      <c r="AT34" s="145">
        <f>INDEX(Matching_Engine!$AU$6:$AU$95,$W34,1)</f>
        <v>75</v>
      </c>
      <c r="AU34" s="145">
        <f>IF(KOL_Database!$AU$32="",0,KOL_Database!$AU$32)</f>
        <v>42</v>
      </c>
      <c r="AV34" s="145">
        <f>INDEX(Matching_Engine!$X$6:$X$95,$W34,1)</f>
        <v>32</v>
      </c>
      <c r="AW34" s="145">
        <f>IF(KOL_Database!$BA$32="",0,KOL_Database!$BA$32+0)</f>
        <v>46164.7083333333</v>
      </c>
      <c r="AX34" s="145">
        <f>IF(KOL_Database!$BB$32="",0,KOL_Database!$BB$32+0)</f>
        <v>46255.7083333333</v>
      </c>
      <c r="AY34" s="145">
        <f>ROUND(IF(KOL_Database!$V$32="",0,KOL_Database!$V$32)*0.6+MIN(100,IF(KOL_Database!$N$32="",0,KOL_Database!$N$32)*10)*0.4,1)</f>
        <v>59.8</v>
      </c>
      <c r="AZ34" s="145">
        <f>ROUND(MIN(100,IF(KOL_Database!$K$32="",0,KOL_Database!$K$32)/8*100)*0.35+IF(KOL_Database!$R$32="",0,KOL_Database!$R$32)*0.25+(100-IF(KOL_Database!$AU$32="",0,KOL_Database!$AU$32))*0.25+(100-MIN(100,IF(KOL_Database!$J$32="",0,KOL_Database!$J$32)/5000))*0.15,1)</f>
        <v>72.9</v>
      </c>
      <c r="BA34" s="145">
        <f ca="1">ROUND(INDEX(Matching_Engine!$AP$6:$AP$95,$W34,1)*IF(INDEX(Matching_Engine!$AS$6:$AS$95,$W34,1)="High",1,IF(INDEX(Matching_Engine!$AS$6:$AS$95,$W34,1)="Medium",0.92,0.8)),1)</f>
        <v>55</v>
      </c>
    </row>
    <row r="35" spans="1:53">
      <c r="A35" s="89">
        <f ca="1" t="shared" si="0"/>
        <v>16</v>
      </c>
      <c r="B35" s="89" t="str">
        <f>KOL_Database!$B$33</f>
        <v>Sekar Ayu</v>
      </c>
      <c r="C35" s="89" t="str">
        <f>KOL_Database!$C$33</f>
        <v>@sekarskincarejujur</v>
      </c>
      <c r="D35" s="89" t="str">
        <f>KOL_Database!$D$33</f>
        <v>TikTok</v>
      </c>
      <c r="E35" s="89" t="str">
        <f>KOL_Database!$E$33</f>
        <v>Beauty</v>
      </c>
      <c r="F35" s="89" t="str">
        <f>KOL_Database!$G$33</f>
        <v>Micro</v>
      </c>
      <c r="G35" s="140">
        <f>KOL_Database!$J$33</f>
        <v>27000</v>
      </c>
      <c r="H35" s="141">
        <f>KOL_Database!$K$33</f>
        <v>8.9</v>
      </c>
      <c r="I35" s="142">
        <f ca="1">INDEX(Matching_Engine!$S$6:$S$95,$W35,1)</f>
        <v>49</v>
      </c>
      <c r="J35" s="13">
        <f ca="1">INDEX(Matching_Engine!$AP$6:$AP$95,$W35,1)</f>
        <v>47</v>
      </c>
      <c r="K35" s="142">
        <f>INDEX(Matching_Engine!$X$6:$X$95,$W35,1)</f>
        <v>26</v>
      </c>
      <c r="L35" s="142">
        <f>INDEX(Matching_Engine!$AJ$6:$AJ$95,$W35,1)</f>
        <v>88</v>
      </c>
      <c r="M35" s="142">
        <f>INDEX(Matching_Engine!$AO$6:$AO$95,$W35,1)</f>
        <v>93</v>
      </c>
      <c r="N35" s="142">
        <f>INDEX(Matching_Engine!$AU$6:$AU$95,$W35,1)</f>
        <v>85</v>
      </c>
      <c r="O35" s="143">
        <f>IF(KOL_Database!$AS$33="","—",KOL_Database!$AS$33)</f>
        <v>19.85</v>
      </c>
      <c r="P35" s="89" t="str">
        <f ca="1">INDEX(Matching_Engine!$AQ$6:$AQ$95,$W35,1)</f>
        <v>Low Match</v>
      </c>
      <c r="Q35" s="89" t="str">
        <f ca="1">INDEX(Matching_Engine!$AX$6:$AX$95,$W35,1)</f>
        <v>Low Priority</v>
      </c>
      <c r="R35" s="89" t="str">
        <f ca="1">INDEX(Matching_Engine!$AV$6:$AV$95,$W35,1)</f>
        <v>PASS</v>
      </c>
      <c r="S35" s="144">
        <f ca="1" t="shared" si="1"/>
        <v>47.049268893</v>
      </c>
      <c r="T35" s="89">
        <f ca="1">IF($R35="EXCLUDED","—",IF(Discovery_Ranking!$F$4="asc",COUNTIFS($U$7:$U$36,"&lt;"&amp;$U35,$R$7:$R$36,"PASS")+1,COUNTIFS($U$7:$U$36,"&gt;"&amp;$U35,$R$7:$R$36,"PASS")+1))</f>
        <v>16</v>
      </c>
      <c r="U35" s="143">
        <f ca="1">INDEX($X35:$BA35,1,Discovery_Ranking!$K$4)</f>
        <v>47</v>
      </c>
      <c r="V35" s="89" t="str">
        <f>KOL_Database!$A$33</f>
        <v>KOL-29</v>
      </c>
      <c r="W35" s="89">
        <f>MATCH(Brand_Profile!$B$4&amp;"|"&amp;KOL_Database!$A$33,Matching_Engine!$AZ$6:$AZ$95,0)</f>
        <v>29</v>
      </c>
      <c r="X35" s="145">
        <f ca="1">INDEX(Matching_Engine!$AP$6:$AP$95,$W35,1)</f>
        <v>47</v>
      </c>
      <c r="Y35" s="145">
        <f>IF(KOL_Database!$L$33="",0,KOL_Database!$L$33)</f>
        <v>16833</v>
      </c>
      <c r="Z35" s="145">
        <f>IF(KOL_Database!$M$33="",0,KOL_Database!$M$33)</f>
        <v>14812</v>
      </c>
      <c r="AA35" s="145">
        <f>ROUND(INDEX(Matching_Engine!$AD$6:$AD$95,$W35,1)*0.6+INDEX(Matching_Engine!$AE$6:$AE$95,$W35,1)*0.4,1)</f>
        <v>96.4</v>
      </c>
      <c r="AB35" s="145">
        <f>IF(KOL_Database!$T$33="",0,KOL_Database!$T$33)</f>
        <v>0.32</v>
      </c>
      <c r="AC35" s="145">
        <f>IF(KOL_Database!$U$33="",0,KOL_Database!$U$33)</f>
        <v>4.5</v>
      </c>
      <c r="AD35" s="145">
        <f>IF(KOL_Database!$P$33="",0,KOL_Database!$P$33)</f>
        <v>88</v>
      </c>
      <c r="AE35" s="145">
        <f>IF(KOL_Database!$BC$33="",0,KOL_Database!$BC$33)</f>
        <v>0.623</v>
      </c>
      <c r="AF35" s="145">
        <f>IF(KOL_Database!$V$33="",0,KOL_Database!$V$33)</f>
        <v>92</v>
      </c>
      <c r="AG35" s="145">
        <f>IF(KOL_Database!$N$33="",0,KOL_Database!$N$33)</f>
        <v>3.7</v>
      </c>
      <c r="AH35" s="145">
        <f>IF(KOL_Database!$O$33="",0,KOL_Database!$O$33)</f>
        <v>9.7</v>
      </c>
      <c r="AI35" s="145">
        <f>ROUND(MIN(100,IF(KOL_Database!$N$33="",0,KOL_Database!$N$33)*8+IF(KOL_Database!$O$33="",0,KOL_Database!$O$33)*2+IF(KOL_Database!$K$33="",0,KOL_Database!$K$33)*3),1)</f>
        <v>75.7</v>
      </c>
      <c r="AJ35" s="145">
        <f>IF(KOL_Database!$R$33="",0,KOL_Database!$R$33)</f>
        <v>91</v>
      </c>
      <c r="AK35" s="145">
        <f>IF(KOL_Database!$S$33="",0,KOL_Database!$S$33)</f>
        <v>95</v>
      </c>
      <c r="AL35" s="145">
        <f ca="1">INDEX(Matching_Engine!$S$6:$S$95,$W35,1)</f>
        <v>49</v>
      </c>
      <c r="AM35" s="145">
        <f>IF(KOL_Database!$Q$33="",0,KOL_Database!$Q$33)</f>
        <v>46</v>
      </c>
      <c r="AN35" s="145">
        <f>IF(KOL_Database!$AO$33="",999999999,KOL_Database!$AO$33)</f>
        <v>54.18</v>
      </c>
      <c r="AO35" s="145">
        <f>IF(KOL_Database!$AP$33="",999999999,KOL_Database!$AP$33)</f>
        <v>609</v>
      </c>
      <c r="AP35" s="145">
        <f>IF(KOL_Database!$AQ$33="",999999999,KOL_Database!$AQ$33)</f>
        <v>33778</v>
      </c>
      <c r="AQ35" s="145">
        <f>IF(KOL_Database!$BD$33="",0,KOL_Database!$BD$33)</f>
        <v>100</v>
      </c>
      <c r="AR35" s="145">
        <f>IF(KOL_Database!$AS$33="",0,KOL_Database!$AS$33)</f>
        <v>19.85</v>
      </c>
      <c r="AS35" s="145">
        <f>INDEX(Matching_Engine!$AT$6:$AT$95,$W35,1)</f>
        <v>34</v>
      </c>
      <c r="AT35" s="145">
        <f>INDEX(Matching_Engine!$AU$6:$AU$95,$W35,1)</f>
        <v>85</v>
      </c>
      <c r="AU35" s="145">
        <f>IF(KOL_Database!$AU$33="",0,KOL_Database!$AU$33)</f>
        <v>12</v>
      </c>
      <c r="AV35" s="145">
        <f>INDEX(Matching_Engine!$X$6:$X$95,$W35,1)</f>
        <v>26</v>
      </c>
      <c r="AW35" s="145">
        <f>IF(KOL_Database!$BA$33="",0,KOL_Database!$BA$33+0)</f>
        <v>46144.7083333333</v>
      </c>
      <c r="AX35" s="145">
        <f>IF(KOL_Database!$BB$33="",0,KOL_Database!$BB$33+0)</f>
        <v>46257.7083333333</v>
      </c>
      <c r="AY35" s="145">
        <f>ROUND(IF(KOL_Database!$V$33="",0,KOL_Database!$V$33)*0.6+MIN(100,IF(KOL_Database!$N$33="",0,KOL_Database!$N$33)*10)*0.4,1)</f>
        <v>70</v>
      </c>
      <c r="AZ35" s="145">
        <f>ROUND(MIN(100,IF(KOL_Database!$K$33="",0,KOL_Database!$K$33)/8*100)*0.35+IF(KOL_Database!$R$33="",0,KOL_Database!$R$33)*0.25+(100-IF(KOL_Database!$AU$33="",0,KOL_Database!$AU$33))*0.25+(100-MIN(100,IF(KOL_Database!$J$33="",0,KOL_Database!$J$33)/5000))*0.15,1)</f>
        <v>93.9</v>
      </c>
      <c r="BA35" s="145">
        <f ca="1">ROUND(INDEX(Matching_Engine!$AP$6:$AP$95,$W35,1)*IF(INDEX(Matching_Engine!$AS$6:$AS$95,$W35,1)="High",1,IF(INDEX(Matching_Engine!$AS$6:$AS$95,$W35,1)="Medium",0.92,0.8)),1)</f>
        <v>47</v>
      </c>
    </row>
    <row r="36" spans="1:53">
      <c r="A36" s="89">
        <f ca="1" t="shared" si="0"/>
        <v>3</v>
      </c>
      <c r="B36" s="89" t="str">
        <f>KOL_Database!$B$34</f>
        <v>Ibnu Faisal</v>
      </c>
      <c r="C36" s="89" t="str">
        <f>KOL_Database!$C$34</f>
        <v>@ibnubisnis</v>
      </c>
      <c r="D36" s="89" t="str">
        <f>KOL_Database!$D$34</f>
        <v>Instagram</v>
      </c>
      <c r="E36" s="89" t="str">
        <f>KOL_Database!$E$34</f>
        <v>Finance</v>
      </c>
      <c r="F36" s="89" t="str">
        <f>KOL_Database!$G$34</f>
        <v>Macro</v>
      </c>
      <c r="G36" s="140">
        <f>KOL_Database!$J$34</f>
        <v>355000</v>
      </c>
      <c r="H36" s="141">
        <f>KOL_Database!$K$34</f>
        <v>2.6</v>
      </c>
      <c r="I36" s="142">
        <f ca="1">INDEX(Matching_Engine!$S$6:$S$95,$W36,1)</f>
        <v>99</v>
      </c>
      <c r="J36" s="13">
        <f ca="1">INDEX(Matching_Engine!$AP$6:$AP$95,$W36,1)</f>
        <v>82</v>
      </c>
      <c r="K36" s="142">
        <f>INDEX(Matching_Engine!$X$6:$X$95,$W36,1)</f>
        <v>80</v>
      </c>
      <c r="L36" s="142">
        <f>INDEX(Matching_Engine!$AJ$6:$AJ$95,$W36,1)</f>
        <v>54</v>
      </c>
      <c r="M36" s="142">
        <f>INDEX(Matching_Engine!$AO$6:$AO$95,$W36,1)</f>
        <v>72</v>
      </c>
      <c r="N36" s="142">
        <f>INDEX(Matching_Engine!$AU$6:$AU$95,$W36,1)</f>
        <v>49</v>
      </c>
      <c r="O36" s="143">
        <f>IF(KOL_Database!$AS$34="","—",KOL_Database!$AS$34)</f>
        <v>1.69</v>
      </c>
      <c r="P36" s="89" t="str">
        <f ca="1">INDEX(Matching_Engine!$AQ$6:$AQ$95,$W36,1)</f>
        <v>Strong Match</v>
      </c>
      <c r="Q36" s="89" t="str">
        <f ca="1">INDEX(Matching_Engine!$AX$6:$AX$95,$W36,1)</f>
        <v>Recommended</v>
      </c>
      <c r="R36" s="89" t="str">
        <f ca="1">INDEX(Matching_Engine!$AV$6:$AV$95,$W36,1)</f>
        <v>PASS</v>
      </c>
      <c r="S36" s="144">
        <f ca="1" t="shared" si="1"/>
        <v>82.099805472</v>
      </c>
      <c r="T36" s="89">
        <f ca="1">IF($R36="EXCLUDED","—",IF(Discovery_Ranking!$F$4="asc",COUNTIFS($U$7:$U$36,"&lt;"&amp;$U36,$R$7:$R$36,"PASS")+1,COUNTIFS($U$7:$U$36,"&gt;"&amp;$U36,$R$7:$R$36,"PASS")+1))</f>
        <v>3</v>
      </c>
      <c r="U36" s="143">
        <f ca="1">INDEX($X36:$BA36,1,Discovery_Ranking!$K$4)</f>
        <v>82</v>
      </c>
      <c r="V36" s="89" t="str">
        <f>KOL_Database!$A$34</f>
        <v>KOL-30</v>
      </c>
      <c r="W36" s="89">
        <f>MATCH(Brand_Profile!$B$4&amp;"|"&amp;KOL_Database!$A$34,Matching_Engine!$AZ$6:$AZ$95,0)</f>
        <v>30</v>
      </c>
      <c r="X36" s="145">
        <f ca="1">INDEX(Matching_Engine!$AP$6:$AP$95,$W36,1)</f>
        <v>82</v>
      </c>
      <c r="Y36" s="145">
        <f>IF(KOL_Database!$L$34="",0,KOL_Database!$L$34)</f>
        <v>83349</v>
      </c>
      <c r="Z36" s="145">
        <f>IF(KOL_Database!$M$34="",0,KOL_Database!$M$34)</f>
        <v>0</v>
      </c>
      <c r="AA36" s="145">
        <f>ROUND(INDEX(Matching_Engine!$AD$6:$AD$95,$W36,1)*0.6+INDEX(Matching_Engine!$AE$6:$AE$95,$W36,1)*0.4,1)</f>
        <v>52.2</v>
      </c>
      <c r="AB36" s="145">
        <f>IF(KOL_Database!$T$34="",0,KOL_Database!$T$34)</f>
        <v>0.63</v>
      </c>
      <c r="AC36" s="145">
        <f>IF(KOL_Database!$U$34="",0,KOL_Database!$U$34)</f>
        <v>1.3</v>
      </c>
      <c r="AD36" s="145">
        <f>IF(KOL_Database!$P$34="",0,KOL_Database!$P$34)</f>
        <v>53</v>
      </c>
      <c r="AE36" s="145">
        <f>IF(KOL_Database!$BC$34="",0,KOL_Database!$BC$34)</f>
        <v>0.235</v>
      </c>
      <c r="AF36" s="145">
        <f>IF(KOL_Database!$V$34="",0,KOL_Database!$V$34)</f>
        <v>56</v>
      </c>
      <c r="AG36" s="145">
        <f>IF(KOL_Database!$N$34="",0,KOL_Database!$N$34)</f>
        <v>2.1</v>
      </c>
      <c r="AH36" s="145">
        <f>IF(KOL_Database!$O$34="",0,KOL_Database!$O$34)</f>
        <v>6.4</v>
      </c>
      <c r="AI36" s="145">
        <f>ROUND(MIN(100,IF(KOL_Database!$N$34="",0,KOL_Database!$N$34)*8+IF(KOL_Database!$O$34="",0,KOL_Database!$O$34)*2+IF(KOL_Database!$K$34="",0,KOL_Database!$K$34)*3),1)</f>
        <v>37.4</v>
      </c>
      <c r="AJ36" s="145">
        <f>IF(KOL_Database!$R$34="",0,KOL_Database!$R$34)</f>
        <v>66</v>
      </c>
      <c r="AK36" s="145">
        <f>IF(KOL_Database!$S$34="",0,KOL_Database!$S$34)</f>
        <v>71</v>
      </c>
      <c r="AL36" s="145">
        <f ca="1">INDEX(Matching_Engine!$S$6:$S$95,$W36,1)</f>
        <v>99</v>
      </c>
      <c r="AM36" s="145">
        <f>IF(KOL_Database!$Q$34="",0,KOL_Database!$Q$34)</f>
        <v>88</v>
      </c>
      <c r="AN36" s="145">
        <f>IF(KOL_Database!$AO$34="",999999999,KOL_Database!$AO$34)</f>
        <v>230.57</v>
      </c>
      <c r="AO36" s="145">
        <f>IF(KOL_Database!$AP$34="",999999999,KOL_Database!$AP$34)</f>
        <v>8868</v>
      </c>
      <c r="AP36" s="145">
        <f>IF(KOL_Database!$AQ$34="",999999999,KOL_Database!$AQ$34)</f>
        <v>54135</v>
      </c>
      <c r="AQ36" s="145">
        <f>IF(KOL_Database!$BD$34="",0,KOL_Database!$BD$34)</f>
        <v>17</v>
      </c>
      <c r="AR36" s="145">
        <f>IF(KOL_Database!$AS$34="",0,KOL_Database!$AS$34)</f>
        <v>1.69</v>
      </c>
      <c r="AS36" s="145">
        <f>INDEX(Matching_Engine!$AT$6:$AT$95,$W36,1)</f>
        <v>79</v>
      </c>
      <c r="AT36" s="145">
        <f>INDEX(Matching_Engine!$AU$6:$AU$95,$W36,1)</f>
        <v>49</v>
      </c>
      <c r="AU36" s="145">
        <f>IF(KOL_Database!$AU$34="",0,KOL_Database!$AU$34)</f>
        <v>21</v>
      </c>
      <c r="AV36" s="145">
        <f>INDEX(Matching_Engine!$X$6:$X$95,$W36,1)</f>
        <v>80</v>
      </c>
      <c r="AW36" s="145">
        <f>IF(KOL_Database!$BA$34="",0,KOL_Database!$BA$34+0)</f>
        <v>46179.7083333333</v>
      </c>
      <c r="AX36" s="145">
        <f>IF(KOL_Database!$BB$34="",0,KOL_Database!$BB$34+0)</f>
        <v>46235.7083333333</v>
      </c>
      <c r="AY36" s="145">
        <f>ROUND(IF(KOL_Database!$V$34="",0,KOL_Database!$V$34)*0.6+MIN(100,IF(KOL_Database!$N$34="",0,KOL_Database!$N$34)*10)*0.4,1)</f>
        <v>42</v>
      </c>
      <c r="AZ36" s="145">
        <f>ROUND(MIN(100,IF(KOL_Database!$K$34="",0,KOL_Database!$K$34)/8*100)*0.35+IF(KOL_Database!$R$34="",0,KOL_Database!$R$34)*0.25+(100-IF(KOL_Database!$AU$34="",0,KOL_Database!$AU$34))*0.25+(100-MIN(100,IF(KOL_Database!$J$34="",0,KOL_Database!$J$34)/5000))*0.15,1)</f>
        <v>52</v>
      </c>
      <c r="BA36" s="145">
        <f ca="1">ROUND(INDEX(Matching_Engine!$AP$6:$AP$95,$W36,1)*IF(INDEX(Matching_Engine!$AS$6:$AS$95,$W36,1)="High",1,IF(INDEX(Matching_Engine!$AS$6:$AS$95,$W36,1)="Medium",0.92,0.8)),1)</f>
        <v>75.4</v>
      </c>
    </row>
  </sheetData>
  <autoFilter xmlns:etc="http://www.wps.cn/officeDocument/2017/etCustomData" ref="A6:W36" etc:filterBottomFollowUsedRange="0">
    <extLst/>
  </autoFilter>
  <mergeCells count="4">
    <mergeCell ref="A1:BA1"/>
    <mergeCell ref="A2:BA2"/>
    <mergeCell ref="B4:C4"/>
    <mergeCell ref="X5:BA5"/>
  </mergeCells>
  <conditionalFormatting sqref="J7:J36">
    <cfRule type="colorScale" priority="1">
      <colorScale>
        <cfvo type="num" val="40"/>
        <cfvo type="num" val="70"/>
        <cfvo type="num" val="95"/>
        <color rgb="FFF8696B"/>
        <color rgb="FFFFEB84"/>
        <color rgb="FF63BE7B"/>
      </colorScale>
    </cfRule>
  </conditionalFormatting>
  <conditionalFormatting sqref="P7:P36">
    <cfRule type="containsText" dxfId="5" priority="3" operator="between" text="Excellent">
      <formula>NOT(ISERROR(SEARCH("Excellent",P7)))</formula>
    </cfRule>
    <cfRule type="containsText" dxfId="10" priority="3" operator="between" text="Strong">
      <formula>NOT(ISERROR(SEARCH("Strong",P7)))</formula>
    </cfRule>
    <cfRule type="containsText" dxfId="9" priority="3" operator="between" text="Low">
      <formula>NOT(ISERROR(SEARCH("Low",P7)))</formula>
    </cfRule>
  </conditionalFormatting>
  <conditionalFormatting sqref="R7:R36">
    <cfRule type="containsText" dxfId="0" priority="2" operator="between" text="EXCLUDED">
      <formula>NOT(ISERROR(SEARCH("EXCLUDED",R7)))</formula>
    </cfRule>
    <cfRule type="containsText" dxfId="10" priority="2" operator="between" text="PASS">
      <formula>NOT(ISERROR(SEARCH("PASS",R7)))</formula>
    </cfRule>
  </conditionalFormatting>
  <dataValidations count="1">
    <dataValidation type="list" sqref="B4">
      <formula1>Lookup_Lists!$AD$6:$AD$35</formula1>
    </dataValidation>
  </dataValidations>
  <pageMargins left="0.7" right="0.7" top="0.75" bottom="0.75" header="0.3" footer="0.3"/>
  <pageSetup paperSize="1" orientation="portrait"/>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5"/>
  <sheetViews>
    <sheetView workbookViewId="0">
      <pane ySplit="4" topLeftCell="A5" activePane="bottomLeft" state="frozen"/>
      <selection/>
      <selection pane="bottomLeft" activeCell="A1" sqref="A1:F1"/>
    </sheetView>
  </sheetViews>
  <sheetFormatPr defaultColWidth="9" defaultRowHeight="15" outlineLevelCol="5"/>
  <cols>
    <col min="1" max="1" width="13" customWidth="1"/>
    <col min="2" max="2" width="30" customWidth="1"/>
    <col min="3" max="3" width="52" customWidth="1"/>
    <col min="4" max="4" width="58" customWidth="1"/>
    <col min="5" max="5" width="46" customWidth="1"/>
    <col min="6" max="6" width="60" customWidth="1"/>
  </cols>
  <sheetData>
    <row r="1" ht="24" customHeight="1" spans="1:6">
      <c r="A1" s="38" t="s">
        <v>1062</v>
      </c>
    </row>
    <row r="2" ht="30" customHeight="1" spans="1:6">
      <c r="A2" s="39" t="s">
        <v>1063</v>
      </c>
    </row>
    <row r="4" spans="1:6">
      <c r="A4" t="s">
        <v>815</v>
      </c>
      <c r="B4" t="s">
        <v>360</v>
      </c>
      <c r="C4" t="s">
        <v>1064</v>
      </c>
      <c r="D4" t="s">
        <v>1065</v>
      </c>
      <c r="E4" t="s">
        <v>1066</v>
      </c>
      <c r="F4" t="s">
        <v>1067</v>
      </c>
    </row>
    <row r="5" spans="1:6">
      <c r="A5" s="129" t="s">
        <v>825</v>
      </c>
      <c r="B5" s="129" t="s">
        <v>390</v>
      </c>
      <c r="C5" s="129" t="s">
        <v>1068</v>
      </c>
      <c r="D5" s="129" t="s">
        <v>1069</v>
      </c>
      <c r="E5" s="129" t="s">
        <v>1070</v>
      </c>
      <c r="F5" s="129" t="s">
        <v>1071</v>
      </c>
    </row>
    <row r="6" ht="24" spans="1:6">
      <c r="A6" s="129" t="s">
        <v>825</v>
      </c>
      <c r="B6" s="129" t="s">
        <v>1072</v>
      </c>
      <c r="C6" s="129" t="s">
        <v>1073</v>
      </c>
      <c r="D6" s="129" t="s">
        <v>1074</v>
      </c>
      <c r="E6" s="129" t="s">
        <v>1070</v>
      </c>
      <c r="F6" s="129" t="s">
        <v>1075</v>
      </c>
    </row>
    <row r="7" ht="36" spans="1:6">
      <c r="A7" s="129" t="s">
        <v>825</v>
      </c>
      <c r="B7" s="129" t="s">
        <v>1076</v>
      </c>
      <c r="C7" s="129" t="s">
        <v>1077</v>
      </c>
      <c r="D7" s="129" t="s">
        <v>1078</v>
      </c>
      <c r="E7" s="129" t="s">
        <v>1070</v>
      </c>
      <c r="F7" s="129" t="s">
        <v>1079</v>
      </c>
    </row>
    <row r="8" ht="24" spans="1:6">
      <c r="A8" s="129" t="s">
        <v>825</v>
      </c>
      <c r="B8" s="129" t="s">
        <v>1080</v>
      </c>
      <c r="C8" s="129" t="s">
        <v>1081</v>
      </c>
      <c r="D8" s="129" t="s">
        <v>1082</v>
      </c>
      <c r="E8" s="129" t="s">
        <v>1070</v>
      </c>
      <c r="F8" s="129" t="s">
        <v>1083</v>
      </c>
    </row>
    <row r="9" ht="24" spans="1:6">
      <c r="A9" s="129" t="s">
        <v>825</v>
      </c>
      <c r="B9" s="129" t="s">
        <v>447</v>
      </c>
      <c r="C9" s="129" t="s">
        <v>1084</v>
      </c>
      <c r="D9" s="129" t="s">
        <v>1085</v>
      </c>
      <c r="E9" s="129" t="s">
        <v>1070</v>
      </c>
      <c r="F9" s="129" t="s">
        <v>1086</v>
      </c>
    </row>
    <row r="10" ht="24" spans="1:6">
      <c r="A10" s="129" t="s">
        <v>825</v>
      </c>
      <c r="B10" s="129" t="s">
        <v>282</v>
      </c>
      <c r="C10" s="129" t="s">
        <v>1087</v>
      </c>
      <c r="D10" s="129" t="s">
        <v>1088</v>
      </c>
      <c r="E10" s="129" t="s">
        <v>1070</v>
      </c>
      <c r="F10" s="129" t="s">
        <v>1089</v>
      </c>
    </row>
    <row r="11" ht="24" spans="1:6">
      <c r="A11" s="129" t="s">
        <v>825</v>
      </c>
      <c r="B11" s="129" t="s">
        <v>285</v>
      </c>
      <c r="C11" s="129" t="s">
        <v>1090</v>
      </c>
      <c r="D11" s="129" t="s">
        <v>1091</v>
      </c>
      <c r="E11" s="129" t="s">
        <v>1070</v>
      </c>
      <c r="F11" s="129" t="s">
        <v>1092</v>
      </c>
    </row>
    <row r="12" ht="24" spans="1:6">
      <c r="A12" s="129" t="s">
        <v>825</v>
      </c>
      <c r="B12" s="129" t="s">
        <v>470</v>
      </c>
      <c r="C12" s="129" t="s">
        <v>1093</v>
      </c>
      <c r="D12" s="129" t="s">
        <v>1094</v>
      </c>
      <c r="E12" s="129" t="s">
        <v>1070</v>
      </c>
      <c r="F12" s="129" t="s">
        <v>1095</v>
      </c>
    </row>
    <row r="13" ht="24" spans="1:6">
      <c r="A13" s="129" t="s">
        <v>825</v>
      </c>
      <c r="B13" s="129" t="s">
        <v>416</v>
      </c>
      <c r="C13" s="129" t="s">
        <v>1096</v>
      </c>
      <c r="D13" s="129" t="s">
        <v>1097</v>
      </c>
      <c r="E13" s="129" t="s">
        <v>1070</v>
      </c>
      <c r="F13" s="129" t="s">
        <v>1098</v>
      </c>
    </row>
    <row r="14" ht="24" spans="1:6">
      <c r="A14" s="129" t="s">
        <v>825</v>
      </c>
      <c r="B14" s="129" t="s">
        <v>1099</v>
      </c>
      <c r="C14" s="129" t="s">
        <v>1100</v>
      </c>
      <c r="D14" s="129" t="s">
        <v>1101</v>
      </c>
      <c r="E14" s="129" t="s">
        <v>1102</v>
      </c>
      <c r="F14" s="129" t="s">
        <v>1103</v>
      </c>
    </row>
    <row r="15" spans="1:6">
      <c r="A15" s="129" t="s">
        <v>825</v>
      </c>
      <c r="B15" s="129" t="s">
        <v>1104</v>
      </c>
      <c r="C15" s="129" t="s">
        <v>1105</v>
      </c>
      <c r="D15" s="129" t="s">
        <v>1106</v>
      </c>
      <c r="E15" s="129" t="s">
        <v>1070</v>
      </c>
      <c r="F15" s="129" t="s">
        <v>1107</v>
      </c>
    </row>
    <row r="16" spans="1:6">
      <c r="A16" s="129" t="s">
        <v>825</v>
      </c>
      <c r="B16" s="129" t="s">
        <v>1108</v>
      </c>
      <c r="C16" s="129" t="s">
        <v>1109</v>
      </c>
      <c r="D16" s="129" t="s">
        <v>1110</v>
      </c>
      <c r="E16" s="129" t="s">
        <v>1070</v>
      </c>
      <c r="F16" s="129" t="s">
        <v>1111</v>
      </c>
    </row>
    <row r="17" spans="1:6">
      <c r="A17" s="129" t="s">
        <v>825</v>
      </c>
      <c r="B17" s="129" t="s">
        <v>1112</v>
      </c>
      <c r="C17" s="129" t="s">
        <v>1113</v>
      </c>
      <c r="D17" s="129" t="s">
        <v>1114</v>
      </c>
      <c r="E17" s="129" t="s">
        <v>1070</v>
      </c>
      <c r="F17" s="129" t="s">
        <v>1115</v>
      </c>
    </row>
    <row r="18" spans="1:6">
      <c r="A18" s="129" t="s">
        <v>825</v>
      </c>
      <c r="B18" s="129" t="s">
        <v>1116</v>
      </c>
      <c r="C18" s="129" t="s">
        <v>1117</v>
      </c>
      <c r="D18" s="129" t="s">
        <v>1118</v>
      </c>
      <c r="E18" s="129" t="s">
        <v>1070</v>
      </c>
      <c r="F18" s="129" t="s">
        <v>1119</v>
      </c>
    </row>
    <row r="19" ht="24" spans="1:6">
      <c r="A19" s="129" t="s">
        <v>825</v>
      </c>
      <c r="B19" s="129" t="s">
        <v>1120</v>
      </c>
      <c r="C19" s="129" t="s">
        <v>1121</v>
      </c>
      <c r="D19" s="129" t="s">
        <v>1122</v>
      </c>
      <c r="E19" s="129" t="s">
        <v>1123</v>
      </c>
      <c r="F19" s="129" t="s">
        <v>1124</v>
      </c>
    </row>
    <row r="20" spans="1:6">
      <c r="A20" s="129" t="s">
        <v>842</v>
      </c>
      <c r="B20" s="129" t="s">
        <v>417</v>
      </c>
      <c r="C20" s="129" t="s">
        <v>1125</v>
      </c>
      <c r="D20" s="129" t="s">
        <v>1126</v>
      </c>
      <c r="E20" s="129" t="s">
        <v>1127</v>
      </c>
      <c r="F20" s="129" t="s">
        <v>1128</v>
      </c>
    </row>
    <row r="21" ht="24" spans="1:6">
      <c r="A21" s="129" t="s">
        <v>842</v>
      </c>
      <c r="B21" s="129" t="s">
        <v>1032</v>
      </c>
      <c r="C21" s="129" t="s">
        <v>1129</v>
      </c>
      <c r="D21" s="129" t="s">
        <v>1130</v>
      </c>
      <c r="E21" s="129" t="s">
        <v>1127</v>
      </c>
      <c r="F21" s="129" t="s">
        <v>827</v>
      </c>
    </row>
    <row r="22" spans="1:6">
      <c r="A22" s="129" t="s">
        <v>842</v>
      </c>
      <c r="B22" s="129" t="s">
        <v>968</v>
      </c>
      <c r="C22" s="129" t="s">
        <v>1131</v>
      </c>
      <c r="D22" s="129" t="s">
        <v>1132</v>
      </c>
      <c r="E22" s="129" t="s">
        <v>1127</v>
      </c>
      <c r="F22" s="129" t="s">
        <v>827</v>
      </c>
    </row>
    <row r="23" ht="24" spans="1:6">
      <c r="A23" s="129" t="s">
        <v>842</v>
      </c>
      <c r="B23" s="129" t="s">
        <v>420</v>
      </c>
      <c r="C23" s="129" t="s">
        <v>1133</v>
      </c>
      <c r="D23" s="129" t="s">
        <v>1134</v>
      </c>
      <c r="E23" s="129" t="s">
        <v>1127</v>
      </c>
      <c r="F23" s="129" t="s">
        <v>827</v>
      </c>
    </row>
    <row r="24" ht="24" spans="1:6">
      <c r="A24" s="129" t="s">
        <v>842</v>
      </c>
      <c r="B24" s="129" t="s">
        <v>1033</v>
      </c>
      <c r="C24" s="129" t="s">
        <v>1135</v>
      </c>
      <c r="D24" s="129" t="s">
        <v>1136</v>
      </c>
      <c r="E24" s="129" t="s">
        <v>1127</v>
      </c>
      <c r="F24" s="129" t="s">
        <v>827</v>
      </c>
    </row>
    <row r="25" ht="24" spans="1:6">
      <c r="A25" s="129" t="s">
        <v>842</v>
      </c>
      <c r="B25" s="129" t="s">
        <v>1034</v>
      </c>
      <c r="C25" s="129" t="s">
        <v>1137</v>
      </c>
      <c r="D25" s="129" t="s">
        <v>1138</v>
      </c>
      <c r="E25" s="129" t="s">
        <v>1127</v>
      </c>
      <c r="F25" s="129" t="s">
        <v>827</v>
      </c>
    </row>
    <row r="26" spans="1:6">
      <c r="A26" s="129" t="s">
        <v>842</v>
      </c>
      <c r="B26" s="129" t="s">
        <v>482</v>
      </c>
      <c r="C26" s="129" t="s">
        <v>1139</v>
      </c>
      <c r="D26" s="129" t="s">
        <v>1140</v>
      </c>
      <c r="E26" s="129" t="s">
        <v>1127</v>
      </c>
      <c r="F26" s="129" t="s">
        <v>1141</v>
      </c>
    </row>
    <row r="27" ht="24" spans="1:6">
      <c r="A27" s="129" t="s">
        <v>842</v>
      </c>
      <c r="B27" s="129" t="s">
        <v>484</v>
      </c>
      <c r="C27" s="129" t="s">
        <v>1142</v>
      </c>
      <c r="D27" s="129" t="s">
        <v>1143</v>
      </c>
      <c r="E27" s="129" t="s">
        <v>1144</v>
      </c>
      <c r="F27" s="129" t="s">
        <v>827</v>
      </c>
    </row>
    <row r="29" ht="18" customHeight="1" spans="1:6">
      <c r="A29" s="87" t="s">
        <v>1145</v>
      </c>
    </row>
    <row r="30" ht="20" customHeight="1" spans="1:6">
      <c r="A30" s="88" t="s">
        <v>772</v>
      </c>
      <c r="B30" s="88" t="s">
        <v>424</v>
      </c>
      <c r="C30" s="88" t="s">
        <v>778</v>
      </c>
      <c r="D30" s="88" t="s">
        <v>1146</v>
      </c>
    </row>
    <row r="31" spans="1:6">
      <c r="A31" s="103" t="str">
        <f>Lookup_Lists!$D$152&amp;"–100"</f>
        <v>90–100</v>
      </c>
      <c r="B31" s="96" t="s">
        <v>1147</v>
      </c>
      <c r="C31" s="90" t="s">
        <v>1148</v>
      </c>
      <c r="D31" s="95" t="s">
        <v>295</v>
      </c>
    </row>
    <row r="32" spans="1:6">
      <c r="A32" s="103" t="str">
        <f>Lookup_Lists!$D$153&amp;"–"&amp;(Lookup_Lists!$D$152-1)</f>
        <v>80–89</v>
      </c>
      <c r="B32" s="96" t="s">
        <v>1149</v>
      </c>
      <c r="C32" s="90" t="s">
        <v>1150</v>
      </c>
      <c r="D32" s="95" t="s">
        <v>295</v>
      </c>
    </row>
    <row r="33" spans="1:4">
      <c r="A33" s="103" t="str">
        <f>Lookup_Lists!$D$154&amp;"–"&amp;(Lookup_Lists!$D$153-1)</f>
        <v>70–79</v>
      </c>
      <c r="B33" s="96" t="s">
        <v>1151</v>
      </c>
      <c r="C33" s="90" t="s">
        <v>1152</v>
      </c>
      <c r="D33" s="95" t="s">
        <v>295</v>
      </c>
    </row>
    <row r="34" spans="1:4">
      <c r="A34" s="103" t="str">
        <f>Lookup_Lists!$D$155&amp;"–"&amp;(Lookup_Lists!$D$154-1)</f>
        <v>60–69</v>
      </c>
      <c r="B34" s="96" t="s">
        <v>1153</v>
      </c>
      <c r="C34" s="90" t="s">
        <v>1154</v>
      </c>
      <c r="D34" s="95" t="s">
        <v>295</v>
      </c>
    </row>
    <row r="35" spans="1:4">
      <c r="A35" s="103" t="str">
        <f>"0–"&amp;(Lookup_Lists!$D$155-1)</f>
        <v>0–59</v>
      </c>
      <c r="B35" s="96" t="s">
        <v>1155</v>
      </c>
      <c r="C35" s="90" t="s">
        <v>1156</v>
      </c>
      <c r="D35" s="95" t="s">
        <v>1157</v>
      </c>
    </row>
  </sheetData>
  <mergeCells count="3">
    <mergeCell ref="A1:F1"/>
    <mergeCell ref="A2:F2"/>
    <mergeCell ref="A29:F29"/>
  </mergeCells>
  <conditionalFormatting sqref="A5:A27">
    <cfRule type="containsText" dxfId="0" priority="1" operator="between" text="HARD">
      <formula>NOT(ISERROR(SEARCH("HARD",A5)))</formula>
    </cfRule>
    <cfRule type="containsText" dxfId="8" priority="2" operator="between" text="SOFT">
      <formula>NOT(ISERROR(SEARCH("SOFT",A5)))</formula>
    </cfRule>
  </conditionalFormatting>
  <pageMargins left="0.7" right="0.7" top="0.75" bottom="0.75" header="0.3" footer="0.3"/>
  <pageSetup paperSize="1" orientation="portrait"/>
  <headerFooter/>
  <tableParts count="1">
    <tablePart r:id="rId1"/>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421"/>
  <sheetViews>
    <sheetView workbookViewId="0">
      <pane ySplit="3" topLeftCell="A4" activePane="bottomLeft" state="frozen"/>
      <selection/>
      <selection pane="bottomLeft" activeCell="A1" sqref="A1:I1"/>
    </sheetView>
  </sheetViews>
  <sheetFormatPr defaultColWidth="9" defaultRowHeight="15"/>
  <cols>
    <col min="1" max="1" width="20" customWidth="1"/>
    <col min="2" max="3" width="18" customWidth="1"/>
    <col min="4" max="5" width="28" customWidth="1"/>
    <col min="6" max="6" width="46" customWidth="1"/>
    <col min="7" max="9" width="13" customWidth="1"/>
  </cols>
  <sheetData>
    <row r="1" ht="24" customHeight="1" spans="1:9">
      <c r="A1" s="38" t="s">
        <v>1158</v>
      </c>
    </row>
    <row r="2" ht="30" customHeight="1" spans="1:9">
      <c r="A2" s="39" t="s">
        <v>1159</v>
      </c>
    </row>
    <row r="4" ht="18" customHeight="1" spans="1:9">
      <c r="A4" s="87" t="s">
        <v>1160</v>
      </c>
    </row>
    <row r="5" ht="24" customHeight="1" spans="1:9">
      <c r="A5" s="88" t="s">
        <v>1161</v>
      </c>
      <c r="B5" s="88" t="s">
        <v>1162</v>
      </c>
      <c r="C5" s="88" t="s">
        <v>1163</v>
      </c>
      <c r="D5" s="110"/>
      <c r="E5" s="111"/>
      <c r="F5" s="88" t="s">
        <v>1164</v>
      </c>
      <c r="G5" s="110"/>
      <c r="H5" s="110"/>
      <c r="I5" s="111"/>
    </row>
    <row r="6" ht="24" spans="1:9">
      <c r="A6" s="112" t="s">
        <v>438</v>
      </c>
      <c r="B6" s="113" t="s">
        <v>1165</v>
      </c>
      <c r="C6" s="113" t="s">
        <v>1166</v>
      </c>
      <c r="D6" s="28"/>
      <c r="E6" s="29"/>
      <c r="F6" s="114" t="s">
        <v>1167</v>
      </c>
      <c r="G6" s="28"/>
      <c r="H6" s="28"/>
      <c r="I6" s="29"/>
    </row>
    <row r="7" spans="1:9">
      <c r="A7" s="112" t="s">
        <v>437</v>
      </c>
      <c r="B7" s="113" t="s">
        <v>1168</v>
      </c>
      <c r="C7" s="113" t="s">
        <v>1169</v>
      </c>
      <c r="D7" s="28"/>
      <c r="E7" s="29"/>
      <c r="F7" s="114" t="s">
        <v>1170</v>
      </c>
      <c r="G7" s="28"/>
      <c r="H7" s="28"/>
      <c r="I7" s="29"/>
    </row>
    <row r="8" spans="1:9">
      <c r="A8" s="112" t="s">
        <v>1171</v>
      </c>
      <c r="B8" s="113" t="s">
        <v>1172</v>
      </c>
      <c r="C8" s="113" t="s">
        <v>1173</v>
      </c>
      <c r="D8" s="28"/>
      <c r="E8" s="29"/>
      <c r="F8" s="114" t="s">
        <v>1174</v>
      </c>
      <c r="G8" s="28"/>
      <c r="H8" s="28"/>
      <c r="I8" s="29"/>
    </row>
    <row r="10" ht="18" customHeight="1" spans="1:9">
      <c r="A10" s="87" t="s">
        <v>1175</v>
      </c>
    </row>
    <row r="11" ht="24" customHeight="1" spans="1:9">
      <c r="A11" s="88" t="s">
        <v>1176</v>
      </c>
      <c r="B11" s="88" t="s">
        <v>1177</v>
      </c>
      <c r="C11" s="88" t="s">
        <v>1178</v>
      </c>
      <c r="D11" s="111"/>
      <c r="E11" s="88" t="s">
        <v>1179</v>
      </c>
      <c r="F11" s="88" t="s">
        <v>1180</v>
      </c>
      <c r="G11" s="110"/>
      <c r="H11" s="110"/>
      <c r="I11" s="111"/>
    </row>
    <row r="12" spans="1:9">
      <c r="A12" s="112" t="s">
        <v>1181</v>
      </c>
      <c r="B12" s="115">
        <f>COUNTIF($B$21:$B$163,"L1 Category")</f>
        <v>14</v>
      </c>
      <c r="C12" s="114" t="s">
        <v>1182</v>
      </c>
      <c r="D12" s="29"/>
      <c r="E12" s="113" t="s">
        <v>1183</v>
      </c>
      <c r="F12" s="113" t="s">
        <v>1184</v>
      </c>
      <c r="G12" s="28"/>
      <c r="H12" s="28"/>
      <c r="I12" s="29"/>
    </row>
    <row r="13" spans="1:9">
      <c r="A13" s="112" t="s">
        <v>1185</v>
      </c>
      <c r="B13" s="115">
        <f>COUNTIF($B$21:$B$163,"L2 Sub Category")</f>
        <v>42</v>
      </c>
      <c r="C13" s="114" t="s">
        <v>1186</v>
      </c>
      <c r="D13" s="29"/>
      <c r="E13" s="113" t="s">
        <v>859</v>
      </c>
      <c r="F13" s="113" t="s">
        <v>1187</v>
      </c>
      <c r="G13" s="28"/>
      <c r="H13" s="28"/>
      <c r="I13" s="29"/>
    </row>
    <row r="14" spans="1:9">
      <c r="A14" s="112" t="s">
        <v>1188</v>
      </c>
      <c r="B14" s="115">
        <f>COUNTIF($B$21:$B$163,"L3 Content Topic")</f>
        <v>87</v>
      </c>
      <c r="C14" s="114" t="s">
        <v>1189</v>
      </c>
      <c r="D14" s="29"/>
      <c r="E14" s="113" t="s">
        <v>1190</v>
      </c>
      <c r="F14" s="113" t="s">
        <v>1191</v>
      </c>
      <c r="G14" s="28"/>
      <c r="H14" s="28"/>
      <c r="I14" s="29"/>
    </row>
    <row r="15" spans="1:9">
      <c r="A15" s="112" t="s">
        <v>1192</v>
      </c>
      <c r="B15" s="115">
        <f>COUNTIF($B$167:$B$202,"B1 Industry")</f>
        <v>12</v>
      </c>
      <c r="C15" s="114" t="s">
        <v>1193</v>
      </c>
      <c r="D15" s="29"/>
      <c r="E15" s="113" t="s">
        <v>1194</v>
      </c>
      <c r="F15" s="113" t="s">
        <v>1195</v>
      </c>
      <c r="G15" s="28"/>
      <c r="H15" s="28"/>
      <c r="I15" s="29"/>
    </row>
    <row r="16" spans="1:9">
      <c r="A16" s="112" t="s">
        <v>1196</v>
      </c>
      <c r="B16" s="115">
        <f>COUNTIF($B$167:$B$202,"B2 Niche")</f>
        <v>24</v>
      </c>
      <c r="C16" s="114" t="s">
        <v>1197</v>
      </c>
      <c r="D16" s="29"/>
      <c r="E16" s="113" t="s">
        <v>1194</v>
      </c>
      <c r="F16" s="113" t="s">
        <v>1198</v>
      </c>
      <c r="G16" s="28"/>
      <c r="H16" s="28"/>
      <c r="I16" s="29"/>
    </row>
    <row r="17" ht="24" spans="1:9">
      <c r="A17" s="112" t="s">
        <v>1199</v>
      </c>
      <c r="B17" s="116" t="s">
        <v>827</v>
      </c>
      <c r="C17" s="114" t="s">
        <v>1200</v>
      </c>
      <c r="D17" s="29"/>
      <c r="E17" s="113" t="s">
        <v>1201</v>
      </c>
      <c r="F17" s="113" t="s">
        <v>1202</v>
      </c>
      <c r="G17" s="28"/>
      <c r="H17" s="28"/>
      <c r="I17" s="29"/>
    </row>
    <row r="19" ht="18" customHeight="1" spans="1:9">
      <c r="A19" s="87" t="s">
        <v>1203</v>
      </c>
    </row>
    <row r="20" ht="24" customHeight="1" spans="1:9">
      <c r="A20" s="88" t="s">
        <v>1204</v>
      </c>
      <c r="B20" s="88" t="s">
        <v>1176</v>
      </c>
      <c r="C20" s="88" t="s">
        <v>1205</v>
      </c>
      <c r="D20" s="88" t="s">
        <v>1206</v>
      </c>
      <c r="E20" s="88" t="s">
        <v>1207</v>
      </c>
      <c r="F20" s="88" t="s">
        <v>1208</v>
      </c>
      <c r="G20" s="110"/>
      <c r="H20" s="110"/>
      <c r="I20" s="111"/>
    </row>
    <row r="21" spans="1:9">
      <c r="A21" s="117" t="s">
        <v>1209</v>
      </c>
      <c r="B21" s="118" t="s">
        <v>1181</v>
      </c>
      <c r="C21" s="119" t="s">
        <v>29</v>
      </c>
      <c r="D21" s="117" t="s">
        <v>244</v>
      </c>
      <c r="E21" s="118" t="s">
        <v>1210</v>
      </c>
      <c r="F21" s="119" t="s">
        <v>1211</v>
      </c>
      <c r="G21" s="28"/>
      <c r="H21" s="28"/>
      <c r="I21" s="29"/>
    </row>
    <row r="22" spans="1:9">
      <c r="A22" s="114" t="s">
        <v>1212</v>
      </c>
      <c r="B22" s="113" t="s">
        <v>1185</v>
      </c>
      <c r="C22" s="114" t="s">
        <v>1209</v>
      </c>
      <c r="D22" s="113" t="s">
        <v>146</v>
      </c>
      <c r="E22" s="113" t="s">
        <v>1213</v>
      </c>
      <c r="F22" s="114" t="s">
        <v>1214</v>
      </c>
      <c r="G22" s="28"/>
      <c r="H22" s="28"/>
      <c r="I22" s="29"/>
    </row>
    <row r="23" spans="1:9">
      <c r="A23" s="114" t="s">
        <v>1215</v>
      </c>
      <c r="B23" s="113" t="s">
        <v>1188</v>
      </c>
      <c r="C23" s="114" t="s">
        <v>1212</v>
      </c>
      <c r="D23" s="113" t="s">
        <v>1216</v>
      </c>
      <c r="E23" s="113" t="s">
        <v>1217</v>
      </c>
      <c r="F23" s="114" t="s">
        <v>1218</v>
      </c>
      <c r="G23" s="28"/>
      <c r="H23" s="28"/>
      <c r="I23" s="29"/>
    </row>
    <row r="24" spans="1:9">
      <c r="A24" s="114" t="s">
        <v>1219</v>
      </c>
      <c r="B24" s="113" t="s">
        <v>1188</v>
      </c>
      <c r="C24" s="114" t="s">
        <v>1212</v>
      </c>
      <c r="D24" s="113" t="s">
        <v>1220</v>
      </c>
      <c r="E24" s="113" t="s">
        <v>1221</v>
      </c>
      <c r="F24" s="114" t="s">
        <v>1222</v>
      </c>
      <c r="G24" s="28"/>
      <c r="H24" s="28"/>
      <c r="I24" s="29"/>
    </row>
    <row r="25" spans="1:9">
      <c r="A25" s="114" t="s">
        <v>1223</v>
      </c>
      <c r="B25" s="113" t="s">
        <v>1188</v>
      </c>
      <c r="C25" s="114" t="s">
        <v>1212</v>
      </c>
      <c r="D25" s="113" t="s">
        <v>1224</v>
      </c>
      <c r="E25" s="113" t="s">
        <v>1225</v>
      </c>
      <c r="F25" s="114" t="s">
        <v>1226</v>
      </c>
      <c r="G25" s="28"/>
      <c r="H25" s="28"/>
      <c r="I25" s="29"/>
    </row>
    <row r="26" spans="1:9">
      <c r="A26" s="114" t="s">
        <v>1227</v>
      </c>
      <c r="B26" s="113" t="s">
        <v>1185</v>
      </c>
      <c r="C26" s="114" t="s">
        <v>1209</v>
      </c>
      <c r="D26" s="113" t="s">
        <v>522</v>
      </c>
      <c r="E26" s="113" t="s">
        <v>1228</v>
      </c>
      <c r="F26" s="114" t="s">
        <v>1229</v>
      </c>
      <c r="G26" s="28"/>
      <c r="H26" s="28"/>
      <c r="I26" s="29"/>
    </row>
    <row r="27" spans="1:9">
      <c r="A27" s="114" t="s">
        <v>1230</v>
      </c>
      <c r="B27" s="113" t="s">
        <v>1188</v>
      </c>
      <c r="C27" s="114" t="s">
        <v>1227</v>
      </c>
      <c r="D27" s="113" t="s">
        <v>1231</v>
      </c>
      <c r="E27" s="113" t="s">
        <v>1232</v>
      </c>
      <c r="F27" s="114" t="s">
        <v>1233</v>
      </c>
      <c r="G27" s="28"/>
      <c r="H27" s="28"/>
      <c r="I27" s="29"/>
    </row>
    <row r="28" spans="1:9">
      <c r="A28" s="114" t="s">
        <v>1234</v>
      </c>
      <c r="B28" s="113" t="s">
        <v>1188</v>
      </c>
      <c r="C28" s="114" t="s">
        <v>1227</v>
      </c>
      <c r="D28" s="113" t="s">
        <v>1235</v>
      </c>
      <c r="E28" s="113" t="s">
        <v>1236</v>
      </c>
      <c r="F28" s="114" t="s">
        <v>1237</v>
      </c>
      <c r="G28" s="28"/>
      <c r="H28" s="28"/>
      <c r="I28" s="29"/>
    </row>
    <row r="29" spans="1:9">
      <c r="A29" s="114" t="s">
        <v>1238</v>
      </c>
      <c r="B29" s="113" t="s">
        <v>1188</v>
      </c>
      <c r="C29" s="114" t="s">
        <v>1227</v>
      </c>
      <c r="D29" s="113" t="s">
        <v>1239</v>
      </c>
      <c r="E29" s="113" t="s">
        <v>1240</v>
      </c>
      <c r="F29" s="114" t="s">
        <v>1241</v>
      </c>
      <c r="G29" s="28"/>
      <c r="H29" s="28"/>
      <c r="I29" s="29"/>
    </row>
    <row r="30" spans="1:9">
      <c r="A30" s="114" t="s">
        <v>1242</v>
      </c>
      <c r="B30" s="113" t="s">
        <v>1185</v>
      </c>
      <c r="C30" s="114" t="s">
        <v>1209</v>
      </c>
      <c r="D30" s="113" t="s">
        <v>1243</v>
      </c>
      <c r="E30" s="113" t="s">
        <v>1244</v>
      </c>
      <c r="F30" s="114" t="s">
        <v>1245</v>
      </c>
      <c r="G30" s="28"/>
      <c r="H30" s="28"/>
      <c r="I30" s="29"/>
    </row>
    <row r="31" spans="1:9">
      <c r="A31" s="114" t="s">
        <v>1246</v>
      </c>
      <c r="B31" s="113" t="s">
        <v>1188</v>
      </c>
      <c r="C31" s="114" t="s">
        <v>1242</v>
      </c>
      <c r="D31" s="113" t="s">
        <v>1247</v>
      </c>
      <c r="E31" s="113" t="s">
        <v>1244</v>
      </c>
      <c r="F31" s="114" t="s">
        <v>1248</v>
      </c>
      <c r="G31" s="28"/>
      <c r="H31" s="28"/>
      <c r="I31" s="29"/>
    </row>
    <row r="32" spans="1:9">
      <c r="A32" s="114" t="s">
        <v>1249</v>
      </c>
      <c r="B32" s="113" t="s">
        <v>1188</v>
      </c>
      <c r="C32" s="114" t="s">
        <v>1242</v>
      </c>
      <c r="D32" s="113" t="s">
        <v>1250</v>
      </c>
      <c r="E32" s="113" t="s">
        <v>1251</v>
      </c>
      <c r="F32" s="114" t="s">
        <v>1252</v>
      </c>
      <c r="G32" s="28"/>
      <c r="H32" s="28"/>
      <c r="I32" s="29"/>
    </row>
    <row r="33" spans="1:9">
      <c r="A33" s="117" t="s">
        <v>1253</v>
      </c>
      <c r="B33" s="118" t="s">
        <v>1181</v>
      </c>
      <c r="C33" s="119" t="s">
        <v>29</v>
      </c>
      <c r="D33" s="117" t="s">
        <v>597</v>
      </c>
      <c r="E33" s="118" t="s">
        <v>1254</v>
      </c>
      <c r="F33" s="119" t="s">
        <v>1255</v>
      </c>
      <c r="G33" s="28"/>
      <c r="H33" s="28"/>
      <c r="I33" s="29"/>
    </row>
    <row r="34" spans="1:9">
      <c r="A34" s="114" t="s">
        <v>1256</v>
      </c>
      <c r="B34" s="113" t="s">
        <v>1185</v>
      </c>
      <c r="C34" s="114" t="s">
        <v>1253</v>
      </c>
      <c r="D34" s="113" t="s">
        <v>598</v>
      </c>
      <c r="E34" s="113" t="s">
        <v>598</v>
      </c>
      <c r="F34" s="114" t="s">
        <v>1257</v>
      </c>
      <c r="G34" s="28"/>
      <c r="H34" s="28"/>
      <c r="I34" s="29"/>
    </row>
    <row r="35" spans="1:9">
      <c r="A35" s="114" t="s">
        <v>1258</v>
      </c>
      <c r="B35" s="113" t="s">
        <v>1188</v>
      </c>
      <c r="C35" s="114" t="s">
        <v>1256</v>
      </c>
      <c r="D35" s="113" t="s">
        <v>1259</v>
      </c>
      <c r="E35" s="113" t="s">
        <v>1260</v>
      </c>
      <c r="F35" s="114" t="s">
        <v>1261</v>
      </c>
      <c r="G35" s="28"/>
      <c r="H35" s="28"/>
      <c r="I35" s="29"/>
    </row>
    <row r="36" spans="1:9">
      <c r="A36" s="114" t="s">
        <v>1262</v>
      </c>
      <c r="B36" s="113" t="s">
        <v>1188</v>
      </c>
      <c r="C36" s="114" t="s">
        <v>1256</v>
      </c>
      <c r="D36" s="113" t="s">
        <v>1263</v>
      </c>
      <c r="E36" s="113" t="s">
        <v>1263</v>
      </c>
      <c r="F36" s="114" t="s">
        <v>1264</v>
      </c>
      <c r="G36" s="28"/>
      <c r="H36" s="28"/>
      <c r="I36" s="29"/>
    </row>
    <row r="37" spans="1:9">
      <c r="A37" s="114" t="s">
        <v>1265</v>
      </c>
      <c r="B37" s="113" t="s">
        <v>1185</v>
      </c>
      <c r="C37" s="114" t="s">
        <v>1253</v>
      </c>
      <c r="D37" s="113" t="s">
        <v>606</v>
      </c>
      <c r="E37" s="113" t="s">
        <v>1266</v>
      </c>
      <c r="F37" s="114" t="s">
        <v>1267</v>
      </c>
      <c r="G37" s="28"/>
      <c r="H37" s="28"/>
      <c r="I37" s="29"/>
    </row>
    <row r="38" spans="1:9">
      <c r="A38" s="114" t="s">
        <v>1268</v>
      </c>
      <c r="B38" s="113" t="s">
        <v>1188</v>
      </c>
      <c r="C38" s="114" t="s">
        <v>1265</v>
      </c>
      <c r="D38" s="113" t="s">
        <v>1269</v>
      </c>
      <c r="E38" s="113" t="s">
        <v>1270</v>
      </c>
      <c r="F38" s="114" t="s">
        <v>1271</v>
      </c>
      <c r="G38" s="28"/>
      <c r="H38" s="28"/>
      <c r="I38" s="29"/>
    </row>
    <row r="39" spans="1:9">
      <c r="A39" s="114" t="s">
        <v>1272</v>
      </c>
      <c r="B39" s="113" t="s">
        <v>1188</v>
      </c>
      <c r="C39" s="114" t="s">
        <v>1265</v>
      </c>
      <c r="D39" s="113" t="s">
        <v>1273</v>
      </c>
      <c r="E39" s="113" t="s">
        <v>1274</v>
      </c>
      <c r="F39" s="114" t="s">
        <v>1275</v>
      </c>
      <c r="G39" s="28"/>
      <c r="H39" s="28"/>
      <c r="I39" s="29"/>
    </row>
    <row r="40" spans="1:9">
      <c r="A40" s="114" t="s">
        <v>1276</v>
      </c>
      <c r="B40" s="113" t="s">
        <v>1185</v>
      </c>
      <c r="C40" s="114" t="s">
        <v>1253</v>
      </c>
      <c r="D40" s="113" t="s">
        <v>1277</v>
      </c>
      <c r="E40" s="113" t="s">
        <v>1278</v>
      </c>
      <c r="F40" s="114" t="s">
        <v>1279</v>
      </c>
      <c r="G40" s="28"/>
      <c r="H40" s="28"/>
      <c r="I40" s="29"/>
    </row>
    <row r="41" spans="1:9">
      <c r="A41" s="114" t="s">
        <v>1280</v>
      </c>
      <c r="B41" s="113" t="s">
        <v>1188</v>
      </c>
      <c r="C41" s="114" t="s">
        <v>1276</v>
      </c>
      <c r="D41" s="113" t="s">
        <v>1281</v>
      </c>
      <c r="E41" s="113" t="s">
        <v>1282</v>
      </c>
      <c r="F41" s="114" t="s">
        <v>1283</v>
      </c>
      <c r="G41" s="28"/>
      <c r="H41" s="28"/>
      <c r="I41" s="29"/>
    </row>
    <row r="42" spans="1:9">
      <c r="A42" s="114" t="s">
        <v>1284</v>
      </c>
      <c r="B42" s="113" t="s">
        <v>1188</v>
      </c>
      <c r="C42" s="114" t="s">
        <v>1276</v>
      </c>
      <c r="D42" s="113" t="s">
        <v>1285</v>
      </c>
      <c r="E42" s="113" t="s">
        <v>1286</v>
      </c>
      <c r="F42" s="114" t="s">
        <v>1287</v>
      </c>
      <c r="G42" s="28"/>
      <c r="H42" s="28"/>
      <c r="I42" s="29"/>
    </row>
    <row r="43" spans="1:9">
      <c r="A43" s="117" t="s">
        <v>1288</v>
      </c>
      <c r="B43" s="118" t="s">
        <v>1181</v>
      </c>
      <c r="C43" s="119" t="s">
        <v>29</v>
      </c>
      <c r="D43" s="117" t="s">
        <v>245</v>
      </c>
      <c r="E43" s="118" t="s">
        <v>1289</v>
      </c>
      <c r="F43" s="119" t="s">
        <v>1290</v>
      </c>
      <c r="G43" s="28"/>
      <c r="H43" s="28"/>
      <c r="I43" s="29"/>
    </row>
    <row r="44" spans="1:9">
      <c r="A44" s="114" t="s">
        <v>1291</v>
      </c>
      <c r="B44" s="113" t="s">
        <v>1185</v>
      </c>
      <c r="C44" s="114" t="s">
        <v>1288</v>
      </c>
      <c r="D44" s="113" t="s">
        <v>249</v>
      </c>
      <c r="E44" s="113" t="s">
        <v>1292</v>
      </c>
      <c r="F44" s="114" t="s">
        <v>1293</v>
      </c>
      <c r="G44" s="28"/>
      <c r="H44" s="28"/>
      <c r="I44" s="29"/>
    </row>
    <row r="45" spans="1:9">
      <c r="A45" s="114" t="s">
        <v>1294</v>
      </c>
      <c r="B45" s="113" t="s">
        <v>1188</v>
      </c>
      <c r="C45" s="114" t="s">
        <v>1291</v>
      </c>
      <c r="D45" s="113" t="s">
        <v>1295</v>
      </c>
      <c r="E45" s="113" t="s">
        <v>1296</v>
      </c>
      <c r="F45" s="114" t="s">
        <v>1297</v>
      </c>
      <c r="G45" s="28"/>
      <c r="H45" s="28"/>
      <c r="I45" s="29"/>
    </row>
    <row r="46" spans="1:9">
      <c r="A46" s="114" t="s">
        <v>1298</v>
      </c>
      <c r="B46" s="113" t="s">
        <v>1188</v>
      </c>
      <c r="C46" s="114" t="s">
        <v>1291</v>
      </c>
      <c r="D46" s="113" t="s">
        <v>1299</v>
      </c>
      <c r="E46" s="113" t="s">
        <v>1300</v>
      </c>
      <c r="F46" s="114" t="s">
        <v>1301</v>
      </c>
      <c r="G46" s="28"/>
      <c r="H46" s="28"/>
      <c r="I46" s="29"/>
    </row>
    <row r="47" spans="1:9">
      <c r="A47" s="114" t="s">
        <v>1302</v>
      </c>
      <c r="B47" s="113" t="s">
        <v>1188</v>
      </c>
      <c r="C47" s="114" t="s">
        <v>1291</v>
      </c>
      <c r="D47" s="113" t="s">
        <v>1303</v>
      </c>
      <c r="E47" s="113" t="s">
        <v>1303</v>
      </c>
      <c r="F47" s="114" t="s">
        <v>1304</v>
      </c>
      <c r="G47" s="28"/>
      <c r="H47" s="28"/>
      <c r="I47" s="29"/>
    </row>
    <row r="48" spans="1:9">
      <c r="A48" s="114" t="s">
        <v>1305</v>
      </c>
      <c r="B48" s="113" t="s">
        <v>1185</v>
      </c>
      <c r="C48" s="114" t="s">
        <v>1288</v>
      </c>
      <c r="D48" s="113" t="s">
        <v>538</v>
      </c>
      <c r="E48" s="113" t="s">
        <v>1306</v>
      </c>
      <c r="F48" s="114" t="s">
        <v>1307</v>
      </c>
      <c r="G48" s="28"/>
      <c r="H48" s="28"/>
      <c r="I48" s="29"/>
    </row>
    <row r="49" spans="1:9">
      <c r="A49" s="114" t="s">
        <v>1308</v>
      </c>
      <c r="B49" s="113" t="s">
        <v>1188</v>
      </c>
      <c r="C49" s="114" t="s">
        <v>1305</v>
      </c>
      <c r="D49" s="113" t="s">
        <v>1309</v>
      </c>
      <c r="E49" s="113" t="s">
        <v>1310</v>
      </c>
      <c r="F49" s="114" t="s">
        <v>1311</v>
      </c>
      <c r="G49" s="28"/>
      <c r="H49" s="28"/>
      <c r="I49" s="29"/>
    </row>
    <row r="50" spans="1:9">
      <c r="A50" s="114" t="s">
        <v>1312</v>
      </c>
      <c r="B50" s="113" t="s">
        <v>1188</v>
      </c>
      <c r="C50" s="114" t="s">
        <v>1305</v>
      </c>
      <c r="D50" s="113" t="s">
        <v>1313</v>
      </c>
      <c r="E50" s="113" t="s">
        <v>1314</v>
      </c>
      <c r="F50" s="114" t="s">
        <v>1315</v>
      </c>
      <c r="G50" s="28"/>
      <c r="H50" s="28"/>
      <c r="I50" s="29"/>
    </row>
    <row r="51" spans="1:9">
      <c r="A51" s="114" t="s">
        <v>1316</v>
      </c>
      <c r="B51" s="113" t="s">
        <v>1185</v>
      </c>
      <c r="C51" s="114" t="s">
        <v>1288</v>
      </c>
      <c r="D51" s="113" t="s">
        <v>147</v>
      </c>
      <c r="E51" s="113" t="s">
        <v>1317</v>
      </c>
      <c r="F51" s="114" t="s">
        <v>1318</v>
      </c>
      <c r="G51" s="28"/>
      <c r="H51" s="28"/>
      <c r="I51" s="29"/>
    </row>
    <row r="52" spans="1:9">
      <c r="A52" s="114" t="s">
        <v>1319</v>
      </c>
      <c r="B52" s="113" t="s">
        <v>1188</v>
      </c>
      <c r="C52" s="114" t="s">
        <v>1316</v>
      </c>
      <c r="D52" s="113" t="s">
        <v>1320</v>
      </c>
      <c r="E52" s="113" t="s">
        <v>1321</v>
      </c>
      <c r="F52" s="114" t="s">
        <v>1322</v>
      </c>
      <c r="G52" s="28"/>
      <c r="H52" s="28"/>
      <c r="I52" s="29"/>
    </row>
    <row r="53" spans="1:9">
      <c r="A53" s="114" t="s">
        <v>1323</v>
      </c>
      <c r="B53" s="113" t="s">
        <v>1188</v>
      </c>
      <c r="C53" s="114" t="s">
        <v>1316</v>
      </c>
      <c r="D53" s="113" t="s">
        <v>1324</v>
      </c>
      <c r="E53" s="113" t="s">
        <v>1324</v>
      </c>
      <c r="F53" s="114" t="s">
        <v>1325</v>
      </c>
      <c r="G53" s="28"/>
      <c r="H53" s="28"/>
      <c r="I53" s="29"/>
    </row>
    <row r="54" spans="1:9">
      <c r="A54" s="117" t="s">
        <v>1326</v>
      </c>
      <c r="B54" s="118" t="s">
        <v>1181</v>
      </c>
      <c r="C54" s="119" t="s">
        <v>29</v>
      </c>
      <c r="D54" s="117" t="s">
        <v>579</v>
      </c>
      <c r="E54" s="118" t="s">
        <v>1327</v>
      </c>
      <c r="F54" s="119" t="s">
        <v>1328</v>
      </c>
      <c r="G54" s="28"/>
      <c r="H54" s="28"/>
      <c r="I54" s="29"/>
    </row>
    <row r="55" spans="1:9">
      <c r="A55" s="114" t="s">
        <v>1329</v>
      </c>
      <c r="B55" s="113" t="s">
        <v>1185</v>
      </c>
      <c r="C55" s="114" t="s">
        <v>1326</v>
      </c>
      <c r="D55" s="113" t="s">
        <v>588</v>
      </c>
      <c r="E55" s="113" t="s">
        <v>1330</v>
      </c>
      <c r="F55" s="114" t="s">
        <v>1331</v>
      </c>
      <c r="G55" s="28"/>
      <c r="H55" s="28"/>
      <c r="I55" s="29"/>
    </row>
    <row r="56" spans="1:9">
      <c r="A56" s="114" t="s">
        <v>1332</v>
      </c>
      <c r="B56" s="113" t="s">
        <v>1188</v>
      </c>
      <c r="C56" s="114" t="s">
        <v>1329</v>
      </c>
      <c r="D56" s="113" t="s">
        <v>1333</v>
      </c>
      <c r="E56" s="113" t="s">
        <v>1334</v>
      </c>
      <c r="F56" s="114" t="s">
        <v>1335</v>
      </c>
      <c r="G56" s="28"/>
      <c r="H56" s="28"/>
      <c r="I56" s="29"/>
    </row>
    <row r="57" spans="1:9">
      <c r="A57" s="114" t="s">
        <v>1336</v>
      </c>
      <c r="B57" s="113" t="s">
        <v>1188</v>
      </c>
      <c r="C57" s="114" t="s">
        <v>1329</v>
      </c>
      <c r="D57" s="113" t="s">
        <v>1337</v>
      </c>
      <c r="E57" s="113" t="s">
        <v>1337</v>
      </c>
      <c r="F57" s="114" t="s">
        <v>1338</v>
      </c>
      <c r="G57" s="28"/>
      <c r="H57" s="28"/>
      <c r="I57" s="29"/>
    </row>
    <row r="58" spans="1:9">
      <c r="A58" s="114" t="s">
        <v>1339</v>
      </c>
      <c r="B58" s="113" t="s">
        <v>1185</v>
      </c>
      <c r="C58" s="114" t="s">
        <v>1326</v>
      </c>
      <c r="D58" s="113" t="s">
        <v>580</v>
      </c>
      <c r="E58" s="113" t="s">
        <v>1340</v>
      </c>
      <c r="F58" s="114" t="s">
        <v>1341</v>
      </c>
      <c r="G58" s="28"/>
      <c r="H58" s="28"/>
      <c r="I58" s="29"/>
    </row>
    <row r="59" spans="1:9">
      <c r="A59" s="114" t="s">
        <v>1342</v>
      </c>
      <c r="B59" s="113" t="s">
        <v>1188</v>
      </c>
      <c r="C59" s="114" t="s">
        <v>1339</v>
      </c>
      <c r="D59" s="113" t="s">
        <v>1343</v>
      </c>
      <c r="E59" s="113" t="s">
        <v>1344</v>
      </c>
      <c r="F59" s="114" t="s">
        <v>1345</v>
      </c>
      <c r="G59" s="28"/>
      <c r="H59" s="28"/>
      <c r="I59" s="29"/>
    </row>
    <row r="60" spans="1:9">
      <c r="A60" s="114" t="s">
        <v>1346</v>
      </c>
      <c r="B60" s="113" t="s">
        <v>1188</v>
      </c>
      <c r="C60" s="114" t="s">
        <v>1339</v>
      </c>
      <c r="D60" s="113" t="s">
        <v>1347</v>
      </c>
      <c r="E60" s="113" t="s">
        <v>1348</v>
      </c>
      <c r="F60" s="114" t="s">
        <v>1349</v>
      </c>
      <c r="G60" s="28"/>
      <c r="H60" s="28"/>
      <c r="I60" s="29"/>
    </row>
    <row r="61" spans="1:9">
      <c r="A61" s="114" t="s">
        <v>1350</v>
      </c>
      <c r="B61" s="113" t="s">
        <v>1185</v>
      </c>
      <c r="C61" s="114" t="s">
        <v>1326</v>
      </c>
      <c r="D61" s="113" t="s">
        <v>1351</v>
      </c>
      <c r="E61" s="113" t="s">
        <v>1352</v>
      </c>
      <c r="F61" s="114" t="s">
        <v>1353</v>
      </c>
      <c r="G61" s="28"/>
      <c r="H61" s="28"/>
      <c r="I61" s="29"/>
    </row>
    <row r="62" spans="1:9">
      <c r="A62" s="114" t="s">
        <v>1354</v>
      </c>
      <c r="B62" s="113" t="s">
        <v>1188</v>
      </c>
      <c r="C62" s="114" t="s">
        <v>1350</v>
      </c>
      <c r="D62" s="113" t="s">
        <v>1355</v>
      </c>
      <c r="E62" s="113" t="s">
        <v>1356</v>
      </c>
      <c r="F62" s="114" t="s">
        <v>1357</v>
      </c>
      <c r="G62" s="28"/>
      <c r="H62" s="28"/>
      <c r="I62" s="29"/>
    </row>
    <row r="63" spans="1:9">
      <c r="A63" s="114" t="s">
        <v>1358</v>
      </c>
      <c r="B63" s="113" t="s">
        <v>1188</v>
      </c>
      <c r="C63" s="114" t="s">
        <v>1350</v>
      </c>
      <c r="D63" s="113" t="s">
        <v>1359</v>
      </c>
      <c r="E63" s="113" t="s">
        <v>1360</v>
      </c>
      <c r="F63" s="114" t="s">
        <v>1361</v>
      </c>
      <c r="G63" s="28"/>
      <c r="H63" s="28"/>
      <c r="I63" s="29"/>
    </row>
    <row r="64" spans="1:9">
      <c r="A64" s="117" t="s">
        <v>1362</v>
      </c>
      <c r="B64" s="118" t="s">
        <v>1181</v>
      </c>
      <c r="C64" s="119" t="s">
        <v>29</v>
      </c>
      <c r="D64" s="117" t="s">
        <v>243</v>
      </c>
      <c r="E64" s="118" t="s">
        <v>1363</v>
      </c>
      <c r="F64" s="119" t="s">
        <v>1364</v>
      </c>
      <c r="G64" s="28"/>
      <c r="H64" s="28"/>
      <c r="I64" s="29"/>
    </row>
    <row r="65" spans="1:9">
      <c r="A65" s="114" t="s">
        <v>1365</v>
      </c>
      <c r="B65" s="113" t="s">
        <v>1185</v>
      </c>
      <c r="C65" s="114" t="s">
        <v>1362</v>
      </c>
      <c r="D65" s="113" t="s">
        <v>499</v>
      </c>
      <c r="E65" s="113" t="s">
        <v>1366</v>
      </c>
      <c r="F65" s="114" t="s">
        <v>1367</v>
      </c>
      <c r="G65" s="28"/>
      <c r="H65" s="28"/>
      <c r="I65" s="29"/>
    </row>
    <row r="66" spans="1:9">
      <c r="A66" s="114" t="s">
        <v>1368</v>
      </c>
      <c r="B66" s="113" t="s">
        <v>1188</v>
      </c>
      <c r="C66" s="114" t="s">
        <v>1365</v>
      </c>
      <c r="D66" s="113" t="s">
        <v>1369</v>
      </c>
      <c r="E66" s="113" t="s">
        <v>1370</v>
      </c>
      <c r="F66" s="114" t="s">
        <v>1371</v>
      </c>
      <c r="G66" s="28"/>
      <c r="H66" s="28"/>
      <c r="I66" s="29"/>
    </row>
    <row r="67" spans="1:9">
      <c r="A67" s="114" t="s">
        <v>1372</v>
      </c>
      <c r="B67" s="113" t="s">
        <v>1188</v>
      </c>
      <c r="C67" s="114" t="s">
        <v>1365</v>
      </c>
      <c r="D67" s="113" t="s">
        <v>1373</v>
      </c>
      <c r="E67" s="113" t="s">
        <v>1373</v>
      </c>
      <c r="F67" s="114" t="s">
        <v>1374</v>
      </c>
      <c r="G67" s="28"/>
      <c r="H67" s="28"/>
      <c r="I67" s="29"/>
    </row>
    <row r="68" spans="1:9">
      <c r="A68" s="114" t="s">
        <v>1375</v>
      </c>
      <c r="B68" s="113" t="s">
        <v>1185</v>
      </c>
      <c r="C68" s="114" t="s">
        <v>1362</v>
      </c>
      <c r="D68" s="113" t="s">
        <v>145</v>
      </c>
      <c r="E68" s="113" t="s">
        <v>145</v>
      </c>
      <c r="F68" s="114" t="s">
        <v>1376</v>
      </c>
      <c r="G68" s="28"/>
      <c r="H68" s="28"/>
      <c r="I68" s="29"/>
    </row>
    <row r="69" spans="1:9">
      <c r="A69" s="114" t="s">
        <v>1377</v>
      </c>
      <c r="B69" s="113" t="s">
        <v>1188</v>
      </c>
      <c r="C69" s="114" t="s">
        <v>1375</v>
      </c>
      <c r="D69" s="113" t="s">
        <v>1378</v>
      </c>
      <c r="E69" s="113" t="s">
        <v>1379</v>
      </c>
      <c r="F69" s="114" t="s">
        <v>1380</v>
      </c>
      <c r="G69" s="28"/>
      <c r="H69" s="28"/>
      <c r="I69" s="29"/>
    </row>
    <row r="70" spans="1:9">
      <c r="A70" s="114" t="s">
        <v>1381</v>
      </c>
      <c r="B70" s="113" t="s">
        <v>1188</v>
      </c>
      <c r="C70" s="114" t="s">
        <v>1375</v>
      </c>
      <c r="D70" s="113" t="s">
        <v>1382</v>
      </c>
      <c r="E70" s="113" t="s">
        <v>1383</v>
      </c>
      <c r="F70" s="114" t="s">
        <v>1384</v>
      </c>
      <c r="G70" s="28"/>
      <c r="H70" s="28"/>
      <c r="I70" s="29"/>
    </row>
    <row r="71" spans="1:9">
      <c r="A71" s="114" t="s">
        <v>1385</v>
      </c>
      <c r="B71" s="113" t="s">
        <v>1185</v>
      </c>
      <c r="C71" s="114" t="s">
        <v>1362</v>
      </c>
      <c r="D71" s="113" t="s">
        <v>1386</v>
      </c>
      <c r="E71" s="113" t="s">
        <v>1387</v>
      </c>
      <c r="F71" s="114" t="s">
        <v>1388</v>
      </c>
      <c r="G71" s="28"/>
      <c r="H71" s="28"/>
      <c r="I71" s="29"/>
    </row>
    <row r="72" spans="1:9">
      <c r="A72" s="114" t="s">
        <v>1389</v>
      </c>
      <c r="B72" s="113" t="s">
        <v>1188</v>
      </c>
      <c r="C72" s="114" t="s">
        <v>1385</v>
      </c>
      <c r="D72" s="113" t="s">
        <v>1390</v>
      </c>
      <c r="E72" s="113" t="s">
        <v>1391</v>
      </c>
      <c r="F72" s="114" t="s">
        <v>1392</v>
      </c>
      <c r="G72" s="28"/>
      <c r="H72" s="28"/>
      <c r="I72" s="29"/>
    </row>
    <row r="73" spans="1:9">
      <c r="A73" s="114" t="s">
        <v>1393</v>
      </c>
      <c r="B73" s="113" t="s">
        <v>1188</v>
      </c>
      <c r="C73" s="114" t="s">
        <v>1385</v>
      </c>
      <c r="D73" s="113" t="s">
        <v>1394</v>
      </c>
      <c r="E73" s="113" t="s">
        <v>1395</v>
      </c>
      <c r="F73" s="114" t="s">
        <v>1396</v>
      </c>
      <c r="G73" s="28"/>
      <c r="H73" s="28"/>
      <c r="I73" s="29"/>
    </row>
    <row r="74" spans="1:9">
      <c r="A74" s="117" t="s">
        <v>1397</v>
      </c>
      <c r="B74" s="118" t="s">
        <v>1181</v>
      </c>
      <c r="C74" s="119" t="s">
        <v>29</v>
      </c>
      <c r="D74" s="117" t="s">
        <v>546</v>
      </c>
      <c r="E74" s="118" t="s">
        <v>1398</v>
      </c>
      <c r="F74" s="119" t="s">
        <v>1399</v>
      </c>
      <c r="G74" s="28"/>
      <c r="H74" s="28"/>
      <c r="I74" s="29"/>
    </row>
    <row r="75" spans="1:9">
      <c r="A75" s="114" t="s">
        <v>1400</v>
      </c>
      <c r="B75" s="113" t="s">
        <v>1185</v>
      </c>
      <c r="C75" s="114" t="s">
        <v>1397</v>
      </c>
      <c r="D75" s="113" t="s">
        <v>547</v>
      </c>
      <c r="E75" s="113" t="s">
        <v>1401</v>
      </c>
      <c r="F75" s="114" t="s">
        <v>1402</v>
      </c>
      <c r="G75" s="28"/>
      <c r="H75" s="28"/>
      <c r="I75" s="29"/>
    </row>
    <row r="76" spans="1:9">
      <c r="A76" s="114" t="s">
        <v>1403</v>
      </c>
      <c r="B76" s="113" t="s">
        <v>1188</v>
      </c>
      <c r="C76" s="114" t="s">
        <v>1400</v>
      </c>
      <c r="D76" s="113" t="s">
        <v>1404</v>
      </c>
      <c r="E76" s="113" t="s">
        <v>1405</v>
      </c>
      <c r="F76" s="114" t="s">
        <v>1406</v>
      </c>
      <c r="G76" s="28"/>
      <c r="H76" s="28"/>
      <c r="I76" s="29"/>
    </row>
    <row r="77" spans="1:9">
      <c r="A77" s="114" t="s">
        <v>1407</v>
      </c>
      <c r="B77" s="113" t="s">
        <v>1188</v>
      </c>
      <c r="C77" s="114" t="s">
        <v>1400</v>
      </c>
      <c r="D77" s="113" t="s">
        <v>1408</v>
      </c>
      <c r="E77" s="113" t="s">
        <v>1409</v>
      </c>
      <c r="F77" s="114" t="s">
        <v>1410</v>
      </c>
      <c r="G77" s="28"/>
      <c r="H77" s="28"/>
      <c r="I77" s="29"/>
    </row>
    <row r="78" spans="1:9">
      <c r="A78" s="114" t="s">
        <v>1411</v>
      </c>
      <c r="B78" s="113" t="s">
        <v>1185</v>
      </c>
      <c r="C78" s="114" t="s">
        <v>1397</v>
      </c>
      <c r="D78" s="113" t="s">
        <v>555</v>
      </c>
      <c r="E78" s="113" t="s">
        <v>1412</v>
      </c>
      <c r="F78" s="114" t="s">
        <v>1413</v>
      </c>
      <c r="G78" s="28"/>
      <c r="H78" s="28"/>
      <c r="I78" s="29"/>
    </row>
    <row r="79" spans="1:9">
      <c r="A79" s="114" t="s">
        <v>1414</v>
      </c>
      <c r="B79" s="113" t="s">
        <v>1188</v>
      </c>
      <c r="C79" s="114" t="s">
        <v>1411</v>
      </c>
      <c r="D79" s="113" t="s">
        <v>1415</v>
      </c>
      <c r="E79" s="113" t="s">
        <v>1416</v>
      </c>
      <c r="F79" s="114" t="s">
        <v>1417</v>
      </c>
      <c r="G79" s="28"/>
      <c r="H79" s="28"/>
      <c r="I79" s="29"/>
    </row>
    <row r="80" spans="1:9">
      <c r="A80" s="114" t="s">
        <v>1418</v>
      </c>
      <c r="B80" s="113" t="s">
        <v>1188</v>
      </c>
      <c r="C80" s="114" t="s">
        <v>1411</v>
      </c>
      <c r="D80" s="113" t="s">
        <v>1419</v>
      </c>
      <c r="E80" s="113" t="s">
        <v>1420</v>
      </c>
      <c r="F80" s="114" t="s">
        <v>1421</v>
      </c>
      <c r="G80" s="28"/>
      <c r="H80" s="28"/>
      <c r="I80" s="29"/>
    </row>
    <row r="81" spans="1:9">
      <c r="A81" s="114" t="s">
        <v>1422</v>
      </c>
      <c r="B81" s="113" t="s">
        <v>1185</v>
      </c>
      <c r="C81" s="114" t="s">
        <v>1397</v>
      </c>
      <c r="D81" s="113" t="s">
        <v>734</v>
      </c>
      <c r="E81" s="113" t="s">
        <v>1423</v>
      </c>
      <c r="F81" s="114" t="s">
        <v>1424</v>
      </c>
      <c r="G81" s="28"/>
      <c r="H81" s="28"/>
      <c r="I81" s="29"/>
    </row>
    <row r="82" spans="1:9">
      <c r="A82" s="114" t="s">
        <v>1425</v>
      </c>
      <c r="B82" s="113" t="s">
        <v>1188</v>
      </c>
      <c r="C82" s="114" t="s">
        <v>1422</v>
      </c>
      <c r="D82" s="113" t="s">
        <v>1426</v>
      </c>
      <c r="E82" s="113" t="s">
        <v>1427</v>
      </c>
      <c r="F82" s="114" t="s">
        <v>1428</v>
      </c>
      <c r="G82" s="28"/>
      <c r="H82" s="28"/>
      <c r="I82" s="29"/>
    </row>
    <row r="83" spans="1:9">
      <c r="A83" s="114" t="s">
        <v>1429</v>
      </c>
      <c r="B83" s="113" t="s">
        <v>1188</v>
      </c>
      <c r="C83" s="114" t="s">
        <v>1422</v>
      </c>
      <c r="D83" s="113" t="s">
        <v>1430</v>
      </c>
      <c r="E83" s="113" t="s">
        <v>1431</v>
      </c>
      <c r="F83" s="114" t="s">
        <v>1432</v>
      </c>
      <c r="G83" s="28"/>
      <c r="H83" s="28"/>
      <c r="I83" s="29"/>
    </row>
    <row r="84" spans="1:9">
      <c r="A84" s="117" t="s">
        <v>1433</v>
      </c>
      <c r="B84" s="118" t="s">
        <v>1181</v>
      </c>
      <c r="C84" s="119" t="s">
        <v>29</v>
      </c>
      <c r="D84" s="117" t="s">
        <v>562</v>
      </c>
      <c r="E84" s="118" t="s">
        <v>1434</v>
      </c>
      <c r="F84" s="119" t="s">
        <v>1435</v>
      </c>
      <c r="G84" s="28"/>
      <c r="H84" s="28"/>
      <c r="I84" s="29"/>
    </row>
    <row r="85" spans="1:9">
      <c r="A85" s="114" t="s">
        <v>1436</v>
      </c>
      <c r="B85" s="113" t="s">
        <v>1185</v>
      </c>
      <c r="C85" s="114" t="s">
        <v>1433</v>
      </c>
      <c r="D85" s="113" t="s">
        <v>563</v>
      </c>
      <c r="E85" s="113" t="s">
        <v>1437</v>
      </c>
      <c r="F85" s="114" t="s">
        <v>1438</v>
      </c>
      <c r="G85" s="28"/>
      <c r="H85" s="28"/>
      <c r="I85" s="29"/>
    </row>
    <row r="86" spans="1:9">
      <c r="A86" s="114" t="s">
        <v>1439</v>
      </c>
      <c r="B86" s="113" t="s">
        <v>1188</v>
      </c>
      <c r="C86" s="114" t="s">
        <v>1436</v>
      </c>
      <c r="D86" s="113" t="s">
        <v>1440</v>
      </c>
      <c r="E86" s="113" t="s">
        <v>1441</v>
      </c>
      <c r="F86" s="114" t="s">
        <v>1442</v>
      </c>
      <c r="G86" s="28"/>
      <c r="H86" s="28"/>
      <c r="I86" s="29"/>
    </row>
    <row r="87" spans="1:9">
      <c r="A87" s="114" t="s">
        <v>1443</v>
      </c>
      <c r="B87" s="113" t="s">
        <v>1188</v>
      </c>
      <c r="C87" s="114" t="s">
        <v>1436</v>
      </c>
      <c r="D87" s="113" t="s">
        <v>1444</v>
      </c>
      <c r="E87" s="113" t="s">
        <v>1445</v>
      </c>
      <c r="F87" s="114" t="s">
        <v>1446</v>
      </c>
      <c r="G87" s="28"/>
      <c r="H87" s="28"/>
      <c r="I87" s="29"/>
    </row>
    <row r="88" spans="1:9">
      <c r="A88" s="114" t="s">
        <v>1447</v>
      </c>
      <c r="B88" s="113" t="s">
        <v>1185</v>
      </c>
      <c r="C88" s="114" t="s">
        <v>1433</v>
      </c>
      <c r="D88" s="113" t="s">
        <v>572</v>
      </c>
      <c r="E88" s="113" t="s">
        <v>1448</v>
      </c>
      <c r="F88" s="114" t="s">
        <v>1449</v>
      </c>
      <c r="G88" s="28"/>
      <c r="H88" s="28"/>
      <c r="I88" s="29"/>
    </row>
    <row r="89" spans="1:9">
      <c r="A89" s="114" t="s">
        <v>1450</v>
      </c>
      <c r="B89" s="113" t="s">
        <v>1188</v>
      </c>
      <c r="C89" s="114" t="s">
        <v>1447</v>
      </c>
      <c r="D89" s="113" t="s">
        <v>1451</v>
      </c>
      <c r="E89" s="113" t="s">
        <v>1452</v>
      </c>
      <c r="F89" s="114" t="s">
        <v>1453</v>
      </c>
      <c r="G89" s="28"/>
      <c r="H89" s="28"/>
      <c r="I89" s="29"/>
    </row>
    <row r="90" spans="1:9">
      <c r="A90" s="114" t="s">
        <v>1454</v>
      </c>
      <c r="B90" s="113" t="s">
        <v>1188</v>
      </c>
      <c r="C90" s="114" t="s">
        <v>1447</v>
      </c>
      <c r="D90" s="113" t="s">
        <v>1455</v>
      </c>
      <c r="E90" s="113" t="s">
        <v>1456</v>
      </c>
      <c r="F90" s="114" t="s">
        <v>1457</v>
      </c>
      <c r="G90" s="28"/>
      <c r="H90" s="28"/>
      <c r="I90" s="29"/>
    </row>
    <row r="91" spans="1:9">
      <c r="A91" s="114" t="s">
        <v>1458</v>
      </c>
      <c r="B91" s="113" t="s">
        <v>1185</v>
      </c>
      <c r="C91" s="114" t="s">
        <v>1433</v>
      </c>
      <c r="D91" s="113" t="s">
        <v>1459</v>
      </c>
      <c r="E91" s="113" t="s">
        <v>1460</v>
      </c>
      <c r="F91" s="114" t="s">
        <v>1461</v>
      </c>
      <c r="G91" s="28"/>
      <c r="H91" s="28"/>
      <c r="I91" s="29"/>
    </row>
    <row r="92" spans="1:9">
      <c r="A92" s="114" t="s">
        <v>1462</v>
      </c>
      <c r="B92" s="113" t="s">
        <v>1188</v>
      </c>
      <c r="C92" s="114" t="s">
        <v>1458</v>
      </c>
      <c r="D92" s="113" t="s">
        <v>1463</v>
      </c>
      <c r="E92" s="113" t="s">
        <v>1464</v>
      </c>
      <c r="F92" s="114" t="s">
        <v>1465</v>
      </c>
      <c r="G92" s="28"/>
      <c r="H92" s="28"/>
      <c r="I92" s="29"/>
    </row>
    <row r="93" spans="1:9">
      <c r="A93" s="114" t="s">
        <v>1466</v>
      </c>
      <c r="B93" s="113" t="s">
        <v>1188</v>
      </c>
      <c r="C93" s="114" t="s">
        <v>1458</v>
      </c>
      <c r="D93" s="113" t="s">
        <v>1467</v>
      </c>
      <c r="E93" s="113" t="s">
        <v>1468</v>
      </c>
      <c r="F93" s="114" t="s">
        <v>1469</v>
      </c>
      <c r="G93" s="28"/>
      <c r="H93" s="28"/>
      <c r="I93" s="29"/>
    </row>
    <row r="94" spans="1:9">
      <c r="A94" s="117" t="s">
        <v>1470</v>
      </c>
      <c r="B94" s="118" t="s">
        <v>1181</v>
      </c>
      <c r="C94" s="119" t="s">
        <v>29</v>
      </c>
      <c r="D94" s="117" t="s">
        <v>613</v>
      </c>
      <c r="E94" s="118" t="s">
        <v>1471</v>
      </c>
      <c r="F94" s="119" t="s">
        <v>1472</v>
      </c>
      <c r="G94" s="28"/>
      <c r="H94" s="28"/>
      <c r="I94" s="29"/>
    </row>
    <row r="95" spans="1:9">
      <c r="A95" s="114" t="s">
        <v>1473</v>
      </c>
      <c r="B95" s="113" t="s">
        <v>1185</v>
      </c>
      <c r="C95" s="114" t="s">
        <v>1470</v>
      </c>
      <c r="D95" s="113" t="s">
        <v>614</v>
      </c>
      <c r="E95" s="113" t="s">
        <v>1474</v>
      </c>
      <c r="F95" s="114" t="s">
        <v>1475</v>
      </c>
      <c r="G95" s="28"/>
      <c r="H95" s="28"/>
      <c r="I95" s="29"/>
    </row>
    <row r="96" spans="1:9">
      <c r="A96" s="114" t="s">
        <v>1476</v>
      </c>
      <c r="B96" s="113" t="s">
        <v>1188</v>
      </c>
      <c r="C96" s="114" t="s">
        <v>1473</v>
      </c>
      <c r="D96" s="113" t="s">
        <v>1477</v>
      </c>
      <c r="E96" s="113" t="s">
        <v>1478</v>
      </c>
      <c r="F96" s="114" t="s">
        <v>1479</v>
      </c>
      <c r="G96" s="28"/>
      <c r="H96" s="28"/>
      <c r="I96" s="29"/>
    </row>
    <row r="97" spans="1:9">
      <c r="A97" s="114" t="s">
        <v>1480</v>
      </c>
      <c r="B97" s="113" t="s">
        <v>1188</v>
      </c>
      <c r="C97" s="114" t="s">
        <v>1473</v>
      </c>
      <c r="D97" s="113" t="s">
        <v>1481</v>
      </c>
      <c r="E97" s="113" t="s">
        <v>1482</v>
      </c>
      <c r="F97" s="114" t="s">
        <v>1483</v>
      </c>
      <c r="G97" s="28"/>
      <c r="H97" s="28"/>
      <c r="I97" s="29"/>
    </row>
    <row r="98" spans="1:9">
      <c r="A98" s="114" t="s">
        <v>1484</v>
      </c>
      <c r="B98" s="113" t="s">
        <v>1185</v>
      </c>
      <c r="C98" s="114" t="s">
        <v>1470</v>
      </c>
      <c r="D98" s="113" t="s">
        <v>622</v>
      </c>
      <c r="E98" s="113" t="s">
        <v>1485</v>
      </c>
      <c r="F98" s="114" t="s">
        <v>1486</v>
      </c>
      <c r="G98" s="28"/>
      <c r="H98" s="28"/>
      <c r="I98" s="29"/>
    </row>
    <row r="99" spans="1:9">
      <c r="A99" s="114" t="s">
        <v>1487</v>
      </c>
      <c r="B99" s="113" t="s">
        <v>1188</v>
      </c>
      <c r="C99" s="114" t="s">
        <v>1484</v>
      </c>
      <c r="D99" s="113" t="s">
        <v>1488</v>
      </c>
      <c r="E99" s="113" t="s">
        <v>1489</v>
      </c>
      <c r="F99" s="114" t="s">
        <v>1490</v>
      </c>
      <c r="G99" s="28"/>
      <c r="H99" s="28"/>
      <c r="I99" s="29"/>
    </row>
    <row r="100" spans="1:9">
      <c r="A100" s="114" t="s">
        <v>1491</v>
      </c>
      <c r="B100" s="113" t="s">
        <v>1188</v>
      </c>
      <c r="C100" s="114" t="s">
        <v>1484</v>
      </c>
      <c r="D100" s="113" t="s">
        <v>1492</v>
      </c>
      <c r="E100" s="113" t="s">
        <v>1493</v>
      </c>
      <c r="F100" s="114" t="s">
        <v>1494</v>
      </c>
      <c r="G100" s="28"/>
      <c r="H100" s="28"/>
      <c r="I100" s="29"/>
    </row>
    <row r="101" spans="1:9">
      <c r="A101" s="114" t="s">
        <v>1495</v>
      </c>
      <c r="B101" s="113" t="s">
        <v>1185</v>
      </c>
      <c r="C101" s="114" t="s">
        <v>1470</v>
      </c>
      <c r="D101" s="113" t="s">
        <v>1496</v>
      </c>
      <c r="E101" s="113" t="s">
        <v>1497</v>
      </c>
      <c r="F101" s="114" t="s">
        <v>1498</v>
      </c>
      <c r="G101" s="28"/>
      <c r="H101" s="28"/>
      <c r="I101" s="29"/>
    </row>
    <row r="102" spans="1:9">
      <c r="A102" s="114" t="s">
        <v>1499</v>
      </c>
      <c r="B102" s="113" t="s">
        <v>1188</v>
      </c>
      <c r="C102" s="114" t="s">
        <v>1495</v>
      </c>
      <c r="D102" s="113" t="s">
        <v>1500</v>
      </c>
      <c r="E102" s="113" t="s">
        <v>1501</v>
      </c>
      <c r="F102" s="114" t="s">
        <v>1502</v>
      </c>
      <c r="G102" s="28"/>
      <c r="H102" s="28"/>
      <c r="I102" s="29"/>
    </row>
    <row r="103" spans="1:9">
      <c r="A103" s="114" t="s">
        <v>1503</v>
      </c>
      <c r="B103" s="113" t="s">
        <v>1188</v>
      </c>
      <c r="C103" s="114" t="s">
        <v>1495</v>
      </c>
      <c r="D103" s="113" t="s">
        <v>1504</v>
      </c>
      <c r="E103" s="113" t="s">
        <v>1504</v>
      </c>
      <c r="F103" s="114" t="s">
        <v>1505</v>
      </c>
      <c r="G103" s="28"/>
      <c r="H103" s="28"/>
      <c r="I103" s="29"/>
    </row>
    <row r="104" spans="1:9">
      <c r="A104" s="117" t="s">
        <v>1506</v>
      </c>
      <c r="B104" s="118" t="s">
        <v>1181</v>
      </c>
      <c r="C104" s="119" t="s">
        <v>29</v>
      </c>
      <c r="D104" s="117" t="s">
        <v>630</v>
      </c>
      <c r="E104" s="118" t="s">
        <v>1507</v>
      </c>
      <c r="F104" s="119" t="s">
        <v>1508</v>
      </c>
      <c r="G104" s="28"/>
      <c r="H104" s="28"/>
      <c r="I104" s="29"/>
    </row>
    <row r="105" spans="1:9">
      <c r="A105" s="114" t="s">
        <v>1509</v>
      </c>
      <c r="B105" s="113" t="s">
        <v>1185</v>
      </c>
      <c r="C105" s="114" t="s">
        <v>1506</v>
      </c>
      <c r="D105" s="113" t="s">
        <v>631</v>
      </c>
      <c r="E105" s="113" t="s">
        <v>1510</v>
      </c>
      <c r="F105" s="114" t="s">
        <v>1511</v>
      </c>
      <c r="G105" s="28"/>
      <c r="H105" s="28"/>
      <c r="I105" s="29"/>
    </row>
    <row r="106" spans="1:9">
      <c r="A106" s="114" t="s">
        <v>1512</v>
      </c>
      <c r="B106" s="113" t="s">
        <v>1188</v>
      </c>
      <c r="C106" s="114" t="s">
        <v>1509</v>
      </c>
      <c r="D106" s="113" t="s">
        <v>1513</v>
      </c>
      <c r="E106" s="113" t="s">
        <v>1514</v>
      </c>
      <c r="F106" s="114" t="s">
        <v>1515</v>
      </c>
      <c r="G106" s="28"/>
      <c r="H106" s="28"/>
      <c r="I106" s="29"/>
    </row>
    <row r="107" spans="1:9">
      <c r="A107" s="114" t="s">
        <v>1516</v>
      </c>
      <c r="B107" s="113" t="s">
        <v>1188</v>
      </c>
      <c r="C107" s="114" t="s">
        <v>1509</v>
      </c>
      <c r="D107" s="113" t="s">
        <v>1517</v>
      </c>
      <c r="E107" s="113" t="s">
        <v>1518</v>
      </c>
      <c r="F107" s="114" t="s">
        <v>1519</v>
      </c>
      <c r="G107" s="28"/>
      <c r="H107" s="28"/>
      <c r="I107" s="29"/>
    </row>
    <row r="108" spans="1:9">
      <c r="A108" s="114" t="s">
        <v>1520</v>
      </c>
      <c r="B108" s="113" t="s">
        <v>1185</v>
      </c>
      <c r="C108" s="114" t="s">
        <v>1506</v>
      </c>
      <c r="D108" s="113" t="s">
        <v>639</v>
      </c>
      <c r="E108" s="113" t="s">
        <v>1521</v>
      </c>
      <c r="F108" s="114" t="s">
        <v>1522</v>
      </c>
      <c r="G108" s="28"/>
      <c r="H108" s="28"/>
      <c r="I108" s="29"/>
    </row>
    <row r="109" spans="1:9">
      <c r="A109" s="114" t="s">
        <v>1523</v>
      </c>
      <c r="B109" s="113" t="s">
        <v>1188</v>
      </c>
      <c r="C109" s="114" t="s">
        <v>1520</v>
      </c>
      <c r="D109" s="113" t="s">
        <v>1524</v>
      </c>
      <c r="E109" s="113" t="s">
        <v>1524</v>
      </c>
      <c r="F109" s="114" t="s">
        <v>1525</v>
      </c>
      <c r="G109" s="28"/>
      <c r="H109" s="28"/>
      <c r="I109" s="29"/>
    </row>
    <row r="110" spans="1:9">
      <c r="A110" s="114" t="s">
        <v>1526</v>
      </c>
      <c r="B110" s="113" t="s">
        <v>1188</v>
      </c>
      <c r="C110" s="114" t="s">
        <v>1520</v>
      </c>
      <c r="D110" s="113" t="s">
        <v>1527</v>
      </c>
      <c r="E110" s="113" t="s">
        <v>1527</v>
      </c>
      <c r="F110" s="114" t="s">
        <v>1528</v>
      </c>
      <c r="G110" s="28"/>
      <c r="H110" s="28"/>
      <c r="I110" s="29"/>
    </row>
    <row r="111" spans="1:9">
      <c r="A111" s="114" t="s">
        <v>1529</v>
      </c>
      <c r="B111" s="113" t="s">
        <v>1185</v>
      </c>
      <c r="C111" s="114" t="s">
        <v>1506</v>
      </c>
      <c r="D111" s="113" t="s">
        <v>1530</v>
      </c>
      <c r="E111" s="113" t="s">
        <v>1530</v>
      </c>
      <c r="F111" s="114" t="s">
        <v>1531</v>
      </c>
      <c r="G111" s="28"/>
      <c r="H111" s="28"/>
      <c r="I111" s="29"/>
    </row>
    <row r="112" spans="1:9">
      <c r="A112" s="114" t="s">
        <v>1532</v>
      </c>
      <c r="B112" s="113" t="s">
        <v>1188</v>
      </c>
      <c r="C112" s="114" t="s">
        <v>1529</v>
      </c>
      <c r="D112" s="113" t="s">
        <v>1533</v>
      </c>
      <c r="E112" s="113" t="s">
        <v>1534</v>
      </c>
      <c r="F112" s="114" t="s">
        <v>1535</v>
      </c>
      <c r="G112" s="28"/>
      <c r="H112" s="28"/>
      <c r="I112" s="29"/>
    </row>
    <row r="113" spans="1:9">
      <c r="A113" s="114" t="s">
        <v>1536</v>
      </c>
      <c r="B113" s="113" t="s">
        <v>1188</v>
      </c>
      <c r="C113" s="114" t="s">
        <v>1529</v>
      </c>
      <c r="D113" s="113" t="s">
        <v>1537</v>
      </c>
      <c r="E113" s="113" t="s">
        <v>1538</v>
      </c>
      <c r="F113" s="114" t="s">
        <v>1539</v>
      </c>
      <c r="G113" s="28"/>
      <c r="H113" s="28"/>
      <c r="I113" s="29"/>
    </row>
    <row r="114" spans="1:9">
      <c r="A114" s="117" t="s">
        <v>1540</v>
      </c>
      <c r="B114" s="118" t="s">
        <v>1181</v>
      </c>
      <c r="C114" s="119" t="s">
        <v>29</v>
      </c>
      <c r="D114" s="117" t="s">
        <v>647</v>
      </c>
      <c r="E114" s="118" t="s">
        <v>1541</v>
      </c>
      <c r="F114" s="119" t="s">
        <v>1542</v>
      </c>
      <c r="G114" s="28"/>
      <c r="H114" s="28"/>
      <c r="I114" s="29"/>
    </row>
    <row r="115" spans="1:9">
      <c r="A115" s="114" t="s">
        <v>1543</v>
      </c>
      <c r="B115" s="113" t="s">
        <v>1185</v>
      </c>
      <c r="C115" s="114" t="s">
        <v>1540</v>
      </c>
      <c r="D115" s="113" t="s">
        <v>648</v>
      </c>
      <c r="E115" s="113" t="s">
        <v>1544</v>
      </c>
      <c r="F115" s="114" t="s">
        <v>1545</v>
      </c>
      <c r="G115" s="28"/>
      <c r="H115" s="28"/>
      <c r="I115" s="29"/>
    </row>
    <row r="116" spans="1:9">
      <c r="A116" s="114" t="s">
        <v>1546</v>
      </c>
      <c r="B116" s="113" t="s">
        <v>1188</v>
      </c>
      <c r="C116" s="114" t="s">
        <v>1543</v>
      </c>
      <c r="D116" s="113" t="s">
        <v>1547</v>
      </c>
      <c r="E116" s="113" t="s">
        <v>1548</v>
      </c>
      <c r="F116" s="114" t="s">
        <v>1549</v>
      </c>
      <c r="G116" s="28"/>
      <c r="H116" s="28"/>
      <c r="I116" s="29"/>
    </row>
    <row r="117" spans="1:9">
      <c r="A117" s="114" t="s">
        <v>1550</v>
      </c>
      <c r="B117" s="113" t="s">
        <v>1188</v>
      </c>
      <c r="C117" s="114" t="s">
        <v>1543</v>
      </c>
      <c r="D117" s="113" t="s">
        <v>1551</v>
      </c>
      <c r="E117" s="113" t="s">
        <v>1552</v>
      </c>
      <c r="F117" s="114" t="s">
        <v>1553</v>
      </c>
      <c r="G117" s="28"/>
      <c r="H117" s="28"/>
      <c r="I117" s="29"/>
    </row>
    <row r="118" spans="1:9">
      <c r="A118" s="114" t="s">
        <v>1554</v>
      </c>
      <c r="B118" s="113" t="s">
        <v>1185</v>
      </c>
      <c r="C118" s="114" t="s">
        <v>1540</v>
      </c>
      <c r="D118" s="113" t="s">
        <v>656</v>
      </c>
      <c r="E118" s="113" t="s">
        <v>1555</v>
      </c>
      <c r="F118" s="114" t="s">
        <v>1556</v>
      </c>
      <c r="G118" s="28"/>
      <c r="H118" s="28"/>
      <c r="I118" s="29"/>
    </row>
    <row r="119" spans="1:9">
      <c r="A119" s="114" t="s">
        <v>1557</v>
      </c>
      <c r="B119" s="113" t="s">
        <v>1188</v>
      </c>
      <c r="C119" s="114" t="s">
        <v>1554</v>
      </c>
      <c r="D119" s="113" t="s">
        <v>1558</v>
      </c>
      <c r="E119" s="113" t="s">
        <v>1559</v>
      </c>
      <c r="F119" s="114" t="s">
        <v>1560</v>
      </c>
      <c r="G119" s="28"/>
      <c r="H119" s="28"/>
      <c r="I119" s="29"/>
    </row>
    <row r="120" spans="1:9">
      <c r="A120" s="114" t="s">
        <v>1561</v>
      </c>
      <c r="B120" s="113" t="s">
        <v>1188</v>
      </c>
      <c r="C120" s="114" t="s">
        <v>1554</v>
      </c>
      <c r="D120" s="113" t="s">
        <v>1562</v>
      </c>
      <c r="E120" s="113" t="s">
        <v>1563</v>
      </c>
      <c r="F120" s="114" t="s">
        <v>1564</v>
      </c>
      <c r="G120" s="28"/>
      <c r="H120" s="28"/>
      <c r="I120" s="29"/>
    </row>
    <row r="121" spans="1:9">
      <c r="A121" s="114" t="s">
        <v>1565</v>
      </c>
      <c r="B121" s="113" t="s">
        <v>1185</v>
      </c>
      <c r="C121" s="114" t="s">
        <v>1540</v>
      </c>
      <c r="D121" s="113" t="s">
        <v>1566</v>
      </c>
      <c r="E121" s="113" t="s">
        <v>1567</v>
      </c>
      <c r="F121" s="114" t="s">
        <v>1568</v>
      </c>
      <c r="G121" s="28"/>
      <c r="H121" s="28"/>
      <c r="I121" s="29"/>
    </row>
    <row r="122" spans="1:9">
      <c r="A122" s="114" t="s">
        <v>1569</v>
      </c>
      <c r="B122" s="113" t="s">
        <v>1188</v>
      </c>
      <c r="C122" s="114" t="s">
        <v>1565</v>
      </c>
      <c r="D122" s="113" t="s">
        <v>1570</v>
      </c>
      <c r="E122" s="113" t="s">
        <v>1571</v>
      </c>
      <c r="F122" s="114" t="s">
        <v>1572</v>
      </c>
      <c r="G122" s="28"/>
      <c r="H122" s="28"/>
      <c r="I122" s="29"/>
    </row>
    <row r="123" spans="1:9">
      <c r="A123" s="114" t="s">
        <v>1573</v>
      </c>
      <c r="B123" s="113" t="s">
        <v>1188</v>
      </c>
      <c r="C123" s="114" t="s">
        <v>1565</v>
      </c>
      <c r="D123" s="113" t="s">
        <v>1574</v>
      </c>
      <c r="E123" s="113" t="s">
        <v>1575</v>
      </c>
      <c r="F123" s="114" t="s">
        <v>1576</v>
      </c>
      <c r="G123" s="28"/>
      <c r="H123" s="28"/>
      <c r="I123" s="29"/>
    </row>
    <row r="124" spans="1:9">
      <c r="A124" s="117" t="s">
        <v>1577</v>
      </c>
      <c r="B124" s="118" t="s">
        <v>1181</v>
      </c>
      <c r="C124" s="119" t="s">
        <v>29</v>
      </c>
      <c r="D124" s="117" t="s">
        <v>666</v>
      </c>
      <c r="E124" s="118" t="s">
        <v>1578</v>
      </c>
      <c r="F124" s="119" t="s">
        <v>1579</v>
      </c>
      <c r="G124" s="28"/>
      <c r="H124" s="28"/>
      <c r="I124" s="29"/>
    </row>
    <row r="125" spans="1:9">
      <c r="A125" s="114" t="s">
        <v>1580</v>
      </c>
      <c r="B125" s="113" t="s">
        <v>1185</v>
      </c>
      <c r="C125" s="114" t="s">
        <v>1577</v>
      </c>
      <c r="D125" s="113" t="s">
        <v>667</v>
      </c>
      <c r="E125" s="113" t="s">
        <v>1581</v>
      </c>
      <c r="F125" s="114" t="s">
        <v>1582</v>
      </c>
      <c r="G125" s="28"/>
      <c r="H125" s="28"/>
      <c r="I125" s="29"/>
    </row>
    <row r="126" spans="1:9">
      <c r="A126" s="114" t="s">
        <v>1583</v>
      </c>
      <c r="B126" s="113" t="s">
        <v>1188</v>
      </c>
      <c r="C126" s="114" t="s">
        <v>1580</v>
      </c>
      <c r="D126" s="113" t="s">
        <v>1584</v>
      </c>
      <c r="E126" s="113" t="s">
        <v>1585</v>
      </c>
      <c r="F126" s="114" t="s">
        <v>1586</v>
      </c>
      <c r="G126" s="28"/>
      <c r="H126" s="28"/>
      <c r="I126" s="29"/>
    </row>
    <row r="127" spans="1:9">
      <c r="A127" s="114" t="s">
        <v>1587</v>
      </c>
      <c r="B127" s="113" t="s">
        <v>1188</v>
      </c>
      <c r="C127" s="114" t="s">
        <v>1580</v>
      </c>
      <c r="D127" s="113" t="s">
        <v>1588</v>
      </c>
      <c r="E127" s="113" t="s">
        <v>1589</v>
      </c>
      <c r="F127" s="114" t="s">
        <v>1590</v>
      </c>
      <c r="G127" s="28"/>
      <c r="H127" s="28"/>
      <c r="I127" s="29"/>
    </row>
    <row r="128" spans="1:9">
      <c r="A128" s="114" t="s">
        <v>1591</v>
      </c>
      <c r="B128" s="113" t="s">
        <v>1185</v>
      </c>
      <c r="C128" s="114" t="s">
        <v>1577</v>
      </c>
      <c r="D128" s="113" t="s">
        <v>674</v>
      </c>
      <c r="E128" s="113" t="s">
        <v>1592</v>
      </c>
      <c r="F128" s="114" t="s">
        <v>1593</v>
      </c>
      <c r="G128" s="28"/>
      <c r="H128" s="28"/>
      <c r="I128" s="29"/>
    </row>
    <row r="129" spans="1:9">
      <c r="A129" s="114" t="s">
        <v>1594</v>
      </c>
      <c r="B129" s="113" t="s">
        <v>1188</v>
      </c>
      <c r="C129" s="114" t="s">
        <v>1591</v>
      </c>
      <c r="D129" s="113" t="s">
        <v>1595</v>
      </c>
      <c r="E129" s="113" t="s">
        <v>1596</v>
      </c>
      <c r="F129" s="114" t="s">
        <v>1597</v>
      </c>
      <c r="G129" s="28"/>
      <c r="H129" s="28"/>
      <c r="I129" s="29"/>
    </row>
    <row r="130" spans="1:9">
      <c r="A130" s="114" t="s">
        <v>1598</v>
      </c>
      <c r="B130" s="113" t="s">
        <v>1188</v>
      </c>
      <c r="C130" s="114" t="s">
        <v>1591</v>
      </c>
      <c r="D130" s="113" t="s">
        <v>1599</v>
      </c>
      <c r="E130" s="113" t="s">
        <v>1600</v>
      </c>
      <c r="F130" s="114" t="s">
        <v>1601</v>
      </c>
      <c r="G130" s="28"/>
      <c r="H130" s="28"/>
      <c r="I130" s="29"/>
    </row>
    <row r="131" spans="1:9">
      <c r="A131" s="114" t="s">
        <v>1602</v>
      </c>
      <c r="B131" s="113" t="s">
        <v>1185</v>
      </c>
      <c r="C131" s="114" t="s">
        <v>1577</v>
      </c>
      <c r="D131" s="113" t="s">
        <v>1603</v>
      </c>
      <c r="E131" s="113" t="s">
        <v>1604</v>
      </c>
      <c r="F131" s="114" t="s">
        <v>1605</v>
      </c>
      <c r="G131" s="28"/>
      <c r="H131" s="28"/>
      <c r="I131" s="29"/>
    </row>
    <row r="132" spans="1:9">
      <c r="A132" s="114" t="s">
        <v>1606</v>
      </c>
      <c r="B132" s="113" t="s">
        <v>1188</v>
      </c>
      <c r="C132" s="114" t="s">
        <v>1602</v>
      </c>
      <c r="D132" s="113" t="s">
        <v>1607</v>
      </c>
      <c r="E132" s="113" t="s">
        <v>1608</v>
      </c>
      <c r="F132" s="114" t="s">
        <v>1609</v>
      </c>
      <c r="G132" s="28"/>
      <c r="H132" s="28"/>
      <c r="I132" s="29"/>
    </row>
    <row r="133" spans="1:9">
      <c r="A133" s="114" t="s">
        <v>1610</v>
      </c>
      <c r="B133" s="113" t="s">
        <v>1188</v>
      </c>
      <c r="C133" s="114" t="s">
        <v>1602</v>
      </c>
      <c r="D133" s="113" t="s">
        <v>1611</v>
      </c>
      <c r="E133" s="113" t="s">
        <v>1612</v>
      </c>
      <c r="F133" s="114" t="s">
        <v>1613</v>
      </c>
      <c r="G133" s="28"/>
      <c r="H133" s="28"/>
      <c r="I133" s="29"/>
    </row>
    <row r="134" spans="1:9">
      <c r="A134" s="117" t="s">
        <v>1614</v>
      </c>
      <c r="B134" s="118" t="s">
        <v>1181</v>
      </c>
      <c r="C134" s="119" t="s">
        <v>29</v>
      </c>
      <c r="D134" s="117" t="s">
        <v>681</v>
      </c>
      <c r="E134" s="118" t="s">
        <v>1615</v>
      </c>
      <c r="F134" s="119" t="s">
        <v>1616</v>
      </c>
      <c r="G134" s="28"/>
      <c r="H134" s="28"/>
      <c r="I134" s="29"/>
    </row>
    <row r="135" spans="1:9">
      <c r="A135" s="114" t="s">
        <v>1617</v>
      </c>
      <c r="B135" s="113" t="s">
        <v>1185</v>
      </c>
      <c r="C135" s="114" t="s">
        <v>1614</v>
      </c>
      <c r="D135" s="113" t="s">
        <v>682</v>
      </c>
      <c r="E135" s="113" t="s">
        <v>1618</v>
      </c>
      <c r="F135" s="114" t="s">
        <v>1619</v>
      </c>
      <c r="G135" s="28"/>
      <c r="H135" s="28"/>
      <c r="I135" s="29"/>
    </row>
    <row r="136" spans="1:9">
      <c r="A136" s="114" t="s">
        <v>1620</v>
      </c>
      <c r="B136" s="113" t="s">
        <v>1188</v>
      </c>
      <c r="C136" s="114" t="s">
        <v>1617</v>
      </c>
      <c r="D136" s="113" t="s">
        <v>1621</v>
      </c>
      <c r="E136" s="113" t="s">
        <v>1622</v>
      </c>
      <c r="F136" s="114" t="s">
        <v>1623</v>
      </c>
      <c r="G136" s="28"/>
      <c r="H136" s="28"/>
      <c r="I136" s="29"/>
    </row>
    <row r="137" spans="1:9">
      <c r="A137" s="114" t="s">
        <v>1624</v>
      </c>
      <c r="B137" s="113" t="s">
        <v>1188</v>
      </c>
      <c r="C137" s="114" t="s">
        <v>1617</v>
      </c>
      <c r="D137" s="113" t="s">
        <v>1625</v>
      </c>
      <c r="E137" s="113" t="s">
        <v>1625</v>
      </c>
      <c r="F137" s="114" t="s">
        <v>1626</v>
      </c>
      <c r="G137" s="28"/>
      <c r="H137" s="28"/>
      <c r="I137" s="29"/>
    </row>
    <row r="138" spans="1:9">
      <c r="A138" s="114" t="s">
        <v>1627</v>
      </c>
      <c r="B138" s="113" t="s">
        <v>1185</v>
      </c>
      <c r="C138" s="114" t="s">
        <v>1614</v>
      </c>
      <c r="D138" s="113" t="s">
        <v>689</v>
      </c>
      <c r="E138" s="113" t="s">
        <v>1628</v>
      </c>
      <c r="F138" s="114" t="s">
        <v>1629</v>
      </c>
      <c r="G138" s="28"/>
      <c r="H138" s="28"/>
      <c r="I138" s="29"/>
    </row>
    <row r="139" spans="1:9">
      <c r="A139" s="114" t="s">
        <v>1630</v>
      </c>
      <c r="B139" s="113" t="s">
        <v>1188</v>
      </c>
      <c r="C139" s="114" t="s">
        <v>1627</v>
      </c>
      <c r="D139" s="113" t="s">
        <v>1631</v>
      </c>
      <c r="E139" s="113" t="s">
        <v>1632</v>
      </c>
      <c r="F139" s="114" t="s">
        <v>1633</v>
      </c>
      <c r="G139" s="28"/>
      <c r="H139" s="28"/>
      <c r="I139" s="29"/>
    </row>
    <row r="140" spans="1:9">
      <c r="A140" s="114" t="s">
        <v>1634</v>
      </c>
      <c r="B140" s="113" t="s">
        <v>1188</v>
      </c>
      <c r="C140" s="114" t="s">
        <v>1627</v>
      </c>
      <c r="D140" s="113" t="s">
        <v>1635</v>
      </c>
      <c r="E140" s="113" t="s">
        <v>1636</v>
      </c>
      <c r="F140" s="114" t="s">
        <v>1637</v>
      </c>
      <c r="G140" s="28"/>
      <c r="H140" s="28"/>
      <c r="I140" s="29"/>
    </row>
    <row r="141" spans="1:9">
      <c r="A141" s="114" t="s">
        <v>1638</v>
      </c>
      <c r="B141" s="113" t="s">
        <v>1185</v>
      </c>
      <c r="C141" s="114" t="s">
        <v>1614</v>
      </c>
      <c r="D141" s="113" t="s">
        <v>1639</v>
      </c>
      <c r="E141" s="113" t="s">
        <v>1639</v>
      </c>
      <c r="F141" s="114" t="s">
        <v>1640</v>
      </c>
      <c r="G141" s="28"/>
      <c r="H141" s="28"/>
      <c r="I141" s="29"/>
    </row>
    <row r="142" spans="1:9">
      <c r="A142" s="114" t="s">
        <v>1641</v>
      </c>
      <c r="B142" s="113" t="s">
        <v>1188</v>
      </c>
      <c r="C142" s="114" t="s">
        <v>1638</v>
      </c>
      <c r="D142" s="113" t="s">
        <v>1642</v>
      </c>
      <c r="E142" s="113" t="s">
        <v>1643</v>
      </c>
      <c r="F142" s="114" t="s">
        <v>1644</v>
      </c>
      <c r="G142" s="28"/>
      <c r="H142" s="28"/>
      <c r="I142" s="29"/>
    </row>
    <row r="143" spans="1:9">
      <c r="A143" s="114" t="s">
        <v>1645</v>
      </c>
      <c r="B143" s="113" t="s">
        <v>1188</v>
      </c>
      <c r="C143" s="114" t="s">
        <v>1638</v>
      </c>
      <c r="D143" s="113" t="s">
        <v>1646</v>
      </c>
      <c r="E143" s="113" t="s">
        <v>1647</v>
      </c>
      <c r="F143" s="114" t="s">
        <v>1648</v>
      </c>
      <c r="G143" s="28"/>
      <c r="H143" s="28"/>
      <c r="I143" s="29"/>
    </row>
    <row r="144" spans="1:9">
      <c r="A144" s="117" t="s">
        <v>1649</v>
      </c>
      <c r="B144" s="118" t="s">
        <v>1181</v>
      </c>
      <c r="C144" s="119" t="s">
        <v>29</v>
      </c>
      <c r="D144" s="117" t="s">
        <v>699</v>
      </c>
      <c r="E144" s="118" t="s">
        <v>1650</v>
      </c>
      <c r="F144" s="119" t="s">
        <v>1651</v>
      </c>
      <c r="G144" s="28"/>
      <c r="H144" s="28"/>
      <c r="I144" s="29"/>
    </row>
    <row r="145" spans="1:9">
      <c r="A145" s="114" t="s">
        <v>1652</v>
      </c>
      <c r="B145" s="113" t="s">
        <v>1185</v>
      </c>
      <c r="C145" s="114" t="s">
        <v>1649</v>
      </c>
      <c r="D145" s="113" t="s">
        <v>700</v>
      </c>
      <c r="E145" s="113" t="s">
        <v>1653</v>
      </c>
      <c r="F145" s="114" t="s">
        <v>1654</v>
      </c>
      <c r="G145" s="28"/>
      <c r="H145" s="28"/>
      <c r="I145" s="29"/>
    </row>
    <row r="146" spans="1:9">
      <c r="A146" s="114" t="s">
        <v>1655</v>
      </c>
      <c r="B146" s="113" t="s">
        <v>1188</v>
      </c>
      <c r="C146" s="114" t="s">
        <v>1652</v>
      </c>
      <c r="D146" s="113" t="s">
        <v>1656</v>
      </c>
      <c r="E146" s="113" t="s">
        <v>1657</v>
      </c>
      <c r="F146" s="114" t="s">
        <v>1658</v>
      </c>
      <c r="G146" s="28"/>
      <c r="H146" s="28"/>
      <c r="I146" s="29"/>
    </row>
    <row r="147" spans="1:9">
      <c r="A147" s="114" t="s">
        <v>1659</v>
      </c>
      <c r="B147" s="113" t="s">
        <v>1188</v>
      </c>
      <c r="C147" s="114" t="s">
        <v>1652</v>
      </c>
      <c r="D147" s="113" t="s">
        <v>1660</v>
      </c>
      <c r="E147" s="113" t="s">
        <v>1660</v>
      </c>
      <c r="F147" s="114" t="s">
        <v>1661</v>
      </c>
      <c r="G147" s="28"/>
      <c r="H147" s="28"/>
      <c r="I147" s="29"/>
    </row>
    <row r="148" spans="1:9">
      <c r="A148" s="114" t="s">
        <v>1662</v>
      </c>
      <c r="B148" s="113" t="s">
        <v>1185</v>
      </c>
      <c r="C148" s="114" t="s">
        <v>1649</v>
      </c>
      <c r="D148" s="113" t="s">
        <v>707</v>
      </c>
      <c r="E148" s="113" t="s">
        <v>1663</v>
      </c>
      <c r="F148" s="114" t="s">
        <v>1664</v>
      </c>
      <c r="G148" s="28"/>
      <c r="H148" s="28"/>
      <c r="I148" s="29"/>
    </row>
    <row r="149" spans="1:9">
      <c r="A149" s="114" t="s">
        <v>1665</v>
      </c>
      <c r="B149" s="113" t="s">
        <v>1188</v>
      </c>
      <c r="C149" s="114" t="s">
        <v>1662</v>
      </c>
      <c r="D149" s="113" t="s">
        <v>1666</v>
      </c>
      <c r="E149" s="113" t="s">
        <v>1667</v>
      </c>
      <c r="F149" s="114" t="s">
        <v>1668</v>
      </c>
      <c r="G149" s="28"/>
      <c r="H149" s="28"/>
      <c r="I149" s="29"/>
    </row>
    <row r="150" spans="1:9">
      <c r="A150" s="114" t="s">
        <v>1669</v>
      </c>
      <c r="B150" s="113" t="s">
        <v>1188</v>
      </c>
      <c r="C150" s="114" t="s">
        <v>1662</v>
      </c>
      <c r="D150" s="113" t="s">
        <v>1670</v>
      </c>
      <c r="E150" s="113" t="s">
        <v>1671</v>
      </c>
      <c r="F150" s="114" t="s">
        <v>1672</v>
      </c>
      <c r="G150" s="28"/>
      <c r="H150" s="28"/>
      <c r="I150" s="29"/>
    </row>
    <row r="151" spans="1:9">
      <c r="A151" s="114" t="s">
        <v>1673</v>
      </c>
      <c r="B151" s="113" t="s">
        <v>1185</v>
      </c>
      <c r="C151" s="114" t="s">
        <v>1649</v>
      </c>
      <c r="D151" s="113" t="s">
        <v>1674</v>
      </c>
      <c r="E151" s="113" t="s">
        <v>1675</v>
      </c>
      <c r="F151" s="114" t="s">
        <v>1676</v>
      </c>
      <c r="G151" s="28"/>
      <c r="H151" s="28"/>
      <c r="I151" s="29"/>
    </row>
    <row r="152" spans="1:9">
      <c r="A152" s="114" t="s">
        <v>1677</v>
      </c>
      <c r="B152" s="113" t="s">
        <v>1188</v>
      </c>
      <c r="C152" s="114" t="s">
        <v>1673</v>
      </c>
      <c r="D152" s="113" t="s">
        <v>1678</v>
      </c>
      <c r="E152" s="113" t="s">
        <v>1679</v>
      </c>
      <c r="F152" s="114" t="s">
        <v>1680</v>
      </c>
      <c r="G152" s="28"/>
      <c r="H152" s="28"/>
      <c r="I152" s="29"/>
    </row>
    <row r="153" spans="1:9">
      <c r="A153" s="114" t="s">
        <v>1681</v>
      </c>
      <c r="B153" s="113" t="s">
        <v>1188</v>
      </c>
      <c r="C153" s="114" t="s">
        <v>1673</v>
      </c>
      <c r="D153" s="113" t="s">
        <v>1682</v>
      </c>
      <c r="E153" s="113" t="s">
        <v>1683</v>
      </c>
      <c r="F153" s="114" t="s">
        <v>1684</v>
      </c>
      <c r="G153" s="28"/>
      <c r="H153" s="28"/>
      <c r="I153" s="29"/>
    </row>
    <row r="154" spans="1:9">
      <c r="A154" s="117" t="s">
        <v>1685</v>
      </c>
      <c r="B154" s="118" t="s">
        <v>1181</v>
      </c>
      <c r="C154" s="119" t="s">
        <v>29</v>
      </c>
      <c r="D154" s="117" t="s">
        <v>714</v>
      </c>
      <c r="E154" s="118" t="s">
        <v>1686</v>
      </c>
      <c r="F154" s="119" t="s">
        <v>1687</v>
      </c>
      <c r="G154" s="28"/>
      <c r="H154" s="28"/>
      <c r="I154" s="29"/>
    </row>
    <row r="155" spans="1:9">
      <c r="A155" s="114" t="s">
        <v>1688</v>
      </c>
      <c r="B155" s="113" t="s">
        <v>1185</v>
      </c>
      <c r="C155" s="114" t="s">
        <v>1685</v>
      </c>
      <c r="D155" s="113" t="s">
        <v>715</v>
      </c>
      <c r="E155" s="113" t="s">
        <v>715</v>
      </c>
      <c r="F155" s="114" t="s">
        <v>1689</v>
      </c>
      <c r="G155" s="28"/>
      <c r="H155" s="28"/>
      <c r="I155" s="29"/>
    </row>
    <row r="156" spans="1:9">
      <c r="A156" s="114" t="s">
        <v>1690</v>
      </c>
      <c r="B156" s="113" t="s">
        <v>1188</v>
      </c>
      <c r="C156" s="114" t="s">
        <v>1688</v>
      </c>
      <c r="D156" s="113" t="s">
        <v>1691</v>
      </c>
      <c r="E156" s="113" t="s">
        <v>1692</v>
      </c>
      <c r="F156" s="114" t="s">
        <v>1693</v>
      </c>
      <c r="G156" s="28"/>
      <c r="H156" s="28"/>
      <c r="I156" s="29"/>
    </row>
    <row r="157" spans="1:9">
      <c r="A157" s="114" t="s">
        <v>1694</v>
      </c>
      <c r="B157" s="113" t="s">
        <v>1188</v>
      </c>
      <c r="C157" s="114" t="s">
        <v>1688</v>
      </c>
      <c r="D157" s="113" t="s">
        <v>1695</v>
      </c>
      <c r="E157" s="113" t="s">
        <v>1696</v>
      </c>
      <c r="F157" s="114" t="s">
        <v>1697</v>
      </c>
      <c r="G157" s="28"/>
      <c r="H157" s="28"/>
      <c r="I157" s="29"/>
    </row>
    <row r="158" spans="1:9">
      <c r="A158" s="114" t="s">
        <v>1698</v>
      </c>
      <c r="B158" s="113" t="s">
        <v>1185</v>
      </c>
      <c r="C158" s="114" t="s">
        <v>1685</v>
      </c>
      <c r="D158" s="113" t="s">
        <v>722</v>
      </c>
      <c r="E158" s="113" t="s">
        <v>1699</v>
      </c>
      <c r="F158" s="114" t="s">
        <v>1700</v>
      </c>
      <c r="G158" s="28"/>
      <c r="H158" s="28"/>
      <c r="I158" s="29"/>
    </row>
    <row r="159" spans="1:9">
      <c r="A159" s="114" t="s">
        <v>1701</v>
      </c>
      <c r="B159" s="113" t="s">
        <v>1188</v>
      </c>
      <c r="C159" s="114" t="s">
        <v>1698</v>
      </c>
      <c r="D159" s="113" t="s">
        <v>1702</v>
      </c>
      <c r="E159" s="113" t="s">
        <v>1703</v>
      </c>
      <c r="F159" s="114" t="s">
        <v>1704</v>
      </c>
      <c r="G159" s="28"/>
      <c r="H159" s="28"/>
      <c r="I159" s="29"/>
    </row>
    <row r="160" spans="1:9">
      <c r="A160" s="114" t="s">
        <v>1705</v>
      </c>
      <c r="B160" s="113" t="s">
        <v>1188</v>
      </c>
      <c r="C160" s="114" t="s">
        <v>1698</v>
      </c>
      <c r="D160" s="113" t="s">
        <v>1706</v>
      </c>
      <c r="E160" s="113" t="s">
        <v>1707</v>
      </c>
      <c r="F160" s="114" t="s">
        <v>1708</v>
      </c>
      <c r="G160" s="28"/>
      <c r="H160" s="28"/>
      <c r="I160" s="29"/>
    </row>
    <row r="161" spans="1:9">
      <c r="A161" s="114" t="s">
        <v>1709</v>
      </c>
      <c r="B161" s="113" t="s">
        <v>1185</v>
      </c>
      <c r="C161" s="114" t="s">
        <v>1685</v>
      </c>
      <c r="D161" s="113" t="s">
        <v>1710</v>
      </c>
      <c r="E161" s="113" t="s">
        <v>1711</v>
      </c>
      <c r="F161" s="114" t="s">
        <v>1712</v>
      </c>
      <c r="G161" s="28"/>
      <c r="H161" s="28"/>
      <c r="I161" s="29"/>
    </row>
    <row r="162" spans="1:9">
      <c r="A162" s="114" t="s">
        <v>1713</v>
      </c>
      <c r="B162" s="113" t="s">
        <v>1188</v>
      </c>
      <c r="C162" s="114" t="s">
        <v>1709</v>
      </c>
      <c r="D162" s="113" t="s">
        <v>1714</v>
      </c>
      <c r="E162" s="113" t="s">
        <v>1715</v>
      </c>
      <c r="F162" s="114" t="s">
        <v>1716</v>
      </c>
      <c r="G162" s="28"/>
      <c r="H162" s="28"/>
      <c r="I162" s="29"/>
    </row>
    <row r="163" spans="1:9">
      <c r="A163" s="114" t="s">
        <v>1717</v>
      </c>
      <c r="B163" s="113" t="s">
        <v>1188</v>
      </c>
      <c r="C163" s="114" t="s">
        <v>1709</v>
      </c>
      <c r="D163" s="113" t="s">
        <v>1718</v>
      </c>
      <c r="E163" s="113" t="s">
        <v>1719</v>
      </c>
      <c r="F163" s="114" t="s">
        <v>1720</v>
      </c>
      <c r="G163" s="28"/>
      <c r="H163" s="28"/>
      <c r="I163" s="29"/>
    </row>
    <row r="165" ht="18" customHeight="1" spans="1:9">
      <c r="A165" s="87" t="s">
        <v>1721</v>
      </c>
    </row>
    <row r="166" ht="24" customHeight="1" spans="1:9">
      <c r="A166" s="88" t="s">
        <v>1204</v>
      </c>
      <c r="B166" s="88" t="s">
        <v>1176</v>
      </c>
      <c r="C166" s="88" t="s">
        <v>1205</v>
      </c>
      <c r="D166" s="88" t="s">
        <v>1206</v>
      </c>
      <c r="E166" s="88" t="s">
        <v>1207</v>
      </c>
      <c r="F166" s="88" t="s">
        <v>1722</v>
      </c>
      <c r="G166" s="110"/>
      <c r="H166" s="110"/>
      <c r="I166" s="111"/>
    </row>
    <row r="167" spans="1:9">
      <c r="A167" s="117" t="s">
        <v>1723</v>
      </c>
      <c r="B167" s="118" t="s">
        <v>1724</v>
      </c>
      <c r="C167" s="119" t="s">
        <v>29</v>
      </c>
      <c r="D167" s="117" t="s">
        <v>134</v>
      </c>
      <c r="E167" s="118" t="s">
        <v>1725</v>
      </c>
      <c r="F167" s="119" t="s">
        <v>1726</v>
      </c>
      <c r="G167" s="28"/>
      <c r="H167" s="28"/>
      <c r="I167" s="29"/>
    </row>
    <row r="168" spans="1:9">
      <c r="A168" s="114" t="s">
        <v>1727</v>
      </c>
      <c r="B168" s="113" t="s">
        <v>1728</v>
      </c>
      <c r="C168" s="114" t="s">
        <v>1723</v>
      </c>
      <c r="D168" s="113" t="s">
        <v>157</v>
      </c>
      <c r="E168" s="113" t="s">
        <v>1729</v>
      </c>
      <c r="F168" s="114" t="s">
        <v>1730</v>
      </c>
      <c r="G168" s="28"/>
      <c r="H168" s="28"/>
      <c r="I168" s="29"/>
    </row>
    <row r="169" spans="1:9">
      <c r="A169" s="114" t="s">
        <v>1731</v>
      </c>
      <c r="B169" s="113" t="s">
        <v>1728</v>
      </c>
      <c r="C169" s="114" t="s">
        <v>1723</v>
      </c>
      <c r="D169" s="113" t="s">
        <v>1732</v>
      </c>
      <c r="E169" s="113" t="s">
        <v>1733</v>
      </c>
      <c r="F169" s="114" t="s">
        <v>1734</v>
      </c>
      <c r="G169" s="28"/>
      <c r="H169" s="28"/>
      <c r="I169" s="29"/>
    </row>
    <row r="170" spans="1:9">
      <c r="A170" s="117" t="s">
        <v>1735</v>
      </c>
      <c r="B170" s="118" t="s">
        <v>1724</v>
      </c>
      <c r="C170" s="119" t="s">
        <v>29</v>
      </c>
      <c r="D170" s="117" t="s">
        <v>135</v>
      </c>
      <c r="E170" s="118" t="s">
        <v>1736</v>
      </c>
      <c r="F170" s="119" t="s">
        <v>1737</v>
      </c>
      <c r="G170" s="28"/>
      <c r="H170" s="28"/>
      <c r="I170" s="29"/>
    </row>
    <row r="171" spans="1:9">
      <c r="A171" s="114" t="s">
        <v>1738</v>
      </c>
      <c r="B171" s="113" t="s">
        <v>1728</v>
      </c>
      <c r="C171" s="114" t="s">
        <v>1735</v>
      </c>
      <c r="D171" s="113" t="s">
        <v>1739</v>
      </c>
      <c r="E171" s="113" t="s">
        <v>1739</v>
      </c>
      <c r="F171" s="114" t="s">
        <v>1740</v>
      </c>
      <c r="G171" s="28"/>
      <c r="H171" s="28"/>
      <c r="I171" s="29"/>
    </row>
    <row r="172" spans="1:9">
      <c r="A172" s="114" t="s">
        <v>1741</v>
      </c>
      <c r="B172" s="113" t="s">
        <v>1728</v>
      </c>
      <c r="C172" s="114" t="s">
        <v>1735</v>
      </c>
      <c r="D172" s="113" t="s">
        <v>158</v>
      </c>
      <c r="E172" s="113" t="s">
        <v>1742</v>
      </c>
      <c r="F172" s="114" t="s">
        <v>1743</v>
      </c>
      <c r="G172" s="28"/>
      <c r="H172" s="28"/>
      <c r="I172" s="29"/>
    </row>
    <row r="173" spans="1:9">
      <c r="A173" s="117" t="s">
        <v>1744</v>
      </c>
      <c r="B173" s="118" t="s">
        <v>1724</v>
      </c>
      <c r="C173" s="119" t="s">
        <v>29</v>
      </c>
      <c r="D173" s="117" t="s">
        <v>136</v>
      </c>
      <c r="E173" s="118" t="s">
        <v>1745</v>
      </c>
      <c r="F173" s="119" t="s">
        <v>1746</v>
      </c>
      <c r="G173" s="28"/>
      <c r="H173" s="28"/>
      <c r="I173" s="29"/>
    </row>
    <row r="174" spans="1:9">
      <c r="A174" s="114" t="s">
        <v>1747</v>
      </c>
      <c r="B174" s="113" t="s">
        <v>1728</v>
      </c>
      <c r="C174" s="114" t="s">
        <v>1744</v>
      </c>
      <c r="D174" s="113" t="s">
        <v>1748</v>
      </c>
      <c r="E174" s="113" t="s">
        <v>1749</v>
      </c>
      <c r="F174" s="114" t="s">
        <v>1750</v>
      </c>
      <c r="G174" s="28"/>
      <c r="H174" s="28"/>
      <c r="I174" s="29"/>
    </row>
    <row r="175" spans="1:9">
      <c r="A175" s="114" t="s">
        <v>1751</v>
      </c>
      <c r="B175" s="113" t="s">
        <v>1728</v>
      </c>
      <c r="C175" s="114" t="s">
        <v>1744</v>
      </c>
      <c r="D175" s="113" t="s">
        <v>159</v>
      </c>
      <c r="E175" s="113" t="s">
        <v>1752</v>
      </c>
      <c r="F175" s="114" t="s">
        <v>1753</v>
      </c>
      <c r="G175" s="28"/>
      <c r="H175" s="28"/>
      <c r="I175" s="29"/>
    </row>
    <row r="176" spans="1:9">
      <c r="A176" s="117" t="s">
        <v>1754</v>
      </c>
      <c r="B176" s="118" t="s">
        <v>1724</v>
      </c>
      <c r="C176" s="119" t="s">
        <v>29</v>
      </c>
      <c r="D176" s="117" t="s">
        <v>1755</v>
      </c>
      <c r="E176" s="118" t="s">
        <v>1756</v>
      </c>
      <c r="F176" s="119" t="s">
        <v>1757</v>
      </c>
      <c r="G176" s="28"/>
      <c r="H176" s="28"/>
      <c r="I176" s="29"/>
    </row>
    <row r="177" spans="1:9">
      <c r="A177" s="114" t="s">
        <v>1758</v>
      </c>
      <c r="B177" s="113" t="s">
        <v>1728</v>
      </c>
      <c r="C177" s="114" t="s">
        <v>1754</v>
      </c>
      <c r="D177" s="113" t="s">
        <v>1759</v>
      </c>
      <c r="E177" s="113" t="s">
        <v>1760</v>
      </c>
      <c r="F177" s="114" t="s">
        <v>1761</v>
      </c>
      <c r="G177" s="28"/>
      <c r="H177" s="28"/>
      <c r="I177" s="29"/>
    </row>
    <row r="178" spans="1:9">
      <c r="A178" s="114" t="s">
        <v>1762</v>
      </c>
      <c r="B178" s="113" t="s">
        <v>1728</v>
      </c>
      <c r="C178" s="114" t="s">
        <v>1754</v>
      </c>
      <c r="D178" s="113" t="s">
        <v>1763</v>
      </c>
      <c r="E178" s="113" t="s">
        <v>1763</v>
      </c>
      <c r="F178" s="114" t="s">
        <v>1764</v>
      </c>
      <c r="G178" s="28"/>
      <c r="H178" s="28"/>
      <c r="I178" s="29"/>
    </row>
    <row r="179" spans="1:9">
      <c r="A179" s="117" t="s">
        <v>1765</v>
      </c>
      <c r="B179" s="118" t="s">
        <v>1724</v>
      </c>
      <c r="C179" s="119" t="s">
        <v>29</v>
      </c>
      <c r="D179" s="117" t="s">
        <v>1766</v>
      </c>
      <c r="E179" s="118" t="s">
        <v>1767</v>
      </c>
      <c r="F179" s="119" t="s">
        <v>1768</v>
      </c>
      <c r="G179" s="28"/>
      <c r="H179" s="28"/>
      <c r="I179" s="29"/>
    </row>
    <row r="180" spans="1:9">
      <c r="A180" s="114" t="s">
        <v>1769</v>
      </c>
      <c r="B180" s="113" t="s">
        <v>1728</v>
      </c>
      <c r="C180" s="114" t="s">
        <v>1765</v>
      </c>
      <c r="D180" s="113" t="s">
        <v>1770</v>
      </c>
      <c r="E180" s="113" t="s">
        <v>1770</v>
      </c>
      <c r="F180" s="114" t="s">
        <v>1771</v>
      </c>
      <c r="G180" s="28"/>
      <c r="H180" s="28"/>
      <c r="I180" s="29"/>
    </row>
    <row r="181" spans="1:9">
      <c r="A181" s="114" t="s">
        <v>1772</v>
      </c>
      <c r="B181" s="113" t="s">
        <v>1728</v>
      </c>
      <c r="C181" s="114" t="s">
        <v>1765</v>
      </c>
      <c r="D181" s="113" t="s">
        <v>1347</v>
      </c>
      <c r="E181" s="113" t="s">
        <v>1348</v>
      </c>
      <c r="F181" s="114" t="s">
        <v>1773</v>
      </c>
      <c r="G181" s="28"/>
      <c r="H181" s="28"/>
      <c r="I181" s="29"/>
    </row>
    <row r="182" spans="1:9">
      <c r="A182" s="117" t="s">
        <v>1774</v>
      </c>
      <c r="B182" s="118" t="s">
        <v>1724</v>
      </c>
      <c r="C182" s="119" t="s">
        <v>29</v>
      </c>
      <c r="D182" s="117" t="s">
        <v>1775</v>
      </c>
      <c r="E182" s="118" t="s">
        <v>1776</v>
      </c>
      <c r="F182" s="119" t="s">
        <v>1777</v>
      </c>
      <c r="G182" s="28"/>
      <c r="H182" s="28"/>
      <c r="I182" s="29"/>
    </row>
    <row r="183" spans="1:9">
      <c r="A183" s="114" t="s">
        <v>1778</v>
      </c>
      <c r="B183" s="113" t="s">
        <v>1728</v>
      </c>
      <c r="C183" s="114" t="s">
        <v>1774</v>
      </c>
      <c r="D183" s="113" t="s">
        <v>1779</v>
      </c>
      <c r="E183" s="113" t="s">
        <v>1780</v>
      </c>
      <c r="F183" s="114" t="s">
        <v>1781</v>
      </c>
      <c r="G183" s="28"/>
      <c r="H183" s="28"/>
      <c r="I183" s="29"/>
    </row>
    <row r="184" spans="1:9">
      <c r="A184" s="114" t="s">
        <v>1782</v>
      </c>
      <c r="B184" s="113" t="s">
        <v>1728</v>
      </c>
      <c r="C184" s="114" t="s">
        <v>1774</v>
      </c>
      <c r="D184" s="113" t="s">
        <v>1783</v>
      </c>
      <c r="E184" s="113" t="s">
        <v>1784</v>
      </c>
      <c r="F184" s="114" t="s">
        <v>1785</v>
      </c>
      <c r="G184" s="28"/>
      <c r="H184" s="28"/>
      <c r="I184" s="29"/>
    </row>
    <row r="185" spans="1:9">
      <c r="A185" s="117" t="s">
        <v>1786</v>
      </c>
      <c r="B185" s="118" t="s">
        <v>1724</v>
      </c>
      <c r="C185" s="119" t="s">
        <v>29</v>
      </c>
      <c r="D185" s="117" t="s">
        <v>562</v>
      </c>
      <c r="E185" s="118" t="s">
        <v>1787</v>
      </c>
      <c r="F185" s="119" t="s">
        <v>1788</v>
      </c>
      <c r="G185" s="28"/>
      <c r="H185" s="28"/>
      <c r="I185" s="29"/>
    </row>
    <row r="186" spans="1:9">
      <c r="A186" s="114" t="s">
        <v>1789</v>
      </c>
      <c r="B186" s="113" t="s">
        <v>1728</v>
      </c>
      <c r="C186" s="114" t="s">
        <v>1786</v>
      </c>
      <c r="D186" s="113" t="s">
        <v>1790</v>
      </c>
      <c r="E186" s="113" t="s">
        <v>1790</v>
      </c>
      <c r="F186" s="114" t="s">
        <v>1791</v>
      </c>
      <c r="G186" s="28"/>
      <c r="H186" s="28"/>
      <c r="I186" s="29"/>
    </row>
    <row r="187" spans="1:9">
      <c r="A187" s="114" t="s">
        <v>1792</v>
      </c>
      <c r="B187" s="113" t="s">
        <v>1728</v>
      </c>
      <c r="C187" s="114" t="s">
        <v>1786</v>
      </c>
      <c r="D187" s="113" t="s">
        <v>1793</v>
      </c>
      <c r="E187" s="113" t="s">
        <v>1794</v>
      </c>
      <c r="F187" s="114" t="s">
        <v>1795</v>
      </c>
      <c r="G187" s="28"/>
      <c r="H187" s="28"/>
      <c r="I187" s="29"/>
    </row>
    <row r="188" spans="1:9">
      <c r="A188" s="117" t="s">
        <v>1796</v>
      </c>
      <c r="B188" s="118" t="s">
        <v>1724</v>
      </c>
      <c r="C188" s="119" t="s">
        <v>29</v>
      </c>
      <c r="D188" s="117" t="s">
        <v>1797</v>
      </c>
      <c r="E188" s="118" t="s">
        <v>1798</v>
      </c>
      <c r="F188" s="119" t="s">
        <v>1799</v>
      </c>
      <c r="G188" s="28"/>
      <c r="H188" s="28"/>
      <c r="I188" s="29"/>
    </row>
    <row r="189" spans="1:9">
      <c r="A189" s="114" t="s">
        <v>1800</v>
      </c>
      <c r="B189" s="113" t="s">
        <v>1728</v>
      </c>
      <c r="C189" s="114" t="s">
        <v>1796</v>
      </c>
      <c r="D189" s="113" t="s">
        <v>1801</v>
      </c>
      <c r="E189" s="113" t="s">
        <v>1801</v>
      </c>
      <c r="F189" s="114" t="s">
        <v>1802</v>
      </c>
      <c r="G189" s="28"/>
      <c r="H189" s="28"/>
      <c r="I189" s="29"/>
    </row>
    <row r="190" spans="1:9">
      <c r="A190" s="114" t="s">
        <v>1803</v>
      </c>
      <c r="B190" s="113" t="s">
        <v>1728</v>
      </c>
      <c r="C190" s="114" t="s">
        <v>1796</v>
      </c>
      <c r="D190" s="113" t="s">
        <v>1804</v>
      </c>
      <c r="E190" s="113" t="s">
        <v>1805</v>
      </c>
      <c r="F190" s="114" t="s">
        <v>1806</v>
      </c>
      <c r="G190" s="28"/>
      <c r="H190" s="28"/>
      <c r="I190" s="29"/>
    </row>
    <row r="191" spans="1:9">
      <c r="A191" s="117" t="s">
        <v>1807</v>
      </c>
      <c r="B191" s="118" t="s">
        <v>1724</v>
      </c>
      <c r="C191" s="119" t="s">
        <v>29</v>
      </c>
      <c r="D191" s="117" t="s">
        <v>714</v>
      </c>
      <c r="E191" s="118" t="s">
        <v>1686</v>
      </c>
      <c r="F191" s="119" t="s">
        <v>1808</v>
      </c>
      <c r="G191" s="28"/>
      <c r="H191" s="28"/>
      <c r="I191" s="29"/>
    </row>
    <row r="192" spans="1:9">
      <c r="A192" s="114" t="s">
        <v>1809</v>
      </c>
      <c r="B192" s="113" t="s">
        <v>1728</v>
      </c>
      <c r="C192" s="114" t="s">
        <v>1807</v>
      </c>
      <c r="D192" s="113" t="s">
        <v>1810</v>
      </c>
      <c r="E192" s="113" t="s">
        <v>1811</v>
      </c>
      <c r="F192" s="114" t="s">
        <v>1812</v>
      </c>
      <c r="G192" s="28"/>
      <c r="H192" s="28"/>
      <c r="I192" s="29"/>
    </row>
    <row r="193" spans="1:9">
      <c r="A193" s="114" t="s">
        <v>1813</v>
      </c>
      <c r="B193" s="113" t="s">
        <v>1728</v>
      </c>
      <c r="C193" s="114" t="s">
        <v>1807</v>
      </c>
      <c r="D193" s="113" t="s">
        <v>1695</v>
      </c>
      <c r="E193" s="113" t="s">
        <v>1696</v>
      </c>
      <c r="F193" s="114" t="s">
        <v>1814</v>
      </c>
      <c r="G193" s="28"/>
      <c r="H193" s="28"/>
      <c r="I193" s="29"/>
    </row>
    <row r="194" spans="1:9">
      <c r="A194" s="117" t="s">
        <v>1815</v>
      </c>
      <c r="B194" s="118" t="s">
        <v>1724</v>
      </c>
      <c r="C194" s="119" t="s">
        <v>29</v>
      </c>
      <c r="D194" s="117" t="s">
        <v>699</v>
      </c>
      <c r="E194" s="118" t="s">
        <v>1650</v>
      </c>
      <c r="F194" s="119" t="s">
        <v>1816</v>
      </c>
      <c r="G194" s="28"/>
      <c r="H194" s="28"/>
      <c r="I194" s="29"/>
    </row>
    <row r="195" spans="1:9">
      <c r="A195" s="114" t="s">
        <v>1817</v>
      </c>
      <c r="B195" s="113" t="s">
        <v>1728</v>
      </c>
      <c r="C195" s="114" t="s">
        <v>1815</v>
      </c>
      <c r="D195" s="113" t="s">
        <v>1818</v>
      </c>
      <c r="E195" s="113" t="s">
        <v>1819</v>
      </c>
      <c r="F195" s="114" t="s">
        <v>1820</v>
      </c>
      <c r="G195" s="28"/>
      <c r="H195" s="28"/>
      <c r="I195" s="29"/>
    </row>
    <row r="196" spans="1:9">
      <c r="A196" s="114" t="s">
        <v>1821</v>
      </c>
      <c r="B196" s="113" t="s">
        <v>1728</v>
      </c>
      <c r="C196" s="114" t="s">
        <v>1815</v>
      </c>
      <c r="D196" s="113" t="s">
        <v>1822</v>
      </c>
      <c r="E196" s="113" t="s">
        <v>1823</v>
      </c>
      <c r="F196" s="114" t="s">
        <v>1824</v>
      </c>
      <c r="G196" s="28"/>
      <c r="H196" s="28"/>
      <c r="I196" s="29"/>
    </row>
    <row r="197" spans="1:9">
      <c r="A197" s="117" t="s">
        <v>1825</v>
      </c>
      <c r="B197" s="118" t="s">
        <v>1724</v>
      </c>
      <c r="C197" s="119" t="s">
        <v>29</v>
      </c>
      <c r="D197" s="117" t="s">
        <v>1826</v>
      </c>
      <c r="E197" s="118" t="s">
        <v>1827</v>
      </c>
      <c r="F197" s="119" t="s">
        <v>1828</v>
      </c>
      <c r="G197" s="28"/>
      <c r="H197" s="28"/>
      <c r="I197" s="29"/>
    </row>
    <row r="198" spans="1:9">
      <c r="A198" s="114" t="s">
        <v>1829</v>
      </c>
      <c r="B198" s="113" t="s">
        <v>1728</v>
      </c>
      <c r="C198" s="114" t="s">
        <v>1825</v>
      </c>
      <c r="D198" s="113" t="s">
        <v>1830</v>
      </c>
      <c r="E198" s="113" t="s">
        <v>1618</v>
      </c>
      <c r="F198" s="114" t="s">
        <v>1831</v>
      </c>
      <c r="G198" s="28"/>
      <c r="H198" s="28"/>
      <c r="I198" s="29"/>
    </row>
    <row r="199" spans="1:9">
      <c r="A199" s="114" t="s">
        <v>1832</v>
      </c>
      <c r="B199" s="113" t="s">
        <v>1728</v>
      </c>
      <c r="C199" s="114" t="s">
        <v>1825</v>
      </c>
      <c r="D199" s="113" t="s">
        <v>1833</v>
      </c>
      <c r="E199" s="113" t="s">
        <v>1834</v>
      </c>
      <c r="F199" s="114" t="s">
        <v>1835</v>
      </c>
      <c r="G199" s="28"/>
      <c r="H199" s="28"/>
      <c r="I199" s="29"/>
    </row>
    <row r="200" spans="1:9">
      <c r="A200" s="117" t="s">
        <v>1836</v>
      </c>
      <c r="B200" s="118" t="s">
        <v>1724</v>
      </c>
      <c r="C200" s="119" t="s">
        <v>29</v>
      </c>
      <c r="D200" s="117" t="s">
        <v>1837</v>
      </c>
      <c r="E200" s="118" t="s">
        <v>1838</v>
      </c>
      <c r="F200" s="119" t="s">
        <v>1839</v>
      </c>
      <c r="G200" s="28"/>
      <c r="H200" s="28"/>
      <c r="I200" s="29"/>
    </row>
    <row r="201" spans="1:9">
      <c r="A201" s="114" t="s">
        <v>1840</v>
      </c>
      <c r="B201" s="113" t="s">
        <v>1728</v>
      </c>
      <c r="C201" s="114" t="s">
        <v>1836</v>
      </c>
      <c r="D201" s="113" t="s">
        <v>1841</v>
      </c>
      <c r="E201" s="113" t="s">
        <v>1842</v>
      </c>
      <c r="F201" s="114" t="s">
        <v>1843</v>
      </c>
      <c r="G201" s="28"/>
      <c r="H201" s="28"/>
      <c r="I201" s="29"/>
    </row>
    <row r="202" spans="1:9">
      <c r="A202" s="114" t="s">
        <v>1844</v>
      </c>
      <c r="B202" s="113" t="s">
        <v>1728</v>
      </c>
      <c r="C202" s="114" t="s">
        <v>1836</v>
      </c>
      <c r="D202" s="113" t="s">
        <v>1845</v>
      </c>
      <c r="E202" s="113" t="s">
        <v>1846</v>
      </c>
      <c r="F202" s="114" t="s">
        <v>1847</v>
      </c>
      <c r="G202" s="28"/>
      <c r="H202" s="28"/>
      <c r="I202" s="29"/>
    </row>
    <row r="204" ht="18" customHeight="1" spans="1:9">
      <c r="A204" s="87" t="s">
        <v>1848</v>
      </c>
    </row>
    <row r="205" ht="24" customHeight="1" spans="1:9">
      <c r="A205" s="88" t="s">
        <v>132</v>
      </c>
      <c r="B205" s="88" t="s">
        <v>155</v>
      </c>
      <c r="C205" s="88" t="s">
        <v>1849</v>
      </c>
      <c r="D205" s="88" t="s">
        <v>1850</v>
      </c>
      <c r="E205" s="88" t="s">
        <v>1851</v>
      </c>
      <c r="F205" s="88" t="s">
        <v>1852</v>
      </c>
      <c r="G205" s="88" t="s">
        <v>1853</v>
      </c>
      <c r="H205" s="88" t="s">
        <v>1854</v>
      </c>
      <c r="I205" s="88" t="s">
        <v>1855</v>
      </c>
    </row>
    <row r="206" ht="24" spans="1:9">
      <c r="A206" s="113" t="s">
        <v>134</v>
      </c>
      <c r="B206" s="112" t="s">
        <v>157</v>
      </c>
      <c r="C206" s="114" t="s">
        <v>1375</v>
      </c>
      <c r="D206" s="113" t="s">
        <v>145</v>
      </c>
      <c r="E206" s="113" t="s">
        <v>243</v>
      </c>
      <c r="F206" s="113" t="s">
        <v>1856</v>
      </c>
      <c r="G206" s="120">
        <v>100</v>
      </c>
      <c r="H206" s="121">
        <v>100</v>
      </c>
      <c r="I206" s="122">
        <v>0</v>
      </c>
    </row>
    <row r="207" ht="24" spans="1:9">
      <c r="A207" s="113" t="s">
        <v>134</v>
      </c>
      <c r="B207" s="112" t="s">
        <v>157</v>
      </c>
      <c r="C207" s="114" t="s">
        <v>1385</v>
      </c>
      <c r="D207" s="113" t="s">
        <v>1386</v>
      </c>
      <c r="E207" s="113" t="s">
        <v>243</v>
      </c>
      <c r="F207" s="113" t="s">
        <v>1856</v>
      </c>
      <c r="G207" s="120">
        <v>100</v>
      </c>
      <c r="H207" s="121">
        <v>100</v>
      </c>
      <c r="I207" s="122">
        <v>0</v>
      </c>
    </row>
    <row r="208" ht="24" spans="1:9">
      <c r="A208" s="113" t="s">
        <v>134</v>
      </c>
      <c r="B208" s="112" t="s">
        <v>157</v>
      </c>
      <c r="C208" s="114" t="s">
        <v>1365</v>
      </c>
      <c r="D208" s="113" t="s">
        <v>499</v>
      </c>
      <c r="E208" s="113" t="s">
        <v>243</v>
      </c>
      <c r="F208" s="113" t="s">
        <v>1857</v>
      </c>
      <c r="G208" s="123">
        <v>70</v>
      </c>
      <c r="H208" s="121">
        <v>100</v>
      </c>
      <c r="I208" s="122">
        <v>-30</v>
      </c>
    </row>
    <row r="209" spans="1:9">
      <c r="A209" s="113" t="s">
        <v>134</v>
      </c>
      <c r="B209" s="112" t="s">
        <v>157</v>
      </c>
      <c r="C209" s="114" t="s">
        <v>1422</v>
      </c>
      <c r="D209" s="113" t="s">
        <v>734</v>
      </c>
      <c r="E209" s="113" t="s">
        <v>546</v>
      </c>
      <c r="F209" s="113" t="s">
        <v>1858</v>
      </c>
      <c r="G209" s="120">
        <v>85</v>
      </c>
      <c r="H209" s="121">
        <v>80</v>
      </c>
      <c r="I209" s="122">
        <v>5</v>
      </c>
    </row>
    <row r="210" ht="24" spans="1:9">
      <c r="A210" s="113" t="s">
        <v>134</v>
      </c>
      <c r="B210" s="112" t="s">
        <v>157</v>
      </c>
      <c r="C210" s="114" t="s">
        <v>1400</v>
      </c>
      <c r="D210" s="113" t="s">
        <v>547</v>
      </c>
      <c r="E210" s="113" t="s">
        <v>546</v>
      </c>
      <c r="F210" s="113" t="s">
        <v>1857</v>
      </c>
      <c r="G210" s="123">
        <v>70</v>
      </c>
      <c r="H210" s="121">
        <v>80</v>
      </c>
      <c r="I210" s="122">
        <v>-10</v>
      </c>
    </row>
    <row r="211" ht="24" spans="1:9">
      <c r="A211" s="113" t="s">
        <v>134</v>
      </c>
      <c r="B211" s="112" t="s">
        <v>157</v>
      </c>
      <c r="C211" s="114" t="s">
        <v>1411</v>
      </c>
      <c r="D211" s="113" t="s">
        <v>555</v>
      </c>
      <c r="E211" s="113" t="s">
        <v>546</v>
      </c>
      <c r="F211" s="113" t="s">
        <v>1857</v>
      </c>
      <c r="G211" s="123">
        <v>70</v>
      </c>
      <c r="H211" s="121">
        <v>80</v>
      </c>
      <c r="I211" s="122">
        <v>-10</v>
      </c>
    </row>
    <row r="212" spans="1:9">
      <c r="A212" s="113" t="s">
        <v>134</v>
      </c>
      <c r="B212" s="112" t="s">
        <v>157</v>
      </c>
      <c r="C212" s="114" t="s">
        <v>1458</v>
      </c>
      <c r="D212" s="113" t="s">
        <v>1459</v>
      </c>
      <c r="E212" s="113" t="s">
        <v>562</v>
      </c>
      <c r="F212" s="113" t="s">
        <v>1858</v>
      </c>
      <c r="G212" s="120">
        <v>85</v>
      </c>
      <c r="H212" s="121">
        <v>80</v>
      </c>
      <c r="I212" s="122">
        <v>5</v>
      </c>
    </row>
    <row r="213" ht="24" spans="1:9">
      <c r="A213" s="113" t="s">
        <v>134</v>
      </c>
      <c r="B213" s="112" t="s">
        <v>157</v>
      </c>
      <c r="C213" s="114" t="s">
        <v>1436</v>
      </c>
      <c r="D213" s="113" t="s">
        <v>563</v>
      </c>
      <c r="E213" s="113" t="s">
        <v>562</v>
      </c>
      <c r="F213" s="113" t="s">
        <v>1857</v>
      </c>
      <c r="G213" s="123">
        <v>70</v>
      </c>
      <c r="H213" s="121">
        <v>80</v>
      </c>
      <c r="I213" s="122">
        <v>-10</v>
      </c>
    </row>
    <row r="214" ht="24" spans="1:9">
      <c r="A214" s="113" t="s">
        <v>134</v>
      </c>
      <c r="B214" s="112" t="s">
        <v>157</v>
      </c>
      <c r="C214" s="114" t="s">
        <v>1447</v>
      </c>
      <c r="D214" s="113" t="s">
        <v>572</v>
      </c>
      <c r="E214" s="113" t="s">
        <v>562</v>
      </c>
      <c r="F214" s="113" t="s">
        <v>1857</v>
      </c>
      <c r="G214" s="123">
        <v>70</v>
      </c>
      <c r="H214" s="121">
        <v>80</v>
      </c>
      <c r="I214" s="122">
        <v>-10</v>
      </c>
    </row>
    <row r="215" ht="24" spans="1:9">
      <c r="A215" s="113" t="s">
        <v>134</v>
      </c>
      <c r="B215" s="112" t="s">
        <v>1732</v>
      </c>
      <c r="C215" s="114" t="s">
        <v>1365</v>
      </c>
      <c r="D215" s="113" t="s">
        <v>499</v>
      </c>
      <c r="E215" s="113" t="s">
        <v>243</v>
      </c>
      <c r="F215" s="113" t="s">
        <v>1856</v>
      </c>
      <c r="G215" s="120">
        <v>100</v>
      </c>
      <c r="H215" s="121">
        <v>100</v>
      </c>
      <c r="I215" s="122">
        <v>0</v>
      </c>
    </row>
    <row r="216" ht="24" spans="1:9">
      <c r="A216" s="113" t="s">
        <v>134</v>
      </c>
      <c r="B216" s="112" t="s">
        <v>1732</v>
      </c>
      <c r="C216" s="114" t="s">
        <v>1385</v>
      </c>
      <c r="D216" s="113" t="s">
        <v>1386</v>
      </c>
      <c r="E216" s="113" t="s">
        <v>243</v>
      </c>
      <c r="F216" s="113" t="s">
        <v>1856</v>
      </c>
      <c r="G216" s="120">
        <v>100</v>
      </c>
      <c r="H216" s="121">
        <v>100</v>
      </c>
      <c r="I216" s="122">
        <v>0</v>
      </c>
    </row>
    <row r="217" ht="24" spans="1:9">
      <c r="A217" s="113" t="s">
        <v>134</v>
      </c>
      <c r="B217" s="112" t="s">
        <v>1732</v>
      </c>
      <c r="C217" s="114" t="s">
        <v>1375</v>
      </c>
      <c r="D217" s="113" t="s">
        <v>145</v>
      </c>
      <c r="E217" s="113" t="s">
        <v>243</v>
      </c>
      <c r="F217" s="113" t="s">
        <v>1857</v>
      </c>
      <c r="G217" s="123">
        <v>70</v>
      </c>
      <c r="H217" s="121">
        <v>100</v>
      </c>
      <c r="I217" s="122">
        <v>-30</v>
      </c>
    </row>
    <row r="218" spans="1:9">
      <c r="A218" s="113" t="s">
        <v>134</v>
      </c>
      <c r="B218" s="112" t="s">
        <v>1732</v>
      </c>
      <c r="C218" s="114" t="s">
        <v>1473</v>
      </c>
      <c r="D218" s="113" t="s">
        <v>614</v>
      </c>
      <c r="E218" s="113" t="s">
        <v>613</v>
      </c>
      <c r="F218" s="113" t="s">
        <v>1858</v>
      </c>
      <c r="G218" s="120">
        <v>85</v>
      </c>
      <c r="H218" s="121">
        <v>60</v>
      </c>
      <c r="I218" s="122">
        <v>25</v>
      </c>
    </row>
    <row r="219" spans="1:9">
      <c r="A219" s="113" t="s">
        <v>134</v>
      </c>
      <c r="B219" s="112" t="s">
        <v>1732</v>
      </c>
      <c r="C219" s="114" t="s">
        <v>1484</v>
      </c>
      <c r="D219" s="113" t="s">
        <v>622</v>
      </c>
      <c r="E219" s="113" t="s">
        <v>613</v>
      </c>
      <c r="F219" s="113" t="s">
        <v>1858</v>
      </c>
      <c r="G219" s="120">
        <v>85</v>
      </c>
      <c r="H219" s="121">
        <v>60</v>
      </c>
      <c r="I219" s="122">
        <v>25</v>
      </c>
    </row>
    <row r="220" ht="24" spans="1:9">
      <c r="A220" s="113" t="s">
        <v>134</v>
      </c>
      <c r="B220" s="112" t="s">
        <v>1732</v>
      </c>
      <c r="C220" s="114" t="s">
        <v>1495</v>
      </c>
      <c r="D220" s="113" t="s">
        <v>1496</v>
      </c>
      <c r="E220" s="113" t="s">
        <v>613</v>
      </c>
      <c r="F220" s="113" t="s">
        <v>1857</v>
      </c>
      <c r="G220" s="123">
        <v>60</v>
      </c>
      <c r="H220" s="121">
        <v>60</v>
      </c>
      <c r="I220" s="122">
        <v>0</v>
      </c>
    </row>
    <row r="221" spans="1:9">
      <c r="A221" s="113" t="s">
        <v>134</v>
      </c>
      <c r="B221" s="112" t="s">
        <v>1732</v>
      </c>
      <c r="C221" s="114" t="s">
        <v>1617</v>
      </c>
      <c r="D221" s="113" t="s">
        <v>682</v>
      </c>
      <c r="E221" s="113" t="s">
        <v>681</v>
      </c>
      <c r="F221" s="113" t="s">
        <v>1858</v>
      </c>
      <c r="G221" s="120">
        <v>85</v>
      </c>
      <c r="H221" s="121">
        <v>60</v>
      </c>
      <c r="I221" s="122">
        <v>25</v>
      </c>
    </row>
    <row r="222" ht="24" spans="1:9">
      <c r="A222" s="113" t="s">
        <v>134</v>
      </c>
      <c r="B222" s="112" t="s">
        <v>1732</v>
      </c>
      <c r="C222" s="114" t="s">
        <v>1627</v>
      </c>
      <c r="D222" s="113" t="s">
        <v>689</v>
      </c>
      <c r="E222" s="113" t="s">
        <v>681</v>
      </c>
      <c r="F222" s="113" t="s">
        <v>1857</v>
      </c>
      <c r="G222" s="123">
        <v>60</v>
      </c>
      <c r="H222" s="121">
        <v>60</v>
      </c>
      <c r="I222" s="122">
        <v>0</v>
      </c>
    </row>
    <row r="223" ht="24" spans="1:9">
      <c r="A223" s="113" t="s">
        <v>134</v>
      </c>
      <c r="B223" s="112" t="s">
        <v>1732</v>
      </c>
      <c r="C223" s="114" t="s">
        <v>1638</v>
      </c>
      <c r="D223" s="113" t="s">
        <v>1639</v>
      </c>
      <c r="E223" s="113" t="s">
        <v>681</v>
      </c>
      <c r="F223" s="113" t="s">
        <v>1857</v>
      </c>
      <c r="G223" s="123">
        <v>60</v>
      </c>
      <c r="H223" s="121">
        <v>60</v>
      </c>
      <c r="I223" s="122">
        <v>0</v>
      </c>
    </row>
    <row r="224" ht="24" spans="1:9">
      <c r="A224" s="113" t="s">
        <v>135</v>
      </c>
      <c r="B224" s="112" t="s">
        <v>1739</v>
      </c>
      <c r="C224" s="114" t="s">
        <v>1212</v>
      </c>
      <c r="D224" s="113" t="s">
        <v>146</v>
      </c>
      <c r="E224" s="113" t="s">
        <v>244</v>
      </c>
      <c r="F224" s="113" t="s">
        <v>1856</v>
      </c>
      <c r="G224" s="120">
        <v>100</v>
      </c>
      <c r="H224" s="121">
        <v>100</v>
      </c>
      <c r="I224" s="122">
        <v>0</v>
      </c>
    </row>
    <row r="225" ht="24" spans="1:9">
      <c r="A225" s="113" t="s">
        <v>135</v>
      </c>
      <c r="B225" s="112" t="s">
        <v>1739</v>
      </c>
      <c r="C225" s="114" t="s">
        <v>1227</v>
      </c>
      <c r="D225" s="113" t="s">
        <v>522</v>
      </c>
      <c r="E225" s="113" t="s">
        <v>244</v>
      </c>
      <c r="F225" s="113" t="s">
        <v>1856</v>
      </c>
      <c r="G225" s="120">
        <v>100</v>
      </c>
      <c r="H225" s="121">
        <v>100</v>
      </c>
      <c r="I225" s="122">
        <v>0</v>
      </c>
    </row>
    <row r="226" ht="24" spans="1:9">
      <c r="A226" s="113" t="s">
        <v>135</v>
      </c>
      <c r="B226" s="112" t="s">
        <v>1739</v>
      </c>
      <c r="C226" s="114" t="s">
        <v>1242</v>
      </c>
      <c r="D226" s="113" t="s">
        <v>1243</v>
      </c>
      <c r="E226" s="113" t="s">
        <v>244</v>
      </c>
      <c r="F226" s="113" t="s">
        <v>1857</v>
      </c>
      <c r="G226" s="123">
        <v>70</v>
      </c>
      <c r="H226" s="121">
        <v>100</v>
      </c>
      <c r="I226" s="122">
        <v>-30</v>
      </c>
    </row>
    <row r="227" spans="1:9">
      <c r="A227" s="113" t="s">
        <v>135</v>
      </c>
      <c r="B227" s="112" t="s">
        <v>1739</v>
      </c>
      <c r="C227" s="114" t="s">
        <v>1329</v>
      </c>
      <c r="D227" s="113" t="s">
        <v>588</v>
      </c>
      <c r="E227" s="113" t="s">
        <v>579</v>
      </c>
      <c r="F227" s="113" t="s">
        <v>1858</v>
      </c>
      <c r="G227" s="120">
        <v>85</v>
      </c>
      <c r="H227" s="121">
        <v>60</v>
      </c>
      <c r="I227" s="122">
        <v>25</v>
      </c>
    </row>
    <row r="228" ht="24" spans="1:9">
      <c r="A228" s="113" t="s">
        <v>135</v>
      </c>
      <c r="B228" s="112" t="s">
        <v>1739</v>
      </c>
      <c r="C228" s="114" t="s">
        <v>1339</v>
      </c>
      <c r="D228" s="113" t="s">
        <v>580</v>
      </c>
      <c r="E228" s="113" t="s">
        <v>579</v>
      </c>
      <c r="F228" s="113" t="s">
        <v>1857</v>
      </c>
      <c r="G228" s="123">
        <v>60</v>
      </c>
      <c r="H228" s="121">
        <v>60</v>
      </c>
      <c r="I228" s="122">
        <v>0</v>
      </c>
    </row>
    <row r="229" ht="24" spans="1:9">
      <c r="A229" s="113" t="s">
        <v>135</v>
      </c>
      <c r="B229" s="112" t="s">
        <v>1739</v>
      </c>
      <c r="C229" s="114" t="s">
        <v>1350</v>
      </c>
      <c r="D229" s="113" t="s">
        <v>1351</v>
      </c>
      <c r="E229" s="113" t="s">
        <v>579</v>
      </c>
      <c r="F229" s="113" t="s">
        <v>1857</v>
      </c>
      <c r="G229" s="123">
        <v>60</v>
      </c>
      <c r="H229" s="121">
        <v>60</v>
      </c>
      <c r="I229" s="122">
        <v>0</v>
      </c>
    </row>
    <row r="230" spans="1:9">
      <c r="A230" s="113" t="s">
        <v>135</v>
      </c>
      <c r="B230" s="112" t="s">
        <v>1739</v>
      </c>
      <c r="C230" s="114" t="s">
        <v>1495</v>
      </c>
      <c r="D230" s="113" t="s">
        <v>1496</v>
      </c>
      <c r="E230" s="113" t="s">
        <v>613</v>
      </c>
      <c r="F230" s="113" t="s">
        <v>1858</v>
      </c>
      <c r="G230" s="120">
        <v>85</v>
      </c>
      <c r="H230" s="121">
        <v>80</v>
      </c>
      <c r="I230" s="122">
        <v>5</v>
      </c>
    </row>
    <row r="231" ht="24" spans="1:9">
      <c r="A231" s="113" t="s">
        <v>135</v>
      </c>
      <c r="B231" s="112" t="s">
        <v>1739</v>
      </c>
      <c r="C231" s="114" t="s">
        <v>1473</v>
      </c>
      <c r="D231" s="113" t="s">
        <v>614</v>
      </c>
      <c r="E231" s="113" t="s">
        <v>613</v>
      </c>
      <c r="F231" s="113" t="s">
        <v>1857</v>
      </c>
      <c r="G231" s="123">
        <v>70</v>
      </c>
      <c r="H231" s="121">
        <v>80</v>
      </c>
      <c r="I231" s="122">
        <v>-10</v>
      </c>
    </row>
    <row r="232" ht="24" spans="1:9">
      <c r="A232" s="113" t="s">
        <v>135</v>
      </c>
      <c r="B232" s="112" t="s">
        <v>1739</v>
      </c>
      <c r="C232" s="114" t="s">
        <v>1484</v>
      </c>
      <c r="D232" s="113" t="s">
        <v>622</v>
      </c>
      <c r="E232" s="113" t="s">
        <v>613</v>
      </c>
      <c r="F232" s="113" t="s">
        <v>1857</v>
      </c>
      <c r="G232" s="123">
        <v>70</v>
      </c>
      <c r="H232" s="121">
        <v>80</v>
      </c>
      <c r="I232" s="122">
        <v>-10</v>
      </c>
    </row>
    <row r="233" ht="24" spans="1:9">
      <c r="A233" s="113" t="s">
        <v>135</v>
      </c>
      <c r="B233" s="112" t="s">
        <v>158</v>
      </c>
      <c r="C233" s="114" t="s">
        <v>1212</v>
      </c>
      <c r="D233" s="113" t="s">
        <v>146</v>
      </c>
      <c r="E233" s="113" t="s">
        <v>244</v>
      </c>
      <c r="F233" s="113" t="s">
        <v>1856</v>
      </c>
      <c r="G233" s="120">
        <v>100</v>
      </c>
      <c r="H233" s="121">
        <v>100</v>
      </c>
      <c r="I233" s="122">
        <v>0</v>
      </c>
    </row>
    <row r="234" spans="1:9">
      <c r="A234" s="113" t="s">
        <v>135</v>
      </c>
      <c r="B234" s="112" t="s">
        <v>158</v>
      </c>
      <c r="C234" s="114" t="s">
        <v>1242</v>
      </c>
      <c r="D234" s="113" t="s">
        <v>1243</v>
      </c>
      <c r="E234" s="113" t="s">
        <v>244</v>
      </c>
      <c r="F234" s="113" t="s">
        <v>1858</v>
      </c>
      <c r="G234" s="120">
        <v>85</v>
      </c>
      <c r="H234" s="121">
        <v>100</v>
      </c>
      <c r="I234" s="122">
        <v>-15</v>
      </c>
    </row>
    <row r="235" ht="24" spans="1:9">
      <c r="A235" s="113" t="s">
        <v>135</v>
      </c>
      <c r="B235" s="112" t="s">
        <v>158</v>
      </c>
      <c r="C235" s="114" t="s">
        <v>1227</v>
      </c>
      <c r="D235" s="113" t="s">
        <v>522</v>
      </c>
      <c r="E235" s="113" t="s">
        <v>244</v>
      </c>
      <c r="F235" s="113" t="s">
        <v>1857</v>
      </c>
      <c r="G235" s="123">
        <v>70</v>
      </c>
      <c r="H235" s="121">
        <v>100</v>
      </c>
      <c r="I235" s="122">
        <v>-30</v>
      </c>
    </row>
    <row r="236" spans="1:9">
      <c r="A236" s="113" t="s">
        <v>135</v>
      </c>
      <c r="B236" s="112" t="s">
        <v>158</v>
      </c>
      <c r="C236" s="114" t="s">
        <v>1543</v>
      </c>
      <c r="D236" s="113" t="s">
        <v>648</v>
      </c>
      <c r="E236" s="113" t="s">
        <v>647</v>
      </c>
      <c r="F236" s="113" t="s">
        <v>1858</v>
      </c>
      <c r="G236" s="120">
        <v>85</v>
      </c>
      <c r="H236" s="121">
        <v>40</v>
      </c>
      <c r="I236" s="122">
        <v>45</v>
      </c>
    </row>
    <row r="237" ht="24" spans="1:9">
      <c r="A237" s="113" t="s">
        <v>135</v>
      </c>
      <c r="B237" s="112" t="s">
        <v>158</v>
      </c>
      <c r="C237" s="114" t="s">
        <v>1554</v>
      </c>
      <c r="D237" s="113" t="s">
        <v>656</v>
      </c>
      <c r="E237" s="113" t="s">
        <v>647</v>
      </c>
      <c r="F237" s="113" t="s">
        <v>1857</v>
      </c>
      <c r="G237" s="123">
        <v>40</v>
      </c>
      <c r="H237" s="121">
        <v>40</v>
      </c>
      <c r="I237" s="122">
        <v>0</v>
      </c>
    </row>
    <row r="238" ht="24" spans="1:9">
      <c r="A238" s="113" t="s">
        <v>135</v>
      </c>
      <c r="B238" s="112" t="s">
        <v>158</v>
      </c>
      <c r="C238" s="114" t="s">
        <v>1565</v>
      </c>
      <c r="D238" s="113" t="s">
        <v>1566</v>
      </c>
      <c r="E238" s="113" t="s">
        <v>647</v>
      </c>
      <c r="F238" s="113" t="s">
        <v>1857</v>
      </c>
      <c r="G238" s="123">
        <v>40</v>
      </c>
      <c r="H238" s="121">
        <v>40</v>
      </c>
      <c r="I238" s="122">
        <v>0</v>
      </c>
    </row>
    <row r="239" ht="24" spans="1:9">
      <c r="A239" s="113" t="s">
        <v>136</v>
      </c>
      <c r="B239" s="112" t="s">
        <v>1748</v>
      </c>
      <c r="C239" s="114" t="s">
        <v>1291</v>
      </c>
      <c r="D239" s="113" t="s">
        <v>249</v>
      </c>
      <c r="E239" s="113" t="s">
        <v>245</v>
      </c>
      <c r="F239" s="113" t="s">
        <v>1856</v>
      </c>
      <c r="G239" s="120">
        <v>100</v>
      </c>
      <c r="H239" s="121">
        <v>100</v>
      </c>
      <c r="I239" s="122">
        <v>0</v>
      </c>
    </row>
    <row r="240" ht="24" spans="1:9">
      <c r="A240" s="113" t="s">
        <v>136</v>
      </c>
      <c r="B240" s="112" t="s">
        <v>1748</v>
      </c>
      <c r="C240" s="114" t="s">
        <v>1316</v>
      </c>
      <c r="D240" s="113" t="s">
        <v>147</v>
      </c>
      <c r="E240" s="113" t="s">
        <v>245</v>
      </c>
      <c r="F240" s="113" t="s">
        <v>1856</v>
      </c>
      <c r="G240" s="120">
        <v>100</v>
      </c>
      <c r="H240" s="121">
        <v>100</v>
      </c>
      <c r="I240" s="122">
        <v>0</v>
      </c>
    </row>
    <row r="241" ht="24" spans="1:9">
      <c r="A241" s="113" t="s">
        <v>136</v>
      </c>
      <c r="B241" s="112" t="s">
        <v>1748</v>
      </c>
      <c r="C241" s="114" t="s">
        <v>1305</v>
      </c>
      <c r="D241" s="113" t="s">
        <v>538</v>
      </c>
      <c r="E241" s="113" t="s">
        <v>245</v>
      </c>
      <c r="F241" s="113" t="s">
        <v>1857</v>
      </c>
      <c r="G241" s="123">
        <v>70</v>
      </c>
      <c r="H241" s="121">
        <v>100</v>
      </c>
      <c r="I241" s="122">
        <v>-30</v>
      </c>
    </row>
    <row r="242" spans="1:9">
      <c r="A242" s="113" t="s">
        <v>136</v>
      </c>
      <c r="B242" s="112" t="s">
        <v>1748</v>
      </c>
      <c r="C242" s="114" t="s">
        <v>1473</v>
      </c>
      <c r="D242" s="113" t="s">
        <v>614</v>
      </c>
      <c r="E242" s="113" t="s">
        <v>613</v>
      </c>
      <c r="F242" s="113" t="s">
        <v>1858</v>
      </c>
      <c r="G242" s="120">
        <v>85</v>
      </c>
      <c r="H242" s="121">
        <v>80</v>
      </c>
      <c r="I242" s="122">
        <v>5</v>
      </c>
    </row>
    <row r="243" ht="24" spans="1:9">
      <c r="A243" s="113" t="s">
        <v>136</v>
      </c>
      <c r="B243" s="112" t="s">
        <v>1748</v>
      </c>
      <c r="C243" s="114" t="s">
        <v>1484</v>
      </c>
      <c r="D243" s="113" t="s">
        <v>622</v>
      </c>
      <c r="E243" s="113" t="s">
        <v>613</v>
      </c>
      <c r="F243" s="113" t="s">
        <v>1857</v>
      </c>
      <c r="G243" s="123">
        <v>70</v>
      </c>
      <c r="H243" s="121">
        <v>80</v>
      </c>
      <c r="I243" s="122">
        <v>-10</v>
      </c>
    </row>
    <row r="244" ht="24" spans="1:9">
      <c r="A244" s="113" t="s">
        <v>136</v>
      </c>
      <c r="B244" s="112" t="s">
        <v>1748</v>
      </c>
      <c r="C244" s="114" t="s">
        <v>1495</v>
      </c>
      <c r="D244" s="113" t="s">
        <v>1496</v>
      </c>
      <c r="E244" s="113" t="s">
        <v>613</v>
      </c>
      <c r="F244" s="113" t="s">
        <v>1857</v>
      </c>
      <c r="G244" s="123">
        <v>70</v>
      </c>
      <c r="H244" s="121">
        <v>80</v>
      </c>
      <c r="I244" s="122">
        <v>-10</v>
      </c>
    </row>
    <row r="245" spans="1:9">
      <c r="A245" s="113" t="s">
        <v>136</v>
      </c>
      <c r="B245" s="112" t="s">
        <v>1748</v>
      </c>
      <c r="C245" s="114" t="s">
        <v>1509</v>
      </c>
      <c r="D245" s="113" t="s">
        <v>631</v>
      </c>
      <c r="E245" s="113" t="s">
        <v>630</v>
      </c>
      <c r="F245" s="113" t="s">
        <v>1858</v>
      </c>
      <c r="G245" s="120">
        <v>85</v>
      </c>
      <c r="H245" s="121">
        <v>80</v>
      </c>
      <c r="I245" s="122">
        <v>5</v>
      </c>
    </row>
    <row r="246" ht="24" spans="1:9">
      <c r="A246" s="113" t="s">
        <v>136</v>
      </c>
      <c r="B246" s="112" t="s">
        <v>1748</v>
      </c>
      <c r="C246" s="114" t="s">
        <v>1520</v>
      </c>
      <c r="D246" s="113" t="s">
        <v>639</v>
      </c>
      <c r="E246" s="113" t="s">
        <v>630</v>
      </c>
      <c r="F246" s="113" t="s">
        <v>1857</v>
      </c>
      <c r="G246" s="123">
        <v>70</v>
      </c>
      <c r="H246" s="121">
        <v>80</v>
      </c>
      <c r="I246" s="122">
        <v>-10</v>
      </c>
    </row>
    <row r="247" ht="24" spans="1:9">
      <c r="A247" s="113" t="s">
        <v>136</v>
      </c>
      <c r="B247" s="112" t="s">
        <v>1748</v>
      </c>
      <c r="C247" s="114" t="s">
        <v>1529</v>
      </c>
      <c r="D247" s="113" t="s">
        <v>1530</v>
      </c>
      <c r="E247" s="113" t="s">
        <v>630</v>
      </c>
      <c r="F247" s="113" t="s">
        <v>1857</v>
      </c>
      <c r="G247" s="123">
        <v>70</v>
      </c>
      <c r="H247" s="121">
        <v>80</v>
      </c>
      <c r="I247" s="122">
        <v>-10</v>
      </c>
    </row>
    <row r="248" ht="24" spans="1:9">
      <c r="A248" s="113" t="s">
        <v>136</v>
      </c>
      <c r="B248" s="112" t="s">
        <v>159</v>
      </c>
      <c r="C248" s="114" t="s">
        <v>1316</v>
      </c>
      <c r="D248" s="113" t="s">
        <v>147</v>
      </c>
      <c r="E248" s="113" t="s">
        <v>245</v>
      </c>
      <c r="F248" s="113" t="s">
        <v>1856</v>
      </c>
      <c r="G248" s="120">
        <v>100</v>
      </c>
      <c r="H248" s="121">
        <v>100</v>
      </c>
      <c r="I248" s="122">
        <v>0</v>
      </c>
    </row>
    <row r="249" spans="1:9">
      <c r="A249" s="113" t="s">
        <v>136</v>
      </c>
      <c r="B249" s="112" t="s">
        <v>159</v>
      </c>
      <c r="C249" s="114" t="s">
        <v>1291</v>
      </c>
      <c r="D249" s="113" t="s">
        <v>249</v>
      </c>
      <c r="E249" s="113" t="s">
        <v>245</v>
      </c>
      <c r="F249" s="113" t="s">
        <v>1858</v>
      </c>
      <c r="G249" s="120">
        <v>85</v>
      </c>
      <c r="H249" s="121">
        <v>100</v>
      </c>
      <c r="I249" s="122">
        <v>-15</v>
      </c>
    </row>
    <row r="250" ht="24" spans="1:9">
      <c r="A250" s="113" t="s">
        <v>136</v>
      </c>
      <c r="B250" s="112" t="s">
        <v>159</v>
      </c>
      <c r="C250" s="114" t="s">
        <v>1305</v>
      </c>
      <c r="D250" s="113" t="s">
        <v>538</v>
      </c>
      <c r="E250" s="113" t="s">
        <v>245</v>
      </c>
      <c r="F250" s="113" t="s">
        <v>1857</v>
      </c>
      <c r="G250" s="123">
        <v>70</v>
      </c>
      <c r="H250" s="121">
        <v>100</v>
      </c>
      <c r="I250" s="122">
        <v>-30</v>
      </c>
    </row>
    <row r="251" spans="1:9">
      <c r="A251" s="113" t="s">
        <v>136</v>
      </c>
      <c r="B251" s="112" t="s">
        <v>159</v>
      </c>
      <c r="C251" s="114" t="s">
        <v>1339</v>
      </c>
      <c r="D251" s="113" t="s">
        <v>580</v>
      </c>
      <c r="E251" s="113" t="s">
        <v>579</v>
      </c>
      <c r="F251" s="113" t="s">
        <v>1858</v>
      </c>
      <c r="G251" s="120">
        <v>85</v>
      </c>
      <c r="H251" s="121">
        <v>60</v>
      </c>
      <c r="I251" s="122">
        <v>25</v>
      </c>
    </row>
    <row r="252" spans="1:9">
      <c r="A252" s="113" t="s">
        <v>136</v>
      </c>
      <c r="B252" s="112" t="s">
        <v>159</v>
      </c>
      <c r="C252" s="114" t="s">
        <v>1350</v>
      </c>
      <c r="D252" s="113" t="s">
        <v>1351</v>
      </c>
      <c r="E252" s="113" t="s">
        <v>579</v>
      </c>
      <c r="F252" s="113" t="s">
        <v>1858</v>
      </c>
      <c r="G252" s="120">
        <v>85</v>
      </c>
      <c r="H252" s="121">
        <v>60</v>
      </c>
      <c r="I252" s="122">
        <v>25</v>
      </c>
    </row>
    <row r="253" ht="24" spans="1:9">
      <c r="A253" s="113" t="s">
        <v>136</v>
      </c>
      <c r="B253" s="112" t="s">
        <v>159</v>
      </c>
      <c r="C253" s="114" t="s">
        <v>1329</v>
      </c>
      <c r="D253" s="113" t="s">
        <v>588</v>
      </c>
      <c r="E253" s="113" t="s">
        <v>579</v>
      </c>
      <c r="F253" s="113" t="s">
        <v>1857</v>
      </c>
      <c r="G253" s="123">
        <v>60</v>
      </c>
      <c r="H253" s="121">
        <v>60</v>
      </c>
      <c r="I253" s="122">
        <v>0</v>
      </c>
    </row>
    <row r="254" spans="1:9">
      <c r="A254" s="113" t="s">
        <v>1755</v>
      </c>
      <c r="B254" s="112" t="s">
        <v>1759</v>
      </c>
      <c r="C254" s="114" t="s">
        <v>1227</v>
      </c>
      <c r="D254" s="113" t="s">
        <v>522</v>
      </c>
      <c r="E254" s="113" t="s">
        <v>244</v>
      </c>
      <c r="F254" s="113" t="s">
        <v>1858</v>
      </c>
      <c r="G254" s="120">
        <v>85</v>
      </c>
      <c r="H254" s="121">
        <v>80</v>
      </c>
      <c r="I254" s="122">
        <v>5</v>
      </c>
    </row>
    <row r="255" ht="24" spans="1:9">
      <c r="A255" s="113" t="s">
        <v>1755</v>
      </c>
      <c r="B255" s="112" t="s">
        <v>1759</v>
      </c>
      <c r="C255" s="114" t="s">
        <v>1212</v>
      </c>
      <c r="D255" s="113" t="s">
        <v>146</v>
      </c>
      <c r="E255" s="113" t="s">
        <v>244</v>
      </c>
      <c r="F255" s="113" t="s">
        <v>1857</v>
      </c>
      <c r="G255" s="123">
        <v>70</v>
      </c>
      <c r="H255" s="121">
        <v>80</v>
      </c>
      <c r="I255" s="122">
        <v>-10</v>
      </c>
    </row>
    <row r="256" ht="24" spans="1:9">
      <c r="A256" s="113" t="s">
        <v>1755</v>
      </c>
      <c r="B256" s="112" t="s">
        <v>1759</v>
      </c>
      <c r="C256" s="114" t="s">
        <v>1242</v>
      </c>
      <c r="D256" s="113" t="s">
        <v>1243</v>
      </c>
      <c r="E256" s="113" t="s">
        <v>244</v>
      </c>
      <c r="F256" s="113" t="s">
        <v>1857</v>
      </c>
      <c r="G256" s="123">
        <v>70</v>
      </c>
      <c r="H256" s="121">
        <v>80</v>
      </c>
      <c r="I256" s="122">
        <v>-10</v>
      </c>
    </row>
    <row r="257" ht="24" spans="1:9">
      <c r="A257" s="113" t="s">
        <v>1755</v>
      </c>
      <c r="B257" s="112" t="s">
        <v>1759</v>
      </c>
      <c r="C257" s="114" t="s">
        <v>1265</v>
      </c>
      <c r="D257" s="113" t="s">
        <v>606</v>
      </c>
      <c r="E257" s="113" t="s">
        <v>597</v>
      </c>
      <c r="F257" s="113" t="s">
        <v>1856</v>
      </c>
      <c r="G257" s="120">
        <v>100</v>
      </c>
      <c r="H257" s="121">
        <v>100</v>
      </c>
      <c r="I257" s="122">
        <v>0</v>
      </c>
    </row>
    <row r="258" spans="1:9">
      <c r="A258" s="113" t="s">
        <v>1755</v>
      </c>
      <c r="B258" s="112" t="s">
        <v>1759</v>
      </c>
      <c r="C258" s="114" t="s">
        <v>1276</v>
      </c>
      <c r="D258" s="113" t="s">
        <v>1277</v>
      </c>
      <c r="E258" s="113" t="s">
        <v>597</v>
      </c>
      <c r="F258" s="113" t="s">
        <v>1858</v>
      </c>
      <c r="G258" s="120">
        <v>85</v>
      </c>
      <c r="H258" s="121">
        <v>100</v>
      </c>
      <c r="I258" s="122">
        <v>-15</v>
      </c>
    </row>
    <row r="259" ht="24" spans="1:9">
      <c r="A259" s="113" t="s">
        <v>1755</v>
      </c>
      <c r="B259" s="112" t="s">
        <v>1759</v>
      </c>
      <c r="C259" s="114" t="s">
        <v>1256</v>
      </c>
      <c r="D259" s="113" t="s">
        <v>598</v>
      </c>
      <c r="E259" s="113" t="s">
        <v>597</v>
      </c>
      <c r="F259" s="113" t="s">
        <v>1857</v>
      </c>
      <c r="G259" s="123">
        <v>70</v>
      </c>
      <c r="H259" s="121">
        <v>100</v>
      </c>
      <c r="I259" s="122">
        <v>-30</v>
      </c>
    </row>
    <row r="260" spans="1:9">
      <c r="A260" s="113" t="s">
        <v>1755</v>
      </c>
      <c r="B260" s="112" t="s">
        <v>1759</v>
      </c>
      <c r="C260" s="114" t="s">
        <v>1543</v>
      </c>
      <c r="D260" s="113" t="s">
        <v>648</v>
      </c>
      <c r="E260" s="113" t="s">
        <v>647</v>
      </c>
      <c r="F260" s="113" t="s">
        <v>1858</v>
      </c>
      <c r="G260" s="120">
        <v>85</v>
      </c>
      <c r="H260" s="121">
        <v>40</v>
      </c>
      <c r="I260" s="122">
        <v>45</v>
      </c>
    </row>
    <row r="261" ht="24" spans="1:9">
      <c r="A261" s="113" t="s">
        <v>1755</v>
      </c>
      <c r="B261" s="112" t="s">
        <v>1759</v>
      </c>
      <c r="C261" s="114" t="s">
        <v>1554</v>
      </c>
      <c r="D261" s="113" t="s">
        <v>656</v>
      </c>
      <c r="E261" s="113" t="s">
        <v>647</v>
      </c>
      <c r="F261" s="113" t="s">
        <v>1857</v>
      </c>
      <c r="G261" s="123">
        <v>40</v>
      </c>
      <c r="H261" s="121">
        <v>40</v>
      </c>
      <c r="I261" s="122">
        <v>0</v>
      </c>
    </row>
    <row r="262" ht="24" spans="1:9">
      <c r="A262" s="113" t="s">
        <v>1755</v>
      </c>
      <c r="B262" s="112" t="s">
        <v>1759</v>
      </c>
      <c r="C262" s="114" t="s">
        <v>1565</v>
      </c>
      <c r="D262" s="113" t="s">
        <v>1566</v>
      </c>
      <c r="E262" s="113" t="s">
        <v>647</v>
      </c>
      <c r="F262" s="113" t="s">
        <v>1857</v>
      </c>
      <c r="G262" s="123">
        <v>40</v>
      </c>
      <c r="H262" s="121">
        <v>40</v>
      </c>
      <c r="I262" s="122">
        <v>0</v>
      </c>
    </row>
    <row r="263" ht="24" spans="1:9">
      <c r="A263" s="113" t="s">
        <v>1755</v>
      </c>
      <c r="B263" s="112" t="s">
        <v>1763</v>
      </c>
      <c r="C263" s="114" t="s">
        <v>1256</v>
      </c>
      <c r="D263" s="113" t="s">
        <v>598</v>
      </c>
      <c r="E263" s="113" t="s">
        <v>597</v>
      </c>
      <c r="F263" s="113" t="s">
        <v>1856</v>
      </c>
      <c r="G263" s="120">
        <v>100</v>
      </c>
      <c r="H263" s="121">
        <v>100</v>
      </c>
      <c r="I263" s="122">
        <v>0</v>
      </c>
    </row>
    <row r="264" ht="24" spans="1:9">
      <c r="A264" s="113" t="s">
        <v>1755</v>
      </c>
      <c r="B264" s="112" t="s">
        <v>1763</v>
      </c>
      <c r="C264" s="114" t="s">
        <v>1265</v>
      </c>
      <c r="D264" s="113" t="s">
        <v>606</v>
      </c>
      <c r="E264" s="113" t="s">
        <v>597</v>
      </c>
      <c r="F264" s="113" t="s">
        <v>1857</v>
      </c>
      <c r="G264" s="123">
        <v>70</v>
      </c>
      <c r="H264" s="121">
        <v>100</v>
      </c>
      <c r="I264" s="122">
        <v>-30</v>
      </c>
    </row>
    <row r="265" ht="24" spans="1:9">
      <c r="A265" s="113" t="s">
        <v>1755</v>
      </c>
      <c r="B265" s="112" t="s">
        <v>1763</v>
      </c>
      <c r="C265" s="114" t="s">
        <v>1276</v>
      </c>
      <c r="D265" s="113" t="s">
        <v>1277</v>
      </c>
      <c r="E265" s="113" t="s">
        <v>597</v>
      </c>
      <c r="F265" s="113" t="s">
        <v>1857</v>
      </c>
      <c r="G265" s="123">
        <v>70</v>
      </c>
      <c r="H265" s="121">
        <v>100</v>
      </c>
      <c r="I265" s="122">
        <v>-30</v>
      </c>
    </row>
    <row r="266" ht="24" spans="1:9">
      <c r="A266" s="113" t="s">
        <v>1755</v>
      </c>
      <c r="B266" s="112" t="s">
        <v>1763</v>
      </c>
      <c r="C266" s="114" t="s">
        <v>1339</v>
      </c>
      <c r="D266" s="113" t="s">
        <v>580</v>
      </c>
      <c r="E266" s="113" t="s">
        <v>579</v>
      </c>
      <c r="F266" s="113" t="s">
        <v>1856</v>
      </c>
      <c r="G266" s="120">
        <v>100</v>
      </c>
      <c r="H266" s="121">
        <v>40</v>
      </c>
      <c r="I266" s="122">
        <v>60</v>
      </c>
    </row>
    <row r="267" spans="1:9">
      <c r="A267" s="113" t="s">
        <v>1755</v>
      </c>
      <c r="B267" s="112" t="s">
        <v>1763</v>
      </c>
      <c r="C267" s="114" t="s">
        <v>1329</v>
      </c>
      <c r="D267" s="113" t="s">
        <v>588</v>
      </c>
      <c r="E267" s="113" t="s">
        <v>579</v>
      </c>
      <c r="F267" s="113" t="s">
        <v>1858</v>
      </c>
      <c r="G267" s="120">
        <v>85</v>
      </c>
      <c r="H267" s="121">
        <v>40</v>
      </c>
      <c r="I267" s="122">
        <v>45</v>
      </c>
    </row>
    <row r="268" spans="1:9">
      <c r="A268" s="113" t="s">
        <v>1755</v>
      </c>
      <c r="B268" s="112" t="s">
        <v>1763</v>
      </c>
      <c r="C268" s="114" t="s">
        <v>1350</v>
      </c>
      <c r="D268" s="113" t="s">
        <v>1351</v>
      </c>
      <c r="E268" s="113" t="s">
        <v>579</v>
      </c>
      <c r="F268" s="113" t="s">
        <v>1858</v>
      </c>
      <c r="G268" s="120">
        <v>85</v>
      </c>
      <c r="H268" s="121">
        <v>40</v>
      </c>
      <c r="I268" s="122">
        <v>45</v>
      </c>
    </row>
    <row r="269" spans="1:9">
      <c r="A269" s="113" t="s">
        <v>1755</v>
      </c>
      <c r="B269" s="112" t="s">
        <v>1763</v>
      </c>
      <c r="C269" s="114" t="s">
        <v>1473</v>
      </c>
      <c r="D269" s="113" t="s">
        <v>614</v>
      </c>
      <c r="E269" s="113" t="s">
        <v>613</v>
      </c>
      <c r="F269" s="113" t="s">
        <v>1858</v>
      </c>
      <c r="G269" s="120">
        <v>85</v>
      </c>
      <c r="H269" s="121">
        <v>80</v>
      </c>
      <c r="I269" s="122">
        <v>5</v>
      </c>
    </row>
    <row r="270" ht="24" spans="1:9">
      <c r="A270" s="113" t="s">
        <v>1755</v>
      </c>
      <c r="B270" s="112" t="s">
        <v>1763</v>
      </c>
      <c r="C270" s="114" t="s">
        <v>1484</v>
      </c>
      <c r="D270" s="113" t="s">
        <v>622</v>
      </c>
      <c r="E270" s="113" t="s">
        <v>613</v>
      </c>
      <c r="F270" s="113" t="s">
        <v>1857</v>
      </c>
      <c r="G270" s="123">
        <v>70</v>
      </c>
      <c r="H270" s="121">
        <v>80</v>
      </c>
      <c r="I270" s="122">
        <v>-10</v>
      </c>
    </row>
    <row r="271" ht="24" spans="1:9">
      <c r="A271" s="113" t="s">
        <v>1755</v>
      </c>
      <c r="B271" s="112" t="s">
        <v>1763</v>
      </c>
      <c r="C271" s="114" t="s">
        <v>1495</v>
      </c>
      <c r="D271" s="113" t="s">
        <v>1496</v>
      </c>
      <c r="E271" s="113" t="s">
        <v>613</v>
      </c>
      <c r="F271" s="113" t="s">
        <v>1857</v>
      </c>
      <c r="G271" s="123">
        <v>70</v>
      </c>
      <c r="H271" s="121">
        <v>80</v>
      </c>
      <c r="I271" s="122">
        <v>-10</v>
      </c>
    </row>
    <row r="272" ht="24" spans="1:9">
      <c r="A272" s="113" t="s">
        <v>1766</v>
      </c>
      <c r="B272" s="112" t="s">
        <v>1770</v>
      </c>
      <c r="C272" s="114" t="s">
        <v>1329</v>
      </c>
      <c r="D272" s="113" t="s">
        <v>588</v>
      </c>
      <c r="E272" s="113" t="s">
        <v>579</v>
      </c>
      <c r="F272" s="113" t="s">
        <v>1856</v>
      </c>
      <c r="G272" s="120">
        <v>100</v>
      </c>
      <c r="H272" s="121">
        <v>100</v>
      </c>
      <c r="I272" s="122">
        <v>0</v>
      </c>
    </row>
    <row r="273" ht="24" spans="1:9">
      <c r="A273" s="113" t="s">
        <v>1766</v>
      </c>
      <c r="B273" s="112" t="s">
        <v>1770</v>
      </c>
      <c r="C273" s="114" t="s">
        <v>1339</v>
      </c>
      <c r="D273" s="113" t="s">
        <v>580</v>
      </c>
      <c r="E273" s="113" t="s">
        <v>579</v>
      </c>
      <c r="F273" s="113" t="s">
        <v>1856</v>
      </c>
      <c r="G273" s="120">
        <v>100</v>
      </c>
      <c r="H273" s="121">
        <v>100</v>
      </c>
      <c r="I273" s="122">
        <v>0</v>
      </c>
    </row>
    <row r="274" spans="1:9">
      <c r="A274" s="113" t="s">
        <v>1766</v>
      </c>
      <c r="B274" s="112" t="s">
        <v>1770</v>
      </c>
      <c r="C274" s="114" t="s">
        <v>1350</v>
      </c>
      <c r="D274" s="113" t="s">
        <v>1351</v>
      </c>
      <c r="E274" s="113" t="s">
        <v>579</v>
      </c>
      <c r="F274" s="113" t="s">
        <v>1858</v>
      </c>
      <c r="G274" s="120">
        <v>85</v>
      </c>
      <c r="H274" s="121">
        <v>100</v>
      </c>
      <c r="I274" s="122">
        <v>-15</v>
      </c>
    </row>
    <row r="275" spans="1:9">
      <c r="A275" s="113" t="s">
        <v>1766</v>
      </c>
      <c r="B275" s="112" t="s">
        <v>1770</v>
      </c>
      <c r="C275" s="114" t="s">
        <v>1484</v>
      </c>
      <c r="D275" s="113" t="s">
        <v>622</v>
      </c>
      <c r="E275" s="113" t="s">
        <v>613</v>
      </c>
      <c r="F275" s="113" t="s">
        <v>1858</v>
      </c>
      <c r="G275" s="120">
        <v>85</v>
      </c>
      <c r="H275" s="121">
        <v>80</v>
      </c>
      <c r="I275" s="122">
        <v>5</v>
      </c>
    </row>
    <row r="276" ht="24" spans="1:9">
      <c r="A276" s="113" t="s">
        <v>1766</v>
      </c>
      <c r="B276" s="112" t="s">
        <v>1770</v>
      </c>
      <c r="C276" s="114" t="s">
        <v>1473</v>
      </c>
      <c r="D276" s="113" t="s">
        <v>614</v>
      </c>
      <c r="E276" s="113" t="s">
        <v>613</v>
      </c>
      <c r="F276" s="113" t="s">
        <v>1857</v>
      </c>
      <c r="G276" s="123">
        <v>70</v>
      </c>
      <c r="H276" s="121">
        <v>80</v>
      </c>
      <c r="I276" s="122">
        <v>-10</v>
      </c>
    </row>
    <row r="277" ht="24" spans="1:9">
      <c r="A277" s="113" t="s">
        <v>1766</v>
      </c>
      <c r="B277" s="112" t="s">
        <v>1770</v>
      </c>
      <c r="C277" s="114" t="s">
        <v>1495</v>
      </c>
      <c r="D277" s="113" t="s">
        <v>1496</v>
      </c>
      <c r="E277" s="113" t="s">
        <v>613</v>
      </c>
      <c r="F277" s="113" t="s">
        <v>1857</v>
      </c>
      <c r="G277" s="123">
        <v>70</v>
      </c>
      <c r="H277" s="121">
        <v>80</v>
      </c>
      <c r="I277" s="122">
        <v>-10</v>
      </c>
    </row>
    <row r="278" spans="1:9">
      <c r="A278" s="113" t="s">
        <v>1766</v>
      </c>
      <c r="B278" s="112" t="s">
        <v>1347</v>
      </c>
      <c r="C278" s="114" t="s">
        <v>1212</v>
      </c>
      <c r="D278" s="113" t="s">
        <v>146</v>
      </c>
      <c r="E278" s="113" t="s">
        <v>244</v>
      </c>
      <c r="F278" s="113" t="s">
        <v>1858</v>
      </c>
      <c r="G278" s="120">
        <v>85</v>
      </c>
      <c r="H278" s="121">
        <v>60</v>
      </c>
      <c r="I278" s="122">
        <v>25</v>
      </c>
    </row>
    <row r="279" ht="24" spans="1:9">
      <c r="A279" s="113" t="s">
        <v>1766</v>
      </c>
      <c r="B279" s="112" t="s">
        <v>1347</v>
      </c>
      <c r="C279" s="114" t="s">
        <v>1227</v>
      </c>
      <c r="D279" s="113" t="s">
        <v>522</v>
      </c>
      <c r="E279" s="113" t="s">
        <v>244</v>
      </c>
      <c r="F279" s="113" t="s">
        <v>1857</v>
      </c>
      <c r="G279" s="123">
        <v>60</v>
      </c>
      <c r="H279" s="121">
        <v>60</v>
      </c>
      <c r="I279" s="122">
        <v>0</v>
      </c>
    </row>
    <row r="280" ht="24" spans="1:9">
      <c r="A280" s="113" t="s">
        <v>1766</v>
      </c>
      <c r="B280" s="112" t="s">
        <v>1347</v>
      </c>
      <c r="C280" s="114" t="s">
        <v>1242</v>
      </c>
      <c r="D280" s="113" t="s">
        <v>1243</v>
      </c>
      <c r="E280" s="113" t="s">
        <v>244</v>
      </c>
      <c r="F280" s="113" t="s">
        <v>1857</v>
      </c>
      <c r="G280" s="123">
        <v>60</v>
      </c>
      <c r="H280" s="121">
        <v>60</v>
      </c>
      <c r="I280" s="122">
        <v>0</v>
      </c>
    </row>
    <row r="281" spans="1:9">
      <c r="A281" s="113" t="s">
        <v>1766</v>
      </c>
      <c r="B281" s="112" t="s">
        <v>1347</v>
      </c>
      <c r="C281" s="114" t="s">
        <v>1305</v>
      </c>
      <c r="D281" s="113" t="s">
        <v>538</v>
      </c>
      <c r="E281" s="113" t="s">
        <v>245</v>
      </c>
      <c r="F281" s="113" t="s">
        <v>1858</v>
      </c>
      <c r="G281" s="120">
        <v>85</v>
      </c>
      <c r="H281" s="121">
        <v>80</v>
      </c>
      <c r="I281" s="122">
        <v>5</v>
      </c>
    </row>
    <row r="282" ht="24" spans="1:9">
      <c r="A282" s="113" t="s">
        <v>1766</v>
      </c>
      <c r="B282" s="112" t="s">
        <v>1347</v>
      </c>
      <c r="C282" s="114" t="s">
        <v>1291</v>
      </c>
      <c r="D282" s="113" t="s">
        <v>249</v>
      </c>
      <c r="E282" s="113" t="s">
        <v>245</v>
      </c>
      <c r="F282" s="113" t="s">
        <v>1857</v>
      </c>
      <c r="G282" s="123">
        <v>70</v>
      </c>
      <c r="H282" s="121">
        <v>80</v>
      </c>
      <c r="I282" s="122">
        <v>-10</v>
      </c>
    </row>
    <row r="283" ht="24" spans="1:9">
      <c r="A283" s="113" t="s">
        <v>1766</v>
      </c>
      <c r="B283" s="112" t="s">
        <v>1347</v>
      </c>
      <c r="C283" s="114" t="s">
        <v>1316</v>
      </c>
      <c r="D283" s="113" t="s">
        <v>147</v>
      </c>
      <c r="E283" s="113" t="s">
        <v>245</v>
      </c>
      <c r="F283" s="113" t="s">
        <v>1857</v>
      </c>
      <c r="G283" s="123">
        <v>70</v>
      </c>
      <c r="H283" s="121">
        <v>80</v>
      </c>
      <c r="I283" s="122">
        <v>-10</v>
      </c>
    </row>
    <row r="284" ht="24" spans="1:9">
      <c r="A284" s="113" t="s">
        <v>1766</v>
      </c>
      <c r="B284" s="112" t="s">
        <v>1347</v>
      </c>
      <c r="C284" s="114" t="s">
        <v>1339</v>
      </c>
      <c r="D284" s="113" t="s">
        <v>580</v>
      </c>
      <c r="E284" s="113" t="s">
        <v>579</v>
      </c>
      <c r="F284" s="113" t="s">
        <v>1856</v>
      </c>
      <c r="G284" s="120">
        <v>100</v>
      </c>
      <c r="H284" s="121">
        <v>100</v>
      </c>
      <c r="I284" s="122">
        <v>0</v>
      </c>
    </row>
    <row r="285" ht="24" spans="1:9">
      <c r="A285" s="113" t="s">
        <v>1766</v>
      </c>
      <c r="B285" s="112" t="s">
        <v>1347</v>
      </c>
      <c r="C285" s="114" t="s">
        <v>1350</v>
      </c>
      <c r="D285" s="113" t="s">
        <v>1351</v>
      </c>
      <c r="E285" s="113" t="s">
        <v>579</v>
      </c>
      <c r="F285" s="113" t="s">
        <v>1856</v>
      </c>
      <c r="G285" s="120">
        <v>100</v>
      </c>
      <c r="H285" s="121">
        <v>100</v>
      </c>
      <c r="I285" s="122">
        <v>0</v>
      </c>
    </row>
    <row r="286" ht="24" spans="1:9">
      <c r="A286" s="113" t="s">
        <v>1766</v>
      </c>
      <c r="B286" s="112" t="s">
        <v>1347</v>
      </c>
      <c r="C286" s="114" t="s">
        <v>1329</v>
      </c>
      <c r="D286" s="113" t="s">
        <v>588</v>
      </c>
      <c r="E286" s="113" t="s">
        <v>579</v>
      </c>
      <c r="F286" s="113" t="s">
        <v>1857</v>
      </c>
      <c r="G286" s="123">
        <v>70</v>
      </c>
      <c r="H286" s="121">
        <v>100</v>
      </c>
      <c r="I286" s="122">
        <v>-30</v>
      </c>
    </row>
    <row r="287" spans="1:9">
      <c r="A287" s="113" t="s">
        <v>1766</v>
      </c>
      <c r="B287" s="112" t="s">
        <v>1347</v>
      </c>
      <c r="C287" s="114" t="s">
        <v>1565</v>
      </c>
      <c r="D287" s="113" t="s">
        <v>1566</v>
      </c>
      <c r="E287" s="113" t="s">
        <v>647</v>
      </c>
      <c r="F287" s="113" t="s">
        <v>1858</v>
      </c>
      <c r="G287" s="120">
        <v>85</v>
      </c>
      <c r="H287" s="121">
        <v>60</v>
      </c>
      <c r="I287" s="122">
        <v>25</v>
      </c>
    </row>
    <row r="288" ht="24" spans="1:9">
      <c r="A288" s="113" t="s">
        <v>1766</v>
      </c>
      <c r="B288" s="112" t="s">
        <v>1347</v>
      </c>
      <c r="C288" s="114" t="s">
        <v>1543</v>
      </c>
      <c r="D288" s="113" t="s">
        <v>648</v>
      </c>
      <c r="E288" s="113" t="s">
        <v>647</v>
      </c>
      <c r="F288" s="113" t="s">
        <v>1857</v>
      </c>
      <c r="G288" s="123">
        <v>60</v>
      </c>
      <c r="H288" s="121">
        <v>60</v>
      </c>
      <c r="I288" s="122">
        <v>0</v>
      </c>
    </row>
    <row r="289" ht="24" spans="1:9">
      <c r="A289" s="113" t="s">
        <v>1766</v>
      </c>
      <c r="B289" s="112" t="s">
        <v>1347</v>
      </c>
      <c r="C289" s="114" t="s">
        <v>1554</v>
      </c>
      <c r="D289" s="113" t="s">
        <v>656</v>
      </c>
      <c r="E289" s="113" t="s">
        <v>647</v>
      </c>
      <c r="F289" s="113" t="s">
        <v>1857</v>
      </c>
      <c r="G289" s="123">
        <v>60</v>
      </c>
      <c r="H289" s="121">
        <v>60</v>
      </c>
      <c r="I289" s="122">
        <v>0</v>
      </c>
    </row>
    <row r="290" ht="24" spans="1:9">
      <c r="A290" s="113" t="s">
        <v>1775</v>
      </c>
      <c r="B290" s="112" t="s">
        <v>1779</v>
      </c>
      <c r="C290" s="114" t="s">
        <v>1400</v>
      </c>
      <c r="D290" s="113" t="s">
        <v>547</v>
      </c>
      <c r="E290" s="113" t="s">
        <v>546</v>
      </c>
      <c r="F290" s="113" t="s">
        <v>1856</v>
      </c>
      <c r="G290" s="120">
        <v>100</v>
      </c>
      <c r="H290" s="121">
        <v>100</v>
      </c>
      <c r="I290" s="122">
        <v>0</v>
      </c>
    </row>
    <row r="291" spans="1:9">
      <c r="A291" s="113" t="s">
        <v>1775</v>
      </c>
      <c r="B291" s="112" t="s">
        <v>1779</v>
      </c>
      <c r="C291" s="114" t="s">
        <v>1411</v>
      </c>
      <c r="D291" s="113" t="s">
        <v>555</v>
      </c>
      <c r="E291" s="113" t="s">
        <v>546</v>
      </c>
      <c r="F291" s="113" t="s">
        <v>1858</v>
      </c>
      <c r="G291" s="120">
        <v>85</v>
      </c>
      <c r="H291" s="121">
        <v>100</v>
      </c>
      <c r="I291" s="122">
        <v>-15</v>
      </c>
    </row>
    <row r="292" spans="1:9">
      <c r="A292" s="113" t="s">
        <v>1775</v>
      </c>
      <c r="B292" s="112" t="s">
        <v>1779</v>
      </c>
      <c r="C292" s="114" t="s">
        <v>1422</v>
      </c>
      <c r="D292" s="113" t="s">
        <v>734</v>
      </c>
      <c r="E292" s="113" t="s">
        <v>546</v>
      </c>
      <c r="F292" s="113" t="s">
        <v>1858</v>
      </c>
      <c r="G292" s="120">
        <v>85</v>
      </c>
      <c r="H292" s="121">
        <v>100</v>
      </c>
      <c r="I292" s="122">
        <v>-15</v>
      </c>
    </row>
    <row r="293" spans="1:9">
      <c r="A293" s="113" t="s">
        <v>1775</v>
      </c>
      <c r="B293" s="112" t="s">
        <v>1779</v>
      </c>
      <c r="C293" s="114" t="s">
        <v>1458</v>
      </c>
      <c r="D293" s="113" t="s">
        <v>1459</v>
      </c>
      <c r="E293" s="113" t="s">
        <v>562</v>
      </c>
      <c r="F293" s="113" t="s">
        <v>1858</v>
      </c>
      <c r="G293" s="120">
        <v>85</v>
      </c>
      <c r="H293" s="121">
        <v>80</v>
      </c>
      <c r="I293" s="122">
        <v>5</v>
      </c>
    </row>
    <row r="294" ht="24" spans="1:9">
      <c r="A294" s="113" t="s">
        <v>1775</v>
      </c>
      <c r="B294" s="112" t="s">
        <v>1779</v>
      </c>
      <c r="C294" s="114" t="s">
        <v>1436</v>
      </c>
      <c r="D294" s="113" t="s">
        <v>563</v>
      </c>
      <c r="E294" s="113" t="s">
        <v>562</v>
      </c>
      <c r="F294" s="113" t="s">
        <v>1857</v>
      </c>
      <c r="G294" s="123">
        <v>70</v>
      </c>
      <c r="H294" s="121">
        <v>80</v>
      </c>
      <c r="I294" s="122">
        <v>-10</v>
      </c>
    </row>
    <row r="295" ht="24" spans="1:9">
      <c r="A295" s="113" t="s">
        <v>1775</v>
      </c>
      <c r="B295" s="112" t="s">
        <v>1779</v>
      </c>
      <c r="C295" s="114" t="s">
        <v>1447</v>
      </c>
      <c r="D295" s="113" t="s">
        <v>572</v>
      </c>
      <c r="E295" s="113" t="s">
        <v>562</v>
      </c>
      <c r="F295" s="113" t="s">
        <v>1857</v>
      </c>
      <c r="G295" s="123">
        <v>70</v>
      </c>
      <c r="H295" s="121">
        <v>80</v>
      </c>
      <c r="I295" s="122">
        <v>-10</v>
      </c>
    </row>
    <row r="296" spans="1:9">
      <c r="A296" s="113" t="s">
        <v>1775</v>
      </c>
      <c r="B296" s="112" t="s">
        <v>1783</v>
      </c>
      <c r="C296" s="114" t="s">
        <v>1385</v>
      </c>
      <c r="D296" s="113" t="s">
        <v>1386</v>
      </c>
      <c r="E296" s="113" t="s">
        <v>243</v>
      </c>
      <c r="F296" s="113" t="s">
        <v>1858</v>
      </c>
      <c r="G296" s="120">
        <v>85</v>
      </c>
      <c r="H296" s="121">
        <v>80</v>
      </c>
      <c r="I296" s="122">
        <v>5</v>
      </c>
    </row>
    <row r="297" ht="24" spans="1:9">
      <c r="A297" s="113" t="s">
        <v>1775</v>
      </c>
      <c r="B297" s="112" t="s">
        <v>1783</v>
      </c>
      <c r="C297" s="114" t="s">
        <v>1365</v>
      </c>
      <c r="D297" s="113" t="s">
        <v>499</v>
      </c>
      <c r="E297" s="113" t="s">
        <v>243</v>
      </c>
      <c r="F297" s="113" t="s">
        <v>1857</v>
      </c>
      <c r="G297" s="123">
        <v>70</v>
      </c>
      <c r="H297" s="121">
        <v>80</v>
      </c>
      <c r="I297" s="122">
        <v>-10</v>
      </c>
    </row>
    <row r="298" ht="24" spans="1:9">
      <c r="A298" s="113" t="s">
        <v>1775</v>
      </c>
      <c r="B298" s="112" t="s">
        <v>1783</v>
      </c>
      <c r="C298" s="114" t="s">
        <v>1375</v>
      </c>
      <c r="D298" s="113" t="s">
        <v>145</v>
      </c>
      <c r="E298" s="113" t="s">
        <v>243</v>
      </c>
      <c r="F298" s="113" t="s">
        <v>1857</v>
      </c>
      <c r="G298" s="123">
        <v>70</v>
      </c>
      <c r="H298" s="121">
        <v>80</v>
      </c>
      <c r="I298" s="122">
        <v>-10</v>
      </c>
    </row>
    <row r="299" ht="24" spans="1:9">
      <c r="A299" s="113" t="s">
        <v>1775</v>
      </c>
      <c r="B299" s="112" t="s">
        <v>1783</v>
      </c>
      <c r="C299" s="114" t="s">
        <v>1411</v>
      </c>
      <c r="D299" s="113" t="s">
        <v>555</v>
      </c>
      <c r="E299" s="113" t="s">
        <v>546</v>
      </c>
      <c r="F299" s="113" t="s">
        <v>1856</v>
      </c>
      <c r="G299" s="120">
        <v>100</v>
      </c>
      <c r="H299" s="121">
        <v>100</v>
      </c>
      <c r="I299" s="122">
        <v>0</v>
      </c>
    </row>
    <row r="300" spans="1:9">
      <c r="A300" s="113" t="s">
        <v>1775</v>
      </c>
      <c r="B300" s="112" t="s">
        <v>1783</v>
      </c>
      <c r="C300" s="114" t="s">
        <v>1400</v>
      </c>
      <c r="D300" s="113" t="s">
        <v>547</v>
      </c>
      <c r="E300" s="113" t="s">
        <v>546</v>
      </c>
      <c r="F300" s="113" t="s">
        <v>1858</v>
      </c>
      <c r="G300" s="120">
        <v>85</v>
      </c>
      <c r="H300" s="121">
        <v>100</v>
      </c>
      <c r="I300" s="122">
        <v>-15</v>
      </c>
    </row>
    <row r="301" ht="24" spans="1:9">
      <c r="A301" s="113" t="s">
        <v>1775</v>
      </c>
      <c r="B301" s="112" t="s">
        <v>1783</v>
      </c>
      <c r="C301" s="114" t="s">
        <v>1422</v>
      </c>
      <c r="D301" s="113" t="s">
        <v>734</v>
      </c>
      <c r="E301" s="113" t="s">
        <v>546</v>
      </c>
      <c r="F301" s="113" t="s">
        <v>1857</v>
      </c>
      <c r="G301" s="123">
        <v>70</v>
      </c>
      <c r="H301" s="121">
        <v>100</v>
      </c>
      <c r="I301" s="122">
        <v>-30</v>
      </c>
    </row>
    <row r="302" spans="1:9">
      <c r="A302" s="113" t="s">
        <v>562</v>
      </c>
      <c r="B302" s="112" t="s">
        <v>1790</v>
      </c>
      <c r="C302" s="114" t="s">
        <v>1385</v>
      </c>
      <c r="D302" s="113" t="s">
        <v>1386</v>
      </c>
      <c r="E302" s="113" t="s">
        <v>243</v>
      </c>
      <c r="F302" s="113" t="s">
        <v>1858</v>
      </c>
      <c r="G302" s="120">
        <v>85</v>
      </c>
      <c r="H302" s="121">
        <v>80</v>
      </c>
      <c r="I302" s="122">
        <v>5</v>
      </c>
    </row>
    <row r="303" ht="24" spans="1:9">
      <c r="A303" s="113" t="s">
        <v>562</v>
      </c>
      <c r="B303" s="112" t="s">
        <v>1790</v>
      </c>
      <c r="C303" s="114" t="s">
        <v>1365</v>
      </c>
      <c r="D303" s="113" t="s">
        <v>499</v>
      </c>
      <c r="E303" s="113" t="s">
        <v>243</v>
      </c>
      <c r="F303" s="113" t="s">
        <v>1857</v>
      </c>
      <c r="G303" s="123">
        <v>70</v>
      </c>
      <c r="H303" s="121">
        <v>80</v>
      </c>
      <c r="I303" s="122">
        <v>-10</v>
      </c>
    </row>
    <row r="304" ht="24" spans="1:9">
      <c r="A304" s="113" t="s">
        <v>562</v>
      </c>
      <c r="B304" s="112" t="s">
        <v>1790</v>
      </c>
      <c r="C304" s="114" t="s">
        <v>1375</v>
      </c>
      <c r="D304" s="113" t="s">
        <v>145</v>
      </c>
      <c r="E304" s="113" t="s">
        <v>243</v>
      </c>
      <c r="F304" s="113" t="s">
        <v>1857</v>
      </c>
      <c r="G304" s="123">
        <v>70</v>
      </c>
      <c r="H304" s="121">
        <v>80</v>
      </c>
      <c r="I304" s="122">
        <v>-10</v>
      </c>
    </row>
    <row r="305" ht="24" spans="1:9">
      <c r="A305" s="113" t="s">
        <v>562</v>
      </c>
      <c r="B305" s="112" t="s">
        <v>1790</v>
      </c>
      <c r="C305" s="114" t="s">
        <v>1436</v>
      </c>
      <c r="D305" s="113" t="s">
        <v>563</v>
      </c>
      <c r="E305" s="113" t="s">
        <v>562</v>
      </c>
      <c r="F305" s="113" t="s">
        <v>1856</v>
      </c>
      <c r="G305" s="120">
        <v>100</v>
      </c>
      <c r="H305" s="121">
        <v>100</v>
      </c>
      <c r="I305" s="122">
        <v>0</v>
      </c>
    </row>
    <row r="306" ht="24" spans="1:9">
      <c r="A306" s="113" t="s">
        <v>562</v>
      </c>
      <c r="B306" s="112" t="s">
        <v>1790</v>
      </c>
      <c r="C306" s="114" t="s">
        <v>1447</v>
      </c>
      <c r="D306" s="113" t="s">
        <v>572</v>
      </c>
      <c r="E306" s="113" t="s">
        <v>562</v>
      </c>
      <c r="F306" s="113" t="s">
        <v>1856</v>
      </c>
      <c r="G306" s="120">
        <v>100</v>
      </c>
      <c r="H306" s="121">
        <v>100</v>
      </c>
      <c r="I306" s="122">
        <v>0</v>
      </c>
    </row>
    <row r="307" spans="1:9">
      <c r="A307" s="113" t="s">
        <v>562</v>
      </c>
      <c r="B307" s="112" t="s">
        <v>1790</v>
      </c>
      <c r="C307" s="114" t="s">
        <v>1458</v>
      </c>
      <c r="D307" s="113" t="s">
        <v>1459</v>
      </c>
      <c r="E307" s="113" t="s">
        <v>562</v>
      </c>
      <c r="F307" s="113" t="s">
        <v>1858</v>
      </c>
      <c r="G307" s="120">
        <v>85</v>
      </c>
      <c r="H307" s="121">
        <v>100</v>
      </c>
      <c r="I307" s="122">
        <v>-15</v>
      </c>
    </row>
    <row r="308" spans="1:9">
      <c r="A308" s="113" t="s">
        <v>562</v>
      </c>
      <c r="B308" s="112" t="s">
        <v>1790</v>
      </c>
      <c r="C308" s="114" t="s">
        <v>1554</v>
      </c>
      <c r="D308" s="113" t="s">
        <v>656</v>
      </c>
      <c r="E308" s="113" t="s">
        <v>647</v>
      </c>
      <c r="F308" s="113" t="s">
        <v>1858</v>
      </c>
      <c r="G308" s="120">
        <v>85</v>
      </c>
      <c r="H308" s="121">
        <v>60</v>
      </c>
      <c r="I308" s="122">
        <v>25</v>
      </c>
    </row>
    <row r="309" ht="24" spans="1:9">
      <c r="A309" s="113" t="s">
        <v>562</v>
      </c>
      <c r="B309" s="112" t="s">
        <v>1790</v>
      </c>
      <c r="C309" s="114" t="s">
        <v>1543</v>
      </c>
      <c r="D309" s="113" t="s">
        <v>648</v>
      </c>
      <c r="E309" s="113" t="s">
        <v>647</v>
      </c>
      <c r="F309" s="113" t="s">
        <v>1857</v>
      </c>
      <c r="G309" s="123">
        <v>60</v>
      </c>
      <c r="H309" s="121">
        <v>60</v>
      </c>
      <c r="I309" s="122">
        <v>0</v>
      </c>
    </row>
    <row r="310" ht="24" spans="1:9">
      <c r="A310" s="113" t="s">
        <v>562</v>
      </c>
      <c r="B310" s="112" t="s">
        <v>1790</v>
      </c>
      <c r="C310" s="114" t="s">
        <v>1565</v>
      </c>
      <c r="D310" s="113" t="s">
        <v>1566</v>
      </c>
      <c r="E310" s="113" t="s">
        <v>647</v>
      </c>
      <c r="F310" s="113" t="s">
        <v>1857</v>
      </c>
      <c r="G310" s="123">
        <v>60</v>
      </c>
      <c r="H310" s="121">
        <v>60</v>
      </c>
      <c r="I310" s="122">
        <v>0</v>
      </c>
    </row>
    <row r="311" ht="24" spans="1:9">
      <c r="A311" s="113" t="s">
        <v>562</v>
      </c>
      <c r="B311" s="112" t="s">
        <v>1793</v>
      </c>
      <c r="C311" s="114" t="s">
        <v>1436</v>
      </c>
      <c r="D311" s="113" t="s">
        <v>563</v>
      </c>
      <c r="E311" s="113" t="s">
        <v>562</v>
      </c>
      <c r="F311" s="113" t="s">
        <v>1856</v>
      </c>
      <c r="G311" s="120">
        <v>100</v>
      </c>
      <c r="H311" s="121">
        <v>100</v>
      </c>
      <c r="I311" s="122">
        <v>0</v>
      </c>
    </row>
    <row r="312" ht="24" spans="1:9">
      <c r="A312" s="113" t="s">
        <v>562</v>
      </c>
      <c r="B312" s="112" t="s">
        <v>1793</v>
      </c>
      <c r="C312" s="114" t="s">
        <v>1458</v>
      </c>
      <c r="D312" s="113" t="s">
        <v>1459</v>
      </c>
      <c r="E312" s="113" t="s">
        <v>562</v>
      </c>
      <c r="F312" s="113" t="s">
        <v>1856</v>
      </c>
      <c r="G312" s="120">
        <v>100</v>
      </c>
      <c r="H312" s="121">
        <v>100</v>
      </c>
      <c r="I312" s="122">
        <v>0</v>
      </c>
    </row>
    <row r="313" spans="1:9">
      <c r="A313" s="113" t="s">
        <v>562</v>
      </c>
      <c r="B313" s="112" t="s">
        <v>1793</v>
      </c>
      <c r="C313" s="114" t="s">
        <v>1447</v>
      </c>
      <c r="D313" s="113" t="s">
        <v>572</v>
      </c>
      <c r="E313" s="113" t="s">
        <v>562</v>
      </c>
      <c r="F313" s="113" t="s">
        <v>1858</v>
      </c>
      <c r="G313" s="120">
        <v>85</v>
      </c>
      <c r="H313" s="121">
        <v>100</v>
      </c>
      <c r="I313" s="122">
        <v>-15</v>
      </c>
    </row>
    <row r="314" spans="1:9">
      <c r="A314" s="113" t="s">
        <v>562</v>
      </c>
      <c r="B314" s="112" t="s">
        <v>1793</v>
      </c>
      <c r="C314" s="114" t="s">
        <v>1554</v>
      </c>
      <c r="D314" s="113" t="s">
        <v>656</v>
      </c>
      <c r="E314" s="113" t="s">
        <v>647</v>
      </c>
      <c r="F314" s="113" t="s">
        <v>1858</v>
      </c>
      <c r="G314" s="120">
        <v>85</v>
      </c>
      <c r="H314" s="121">
        <v>60</v>
      </c>
      <c r="I314" s="122">
        <v>25</v>
      </c>
    </row>
    <row r="315" ht="24" spans="1:9">
      <c r="A315" s="113" t="s">
        <v>562</v>
      </c>
      <c r="B315" s="112" t="s">
        <v>1793</v>
      </c>
      <c r="C315" s="114" t="s">
        <v>1543</v>
      </c>
      <c r="D315" s="113" t="s">
        <v>648</v>
      </c>
      <c r="E315" s="113" t="s">
        <v>647</v>
      </c>
      <c r="F315" s="113" t="s">
        <v>1857</v>
      </c>
      <c r="G315" s="123">
        <v>60</v>
      </c>
      <c r="H315" s="121">
        <v>60</v>
      </c>
      <c r="I315" s="122">
        <v>0</v>
      </c>
    </row>
    <row r="316" ht="24" spans="1:9">
      <c r="A316" s="113" t="s">
        <v>562</v>
      </c>
      <c r="B316" s="112" t="s">
        <v>1793</v>
      </c>
      <c r="C316" s="114" t="s">
        <v>1565</v>
      </c>
      <c r="D316" s="113" t="s">
        <v>1566</v>
      </c>
      <c r="E316" s="113" t="s">
        <v>647</v>
      </c>
      <c r="F316" s="113" t="s">
        <v>1857</v>
      </c>
      <c r="G316" s="123">
        <v>60</v>
      </c>
      <c r="H316" s="121">
        <v>60</v>
      </c>
      <c r="I316" s="122">
        <v>0</v>
      </c>
    </row>
    <row r="317" spans="1:9">
      <c r="A317" s="113" t="s">
        <v>1797</v>
      </c>
      <c r="B317" s="112" t="s">
        <v>1801</v>
      </c>
      <c r="C317" s="114" t="s">
        <v>1291</v>
      </c>
      <c r="D317" s="113" t="s">
        <v>249</v>
      </c>
      <c r="E317" s="113" t="s">
        <v>245</v>
      </c>
      <c r="F317" s="113" t="s">
        <v>1858</v>
      </c>
      <c r="G317" s="120">
        <v>85</v>
      </c>
      <c r="H317" s="121">
        <v>80</v>
      </c>
      <c r="I317" s="122">
        <v>5</v>
      </c>
    </row>
    <row r="318" ht="24" spans="1:9">
      <c r="A318" s="113" t="s">
        <v>1797</v>
      </c>
      <c r="B318" s="112" t="s">
        <v>1801</v>
      </c>
      <c r="C318" s="114" t="s">
        <v>1305</v>
      </c>
      <c r="D318" s="113" t="s">
        <v>538</v>
      </c>
      <c r="E318" s="113" t="s">
        <v>245</v>
      </c>
      <c r="F318" s="113" t="s">
        <v>1857</v>
      </c>
      <c r="G318" s="123">
        <v>70</v>
      </c>
      <c r="H318" s="121">
        <v>80</v>
      </c>
      <c r="I318" s="122">
        <v>-10</v>
      </c>
    </row>
    <row r="319" ht="24" spans="1:9">
      <c r="A319" s="113" t="s">
        <v>1797</v>
      </c>
      <c r="B319" s="112" t="s">
        <v>1801</v>
      </c>
      <c r="C319" s="114" t="s">
        <v>1316</v>
      </c>
      <c r="D319" s="113" t="s">
        <v>147</v>
      </c>
      <c r="E319" s="113" t="s">
        <v>245</v>
      </c>
      <c r="F319" s="113" t="s">
        <v>1857</v>
      </c>
      <c r="G319" s="123">
        <v>70</v>
      </c>
      <c r="H319" s="121">
        <v>80</v>
      </c>
      <c r="I319" s="122">
        <v>-10</v>
      </c>
    </row>
    <row r="320" ht="24" spans="1:9">
      <c r="A320" s="113" t="s">
        <v>1797</v>
      </c>
      <c r="B320" s="112" t="s">
        <v>1801</v>
      </c>
      <c r="C320" s="114" t="s">
        <v>1529</v>
      </c>
      <c r="D320" s="113" t="s">
        <v>1530</v>
      </c>
      <c r="E320" s="113" t="s">
        <v>630</v>
      </c>
      <c r="F320" s="113" t="s">
        <v>1856</v>
      </c>
      <c r="G320" s="120">
        <v>100</v>
      </c>
      <c r="H320" s="121">
        <v>100</v>
      </c>
      <c r="I320" s="122">
        <v>0</v>
      </c>
    </row>
    <row r="321" spans="1:9">
      <c r="A321" s="113" t="s">
        <v>1797</v>
      </c>
      <c r="B321" s="112" t="s">
        <v>1801</v>
      </c>
      <c r="C321" s="114" t="s">
        <v>1509</v>
      </c>
      <c r="D321" s="113" t="s">
        <v>631</v>
      </c>
      <c r="E321" s="113" t="s">
        <v>630</v>
      </c>
      <c r="F321" s="113" t="s">
        <v>1858</v>
      </c>
      <c r="G321" s="120">
        <v>85</v>
      </c>
      <c r="H321" s="121">
        <v>100</v>
      </c>
      <c r="I321" s="122">
        <v>-15</v>
      </c>
    </row>
    <row r="322" ht="24" spans="1:9">
      <c r="A322" s="113" t="s">
        <v>1797</v>
      </c>
      <c r="B322" s="112" t="s">
        <v>1801</v>
      </c>
      <c r="C322" s="114" t="s">
        <v>1520</v>
      </c>
      <c r="D322" s="113" t="s">
        <v>639</v>
      </c>
      <c r="E322" s="113" t="s">
        <v>630</v>
      </c>
      <c r="F322" s="113" t="s">
        <v>1857</v>
      </c>
      <c r="G322" s="123">
        <v>70</v>
      </c>
      <c r="H322" s="121">
        <v>100</v>
      </c>
      <c r="I322" s="122">
        <v>-30</v>
      </c>
    </row>
    <row r="323" spans="1:9">
      <c r="A323" s="113" t="s">
        <v>1797</v>
      </c>
      <c r="B323" s="112" t="s">
        <v>1801</v>
      </c>
      <c r="C323" s="114" t="s">
        <v>1554</v>
      </c>
      <c r="D323" s="113" t="s">
        <v>656</v>
      </c>
      <c r="E323" s="113" t="s">
        <v>647</v>
      </c>
      <c r="F323" s="113" t="s">
        <v>1858</v>
      </c>
      <c r="G323" s="120">
        <v>85</v>
      </c>
      <c r="H323" s="121">
        <v>60</v>
      </c>
      <c r="I323" s="122">
        <v>25</v>
      </c>
    </row>
    <row r="324" ht="24" spans="1:9">
      <c r="A324" s="113" t="s">
        <v>1797</v>
      </c>
      <c r="B324" s="112" t="s">
        <v>1801</v>
      </c>
      <c r="C324" s="114" t="s">
        <v>1543</v>
      </c>
      <c r="D324" s="113" t="s">
        <v>648</v>
      </c>
      <c r="E324" s="113" t="s">
        <v>647</v>
      </c>
      <c r="F324" s="113" t="s">
        <v>1857</v>
      </c>
      <c r="G324" s="123">
        <v>60</v>
      </c>
      <c r="H324" s="121">
        <v>60</v>
      </c>
      <c r="I324" s="122">
        <v>0</v>
      </c>
    </row>
    <row r="325" ht="24" spans="1:9">
      <c r="A325" s="113" t="s">
        <v>1797</v>
      </c>
      <c r="B325" s="112" t="s">
        <v>1801</v>
      </c>
      <c r="C325" s="114" t="s">
        <v>1565</v>
      </c>
      <c r="D325" s="113" t="s">
        <v>1566</v>
      </c>
      <c r="E325" s="113" t="s">
        <v>647</v>
      </c>
      <c r="F325" s="113" t="s">
        <v>1857</v>
      </c>
      <c r="G325" s="123">
        <v>60</v>
      </c>
      <c r="H325" s="121">
        <v>60</v>
      </c>
      <c r="I325" s="122">
        <v>0</v>
      </c>
    </row>
    <row r="326" spans="1:9">
      <c r="A326" s="113" t="s">
        <v>1797</v>
      </c>
      <c r="B326" s="112" t="s">
        <v>1804</v>
      </c>
      <c r="C326" s="114" t="s">
        <v>1400</v>
      </c>
      <c r="D326" s="113" t="s">
        <v>547</v>
      </c>
      <c r="E326" s="113" t="s">
        <v>546</v>
      </c>
      <c r="F326" s="113" t="s">
        <v>1858</v>
      </c>
      <c r="G326" s="120">
        <v>85</v>
      </c>
      <c r="H326" s="121">
        <v>20</v>
      </c>
      <c r="I326" s="122">
        <v>65</v>
      </c>
    </row>
    <row r="327" ht="24" spans="1:9">
      <c r="A327" s="113" t="s">
        <v>1797</v>
      </c>
      <c r="B327" s="112" t="s">
        <v>1804</v>
      </c>
      <c r="C327" s="114" t="s">
        <v>1411</v>
      </c>
      <c r="D327" s="113" t="s">
        <v>555</v>
      </c>
      <c r="E327" s="113" t="s">
        <v>546</v>
      </c>
      <c r="F327" s="113" t="s">
        <v>1857</v>
      </c>
      <c r="G327" s="123">
        <v>20</v>
      </c>
      <c r="H327" s="121">
        <v>20</v>
      </c>
      <c r="I327" s="122">
        <v>0</v>
      </c>
    </row>
    <row r="328" ht="24" spans="1:9">
      <c r="A328" s="113" t="s">
        <v>1797</v>
      </c>
      <c r="B328" s="112" t="s">
        <v>1804</v>
      </c>
      <c r="C328" s="114" t="s">
        <v>1422</v>
      </c>
      <c r="D328" s="113" t="s">
        <v>734</v>
      </c>
      <c r="E328" s="113" t="s">
        <v>546</v>
      </c>
      <c r="F328" s="113" t="s">
        <v>1857</v>
      </c>
      <c r="G328" s="123">
        <v>20</v>
      </c>
      <c r="H328" s="121">
        <v>20</v>
      </c>
      <c r="I328" s="122">
        <v>0</v>
      </c>
    </row>
    <row r="329" ht="24" spans="1:9">
      <c r="A329" s="113" t="s">
        <v>1797</v>
      </c>
      <c r="B329" s="112" t="s">
        <v>1804</v>
      </c>
      <c r="C329" s="114" t="s">
        <v>1509</v>
      </c>
      <c r="D329" s="113" t="s">
        <v>631</v>
      </c>
      <c r="E329" s="113" t="s">
        <v>630</v>
      </c>
      <c r="F329" s="113" t="s">
        <v>1856</v>
      </c>
      <c r="G329" s="120">
        <v>100</v>
      </c>
      <c r="H329" s="121">
        <v>100</v>
      </c>
      <c r="I329" s="122">
        <v>0</v>
      </c>
    </row>
    <row r="330" ht="24" spans="1:9">
      <c r="A330" s="113" t="s">
        <v>1797</v>
      </c>
      <c r="B330" s="112" t="s">
        <v>1804</v>
      </c>
      <c r="C330" s="114" t="s">
        <v>1520</v>
      </c>
      <c r="D330" s="113" t="s">
        <v>639</v>
      </c>
      <c r="E330" s="113" t="s">
        <v>630</v>
      </c>
      <c r="F330" s="113" t="s">
        <v>1856</v>
      </c>
      <c r="G330" s="120">
        <v>100</v>
      </c>
      <c r="H330" s="121">
        <v>100</v>
      </c>
      <c r="I330" s="122">
        <v>0</v>
      </c>
    </row>
    <row r="331" spans="1:9">
      <c r="A331" s="113" t="s">
        <v>1797</v>
      </c>
      <c r="B331" s="112" t="s">
        <v>1804</v>
      </c>
      <c r="C331" s="114" t="s">
        <v>1529</v>
      </c>
      <c r="D331" s="113" t="s">
        <v>1530</v>
      </c>
      <c r="E331" s="113" t="s">
        <v>630</v>
      </c>
      <c r="F331" s="113" t="s">
        <v>1858</v>
      </c>
      <c r="G331" s="120">
        <v>85</v>
      </c>
      <c r="H331" s="121">
        <v>100</v>
      </c>
      <c r="I331" s="122">
        <v>-15</v>
      </c>
    </row>
    <row r="332" spans="1:9">
      <c r="A332" s="113" t="s">
        <v>714</v>
      </c>
      <c r="B332" s="112" t="s">
        <v>1810</v>
      </c>
      <c r="C332" s="114" t="s">
        <v>1305</v>
      </c>
      <c r="D332" s="113" t="s">
        <v>538</v>
      </c>
      <c r="E332" s="113" t="s">
        <v>245</v>
      </c>
      <c r="F332" s="113" t="s">
        <v>1858</v>
      </c>
      <c r="G332" s="120">
        <v>85</v>
      </c>
      <c r="H332" s="121">
        <v>60</v>
      </c>
      <c r="I332" s="122">
        <v>25</v>
      </c>
    </row>
    <row r="333" ht="24" spans="1:9">
      <c r="A333" s="113" t="s">
        <v>714</v>
      </c>
      <c r="B333" s="112" t="s">
        <v>1810</v>
      </c>
      <c r="C333" s="114" t="s">
        <v>1291</v>
      </c>
      <c r="D333" s="113" t="s">
        <v>249</v>
      </c>
      <c r="E333" s="113" t="s">
        <v>245</v>
      </c>
      <c r="F333" s="113" t="s">
        <v>1857</v>
      </c>
      <c r="G333" s="123">
        <v>60</v>
      </c>
      <c r="H333" s="121">
        <v>60</v>
      </c>
      <c r="I333" s="122">
        <v>0</v>
      </c>
    </row>
    <row r="334" ht="24" spans="1:9">
      <c r="A334" s="113" t="s">
        <v>714</v>
      </c>
      <c r="B334" s="112" t="s">
        <v>1810</v>
      </c>
      <c r="C334" s="114" t="s">
        <v>1316</v>
      </c>
      <c r="D334" s="113" t="s">
        <v>147</v>
      </c>
      <c r="E334" s="113" t="s">
        <v>245</v>
      </c>
      <c r="F334" s="113" t="s">
        <v>1857</v>
      </c>
      <c r="G334" s="123">
        <v>60</v>
      </c>
      <c r="H334" s="121">
        <v>60</v>
      </c>
      <c r="I334" s="122">
        <v>0</v>
      </c>
    </row>
    <row r="335" spans="1:9">
      <c r="A335" s="113" t="s">
        <v>714</v>
      </c>
      <c r="B335" s="112" t="s">
        <v>1810</v>
      </c>
      <c r="C335" s="114" t="s">
        <v>1543</v>
      </c>
      <c r="D335" s="113" t="s">
        <v>648</v>
      </c>
      <c r="E335" s="113" t="s">
        <v>647</v>
      </c>
      <c r="F335" s="113" t="s">
        <v>1858</v>
      </c>
      <c r="G335" s="120">
        <v>85</v>
      </c>
      <c r="H335" s="121">
        <v>80</v>
      </c>
      <c r="I335" s="122">
        <v>5</v>
      </c>
    </row>
    <row r="336" ht="24" spans="1:9">
      <c r="A336" s="113" t="s">
        <v>714</v>
      </c>
      <c r="B336" s="112" t="s">
        <v>1810</v>
      </c>
      <c r="C336" s="114" t="s">
        <v>1554</v>
      </c>
      <c r="D336" s="113" t="s">
        <v>656</v>
      </c>
      <c r="E336" s="113" t="s">
        <v>647</v>
      </c>
      <c r="F336" s="113" t="s">
        <v>1857</v>
      </c>
      <c r="G336" s="123">
        <v>70</v>
      </c>
      <c r="H336" s="121">
        <v>80</v>
      </c>
      <c r="I336" s="122">
        <v>-10</v>
      </c>
    </row>
    <row r="337" ht="24" spans="1:9">
      <c r="A337" s="113" t="s">
        <v>714</v>
      </c>
      <c r="B337" s="112" t="s">
        <v>1810</v>
      </c>
      <c r="C337" s="114" t="s">
        <v>1565</v>
      </c>
      <c r="D337" s="113" t="s">
        <v>1566</v>
      </c>
      <c r="E337" s="113" t="s">
        <v>647</v>
      </c>
      <c r="F337" s="113" t="s">
        <v>1857</v>
      </c>
      <c r="G337" s="123">
        <v>70</v>
      </c>
      <c r="H337" s="121">
        <v>80</v>
      </c>
      <c r="I337" s="122">
        <v>-10</v>
      </c>
    </row>
    <row r="338" ht="24" spans="1:9">
      <c r="A338" s="113" t="s">
        <v>714</v>
      </c>
      <c r="B338" s="112" t="s">
        <v>1810</v>
      </c>
      <c r="C338" s="114" t="s">
        <v>1698</v>
      </c>
      <c r="D338" s="113" t="s">
        <v>722</v>
      </c>
      <c r="E338" s="113" t="s">
        <v>714</v>
      </c>
      <c r="F338" s="113" t="s">
        <v>1856</v>
      </c>
      <c r="G338" s="120">
        <v>100</v>
      </c>
      <c r="H338" s="121">
        <v>100</v>
      </c>
      <c r="I338" s="122">
        <v>0</v>
      </c>
    </row>
    <row r="339" spans="1:9">
      <c r="A339" s="113" t="s">
        <v>714</v>
      </c>
      <c r="B339" s="112" t="s">
        <v>1810</v>
      </c>
      <c r="C339" s="114" t="s">
        <v>1688</v>
      </c>
      <c r="D339" s="113" t="s">
        <v>715</v>
      </c>
      <c r="E339" s="113" t="s">
        <v>714</v>
      </c>
      <c r="F339" s="113" t="s">
        <v>1858</v>
      </c>
      <c r="G339" s="120">
        <v>85</v>
      </c>
      <c r="H339" s="121">
        <v>100</v>
      </c>
      <c r="I339" s="122">
        <v>-15</v>
      </c>
    </row>
    <row r="340" ht="24" spans="1:9">
      <c r="A340" s="113" t="s">
        <v>714</v>
      </c>
      <c r="B340" s="112" t="s">
        <v>1810</v>
      </c>
      <c r="C340" s="114" t="s">
        <v>1709</v>
      </c>
      <c r="D340" s="113" t="s">
        <v>1710</v>
      </c>
      <c r="E340" s="113" t="s">
        <v>714</v>
      </c>
      <c r="F340" s="113" t="s">
        <v>1857</v>
      </c>
      <c r="G340" s="123">
        <v>70</v>
      </c>
      <c r="H340" s="121">
        <v>100</v>
      </c>
      <c r="I340" s="122">
        <v>-30</v>
      </c>
    </row>
    <row r="341" spans="1:9">
      <c r="A341" s="113" t="s">
        <v>714</v>
      </c>
      <c r="B341" s="112" t="s">
        <v>1695</v>
      </c>
      <c r="C341" s="114" t="s">
        <v>1495</v>
      </c>
      <c r="D341" s="113" t="s">
        <v>1496</v>
      </c>
      <c r="E341" s="113" t="s">
        <v>613</v>
      </c>
      <c r="F341" s="113" t="s">
        <v>1858</v>
      </c>
      <c r="G341" s="120">
        <v>85</v>
      </c>
      <c r="H341" s="121">
        <v>80</v>
      </c>
      <c r="I341" s="122">
        <v>5</v>
      </c>
    </row>
    <row r="342" ht="24" spans="1:9">
      <c r="A342" s="113" t="s">
        <v>714</v>
      </c>
      <c r="B342" s="112" t="s">
        <v>1695</v>
      </c>
      <c r="C342" s="114" t="s">
        <v>1473</v>
      </c>
      <c r="D342" s="113" t="s">
        <v>614</v>
      </c>
      <c r="E342" s="113" t="s">
        <v>613</v>
      </c>
      <c r="F342" s="113" t="s">
        <v>1857</v>
      </c>
      <c r="G342" s="123">
        <v>70</v>
      </c>
      <c r="H342" s="121">
        <v>80</v>
      </c>
      <c r="I342" s="122">
        <v>-10</v>
      </c>
    </row>
    <row r="343" ht="24" spans="1:9">
      <c r="A343" s="113" t="s">
        <v>714</v>
      </c>
      <c r="B343" s="112" t="s">
        <v>1695</v>
      </c>
      <c r="C343" s="114" t="s">
        <v>1484</v>
      </c>
      <c r="D343" s="113" t="s">
        <v>622</v>
      </c>
      <c r="E343" s="113" t="s">
        <v>613</v>
      </c>
      <c r="F343" s="113" t="s">
        <v>1857</v>
      </c>
      <c r="G343" s="123">
        <v>70</v>
      </c>
      <c r="H343" s="121">
        <v>80</v>
      </c>
      <c r="I343" s="122">
        <v>-10</v>
      </c>
    </row>
    <row r="344" ht="24" spans="1:9">
      <c r="A344" s="113" t="s">
        <v>714</v>
      </c>
      <c r="B344" s="112" t="s">
        <v>1695</v>
      </c>
      <c r="C344" s="114" t="s">
        <v>1688</v>
      </c>
      <c r="D344" s="113" t="s">
        <v>715</v>
      </c>
      <c r="E344" s="113" t="s">
        <v>714</v>
      </c>
      <c r="F344" s="113" t="s">
        <v>1856</v>
      </c>
      <c r="G344" s="120">
        <v>100</v>
      </c>
      <c r="H344" s="121">
        <v>100</v>
      </c>
      <c r="I344" s="122">
        <v>0</v>
      </c>
    </row>
    <row r="345" spans="1:9">
      <c r="A345" s="113" t="s">
        <v>714</v>
      </c>
      <c r="B345" s="112" t="s">
        <v>1695</v>
      </c>
      <c r="C345" s="114" t="s">
        <v>1709</v>
      </c>
      <c r="D345" s="113" t="s">
        <v>1710</v>
      </c>
      <c r="E345" s="113" t="s">
        <v>714</v>
      </c>
      <c r="F345" s="113" t="s">
        <v>1858</v>
      </c>
      <c r="G345" s="120">
        <v>85</v>
      </c>
      <c r="H345" s="121">
        <v>100</v>
      </c>
      <c r="I345" s="122">
        <v>-15</v>
      </c>
    </row>
    <row r="346" ht="24" spans="1:9">
      <c r="A346" s="113" t="s">
        <v>714</v>
      </c>
      <c r="B346" s="112" t="s">
        <v>1695</v>
      </c>
      <c r="C346" s="114" t="s">
        <v>1698</v>
      </c>
      <c r="D346" s="113" t="s">
        <v>722</v>
      </c>
      <c r="E346" s="113" t="s">
        <v>714</v>
      </c>
      <c r="F346" s="113" t="s">
        <v>1857</v>
      </c>
      <c r="G346" s="123">
        <v>70</v>
      </c>
      <c r="H346" s="121">
        <v>100</v>
      </c>
      <c r="I346" s="122">
        <v>-30</v>
      </c>
    </row>
    <row r="347" spans="1:9">
      <c r="A347" s="113" t="s">
        <v>699</v>
      </c>
      <c r="B347" s="112" t="s">
        <v>1818</v>
      </c>
      <c r="C347" s="114" t="s">
        <v>1509</v>
      </c>
      <c r="D347" s="113" t="s">
        <v>631</v>
      </c>
      <c r="E347" s="113" t="s">
        <v>630</v>
      </c>
      <c r="F347" s="113" t="s">
        <v>1858</v>
      </c>
      <c r="G347" s="120">
        <v>85</v>
      </c>
      <c r="H347" s="121">
        <v>60</v>
      </c>
      <c r="I347" s="122">
        <v>25</v>
      </c>
    </row>
    <row r="348" ht="24" spans="1:9">
      <c r="A348" s="113" t="s">
        <v>699</v>
      </c>
      <c r="B348" s="112" t="s">
        <v>1818</v>
      </c>
      <c r="C348" s="114" t="s">
        <v>1520</v>
      </c>
      <c r="D348" s="113" t="s">
        <v>639</v>
      </c>
      <c r="E348" s="113" t="s">
        <v>630</v>
      </c>
      <c r="F348" s="113" t="s">
        <v>1857</v>
      </c>
      <c r="G348" s="123">
        <v>60</v>
      </c>
      <c r="H348" s="121">
        <v>60</v>
      </c>
      <c r="I348" s="122">
        <v>0</v>
      </c>
    </row>
    <row r="349" ht="24" spans="1:9">
      <c r="A349" s="113" t="s">
        <v>699</v>
      </c>
      <c r="B349" s="112" t="s">
        <v>1818</v>
      </c>
      <c r="C349" s="114" t="s">
        <v>1529</v>
      </c>
      <c r="D349" s="113" t="s">
        <v>1530</v>
      </c>
      <c r="E349" s="113" t="s">
        <v>630</v>
      </c>
      <c r="F349" s="113" t="s">
        <v>1857</v>
      </c>
      <c r="G349" s="123">
        <v>60</v>
      </c>
      <c r="H349" s="121">
        <v>60</v>
      </c>
      <c r="I349" s="122">
        <v>0</v>
      </c>
    </row>
    <row r="350" ht="24" spans="1:9">
      <c r="A350" s="113" t="s">
        <v>699</v>
      </c>
      <c r="B350" s="112" t="s">
        <v>1818</v>
      </c>
      <c r="C350" s="114" t="s">
        <v>1652</v>
      </c>
      <c r="D350" s="113" t="s">
        <v>700</v>
      </c>
      <c r="E350" s="113" t="s">
        <v>699</v>
      </c>
      <c r="F350" s="113" t="s">
        <v>1856</v>
      </c>
      <c r="G350" s="120">
        <v>100</v>
      </c>
      <c r="H350" s="121">
        <v>100</v>
      </c>
      <c r="I350" s="122">
        <v>0</v>
      </c>
    </row>
    <row r="351" ht="24" spans="1:9">
      <c r="A351" s="113" t="s">
        <v>699</v>
      </c>
      <c r="B351" s="112" t="s">
        <v>1818</v>
      </c>
      <c r="C351" s="114" t="s">
        <v>1673</v>
      </c>
      <c r="D351" s="113" t="s">
        <v>1674</v>
      </c>
      <c r="E351" s="113" t="s">
        <v>699</v>
      </c>
      <c r="F351" s="113" t="s">
        <v>1856</v>
      </c>
      <c r="G351" s="120">
        <v>100</v>
      </c>
      <c r="H351" s="121">
        <v>100</v>
      </c>
      <c r="I351" s="122">
        <v>0</v>
      </c>
    </row>
    <row r="352" spans="1:9">
      <c r="A352" s="113" t="s">
        <v>699</v>
      </c>
      <c r="B352" s="112" t="s">
        <v>1818</v>
      </c>
      <c r="C352" s="114" t="s">
        <v>1662</v>
      </c>
      <c r="D352" s="113" t="s">
        <v>707</v>
      </c>
      <c r="E352" s="113" t="s">
        <v>699</v>
      </c>
      <c r="F352" s="113" t="s">
        <v>1858</v>
      </c>
      <c r="G352" s="120">
        <v>85</v>
      </c>
      <c r="H352" s="121">
        <v>100</v>
      </c>
      <c r="I352" s="122">
        <v>-15</v>
      </c>
    </row>
    <row r="353" spans="1:9">
      <c r="A353" s="113" t="s">
        <v>699</v>
      </c>
      <c r="B353" s="112" t="s">
        <v>1822</v>
      </c>
      <c r="C353" s="114" t="s">
        <v>1365</v>
      </c>
      <c r="D353" s="113" t="s">
        <v>499</v>
      </c>
      <c r="E353" s="113" t="s">
        <v>243</v>
      </c>
      <c r="F353" s="113" t="s">
        <v>1858</v>
      </c>
      <c r="G353" s="120">
        <v>85</v>
      </c>
      <c r="H353" s="121">
        <v>80</v>
      </c>
      <c r="I353" s="122">
        <v>5</v>
      </c>
    </row>
    <row r="354" ht="24" spans="1:9">
      <c r="A354" s="113" t="s">
        <v>699</v>
      </c>
      <c r="B354" s="112" t="s">
        <v>1822</v>
      </c>
      <c r="C354" s="114" t="s">
        <v>1375</v>
      </c>
      <c r="D354" s="113" t="s">
        <v>145</v>
      </c>
      <c r="E354" s="113" t="s">
        <v>243</v>
      </c>
      <c r="F354" s="113" t="s">
        <v>1857</v>
      </c>
      <c r="G354" s="123">
        <v>70</v>
      </c>
      <c r="H354" s="121">
        <v>80</v>
      </c>
      <c r="I354" s="122">
        <v>-10</v>
      </c>
    </row>
    <row r="355" ht="24" spans="1:9">
      <c r="A355" s="113" t="s">
        <v>699</v>
      </c>
      <c r="B355" s="112" t="s">
        <v>1822</v>
      </c>
      <c r="C355" s="114" t="s">
        <v>1385</v>
      </c>
      <c r="D355" s="113" t="s">
        <v>1386</v>
      </c>
      <c r="E355" s="113" t="s">
        <v>243</v>
      </c>
      <c r="F355" s="113" t="s">
        <v>1857</v>
      </c>
      <c r="G355" s="123">
        <v>70</v>
      </c>
      <c r="H355" s="121">
        <v>80</v>
      </c>
      <c r="I355" s="122">
        <v>-10</v>
      </c>
    </row>
    <row r="356" spans="1:9">
      <c r="A356" s="113" t="s">
        <v>699</v>
      </c>
      <c r="B356" s="112" t="s">
        <v>1822</v>
      </c>
      <c r="C356" s="114" t="s">
        <v>1400</v>
      </c>
      <c r="D356" s="113" t="s">
        <v>547</v>
      </c>
      <c r="E356" s="113" t="s">
        <v>546</v>
      </c>
      <c r="F356" s="113" t="s">
        <v>1858</v>
      </c>
      <c r="G356" s="120">
        <v>85</v>
      </c>
      <c r="H356" s="121">
        <v>40</v>
      </c>
      <c r="I356" s="122">
        <v>45</v>
      </c>
    </row>
    <row r="357" ht="24" spans="1:9">
      <c r="A357" s="113" t="s">
        <v>699</v>
      </c>
      <c r="B357" s="112" t="s">
        <v>1822</v>
      </c>
      <c r="C357" s="114" t="s">
        <v>1411</v>
      </c>
      <c r="D357" s="113" t="s">
        <v>555</v>
      </c>
      <c r="E357" s="113" t="s">
        <v>546</v>
      </c>
      <c r="F357" s="113" t="s">
        <v>1857</v>
      </c>
      <c r="G357" s="123">
        <v>40</v>
      </c>
      <c r="H357" s="121">
        <v>40</v>
      </c>
      <c r="I357" s="122">
        <v>0</v>
      </c>
    </row>
    <row r="358" ht="24" spans="1:9">
      <c r="A358" s="113" t="s">
        <v>699</v>
      </c>
      <c r="B358" s="112" t="s">
        <v>1822</v>
      </c>
      <c r="C358" s="114" t="s">
        <v>1422</v>
      </c>
      <c r="D358" s="113" t="s">
        <v>734</v>
      </c>
      <c r="E358" s="113" t="s">
        <v>546</v>
      </c>
      <c r="F358" s="113" t="s">
        <v>1857</v>
      </c>
      <c r="G358" s="123">
        <v>40</v>
      </c>
      <c r="H358" s="121">
        <v>40</v>
      </c>
      <c r="I358" s="122">
        <v>0</v>
      </c>
    </row>
    <row r="359" ht="24" spans="1:9">
      <c r="A359" s="113" t="s">
        <v>699</v>
      </c>
      <c r="B359" s="112" t="s">
        <v>1822</v>
      </c>
      <c r="C359" s="114" t="s">
        <v>1662</v>
      </c>
      <c r="D359" s="113" t="s">
        <v>707</v>
      </c>
      <c r="E359" s="113" t="s">
        <v>699</v>
      </c>
      <c r="F359" s="113" t="s">
        <v>1856</v>
      </c>
      <c r="G359" s="120">
        <v>100</v>
      </c>
      <c r="H359" s="121">
        <v>100</v>
      </c>
      <c r="I359" s="122">
        <v>0</v>
      </c>
    </row>
    <row r="360" spans="1:9">
      <c r="A360" s="113" t="s">
        <v>699</v>
      </c>
      <c r="B360" s="112" t="s">
        <v>1822</v>
      </c>
      <c r="C360" s="114" t="s">
        <v>1673</v>
      </c>
      <c r="D360" s="113" t="s">
        <v>1674</v>
      </c>
      <c r="E360" s="113" t="s">
        <v>699</v>
      </c>
      <c r="F360" s="113" t="s">
        <v>1858</v>
      </c>
      <c r="G360" s="120">
        <v>85</v>
      </c>
      <c r="H360" s="121">
        <v>100</v>
      </c>
      <c r="I360" s="122">
        <v>-15</v>
      </c>
    </row>
    <row r="361" ht="24" spans="1:9">
      <c r="A361" s="113" t="s">
        <v>699</v>
      </c>
      <c r="B361" s="112" t="s">
        <v>1822</v>
      </c>
      <c r="C361" s="114" t="s">
        <v>1652</v>
      </c>
      <c r="D361" s="113" t="s">
        <v>700</v>
      </c>
      <c r="E361" s="113" t="s">
        <v>699</v>
      </c>
      <c r="F361" s="113" t="s">
        <v>1857</v>
      </c>
      <c r="G361" s="123">
        <v>70</v>
      </c>
      <c r="H361" s="121">
        <v>100</v>
      </c>
      <c r="I361" s="122">
        <v>-30</v>
      </c>
    </row>
    <row r="362" spans="1:9">
      <c r="A362" s="113" t="s">
        <v>1826</v>
      </c>
      <c r="B362" s="112" t="s">
        <v>1830</v>
      </c>
      <c r="C362" s="114" t="s">
        <v>1580</v>
      </c>
      <c r="D362" s="113" t="s">
        <v>667</v>
      </c>
      <c r="E362" s="113" t="s">
        <v>666</v>
      </c>
      <c r="F362" s="113" t="s">
        <v>1858</v>
      </c>
      <c r="G362" s="120">
        <v>85</v>
      </c>
      <c r="H362" s="121">
        <v>100</v>
      </c>
      <c r="I362" s="122">
        <v>-15</v>
      </c>
    </row>
    <row r="363" ht="24" spans="1:9">
      <c r="A363" s="113" t="s">
        <v>1826</v>
      </c>
      <c r="B363" s="112" t="s">
        <v>1830</v>
      </c>
      <c r="C363" s="114" t="s">
        <v>1591</v>
      </c>
      <c r="D363" s="113" t="s">
        <v>674</v>
      </c>
      <c r="E363" s="113" t="s">
        <v>666</v>
      </c>
      <c r="F363" s="113" t="s">
        <v>1857</v>
      </c>
      <c r="G363" s="123">
        <v>70</v>
      </c>
      <c r="H363" s="121">
        <v>100</v>
      </c>
      <c r="I363" s="122">
        <v>-30</v>
      </c>
    </row>
    <row r="364" ht="24" spans="1:9">
      <c r="A364" s="113" t="s">
        <v>1826</v>
      </c>
      <c r="B364" s="112" t="s">
        <v>1830</v>
      </c>
      <c r="C364" s="114" t="s">
        <v>1602</v>
      </c>
      <c r="D364" s="113" t="s">
        <v>1603</v>
      </c>
      <c r="E364" s="113" t="s">
        <v>666</v>
      </c>
      <c r="F364" s="113" t="s">
        <v>1857</v>
      </c>
      <c r="G364" s="123">
        <v>70</v>
      </c>
      <c r="H364" s="121">
        <v>100</v>
      </c>
      <c r="I364" s="122">
        <v>-30</v>
      </c>
    </row>
    <row r="365" ht="24" spans="1:9">
      <c r="A365" s="113" t="s">
        <v>1826</v>
      </c>
      <c r="B365" s="112" t="s">
        <v>1830</v>
      </c>
      <c r="C365" s="114" t="s">
        <v>1617</v>
      </c>
      <c r="D365" s="113" t="s">
        <v>682</v>
      </c>
      <c r="E365" s="113" t="s">
        <v>681</v>
      </c>
      <c r="F365" s="113" t="s">
        <v>1856</v>
      </c>
      <c r="G365" s="120">
        <v>100</v>
      </c>
      <c r="H365" s="121">
        <v>100</v>
      </c>
      <c r="I365" s="122">
        <v>0</v>
      </c>
    </row>
    <row r="366" ht="24" spans="1:9">
      <c r="A366" s="113" t="s">
        <v>1826</v>
      </c>
      <c r="B366" s="112" t="s">
        <v>1830</v>
      </c>
      <c r="C366" s="114" t="s">
        <v>1638</v>
      </c>
      <c r="D366" s="113" t="s">
        <v>1639</v>
      </c>
      <c r="E366" s="113" t="s">
        <v>681</v>
      </c>
      <c r="F366" s="113" t="s">
        <v>1856</v>
      </c>
      <c r="G366" s="120">
        <v>100</v>
      </c>
      <c r="H366" s="121">
        <v>100</v>
      </c>
      <c r="I366" s="122">
        <v>0</v>
      </c>
    </row>
    <row r="367" spans="1:9">
      <c r="A367" s="113" t="s">
        <v>1826</v>
      </c>
      <c r="B367" s="112" t="s">
        <v>1830</v>
      </c>
      <c r="C367" s="114" t="s">
        <v>1627</v>
      </c>
      <c r="D367" s="113" t="s">
        <v>689</v>
      </c>
      <c r="E367" s="113" t="s">
        <v>681</v>
      </c>
      <c r="F367" s="113" t="s">
        <v>1858</v>
      </c>
      <c r="G367" s="120">
        <v>85</v>
      </c>
      <c r="H367" s="121">
        <v>100</v>
      </c>
      <c r="I367" s="122">
        <v>-15</v>
      </c>
    </row>
    <row r="368" spans="1:9">
      <c r="A368" s="113" t="s">
        <v>1826</v>
      </c>
      <c r="B368" s="112" t="s">
        <v>1833</v>
      </c>
      <c r="C368" s="114" t="s">
        <v>1473</v>
      </c>
      <c r="D368" s="113" t="s">
        <v>614</v>
      </c>
      <c r="E368" s="113" t="s">
        <v>613</v>
      </c>
      <c r="F368" s="113" t="s">
        <v>1858</v>
      </c>
      <c r="G368" s="120">
        <v>85</v>
      </c>
      <c r="H368" s="121">
        <v>60</v>
      </c>
      <c r="I368" s="122">
        <v>25</v>
      </c>
    </row>
    <row r="369" ht="24" spans="1:9">
      <c r="A369" s="113" t="s">
        <v>1826</v>
      </c>
      <c r="B369" s="112" t="s">
        <v>1833</v>
      </c>
      <c r="C369" s="114" t="s">
        <v>1484</v>
      </c>
      <c r="D369" s="113" t="s">
        <v>622</v>
      </c>
      <c r="E369" s="113" t="s">
        <v>613</v>
      </c>
      <c r="F369" s="113" t="s">
        <v>1857</v>
      </c>
      <c r="G369" s="123">
        <v>60</v>
      </c>
      <c r="H369" s="121">
        <v>60</v>
      </c>
      <c r="I369" s="122">
        <v>0</v>
      </c>
    </row>
    <row r="370" ht="24" spans="1:9">
      <c r="A370" s="113" t="s">
        <v>1826</v>
      </c>
      <c r="B370" s="112" t="s">
        <v>1833</v>
      </c>
      <c r="C370" s="114" t="s">
        <v>1495</v>
      </c>
      <c r="D370" s="113" t="s">
        <v>1496</v>
      </c>
      <c r="E370" s="113" t="s">
        <v>613</v>
      </c>
      <c r="F370" s="113" t="s">
        <v>1857</v>
      </c>
      <c r="G370" s="123">
        <v>60</v>
      </c>
      <c r="H370" s="121">
        <v>60</v>
      </c>
      <c r="I370" s="122">
        <v>0</v>
      </c>
    </row>
    <row r="371" ht="24" spans="1:9">
      <c r="A371" s="113" t="s">
        <v>1826</v>
      </c>
      <c r="B371" s="112" t="s">
        <v>1833</v>
      </c>
      <c r="C371" s="114" t="s">
        <v>1591</v>
      </c>
      <c r="D371" s="113" t="s">
        <v>674</v>
      </c>
      <c r="E371" s="113" t="s">
        <v>666</v>
      </c>
      <c r="F371" s="113" t="s">
        <v>1856</v>
      </c>
      <c r="G371" s="120">
        <v>100</v>
      </c>
      <c r="H371" s="121">
        <v>100</v>
      </c>
      <c r="I371" s="122">
        <v>0</v>
      </c>
    </row>
    <row r="372" ht="24" spans="1:9">
      <c r="A372" s="113" t="s">
        <v>1826</v>
      </c>
      <c r="B372" s="112" t="s">
        <v>1833</v>
      </c>
      <c r="C372" s="114" t="s">
        <v>1602</v>
      </c>
      <c r="D372" s="113" t="s">
        <v>1603</v>
      </c>
      <c r="E372" s="113" t="s">
        <v>666</v>
      </c>
      <c r="F372" s="113" t="s">
        <v>1856</v>
      </c>
      <c r="G372" s="120">
        <v>100</v>
      </c>
      <c r="H372" s="121">
        <v>100</v>
      </c>
      <c r="I372" s="122">
        <v>0</v>
      </c>
    </row>
    <row r="373" spans="1:9">
      <c r="A373" s="113" t="s">
        <v>1826</v>
      </c>
      <c r="B373" s="112" t="s">
        <v>1833</v>
      </c>
      <c r="C373" s="114" t="s">
        <v>1580</v>
      </c>
      <c r="D373" s="113" t="s">
        <v>667</v>
      </c>
      <c r="E373" s="113" t="s">
        <v>666</v>
      </c>
      <c r="F373" s="113" t="s">
        <v>1858</v>
      </c>
      <c r="G373" s="120">
        <v>85</v>
      </c>
      <c r="H373" s="121">
        <v>100</v>
      </c>
      <c r="I373" s="122">
        <v>-15</v>
      </c>
    </row>
    <row r="374" spans="1:9">
      <c r="A374" s="113" t="s">
        <v>1837</v>
      </c>
      <c r="B374" s="112" t="s">
        <v>1841</v>
      </c>
      <c r="C374" s="114" t="s">
        <v>1305</v>
      </c>
      <c r="D374" s="113" t="s">
        <v>538</v>
      </c>
      <c r="E374" s="113" t="s">
        <v>245</v>
      </c>
      <c r="F374" s="113" t="s">
        <v>1858</v>
      </c>
      <c r="G374" s="120">
        <v>85</v>
      </c>
      <c r="H374" s="121">
        <v>60</v>
      </c>
      <c r="I374" s="122">
        <v>25</v>
      </c>
    </row>
    <row r="375" ht="24" spans="1:9">
      <c r="A375" s="113" t="s">
        <v>1837</v>
      </c>
      <c r="B375" s="112" t="s">
        <v>1841</v>
      </c>
      <c r="C375" s="114" t="s">
        <v>1291</v>
      </c>
      <c r="D375" s="113" t="s">
        <v>249</v>
      </c>
      <c r="E375" s="113" t="s">
        <v>245</v>
      </c>
      <c r="F375" s="113" t="s">
        <v>1857</v>
      </c>
      <c r="G375" s="123">
        <v>60</v>
      </c>
      <c r="H375" s="121">
        <v>60</v>
      </c>
      <c r="I375" s="122">
        <v>0</v>
      </c>
    </row>
    <row r="376" ht="24" spans="1:9">
      <c r="A376" s="113" t="s">
        <v>1837</v>
      </c>
      <c r="B376" s="112" t="s">
        <v>1841</v>
      </c>
      <c r="C376" s="114" t="s">
        <v>1316</v>
      </c>
      <c r="D376" s="113" t="s">
        <v>147</v>
      </c>
      <c r="E376" s="113" t="s">
        <v>245</v>
      </c>
      <c r="F376" s="113" t="s">
        <v>1857</v>
      </c>
      <c r="G376" s="123">
        <v>60</v>
      </c>
      <c r="H376" s="121">
        <v>60</v>
      </c>
      <c r="I376" s="122">
        <v>0</v>
      </c>
    </row>
    <row r="377" spans="1:9">
      <c r="A377" s="113" t="s">
        <v>1837</v>
      </c>
      <c r="B377" s="112" t="s">
        <v>1841</v>
      </c>
      <c r="C377" s="114" t="s">
        <v>1329</v>
      </c>
      <c r="D377" s="113" t="s">
        <v>588</v>
      </c>
      <c r="E377" s="113" t="s">
        <v>579</v>
      </c>
      <c r="F377" s="113" t="s">
        <v>1858</v>
      </c>
      <c r="G377" s="120">
        <v>85</v>
      </c>
      <c r="H377" s="121">
        <v>60</v>
      </c>
      <c r="I377" s="122">
        <v>25</v>
      </c>
    </row>
    <row r="378" ht="24" spans="1:9">
      <c r="A378" s="113" t="s">
        <v>1837</v>
      </c>
      <c r="B378" s="112" t="s">
        <v>1841</v>
      </c>
      <c r="C378" s="114" t="s">
        <v>1339</v>
      </c>
      <c r="D378" s="113" t="s">
        <v>580</v>
      </c>
      <c r="E378" s="113" t="s">
        <v>579</v>
      </c>
      <c r="F378" s="113" t="s">
        <v>1857</v>
      </c>
      <c r="G378" s="123">
        <v>60</v>
      </c>
      <c r="H378" s="121">
        <v>60</v>
      </c>
      <c r="I378" s="122">
        <v>0</v>
      </c>
    </row>
    <row r="379" ht="24" spans="1:9">
      <c r="A379" s="113" t="s">
        <v>1837</v>
      </c>
      <c r="B379" s="112" t="s">
        <v>1841</v>
      </c>
      <c r="C379" s="114" t="s">
        <v>1350</v>
      </c>
      <c r="D379" s="113" t="s">
        <v>1351</v>
      </c>
      <c r="E379" s="113" t="s">
        <v>579</v>
      </c>
      <c r="F379" s="113" t="s">
        <v>1857</v>
      </c>
      <c r="G379" s="123">
        <v>60</v>
      </c>
      <c r="H379" s="121">
        <v>60</v>
      </c>
      <c r="I379" s="122">
        <v>0</v>
      </c>
    </row>
    <row r="380" ht="24" spans="1:9">
      <c r="A380" s="113" t="s">
        <v>1837</v>
      </c>
      <c r="B380" s="112" t="s">
        <v>1841</v>
      </c>
      <c r="C380" s="114" t="s">
        <v>1554</v>
      </c>
      <c r="D380" s="113" t="s">
        <v>656</v>
      </c>
      <c r="E380" s="113" t="s">
        <v>647</v>
      </c>
      <c r="F380" s="113" t="s">
        <v>1856</v>
      </c>
      <c r="G380" s="120">
        <v>100</v>
      </c>
      <c r="H380" s="121">
        <v>100</v>
      </c>
      <c r="I380" s="122">
        <v>0</v>
      </c>
    </row>
    <row r="381" ht="24" spans="1:9">
      <c r="A381" s="113" t="s">
        <v>1837</v>
      </c>
      <c r="B381" s="112" t="s">
        <v>1841</v>
      </c>
      <c r="C381" s="114" t="s">
        <v>1565</v>
      </c>
      <c r="D381" s="113" t="s">
        <v>1566</v>
      </c>
      <c r="E381" s="113" t="s">
        <v>647</v>
      </c>
      <c r="F381" s="113" t="s">
        <v>1856</v>
      </c>
      <c r="G381" s="120">
        <v>100</v>
      </c>
      <c r="H381" s="121">
        <v>100</v>
      </c>
      <c r="I381" s="122">
        <v>0</v>
      </c>
    </row>
    <row r="382" spans="1:9">
      <c r="A382" s="113" t="s">
        <v>1837</v>
      </c>
      <c r="B382" s="112" t="s">
        <v>1841</v>
      </c>
      <c r="C382" s="114" t="s">
        <v>1543</v>
      </c>
      <c r="D382" s="113" t="s">
        <v>648</v>
      </c>
      <c r="E382" s="113" t="s">
        <v>647</v>
      </c>
      <c r="F382" s="113" t="s">
        <v>1858</v>
      </c>
      <c r="G382" s="120">
        <v>85</v>
      </c>
      <c r="H382" s="121">
        <v>100</v>
      </c>
      <c r="I382" s="122">
        <v>-15</v>
      </c>
    </row>
    <row r="383" spans="1:9">
      <c r="A383" s="113" t="s">
        <v>1837</v>
      </c>
      <c r="B383" s="112" t="s">
        <v>1845</v>
      </c>
      <c r="C383" s="114" t="s">
        <v>1212</v>
      </c>
      <c r="D383" s="113" t="s">
        <v>146</v>
      </c>
      <c r="E383" s="113" t="s">
        <v>244</v>
      </c>
      <c r="F383" s="113" t="s">
        <v>1858</v>
      </c>
      <c r="G383" s="120">
        <v>85</v>
      </c>
      <c r="H383" s="121">
        <v>60</v>
      </c>
      <c r="I383" s="122">
        <v>25</v>
      </c>
    </row>
    <row r="384" ht="24" spans="1:9">
      <c r="A384" s="113" t="s">
        <v>1837</v>
      </c>
      <c r="B384" s="112" t="s">
        <v>1845</v>
      </c>
      <c r="C384" s="114" t="s">
        <v>1227</v>
      </c>
      <c r="D384" s="113" t="s">
        <v>522</v>
      </c>
      <c r="E384" s="113" t="s">
        <v>244</v>
      </c>
      <c r="F384" s="113" t="s">
        <v>1857</v>
      </c>
      <c r="G384" s="123">
        <v>60</v>
      </c>
      <c r="H384" s="121">
        <v>60</v>
      </c>
      <c r="I384" s="122">
        <v>0</v>
      </c>
    </row>
    <row r="385" ht="24" spans="1:9">
      <c r="A385" s="113" t="s">
        <v>1837</v>
      </c>
      <c r="B385" s="112" t="s">
        <v>1845</v>
      </c>
      <c r="C385" s="114" t="s">
        <v>1242</v>
      </c>
      <c r="D385" s="113" t="s">
        <v>1243</v>
      </c>
      <c r="E385" s="113" t="s">
        <v>244</v>
      </c>
      <c r="F385" s="113" t="s">
        <v>1857</v>
      </c>
      <c r="G385" s="123">
        <v>60</v>
      </c>
      <c r="H385" s="121">
        <v>60</v>
      </c>
      <c r="I385" s="122">
        <v>0</v>
      </c>
    </row>
    <row r="386" ht="24" spans="1:9">
      <c r="A386" s="113" t="s">
        <v>1837</v>
      </c>
      <c r="B386" s="112" t="s">
        <v>1845</v>
      </c>
      <c r="C386" s="114" t="s">
        <v>1543</v>
      </c>
      <c r="D386" s="113" t="s">
        <v>648</v>
      </c>
      <c r="E386" s="113" t="s">
        <v>647</v>
      </c>
      <c r="F386" s="113" t="s">
        <v>1856</v>
      </c>
      <c r="G386" s="120">
        <v>100</v>
      </c>
      <c r="H386" s="121">
        <v>100</v>
      </c>
      <c r="I386" s="122">
        <v>0</v>
      </c>
    </row>
    <row r="387" ht="24" spans="1:9">
      <c r="A387" s="113" t="s">
        <v>1837</v>
      </c>
      <c r="B387" s="112" t="s">
        <v>1845</v>
      </c>
      <c r="C387" s="114" t="s">
        <v>1565</v>
      </c>
      <c r="D387" s="113" t="s">
        <v>1566</v>
      </c>
      <c r="E387" s="113" t="s">
        <v>647</v>
      </c>
      <c r="F387" s="113" t="s">
        <v>1856</v>
      </c>
      <c r="G387" s="120">
        <v>100</v>
      </c>
      <c r="H387" s="121">
        <v>100</v>
      </c>
      <c r="I387" s="122">
        <v>0</v>
      </c>
    </row>
    <row r="388" spans="1:9">
      <c r="A388" s="113" t="s">
        <v>1837</v>
      </c>
      <c r="B388" s="112" t="s">
        <v>1845</v>
      </c>
      <c r="C388" s="114" t="s">
        <v>1554</v>
      </c>
      <c r="D388" s="113" t="s">
        <v>656</v>
      </c>
      <c r="E388" s="113" t="s">
        <v>647</v>
      </c>
      <c r="F388" s="113" t="s">
        <v>1858</v>
      </c>
      <c r="G388" s="120">
        <v>85</v>
      </c>
      <c r="H388" s="121">
        <v>100</v>
      </c>
      <c r="I388" s="122">
        <v>-15</v>
      </c>
    </row>
    <row r="390" ht="18" customHeight="1" spans="1:9">
      <c r="A390" s="87" t="s">
        <v>1859</v>
      </c>
    </row>
    <row r="391" ht="24" customHeight="1" spans="1:9">
      <c r="A391" s="88" t="s">
        <v>1860</v>
      </c>
      <c r="B391" s="88" t="s">
        <v>1861</v>
      </c>
      <c r="C391" s="88" t="s">
        <v>1161</v>
      </c>
      <c r="D391" s="88" t="s">
        <v>1862</v>
      </c>
      <c r="E391" s="88" t="s">
        <v>1863</v>
      </c>
      <c r="F391" s="88" t="s">
        <v>1864</v>
      </c>
      <c r="G391" s="110"/>
      <c r="H391" s="110"/>
      <c r="I391" s="111"/>
    </row>
    <row r="392" spans="1:9">
      <c r="A392" s="112" t="s">
        <v>613</v>
      </c>
      <c r="B392" s="124">
        <v>2522</v>
      </c>
      <c r="C392" s="125" t="s">
        <v>438</v>
      </c>
      <c r="D392" s="114" t="s">
        <v>1470</v>
      </c>
      <c r="E392" s="113" t="s">
        <v>613</v>
      </c>
      <c r="F392" s="113" t="s">
        <v>1865</v>
      </c>
      <c r="G392" s="28"/>
      <c r="H392" s="28"/>
      <c r="I392" s="29"/>
    </row>
    <row r="393" spans="1:9">
      <c r="A393" s="112" t="s">
        <v>244</v>
      </c>
      <c r="B393" s="124">
        <v>1271</v>
      </c>
      <c r="C393" s="125" t="s">
        <v>438</v>
      </c>
      <c r="D393" s="114" t="s">
        <v>1209</v>
      </c>
      <c r="E393" s="113" t="s">
        <v>244</v>
      </c>
      <c r="F393" s="113" t="s">
        <v>1866</v>
      </c>
      <c r="G393" s="28"/>
      <c r="H393" s="28"/>
      <c r="I393" s="29"/>
    </row>
    <row r="394" spans="1:9">
      <c r="A394" s="112" t="s">
        <v>1867</v>
      </c>
      <c r="B394" s="124">
        <v>581</v>
      </c>
      <c r="C394" s="125" t="s">
        <v>1868</v>
      </c>
      <c r="D394" s="114" t="s">
        <v>1543</v>
      </c>
      <c r="E394" s="113" t="s">
        <v>648</v>
      </c>
      <c r="F394" s="113" t="s">
        <v>1869</v>
      </c>
      <c r="G394" s="28"/>
      <c r="H394" s="28"/>
      <c r="I394" s="29"/>
    </row>
    <row r="395" spans="1:9">
      <c r="A395" s="112" t="s">
        <v>666</v>
      </c>
      <c r="B395" s="124">
        <v>476</v>
      </c>
      <c r="C395" s="125" t="s">
        <v>438</v>
      </c>
      <c r="D395" s="114" t="s">
        <v>1577</v>
      </c>
      <c r="E395" s="113" t="s">
        <v>666</v>
      </c>
      <c r="F395" s="113" t="s">
        <v>1870</v>
      </c>
      <c r="G395" s="28"/>
      <c r="H395" s="28"/>
      <c r="I395" s="29"/>
    </row>
    <row r="396" spans="1:9">
      <c r="A396" s="112" t="s">
        <v>1871</v>
      </c>
      <c r="B396" s="124">
        <v>150</v>
      </c>
      <c r="C396" s="125" t="s">
        <v>437</v>
      </c>
      <c r="D396" s="114" t="s">
        <v>827</v>
      </c>
      <c r="E396" s="113" t="s">
        <v>827</v>
      </c>
      <c r="F396" s="113" t="s">
        <v>1872</v>
      </c>
      <c r="G396" s="28"/>
      <c r="H396" s="28"/>
      <c r="I396" s="29"/>
    </row>
    <row r="397" spans="1:9">
      <c r="A397" s="126" t="s">
        <v>1873</v>
      </c>
      <c r="B397" s="121" t="s">
        <v>1874</v>
      </c>
      <c r="C397" s="121" t="s">
        <v>1875</v>
      </c>
      <c r="D397" s="127" t="s">
        <v>827</v>
      </c>
      <c r="E397" s="128" t="s">
        <v>827</v>
      </c>
      <c r="F397" s="128" t="s">
        <v>1876</v>
      </c>
      <c r="G397" s="28"/>
      <c r="H397" s="28"/>
      <c r="I397" s="29"/>
    </row>
    <row r="399" ht="18" customHeight="1" spans="1:9">
      <c r="A399" s="87" t="s">
        <v>1877</v>
      </c>
    </row>
    <row r="400" ht="24" customHeight="1" spans="1:9">
      <c r="A400" s="88" t="s">
        <v>1878</v>
      </c>
      <c r="B400" s="88" t="s">
        <v>360</v>
      </c>
      <c r="C400" s="111"/>
      <c r="D400" s="88" t="s">
        <v>1879</v>
      </c>
      <c r="E400" s="110"/>
      <c r="F400" s="110"/>
      <c r="G400" s="110"/>
      <c r="H400" s="110"/>
      <c r="I400" s="111"/>
    </row>
    <row r="401" spans="1:9">
      <c r="A401" s="112" t="s">
        <v>1880</v>
      </c>
      <c r="B401" s="112" t="s">
        <v>1881</v>
      </c>
      <c r="C401" s="29"/>
      <c r="D401" s="113" t="s">
        <v>1882</v>
      </c>
      <c r="E401" s="28"/>
      <c r="F401" s="28"/>
      <c r="G401" s="28"/>
      <c r="H401" s="28"/>
      <c r="I401" s="29"/>
    </row>
    <row r="402" spans="1:9">
      <c r="A402" s="112" t="s">
        <v>1883</v>
      </c>
      <c r="B402" s="112" t="s">
        <v>1884</v>
      </c>
      <c r="C402" s="29"/>
      <c r="D402" s="113" t="s">
        <v>1885</v>
      </c>
      <c r="E402" s="28"/>
      <c r="F402" s="28"/>
      <c r="G402" s="28"/>
      <c r="H402" s="28"/>
      <c r="I402" s="29"/>
    </row>
    <row r="403" spans="1:9">
      <c r="A403" s="112" t="s">
        <v>1886</v>
      </c>
      <c r="B403" s="112" t="s">
        <v>1887</v>
      </c>
      <c r="C403" s="29"/>
      <c r="D403" s="113" t="s">
        <v>1888</v>
      </c>
      <c r="E403" s="28"/>
      <c r="F403" s="28"/>
      <c r="G403" s="28"/>
      <c r="H403" s="28"/>
      <c r="I403" s="29"/>
    </row>
    <row r="404" spans="1:9">
      <c r="A404" s="112" t="s">
        <v>1889</v>
      </c>
      <c r="B404" s="112" t="s">
        <v>1890</v>
      </c>
      <c r="C404" s="29"/>
      <c r="D404" s="113" t="s">
        <v>1891</v>
      </c>
      <c r="E404" s="28"/>
      <c r="F404" s="28"/>
      <c r="G404" s="28"/>
      <c r="H404" s="28"/>
      <c r="I404" s="29"/>
    </row>
    <row r="405" spans="1:9">
      <c r="A405" s="112" t="s">
        <v>1892</v>
      </c>
      <c r="B405" s="112" t="s">
        <v>1893</v>
      </c>
      <c r="C405" s="29"/>
      <c r="D405" s="113" t="s">
        <v>1894</v>
      </c>
      <c r="E405" s="28"/>
      <c r="F405" s="28"/>
      <c r="G405" s="28"/>
      <c r="H405" s="28"/>
      <c r="I405" s="29"/>
    </row>
    <row r="406" spans="1:9">
      <c r="A406" s="112" t="s">
        <v>1895</v>
      </c>
      <c r="B406" s="112" t="s">
        <v>1896</v>
      </c>
      <c r="C406" s="29"/>
      <c r="D406" s="113" t="s">
        <v>1897</v>
      </c>
      <c r="E406" s="28"/>
      <c r="F406" s="28"/>
      <c r="G406" s="28"/>
      <c r="H406" s="28"/>
      <c r="I406" s="29"/>
    </row>
    <row r="408" ht="18" customHeight="1" spans="1:9">
      <c r="A408" s="87" t="s">
        <v>1898</v>
      </c>
    </row>
    <row r="409" spans="1:9">
      <c r="A409" s="90" t="s">
        <v>1899</v>
      </c>
      <c r="B409" s="28"/>
      <c r="C409" s="28"/>
      <c r="D409" s="28"/>
      <c r="E409" s="29"/>
      <c r="F409" s="97">
        <f>COUNTIF($B$21:$B$163,"L1 Category")</f>
        <v>14</v>
      </c>
    </row>
    <row r="410" spans="1:9">
      <c r="A410" s="90" t="s">
        <v>1900</v>
      </c>
      <c r="B410" s="28"/>
      <c r="C410" s="28"/>
      <c r="D410" s="28"/>
      <c r="E410" s="29"/>
      <c r="F410" s="97">
        <f>COUNTIF($B$21:$B$163,"L2 Sub Category")</f>
        <v>42</v>
      </c>
    </row>
    <row r="411" spans="1:9">
      <c r="A411" s="90" t="s">
        <v>1901</v>
      </c>
      <c r="B411" s="28"/>
      <c r="C411" s="28"/>
      <c r="D411" s="28"/>
      <c r="E411" s="29"/>
      <c r="F411" s="97">
        <f>COUNTIF($B$21:$B$163,"L3 Content Topic")</f>
        <v>87</v>
      </c>
    </row>
    <row r="412" spans="1:9">
      <c r="A412" s="90" t="s">
        <v>1902</v>
      </c>
      <c r="B412" s="28"/>
      <c r="C412" s="28"/>
      <c r="D412" s="28"/>
      <c r="E412" s="29"/>
      <c r="F412" s="97">
        <f>COUNTA($A$21:$A$163)</f>
        <v>143</v>
      </c>
    </row>
    <row r="413" spans="1:9">
      <c r="A413" s="90" t="s">
        <v>1903</v>
      </c>
      <c r="B413" s="28"/>
      <c r="C413" s="28"/>
      <c r="D413" s="28"/>
      <c r="E413" s="29"/>
      <c r="F413" s="97">
        <f>COUNTIF($B$167:$B$202,"B1 Industry")</f>
        <v>12</v>
      </c>
    </row>
    <row r="414" spans="1:9">
      <c r="A414" s="90" t="s">
        <v>1904</v>
      </c>
      <c r="B414" s="28"/>
      <c r="C414" s="28"/>
      <c r="D414" s="28"/>
      <c r="E414" s="29"/>
      <c r="F414" s="97">
        <f>COUNTIF($B$167:$B$202,"B2 Niche")</f>
        <v>24</v>
      </c>
    </row>
    <row r="415" spans="1:9">
      <c r="A415" s="90" t="s">
        <v>1905</v>
      </c>
      <c r="B415" s="28"/>
      <c r="C415" s="28"/>
      <c r="D415" s="28"/>
      <c r="E415" s="29"/>
      <c r="F415" s="97">
        <f>COUNTA($A$206:$A$388)</f>
        <v>183</v>
      </c>
    </row>
    <row r="416" spans="1:9">
      <c r="A416" s="90" t="s">
        <v>1906</v>
      </c>
      <c r="B416" s="28"/>
      <c r="C416" s="28"/>
      <c r="D416" s="28"/>
      <c r="E416" s="29"/>
      <c r="F416" s="97">
        <f>COUNTIF($G$206:$G$388,100)</f>
        <v>39</v>
      </c>
    </row>
    <row r="417" spans="1:6">
      <c r="A417" s="90" t="s">
        <v>1907</v>
      </c>
      <c r="B417" s="28"/>
      <c r="C417" s="28"/>
      <c r="D417" s="28"/>
      <c r="E417" s="29"/>
      <c r="F417" s="97">
        <f>COUNTIF($G$206:$G$388,85)</f>
        <v>59</v>
      </c>
    </row>
    <row r="418" spans="1:6">
      <c r="A418" s="90" t="s">
        <v>1908</v>
      </c>
      <c r="B418" s="28"/>
      <c r="C418" s="28"/>
      <c r="D418" s="28"/>
      <c r="E418" s="29"/>
      <c r="F418" s="97">
        <f>COUNTIF($G$206:$G$388,"&lt;85")</f>
        <v>85</v>
      </c>
    </row>
    <row r="419" spans="1:6">
      <c r="A419" s="90" t="s">
        <v>1909</v>
      </c>
      <c r="B419" s="28"/>
      <c r="C419" s="28"/>
      <c r="D419" s="28"/>
      <c r="E419" s="29"/>
      <c r="F419" s="97">
        <f>COUNTIF($I$206:$I$388,"&gt;0")</f>
        <v>40</v>
      </c>
    </row>
    <row r="420" spans="1:6">
      <c r="A420" s="90" t="s">
        <v>1910</v>
      </c>
      <c r="B420" s="28"/>
      <c r="C420" s="28"/>
      <c r="D420" s="28"/>
      <c r="E420" s="29"/>
      <c r="F420" s="97">
        <f>COUNTIF($I$206:$I$388,"&lt;0")</f>
        <v>69</v>
      </c>
    </row>
    <row r="421" spans="1:6">
      <c r="A421" s="90" t="s">
        <v>1911</v>
      </c>
      <c r="B421" s="28"/>
      <c r="C421" s="28"/>
      <c r="D421" s="28"/>
      <c r="E421" s="29"/>
      <c r="F421" s="97">
        <f>COUNTA($A$392:$A$396)</f>
        <v>5</v>
      </c>
    </row>
  </sheetData>
  <mergeCells count="247">
    <mergeCell ref="A1:I1"/>
    <mergeCell ref="A2:I2"/>
    <mergeCell ref="A4:I4"/>
    <mergeCell ref="C5:E5"/>
    <mergeCell ref="F5:I5"/>
    <mergeCell ref="C6:E6"/>
    <mergeCell ref="F6:I6"/>
    <mergeCell ref="C7:E7"/>
    <mergeCell ref="F7:I7"/>
    <mergeCell ref="C8:E8"/>
    <mergeCell ref="F8:I8"/>
    <mergeCell ref="A10:I10"/>
    <mergeCell ref="C11:D11"/>
    <mergeCell ref="F11:I11"/>
    <mergeCell ref="C12:D12"/>
    <mergeCell ref="F12:I12"/>
    <mergeCell ref="C13:D13"/>
    <mergeCell ref="F13:I13"/>
    <mergeCell ref="C14:D14"/>
    <mergeCell ref="F14:I14"/>
    <mergeCell ref="C15:D15"/>
    <mergeCell ref="F15:I15"/>
    <mergeCell ref="C16:D16"/>
    <mergeCell ref="F16:I16"/>
    <mergeCell ref="C17:D17"/>
    <mergeCell ref="F17:I17"/>
    <mergeCell ref="A19:I19"/>
    <mergeCell ref="F20:I20"/>
    <mergeCell ref="F21:I21"/>
    <mergeCell ref="F22:I22"/>
    <mergeCell ref="F23:I23"/>
    <mergeCell ref="F24:I24"/>
    <mergeCell ref="F25:I25"/>
    <mergeCell ref="F26:I26"/>
    <mergeCell ref="F27:I27"/>
    <mergeCell ref="F28:I28"/>
    <mergeCell ref="F29:I29"/>
    <mergeCell ref="F30:I30"/>
    <mergeCell ref="F31:I31"/>
    <mergeCell ref="F32:I32"/>
    <mergeCell ref="F33:I33"/>
    <mergeCell ref="F34:I34"/>
    <mergeCell ref="F35:I35"/>
    <mergeCell ref="F36:I36"/>
    <mergeCell ref="F37:I37"/>
    <mergeCell ref="F38:I38"/>
    <mergeCell ref="F39:I39"/>
    <mergeCell ref="F40:I40"/>
    <mergeCell ref="F41:I41"/>
    <mergeCell ref="F42:I42"/>
    <mergeCell ref="F43:I43"/>
    <mergeCell ref="F44:I44"/>
    <mergeCell ref="F45:I45"/>
    <mergeCell ref="F46:I46"/>
    <mergeCell ref="F47:I47"/>
    <mergeCell ref="F48:I48"/>
    <mergeCell ref="F49:I49"/>
    <mergeCell ref="F50:I50"/>
    <mergeCell ref="F51:I51"/>
    <mergeCell ref="F52:I52"/>
    <mergeCell ref="F53:I53"/>
    <mergeCell ref="F54:I54"/>
    <mergeCell ref="F55:I55"/>
    <mergeCell ref="F56:I56"/>
    <mergeCell ref="F57:I57"/>
    <mergeCell ref="F58:I58"/>
    <mergeCell ref="F59:I59"/>
    <mergeCell ref="F60:I60"/>
    <mergeCell ref="F61:I61"/>
    <mergeCell ref="F62:I62"/>
    <mergeCell ref="F63:I63"/>
    <mergeCell ref="F64:I64"/>
    <mergeCell ref="F65:I65"/>
    <mergeCell ref="F66:I66"/>
    <mergeCell ref="F67:I67"/>
    <mergeCell ref="F68:I68"/>
    <mergeCell ref="F69:I69"/>
    <mergeCell ref="F70:I70"/>
    <mergeCell ref="F71:I71"/>
    <mergeCell ref="F72:I72"/>
    <mergeCell ref="F73:I73"/>
    <mergeCell ref="F74:I74"/>
    <mergeCell ref="F75:I75"/>
    <mergeCell ref="F76:I76"/>
    <mergeCell ref="F77:I77"/>
    <mergeCell ref="F78:I78"/>
    <mergeCell ref="F79:I79"/>
    <mergeCell ref="F80:I80"/>
    <mergeCell ref="F81:I81"/>
    <mergeCell ref="F82:I82"/>
    <mergeCell ref="F83:I83"/>
    <mergeCell ref="F84:I84"/>
    <mergeCell ref="F85:I85"/>
    <mergeCell ref="F86:I86"/>
    <mergeCell ref="F87:I87"/>
    <mergeCell ref="F88:I88"/>
    <mergeCell ref="F89:I89"/>
    <mergeCell ref="F90:I90"/>
    <mergeCell ref="F91:I91"/>
    <mergeCell ref="F92:I92"/>
    <mergeCell ref="F93:I93"/>
    <mergeCell ref="F94:I94"/>
    <mergeCell ref="F95:I95"/>
    <mergeCell ref="F96:I96"/>
    <mergeCell ref="F97:I97"/>
    <mergeCell ref="F98:I98"/>
    <mergeCell ref="F99:I99"/>
    <mergeCell ref="F100:I100"/>
    <mergeCell ref="F101:I101"/>
    <mergeCell ref="F102:I102"/>
    <mergeCell ref="F103:I103"/>
    <mergeCell ref="F104:I104"/>
    <mergeCell ref="F105:I105"/>
    <mergeCell ref="F106:I106"/>
    <mergeCell ref="F107:I107"/>
    <mergeCell ref="F108:I108"/>
    <mergeCell ref="F109:I109"/>
    <mergeCell ref="F110:I110"/>
    <mergeCell ref="F111:I111"/>
    <mergeCell ref="F112:I112"/>
    <mergeCell ref="F113:I113"/>
    <mergeCell ref="F114:I114"/>
    <mergeCell ref="F115:I115"/>
    <mergeCell ref="F116:I116"/>
    <mergeCell ref="F117:I117"/>
    <mergeCell ref="F118:I118"/>
    <mergeCell ref="F119:I119"/>
    <mergeCell ref="F120:I120"/>
    <mergeCell ref="F121:I121"/>
    <mergeCell ref="F122:I122"/>
    <mergeCell ref="F123:I123"/>
    <mergeCell ref="F124:I124"/>
    <mergeCell ref="F125:I125"/>
    <mergeCell ref="F126:I126"/>
    <mergeCell ref="F127:I127"/>
    <mergeCell ref="F128:I128"/>
    <mergeCell ref="F129:I129"/>
    <mergeCell ref="F130:I130"/>
    <mergeCell ref="F131:I131"/>
    <mergeCell ref="F132:I132"/>
    <mergeCell ref="F133:I133"/>
    <mergeCell ref="F134:I134"/>
    <mergeCell ref="F135:I135"/>
    <mergeCell ref="F136:I136"/>
    <mergeCell ref="F137:I137"/>
    <mergeCell ref="F138:I138"/>
    <mergeCell ref="F139:I139"/>
    <mergeCell ref="F140:I140"/>
    <mergeCell ref="F141:I141"/>
    <mergeCell ref="F142:I142"/>
    <mergeCell ref="F143:I143"/>
    <mergeCell ref="F144:I144"/>
    <mergeCell ref="F145:I145"/>
    <mergeCell ref="F146:I146"/>
    <mergeCell ref="F147:I147"/>
    <mergeCell ref="F148:I148"/>
    <mergeCell ref="F149:I149"/>
    <mergeCell ref="F150:I150"/>
    <mergeCell ref="F151:I151"/>
    <mergeCell ref="F152:I152"/>
    <mergeCell ref="F153:I153"/>
    <mergeCell ref="F154:I154"/>
    <mergeCell ref="F155:I155"/>
    <mergeCell ref="F156:I156"/>
    <mergeCell ref="F157:I157"/>
    <mergeCell ref="F158:I158"/>
    <mergeCell ref="F159:I159"/>
    <mergeCell ref="F160:I160"/>
    <mergeCell ref="F161:I161"/>
    <mergeCell ref="F162:I162"/>
    <mergeCell ref="F163:I163"/>
    <mergeCell ref="A165:I165"/>
    <mergeCell ref="F166:I166"/>
    <mergeCell ref="F167:I167"/>
    <mergeCell ref="F168:I168"/>
    <mergeCell ref="F169:I169"/>
    <mergeCell ref="F170:I170"/>
    <mergeCell ref="F171:I171"/>
    <mergeCell ref="F172:I172"/>
    <mergeCell ref="F173:I173"/>
    <mergeCell ref="F174:I174"/>
    <mergeCell ref="F175:I175"/>
    <mergeCell ref="F176:I176"/>
    <mergeCell ref="F177:I177"/>
    <mergeCell ref="F178:I178"/>
    <mergeCell ref="F179:I179"/>
    <mergeCell ref="F180:I180"/>
    <mergeCell ref="F181:I181"/>
    <mergeCell ref="F182:I182"/>
    <mergeCell ref="F183:I183"/>
    <mergeCell ref="F184:I184"/>
    <mergeCell ref="F185:I185"/>
    <mergeCell ref="F186:I186"/>
    <mergeCell ref="F187:I187"/>
    <mergeCell ref="F188:I188"/>
    <mergeCell ref="F189:I189"/>
    <mergeCell ref="F190:I190"/>
    <mergeCell ref="F191:I191"/>
    <mergeCell ref="F192:I192"/>
    <mergeCell ref="F193:I193"/>
    <mergeCell ref="F194:I194"/>
    <mergeCell ref="F195:I195"/>
    <mergeCell ref="F196:I196"/>
    <mergeCell ref="F197:I197"/>
    <mergeCell ref="F198:I198"/>
    <mergeCell ref="F199:I199"/>
    <mergeCell ref="F200:I200"/>
    <mergeCell ref="F201:I201"/>
    <mergeCell ref="F202:I202"/>
    <mergeCell ref="A204:I204"/>
    <mergeCell ref="A390:I390"/>
    <mergeCell ref="F391:I391"/>
    <mergeCell ref="F392:I392"/>
    <mergeCell ref="F393:I393"/>
    <mergeCell ref="F394:I394"/>
    <mergeCell ref="F395:I395"/>
    <mergeCell ref="F396:I396"/>
    <mergeCell ref="F397:I397"/>
    <mergeCell ref="A399:I399"/>
    <mergeCell ref="B400:C400"/>
    <mergeCell ref="D400:I400"/>
    <mergeCell ref="B401:C401"/>
    <mergeCell ref="D401:I401"/>
    <mergeCell ref="B402:C402"/>
    <mergeCell ref="D402:I402"/>
    <mergeCell ref="B403:C403"/>
    <mergeCell ref="D403:I403"/>
    <mergeCell ref="B404:C404"/>
    <mergeCell ref="D404:I404"/>
    <mergeCell ref="B405:C405"/>
    <mergeCell ref="D405:I405"/>
    <mergeCell ref="B406:C406"/>
    <mergeCell ref="D406:I406"/>
    <mergeCell ref="A408:I408"/>
    <mergeCell ref="A409:E409"/>
    <mergeCell ref="A410:E410"/>
    <mergeCell ref="A411:E411"/>
    <mergeCell ref="A412:E412"/>
    <mergeCell ref="A413:E413"/>
    <mergeCell ref="A414:E414"/>
    <mergeCell ref="A415:E415"/>
    <mergeCell ref="A416:E416"/>
    <mergeCell ref="A417:E417"/>
    <mergeCell ref="A418:E418"/>
    <mergeCell ref="A419:E419"/>
    <mergeCell ref="A420:E420"/>
    <mergeCell ref="A421:E421"/>
  </mergeCells>
  <conditionalFormatting sqref="C392:C396">
    <cfRule type="containsText" dxfId="0" priority="3" operator="between" text="AUDIENCE">
      <formula>NOT(ISERROR(SEARCH("AUDIENCE",C392)))</formula>
    </cfRule>
    <cfRule type="containsText" dxfId="10" priority="3" operator="between" text="CONTENT">
      <formula>NOT(ISERROR(SEARCH("CONTENT",C392)))</formula>
    </cfRule>
    <cfRule type="containsText" dxfId="1" priority="3" operator="between" text="UNMAPPED">
      <formula>NOT(ISERROR(SEARCH("UNMAPPED",C392)))</formula>
    </cfRule>
  </conditionalFormatting>
  <conditionalFormatting sqref="I206:I388">
    <cfRule type="cellIs" dxfId="12" priority="1" operator="greaterThan">
      <formula>0</formula>
    </cfRule>
    <cfRule type="cellIs" dxfId="13" priority="2" operator="lessThan">
      <formula>0</formula>
    </cfRule>
  </conditionalFormatting>
  <pageMargins left="0.7" right="0.7" top="0.75" bottom="0.75" header="0.3" footer="0.3"/>
  <pageSetup paperSize="1" orientation="portrait"/>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D7"/>
  <sheetViews>
    <sheetView workbookViewId="0">
      <pane xSplit="2" ySplit="4" topLeftCell="C5" activePane="bottomRight" state="frozen"/>
      <selection/>
      <selection pane="topRight"/>
      <selection pane="bottomLeft"/>
      <selection pane="bottomRight" activeCell="A1" sqref="A1:AD1"/>
    </sheetView>
  </sheetViews>
  <sheetFormatPr defaultColWidth="9" defaultRowHeight="15" outlineLevelRow="6"/>
  <cols>
    <col min="1" max="1" width="14" customWidth="1"/>
    <col min="2" max="2" width="16" customWidth="1"/>
    <col min="3" max="3" width="14" customWidth="1"/>
    <col min="4" max="4" width="30" customWidth="1"/>
    <col min="5" max="6" width="17" customWidth="1"/>
    <col min="7" max="7" width="19" customWidth="1"/>
    <col min="8" max="8" width="21" customWidth="1"/>
    <col min="9" max="9" width="20" customWidth="1"/>
    <col min="10" max="10" width="19" customWidth="1"/>
    <col min="11" max="11" width="17" customWidth="1"/>
    <col min="12" max="12" width="34" customWidth="1"/>
    <col min="13" max="14" width="23" customWidth="1"/>
    <col min="15" max="15" width="16" customWidth="1"/>
    <col min="16" max="16" width="34" customWidth="1"/>
    <col min="17" max="17" width="25" customWidth="1"/>
    <col min="18" max="18" width="24" customWidth="1"/>
    <col min="19" max="19" width="20" customWidth="1"/>
    <col min="20" max="20" width="24" customWidth="1"/>
    <col min="21" max="21" width="29" customWidth="1"/>
    <col min="22" max="22" width="16" customWidth="1"/>
    <col min="23" max="23" width="26" customWidth="1"/>
    <col min="24" max="24" width="22" customWidth="1"/>
    <col min="25" max="26" width="23" customWidth="1"/>
    <col min="27" max="27" width="30" customWidth="1"/>
    <col min="28" max="28" width="19" customWidth="1"/>
    <col min="29" max="30" width="24" customWidth="1"/>
  </cols>
  <sheetData>
    <row r="1" ht="24" customHeight="1" spans="1:30">
      <c r="A1" s="38" t="s">
        <v>1912</v>
      </c>
    </row>
    <row r="2" ht="30" customHeight="1" spans="1:30">
      <c r="A2" s="39" t="s">
        <v>1913</v>
      </c>
    </row>
    <row r="4" ht="34" customHeight="1" spans="1:30">
      <c r="A4" s="88" t="s">
        <v>124</v>
      </c>
      <c r="B4" s="88" t="s">
        <v>127</v>
      </c>
      <c r="C4" s="88" t="s">
        <v>132</v>
      </c>
      <c r="D4" s="88" t="s">
        <v>143</v>
      </c>
      <c r="E4" s="88" t="s">
        <v>155</v>
      </c>
      <c r="F4" s="88" t="s">
        <v>1914</v>
      </c>
      <c r="G4" s="88" t="s">
        <v>1915</v>
      </c>
      <c r="H4" s="88" t="s">
        <v>171</v>
      </c>
      <c r="I4" s="88" t="s">
        <v>177</v>
      </c>
      <c r="J4" s="88" t="s">
        <v>1916</v>
      </c>
      <c r="K4" s="88" t="s">
        <v>186</v>
      </c>
      <c r="L4" s="88" t="s">
        <v>190</v>
      </c>
      <c r="M4" s="88" t="s">
        <v>1917</v>
      </c>
      <c r="N4" s="88" t="s">
        <v>203</v>
      </c>
      <c r="O4" s="88" t="s">
        <v>214</v>
      </c>
      <c r="P4" s="88" t="s">
        <v>209</v>
      </c>
      <c r="Q4" s="88" t="s">
        <v>229</v>
      </c>
      <c r="R4" s="88" t="s">
        <v>237</v>
      </c>
      <c r="S4" s="88" t="s">
        <v>250</v>
      </c>
      <c r="T4" s="88" t="s">
        <v>241</v>
      </c>
      <c r="U4" s="88" t="s">
        <v>264</v>
      </c>
      <c r="V4" s="88" t="s">
        <v>1918</v>
      </c>
      <c r="W4" s="88" t="s">
        <v>1919</v>
      </c>
      <c r="X4" s="88" t="s">
        <v>1920</v>
      </c>
      <c r="Y4" s="88" t="s">
        <v>1921</v>
      </c>
      <c r="Z4" s="88" t="s">
        <v>1922</v>
      </c>
      <c r="AA4" s="88" t="s">
        <v>1923</v>
      </c>
      <c r="AB4" s="88" t="s">
        <v>1924</v>
      </c>
      <c r="AC4" s="88" t="s">
        <v>1925</v>
      </c>
      <c r="AD4" s="88" t="s">
        <v>1926</v>
      </c>
    </row>
    <row r="5" spans="1:30">
      <c r="A5" s="104" t="str">
        <f>Brand_Profile!$D$8</f>
        <v>BRAND-A</v>
      </c>
      <c r="B5" s="104" t="str">
        <f>Brand_Profile!$D$9</f>
        <v>Nusatech Cloud</v>
      </c>
      <c r="C5" s="105" t="str">
        <f>Brand_Profile!$D$10</f>
        <v>Technology / SaaS</v>
      </c>
      <c r="D5" s="105" t="str">
        <f>Brand_Profile!$D$12</f>
        <v>Software &amp; SaaS</v>
      </c>
      <c r="E5" s="105" t="str">
        <f>Brand_Profile!$D$14</f>
        <v>B2B SaaS</v>
      </c>
      <c r="F5" s="105" t="str">
        <f>Brand_Profile!$D$16</f>
        <v>25-34</v>
      </c>
      <c r="G5" s="105" t="str">
        <f>Brand_Profile!$D$17</f>
        <v>18-24</v>
      </c>
      <c r="H5" s="105" t="str">
        <f>Brand_Profile!$D$18</f>
        <v>Any</v>
      </c>
      <c r="I5" s="105" t="str">
        <f>Brand_Profile!$D$19</f>
        <v>Indonesia</v>
      </c>
      <c r="J5" s="105" t="str">
        <f>Brand_Profile!$D$20</f>
        <v>DKI Jakarta</v>
      </c>
      <c r="K5" s="105" t="str">
        <f>Brand_Profile!$D$21</f>
        <v>Jakarta</v>
      </c>
      <c r="L5" s="105" t="str">
        <f>Brand_Profile!$D$22</f>
        <v>Technology, Business, Productivity, Education, Finance</v>
      </c>
      <c r="M5" s="105" t="str">
        <f>Brand_Profile!$D$23</f>
        <v>Interest</v>
      </c>
      <c r="N5" s="105" t="str">
        <f>Brand_Profile!$D$25</f>
        <v>Innovative</v>
      </c>
      <c r="O5" s="105" t="str">
        <f>Brand_Profile!$D$27</f>
        <v>Informative</v>
      </c>
      <c r="P5" s="105" t="str">
        <f>Brand_Profile!$D$26</f>
        <v>Innovation, Trust, Transparency, Quality, Empowerment</v>
      </c>
      <c r="Q5" s="105" t="str">
        <f>Brand_Profile!$D$30</f>
        <v>Educational</v>
      </c>
      <c r="R5" s="105" t="str">
        <f>Brand_Profile!$D$32</f>
        <v>Instagram, TikTok</v>
      </c>
      <c r="S5" s="105" t="str">
        <f>Brand_Profile!$D$35</f>
        <v>Micro, Mid-tier, Macro</v>
      </c>
      <c r="T5" s="105" t="str">
        <f>Brand_Profile!$D$33</f>
        <v>Tech</v>
      </c>
      <c r="U5" s="105" t="str">
        <f>Brand_Profile!$D$39</f>
        <v>Educational</v>
      </c>
      <c r="V5" s="106">
        <f>Brand_Profile!$D$38</f>
        <v>2.5</v>
      </c>
      <c r="W5" s="106">
        <f>Brand_Profile!$D$43</f>
        <v>65</v>
      </c>
      <c r="X5" s="106">
        <f>Brand_Profile!$D$44</f>
        <v>70</v>
      </c>
      <c r="Y5" s="97">
        <f ca="1">COUNTIF(Matching_Engine!$AV$6:$AV$35,"PASS")</f>
        <v>24</v>
      </c>
      <c r="Z5" s="97">
        <f ca="1">COUNTIF(Matching_Engine!$AV$6:$AV$35,"EXCLUDED")</f>
        <v>6</v>
      </c>
      <c r="AA5" s="107">
        <f ca="1">IF(COUNT(Matching_Engine!$AY$6:$AY$35)=0,0,ROUND(AVERAGE(Matching_Engine!$AY$6:$AY$35),1))</f>
        <v>57.7</v>
      </c>
      <c r="AB5" s="108">
        <f ca="1">IF(COUNT(Matching_Engine!$AY$6:$AY$35)=0,0,MAX(Matching_Engine!$AY$6:$AY$35))</f>
        <v>93</v>
      </c>
      <c r="AC5" s="109" t="str">
        <f ca="1">IF(COUNT(Matching_Engine!$AY$6:$AY$35)=0,"—",INDEX(Matching_Engine!$D$6:$D$35,MATCH(MAX(Matching_Engine!$AY$6:$AY$35),Matching_Engine!$AY$6:$AY$35,0),1))</f>
        <v>Rifqi Pratama</v>
      </c>
      <c r="AD5" s="97">
        <f ca="1">COUNTIF(Matching_Engine!$AQ$6:$AQ$35,"Excellent Match")+COUNTIF(Matching_Engine!$AQ$6:$AQ$35,"Strong Match")</f>
        <v>6</v>
      </c>
    </row>
    <row r="6" spans="1:30">
      <c r="A6" s="104" t="str">
        <f>Brand_Profile!$E$8</f>
        <v>BRAND-B</v>
      </c>
      <c r="B6" s="104" t="str">
        <f>Brand_Profile!$E$9</f>
        <v>Lumaya Skin</v>
      </c>
      <c r="C6" s="105" t="str">
        <f>Brand_Profile!$E$10</f>
        <v>Beauty &amp; Skincare</v>
      </c>
      <c r="D6" s="105" t="str">
        <f>Brand_Profile!$E$12</f>
        <v>Skincare</v>
      </c>
      <c r="E6" s="105" t="str">
        <f>Brand_Profile!$E$14</f>
        <v>Derma Skincare</v>
      </c>
      <c r="F6" s="105" t="str">
        <f>Brand_Profile!$E$16</f>
        <v>18-24</v>
      </c>
      <c r="G6" s="105" t="str">
        <f>Brand_Profile!$E$17</f>
        <v>25-34</v>
      </c>
      <c r="H6" s="105" t="str">
        <f>Brand_Profile!$E$18</f>
        <v>Female</v>
      </c>
      <c r="I6" s="105" t="str">
        <f>Brand_Profile!$E$19</f>
        <v>Indonesia</v>
      </c>
      <c r="J6" s="105" t="str">
        <f>Brand_Profile!$E$20</f>
        <v>Nasional</v>
      </c>
      <c r="K6" s="105" t="str">
        <f>Brand_Profile!$E$21</f>
        <v>Jakarta</v>
      </c>
      <c r="L6" s="105" t="str">
        <f>Brand_Profile!$E$22</f>
        <v>Skincare, Beauty, Makeup, Fashion, Shopping</v>
      </c>
      <c r="M6" s="105" t="str">
        <f>Brand_Profile!$E$23</f>
        <v>Gender</v>
      </c>
      <c r="N6" s="105" t="str">
        <f>Brand_Profile!$E$25</f>
        <v>Premium</v>
      </c>
      <c r="O6" s="105" t="str">
        <f>Brand_Profile!$E$27</f>
        <v>Aspirational</v>
      </c>
      <c r="P6" s="105" t="str">
        <f>Brand_Profile!$E$26</f>
        <v>Quality, Authenticity, Trust, Craftsmanship, Health</v>
      </c>
      <c r="Q6" s="105" t="str">
        <f>Brand_Profile!$E$30</f>
        <v>Visual-first</v>
      </c>
      <c r="R6" s="105" t="str">
        <f>Brand_Profile!$E$32</f>
        <v>Instagram, TikTok</v>
      </c>
      <c r="S6" s="105" t="str">
        <f>Brand_Profile!$E$35</f>
        <v>Micro, Mid-tier</v>
      </c>
      <c r="T6" s="105" t="str">
        <f>Brand_Profile!$E$33</f>
        <v>Beauty</v>
      </c>
      <c r="U6" s="105" t="str">
        <f>Brand_Profile!$E$39</f>
        <v>Review</v>
      </c>
      <c r="V6" s="106">
        <f>Brand_Profile!$E$38</f>
        <v>3</v>
      </c>
      <c r="W6" s="106">
        <f>Brand_Profile!$E$43</f>
        <v>70</v>
      </c>
      <c r="X6" s="106">
        <f>Brand_Profile!$E$44</f>
        <v>75</v>
      </c>
      <c r="Y6" s="97">
        <f ca="1">COUNTIF(Matching_Engine!$AV$36:$AV$65,"PASS")</f>
        <v>10</v>
      </c>
      <c r="Z6" s="97">
        <f ca="1">COUNTIF(Matching_Engine!$AV$36:$AV$65,"EXCLUDED")</f>
        <v>20</v>
      </c>
      <c r="AA6" s="107">
        <f ca="1">IF(COUNT(Matching_Engine!$AY$36:$AY$65)=0,0,ROUND(AVERAGE(Matching_Engine!$AY$36:$AY$65),1))</f>
        <v>60.1</v>
      </c>
      <c r="AB6" s="108">
        <f ca="1">IF(COUNT(Matching_Engine!$AY$36:$AY$65)=0,0,MAX(Matching_Engine!$AY$36:$AY$65))</f>
        <v>91</v>
      </c>
      <c r="AC6" s="109" t="str">
        <f ca="1">IF(COUNT(Matching_Engine!$AY$36:$AY$65)=0,"—",INDEX(Matching_Engine!$D$36:$D$65,MATCH(MAX(Matching_Engine!$AY$36:$AY$65),Matching_Engine!$AY$36:$AY$65,0),1))</f>
        <v>Sekar Ayu</v>
      </c>
      <c r="AD6" s="97">
        <f ca="1">COUNTIF(Matching_Engine!$AQ$36:$AQ$65,"Excellent Match")+COUNTIF(Matching_Engine!$AQ$36:$AQ$65,"Strong Match")</f>
        <v>3</v>
      </c>
    </row>
    <row r="7" spans="1:30">
      <c r="A7" s="104" t="str">
        <f>Brand_Profile!$F$8</f>
        <v>BRAND-C</v>
      </c>
      <c r="B7" s="104" t="str">
        <f>Brand_Profile!$F$9</f>
        <v>Rasa Nusantara</v>
      </c>
      <c r="C7" s="105" t="str">
        <f>Brand_Profile!$F$10</f>
        <v>Food &amp; Beverage</v>
      </c>
      <c r="D7" s="105" t="str">
        <f>Brand_Profile!$F$12</f>
        <v>Coffee &amp; Beverage</v>
      </c>
      <c r="E7" s="105" t="str">
        <f>Brand_Profile!$F$14</f>
        <v>Ready-to-Drink</v>
      </c>
      <c r="F7" s="105" t="str">
        <f>Brand_Profile!$F$16</f>
        <v>25-34</v>
      </c>
      <c r="G7" s="105" t="str">
        <f>Brand_Profile!$F$17</f>
        <v>35-44</v>
      </c>
      <c r="H7" s="105" t="str">
        <f>Brand_Profile!$F$18</f>
        <v>Balanced</v>
      </c>
      <c r="I7" s="105" t="str">
        <f>Brand_Profile!$F$19</f>
        <v>Indonesia</v>
      </c>
      <c r="J7" s="105" t="str">
        <f>Brand_Profile!$F$20</f>
        <v>Nasional</v>
      </c>
      <c r="K7" s="105" t="str">
        <f>Brand_Profile!$F$21</f>
        <v>Nasional</v>
      </c>
      <c r="L7" s="105" t="str">
        <f>Brand_Profile!$F$22</f>
        <v>Food, Cooking, Coffee, Travel, Entertainment</v>
      </c>
      <c r="M7" s="105" t="str">
        <f>Brand_Profile!$F$23</f>
        <v>Age</v>
      </c>
      <c r="N7" s="105" t="str">
        <f>Brand_Profile!$F$25</f>
        <v>Friendly</v>
      </c>
      <c r="O7" s="105" t="str">
        <f>Brand_Profile!$F$27</f>
        <v>Warm</v>
      </c>
      <c r="P7" s="105" t="str">
        <f>Brand_Profile!$F$26</f>
        <v>Fun, Community, Affordability, Authenticity, Family</v>
      </c>
      <c r="Q7" s="105" t="str">
        <f>Brand_Profile!$F$30</f>
        <v>Storytelling</v>
      </c>
      <c r="R7" s="105" t="str">
        <f>Brand_Profile!$F$32</f>
        <v>Instagram, TikTok</v>
      </c>
      <c r="S7" s="105" t="str">
        <f>Brand_Profile!$F$35</f>
        <v>Nano, Micro, Mid-tier</v>
      </c>
      <c r="T7" s="105" t="str">
        <f>Brand_Profile!$F$33</f>
        <v>Food</v>
      </c>
      <c r="U7" s="105" t="str">
        <f>Brand_Profile!$F$39</f>
        <v>Storytelling</v>
      </c>
      <c r="V7" s="106">
        <f>Brand_Profile!$F$38</f>
        <v>3.5</v>
      </c>
      <c r="W7" s="106">
        <f>Brand_Profile!$F$43</f>
        <v>60</v>
      </c>
      <c r="X7" s="106">
        <f>Brand_Profile!$F$44</f>
        <v>65</v>
      </c>
      <c r="Y7" s="97">
        <f ca="1">COUNTIF(Matching_Engine!$AV$66:$AV$95,"PASS")</f>
        <v>10</v>
      </c>
      <c r="Z7" s="97">
        <f ca="1">COUNTIF(Matching_Engine!$AV$66:$AV$95,"EXCLUDED")</f>
        <v>20</v>
      </c>
      <c r="AA7" s="107">
        <f ca="1">IF(COUNT(Matching_Engine!$AY$66:$AY$95)=0,0,ROUND(AVERAGE(Matching_Engine!$AY$66:$AY$95),1))</f>
        <v>60.7</v>
      </c>
      <c r="AB7" s="108">
        <f ca="1">IF(COUNT(Matching_Engine!$AY$66:$AY$95)=0,0,MAX(Matching_Engine!$AY$66:$AY$95))</f>
        <v>78</v>
      </c>
      <c r="AC7" s="109" t="str">
        <f ca="1">IF(COUNT(Matching_Engine!$AY$66:$AY$95)=0,"—",INDEX(Matching_Engine!$D$66:$D$95,MATCH(MAX(Matching_Engine!$AY$66:$AY$95),Matching_Engine!$AY$66:$AY$95,0),1))</f>
        <v>Reza Fadillah</v>
      </c>
      <c r="AD7" s="97">
        <f ca="1">COUNTIF(Matching_Engine!$AQ$66:$AQ$95,"Excellent Match")+COUNTIF(Matching_Engine!$AQ$66:$AQ$95,"Strong Match")</f>
        <v>1</v>
      </c>
    </row>
  </sheetData>
  <mergeCells count="2">
    <mergeCell ref="A1:AD1"/>
    <mergeCell ref="A2:AD2"/>
  </mergeCells>
  <pageMargins left="0.7" right="0.7" top="0.75" bottom="0.75" header="0.3" footer="0.3"/>
  <pageSetup paperSize="1" orientation="portrait"/>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50"/>
  <sheetViews>
    <sheetView workbookViewId="0">
      <pane xSplit="2" ySplit="4" topLeftCell="C5" activePane="bottomRight" state="frozen"/>
      <selection/>
      <selection pane="topRight"/>
      <selection pane="bottomLeft"/>
      <selection pane="bottomRight" activeCell="A1" sqref="A1:Q1"/>
    </sheetView>
  </sheetViews>
  <sheetFormatPr defaultColWidth="9" defaultRowHeight="15"/>
  <cols>
    <col min="1" max="1" width="11" customWidth="1"/>
    <col min="2" max="4" width="34" customWidth="1"/>
    <col min="5" max="5" width="11" customWidth="1"/>
    <col min="6" max="7" width="17" customWidth="1"/>
    <col min="8" max="8" width="16" customWidth="1"/>
    <col min="9" max="10" width="17" customWidth="1"/>
    <col min="11" max="11" width="16" customWidth="1"/>
    <col min="12" max="13" width="17" customWidth="1"/>
    <col min="14" max="15" width="16" customWidth="1"/>
    <col min="16" max="16" width="18" customWidth="1"/>
    <col min="17" max="17" width="24" customWidth="1"/>
  </cols>
  <sheetData>
    <row r="1" ht="24" customHeight="1" spans="1:17">
      <c r="A1" s="38" t="s">
        <v>1927</v>
      </c>
    </row>
    <row r="2" ht="30" customHeight="1" spans="1:17">
      <c r="A2" s="39" t="s">
        <v>1928</v>
      </c>
    </row>
    <row r="4" ht="26" customHeight="1" spans="1:17">
      <c r="A4" s="88" t="s">
        <v>414</v>
      </c>
      <c r="B4" s="88" t="s">
        <v>415</v>
      </c>
      <c r="C4" s="88" t="s">
        <v>390</v>
      </c>
      <c r="D4" s="88" t="s">
        <v>416</v>
      </c>
      <c r="E4" s="88" t="s">
        <v>447</v>
      </c>
      <c r="F4" s="88" t="s">
        <v>1929</v>
      </c>
      <c r="G4" s="88" t="s">
        <v>1930</v>
      </c>
      <c r="H4" s="88" t="s">
        <v>1931</v>
      </c>
      <c r="I4" s="88" t="s">
        <v>1932</v>
      </c>
      <c r="J4" s="88" t="s">
        <v>1933</v>
      </c>
      <c r="K4" s="88" t="s">
        <v>1934</v>
      </c>
      <c r="L4" s="88" t="s">
        <v>1935</v>
      </c>
      <c r="M4" s="88" t="s">
        <v>1936</v>
      </c>
      <c r="N4" s="88" t="s">
        <v>1937</v>
      </c>
      <c r="O4" s="88" t="s">
        <v>1938</v>
      </c>
      <c r="P4" s="88" t="s">
        <v>1939</v>
      </c>
      <c r="Q4" s="88" t="s">
        <v>1940</v>
      </c>
    </row>
    <row r="5" spans="1:17">
      <c r="A5" s="89" t="str">
        <f>KOL_Database!$A$5</f>
        <v>KOL-01</v>
      </c>
      <c r="B5" s="101" t="str">
        <f>KOL_Database!$B$5</f>
        <v>Ardi Nugraha</v>
      </c>
      <c r="C5" s="89" t="str">
        <f>KOL_Database!$D$5</f>
        <v>Instagram</v>
      </c>
      <c r="D5" s="89" t="str">
        <f>KOL_Database!$E$5</f>
        <v>Tech</v>
      </c>
      <c r="E5" s="89" t="str">
        <f>KOL_Database!$G$5</f>
        <v>Macro</v>
      </c>
      <c r="F5" s="102">
        <f ca="1">INDEX(Matching_Engine!$AP$6:$AP$95,MATCH("BRAND-A|"&amp;KOL_Database!$A$5,Matching_Engine!$AZ$6:$AZ$95,0),1)</f>
        <v>80</v>
      </c>
      <c r="G5" s="89" t="str">
        <f ca="1">INDEX(Matching_Engine!$AQ$6:$AQ$95,MATCH("BRAND-A|"&amp;KOL_Database!$A$5,Matching_Engine!$AZ$6:$AZ$95,0),1)</f>
        <v>Strong Match</v>
      </c>
      <c r="H5" s="89">
        <f ca="1" t="shared" ref="H5:H34" si="0">COUNTIF($F$5:$F$34,"&gt;"&amp;$F5)+1</f>
        <v>6</v>
      </c>
      <c r="I5" s="102">
        <f ca="1">INDEX(Matching_Engine!$AP$6:$AP$95,MATCH("BRAND-B|"&amp;KOL_Database!$A$5,Matching_Engine!$AZ$6:$AZ$95,0),1)</f>
        <v>51</v>
      </c>
      <c r="J5" s="89" t="str">
        <f ca="1">INDEX(Matching_Engine!$AQ$6:$AQ$95,MATCH("BRAND-B|"&amp;KOL_Database!$A$5,Matching_Engine!$AZ$6:$AZ$95,0),1)</f>
        <v>Low Match</v>
      </c>
      <c r="K5" s="89">
        <f ca="1" t="shared" ref="K5:K34" si="1">COUNTIF($I$5:$I$34,"&gt;"&amp;$I5)+1</f>
        <v>20</v>
      </c>
      <c r="L5" s="102">
        <f ca="1">INDEX(Matching_Engine!$AP$6:$AP$95,MATCH("BRAND-C|"&amp;KOL_Database!$A$5,Matching_Engine!$AZ$6:$AZ$95,0),1)</f>
        <v>48</v>
      </c>
      <c r="M5" s="89" t="str">
        <f ca="1">INDEX(Matching_Engine!$AQ$6:$AQ$95,MATCH("BRAND-C|"&amp;KOL_Database!$A$5,Matching_Engine!$AZ$6:$AZ$95,0),1)</f>
        <v>Low Match</v>
      </c>
      <c r="N5" s="89">
        <f ca="1" t="shared" ref="N5:N34" si="2">COUNTIF($L$5:$L$34,"&gt;"&amp;$L5)+1</f>
        <v>25</v>
      </c>
      <c r="O5" s="102">
        <f ca="1" t="shared" ref="O5:O34" si="3">MAX($F5,$I5,$L5)-MIN($F5,$I5,$L5)</f>
        <v>32</v>
      </c>
      <c r="P5" s="89" t="str">
        <f ca="1">IF($F5&gt;=$I5,IF($F5&gt;=$L5,Sample_Brands!$B$5,Sample_Brands!$B$7),IF($I5&gt;=$L5,Sample_Brands!$B$6,Sample_Brands!$B$7))</f>
        <v>Nusatech Cloud</v>
      </c>
      <c r="Q5" s="89" t="str">
        <f ca="1" t="shared" ref="Q5:Q34" si="4">IF($O5=0,"YES — identical","no")</f>
        <v>no</v>
      </c>
    </row>
    <row r="6" spans="1:17">
      <c r="A6" s="89" t="str">
        <f>KOL_Database!$A$6</f>
        <v>KOL-02</v>
      </c>
      <c r="B6" s="101" t="str">
        <f>KOL_Database!$B$6</f>
        <v>Rifqi Pratama</v>
      </c>
      <c r="C6" s="89" t="str">
        <f>KOL_Database!$D$6</f>
        <v>TikTok</v>
      </c>
      <c r="D6" s="89" t="str">
        <f>KOL_Database!$E$6</f>
        <v>Tech</v>
      </c>
      <c r="E6" s="89" t="str">
        <f>KOL_Database!$G$6</f>
        <v>Mid-tier</v>
      </c>
      <c r="F6" s="102">
        <f ca="1">INDEX(Matching_Engine!$AP$6:$AP$95,MATCH("BRAND-A|"&amp;KOL_Database!$A$6,Matching_Engine!$AZ$6:$AZ$95,0),1)</f>
        <v>93</v>
      </c>
      <c r="G6" s="89" t="str">
        <f ca="1">INDEX(Matching_Engine!$AQ$6:$AQ$95,MATCH("BRAND-A|"&amp;KOL_Database!$A$6,Matching_Engine!$AZ$6:$AZ$95,0),1)</f>
        <v>Excellent Match</v>
      </c>
      <c r="H6" s="89">
        <f ca="1" t="shared" si="0"/>
        <v>1</v>
      </c>
      <c r="I6" s="102">
        <f ca="1">INDEX(Matching_Engine!$AP$6:$AP$95,MATCH("BRAND-B|"&amp;KOL_Database!$A$6,Matching_Engine!$AZ$6:$AZ$95,0),1)</f>
        <v>45</v>
      </c>
      <c r="J6" s="89" t="str">
        <f ca="1">INDEX(Matching_Engine!$AQ$6:$AQ$95,MATCH("BRAND-B|"&amp;KOL_Database!$A$6,Matching_Engine!$AZ$6:$AZ$95,0),1)</f>
        <v>Low Match</v>
      </c>
      <c r="K6" s="89">
        <f ca="1" t="shared" si="1"/>
        <v>27</v>
      </c>
      <c r="L6" s="102">
        <f ca="1">INDEX(Matching_Engine!$AP$6:$AP$95,MATCH("BRAND-C|"&amp;KOL_Database!$A$6,Matching_Engine!$AZ$6:$AZ$95,0),1)</f>
        <v>47</v>
      </c>
      <c r="M6" s="89" t="str">
        <f ca="1">INDEX(Matching_Engine!$AQ$6:$AQ$95,MATCH("BRAND-C|"&amp;KOL_Database!$A$6,Matching_Engine!$AZ$6:$AZ$95,0),1)</f>
        <v>Low Match</v>
      </c>
      <c r="N6" s="89">
        <f ca="1" t="shared" si="2"/>
        <v>26</v>
      </c>
      <c r="O6" s="102">
        <f ca="1" t="shared" si="3"/>
        <v>48</v>
      </c>
      <c r="P6" s="89" t="str">
        <f ca="1">IF($F6&gt;=$I6,IF($F6&gt;=$L6,Sample_Brands!$B$5,Sample_Brands!$B$7),IF($I6&gt;=$L6,Sample_Brands!$B$6,Sample_Brands!$B$7))</f>
        <v>Nusatech Cloud</v>
      </c>
      <c r="Q6" s="89" t="str">
        <f ca="1" t="shared" si="4"/>
        <v>no</v>
      </c>
    </row>
    <row r="7" spans="1:17">
      <c r="A7" s="89" t="str">
        <f>KOL_Database!$A$7</f>
        <v>KOL-03</v>
      </c>
      <c r="B7" s="101" t="str">
        <f>KOL_Database!$B$7</f>
        <v>Salsa Aulia</v>
      </c>
      <c r="C7" s="89" t="str">
        <f>KOL_Database!$D$7</f>
        <v>Instagram</v>
      </c>
      <c r="D7" s="89" t="str">
        <f>KOL_Database!$E$7</f>
        <v>Beauty</v>
      </c>
      <c r="E7" s="89" t="str">
        <f>KOL_Database!$G$7</f>
        <v>Macro</v>
      </c>
      <c r="F7" s="102">
        <f ca="1">INDEX(Matching_Engine!$AP$6:$AP$95,MATCH("BRAND-A|"&amp;KOL_Database!$A$7,Matching_Engine!$AZ$6:$AZ$95,0),1)</f>
        <v>48</v>
      </c>
      <c r="G7" s="89" t="str">
        <f ca="1">INDEX(Matching_Engine!$AQ$6:$AQ$95,MATCH("BRAND-A|"&amp;KOL_Database!$A$7,Matching_Engine!$AZ$6:$AZ$95,0),1)</f>
        <v>Low Match</v>
      </c>
      <c r="H7" s="89">
        <f ca="1" t="shared" si="0"/>
        <v>14</v>
      </c>
      <c r="I7" s="102">
        <f ca="1">INDEX(Matching_Engine!$AP$6:$AP$95,MATCH("BRAND-B|"&amp;KOL_Database!$A$7,Matching_Engine!$AZ$6:$AZ$95,0),1)</f>
        <v>92</v>
      </c>
      <c r="J7" s="89" t="str">
        <f ca="1">INDEX(Matching_Engine!$AQ$6:$AQ$95,MATCH("BRAND-B|"&amp;KOL_Database!$A$7,Matching_Engine!$AZ$6:$AZ$95,0),1)</f>
        <v>Excellent Match</v>
      </c>
      <c r="K7" s="89">
        <f ca="1" t="shared" si="1"/>
        <v>1</v>
      </c>
      <c r="L7" s="102">
        <f ca="1">INDEX(Matching_Engine!$AP$6:$AP$95,MATCH("BRAND-C|"&amp;KOL_Database!$A$7,Matching_Engine!$AZ$6:$AZ$95,0),1)</f>
        <v>53</v>
      </c>
      <c r="M7" s="89" t="str">
        <f ca="1">INDEX(Matching_Engine!$AQ$6:$AQ$95,MATCH("BRAND-C|"&amp;KOL_Database!$A$7,Matching_Engine!$AZ$6:$AZ$95,0),1)</f>
        <v>Low Match</v>
      </c>
      <c r="N7" s="89">
        <f ca="1" t="shared" si="2"/>
        <v>21</v>
      </c>
      <c r="O7" s="102">
        <f ca="1" t="shared" si="3"/>
        <v>44</v>
      </c>
      <c r="P7" s="89" t="str">
        <f ca="1">IF($F7&gt;=$I7,IF($F7&gt;=$L7,Sample_Brands!$B$5,Sample_Brands!$B$7),IF($I7&gt;=$L7,Sample_Brands!$B$6,Sample_Brands!$B$7))</f>
        <v>Lumaya Skin</v>
      </c>
      <c r="Q7" s="89" t="str">
        <f ca="1" t="shared" si="4"/>
        <v>no</v>
      </c>
    </row>
    <row r="8" spans="1:17">
      <c r="A8" s="89" t="str">
        <f>KOL_Database!$A$8</f>
        <v>KOL-04</v>
      </c>
      <c r="B8" s="101" t="str">
        <f>KOL_Database!$B$8</f>
        <v>Nadia Puspa</v>
      </c>
      <c r="C8" s="89" t="str">
        <f>KOL_Database!$D$8</f>
        <v>TikTok</v>
      </c>
      <c r="D8" s="89" t="str">
        <f>KOL_Database!$E$8</f>
        <v>Beauty</v>
      </c>
      <c r="E8" s="89" t="str">
        <f>KOL_Database!$G$8</f>
        <v>Macro</v>
      </c>
      <c r="F8" s="102">
        <f ca="1">INDEX(Matching_Engine!$AP$6:$AP$95,MATCH("BRAND-A|"&amp;KOL_Database!$A$8,Matching_Engine!$AZ$6:$AZ$95,0),1)</f>
        <v>46</v>
      </c>
      <c r="G8" s="89" t="str">
        <f ca="1">INDEX(Matching_Engine!$AQ$6:$AQ$95,MATCH("BRAND-A|"&amp;KOL_Database!$A$8,Matching_Engine!$AZ$6:$AZ$95,0),1)</f>
        <v>Low Match</v>
      </c>
      <c r="H8" s="89">
        <f ca="1" t="shared" si="0"/>
        <v>20</v>
      </c>
      <c r="I8" s="102">
        <f ca="1">INDEX(Matching_Engine!$AP$6:$AP$95,MATCH("BRAND-B|"&amp;KOL_Database!$A$8,Matching_Engine!$AZ$6:$AZ$95,0),1)</f>
        <v>81</v>
      </c>
      <c r="J8" s="89" t="str">
        <f ca="1">INDEX(Matching_Engine!$AQ$6:$AQ$95,MATCH("BRAND-B|"&amp;KOL_Database!$A$8,Matching_Engine!$AZ$6:$AZ$95,0),1)</f>
        <v>Strong Match</v>
      </c>
      <c r="K8" s="89">
        <f ca="1" t="shared" si="1"/>
        <v>3</v>
      </c>
      <c r="L8" s="102">
        <f ca="1">INDEX(Matching_Engine!$AP$6:$AP$95,MATCH("BRAND-C|"&amp;KOL_Database!$A$8,Matching_Engine!$AZ$6:$AZ$95,0),1)</f>
        <v>56</v>
      </c>
      <c r="M8" s="89" t="str">
        <f ca="1">INDEX(Matching_Engine!$AQ$6:$AQ$95,MATCH("BRAND-C|"&amp;KOL_Database!$A$8,Matching_Engine!$AZ$6:$AZ$95,0),1)</f>
        <v>Low Match</v>
      </c>
      <c r="N8" s="89">
        <f ca="1" t="shared" si="2"/>
        <v>17</v>
      </c>
      <c r="O8" s="102">
        <f ca="1" t="shared" si="3"/>
        <v>35</v>
      </c>
      <c r="P8" s="89" t="str">
        <f ca="1">IF($F8&gt;=$I8,IF($F8&gt;=$L8,Sample_Brands!$B$5,Sample_Brands!$B$7),IF($I8&gt;=$L8,Sample_Brands!$B$6,Sample_Brands!$B$7))</f>
        <v>Lumaya Skin</v>
      </c>
      <c r="Q8" s="89" t="str">
        <f ca="1" t="shared" si="4"/>
        <v>no</v>
      </c>
    </row>
    <row r="9" spans="1:17">
      <c r="A9" s="89" t="str">
        <f>KOL_Database!$A$9</f>
        <v>KOL-05</v>
      </c>
      <c r="B9" s="101" t="str">
        <f>KOL_Database!$B$9</f>
        <v>Bimo Saputra</v>
      </c>
      <c r="C9" s="89" t="str">
        <f>KOL_Database!$D$9</f>
        <v>TikTok</v>
      </c>
      <c r="D9" s="89" t="str">
        <f>KOL_Database!$E$9</f>
        <v>Food</v>
      </c>
      <c r="E9" s="89" t="str">
        <f>KOL_Database!$G$9</f>
        <v>Macro</v>
      </c>
      <c r="F9" s="102">
        <f ca="1">INDEX(Matching_Engine!$AP$6:$AP$95,MATCH("BRAND-A|"&amp;KOL_Database!$A$9,Matching_Engine!$AZ$6:$AZ$95,0),1)</f>
        <v>45</v>
      </c>
      <c r="G9" s="89" t="str">
        <f ca="1">INDEX(Matching_Engine!$AQ$6:$AQ$95,MATCH("BRAND-A|"&amp;KOL_Database!$A$9,Matching_Engine!$AZ$6:$AZ$95,0),1)</f>
        <v>Low Match</v>
      </c>
      <c r="H9" s="89">
        <f ca="1" t="shared" si="0"/>
        <v>21</v>
      </c>
      <c r="I9" s="102">
        <f ca="1">INDEX(Matching_Engine!$AP$6:$AP$95,MATCH("BRAND-B|"&amp;KOL_Database!$A$9,Matching_Engine!$AZ$6:$AZ$95,0),1)</f>
        <v>59</v>
      </c>
      <c r="J9" s="89" t="str">
        <f ca="1">INDEX(Matching_Engine!$AQ$6:$AQ$95,MATCH("BRAND-B|"&amp;KOL_Database!$A$9,Matching_Engine!$AZ$6:$AZ$95,0),1)</f>
        <v>Low Match</v>
      </c>
      <c r="K9" s="89">
        <f ca="1" t="shared" si="1"/>
        <v>14</v>
      </c>
      <c r="L9" s="102">
        <f ca="1">INDEX(Matching_Engine!$AP$6:$AP$95,MATCH("BRAND-C|"&amp;KOL_Database!$A$9,Matching_Engine!$AZ$6:$AZ$95,0),1)</f>
        <v>85</v>
      </c>
      <c r="M9" s="89" t="str">
        <f ca="1">INDEX(Matching_Engine!$AQ$6:$AQ$95,MATCH("BRAND-C|"&amp;KOL_Database!$A$9,Matching_Engine!$AZ$6:$AZ$95,0),1)</f>
        <v>Strong Match</v>
      </c>
      <c r="N9" s="89">
        <f ca="1" t="shared" si="2"/>
        <v>1</v>
      </c>
      <c r="O9" s="102">
        <f ca="1" t="shared" si="3"/>
        <v>40</v>
      </c>
      <c r="P9" s="89" t="str">
        <f ca="1">IF($F9&gt;=$I9,IF($F9&gt;=$L9,Sample_Brands!$B$5,Sample_Brands!$B$7),IF($I9&gt;=$L9,Sample_Brands!$B$6,Sample_Brands!$B$7))</f>
        <v>Rasa Nusantara</v>
      </c>
      <c r="Q9" s="89" t="str">
        <f ca="1" t="shared" si="4"/>
        <v>no</v>
      </c>
    </row>
    <row r="10" spans="1:17">
      <c r="A10" s="89" t="str">
        <f>KOL_Database!$A$10</f>
        <v>KOL-06</v>
      </c>
      <c r="B10" s="101" t="str">
        <f>KOL_Database!$B$10</f>
        <v>Ayu Lestari</v>
      </c>
      <c r="C10" s="89" t="str">
        <f>KOL_Database!$D$10</f>
        <v>Instagram</v>
      </c>
      <c r="D10" s="89" t="str">
        <f>KOL_Database!$E$10</f>
        <v>Food</v>
      </c>
      <c r="E10" s="89" t="str">
        <f>KOL_Database!$G$10</f>
        <v>Mid-tier</v>
      </c>
      <c r="F10" s="102">
        <f ca="1">INDEX(Matching_Engine!$AP$6:$AP$95,MATCH("BRAND-A|"&amp;KOL_Database!$A$10,Matching_Engine!$AZ$6:$AZ$95,0),1)</f>
        <v>44</v>
      </c>
      <c r="G10" s="89" t="str">
        <f ca="1">INDEX(Matching_Engine!$AQ$6:$AQ$95,MATCH("BRAND-A|"&amp;KOL_Database!$A$10,Matching_Engine!$AZ$6:$AZ$95,0),1)</f>
        <v>Low Match</v>
      </c>
      <c r="H10" s="89">
        <f ca="1" t="shared" si="0"/>
        <v>24</v>
      </c>
      <c r="I10" s="102">
        <f ca="1">INDEX(Matching_Engine!$AP$6:$AP$95,MATCH("BRAND-B|"&amp;KOL_Database!$A$10,Matching_Engine!$AZ$6:$AZ$95,0),1)</f>
        <v>56</v>
      </c>
      <c r="J10" s="89" t="str">
        <f ca="1">INDEX(Matching_Engine!$AQ$6:$AQ$95,MATCH("BRAND-B|"&amp;KOL_Database!$A$10,Matching_Engine!$AZ$6:$AZ$95,0),1)</f>
        <v>Low Match</v>
      </c>
      <c r="K10" s="89">
        <f ca="1" t="shared" si="1"/>
        <v>16</v>
      </c>
      <c r="L10" s="102">
        <f ca="1">INDEX(Matching_Engine!$AP$6:$AP$95,MATCH("BRAND-C|"&amp;KOL_Database!$A$10,Matching_Engine!$AZ$6:$AZ$95,0),1)</f>
        <v>74</v>
      </c>
      <c r="M10" s="89" t="str">
        <f ca="1">INDEX(Matching_Engine!$AQ$6:$AQ$95,MATCH("BRAND-C|"&amp;KOL_Database!$A$10,Matching_Engine!$AZ$6:$AZ$95,0),1)</f>
        <v>Good Match</v>
      </c>
      <c r="N10" s="89">
        <f ca="1" t="shared" si="2"/>
        <v>3</v>
      </c>
      <c r="O10" s="102">
        <f ca="1" t="shared" si="3"/>
        <v>30</v>
      </c>
      <c r="P10" s="89" t="str">
        <f ca="1">IF($F10&gt;=$I10,IF($F10&gt;=$L10,Sample_Brands!$B$5,Sample_Brands!$B$7),IF($I10&gt;=$L10,Sample_Brands!$B$6,Sample_Brands!$B$7))</f>
        <v>Rasa Nusantara</v>
      </c>
      <c r="Q10" s="89" t="str">
        <f ca="1" t="shared" si="4"/>
        <v>no</v>
      </c>
    </row>
    <row r="11" spans="1:17">
      <c r="A11" s="89" t="str">
        <f>KOL_Database!$A$11</f>
        <v>KOL-07</v>
      </c>
      <c r="B11" s="101" t="str">
        <f>KOL_Database!$B$11</f>
        <v>Fajar Ramadhan</v>
      </c>
      <c r="C11" s="89" t="str">
        <f>KOL_Database!$D$11</f>
        <v>Instagram</v>
      </c>
      <c r="D11" s="89" t="str">
        <f>KOL_Database!$E$11</f>
        <v>Finance</v>
      </c>
      <c r="E11" s="89" t="str">
        <f>KOL_Database!$G$11</f>
        <v>Macro</v>
      </c>
      <c r="F11" s="102">
        <f ca="1">INDEX(Matching_Engine!$AP$6:$AP$95,MATCH("BRAND-A|"&amp;KOL_Database!$A$11,Matching_Engine!$AZ$6:$AZ$95,0),1)</f>
        <v>87</v>
      </c>
      <c r="G11" s="89" t="str">
        <f ca="1">INDEX(Matching_Engine!$AQ$6:$AQ$95,MATCH("BRAND-A|"&amp;KOL_Database!$A$11,Matching_Engine!$AZ$6:$AZ$95,0),1)</f>
        <v>Strong Match</v>
      </c>
      <c r="H11" s="89">
        <f ca="1" t="shared" si="0"/>
        <v>2</v>
      </c>
      <c r="I11" s="102">
        <f ca="1">INDEX(Matching_Engine!$AP$6:$AP$95,MATCH("BRAND-B|"&amp;KOL_Database!$A$11,Matching_Engine!$AZ$6:$AZ$95,0),1)</f>
        <v>46</v>
      </c>
      <c r="J11" s="89" t="str">
        <f ca="1">INDEX(Matching_Engine!$AQ$6:$AQ$95,MATCH("BRAND-B|"&amp;KOL_Database!$A$11,Matching_Engine!$AZ$6:$AZ$95,0),1)</f>
        <v>Low Match</v>
      </c>
      <c r="K11" s="89">
        <f ca="1" t="shared" si="1"/>
        <v>26</v>
      </c>
      <c r="L11" s="102">
        <f ca="1">INDEX(Matching_Engine!$AP$6:$AP$95,MATCH("BRAND-C|"&amp;KOL_Database!$A$11,Matching_Engine!$AZ$6:$AZ$95,0),1)</f>
        <v>46</v>
      </c>
      <c r="M11" s="89" t="str">
        <f ca="1">INDEX(Matching_Engine!$AQ$6:$AQ$95,MATCH("BRAND-C|"&amp;KOL_Database!$A$11,Matching_Engine!$AZ$6:$AZ$95,0),1)</f>
        <v>Low Match</v>
      </c>
      <c r="N11" s="89">
        <f ca="1" t="shared" si="2"/>
        <v>29</v>
      </c>
      <c r="O11" s="102">
        <f ca="1" t="shared" si="3"/>
        <v>41</v>
      </c>
      <c r="P11" s="89" t="str">
        <f ca="1">IF($F11&gt;=$I11,IF($F11&gt;=$L11,Sample_Brands!$B$5,Sample_Brands!$B$7),IF($I11&gt;=$L11,Sample_Brands!$B$6,Sample_Brands!$B$7))</f>
        <v>Nusatech Cloud</v>
      </c>
      <c r="Q11" s="89" t="str">
        <f ca="1" t="shared" si="4"/>
        <v>no</v>
      </c>
    </row>
    <row r="12" spans="1:17">
      <c r="A12" s="89" t="str">
        <f>KOL_Database!$A$12</f>
        <v>KOL-08</v>
      </c>
      <c r="B12" s="101" t="str">
        <f>KOL_Database!$B$12</f>
        <v>Tania Wijaya</v>
      </c>
      <c r="C12" s="89" t="str">
        <f>KOL_Database!$D$12</f>
        <v>TikTok</v>
      </c>
      <c r="D12" s="89" t="str">
        <f>KOL_Database!$E$12</f>
        <v>Finance</v>
      </c>
      <c r="E12" s="89" t="str">
        <f>KOL_Database!$G$12</f>
        <v>Mid-tier</v>
      </c>
      <c r="F12" s="102">
        <f ca="1">INDEX(Matching_Engine!$AP$6:$AP$95,MATCH("BRAND-A|"&amp;KOL_Database!$A$12,Matching_Engine!$AZ$6:$AZ$95,0),1)</f>
        <v>82</v>
      </c>
      <c r="G12" s="89" t="str">
        <f ca="1">INDEX(Matching_Engine!$AQ$6:$AQ$95,MATCH("BRAND-A|"&amp;KOL_Database!$A$12,Matching_Engine!$AZ$6:$AZ$95,0),1)</f>
        <v>Strong Match</v>
      </c>
      <c r="H12" s="89">
        <f ca="1" t="shared" si="0"/>
        <v>3</v>
      </c>
      <c r="I12" s="102">
        <f ca="1">INDEX(Matching_Engine!$AP$6:$AP$95,MATCH("BRAND-B|"&amp;KOL_Database!$A$12,Matching_Engine!$AZ$6:$AZ$95,0),1)</f>
        <v>54</v>
      </c>
      <c r="J12" s="89" t="str">
        <f ca="1">INDEX(Matching_Engine!$AQ$6:$AQ$95,MATCH("BRAND-B|"&amp;KOL_Database!$A$12,Matching_Engine!$AZ$6:$AZ$95,0),1)</f>
        <v>Low Match</v>
      </c>
      <c r="K12" s="89">
        <f ca="1" t="shared" si="1"/>
        <v>18</v>
      </c>
      <c r="L12" s="102">
        <f ca="1">INDEX(Matching_Engine!$AP$6:$AP$95,MATCH("BRAND-C|"&amp;KOL_Database!$A$12,Matching_Engine!$AZ$6:$AZ$95,0),1)</f>
        <v>47</v>
      </c>
      <c r="M12" s="89" t="str">
        <f ca="1">INDEX(Matching_Engine!$AQ$6:$AQ$95,MATCH("BRAND-C|"&amp;KOL_Database!$A$12,Matching_Engine!$AZ$6:$AZ$95,0),1)</f>
        <v>Low Match</v>
      </c>
      <c r="N12" s="89">
        <f ca="1" t="shared" si="2"/>
        <v>26</v>
      </c>
      <c r="O12" s="102">
        <f ca="1" t="shared" si="3"/>
        <v>35</v>
      </c>
      <c r="P12" s="89" t="str">
        <f ca="1">IF($F12&gt;=$I12,IF($F12&gt;=$L12,Sample_Brands!$B$5,Sample_Brands!$B$7),IF($I12&gt;=$L12,Sample_Brands!$B$6,Sample_Brands!$B$7))</f>
        <v>Nusatech Cloud</v>
      </c>
      <c r="Q12" s="89" t="str">
        <f ca="1" t="shared" si="4"/>
        <v>no</v>
      </c>
    </row>
    <row r="13" spans="1:17">
      <c r="A13" s="89" t="str">
        <f>KOL_Database!$A$13</f>
        <v>KOL-09</v>
      </c>
      <c r="B13" s="101" t="str">
        <f>KOL_Database!$B$13</f>
        <v>Gilang Prakoso</v>
      </c>
      <c r="C13" s="89" t="str">
        <f>KOL_Database!$D$13</f>
        <v>TikTok</v>
      </c>
      <c r="D13" s="89" t="str">
        <f>KOL_Database!$E$13</f>
        <v>Education</v>
      </c>
      <c r="E13" s="89" t="str">
        <f>KOL_Database!$G$13</f>
        <v>Macro</v>
      </c>
      <c r="F13" s="102">
        <f ca="1">INDEX(Matching_Engine!$AP$6:$AP$95,MATCH("BRAND-A|"&amp;KOL_Database!$A$13,Matching_Engine!$AZ$6:$AZ$95,0),1)</f>
        <v>81</v>
      </c>
      <c r="G13" s="89" t="str">
        <f ca="1">INDEX(Matching_Engine!$AQ$6:$AQ$95,MATCH("BRAND-A|"&amp;KOL_Database!$A$13,Matching_Engine!$AZ$6:$AZ$95,0),1)</f>
        <v>Strong Match</v>
      </c>
      <c r="H13" s="89">
        <f ca="1" t="shared" si="0"/>
        <v>5</v>
      </c>
      <c r="I13" s="102">
        <f ca="1">INDEX(Matching_Engine!$AP$6:$AP$95,MATCH("BRAND-B|"&amp;KOL_Database!$A$13,Matching_Engine!$AZ$6:$AZ$95,0),1)</f>
        <v>49</v>
      </c>
      <c r="J13" s="89" t="str">
        <f ca="1">INDEX(Matching_Engine!$AQ$6:$AQ$95,MATCH("BRAND-B|"&amp;KOL_Database!$A$13,Matching_Engine!$AZ$6:$AZ$95,0),1)</f>
        <v>Low Match</v>
      </c>
      <c r="K13" s="89">
        <f ca="1" t="shared" si="1"/>
        <v>22</v>
      </c>
      <c r="L13" s="102">
        <f ca="1">INDEX(Matching_Engine!$AP$6:$AP$95,MATCH("BRAND-C|"&amp;KOL_Database!$A$13,Matching_Engine!$AZ$6:$AZ$95,0),1)</f>
        <v>54</v>
      </c>
      <c r="M13" s="89" t="str">
        <f ca="1">INDEX(Matching_Engine!$AQ$6:$AQ$95,MATCH("BRAND-C|"&amp;KOL_Database!$A$13,Matching_Engine!$AZ$6:$AZ$95,0),1)</f>
        <v>Low Match</v>
      </c>
      <c r="N13" s="89">
        <f ca="1" t="shared" si="2"/>
        <v>20</v>
      </c>
      <c r="O13" s="102">
        <f ca="1" t="shared" si="3"/>
        <v>32</v>
      </c>
      <c r="P13" s="89" t="str">
        <f ca="1">IF($F13&gt;=$I13,IF($F13&gt;=$L13,Sample_Brands!$B$5,Sample_Brands!$B$7),IF($I13&gt;=$L13,Sample_Brands!$B$6,Sample_Brands!$B$7))</f>
        <v>Nusatech Cloud</v>
      </c>
      <c r="Q13" s="89" t="str">
        <f ca="1" t="shared" si="4"/>
        <v>no</v>
      </c>
    </row>
    <row r="14" spans="1:17">
      <c r="A14" s="89" t="str">
        <f>KOL_Database!$A$14</f>
        <v>KOL-10</v>
      </c>
      <c r="B14" s="101" t="str">
        <f>KOL_Database!$B$14</f>
        <v>Mira Handayani</v>
      </c>
      <c r="C14" s="89" t="str">
        <f>KOL_Database!$D$14</f>
        <v>Instagram</v>
      </c>
      <c r="D14" s="89" t="str">
        <f>KOL_Database!$E$14</f>
        <v>Education</v>
      </c>
      <c r="E14" s="89" t="str">
        <f>KOL_Database!$G$14</f>
        <v>Micro</v>
      </c>
      <c r="F14" s="102">
        <f ca="1">INDEX(Matching_Engine!$AP$6:$AP$95,MATCH("BRAND-A|"&amp;KOL_Database!$A$14,Matching_Engine!$AZ$6:$AZ$95,0),1)</f>
        <v>74</v>
      </c>
      <c r="G14" s="89" t="str">
        <f ca="1">INDEX(Matching_Engine!$AQ$6:$AQ$95,MATCH("BRAND-A|"&amp;KOL_Database!$A$14,Matching_Engine!$AZ$6:$AZ$95,0),1)</f>
        <v>Good Match</v>
      </c>
      <c r="H14" s="89">
        <f ca="1" t="shared" si="0"/>
        <v>7</v>
      </c>
      <c r="I14" s="102">
        <f ca="1">INDEX(Matching_Engine!$AP$6:$AP$95,MATCH("BRAND-B|"&amp;KOL_Database!$A$14,Matching_Engine!$AZ$6:$AZ$95,0),1)</f>
        <v>50</v>
      </c>
      <c r="J14" s="89" t="str">
        <f ca="1">INDEX(Matching_Engine!$AQ$6:$AQ$95,MATCH("BRAND-B|"&amp;KOL_Database!$A$14,Matching_Engine!$AZ$6:$AZ$95,0),1)</f>
        <v>Low Match</v>
      </c>
      <c r="K14" s="89">
        <f ca="1" t="shared" si="1"/>
        <v>21</v>
      </c>
      <c r="L14" s="102">
        <f ca="1">INDEX(Matching_Engine!$AP$6:$AP$95,MATCH("BRAND-C|"&amp;KOL_Database!$A$14,Matching_Engine!$AZ$6:$AZ$95,0),1)</f>
        <v>56</v>
      </c>
      <c r="M14" s="89" t="str">
        <f ca="1">INDEX(Matching_Engine!$AQ$6:$AQ$95,MATCH("BRAND-C|"&amp;KOL_Database!$A$14,Matching_Engine!$AZ$6:$AZ$95,0),1)</f>
        <v>Low Match</v>
      </c>
      <c r="N14" s="89">
        <f ca="1" t="shared" si="2"/>
        <v>17</v>
      </c>
      <c r="O14" s="102">
        <f ca="1" t="shared" si="3"/>
        <v>24</v>
      </c>
      <c r="P14" s="89" t="str">
        <f ca="1">IF($F14&gt;=$I14,IF($F14&gt;=$L14,Sample_Brands!$B$5,Sample_Brands!$B$7),IF($I14&gt;=$L14,Sample_Brands!$B$6,Sample_Brands!$B$7))</f>
        <v>Nusatech Cloud</v>
      </c>
      <c r="Q14" s="89" t="str">
        <f ca="1" t="shared" si="4"/>
        <v>no</v>
      </c>
    </row>
    <row r="15" spans="1:17">
      <c r="A15" s="89" t="str">
        <f>KOL_Database!$A$15</f>
        <v>KOL-11</v>
      </c>
      <c r="B15" s="101" t="str">
        <f>KOL_Database!$B$15</f>
        <v>Dimas Anggara</v>
      </c>
      <c r="C15" s="89" t="str">
        <f>KOL_Database!$D$15</f>
        <v>Instagram</v>
      </c>
      <c r="D15" s="89" t="str">
        <f>KOL_Database!$E$15</f>
        <v>Fitness</v>
      </c>
      <c r="E15" s="89" t="str">
        <f>KOL_Database!$G$15</f>
        <v>Macro</v>
      </c>
      <c r="F15" s="102">
        <f ca="1">INDEX(Matching_Engine!$AP$6:$AP$95,MATCH("BRAND-A|"&amp;KOL_Database!$A$15,Matching_Engine!$AZ$6:$AZ$95,0),1)</f>
        <v>47</v>
      </c>
      <c r="G15" s="89" t="str">
        <f ca="1">INDEX(Matching_Engine!$AQ$6:$AQ$95,MATCH("BRAND-A|"&amp;KOL_Database!$A$15,Matching_Engine!$AZ$6:$AZ$95,0),1)</f>
        <v>Low Match</v>
      </c>
      <c r="H15" s="89">
        <f ca="1" t="shared" si="0"/>
        <v>18</v>
      </c>
      <c r="I15" s="102">
        <f ca="1">INDEX(Matching_Engine!$AP$6:$AP$95,MATCH("BRAND-B|"&amp;KOL_Database!$A$15,Matching_Engine!$AZ$6:$AZ$95,0),1)</f>
        <v>62</v>
      </c>
      <c r="J15" s="89" t="str">
        <f ca="1">INDEX(Matching_Engine!$AQ$6:$AQ$95,MATCH("BRAND-B|"&amp;KOL_Database!$A$15,Matching_Engine!$AZ$6:$AZ$95,0),1)</f>
        <v>Moderate Match</v>
      </c>
      <c r="K15" s="89">
        <f ca="1" t="shared" si="1"/>
        <v>9</v>
      </c>
      <c r="L15" s="102">
        <f ca="1">INDEX(Matching_Engine!$AP$6:$AP$95,MATCH("BRAND-C|"&amp;KOL_Database!$A$15,Matching_Engine!$AZ$6:$AZ$95,0),1)</f>
        <v>60</v>
      </c>
      <c r="M15" s="89" t="str">
        <f ca="1">INDEX(Matching_Engine!$AQ$6:$AQ$95,MATCH("BRAND-C|"&amp;KOL_Database!$A$15,Matching_Engine!$AZ$6:$AZ$95,0),1)</f>
        <v>Moderate Match</v>
      </c>
      <c r="N15" s="89">
        <f ca="1" t="shared" si="2"/>
        <v>11</v>
      </c>
      <c r="O15" s="102">
        <f ca="1" t="shared" si="3"/>
        <v>15</v>
      </c>
      <c r="P15" s="89" t="str">
        <f ca="1">IF($F15&gt;=$I15,IF($F15&gt;=$L15,Sample_Brands!$B$5,Sample_Brands!$B$7),IF($I15&gt;=$L15,Sample_Brands!$B$6,Sample_Brands!$B$7))</f>
        <v>Lumaya Skin</v>
      </c>
      <c r="Q15" s="89" t="str">
        <f ca="1" t="shared" si="4"/>
        <v>no</v>
      </c>
    </row>
    <row r="16" spans="1:17">
      <c r="A16" s="89" t="str">
        <f>KOL_Database!$A$16</f>
        <v>KOL-12</v>
      </c>
      <c r="B16" s="101" t="str">
        <f>KOL_Database!$B$16</f>
        <v>Rani Kusuma</v>
      </c>
      <c r="C16" s="89" t="str">
        <f>KOL_Database!$D$16</f>
        <v>TikTok</v>
      </c>
      <c r="D16" s="89" t="str">
        <f>KOL_Database!$E$16</f>
        <v>Fitness</v>
      </c>
      <c r="E16" s="89" t="str">
        <f>KOL_Database!$G$16</f>
        <v>Macro</v>
      </c>
      <c r="F16" s="102">
        <f ca="1">INDEX(Matching_Engine!$AP$6:$AP$95,MATCH("BRAND-A|"&amp;KOL_Database!$A$16,Matching_Engine!$AZ$6:$AZ$95,0),1)</f>
        <v>48</v>
      </c>
      <c r="G16" s="89" t="str">
        <f ca="1">INDEX(Matching_Engine!$AQ$6:$AQ$95,MATCH("BRAND-A|"&amp;KOL_Database!$A$16,Matching_Engine!$AZ$6:$AZ$95,0),1)</f>
        <v>Low Match</v>
      </c>
      <c r="H16" s="89">
        <f ca="1" t="shared" si="0"/>
        <v>14</v>
      </c>
      <c r="I16" s="102">
        <f ca="1">INDEX(Matching_Engine!$AP$6:$AP$95,MATCH("BRAND-B|"&amp;KOL_Database!$A$16,Matching_Engine!$AZ$6:$AZ$95,0),1)</f>
        <v>65</v>
      </c>
      <c r="J16" s="89" t="str">
        <f ca="1">INDEX(Matching_Engine!$AQ$6:$AQ$95,MATCH("BRAND-B|"&amp;KOL_Database!$A$16,Matching_Engine!$AZ$6:$AZ$95,0),1)</f>
        <v>Moderate Match</v>
      </c>
      <c r="K16" s="89">
        <f ca="1" t="shared" si="1"/>
        <v>7</v>
      </c>
      <c r="L16" s="102">
        <f ca="1">INDEX(Matching_Engine!$AP$6:$AP$95,MATCH("BRAND-C|"&amp;KOL_Database!$A$16,Matching_Engine!$AZ$6:$AZ$95,0),1)</f>
        <v>63</v>
      </c>
      <c r="M16" s="89" t="str">
        <f ca="1">INDEX(Matching_Engine!$AQ$6:$AQ$95,MATCH("BRAND-C|"&amp;KOL_Database!$A$16,Matching_Engine!$AZ$6:$AZ$95,0),1)</f>
        <v>Moderate Match</v>
      </c>
      <c r="N16" s="89">
        <f ca="1" t="shared" si="2"/>
        <v>9</v>
      </c>
      <c r="O16" s="102">
        <f ca="1" t="shared" si="3"/>
        <v>17</v>
      </c>
      <c r="P16" s="89" t="str">
        <f ca="1">IF($F16&gt;=$I16,IF($F16&gt;=$L16,Sample_Brands!$B$5,Sample_Brands!$B$7),IF($I16&gt;=$L16,Sample_Brands!$B$6,Sample_Brands!$B$7))</f>
        <v>Lumaya Skin</v>
      </c>
      <c r="Q16" s="89" t="str">
        <f ca="1" t="shared" si="4"/>
        <v>no</v>
      </c>
    </row>
    <row r="17" spans="1:17">
      <c r="A17" s="89" t="str">
        <f>KOL_Database!$A$17</f>
        <v>KOL-13</v>
      </c>
      <c r="B17" s="101" t="str">
        <f>KOL_Database!$B$17</f>
        <v>Kevin Halim</v>
      </c>
      <c r="C17" s="89" t="str">
        <f>KOL_Database!$D$17</f>
        <v>Instagram</v>
      </c>
      <c r="D17" s="89" t="str">
        <f>KOL_Database!$E$17</f>
        <v>Fashion</v>
      </c>
      <c r="E17" s="89" t="str">
        <f>KOL_Database!$G$17</f>
        <v>Mid-tier</v>
      </c>
      <c r="F17" s="102">
        <f ca="1">INDEX(Matching_Engine!$AP$6:$AP$95,MATCH("BRAND-A|"&amp;KOL_Database!$A$17,Matching_Engine!$AZ$6:$AZ$95,0),1)</f>
        <v>45</v>
      </c>
      <c r="G17" s="89" t="str">
        <f ca="1">INDEX(Matching_Engine!$AQ$6:$AQ$95,MATCH("BRAND-A|"&amp;KOL_Database!$A$17,Matching_Engine!$AZ$6:$AZ$95,0),1)</f>
        <v>Low Match</v>
      </c>
      <c r="H17" s="89">
        <f ca="1" t="shared" si="0"/>
        <v>21</v>
      </c>
      <c r="I17" s="102">
        <f ca="1">INDEX(Matching_Engine!$AP$6:$AP$95,MATCH("BRAND-B|"&amp;KOL_Database!$A$17,Matching_Engine!$AZ$6:$AZ$95,0),1)</f>
        <v>69</v>
      </c>
      <c r="J17" s="89" t="str">
        <f ca="1">INDEX(Matching_Engine!$AQ$6:$AQ$95,MATCH("BRAND-B|"&amp;KOL_Database!$A$17,Matching_Engine!$AZ$6:$AZ$95,0),1)</f>
        <v>Moderate Match</v>
      </c>
      <c r="K17" s="89">
        <f ca="1" t="shared" si="1"/>
        <v>6</v>
      </c>
      <c r="L17" s="102">
        <f ca="1">INDEX(Matching_Engine!$AP$6:$AP$95,MATCH("BRAND-C|"&amp;KOL_Database!$A$17,Matching_Engine!$AZ$6:$AZ$95,0),1)</f>
        <v>57</v>
      </c>
      <c r="M17" s="89" t="str">
        <f ca="1">INDEX(Matching_Engine!$AQ$6:$AQ$95,MATCH("BRAND-C|"&amp;KOL_Database!$A$17,Matching_Engine!$AZ$6:$AZ$95,0),1)</f>
        <v>Low Match</v>
      </c>
      <c r="N17" s="89">
        <f ca="1" t="shared" si="2"/>
        <v>15</v>
      </c>
      <c r="O17" s="102">
        <f ca="1" t="shared" si="3"/>
        <v>24</v>
      </c>
      <c r="P17" s="89" t="str">
        <f ca="1">IF($F17&gt;=$I17,IF($F17&gt;=$L17,Sample_Brands!$B$5,Sample_Brands!$B$7),IF($I17&gt;=$L17,Sample_Brands!$B$6,Sample_Brands!$B$7))</f>
        <v>Lumaya Skin</v>
      </c>
      <c r="Q17" s="89" t="str">
        <f ca="1" t="shared" si="4"/>
        <v>no</v>
      </c>
    </row>
    <row r="18" spans="1:17">
      <c r="A18" s="89" t="str">
        <f>KOL_Database!$A$18</f>
        <v>KOL-14</v>
      </c>
      <c r="B18" s="101" t="str">
        <f>KOL_Database!$B$18</f>
        <v>Zahra Amelia</v>
      </c>
      <c r="C18" s="89" t="str">
        <f>KOL_Database!$D$18</f>
        <v>Instagram</v>
      </c>
      <c r="D18" s="89" t="str">
        <f>KOL_Database!$E$18</f>
        <v>Fashion</v>
      </c>
      <c r="E18" s="89" t="str">
        <f>KOL_Database!$G$18</f>
        <v>Macro</v>
      </c>
      <c r="F18" s="102">
        <f ca="1">INDEX(Matching_Engine!$AP$6:$AP$95,MATCH("BRAND-A|"&amp;KOL_Database!$A$18,Matching_Engine!$AZ$6:$AZ$95,0),1)</f>
        <v>41</v>
      </c>
      <c r="G18" s="89" t="str">
        <f ca="1">INDEX(Matching_Engine!$AQ$6:$AQ$95,MATCH("BRAND-A|"&amp;KOL_Database!$A$18,Matching_Engine!$AZ$6:$AZ$95,0),1)</f>
        <v>Low Match</v>
      </c>
      <c r="H18" s="89">
        <f ca="1" t="shared" si="0"/>
        <v>27</v>
      </c>
      <c r="I18" s="102">
        <f ca="1">INDEX(Matching_Engine!$AP$6:$AP$95,MATCH("BRAND-B|"&amp;KOL_Database!$A$18,Matching_Engine!$AZ$6:$AZ$95,0),1)</f>
        <v>77</v>
      </c>
      <c r="J18" s="89" t="str">
        <f ca="1">INDEX(Matching_Engine!$AQ$6:$AQ$95,MATCH("BRAND-B|"&amp;KOL_Database!$A$18,Matching_Engine!$AZ$6:$AZ$95,0),1)</f>
        <v>Good Match</v>
      </c>
      <c r="K18" s="89">
        <f ca="1" t="shared" si="1"/>
        <v>4</v>
      </c>
      <c r="L18" s="102">
        <f ca="1">INDEX(Matching_Engine!$AP$6:$AP$95,MATCH("BRAND-C|"&amp;KOL_Database!$A$18,Matching_Engine!$AZ$6:$AZ$95,0),1)</f>
        <v>55</v>
      </c>
      <c r="M18" s="89" t="str">
        <f ca="1">INDEX(Matching_Engine!$AQ$6:$AQ$95,MATCH("BRAND-C|"&amp;KOL_Database!$A$18,Matching_Engine!$AZ$6:$AZ$95,0),1)</f>
        <v>Low Match</v>
      </c>
      <c r="N18" s="89">
        <f ca="1" t="shared" si="2"/>
        <v>19</v>
      </c>
      <c r="O18" s="102">
        <f ca="1" t="shared" si="3"/>
        <v>36</v>
      </c>
      <c r="P18" s="89" t="str">
        <f ca="1">IF($F18&gt;=$I18,IF($F18&gt;=$L18,Sample_Brands!$B$5,Sample_Brands!$B$7),IF($I18&gt;=$L18,Sample_Brands!$B$6,Sample_Brands!$B$7))</f>
        <v>Lumaya Skin</v>
      </c>
      <c r="Q18" s="89" t="str">
        <f ca="1" t="shared" si="4"/>
        <v>no</v>
      </c>
    </row>
    <row r="19" spans="1:17">
      <c r="A19" s="89" t="str">
        <f>KOL_Database!$A$19</f>
        <v>KOL-15</v>
      </c>
      <c r="B19" s="101" t="str">
        <f>KOL_Database!$B$19</f>
        <v>Andini Rahma</v>
      </c>
      <c r="C19" s="89" t="str">
        <f>KOL_Database!$D$19</f>
        <v>Instagram</v>
      </c>
      <c r="D19" s="89" t="str">
        <f>KOL_Database!$E$19</f>
        <v>Lifestyle</v>
      </c>
      <c r="E19" s="89" t="str">
        <f>KOL_Database!$G$19</f>
        <v>Mid-tier</v>
      </c>
      <c r="F19" s="102">
        <f ca="1">INDEX(Matching_Engine!$AP$6:$AP$95,MATCH("BRAND-A|"&amp;KOL_Database!$A$19,Matching_Engine!$AZ$6:$AZ$95,0),1)</f>
        <v>48</v>
      </c>
      <c r="G19" s="89" t="str">
        <f ca="1">INDEX(Matching_Engine!$AQ$6:$AQ$95,MATCH("BRAND-A|"&amp;KOL_Database!$A$19,Matching_Engine!$AZ$6:$AZ$95,0),1)</f>
        <v>Low Match</v>
      </c>
      <c r="H19" s="89">
        <f ca="1" t="shared" si="0"/>
        <v>14</v>
      </c>
      <c r="I19" s="102">
        <f ca="1">INDEX(Matching_Engine!$AP$6:$AP$95,MATCH("BRAND-B|"&amp;KOL_Database!$A$19,Matching_Engine!$AZ$6:$AZ$95,0),1)</f>
        <v>71</v>
      </c>
      <c r="J19" s="89" t="str">
        <f ca="1">INDEX(Matching_Engine!$AQ$6:$AQ$95,MATCH("BRAND-B|"&amp;KOL_Database!$A$19,Matching_Engine!$AZ$6:$AZ$95,0),1)</f>
        <v>Good Match</v>
      </c>
      <c r="K19" s="89">
        <f ca="1" t="shared" si="1"/>
        <v>5</v>
      </c>
      <c r="L19" s="102">
        <f ca="1">INDEX(Matching_Engine!$AP$6:$AP$95,MATCH("BRAND-C|"&amp;KOL_Database!$A$19,Matching_Engine!$AZ$6:$AZ$95,0),1)</f>
        <v>72</v>
      </c>
      <c r="M19" s="89" t="str">
        <f ca="1">INDEX(Matching_Engine!$AQ$6:$AQ$95,MATCH("BRAND-C|"&amp;KOL_Database!$A$19,Matching_Engine!$AZ$6:$AZ$95,0),1)</f>
        <v>Good Match</v>
      </c>
      <c r="N19" s="89">
        <f ca="1" t="shared" si="2"/>
        <v>4</v>
      </c>
      <c r="O19" s="102">
        <f ca="1" t="shared" si="3"/>
        <v>24</v>
      </c>
      <c r="P19" s="89" t="str">
        <f ca="1">IF($F19&gt;=$I19,IF($F19&gt;=$L19,Sample_Brands!$B$5,Sample_Brands!$B$7),IF($I19&gt;=$L19,Sample_Brands!$B$6,Sample_Brands!$B$7))</f>
        <v>Rasa Nusantara</v>
      </c>
      <c r="Q19" s="89" t="str">
        <f ca="1" t="shared" si="4"/>
        <v>no</v>
      </c>
    </row>
    <row r="20" spans="1:17">
      <c r="A20" s="89" t="str">
        <f>KOL_Database!$A$20</f>
        <v>KOL-16</v>
      </c>
      <c r="B20" s="101" t="str">
        <f>KOL_Database!$B$20</f>
        <v>Yoga Pratama</v>
      </c>
      <c r="C20" s="89" t="str">
        <f>KOL_Database!$D$20</f>
        <v>TikTok</v>
      </c>
      <c r="D20" s="89" t="str">
        <f>KOL_Database!$E$20</f>
        <v>Lifestyle</v>
      </c>
      <c r="E20" s="89" t="str">
        <f>KOL_Database!$G$20</f>
        <v>Macro</v>
      </c>
      <c r="F20" s="102">
        <f ca="1">INDEX(Matching_Engine!$AP$6:$AP$95,MATCH("BRAND-A|"&amp;KOL_Database!$A$20,Matching_Engine!$AZ$6:$AZ$95,0),1)</f>
        <v>67</v>
      </c>
      <c r="G20" s="89" t="str">
        <f ca="1">INDEX(Matching_Engine!$AQ$6:$AQ$95,MATCH("BRAND-A|"&amp;KOL_Database!$A$20,Matching_Engine!$AZ$6:$AZ$95,0),1)</f>
        <v>Moderate Match</v>
      </c>
      <c r="H20" s="89">
        <f ca="1" t="shared" si="0"/>
        <v>9</v>
      </c>
      <c r="I20" s="102">
        <f ca="1">INDEX(Matching_Engine!$AP$6:$AP$95,MATCH("BRAND-B|"&amp;KOL_Database!$A$20,Matching_Engine!$AZ$6:$AZ$95,0),1)</f>
        <v>63</v>
      </c>
      <c r="J20" s="89" t="str">
        <f ca="1">INDEX(Matching_Engine!$AQ$6:$AQ$95,MATCH("BRAND-B|"&amp;KOL_Database!$A$20,Matching_Engine!$AZ$6:$AZ$95,0),1)</f>
        <v>Moderate Match</v>
      </c>
      <c r="K20" s="89">
        <f ca="1" t="shared" si="1"/>
        <v>8</v>
      </c>
      <c r="L20" s="102">
        <f ca="1">INDEX(Matching_Engine!$AP$6:$AP$95,MATCH("BRAND-C|"&amp;KOL_Database!$A$20,Matching_Engine!$AZ$6:$AZ$95,0),1)</f>
        <v>64</v>
      </c>
      <c r="M20" s="89" t="str">
        <f ca="1">INDEX(Matching_Engine!$AQ$6:$AQ$95,MATCH("BRAND-C|"&amp;KOL_Database!$A$20,Matching_Engine!$AZ$6:$AZ$95,0),1)</f>
        <v>Moderate Match</v>
      </c>
      <c r="N20" s="89">
        <f ca="1" t="shared" si="2"/>
        <v>8</v>
      </c>
      <c r="O20" s="102">
        <f ca="1" t="shared" si="3"/>
        <v>4</v>
      </c>
      <c r="P20" s="89" t="str">
        <f ca="1">IF($F20&gt;=$I20,IF($F20&gt;=$L20,Sample_Brands!$B$5,Sample_Brands!$B$7),IF($I20&gt;=$L20,Sample_Brands!$B$6,Sample_Brands!$B$7))</f>
        <v>Nusatech Cloud</v>
      </c>
      <c r="Q20" s="89" t="str">
        <f ca="1" t="shared" si="4"/>
        <v>no</v>
      </c>
    </row>
    <row r="21" spans="1:17">
      <c r="A21" s="89" t="str">
        <f>KOL_Database!$A$21</f>
        <v>KOL-17</v>
      </c>
      <c r="B21" s="101" t="str">
        <f>KOL_Database!$B$21</f>
        <v>Sinta Maharani</v>
      </c>
      <c r="C21" s="89" t="str">
        <f>KOL_Database!$D$21</f>
        <v>Instagram</v>
      </c>
      <c r="D21" s="89" t="str">
        <f>KOL_Database!$E$21</f>
        <v>Travel</v>
      </c>
      <c r="E21" s="89" t="str">
        <f>KOL_Database!$G$21</f>
        <v>Macro</v>
      </c>
      <c r="F21" s="102">
        <f ca="1">INDEX(Matching_Engine!$AP$6:$AP$95,MATCH("BRAND-A|"&amp;KOL_Database!$A$21,Matching_Engine!$AZ$6:$AZ$95,0),1)</f>
        <v>42</v>
      </c>
      <c r="G21" s="89" t="str">
        <f ca="1">INDEX(Matching_Engine!$AQ$6:$AQ$95,MATCH("BRAND-A|"&amp;KOL_Database!$A$21,Matching_Engine!$AZ$6:$AZ$95,0),1)</f>
        <v>Low Match</v>
      </c>
      <c r="H21" s="89">
        <f ca="1" t="shared" si="0"/>
        <v>25</v>
      </c>
      <c r="I21" s="102">
        <f ca="1">INDEX(Matching_Engine!$AP$6:$AP$95,MATCH("BRAND-B|"&amp;KOL_Database!$A$21,Matching_Engine!$AZ$6:$AZ$95,0),1)</f>
        <v>61</v>
      </c>
      <c r="J21" s="89" t="str">
        <f ca="1">INDEX(Matching_Engine!$AQ$6:$AQ$95,MATCH("BRAND-B|"&amp;KOL_Database!$A$21,Matching_Engine!$AZ$6:$AZ$95,0),1)</f>
        <v>Moderate Match</v>
      </c>
      <c r="K21" s="89">
        <f ca="1" t="shared" si="1"/>
        <v>12</v>
      </c>
      <c r="L21" s="102">
        <f ca="1">INDEX(Matching_Engine!$AP$6:$AP$95,MATCH("BRAND-C|"&amp;KOL_Database!$A$21,Matching_Engine!$AZ$6:$AZ$95,0),1)</f>
        <v>72</v>
      </c>
      <c r="M21" s="89" t="str">
        <f ca="1">INDEX(Matching_Engine!$AQ$6:$AQ$95,MATCH("BRAND-C|"&amp;KOL_Database!$A$21,Matching_Engine!$AZ$6:$AZ$95,0),1)</f>
        <v>Good Match</v>
      </c>
      <c r="N21" s="89">
        <f ca="1" t="shared" si="2"/>
        <v>4</v>
      </c>
      <c r="O21" s="102">
        <f ca="1" t="shared" si="3"/>
        <v>30</v>
      </c>
      <c r="P21" s="89" t="str">
        <f ca="1">IF($F21&gt;=$I21,IF($F21&gt;=$L21,Sample_Brands!$B$5,Sample_Brands!$B$7),IF($I21&gt;=$L21,Sample_Brands!$B$6,Sample_Brands!$B$7))</f>
        <v>Rasa Nusantara</v>
      </c>
      <c r="Q21" s="89" t="str">
        <f ca="1" t="shared" si="4"/>
        <v>no</v>
      </c>
    </row>
    <row r="22" spans="1:17">
      <c r="A22" s="89" t="str">
        <f>KOL_Database!$A$22</f>
        <v>KOL-18</v>
      </c>
      <c r="B22" s="101" t="str">
        <f>KOL_Database!$B$22</f>
        <v>Reza Fadillah</v>
      </c>
      <c r="C22" s="89" t="str">
        <f>KOL_Database!$D$22</f>
        <v>TikTok</v>
      </c>
      <c r="D22" s="89" t="str">
        <f>KOL_Database!$E$22</f>
        <v>Travel</v>
      </c>
      <c r="E22" s="89" t="str">
        <f>KOL_Database!$G$22</f>
        <v>Mid-tier</v>
      </c>
      <c r="F22" s="102">
        <f ca="1">INDEX(Matching_Engine!$AP$6:$AP$95,MATCH("BRAND-A|"&amp;KOL_Database!$A$22,Matching_Engine!$AZ$6:$AZ$95,0),1)</f>
        <v>48</v>
      </c>
      <c r="G22" s="89" t="str">
        <f ca="1">INDEX(Matching_Engine!$AQ$6:$AQ$95,MATCH("BRAND-A|"&amp;KOL_Database!$A$22,Matching_Engine!$AZ$6:$AZ$95,0),1)</f>
        <v>Low Match</v>
      </c>
      <c r="H22" s="89">
        <f ca="1" t="shared" si="0"/>
        <v>14</v>
      </c>
      <c r="I22" s="102">
        <f ca="1">INDEX(Matching_Engine!$AP$6:$AP$95,MATCH("BRAND-B|"&amp;KOL_Database!$A$22,Matching_Engine!$AZ$6:$AZ$95,0),1)</f>
        <v>56</v>
      </c>
      <c r="J22" s="89" t="str">
        <f ca="1">INDEX(Matching_Engine!$AQ$6:$AQ$95,MATCH("BRAND-B|"&amp;KOL_Database!$A$22,Matching_Engine!$AZ$6:$AZ$95,0),1)</f>
        <v>Low Match</v>
      </c>
      <c r="K22" s="89">
        <f ca="1" t="shared" si="1"/>
        <v>16</v>
      </c>
      <c r="L22" s="102">
        <f ca="1">INDEX(Matching_Engine!$AP$6:$AP$95,MATCH("BRAND-C|"&amp;KOL_Database!$A$22,Matching_Engine!$AZ$6:$AZ$95,0),1)</f>
        <v>78</v>
      </c>
      <c r="M22" s="89" t="str">
        <f ca="1">INDEX(Matching_Engine!$AQ$6:$AQ$95,MATCH("BRAND-C|"&amp;KOL_Database!$A$22,Matching_Engine!$AZ$6:$AZ$95,0),1)</f>
        <v>Good Match</v>
      </c>
      <c r="N22" s="89">
        <f ca="1" t="shared" si="2"/>
        <v>2</v>
      </c>
      <c r="O22" s="102">
        <f ca="1" t="shared" si="3"/>
        <v>30</v>
      </c>
      <c r="P22" s="89" t="str">
        <f ca="1">IF($F22&gt;=$I22,IF($F22&gt;=$L22,Sample_Brands!$B$5,Sample_Brands!$B$7),IF($I22&gt;=$L22,Sample_Brands!$B$6,Sample_Brands!$B$7))</f>
        <v>Rasa Nusantara</v>
      </c>
      <c r="Q22" s="89" t="str">
        <f ca="1" t="shared" si="4"/>
        <v>no</v>
      </c>
    </row>
    <row r="23" spans="1:17">
      <c r="A23" s="89" t="str">
        <f>KOL_Database!$A$23</f>
        <v>KOL-19</v>
      </c>
      <c r="B23" s="101" t="str">
        <f>KOL_Database!$B$23</f>
        <v>Putri Amanda</v>
      </c>
      <c r="C23" s="89" t="str">
        <f>KOL_Database!$D$23</f>
        <v>Instagram</v>
      </c>
      <c r="D23" s="89" t="str">
        <f>KOL_Database!$E$23</f>
        <v>Parenting</v>
      </c>
      <c r="E23" s="89" t="str">
        <f>KOL_Database!$G$23</f>
        <v>Macro</v>
      </c>
      <c r="F23" s="102">
        <f ca="1">INDEX(Matching_Engine!$AP$6:$AP$95,MATCH("BRAND-A|"&amp;KOL_Database!$A$23,Matching_Engine!$AZ$6:$AZ$95,0),1)</f>
        <v>41</v>
      </c>
      <c r="G23" s="89" t="str">
        <f ca="1">INDEX(Matching_Engine!$AQ$6:$AQ$95,MATCH("BRAND-A|"&amp;KOL_Database!$A$23,Matching_Engine!$AZ$6:$AZ$95,0),1)</f>
        <v>Low Match</v>
      </c>
      <c r="H23" s="89">
        <f ca="1" t="shared" si="0"/>
        <v>27</v>
      </c>
      <c r="I23" s="102">
        <f ca="1">INDEX(Matching_Engine!$AP$6:$AP$95,MATCH("BRAND-B|"&amp;KOL_Database!$A$23,Matching_Engine!$AZ$6:$AZ$95,0),1)</f>
        <v>62</v>
      </c>
      <c r="J23" s="89" t="str">
        <f ca="1">INDEX(Matching_Engine!$AQ$6:$AQ$95,MATCH("BRAND-B|"&amp;KOL_Database!$A$23,Matching_Engine!$AZ$6:$AZ$95,0),1)</f>
        <v>Moderate Match</v>
      </c>
      <c r="K23" s="89">
        <f ca="1" t="shared" si="1"/>
        <v>9</v>
      </c>
      <c r="L23" s="102">
        <f ca="1">INDEX(Matching_Engine!$AP$6:$AP$95,MATCH("BRAND-C|"&amp;KOL_Database!$A$23,Matching_Engine!$AZ$6:$AZ$95,0),1)</f>
        <v>65</v>
      </c>
      <c r="M23" s="89" t="str">
        <f ca="1">INDEX(Matching_Engine!$AQ$6:$AQ$95,MATCH("BRAND-C|"&amp;KOL_Database!$A$23,Matching_Engine!$AZ$6:$AZ$95,0),1)</f>
        <v>Moderate Match</v>
      </c>
      <c r="N23" s="89">
        <f ca="1" t="shared" si="2"/>
        <v>7</v>
      </c>
      <c r="O23" s="102">
        <f ca="1" t="shared" si="3"/>
        <v>24</v>
      </c>
      <c r="P23" s="89" t="str">
        <f ca="1">IF($F23&gt;=$I23,IF($F23&gt;=$L23,Sample_Brands!$B$5,Sample_Brands!$B$7),IF($I23&gt;=$L23,Sample_Brands!$B$6,Sample_Brands!$B$7))</f>
        <v>Rasa Nusantara</v>
      </c>
      <c r="Q23" s="89" t="str">
        <f ca="1" t="shared" si="4"/>
        <v>no</v>
      </c>
    </row>
    <row r="24" spans="1:17">
      <c r="A24" s="89" t="str">
        <f>KOL_Database!$A$24</f>
        <v>KOL-20</v>
      </c>
      <c r="B24" s="101" t="str">
        <f>KOL_Database!$B$24</f>
        <v>Hendra Wijoyo</v>
      </c>
      <c r="C24" s="89" t="str">
        <f>KOL_Database!$D$24</f>
        <v>TikTok</v>
      </c>
      <c r="D24" s="89" t="str">
        <f>KOL_Database!$E$24</f>
        <v>Parenting</v>
      </c>
      <c r="E24" s="89" t="str">
        <f>KOL_Database!$G$24</f>
        <v>Mid-tier</v>
      </c>
      <c r="F24" s="102">
        <f ca="1">INDEX(Matching_Engine!$AP$6:$AP$95,MATCH("BRAND-A|"&amp;KOL_Database!$A$24,Matching_Engine!$AZ$6:$AZ$95,0),1)</f>
        <v>45</v>
      </c>
      <c r="G24" s="89" t="str">
        <f ca="1">INDEX(Matching_Engine!$AQ$6:$AQ$95,MATCH("BRAND-A|"&amp;KOL_Database!$A$24,Matching_Engine!$AZ$6:$AZ$95,0),1)</f>
        <v>Low Match</v>
      </c>
      <c r="H24" s="89">
        <f ca="1" t="shared" si="0"/>
        <v>21</v>
      </c>
      <c r="I24" s="102">
        <f ca="1">INDEX(Matching_Engine!$AP$6:$AP$95,MATCH("BRAND-B|"&amp;KOL_Database!$A$24,Matching_Engine!$AZ$6:$AZ$95,0),1)</f>
        <v>52</v>
      </c>
      <c r="J24" s="89" t="str">
        <f ca="1">INDEX(Matching_Engine!$AQ$6:$AQ$95,MATCH("BRAND-B|"&amp;KOL_Database!$A$24,Matching_Engine!$AZ$6:$AZ$95,0),1)</f>
        <v>Low Match</v>
      </c>
      <c r="K24" s="89">
        <f ca="1" t="shared" si="1"/>
        <v>19</v>
      </c>
      <c r="L24" s="102">
        <f ca="1">INDEX(Matching_Engine!$AP$6:$AP$95,MATCH("BRAND-C|"&amp;KOL_Database!$A$24,Matching_Engine!$AZ$6:$AZ$95,0),1)</f>
        <v>67</v>
      </c>
      <c r="M24" s="89" t="str">
        <f ca="1">INDEX(Matching_Engine!$AQ$6:$AQ$95,MATCH("BRAND-C|"&amp;KOL_Database!$A$24,Matching_Engine!$AZ$6:$AZ$95,0),1)</f>
        <v>Moderate Match</v>
      </c>
      <c r="N24" s="89">
        <f ca="1" t="shared" si="2"/>
        <v>6</v>
      </c>
      <c r="O24" s="102">
        <f ca="1" t="shared" si="3"/>
        <v>22</v>
      </c>
      <c r="P24" s="89" t="str">
        <f ca="1">IF($F24&gt;=$I24,IF($F24&gt;=$L24,Sample_Brands!$B$5,Sample_Brands!$B$7),IF($I24&gt;=$L24,Sample_Brands!$B$6,Sample_Brands!$B$7))</f>
        <v>Rasa Nusantara</v>
      </c>
      <c r="Q24" s="89" t="str">
        <f ca="1" t="shared" si="4"/>
        <v>no</v>
      </c>
    </row>
    <row r="25" spans="1:17">
      <c r="A25" s="89" t="str">
        <f>KOL_Database!$A$25</f>
        <v>KOL-21</v>
      </c>
      <c r="B25" s="101" t="str">
        <f>KOL_Database!$B$25</f>
        <v>Bagas Setiawan</v>
      </c>
      <c r="C25" s="89" t="str">
        <f>KOL_Database!$D$25</f>
        <v>TikTok</v>
      </c>
      <c r="D25" s="89" t="str">
        <f>KOL_Database!$E$25</f>
        <v>Entertainment</v>
      </c>
      <c r="E25" s="89" t="str">
        <f>KOL_Database!$G$25</f>
        <v>Mega</v>
      </c>
      <c r="F25" s="102">
        <f ca="1">INDEX(Matching_Engine!$AP$6:$AP$95,MATCH("BRAND-A|"&amp;KOL_Database!$A$25,Matching_Engine!$AZ$6:$AZ$95,0),1)</f>
        <v>39</v>
      </c>
      <c r="G25" s="89" t="str">
        <f ca="1">INDEX(Matching_Engine!$AQ$6:$AQ$95,MATCH("BRAND-A|"&amp;KOL_Database!$A$25,Matching_Engine!$AZ$6:$AZ$95,0),1)</f>
        <v>Low Match</v>
      </c>
      <c r="H25" s="89">
        <f ca="1" t="shared" si="0"/>
        <v>30</v>
      </c>
      <c r="I25" s="102">
        <f ca="1">INDEX(Matching_Engine!$AP$6:$AP$95,MATCH("BRAND-B|"&amp;KOL_Database!$A$25,Matching_Engine!$AZ$6:$AZ$95,0),1)</f>
        <v>48</v>
      </c>
      <c r="J25" s="89" t="str">
        <f ca="1">INDEX(Matching_Engine!$AQ$6:$AQ$95,MATCH("BRAND-B|"&amp;KOL_Database!$A$25,Matching_Engine!$AZ$6:$AZ$95,0),1)</f>
        <v>Low Match</v>
      </c>
      <c r="K25" s="89">
        <f ca="1" t="shared" si="1"/>
        <v>24</v>
      </c>
      <c r="L25" s="102">
        <f ca="1">INDEX(Matching_Engine!$AP$6:$AP$95,MATCH("BRAND-C|"&amp;KOL_Database!$A$25,Matching_Engine!$AZ$6:$AZ$95,0),1)</f>
        <v>59</v>
      </c>
      <c r="M25" s="89" t="str">
        <f ca="1">INDEX(Matching_Engine!$AQ$6:$AQ$95,MATCH("BRAND-C|"&amp;KOL_Database!$A$25,Matching_Engine!$AZ$6:$AZ$95,0),1)</f>
        <v>Low Match</v>
      </c>
      <c r="N25" s="89">
        <f ca="1" t="shared" si="2"/>
        <v>13</v>
      </c>
      <c r="O25" s="102">
        <f ca="1" t="shared" si="3"/>
        <v>20</v>
      </c>
      <c r="P25" s="89" t="str">
        <f ca="1">IF($F25&gt;=$I25,IF($F25&gt;=$L25,Sample_Brands!$B$5,Sample_Brands!$B$7),IF($I25&gt;=$L25,Sample_Brands!$B$6,Sample_Brands!$B$7))</f>
        <v>Rasa Nusantara</v>
      </c>
      <c r="Q25" s="89" t="str">
        <f ca="1" t="shared" si="4"/>
        <v>no</v>
      </c>
    </row>
    <row r="26" spans="1:17">
      <c r="A26" s="89" t="str">
        <f>KOL_Database!$A$26</f>
        <v>KOL-22</v>
      </c>
      <c r="B26" s="101" t="str">
        <f>KOL_Database!$B$26</f>
        <v>Nabila Kirana</v>
      </c>
      <c r="C26" s="89" t="str">
        <f>KOL_Database!$D$26</f>
        <v>Instagram</v>
      </c>
      <c r="D26" s="89" t="str">
        <f>KOL_Database!$E$26</f>
        <v>Entertainment</v>
      </c>
      <c r="E26" s="89" t="str">
        <f>KOL_Database!$G$26</f>
        <v>Macro</v>
      </c>
      <c r="F26" s="102">
        <f ca="1">INDEX(Matching_Engine!$AP$6:$AP$95,MATCH("BRAND-A|"&amp;KOL_Database!$A$26,Matching_Engine!$AZ$6:$AZ$95,0),1)</f>
        <v>41</v>
      </c>
      <c r="G26" s="89" t="str">
        <f ca="1">INDEX(Matching_Engine!$AQ$6:$AQ$95,MATCH("BRAND-A|"&amp;KOL_Database!$A$26,Matching_Engine!$AZ$6:$AZ$95,0),1)</f>
        <v>Low Match</v>
      </c>
      <c r="H26" s="89">
        <f ca="1" t="shared" si="0"/>
        <v>27</v>
      </c>
      <c r="I26" s="102">
        <f ca="1">INDEX(Matching_Engine!$AP$6:$AP$95,MATCH("BRAND-B|"&amp;KOL_Database!$A$26,Matching_Engine!$AZ$6:$AZ$95,0),1)</f>
        <v>58</v>
      </c>
      <c r="J26" s="89" t="str">
        <f ca="1">INDEX(Matching_Engine!$AQ$6:$AQ$95,MATCH("BRAND-B|"&amp;KOL_Database!$A$26,Matching_Engine!$AZ$6:$AZ$95,0),1)</f>
        <v>Low Match</v>
      </c>
      <c r="K26" s="89">
        <f ca="1" t="shared" si="1"/>
        <v>15</v>
      </c>
      <c r="L26" s="102">
        <f ca="1">INDEX(Matching_Engine!$AP$6:$AP$95,MATCH("BRAND-C|"&amp;KOL_Database!$A$26,Matching_Engine!$AZ$6:$AZ$95,0),1)</f>
        <v>51</v>
      </c>
      <c r="M26" s="89" t="str">
        <f ca="1">INDEX(Matching_Engine!$AQ$6:$AQ$95,MATCH("BRAND-C|"&amp;KOL_Database!$A$26,Matching_Engine!$AZ$6:$AZ$95,0),1)</f>
        <v>Low Match</v>
      </c>
      <c r="N26" s="89">
        <f ca="1" t="shared" si="2"/>
        <v>23</v>
      </c>
      <c r="O26" s="102">
        <f ca="1" t="shared" si="3"/>
        <v>17</v>
      </c>
      <c r="P26" s="89" t="str">
        <f ca="1">IF($F26&gt;=$I26,IF($F26&gt;=$L26,Sample_Brands!$B$5,Sample_Brands!$B$7),IF($I26&gt;=$L26,Sample_Brands!$B$6,Sample_Brands!$B$7))</f>
        <v>Lumaya Skin</v>
      </c>
      <c r="Q26" s="89" t="str">
        <f ca="1" t="shared" si="4"/>
        <v>no</v>
      </c>
    </row>
    <row r="27" spans="1:17">
      <c r="A27" s="89" t="str">
        <f>KOL_Database!$A$27</f>
        <v>KOL-23</v>
      </c>
      <c r="B27" s="101" t="str">
        <f>KOL_Database!$B$27</f>
        <v>Arya Mahendra</v>
      </c>
      <c r="C27" s="89" t="str">
        <f>KOL_Database!$D$27</f>
        <v>TikTok</v>
      </c>
      <c r="D27" s="89" t="str">
        <f>KOL_Database!$E$27</f>
        <v>Gaming</v>
      </c>
      <c r="E27" s="89" t="str">
        <f>KOL_Database!$G$27</f>
        <v>Macro</v>
      </c>
      <c r="F27" s="102">
        <f ca="1">INDEX(Matching_Engine!$AP$6:$AP$95,MATCH("BRAND-A|"&amp;KOL_Database!$A$27,Matching_Engine!$AZ$6:$AZ$95,0),1)</f>
        <v>57</v>
      </c>
      <c r="G27" s="89" t="str">
        <f ca="1">INDEX(Matching_Engine!$AQ$6:$AQ$95,MATCH("BRAND-A|"&amp;KOL_Database!$A$27,Matching_Engine!$AZ$6:$AZ$95,0),1)</f>
        <v>Low Match</v>
      </c>
      <c r="H27" s="89">
        <f ca="1" t="shared" si="0"/>
        <v>11</v>
      </c>
      <c r="I27" s="102">
        <f ca="1">INDEX(Matching_Engine!$AP$6:$AP$95,MATCH("BRAND-B|"&amp;KOL_Database!$A$27,Matching_Engine!$AZ$6:$AZ$95,0),1)</f>
        <v>47</v>
      </c>
      <c r="J27" s="89" t="str">
        <f ca="1">INDEX(Matching_Engine!$AQ$6:$AQ$95,MATCH("BRAND-B|"&amp;KOL_Database!$A$27,Matching_Engine!$AZ$6:$AZ$95,0),1)</f>
        <v>Low Match</v>
      </c>
      <c r="K27" s="89">
        <f ca="1" t="shared" si="1"/>
        <v>25</v>
      </c>
      <c r="L27" s="102">
        <f ca="1">INDEX(Matching_Engine!$AP$6:$AP$95,MATCH("BRAND-C|"&amp;KOL_Database!$A$27,Matching_Engine!$AZ$6:$AZ$95,0),1)</f>
        <v>53</v>
      </c>
      <c r="M27" s="89" t="str">
        <f ca="1">INDEX(Matching_Engine!$AQ$6:$AQ$95,MATCH("BRAND-C|"&amp;KOL_Database!$A$27,Matching_Engine!$AZ$6:$AZ$95,0),1)</f>
        <v>Low Match</v>
      </c>
      <c r="N27" s="89">
        <f ca="1" t="shared" si="2"/>
        <v>21</v>
      </c>
      <c r="O27" s="102">
        <f ca="1" t="shared" si="3"/>
        <v>10</v>
      </c>
      <c r="P27" s="89" t="str">
        <f ca="1">IF($F27&gt;=$I27,IF($F27&gt;=$L27,Sample_Brands!$B$5,Sample_Brands!$B$7),IF($I27&gt;=$L27,Sample_Brands!$B$6,Sample_Brands!$B$7))</f>
        <v>Nusatech Cloud</v>
      </c>
      <c r="Q27" s="89" t="str">
        <f ca="1" t="shared" si="4"/>
        <v>no</v>
      </c>
    </row>
    <row r="28" spans="1:17">
      <c r="A28" s="89" t="str">
        <f>KOL_Database!$A$28</f>
        <v>KOL-24</v>
      </c>
      <c r="B28" s="101" t="str">
        <f>KOL_Database!$B$28</f>
        <v>Rio Saputra</v>
      </c>
      <c r="C28" s="89" t="str">
        <f>KOL_Database!$D$28</f>
        <v>Instagram</v>
      </c>
      <c r="D28" s="89" t="str">
        <f>KOL_Database!$E$28</f>
        <v>Gaming</v>
      </c>
      <c r="E28" s="89" t="str">
        <f>KOL_Database!$G$28</f>
        <v>Mid-tier</v>
      </c>
      <c r="F28" s="102">
        <f ca="1">INDEX(Matching_Engine!$AP$6:$AP$95,MATCH("BRAND-A|"&amp;KOL_Database!$A$28,Matching_Engine!$AZ$6:$AZ$95,0),1)</f>
        <v>66</v>
      </c>
      <c r="G28" s="89" t="str">
        <f ca="1">INDEX(Matching_Engine!$AQ$6:$AQ$95,MATCH("BRAND-A|"&amp;KOL_Database!$A$28,Matching_Engine!$AZ$6:$AZ$95,0),1)</f>
        <v>Moderate Match</v>
      </c>
      <c r="H28" s="89">
        <f ca="1" t="shared" si="0"/>
        <v>10</v>
      </c>
      <c r="I28" s="102">
        <f ca="1">INDEX(Matching_Engine!$AP$6:$AP$95,MATCH("BRAND-B|"&amp;KOL_Database!$A$28,Matching_Engine!$AZ$6:$AZ$95,0),1)</f>
        <v>49</v>
      </c>
      <c r="J28" s="89" t="str">
        <f ca="1">INDEX(Matching_Engine!$AQ$6:$AQ$95,MATCH("BRAND-B|"&amp;KOL_Database!$A$28,Matching_Engine!$AZ$6:$AZ$95,0),1)</f>
        <v>Low Match</v>
      </c>
      <c r="K28" s="89">
        <f ca="1" t="shared" si="1"/>
        <v>22</v>
      </c>
      <c r="L28" s="102">
        <f ca="1">INDEX(Matching_Engine!$AP$6:$AP$95,MATCH("BRAND-C|"&amp;KOL_Database!$A$28,Matching_Engine!$AZ$6:$AZ$95,0),1)</f>
        <v>50</v>
      </c>
      <c r="M28" s="89" t="str">
        <f ca="1">INDEX(Matching_Engine!$AQ$6:$AQ$95,MATCH("BRAND-C|"&amp;KOL_Database!$A$28,Matching_Engine!$AZ$6:$AZ$95,0),1)</f>
        <v>Low Match</v>
      </c>
      <c r="N28" s="89">
        <f ca="1" t="shared" si="2"/>
        <v>24</v>
      </c>
      <c r="O28" s="102">
        <f ca="1" t="shared" si="3"/>
        <v>17</v>
      </c>
      <c r="P28" s="89" t="str">
        <f ca="1">IF($F28&gt;=$I28,IF($F28&gt;=$L28,Sample_Brands!$B$5,Sample_Brands!$B$7),IF($I28&gt;=$L28,Sample_Brands!$B$6,Sample_Brands!$B$7))</f>
        <v>Nusatech Cloud</v>
      </c>
      <c r="Q28" s="89" t="str">
        <f ca="1" t="shared" si="4"/>
        <v>no</v>
      </c>
    </row>
    <row r="29" spans="1:17">
      <c r="A29" s="89" t="str">
        <f>KOL_Database!$A$29</f>
        <v>KOL-25</v>
      </c>
      <c r="B29" s="101" t="str">
        <f>KOL_Database!$B$29</f>
        <v>Denny Kurniawan</v>
      </c>
      <c r="C29" s="89" t="str">
        <f>KOL_Database!$D$29</f>
        <v>TikTok</v>
      </c>
      <c r="D29" s="89" t="str">
        <f>KOL_Database!$E$29</f>
        <v>Automotive</v>
      </c>
      <c r="E29" s="89" t="str">
        <f>KOL_Database!$G$29</f>
        <v>Macro</v>
      </c>
      <c r="F29" s="102">
        <f ca="1">INDEX(Matching_Engine!$AP$6:$AP$95,MATCH("BRAND-A|"&amp;KOL_Database!$A$29,Matching_Engine!$AZ$6:$AZ$95,0),1)</f>
        <v>54</v>
      </c>
      <c r="G29" s="89" t="str">
        <f ca="1">INDEX(Matching_Engine!$AQ$6:$AQ$95,MATCH("BRAND-A|"&amp;KOL_Database!$A$29,Matching_Engine!$AZ$6:$AZ$95,0),1)</f>
        <v>Low Match</v>
      </c>
      <c r="H29" s="89">
        <f ca="1" t="shared" si="0"/>
        <v>13</v>
      </c>
      <c r="I29" s="102">
        <f ca="1">INDEX(Matching_Engine!$AP$6:$AP$95,MATCH("BRAND-B|"&amp;KOL_Database!$A$29,Matching_Engine!$AZ$6:$AZ$95,0),1)</f>
        <v>45</v>
      </c>
      <c r="J29" s="89" t="str">
        <f ca="1">INDEX(Matching_Engine!$AQ$6:$AQ$95,MATCH("BRAND-B|"&amp;KOL_Database!$A$29,Matching_Engine!$AZ$6:$AZ$95,0),1)</f>
        <v>Low Match</v>
      </c>
      <c r="K29" s="89">
        <f ca="1" t="shared" si="1"/>
        <v>27</v>
      </c>
      <c r="L29" s="102">
        <f ca="1">INDEX(Matching_Engine!$AP$6:$AP$95,MATCH("BRAND-C|"&amp;KOL_Database!$A$29,Matching_Engine!$AZ$6:$AZ$95,0),1)</f>
        <v>60</v>
      </c>
      <c r="M29" s="89" t="str">
        <f ca="1">INDEX(Matching_Engine!$AQ$6:$AQ$95,MATCH("BRAND-C|"&amp;KOL_Database!$A$29,Matching_Engine!$AZ$6:$AZ$95,0),1)</f>
        <v>Moderate Match</v>
      </c>
      <c r="N29" s="89">
        <f ca="1" t="shared" si="2"/>
        <v>11</v>
      </c>
      <c r="O29" s="102">
        <f ca="1" t="shared" si="3"/>
        <v>15</v>
      </c>
      <c r="P29" s="89" t="str">
        <f ca="1">IF($F29&gt;=$I29,IF($F29&gt;=$L29,Sample_Brands!$B$5,Sample_Brands!$B$7),IF($I29&gt;=$L29,Sample_Brands!$B$6,Sample_Brands!$B$7))</f>
        <v>Rasa Nusantara</v>
      </c>
      <c r="Q29" s="89" t="str">
        <f ca="1" t="shared" si="4"/>
        <v>no</v>
      </c>
    </row>
    <row r="30" spans="1:17">
      <c r="A30" s="89" t="str">
        <f>KOL_Database!$A$30</f>
        <v>KOL-26</v>
      </c>
      <c r="B30" s="101" t="str">
        <f>KOL_Database!$B$30</f>
        <v>Wisnu Adi</v>
      </c>
      <c r="C30" s="89" t="str">
        <f>KOL_Database!$D$30</f>
        <v>Instagram</v>
      </c>
      <c r="D30" s="89" t="str">
        <f>KOL_Database!$E$30</f>
        <v>Automotive</v>
      </c>
      <c r="E30" s="89" t="str">
        <f>KOL_Database!$G$30</f>
        <v>Mid-tier</v>
      </c>
      <c r="F30" s="102">
        <f ca="1">INDEX(Matching_Engine!$AP$6:$AP$95,MATCH("BRAND-A|"&amp;KOL_Database!$A$30,Matching_Engine!$AZ$6:$AZ$95,0),1)</f>
        <v>68</v>
      </c>
      <c r="G30" s="89" t="str">
        <f ca="1">INDEX(Matching_Engine!$AQ$6:$AQ$95,MATCH("BRAND-A|"&amp;KOL_Database!$A$30,Matching_Engine!$AZ$6:$AZ$95,0),1)</f>
        <v>Moderate Match</v>
      </c>
      <c r="H30" s="89">
        <f ca="1" t="shared" si="0"/>
        <v>8</v>
      </c>
      <c r="I30" s="102">
        <f ca="1">INDEX(Matching_Engine!$AP$6:$AP$95,MATCH("BRAND-B|"&amp;KOL_Database!$A$30,Matching_Engine!$AZ$6:$AZ$95,0),1)</f>
        <v>44</v>
      </c>
      <c r="J30" s="89" t="str">
        <f ca="1">INDEX(Matching_Engine!$AQ$6:$AQ$95,MATCH("BRAND-B|"&amp;KOL_Database!$A$30,Matching_Engine!$AZ$6:$AZ$95,0),1)</f>
        <v>Low Match</v>
      </c>
      <c r="K30" s="89">
        <f ca="1" t="shared" si="1"/>
        <v>29</v>
      </c>
      <c r="L30" s="102">
        <f ca="1">INDEX(Matching_Engine!$AP$6:$AP$95,MATCH("BRAND-C|"&amp;KOL_Database!$A$30,Matching_Engine!$AZ$6:$AZ$95,0),1)</f>
        <v>47</v>
      </c>
      <c r="M30" s="89" t="str">
        <f ca="1">INDEX(Matching_Engine!$AQ$6:$AQ$95,MATCH("BRAND-C|"&amp;KOL_Database!$A$30,Matching_Engine!$AZ$6:$AZ$95,0),1)</f>
        <v>Low Match</v>
      </c>
      <c r="N30" s="89">
        <f ca="1" t="shared" si="2"/>
        <v>26</v>
      </c>
      <c r="O30" s="102">
        <f ca="1" t="shared" si="3"/>
        <v>24</v>
      </c>
      <c r="P30" s="89" t="str">
        <f ca="1">IF($F30&gt;=$I30,IF($F30&gt;=$L30,Sample_Brands!$B$5,Sample_Brands!$B$7),IF($I30&gt;=$L30,Sample_Brands!$B$6,Sample_Brands!$B$7))</f>
        <v>Nusatech Cloud</v>
      </c>
      <c r="Q30" s="89" t="str">
        <f ca="1" t="shared" si="4"/>
        <v>no</v>
      </c>
    </row>
    <row r="31" spans="1:17">
      <c r="A31" s="89" t="str">
        <f>KOL_Database!$A$31</f>
        <v>KOL-27</v>
      </c>
      <c r="B31" s="101" t="str">
        <f>KOL_Database!$B$31</f>
        <v>Laras Ayu</v>
      </c>
      <c r="C31" s="89" t="str">
        <f>KOL_Database!$D$31</f>
        <v>Instagram</v>
      </c>
      <c r="D31" s="89" t="str">
        <f>KOL_Database!$E$31</f>
        <v>Home &amp; Living</v>
      </c>
      <c r="E31" s="89" t="str">
        <f>KOL_Database!$G$31</f>
        <v>Micro</v>
      </c>
      <c r="F31" s="102">
        <f ca="1">INDEX(Matching_Engine!$AP$6:$AP$95,MATCH("BRAND-A|"&amp;KOL_Database!$A$31,Matching_Engine!$AZ$6:$AZ$95,0),1)</f>
        <v>42</v>
      </c>
      <c r="G31" s="89" t="str">
        <f ca="1">INDEX(Matching_Engine!$AQ$6:$AQ$95,MATCH("BRAND-A|"&amp;KOL_Database!$A$31,Matching_Engine!$AZ$6:$AZ$95,0),1)</f>
        <v>Low Match</v>
      </c>
      <c r="H31" s="89">
        <f ca="1" t="shared" si="0"/>
        <v>25</v>
      </c>
      <c r="I31" s="102">
        <f ca="1">INDEX(Matching_Engine!$AP$6:$AP$95,MATCH("BRAND-B|"&amp;KOL_Database!$A$31,Matching_Engine!$AZ$6:$AZ$95,0),1)</f>
        <v>62</v>
      </c>
      <c r="J31" s="89" t="str">
        <f ca="1">INDEX(Matching_Engine!$AQ$6:$AQ$95,MATCH("BRAND-B|"&amp;KOL_Database!$A$31,Matching_Engine!$AZ$6:$AZ$95,0),1)</f>
        <v>Moderate Match</v>
      </c>
      <c r="K31" s="89">
        <f ca="1" t="shared" si="1"/>
        <v>9</v>
      </c>
      <c r="L31" s="102">
        <f ca="1">INDEX(Matching_Engine!$AP$6:$AP$95,MATCH("BRAND-C|"&amp;KOL_Database!$A$31,Matching_Engine!$AZ$6:$AZ$95,0),1)</f>
        <v>59</v>
      </c>
      <c r="M31" s="89" t="str">
        <f ca="1">INDEX(Matching_Engine!$AQ$6:$AQ$95,MATCH("BRAND-C|"&amp;KOL_Database!$A$31,Matching_Engine!$AZ$6:$AZ$95,0),1)</f>
        <v>Low Match</v>
      </c>
      <c r="N31" s="89">
        <f ca="1" t="shared" si="2"/>
        <v>13</v>
      </c>
      <c r="O31" s="102">
        <f ca="1" t="shared" si="3"/>
        <v>20</v>
      </c>
      <c r="P31" s="89" t="str">
        <f ca="1">IF($F31&gt;=$I31,IF($F31&gt;=$L31,Sample_Brands!$B$5,Sample_Brands!$B$7),IF($I31&gt;=$L31,Sample_Brands!$B$6,Sample_Brands!$B$7))</f>
        <v>Lumaya Skin</v>
      </c>
      <c r="Q31" s="89" t="str">
        <f ca="1" t="shared" si="4"/>
        <v>no</v>
      </c>
    </row>
    <row r="32" spans="1:17">
      <c r="A32" s="89" t="str">
        <f>KOL_Database!$A$32</f>
        <v>KOL-28</v>
      </c>
      <c r="B32" s="101" t="str">
        <f>KOL_Database!$B$32</f>
        <v>Tiara Nisrina</v>
      </c>
      <c r="C32" s="89" t="str">
        <f>KOL_Database!$D$32</f>
        <v>TikTok</v>
      </c>
      <c r="D32" s="89" t="str">
        <f>KOL_Database!$E$32</f>
        <v>Home &amp; Living</v>
      </c>
      <c r="E32" s="89" t="str">
        <f>KOL_Database!$G$32</f>
        <v>Macro</v>
      </c>
      <c r="F32" s="102">
        <f ca="1">INDEX(Matching_Engine!$AP$6:$AP$95,MATCH("BRAND-A|"&amp;KOL_Database!$A$32,Matching_Engine!$AZ$6:$AZ$95,0),1)</f>
        <v>55</v>
      </c>
      <c r="G32" s="89" t="str">
        <f ca="1">INDEX(Matching_Engine!$AQ$6:$AQ$95,MATCH("BRAND-A|"&amp;KOL_Database!$A$32,Matching_Engine!$AZ$6:$AZ$95,0),1)</f>
        <v>Low Match</v>
      </c>
      <c r="H32" s="89">
        <f ca="1" t="shared" si="0"/>
        <v>12</v>
      </c>
      <c r="I32" s="102">
        <f ca="1">INDEX(Matching_Engine!$AP$6:$AP$95,MATCH("BRAND-B|"&amp;KOL_Database!$A$32,Matching_Engine!$AZ$6:$AZ$95,0),1)</f>
        <v>61</v>
      </c>
      <c r="J32" s="89" t="str">
        <f ca="1">INDEX(Matching_Engine!$AQ$6:$AQ$95,MATCH("BRAND-B|"&amp;KOL_Database!$A$32,Matching_Engine!$AZ$6:$AZ$95,0),1)</f>
        <v>Moderate Match</v>
      </c>
      <c r="K32" s="89">
        <f ca="1" t="shared" si="1"/>
        <v>12</v>
      </c>
      <c r="L32" s="102">
        <f ca="1">INDEX(Matching_Engine!$AP$6:$AP$95,MATCH("BRAND-C|"&amp;KOL_Database!$A$32,Matching_Engine!$AZ$6:$AZ$95,0),1)</f>
        <v>62</v>
      </c>
      <c r="M32" s="89" t="str">
        <f ca="1">INDEX(Matching_Engine!$AQ$6:$AQ$95,MATCH("BRAND-C|"&amp;KOL_Database!$A$32,Matching_Engine!$AZ$6:$AZ$95,0),1)</f>
        <v>Moderate Match</v>
      </c>
      <c r="N32" s="89">
        <f ca="1" t="shared" si="2"/>
        <v>10</v>
      </c>
      <c r="O32" s="102">
        <f ca="1" t="shared" si="3"/>
        <v>7</v>
      </c>
      <c r="P32" s="89" t="str">
        <f ca="1">IF($F32&gt;=$I32,IF($F32&gt;=$L32,Sample_Brands!$B$5,Sample_Brands!$B$7),IF($I32&gt;=$L32,Sample_Brands!$B$6,Sample_Brands!$B$7))</f>
        <v>Rasa Nusantara</v>
      </c>
      <c r="Q32" s="89" t="str">
        <f ca="1" t="shared" si="4"/>
        <v>no</v>
      </c>
    </row>
    <row r="33" spans="1:17">
      <c r="A33" s="89" t="str">
        <f>KOL_Database!$A$33</f>
        <v>KOL-29</v>
      </c>
      <c r="B33" s="101" t="str">
        <f>KOL_Database!$B$33</f>
        <v>Sekar Ayu</v>
      </c>
      <c r="C33" s="89" t="str">
        <f>KOL_Database!$D$33</f>
        <v>TikTok</v>
      </c>
      <c r="D33" s="89" t="str">
        <f>KOL_Database!$E$33</f>
        <v>Beauty</v>
      </c>
      <c r="E33" s="89" t="str">
        <f>KOL_Database!$G$33</f>
        <v>Micro</v>
      </c>
      <c r="F33" s="102">
        <f ca="1">INDEX(Matching_Engine!$AP$6:$AP$95,MATCH("BRAND-A|"&amp;KOL_Database!$A$33,Matching_Engine!$AZ$6:$AZ$95,0),1)</f>
        <v>47</v>
      </c>
      <c r="G33" s="89" t="str">
        <f ca="1">INDEX(Matching_Engine!$AQ$6:$AQ$95,MATCH("BRAND-A|"&amp;KOL_Database!$A$33,Matching_Engine!$AZ$6:$AZ$95,0),1)</f>
        <v>Low Match</v>
      </c>
      <c r="H33" s="89">
        <f ca="1" t="shared" si="0"/>
        <v>18</v>
      </c>
      <c r="I33" s="102">
        <f ca="1">INDEX(Matching_Engine!$AP$6:$AP$95,MATCH("BRAND-B|"&amp;KOL_Database!$A$33,Matching_Engine!$AZ$6:$AZ$95,0),1)</f>
        <v>91</v>
      </c>
      <c r="J33" s="89" t="str">
        <f ca="1">INDEX(Matching_Engine!$AQ$6:$AQ$95,MATCH("BRAND-B|"&amp;KOL_Database!$A$33,Matching_Engine!$AZ$6:$AZ$95,0),1)</f>
        <v>Excellent Match</v>
      </c>
      <c r="K33" s="89">
        <f ca="1" t="shared" si="1"/>
        <v>2</v>
      </c>
      <c r="L33" s="102">
        <f ca="1">INDEX(Matching_Engine!$AP$6:$AP$95,MATCH("BRAND-C|"&amp;KOL_Database!$A$33,Matching_Engine!$AZ$6:$AZ$95,0),1)</f>
        <v>57</v>
      </c>
      <c r="M33" s="89" t="str">
        <f ca="1">INDEX(Matching_Engine!$AQ$6:$AQ$95,MATCH("BRAND-C|"&amp;KOL_Database!$A$33,Matching_Engine!$AZ$6:$AZ$95,0),1)</f>
        <v>Low Match</v>
      </c>
      <c r="N33" s="89">
        <f ca="1" t="shared" si="2"/>
        <v>15</v>
      </c>
      <c r="O33" s="102">
        <f ca="1" t="shared" si="3"/>
        <v>44</v>
      </c>
      <c r="P33" s="89" t="str">
        <f ca="1">IF($F33&gt;=$I33,IF($F33&gt;=$L33,Sample_Brands!$B$5,Sample_Brands!$B$7),IF($I33&gt;=$L33,Sample_Brands!$B$6,Sample_Brands!$B$7))</f>
        <v>Lumaya Skin</v>
      </c>
      <c r="Q33" s="89" t="str">
        <f ca="1" t="shared" si="4"/>
        <v>no</v>
      </c>
    </row>
    <row r="34" spans="1:17">
      <c r="A34" s="89" t="str">
        <f>KOL_Database!$A$34</f>
        <v>KOL-30</v>
      </c>
      <c r="B34" s="101" t="str">
        <f>KOL_Database!$B$34</f>
        <v>Ibnu Faisal</v>
      </c>
      <c r="C34" s="89" t="str">
        <f>KOL_Database!$D$34</f>
        <v>Instagram</v>
      </c>
      <c r="D34" s="89" t="str">
        <f>KOL_Database!$E$34</f>
        <v>Finance</v>
      </c>
      <c r="E34" s="89" t="str">
        <f>KOL_Database!$G$34</f>
        <v>Macro</v>
      </c>
      <c r="F34" s="102">
        <f ca="1">INDEX(Matching_Engine!$AP$6:$AP$95,MATCH("BRAND-A|"&amp;KOL_Database!$A$34,Matching_Engine!$AZ$6:$AZ$95,0),1)</f>
        <v>82</v>
      </c>
      <c r="G34" s="89" t="str">
        <f ca="1">INDEX(Matching_Engine!$AQ$6:$AQ$95,MATCH("BRAND-A|"&amp;KOL_Database!$A$34,Matching_Engine!$AZ$6:$AZ$95,0),1)</f>
        <v>Strong Match</v>
      </c>
      <c r="H34" s="89">
        <f ca="1" t="shared" si="0"/>
        <v>3</v>
      </c>
      <c r="I34" s="102">
        <f ca="1">INDEX(Matching_Engine!$AP$6:$AP$95,MATCH("BRAND-B|"&amp;KOL_Database!$A$34,Matching_Engine!$AZ$6:$AZ$95,0),1)</f>
        <v>42</v>
      </c>
      <c r="J34" s="89" t="str">
        <f ca="1">INDEX(Matching_Engine!$AQ$6:$AQ$95,MATCH("BRAND-B|"&amp;KOL_Database!$A$34,Matching_Engine!$AZ$6:$AZ$95,0),1)</f>
        <v>Low Match</v>
      </c>
      <c r="K34" s="89">
        <f ca="1" t="shared" si="1"/>
        <v>30</v>
      </c>
      <c r="L34" s="102">
        <f ca="1">INDEX(Matching_Engine!$AP$6:$AP$95,MATCH("BRAND-C|"&amp;KOL_Database!$A$34,Matching_Engine!$AZ$6:$AZ$95,0),1)</f>
        <v>44</v>
      </c>
      <c r="M34" s="89" t="str">
        <f ca="1">INDEX(Matching_Engine!$AQ$6:$AQ$95,MATCH("BRAND-C|"&amp;KOL_Database!$A$34,Matching_Engine!$AZ$6:$AZ$95,0),1)</f>
        <v>Low Match</v>
      </c>
      <c r="N34" s="89">
        <f ca="1" t="shared" si="2"/>
        <v>30</v>
      </c>
      <c r="O34" s="102">
        <f ca="1" t="shared" si="3"/>
        <v>40</v>
      </c>
      <c r="P34" s="89" t="str">
        <f ca="1">IF($F34&gt;=$I34,IF($F34&gt;=$L34,Sample_Brands!$B$5,Sample_Brands!$B$7),IF($I34&gt;=$L34,Sample_Brands!$B$6,Sample_Brands!$B$7))</f>
        <v>Nusatech Cloud</v>
      </c>
      <c r="Q34" s="89" t="str">
        <f ca="1" t="shared" si="4"/>
        <v>no</v>
      </c>
    </row>
    <row r="36" ht="18" customHeight="1" spans="1:17">
      <c r="A36" s="87" t="s">
        <v>1941</v>
      </c>
    </row>
    <row r="37" spans="1:17">
      <c r="A37" s="96" t="s">
        <v>1942</v>
      </c>
      <c r="B37" s="28"/>
      <c r="C37" s="28"/>
      <c r="D37" s="29"/>
      <c r="E37" s="97">
        <f>COUNTA($A$5:$A$34)</f>
        <v>30</v>
      </c>
      <c r="F37" s="95" t="s">
        <v>29</v>
      </c>
      <c r="G37" s="28"/>
      <c r="H37" s="28"/>
      <c r="I37" s="28"/>
      <c r="J37" s="28"/>
      <c r="K37" s="28"/>
      <c r="L37" s="28"/>
      <c r="M37" s="28"/>
      <c r="N37" s="28"/>
      <c r="O37" s="28"/>
      <c r="P37" s="28"/>
      <c r="Q37" s="29"/>
    </row>
    <row r="38" spans="1:17">
      <c r="A38" s="96" t="s">
        <v>1943</v>
      </c>
      <c r="B38" s="28"/>
      <c r="C38" s="28"/>
      <c r="D38" s="29"/>
      <c r="E38" s="97">
        <f ca="1">COUNTIF($O$5:$O$34,0)</f>
        <v>0</v>
      </c>
      <c r="F38" s="95" t="s">
        <v>1944</v>
      </c>
      <c r="G38" s="28"/>
      <c r="H38" s="28"/>
      <c r="I38" s="28"/>
      <c r="J38" s="28"/>
      <c r="K38" s="28"/>
      <c r="L38" s="28"/>
      <c r="M38" s="28"/>
      <c r="N38" s="28"/>
      <c r="O38" s="28"/>
      <c r="P38" s="28"/>
      <c r="Q38" s="29"/>
    </row>
    <row r="39" spans="1:17">
      <c r="A39" s="96" t="s">
        <v>1945</v>
      </c>
      <c r="B39" s="28"/>
      <c r="C39" s="28"/>
      <c r="D39" s="29"/>
      <c r="E39" s="97">
        <f ca="1">ROUND(AVERAGE($O$5:$O$34),1)</f>
        <v>26.7</v>
      </c>
      <c r="F39" s="95" t="s">
        <v>1946</v>
      </c>
      <c r="G39" s="28"/>
      <c r="H39" s="28"/>
      <c r="I39" s="28"/>
      <c r="J39" s="28"/>
      <c r="K39" s="28"/>
      <c r="L39" s="28"/>
      <c r="M39" s="28"/>
      <c r="N39" s="28"/>
      <c r="O39" s="28"/>
      <c r="P39" s="28"/>
      <c r="Q39" s="29"/>
    </row>
    <row r="40" spans="1:17">
      <c r="A40" s="96" t="s">
        <v>1947</v>
      </c>
      <c r="B40" s="28"/>
      <c r="C40" s="28"/>
      <c r="D40" s="29"/>
      <c r="E40" s="97">
        <f ca="1">MAX($O$5:$O$34)</f>
        <v>48</v>
      </c>
      <c r="F40" s="95" t="s">
        <v>29</v>
      </c>
      <c r="G40" s="28"/>
      <c r="H40" s="28"/>
      <c r="I40" s="28"/>
      <c r="J40" s="28"/>
      <c r="K40" s="28"/>
      <c r="L40" s="28"/>
      <c r="M40" s="28"/>
      <c r="N40" s="28"/>
      <c r="O40" s="28"/>
      <c r="P40" s="28"/>
      <c r="Q40" s="29"/>
    </row>
    <row r="41" spans="1:17">
      <c r="A41" s="96" t="s">
        <v>1948</v>
      </c>
      <c r="B41" s="28"/>
      <c r="C41" s="28"/>
      <c r="D41" s="29"/>
      <c r="E41" s="97">
        <f ca="1">MIN($O$5:$O$34)</f>
        <v>4</v>
      </c>
      <c r="F41" s="95" t="s">
        <v>29</v>
      </c>
      <c r="G41" s="28"/>
      <c r="H41" s="28"/>
      <c r="I41" s="28"/>
      <c r="J41" s="28"/>
      <c r="K41" s="28"/>
      <c r="L41" s="28"/>
      <c r="M41" s="28"/>
      <c r="N41" s="28"/>
      <c r="O41" s="28"/>
      <c r="P41" s="28"/>
      <c r="Q41" s="29"/>
    </row>
    <row r="42" spans="1:17">
      <c r="A42" s="96" t="s">
        <v>1949</v>
      </c>
      <c r="B42" s="28"/>
      <c r="C42" s="28"/>
      <c r="D42" s="29"/>
      <c r="E42" s="97" t="str">
        <f ca="1">IF(COUNTIF($O$5:$O$34,0)=0,"PASS — every creator scores differently for at least two of the three brands","CHECK — "&amp;COUNTIF($O$5:$O$34,0)&amp;" creator(s) score identically for all three brands")</f>
        <v>PASS — every creator scores differently for at least two of the three brands</v>
      </c>
      <c r="F42" s="95" t="s">
        <v>29</v>
      </c>
      <c r="G42" s="28"/>
      <c r="H42" s="28"/>
      <c r="I42" s="28"/>
      <c r="J42" s="28"/>
      <c r="K42" s="28"/>
      <c r="L42" s="28"/>
      <c r="M42" s="28"/>
      <c r="N42" s="28"/>
      <c r="O42" s="28"/>
      <c r="P42" s="28"/>
      <c r="Q42" s="29"/>
    </row>
    <row r="44" ht="18" customHeight="1" spans="1:17">
      <c r="A44" s="87" t="s">
        <v>1950</v>
      </c>
    </row>
    <row r="45" ht="22" customHeight="1" spans="1:17">
      <c r="A45" s="88" t="s">
        <v>1951</v>
      </c>
      <c r="B45" s="88" t="s">
        <v>1952</v>
      </c>
      <c r="C45" s="88" t="s">
        <v>1953</v>
      </c>
      <c r="D45" s="88" t="s">
        <v>1954</v>
      </c>
    </row>
    <row r="46" spans="1:17">
      <c r="A46" s="103">
        <v>1</v>
      </c>
      <c r="B46" s="89" t="str">
        <f ca="1">IFERROR(INDEX($B$5:$B$34,MATCH(LARGE($F$5:$F$34,1),$F$5:$F$34,0),1)&amp;" — "&amp;LARGE($F$5:$F$34,1)&amp;"/100","—")</f>
        <v>Rifqi Pratama — 93/100</v>
      </c>
      <c r="C46" s="89" t="str">
        <f ca="1">IFERROR(INDEX($B$5:$B$34,MATCH(LARGE($I$5:$I$34,1),$I$5:$I$34,0),1)&amp;" — "&amp;LARGE($I$5:$I$34,1)&amp;"/100","—")</f>
        <v>Salsa Aulia — 92/100</v>
      </c>
      <c r="D46" s="89" t="str">
        <f ca="1">IFERROR(INDEX($B$5:$B$34,MATCH(LARGE($L$5:$L$34,1),$L$5:$L$34,0),1)&amp;" — "&amp;LARGE($L$5:$L$34,1)&amp;"/100","—")</f>
        <v>Bimo Saputra — 85/100</v>
      </c>
    </row>
    <row r="47" spans="1:17">
      <c r="A47" s="103">
        <v>2</v>
      </c>
      <c r="B47" s="89" t="str">
        <f ca="1">IFERROR(INDEX($B$5:$B$34,MATCH(LARGE($F$5:$F$34,2),$F$5:$F$34,0),1)&amp;" — "&amp;LARGE($F$5:$F$34,2)&amp;"/100","—")</f>
        <v>Fajar Ramadhan — 87/100</v>
      </c>
      <c r="C47" s="89" t="str">
        <f ca="1">IFERROR(INDEX($B$5:$B$34,MATCH(LARGE($I$5:$I$34,2),$I$5:$I$34,0),1)&amp;" — "&amp;LARGE($I$5:$I$34,2)&amp;"/100","—")</f>
        <v>Sekar Ayu — 91/100</v>
      </c>
      <c r="D47" s="89" t="str">
        <f ca="1">IFERROR(INDEX($B$5:$B$34,MATCH(LARGE($L$5:$L$34,2),$L$5:$L$34,0),1)&amp;" — "&amp;LARGE($L$5:$L$34,2)&amp;"/100","—")</f>
        <v>Reza Fadillah — 78/100</v>
      </c>
    </row>
    <row r="48" spans="1:17">
      <c r="A48" s="103">
        <v>3</v>
      </c>
      <c r="B48" s="89" t="str">
        <f ca="1">IFERROR(INDEX($B$5:$B$34,MATCH(LARGE($F$5:$F$34,3),$F$5:$F$34,0),1)&amp;" — "&amp;LARGE($F$5:$F$34,3)&amp;"/100","—")</f>
        <v>Tania Wijaya — 82/100</v>
      </c>
      <c r="C48" s="89" t="str">
        <f ca="1">IFERROR(INDEX($B$5:$B$34,MATCH(LARGE($I$5:$I$34,3),$I$5:$I$34,0),1)&amp;" — "&amp;LARGE($I$5:$I$34,3)&amp;"/100","—")</f>
        <v>Nadia Puspa — 81/100</v>
      </c>
      <c r="D48" s="89" t="str">
        <f ca="1">IFERROR(INDEX($B$5:$B$34,MATCH(LARGE($L$5:$L$34,3),$L$5:$L$34,0),1)&amp;" — "&amp;LARGE($L$5:$L$34,3)&amp;"/100","—")</f>
        <v>Ayu Lestari — 74/100</v>
      </c>
    </row>
    <row r="49" spans="1:4">
      <c r="A49" s="103">
        <v>4</v>
      </c>
      <c r="B49" s="89" t="str">
        <f ca="1">IFERROR(INDEX($B$5:$B$34,MATCH(LARGE($F$5:$F$34,4),$F$5:$F$34,0),1)&amp;" — "&amp;LARGE($F$5:$F$34,4)&amp;"/100","—")</f>
        <v>Tania Wijaya — 82/100</v>
      </c>
      <c r="C49" s="89" t="str">
        <f ca="1">IFERROR(INDEX($B$5:$B$34,MATCH(LARGE($I$5:$I$34,4),$I$5:$I$34,0),1)&amp;" — "&amp;LARGE($I$5:$I$34,4)&amp;"/100","—")</f>
        <v>Zahra Amelia — 77/100</v>
      </c>
      <c r="D49" s="89" t="str">
        <f ca="1">IFERROR(INDEX($B$5:$B$34,MATCH(LARGE($L$5:$L$34,4),$L$5:$L$34,0),1)&amp;" — "&amp;LARGE($L$5:$L$34,4)&amp;"/100","—")</f>
        <v>Andini Rahma — 72/100</v>
      </c>
    </row>
    <row r="50" spans="1:4">
      <c r="A50" s="103">
        <v>5</v>
      </c>
      <c r="B50" s="89" t="str">
        <f ca="1">IFERROR(INDEX($B$5:$B$34,MATCH(LARGE($F$5:$F$34,5),$F$5:$F$34,0),1)&amp;" — "&amp;LARGE($F$5:$F$34,5)&amp;"/100","—")</f>
        <v>Gilang Prakoso — 81/100</v>
      </c>
      <c r="C50" s="89" t="str">
        <f ca="1">IFERROR(INDEX($B$5:$B$34,MATCH(LARGE($I$5:$I$34,5),$I$5:$I$34,0),1)&amp;" — "&amp;LARGE($I$5:$I$34,5)&amp;"/100","—")</f>
        <v>Andini Rahma — 71/100</v>
      </c>
      <c r="D50" s="89" t="str">
        <f ca="1">IFERROR(INDEX($B$5:$B$34,MATCH(LARGE($L$5:$L$34,5),$L$5:$L$34,0),1)&amp;" — "&amp;LARGE($L$5:$L$34,5)&amp;"/100","—")</f>
        <v>Andini Rahma — 72/100</v>
      </c>
    </row>
  </sheetData>
  <autoFilter xmlns:etc="http://www.wps.cn/officeDocument/2017/etCustomData" ref="A4:Q34" etc:filterBottomFollowUsedRange="0">
    <extLst/>
  </autoFilter>
  <mergeCells count="16">
    <mergeCell ref="A1:Q1"/>
    <mergeCell ref="A2:Q2"/>
    <mergeCell ref="A36:Q36"/>
    <mergeCell ref="A37:D37"/>
    <mergeCell ref="F37:Q37"/>
    <mergeCell ref="A38:D38"/>
    <mergeCell ref="F38:Q38"/>
    <mergeCell ref="A39:D39"/>
    <mergeCell ref="F39:Q39"/>
    <mergeCell ref="A40:D40"/>
    <mergeCell ref="F40:Q40"/>
    <mergeCell ref="A41:D41"/>
    <mergeCell ref="F41:Q41"/>
    <mergeCell ref="A42:D42"/>
    <mergeCell ref="F42:Q42"/>
    <mergeCell ref="A44:Q44"/>
  </mergeCells>
  <conditionalFormatting sqref="F5:F34">
    <cfRule type="colorScale" priority="1">
      <colorScale>
        <cfvo type="num" val="40"/>
        <cfvo type="num" val="70"/>
        <cfvo type="num" val="95"/>
        <color rgb="FFF8696B"/>
        <color rgb="FFFFEB84"/>
        <color rgb="FF63BE7B"/>
      </colorScale>
    </cfRule>
  </conditionalFormatting>
  <conditionalFormatting sqref="I5:I34">
    <cfRule type="colorScale" priority="2">
      <colorScale>
        <cfvo type="num" val="40"/>
        <cfvo type="num" val="70"/>
        <cfvo type="num" val="95"/>
        <color rgb="FFF8696B"/>
        <color rgb="FFFFEB84"/>
        <color rgb="FF63BE7B"/>
      </colorScale>
    </cfRule>
  </conditionalFormatting>
  <conditionalFormatting sqref="L5:L34">
    <cfRule type="colorScale" priority="3">
      <colorScale>
        <cfvo type="num" val="40"/>
        <cfvo type="num" val="70"/>
        <cfvo type="num" val="95"/>
        <color rgb="FFF8696B"/>
        <color rgb="FFFFEB84"/>
        <color rgb="FF63BE7B"/>
      </colorScale>
    </cfRule>
  </conditionalFormatting>
  <pageMargins left="0.7" right="0.7" top="0.75" bottom="0.75" header="0.3" footer="0.3"/>
  <pageSetup paperSize="1" orientation="portrait"/>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D279"/>
  <sheetViews>
    <sheetView workbookViewId="0">
      <pane ySplit="5" topLeftCell="A6" activePane="bottomLeft" state="frozen"/>
      <selection/>
      <selection pane="bottomLeft" activeCell="A1" sqref="A1:AD1"/>
    </sheetView>
  </sheetViews>
  <sheetFormatPr defaultColWidth="9" defaultRowHeight="15"/>
  <cols>
    <col min="1" max="1" width="30" customWidth="1"/>
    <col min="2" max="2" width="34" customWidth="1"/>
    <col min="3" max="3" width="26" customWidth="1"/>
    <col min="4" max="4" width="11" customWidth="1"/>
    <col min="5" max="5" width="78" customWidth="1"/>
    <col min="6" max="6" width="13" customWidth="1"/>
    <col min="7" max="7" width="20" customWidth="1"/>
    <col min="8" max="8" width="13" customWidth="1"/>
    <col min="9" max="9" width="12" customWidth="1"/>
    <col min="10" max="10" width="11" customWidth="1"/>
    <col min="11" max="11" width="14" customWidth="1"/>
    <col min="12" max="12" width="18" customWidth="1"/>
    <col min="13" max="13" width="24" customWidth="1"/>
    <col min="14" max="14" width="22" customWidth="1"/>
    <col min="15" max="16" width="15" customWidth="1"/>
    <col min="17" max="17" width="11" customWidth="1"/>
    <col min="18" max="18" width="17" customWidth="1"/>
    <col min="19" max="19" width="11" customWidth="1"/>
    <col min="20" max="20" width="20" customWidth="1"/>
    <col min="21" max="21" width="14" customWidth="1"/>
    <col min="22" max="22" width="11" customWidth="1"/>
    <col min="23" max="23" width="22" customWidth="1"/>
    <col min="24" max="24" width="16" customWidth="1"/>
    <col min="25" max="25" width="20" customWidth="1"/>
    <col min="26" max="27" width="16" customWidth="1"/>
    <col min="28" max="28" width="13" customWidth="1"/>
    <col min="29" max="29" width="15" customWidth="1"/>
    <col min="30" max="30" width="19" customWidth="1"/>
  </cols>
  <sheetData>
    <row r="1" ht="24" customHeight="1" spans="1:30">
      <c r="A1" s="38" t="s">
        <v>1955</v>
      </c>
    </row>
    <row r="2" ht="30" customHeight="1" spans="1:30">
      <c r="A2" s="39" t="s">
        <v>1956</v>
      </c>
    </row>
    <row r="4" ht="18" customHeight="1" spans="1:30">
      <c r="A4" s="87" t="s">
        <v>1957</v>
      </c>
    </row>
    <row r="5" ht="26" customHeight="1" spans="1:30">
      <c r="A5" s="88" t="s">
        <v>390</v>
      </c>
      <c r="B5" s="88" t="s">
        <v>132</v>
      </c>
      <c r="C5" s="88" t="s">
        <v>416</v>
      </c>
      <c r="D5" s="88" t="s">
        <v>1958</v>
      </c>
      <c r="E5" s="88" t="s">
        <v>447</v>
      </c>
      <c r="F5" s="88" t="s">
        <v>1959</v>
      </c>
      <c r="G5" s="88" t="s">
        <v>1960</v>
      </c>
      <c r="H5" s="88" t="s">
        <v>1961</v>
      </c>
      <c r="I5" s="88" t="s">
        <v>1962</v>
      </c>
      <c r="J5" s="88" t="s">
        <v>1963</v>
      </c>
      <c r="K5" s="88" t="s">
        <v>197</v>
      </c>
      <c r="L5" s="88" t="s">
        <v>1964</v>
      </c>
      <c r="M5" s="88" t="s">
        <v>1965</v>
      </c>
      <c r="N5" s="88" t="s">
        <v>1966</v>
      </c>
      <c r="O5" s="88" t="s">
        <v>1967</v>
      </c>
      <c r="P5" s="88" t="s">
        <v>1968</v>
      </c>
      <c r="Q5" s="88" t="s">
        <v>27</v>
      </c>
      <c r="R5" s="88" t="s">
        <v>1969</v>
      </c>
      <c r="S5" s="88" t="s">
        <v>1970</v>
      </c>
      <c r="T5" s="88" t="s">
        <v>1971</v>
      </c>
      <c r="U5" s="88" t="s">
        <v>1972</v>
      </c>
      <c r="V5" s="88" t="s">
        <v>1973</v>
      </c>
      <c r="W5" s="88" t="s">
        <v>1974</v>
      </c>
      <c r="X5" s="88" t="s">
        <v>1975</v>
      </c>
      <c r="Y5" s="88" t="s">
        <v>778</v>
      </c>
      <c r="Z5" s="88" t="s">
        <v>773</v>
      </c>
      <c r="AA5" s="88" t="s">
        <v>1976</v>
      </c>
      <c r="AB5" s="88" t="s">
        <v>1977</v>
      </c>
      <c r="AC5" s="88" t="s">
        <v>1978</v>
      </c>
      <c r="AD5" s="88" t="s">
        <v>1979</v>
      </c>
    </row>
    <row r="6" spans="1:30">
      <c r="A6" s="89" t="s">
        <v>391</v>
      </c>
      <c r="B6" s="89" t="s">
        <v>134</v>
      </c>
      <c r="C6" s="89" t="s">
        <v>244</v>
      </c>
      <c r="D6" s="89" t="s">
        <v>146</v>
      </c>
      <c r="E6" s="89" t="s">
        <v>1980</v>
      </c>
      <c r="F6" s="89" t="s">
        <v>1981</v>
      </c>
      <c r="G6" s="89" t="s">
        <v>174</v>
      </c>
      <c r="H6" s="89" t="s">
        <v>179</v>
      </c>
      <c r="I6" s="89" t="s">
        <v>184</v>
      </c>
      <c r="J6" s="89" t="s">
        <v>184</v>
      </c>
      <c r="K6" s="89" t="s">
        <v>1982</v>
      </c>
      <c r="L6" s="89" t="s">
        <v>231</v>
      </c>
      <c r="M6" s="89" t="s">
        <v>550</v>
      </c>
      <c r="N6" s="89" t="s">
        <v>550</v>
      </c>
      <c r="O6" s="89" t="s">
        <v>1983</v>
      </c>
      <c r="P6" s="89" t="s">
        <v>231</v>
      </c>
      <c r="Q6" s="89" t="s">
        <v>1984</v>
      </c>
      <c r="R6" s="89" t="s">
        <v>27</v>
      </c>
      <c r="S6" s="89" t="s">
        <v>157</v>
      </c>
      <c r="T6" s="89" t="s">
        <v>534</v>
      </c>
      <c r="U6" s="89" t="s">
        <v>503</v>
      </c>
      <c r="V6" s="89" t="s">
        <v>295</v>
      </c>
      <c r="W6" s="89" t="s">
        <v>175</v>
      </c>
      <c r="X6" s="89" t="s">
        <v>1147</v>
      </c>
      <c r="Y6" s="89" t="s">
        <v>1148</v>
      </c>
      <c r="Z6" s="89" t="s">
        <v>501</v>
      </c>
      <c r="AA6" s="89" t="s">
        <v>1985</v>
      </c>
      <c r="AB6" s="89" t="s">
        <v>113</v>
      </c>
      <c r="AC6" s="89" t="s">
        <v>55</v>
      </c>
      <c r="AD6" s="89" t="s">
        <v>1024</v>
      </c>
    </row>
    <row r="7" spans="1:30">
      <c r="A7" s="89" t="s">
        <v>392</v>
      </c>
      <c r="B7" s="89" t="s">
        <v>135</v>
      </c>
      <c r="C7" s="89" t="s">
        <v>597</v>
      </c>
      <c r="D7" s="89" t="s">
        <v>522</v>
      </c>
      <c r="E7" s="89" t="s">
        <v>1986</v>
      </c>
      <c r="F7" s="89" t="s">
        <v>166</v>
      </c>
      <c r="G7" s="89" t="s">
        <v>1987</v>
      </c>
      <c r="H7" s="89" t="s">
        <v>1988</v>
      </c>
      <c r="I7" s="89" t="s">
        <v>183</v>
      </c>
      <c r="J7" s="89" t="s">
        <v>188</v>
      </c>
      <c r="K7" s="89" t="s">
        <v>734</v>
      </c>
      <c r="L7" s="89" t="s">
        <v>400</v>
      </c>
      <c r="M7" s="89" t="s">
        <v>231</v>
      </c>
      <c r="N7" s="89" t="s">
        <v>205</v>
      </c>
      <c r="O7" s="89" t="s">
        <v>216</v>
      </c>
      <c r="P7" s="89" t="s">
        <v>233</v>
      </c>
      <c r="Q7" s="89" t="s">
        <v>1989</v>
      </c>
      <c r="R7" s="89" t="s">
        <v>223</v>
      </c>
      <c r="S7" s="89" t="s">
        <v>1732</v>
      </c>
      <c r="T7" s="89" t="s">
        <v>510</v>
      </c>
      <c r="U7" s="89" t="s">
        <v>534</v>
      </c>
      <c r="V7" s="89" t="s">
        <v>291</v>
      </c>
      <c r="W7" s="89" t="s">
        <v>199</v>
      </c>
      <c r="X7" s="89" t="s">
        <v>1149</v>
      </c>
      <c r="Y7" s="89" t="s">
        <v>1152</v>
      </c>
      <c r="Z7" s="89" t="s">
        <v>510</v>
      </c>
      <c r="AA7" s="89" t="s">
        <v>1990</v>
      </c>
      <c r="AB7" s="89" t="s">
        <v>118</v>
      </c>
      <c r="AC7" s="89" t="s">
        <v>57</v>
      </c>
      <c r="AD7" s="89" t="s">
        <v>1039</v>
      </c>
    </row>
    <row r="8" spans="1:30">
      <c r="B8" s="89" t="s">
        <v>136</v>
      </c>
      <c r="C8" s="89" t="s">
        <v>245</v>
      </c>
      <c r="D8" s="89" t="s">
        <v>1243</v>
      </c>
      <c r="E8" s="89" t="s">
        <v>1991</v>
      </c>
      <c r="F8" s="89" t="s">
        <v>165</v>
      </c>
      <c r="G8" s="89" t="s">
        <v>175</v>
      </c>
      <c r="H8" s="89" t="s">
        <v>1992</v>
      </c>
      <c r="I8" s="89" t="s">
        <v>508</v>
      </c>
      <c r="J8" s="89" t="s">
        <v>507</v>
      </c>
      <c r="K8" s="89" t="s">
        <v>562</v>
      </c>
      <c r="L8" s="89" t="s">
        <v>266</v>
      </c>
      <c r="M8" s="89" t="s">
        <v>402</v>
      </c>
      <c r="N8" s="89" t="s">
        <v>207</v>
      </c>
      <c r="O8" s="89" t="s">
        <v>218</v>
      </c>
      <c r="P8" s="89" t="s">
        <v>404</v>
      </c>
      <c r="Q8" s="89" t="s">
        <v>1993</v>
      </c>
      <c r="R8" s="89" t="s">
        <v>222</v>
      </c>
      <c r="S8" s="89" t="s">
        <v>1739</v>
      </c>
      <c r="T8" s="89" t="s">
        <v>501</v>
      </c>
      <c r="U8" s="89" t="s">
        <v>510</v>
      </c>
      <c r="W8" s="89" t="s">
        <v>198</v>
      </c>
      <c r="X8" s="89" t="s">
        <v>1151</v>
      </c>
      <c r="Y8" s="89" t="s">
        <v>1154</v>
      </c>
      <c r="Z8" s="89" t="s">
        <v>1994</v>
      </c>
      <c r="AA8" s="89" t="s">
        <v>1995</v>
      </c>
      <c r="AB8" s="89" t="s">
        <v>119</v>
      </c>
      <c r="AC8" s="89" t="s">
        <v>59</v>
      </c>
      <c r="AD8" s="89" t="s">
        <v>1040</v>
      </c>
    </row>
    <row r="9" spans="1:30">
      <c r="B9" s="89" t="s">
        <v>1755</v>
      </c>
      <c r="C9" s="89" t="s">
        <v>579</v>
      </c>
      <c r="D9" s="89" t="s">
        <v>598</v>
      </c>
      <c r="E9" s="89" t="s">
        <v>1996</v>
      </c>
      <c r="F9" s="89" t="s">
        <v>170</v>
      </c>
      <c r="G9" s="89" t="s">
        <v>173</v>
      </c>
      <c r="H9" s="89" t="s">
        <v>1997</v>
      </c>
      <c r="I9" s="89" t="s">
        <v>565</v>
      </c>
      <c r="J9" s="89" t="s">
        <v>523</v>
      </c>
      <c r="K9" s="89" t="s">
        <v>546</v>
      </c>
      <c r="L9" s="89" t="s">
        <v>233</v>
      </c>
      <c r="M9" s="89" t="s">
        <v>694</v>
      </c>
      <c r="N9" s="89" t="s">
        <v>206</v>
      </c>
      <c r="O9" s="89" t="s">
        <v>217</v>
      </c>
      <c r="P9" s="89" t="s">
        <v>1998</v>
      </c>
      <c r="Q9" s="89" t="s">
        <v>1999</v>
      </c>
      <c r="R9" s="89" t="s">
        <v>206</v>
      </c>
      <c r="S9" s="89" t="s">
        <v>158</v>
      </c>
      <c r="U9" s="89" t="s">
        <v>501</v>
      </c>
      <c r="W9" s="89" t="s">
        <v>2000</v>
      </c>
      <c r="X9" s="89" t="s">
        <v>1153</v>
      </c>
      <c r="Y9" s="89" t="s">
        <v>1156</v>
      </c>
      <c r="AC9" s="89" t="s">
        <v>61</v>
      </c>
      <c r="AD9" s="89" t="s">
        <v>1041</v>
      </c>
    </row>
    <row r="10" spans="1:30">
      <c r="B10" s="89" t="s">
        <v>1766</v>
      </c>
      <c r="C10" s="89" t="s">
        <v>243</v>
      </c>
      <c r="D10" s="89" t="s">
        <v>606</v>
      </c>
      <c r="E10" s="89" t="s">
        <v>2001</v>
      </c>
      <c r="F10" s="89" t="s">
        <v>2002</v>
      </c>
      <c r="H10" s="89" t="s">
        <v>2003</v>
      </c>
      <c r="I10" s="89" t="s">
        <v>524</v>
      </c>
      <c r="J10" s="89" t="s">
        <v>690</v>
      </c>
      <c r="K10" s="89" t="s">
        <v>2004</v>
      </c>
      <c r="L10" s="89" t="s">
        <v>601</v>
      </c>
      <c r="M10" s="89" t="s">
        <v>274</v>
      </c>
      <c r="N10" s="89" t="s">
        <v>2005</v>
      </c>
      <c r="O10" s="89" t="s">
        <v>2005</v>
      </c>
      <c r="P10" s="89" t="s">
        <v>2006</v>
      </c>
      <c r="Q10" s="89" t="s">
        <v>2007</v>
      </c>
      <c r="R10" s="89" t="s">
        <v>2008</v>
      </c>
      <c r="S10" s="89" t="s">
        <v>1748</v>
      </c>
      <c r="W10" s="89" t="s">
        <v>197</v>
      </c>
      <c r="X10" s="89" t="s">
        <v>1155</v>
      </c>
      <c r="Y10" s="89" t="s">
        <v>2009</v>
      </c>
      <c r="AC10" s="89" t="s">
        <v>63</v>
      </c>
      <c r="AD10" s="89" t="s">
        <v>1042</v>
      </c>
    </row>
    <row r="11" spans="1:30">
      <c r="B11" s="89" t="s">
        <v>1775</v>
      </c>
      <c r="C11" s="89" t="s">
        <v>546</v>
      </c>
      <c r="D11" s="89" t="s">
        <v>1277</v>
      </c>
      <c r="H11" s="89" t="s">
        <v>2010</v>
      </c>
      <c r="I11" s="89" t="s">
        <v>590</v>
      </c>
      <c r="J11" s="89" t="s">
        <v>539</v>
      </c>
      <c r="K11" s="89" t="s">
        <v>244</v>
      </c>
      <c r="L11" s="89" t="s">
        <v>660</v>
      </c>
      <c r="M11" s="89" t="s">
        <v>275</v>
      </c>
      <c r="N11" s="89" t="s">
        <v>231</v>
      </c>
      <c r="O11" s="89" t="s">
        <v>2011</v>
      </c>
      <c r="P11" s="89" t="s">
        <v>232</v>
      </c>
      <c r="Q11" s="89" t="s">
        <v>2012</v>
      </c>
      <c r="S11" s="89" t="s">
        <v>159</v>
      </c>
      <c r="AC11" s="89" t="s">
        <v>65</v>
      </c>
      <c r="AD11" s="89" t="s">
        <v>1043</v>
      </c>
    </row>
    <row r="12" spans="1:30">
      <c r="B12" s="89" t="s">
        <v>562</v>
      </c>
      <c r="C12" s="89" t="s">
        <v>562</v>
      </c>
      <c r="D12" s="89" t="s">
        <v>249</v>
      </c>
      <c r="I12" s="89" t="s">
        <v>632</v>
      </c>
      <c r="J12" s="89" t="s">
        <v>632</v>
      </c>
      <c r="K12" s="89" t="s">
        <v>146</v>
      </c>
      <c r="L12" s="89" t="s">
        <v>617</v>
      </c>
      <c r="M12" s="89" t="s">
        <v>642</v>
      </c>
      <c r="N12" s="89" t="s">
        <v>2013</v>
      </c>
      <c r="O12" s="89" t="s">
        <v>2014</v>
      </c>
      <c r="P12" s="89" t="s">
        <v>661</v>
      </c>
      <c r="Q12" s="89" t="s">
        <v>2015</v>
      </c>
      <c r="S12" s="89" t="s">
        <v>1759</v>
      </c>
      <c r="AD12" s="89" t="s">
        <v>1044</v>
      </c>
    </row>
    <row r="13" spans="1:30">
      <c r="B13" s="89" t="s">
        <v>1797</v>
      </c>
      <c r="C13" s="89" t="s">
        <v>613</v>
      </c>
      <c r="D13" s="89" t="s">
        <v>538</v>
      </c>
      <c r="I13" s="89" t="s">
        <v>623</v>
      </c>
      <c r="J13" s="89" t="s">
        <v>2016</v>
      </c>
      <c r="K13" s="89" t="s">
        <v>522</v>
      </c>
      <c r="L13" s="89" t="s">
        <v>583</v>
      </c>
      <c r="M13" s="89" t="s">
        <v>206</v>
      </c>
      <c r="N13" s="89" t="s">
        <v>2017</v>
      </c>
      <c r="O13" s="89" t="s">
        <v>1998</v>
      </c>
      <c r="P13" s="89" t="s">
        <v>2018</v>
      </c>
      <c r="Q13" s="89" t="s">
        <v>2019</v>
      </c>
      <c r="S13" s="89" t="s">
        <v>1763</v>
      </c>
      <c r="AD13" s="89" t="s">
        <v>1045</v>
      </c>
    </row>
    <row r="14" spans="1:30">
      <c r="B14" s="89" t="s">
        <v>714</v>
      </c>
      <c r="C14" s="89" t="s">
        <v>630</v>
      </c>
      <c r="D14" s="89" t="s">
        <v>147</v>
      </c>
      <c r="I14" s="89" t="s">
        <v>691</v>
      </c>
      <c r="J14" s="89" t="s">
        <v>589</v>
      </c>
      <c r="K14" s="89" t="s">
        <v>597</v>
      </c>
      <c r="L14" s="89" t="s">
        <v>737</v>
      </c>
      <c r="M14" s="89" t="s">
        <v>2008</v>
      </c>
      <c r="N14" s="89" t="s">
        <v>2020</v>
      </c>
      <c r="Q14" s="89" t="s">
        <v>2021</v>
      </c>
      <c r="S14" s="89" t="s">
        <v>1770</v>
      </c>
      <c r="AD14" s="89" t="s">
        <v>1046</v>
      </c>
    </row>
    <row r="15" spans="1:30">
      <c r="B15" s="89" t="s">
        <v>699</v>
      </c>
      <c r="C15" s="89" t="s">
        <v>647</v>
      </c>
      <c r="D15" s="89" t="s">
        <v>588</v>
      </c>
      <c r="I15" s="89" t="s">
        <v>2022</v>
      </c>
      <c r="J15" s="89" t="s">
        <v>564</v>
      </c>
      <c r="K15" s="89" t="s">
        <v>2023</v>
      </c>
      <c r="L15" s="89" t="s">
        <v>667</v>
      </c>
      <c r="M15" s="89" t="s">
        <v>660</v>
      </c>
      <c r="N15" s="89" t="s">
        <v>2024</v>
      </c>
      <c r="Q15" s="89" t="s">
        <v>2025</v>
      </c>
      <c r="S15" s="89" t="s">
        <v>1347</v>
      </c>
      <c r="AD15" s="89" t="s">
        <v>1047</v>
      </c>
    </row>
    <row r="16" spans="1:30">
      <c r="B16" s="89" t="s">
        <v>1826</v>
      </c>
      <c r="C16" s="89" t="s">
        <v>666</v>
      </c>
      <c r="D16" s="89" t="s">
        <v>580</v>
      </c>
      <c r="J16" s="89" t="s">
        <v>657</v>
      </c>
      <c r="K16" s="89" t="s">
        <v>245</v>
      </c>
      <c r="M16" s="89" t="s">
        <v>661</v>
      </c>
      <c r="Q16" s="89" t="s">
        <v>2026</v>
      </c>
      <c r="S16" s="89" t="s">
        <v>1779</v>
      </c>
      <c r="AD16" s="89" t="s">
        <v>1048</v>
      </c>
    </row>
    <row r="17" spans="2:30">
      <c r="B17" s="89" t="s">
        <v>1837</v>
      </c>
      <c r="C17" s="89" t="s">
        <v>681</v>
      </c>
      <c r="D17" s="89" t="s">
        <v>1351</v>
      </c>
      <c r="J17" s="89" t="s">
        <v>649</v>
      </c>
      <c r="K17" s="89" t="s">
        <v>2027</v>
      </c>
      <c r="M17" s="89" t="s">
        <v>592</v>
      </c>
      <c r="Q17" s="89" t="s">
        <v>2028</v>
      </c>
      <c r="S17" s="89" t="s">
        <v>1783</v>
      </c>
      <c r="AD17" s="89" t="s">
        <v>987</v>
      </c>
    </row>
    <row r="18" spans="2:30">
      <c r="C18" s="89" t="s">
        <v>699</v>
      </c>
      <c r="D18" s="89" t="s">
        <v>499</v>
      </c>
      <c r="K18" s="89" t="s">
        <v>2029</v>
      </c>
      <c r="Q18" s="89" t="s">
        <v>2030</v>
      </c>
      <c r="S18" s="89" t="s">
        <v>1790</v>
      </c>
      <c r="AD18" s="89" t="s">
        <v>1049</v>
      </c>
    </row>
    <row r="19" spans="2:30">
      <c r="C19" s="89" t="s">
        <v>714</v>
      </c>
      <c r="D19" s="89" t="s">
        <v>145</v>
      </c>
      <c r="K19" s="89" t="s">
        <v>630</v>
      </c>
      <c r="Q19" s="89" t="s">
        <v>1033</v>
      </c>
      <c r="S19" s="89" t="s">
        <v>1793</v>
      </c>
      <c r="AD19" s="89" t="s">
        <v>1050</v>
      </c>
    </row>
    <row r="20" spans="2:30">
      <c r="D20" s="89" t="s">
        <v>1386</v>
      </c>
      <c r="K20" s="89" t="s">
        <v>579</v>
      </c>
      <c r="S20" s="89" t="s">
        <v>1801</v>
      </c>
      <c r="AD20" s="89" t="s">
        <v>1051</v>
      </c>
    </row>
    <row r="21" spans="2:30">
      <c r="D21" s="89" t="s">
        <v>547</v>
      </c>
      <c r="K21" s="89" t="s">
        <v>2026</v>
      </c>
      <c r="S21" s="89" t="s">
        <v>1804</v>
      </c>
      <c r="AD21" s="89" t="s">
        <v>1052</v>
      </c>
    </row>
    <row r="22" spans="2:30">
      <c r="D22" s="89" t="s">
        <v>555</v>
      </c>
      <c r="K22" s="89" t="s">
        <v>647</v>
      </c>
      <c r="S22" s="89" t="s">
        <v>1810</v>
      </c>
      <c r="AD22" s="89" t="s">
        <v>1053</v>
      </c>
    </row>
    <row r="23" spans="2:30">
      <c r="D23" s="89" t="s">
        <v>734</v>
      </c>
      <c r="K23" s="89" t="s">
        <v>674</v>
      </c>
      <c r="S23" s="89" t="s">
        <v>1695</v>
      </c>
      <c r="AD23" s="89" t="s">
        <v>1054</v>
      </c>
    </row>
    <row r="24" spans="2:30">
      <c r="D24" s="89" t="s">
        <v>563</v>
      </c>
      <c r="K24" s="89" t="s">
        <v>666</v>
      </c>
      <c r="S24" s="89" t="s">
        <v>1818</v>
      </c>
      <c r="AD24" s="89" t="s">
        <v>1055</v>
      </c>
    </row>
    <row r="25" spans="2:30">
      <c r="D25" s="89" t="s">
        <v>572</v>
      </c>
      <c r="K25" s="89" t="s">
        <v>681</v>
      </c>
      <c r="S25" s="89" t="s">
        <v>1822</v>
      </c>
      <c r="AD25" s="89" t="s">
        <v>1056</v>
      </c>
    </row>
    <row r="26" spans="2:30">
      <c r="D26" s="89" t="s">
        <v>1459</v>
      </c>
      <c r="K26" s="89" t="s">
        <v>699</v>
      </c>
      <c r="S26" s="89" t="s">
        <v>1830</v>
      </c>
      <c r="AD26" s="89" t="s">
        <v>1057</v>
      </c>
    </row>
    <row r="27" spans="2:30">
      <c r="D27" s="89" t="s">
        <v>614</v>
      </c>
      <c r="K27" s="89" t="s">
        <v>2031</v>
      </c>
      <c r="S27" s="89" t="s">
        <v>1833</v>
      </c>
      <c r="AD27" s="89" t="s">
        <v>1058</v>
      </c>
    </row>
    <row r="28" spans="2:30">
      <c r="D28" s="89" t="s">
        <v>622</v>
      </c>
      <c r="S28" s="89" t="s">
        <v>1841</v>
      </c>
      <c r="AD28" s="89" t="s">
        <v>1059</v>
      </c>
    </row>
    <row r="29" spans="2:30">
      <c r="D29" s="89" t="s">
        <v>1496</v>
      </c>
      <c r="S29" s="89" t="s">
        <v>1845</v>
      </c>
      <c r="AD29" s="89" t="s">
        <v>1060</v>
      </c>
    </row>
    <row r="30" spans="2:30">
      <c r="D30" s="89" t="s">
        <v>631</v>
      </c>
      <c r="AD30" s="89" t="s">
        <v>1061</v>
      </c>
    </row>
    <row r="31" spans="2:30">
      <c r="D31" s="89" t="s">
        <v>639</v>
      </c>
      <c r="AD31" s="89" t="s">
        <v>976</v>
      </c>
    </row>
    <row r="32" spans="2:30">
      <c r="D32" s="89" t="s">
        <v>1530</v>
      </c>
      <c r="AD32" s="89" t="s">
        <v>981</v>
      </c>
    </row>
    <row r="33" spans="4:30">
      <c r="D33" s="89" t="s">
        <v>648</v>
      </c>
      <c r="AD33" s="89" t="s">
        <v>984</v>
      </c>
    </row>
    <row r="34" spans="4:30">
      <c r="D34" s="89" t="s">
        <v>656</v>
      </c>
      <c r="AD34" s="89" t="s">
        <v>992</v>
      </c>
    </row>
    <row r="35" spans="4:30">
      <c r="D35" s="89" t="s">
        <v>1566</v>
      </c>
      <c r="AD35" s="89" t="s">
        <v>997</v>
      </c>
    </row>
    <row r="36" spans="4:30">
      <c r="D36" s="89" t="s">
        <v>667</v>
      </c>
    </row>
    <row r="37" spans="4:30">
      <c r="D37" s="89" t="s">
        <v>674</v>
      </c>
    </row>
    <row r="38" spans="4:30">
      <c r="D38" s="89" t="s">
        <v>1603</v>
      </c>
    </row>
    <row r="39" spans="4:30">
      <c r="D39" s="89" t="s">
        <v>682</v>
      </c>
    </row>
    <row r="40" spans="4:30">
      <c r="D40" s="89" t="s">
        <v>689</v>
      </c>
    </row>
    <row r="41" spans="4:30">
      <c r="D41" s="89" t="s">
        <v>1639</v>
      </c>
    </row>
    <row r="42" spans="4:30">
      <c r="D42" s="89" t="s">
        <v>700</v>
      </c>
    </row>
    <row r="43" spans="4:30">
      <c r="D43" s="89" t="s">
        <v>707</v>
      </c>
    </row>
    <row r="44" spans="4:30">
      <c r="D44" s="89" t="s">
        <v>1674</v>
      </c>
    </row>
    <row r="45" spans="4:30">
      <c r="D45" s="89" t="s">
        <v>715</v>
      </c>
    </row>
    <row r="46" spans="4:30">
      <c r="D46" s="89" t="s">
        <v>722</v>
      </c>
    </row>
    <row r="47" spans="4:30">
      <c r="D47" s="89" t="s">
        <v>1710</v>
      </c>
    </row>
    <row r="49" ht="18" customHeight="1" spans="1:2">
      <c r="A49" s="87" t="s">
        <v>2032</v>
      </c>
    </row>
    <row r="50" ht="20" customHeight="1" spans="1:2">
      <c r="A50" s="88" t="s">
        <v>446</v>
      </c>
      <c r="B50" s="88" t="s">
        <v>1851</v>
      </c>
    </row>
    <row r="51" spans="1:2">
      <c r="A51" s="90" t="s">
        <v>146</v>
      </c>
      <c r="B51" s="90" t="s">
        <v>244</v>
      </c>
    </row>
    <row r="52" spans="1:2">
      <c r="A52" s="90" t="s">
        <v>522</v>
      </c>
      <c r="B52" s="90" t="s">
        <v>244</v>
      </c>
    </row>
    <row r="53" spans="1:2">
      <c r="A53" s="90" t="s">
        <v>1243</v>
      </c>
      <c r="B53" s="90" t="s">
        <v>244</v>
      </c>
    </row>
    <row r="54" spans="1:2">
      <c r="A54" s="90" t="s">
        <v>598</v>
      </c>
      <c r="B54" s="90" t="s">
        <v>597</v>
      </c>
    </row>
    <row r="55" spans="1:2">
      <c r="A55" s="90" t="s">
        <v>606</v>
      </c>
      <c r="B55" s="90" t="s">
        <v>597</v>
      </c>
    </row>
    <row r="56" spans="1:2">
      <c r="A56" s="90" t="s">
        <v>1277</v>
      </c>
      <c r="B56" s="90" t="s">
        <v>597</v>
      </c>
    </row>
    <row r="57" spans="1:2">
      <c r="A57" s="90" t="s">
        <v>249</v>
      </c>
      <c r="B57" s="90" t="s">
        <v>245</v>
      </c>
    </row>
    <row r="58" spans="1:2">
      <c r="A58" s="90" t="s">
        <v>538</v>
      </c>
      <c r="B58" s="90" t="s">
        <v>245</v>
      </c>
    </row>
    <row r="59" spans="1:2">
      <c r="A59" s="90" t="s">
        <v>147</v>
      </c>
      <c r="B59" s="90" t="s">
        <v>245</v>
      </c>
    </row>
    <row r="60" spans="1:2">
      <c r="A60" s="90" t="s">
        <v>588</v>
      </c>
      <c r="B60" s="90" t="s">
        <v>579</v>
      </c>
    </row>
    <row r="61" spans="1:2">
      <c r="A61" s="90" t="s">
        <v>580</v>
      </c>
      <c r="B61" s="90" t="s">
        <v>579</v>
      </c>
    </row>
    <row r="62" spans="1:2">
      <c r="A62" s="90" t="s">
        <v>1351</v>
      </c>
      <c r="B62" s="90" t="s">
        <v>579</v>
      </c>
    </row>
    <row r="63" spans="1:2">
      <c r="A63" s="90" t="s">
        <v>499</v>
      </c>
      <c r="B63" s="90" t="s">
        <v>243</v>
      </c>
    </row>
    <row r="64" spans="1:2">
      <c r="A64" s="90" t="s">
        <v>145</v>
      </c>
      <c r="B64" s="90" t="s">
        <v>243</v>
      </c>
    </row>
    <row r="65" spans="1:2">
      <c r="A65" s="90" t="s">
        <v>1386</v>
      </c>
      <c r="B65" s="90" t="s">
        <v>243</v>
      </c>
    </row>
    <row r="66" spans="1:2">
      <c r="A66" s="90" t="s">
        <v>547</v>
      </c>
      <c r="B66" s="90" t="s">
        <v>546</v>
      </c>
    </row>
    <row r="67" spans="1:2">
      <c r="A67" s="90" t="s">
        <v>555</v>
      </c>
      <c r="B67" s="90" t="s">
        <v>546</v>
      </c>
    </row>
    <row r="68" spans="1:2">
      <c r="A68" s="90" t="s">
        <v>734</v>
      </c>
      <c r="B68" s="90" t="s">
        <v>546</v>
      </c>
    </row>
    <row r="69" spans="1:2">
      <c r="A69" s="90" t="s">
        <v>563</v>
      </c>
      <c r="B69" s="90" t="s">
        <v>562</v>
      </c>
    </row>
    <row r="70" spans="1:2">
      <c r="A70" s="90" t="s">
        <v>572</v>
      </c>
      <c r="B70" s="90" t="s">
        <v>562</v>
      </c>
    </row>
    <row r="71" spans="1:2">
      <c r="A71" s="90" t="s">
        <v>1459</v>
      </c>
      <c r="B71" s="90" t="s">
        <v>562</v>
      </c>
    </row>
    <row r="72" spans="1:2">
      <c r="A72" s="90" t="s">
        <v>614</v>
      </c>
      <c r="B72" s="90" t="s">
        <v>613</v>
      </c>
    </row>
    <row r="73" spans="1:2">
      <c r="A73" s="90" t="s">
        <v>622</v>
      </c>
      <c r="B73" s="90" t="s">
        <v>613</v>
      </c>
    </row>
    <row r="74" spans="1:2">
      <c r="A74" s="90" t="s">
        <v>1496</v>
      </c>
      <c r="B74" s="90" t="s">
        <v>613</v>
      </c>
    </row>
    <row r="75" spans="1:2">
      <c r="A75" s="90" t="s">
        <v>631</v>
      </c>
      <c r="B75" s="90" t="s">
        <v>630</v>
      </c>
    </row>
    <row r="76" spans="1:2">
      <c r="A76" s="90" t="s">
        <v>639</v>
      </c>
      <c r="B76" s="90" t="s">
        <v>630</v>
      </c>
    </row>
    <row r="77" spans="1:2">
      <c r="A77" s="90" t="s">
        <v>1530</v>
      </c>
      <c r="B77" s="90" t="s">
        <v>630</v>
      </c>
    </row>
    <row r="78" spans="1:2">
      <c r="A78" s="90" t="s">
        <v>648</v>
      </c>
      <c r="B78" s="90" t="s">
        <v>647</v>
      </c>
    </row>
    <row r="79" spans="1:2">
      <c r="A79" s="90" t="s">
        <v>656</v>
      </c>
      <c r="B79" s="90" t="s">
        <v>647</v>
      </c>
    </row>
    <row r="80" spans="1:2">
      <c r="A80" s="90" t="s">
        <v>1566</v>
      </c>
      <c r="B80" s="90" t="s">
        <v>647</v>
      </c>
    </row>
    <row r="81" spans="1:3">
      <c r="A81" s="90" t="s">
        <v>667</v>
      </c>
      <c r="B81" s="90" t="s">
        <v>666</v>
      </c>
    </row>
    <row r="82" spans="1:3">
      <c r="A82" s="90" t="s">
        <v>674</v>
      </c>
      <c r="B82" s="90" t="s">
        <v>666</v>
      </c>
    </row>
    <row r="83" spans="1:3">
      <c r="A83" s="90" t="s">
        <v>1603</v>
      </c>
      <c r="B83" s="90" t="s">
        <v>666</v>
      </c>
    </row>
    <row r="84" spans="1:3">
      <c r="A84" s="90" t="s">
        <v>682</v>
      </c>
      <c r="B84" s="90" t="s">
        <v>681</v>
      </c>
    </row>
    <row r="85" spans="1:3">
      <c r="A85" s="90" t="s">
        <v>689</v>
      </c>
      <c r="B85" s="90" t="s">
        <v>681</v>
      </c>
    </row>
    <row r="86" spans="1:3">
      <c r="A86" s="90" t="s">
        <v>1639</v>
      </c>
      <c r="B86" s="90" t="s">
        <v>681</v>
      </c>
    </row>
    <row r="87" spans="1:3">
      <c r="A87" s="90" t="s">
        <v>700</v>
      </c>
      <c r="B87" s="90" t="s">
        <v>699</v>
      </c>
    </row>
    <row r="88" spans="1:3">
      <c r="A88" s="90" t="s">
        <v>707</v>
      </c>
      <c r="B88" s="90" t="s">
        <v>699</v>
      </c>
    </row>
    <row r="89" spans="1:3">
      <c r="A89" s="90" t="s">
        <v>1674</v>
      </c>
      <c r="B89" s="90" t="s">
        <v>699</v>
      </c>
    </row>
    <row r="90" spans="1:3">
      <c r="A90" s="90" t="s">
        <v>715</v>
      </c>
      <c r="B90" s="90" t="s">
        <v>714</v>
      </c>
    </row>
    <row r="91" spans="1:3">
      <c r="A91" s="90" t="s">
        <v>722</v>
      </c>
      <c r="B91" s="90" t="s">
        <v>714</v>
      </c>
    </row>
    <row r="92" spans="1:3">
      <c r="A92" s="90" t="s">
        <v>1710</v>
      </c>
      <c r="B92" s="90" t="s">
        <v>714</v>
      </c>
    </row>
    <row r="94" ht="18" customHeight="1" spans="1:3">
      <c r="A94" s="87" t="s">
        <v>2033</v>
      </c>
    </row>
    <row r="95" ht="20" customHeight="1" spans="1:3">
      <c r="A95" s="88" t="s">
        <v>447</v>
      </c>
      <c r="B95" s="88" t="s">
        <v>2034</v>
      </c>
      <c r="C95" s="88" t="s">
        <v>2035</v>
      </c>
    </row>
    <row r="96" spans="1:3">
      <c r="A96" s="90" t="s">
        <v>1980</v>
      </c>
      <c r="B96" s="91">
        <v>0</v>
      </c>
      <c r="C96" s="91">
        <v>9999</v>
      </c>
    </row>
    <row r="97" spans="1:5">
      <c r="A97" s="90" t="s">
        <v>1986</v>
      </c>
      <c r="B97" s="91">
        <v>10000</v>
      </c>
      <c r="C97" s="91">
        <v>49999</v>
      </c>
    </row>
    <row r="98" spans="1:5">
      <c r="A98" s="90" t="s">
        <v>1991</v>
      </c>
      <c r="B98" s="91">
        <v>50000</v>
      </c>
      <c r="C98" s="91">
        <v>99999</v>
      </c>
    </row>
    <row r="99" spans="1:5">
      <c r="A99" s="90" t="s">
        <v>1996</v>
      </c>
      <c r="B99" s="91">
        <v>100000</v>
      </c>
      <c r="C99" s="91">
        <v>999999</v>
      </c>
    </row>
    <row r="100" spans="1:5">
      <c r="A100" s="90" t="s">
        <v>2001</v>
      </c>
      <c r="B100" s="91">
        <v>1000000</v>
      </c>
      <c r="C100" s="91" t="s">
        <v>827</v>
      </c>
    </row>
    <row r="102" ht="18" customHeight="1" spans="1:5">
      <c r="A102" s="87" t="s">
        <v>2036</v>
      </c>
    </row>
    <row r="103" ht="26" customHeight="1" spans="1:5">
      <c r="A103" s="88" t="s">
        <v>2037</v>
      </c>
      <c r="B103" s="88" t="s">
        <v>2038</v>
      </c>
      <c r="C103" s="88" t="s">
        <v>311</v>
      </c>
      <c r="D103" s="88" t="s">
        <v>27</v>
      </c>
      <c r="E103" s="88" t="s">
        <v>2039</v>
      </c>
    </row>
    <row r="104" spans="1:5">
      <c r="A104" s="92" t="s">
        <v>2040</v>
      </c>
      <c r="B104" s="90" t="s">
        <v>55</v>
      </c>
      <c r="C104" s="93" t="s">
        <v>2041</v>
      </c>
      <c r="D104" s="94">
        <v>20</v>
      </c>
      <c r="E104" s="95" t="s">
        <v>2042</v>
      </c>
    </row>
    <row r="105" spans="1:5">
      <c r="A105" s="90" t="s">
        <v>29</v>
      </c>
      <c r="B105" s="90" t="s">
        <v>57</v>
      </c>
      <c r="C105" s="93" t="s">
        <v>2043</v>
      </c>
      <c r="D105" s="94">
        <v>30</v>
      </c>
      <c r="E105" s="95" t="s">
        <v>2044</v>
      </c>
    </row>
    <row r="106" spans="1:5">
      <c r="A106" s="90" t="s">
        <v>29</v>
      </c>
      <c r="B106" s="90" t="s">
        <v>59</v>
      </c>
      <c r="C106" s="93" t="s">
        <v>2045</v>
      </c>
      <c r="D106" s="94">
        <v>20</v>
      </c>
      <c r="E106" s="95" t="s">
        <v>2046</v>
      </c>
    </row>
    <row r="107" spans="1:5">
      <c r="A107" s="90" t="s">
        <v>29</v>
      </c>
      <c r="B107" s="90" t="s">
        <v>61</v>
      </c>
      <c r="C107" s="93" t="s">
        <v>2047</v>
      </c>
      <c r="D107" s="94">
        <v>10</v>
      </c>
      <c r="E107" s="95" t="s">
        <v>2048</v>
      </c>
    </row>
    <row r="108" spans="1:5">
      <c r="A108" s="90" t="s">
        <v>29</v>
      </c>
      <c r="B108" s="90" t="s">
        <v>63</v>
      </c>
      <c r="C108" s="93" t="s">
        <v>2049</v>
      </c>
      <c r="D108" s="94">
        <v>10</v>
      </c>
      <c r="E108" s="95" t="s">
        <v>2050</v>
      </c>
    </row>
    <row r="109" spans="1:5">
      <c r="A109" s="90" t="s">
        <v>29</v>
      </c>
      <c r="B109" s="90" t="s">
        <v>65</v>
      </c>
      <c r="C109" s="93" t="s">
        <v>2051</v>
      </c>
      <c r="D109" s="94">
        <v>10</v>
      </c>
      <c r="E109" s="95" t="s">
        <v>2052</v>
      </c>
    </row>
    <row r="110" spans="1:5">
      <c r="A110" s="92" t="s">
        <v>2053</v>
      </c>
      <c r="B110" s="90" t="s">
        <v>751</v>
      </c>
      <c r="C110" s="93" t="s">
        <v>2054</v>
      </c>
      <c r="D110" s="94">
        <v>40</v>
      </c>
      <c r="E110" s="95" t="s">
        <v>2055</v>
      </c>
    </row>
    <row r="111" spans="1:5">
      <c r="A111" s="90" t="s">
        <v>29</v>
      </c>
      <c r="B111" s="90" t="s">
        <v>752</v>
      </c>
      <c r="C111" s="93" t="s">
        <v>2056</v>
      </c>
      <c r="D111" s="94">
        <v>30</v>
      </c>
      <c r="E111" s="95" t="s">
        <v>2057</v>
      </c>
    </row>
    <row r="112" ht="24" spans="1:5">
      <c r="A112" s="90" t="s">
        <v>29</v>
      </c>
      <c r="B112" s="90" t="s">
        <v>753</v>
      </c>
      <c r="C112" s="93" t="s">
        <v>2058</v>
      </c>
      <c r="D112" s="94">
        <v>30</v>
      </c>
      <c r="E112" s="95" t="s">
        <v>2059</v>
      </c>
    </row>
    <row r="113" spans="1:5">
      <c r="A113" s="92" t="s">
        <v>2060</v>
      </c>
      <c r="B113" s="90" t="s">
        <v>361</v>
      </c>
      <c r="C113" s="93" t="s">
        <v>2061</v>
      </c>
      <c r="D113" s="94">
        <v>25</v>
      </c>
      <c r="E113" s="95" t="s">
        <v>2062</v>
      </c>
    </row>
    <row r="114" spans="1:5">
      <c r="A114" s="90" t="s">
        <v>29</v>
      </c>
      <c r="B114" s="90" t="s">
        <v>364</v>
      </c>
      <c r="C114" s="93" t="s">
        <v>2063</v>
      </c>
      <c r="D114" s="94">
        <v>15</v>
      </c>
      <c r="E114" s="95" t="s">
        <v>2064</v>
      </c>
    </row>
    <row r="115" spans="1:5">
      <c r="A115" s="90" t="s">
        <v>29</v>
      </c>
      <c r="B115" s="90" t="s">
        <v>367</v>
      </c>
      <c r="C115" s="93" t="s">
        <v>2065</v>
      </c>
      <c r="D115" s="94">
        <v>30</v>
      </c>
      <c r="E115" s="95" t="s">
        <v>2064</v>
      </c>
    </row>
    <row r="116" spans="1:5">
      <c r="A116" s="90" t="s">
        <v>29</v>
      </c>
      <c r="B116" s="90" t="s">
        <v>370</v>
      </c>
      <c r="C116" s="93" t="s">
        <v>2066</v>
      </c>
      <c r="D116" s="94">
        <v>30</v>
      </c>
      <c r="E116" s="95" t="s">
        <v>2064</v>
      </c>
    </row>
    <row r="117" ht="24" spans="1:5">
      <c r="A117" s="90" t="s">
        <v>29</v>
      </c>
      <c r="B117" s="90" t="s">
        <v>2067</v>
      </c>
      <c r="C117" s="93" t="s">
        <v>2068</v>
      </c>
      <c r="D117" s="94">
        <v>12</v>
      </c>
      <c r="E117" s="95" t="s">
        <v>2069</v>
      </c>
    </row>
    <row r="118" spans="1:5">
      <c r="A118" s="92" t="s">
        <v>2070</v>
      </c>
      <c r="B118" s="90" t="s">
        <v>1961</v>
      </c>
      <c r="C118" s="93" t="s">
        <v>2071</v>
      </c>
      <c r="D118" s="94">
        <v>50</v>
      </c>
      <c r="E118" s="95" t="s">
        <v>2072</v>
      </c>
    </row>
    <row r="119" spans="1:5">
      <c r="A119" s="90" t="s">
        <v>29</v>
      </c>
      <c r="B119" s="90" t="s">
        <v>1962</v>
      </c>
      <c r="C119" s="93" t="s">
        <v>2073</v>
      </c>
      <c r="D119" s="94">
        <v>25</v>
      </c>
      <c r="E119" s="95" t="s">
        <v>2074</v>
      </c>
    </row>
    <row r="120" spans="1:5">
      <c r="A120" s="90" t="s">
        <v>29</v>
      </c>
      <c r="B120" s="90" t="s">
        <v>1963</v>
      </c>
      <c r="C120" s="93" t="s">
        <v>2075</v>
      </c>
      <c r="D120" s="94">
        <v>25</v>
      </c>
      <c r="E120" s="95" t="s">
        <v>2076</v>
      </c>
    </row>
    <row r="121" spans="1:5">
      <c r="A121" s="92" t="s">
        <v>2077</v>
      </c>
      <c r="B121" s="90" t="s">
        <v>752</v>
      </c>
      <c r="C121" s="93" t="s">
        <v>2078</v>
      </c>
      <c r="D121" s="94">
        <v>30</v>
      </c>
      <c r="E121" s="95" t="s">
        <v>2079</v>
      </c>
    </row>
    <row r="122" spans="1:5">
      <c r="A122" s="90" t="s">
        <v>29</v>
      </c>
      <c r="B122" s="90" t="s">
        <v>759</v>
      </c>
      <c r="C122" s="93" t="s">
        <v>2080</v>
      </c>
      <c r="D122" s="94">
        <v>20</v>
      </c>
      <c r="E122" s="95" t="s">
        <v>2081</v>
      </c>
    </row>
    <row r="123" spans="1:5">
      <c r="A123" s="90" t="s">
        <v>29</v>
      </c>
      <c r="B123" s="90" t="s">
        <v>760</v>
      </c>
      <c r="C123" s="93" t="s">
        <v>2082</v>
      </c>
      <c r="D123" s="94">
        <v>30</v>
      </c>
      <c r="E123" s="95" t="s">
        <v>2083</v>
      </c>
    </row>
    <row r="124" spans="1:5">
      <c r="A124" s="90" t="s">
        <v>29</v>
      </c>
      <c r="B124" s="90" t="s">
        <v>761</v>
      </c>
      <c r="C124" s="93" t="s">
        <v>2084</v>
      </c>
      <c r="D124" s="94">
        <v>20</v>
      </c>
      <c r="E124" s="95" t="s">
        <v>2085</v>
      </c>
    </row>
    <row r="125" spans="1:5">
      <c r="A125" s="92" t="s">
        <v>2086</v>
      </c>
      <c r="B125" s="90" t="s">
        <v>762</v>
      </c>
      <c r="C125" s="93" t="s">
        <v>2087</v>
      </c>
      <c r="D125" s="94">
        <v>35</v>
      </c>
      <c r="E125" s="95" t="s">
        <v>2088</v>
      </c>
    </row>
    <row r="126" spans="1:5">
      <c r="A126" s="90" t="s">
        <v>29</v>
      </c>
      <c r="B126" s="90" t="s">
        <v>763</v>
      </c>
      <c r="C126" s="93" t="s">
        <v>2089</v>
      </c>
      <c r="D126" s="94">
        <v>25</v>
      </c>
      <c r="E126" s="95" t="s">
        <v>2090</v>
      </c>
    </row>
    <row r="127" spans="1:5">
      <c r="A127" s="90" t="s">
        <v>29</v>
      </c>
      <c r="B127" s="90" t="s">
        <v>764</v>
      </c>
      <c r="C127" s="93" t="s">
        <v>2091</v>
      </c>
      <c r="D127" s="94">
        <v>25</v>
      </c>
      <c r="E127" s="95" t="s">
        <v>2092</v>
      </c>
    </row>
    <row r="128" spans="1:5">
      <c r="A128" s="90" t="s">
        <v>29</v>
      </c>
      <c r="B128" s="90" t="s">
        <v>765</v>
      </c>
      <c r="C128" s="93" t="s">
        <v>2093</v>
      </c>
      <c r="D128" s="94">
        <v>15</v>
      </c>
      <c r="E128" s="95" t="s">
        <v>2094</v>
      </c>
    </row>
    <row r="129" spans="1:5">
      <c r="A129" s="92" t="s">
        <v>2095</v>
      </c>
      <c r="B129" s="90" t="s">
        <v>867</v>
      </c>
      <c r="C129" s="93" t="s">
        <v>2096</v>
      </c>
      <c r="D129" s="94">
        <v>35</v>
      </c>
      <c r="E129" s="95" t="s">
        <v>2097</v>
      </c>
    </row>
    <row r="130" spans="1:5">
      <c r="A130" s="90" t="s">
        <v>29</v>
      </c>
      <c r="B130" s="90" t="s">
        <v>458</v>
      </c>
      <c r="C130" s="93" t="s">
        <v>2098</v>
      </c>
      <c r="D130" s="94">
        <v>20</v>
      </c>
      <c r="E130" s="95" t="s">
        <v>2097</v>
      </c>
    </row>
    <row r="131" spans="1:5">
      <c r="A131" s="90" t="s">
        <v>29</v>
      </c>
      <c r="B131" s="90" t="s">
        <v>928</v>
      </c>
      <c r="C131" s="93" t="s">
        <v>2099</v>
      </c>
      <c r="D131" s="94">
        <v>20</v>
      </c>
      <c r="E131" s="95" t="s">
        <v>2097</v>
      </c>
    </row>
    <row r="132" spans="1:5">
      <c r="A132" s="90" t="s">
        <v>29</v>
      </c>
      <c r="B132" s="90" t="s">
        <v>2015</v>
      </c>
      <c r="C132" s="93" t="s">
        <v>2100</v>
      </c>
      <c r="D132" s="94">
        <v>10</v>
      </c>
      <c r="E132" s="95" t="s">
        <v>2097</v>
      </c>
    </row>
    <row r="133" spans="1:5">
      <c r="A133" s="90" t="s">
        <v>29</v>
      </c>
      <c r="B133" s="90" t="s">
        <v>452</v>
      </c>
      <c r="C133" s="93" t="s">
        <v>2101</v>
      </c>
      <c r="D133" s="94">
        <v>10</v>
      </c>
      <c r="E133" s="95" t="s">
        <v>2102</v>
      </c>
    </row>
    <row r="134" spans="1:5">
      <c r="A134" s="90" t="s">
        <v>29</v>
      </c>
      <c r="B134" s="90" t="s">
        <v>2103</v>
      </c>
      <c r="C134" s="93" t="s">
        <v>2104</v>
      </c>
      <c r="D134" s="94">
        <v>5</v>
      </c>
      <c r="E134" s="95" t="s">
        <v>2105</v>
      </c>
    </row>
    <row r="135" spans="1:5">
      <c r="A135" s="92" t="s">
        <v>2106</v>
      </c>
      <c r="B135" s="90" t="s">
        <v>483</v>
      </c>
      <c r="C135" s="93" t="s">
        <v>2107</v>
      </c>
      <c r="D135" s="94">
        <v>80</v>
      </c>
      <c r="E135" s="95" t="s">
        <v>2108</v>
      </c>
    </row>
    <row r="136" spans="1:5">
      <c r="A136" s="90" t="s">
        <v>29</v>
      </c>
      <c r="B136" s="90" t="s">
        <v>484</v>
      </c>
      <c r="C136" s="93" t="s">
        <v>2109</v>
      </c>
      <c r="D136" s="94">
        <v>20</v>
      </c>
      <c r="E136" s="95" t="s">
        <v>2110</v>
      </c>
    </row>
    <row r="137" spans="1:5">
      <c r="A137" s="92" t="s">
        <v>2111</v>
      </c>
      <c r="B137" s="90" t="s">
        <v>2112</v>
      </c>
      <c r="C137" s="93" t="s">
        <v>2113</v>
      </c>
      <c r="D137" s="94">
        <v>0.6</v>
      </c>
      <c r="E137" s="95" t="s">
        <v>2114</v>
      </c>
    </row>
    <row r="138" spans="1:5">
      <c r="A138" s="90" t="s">
        <v>29</v>
      </c>
      <c r="B138" s="90" t="s">
        <v>2115</v>
      </c>
      <c r="C138" s="93" t="s">
        <v>2116</v>
      </c>
      <c r="D138" s="94">
        <v>0.85</v>
      </c>
      <c r="E138" s="95" t="s">
        <v>2117</v>
      </c>
    </row>
    <row r="139" spans="1:5">
      <c r="A139" s="90" t="s">
        <v>29</v>
      </c>
      <c r="B139" s="90" t="s">
        <v>2118</v>
      </c>
      <c r="C139" s="93" t="s">
        <v>2119</v>
      </c>
      <c r="D139" s="94">
        <v>0.95</v>
      </c>
      <c r="E139" s="95" t="s">
        <v>2117</v>
      </c>
    </row>
    <row r="140" spans="1:5">
      <c r="A140" s="90" t="s">
        <v>29</v>
      </c>
      <c r="B140" s="90" t="s">
        <v>2120</v>
      </c>
      <c r="C140" s="93" t="s">
        <v>2121</v>
      </c>
      <c r="D140" s="94">
        <v>1</v>
      </c>
      <c r="E140" s="95" t="s">
        <v>2122</v>
      </c>
    </row>
    <row r="141" spans="1:5">
      <c r="A141" s="92" t="s">
        <v>2123</v>
      </c>
      <c r="B141" s="90" t="s">
        <v>2124</v>
      </c>
      <c r="C141" s="93" t="s">
        <v>2125</v>
      </c>
      <c r="D141" s="94">
        <v>6</v>
      </c>
      <c r="E141" s="95" t="s">
        <v>2126</v>
      </c>
    </row>
    <row r="142" spans="1:5">
      <c r="A142" s="90" t="s">
        <v>29</v>
      </c>
      <c r="B142" s="90" t="s">
        <v>2127</v>
      </c>
      <c r="C142" s="93" t="s">
        <v>2128</v>
      </c>
      <c r="D142" s="94">
        <v>45</v>
      </c>
      <c r="E142" s="95" t="s">
        <v>2129</v>
      </c>
    </row>
    <row r="143" spans="1:5">
      <c r="A143" s="90" t="s">
        <v>29</v>
      </c>
      <c r="B143" s="90" t="s">
        <v>2130</v>
      </c>
      <c r="C143" s="93" t="s">
        <v>2131</v>
      </c>
      <c r="D143" s="94">
        <v>65</v>
      </c>
      <c r="E143" s="95" t="s">
        <v>2132</v>
      </c>
    </row>
    <row r="144" spans="1:5">
      <c r="A144" s="90" t="s">
        <v>29</v>
      </c>
      <c r="B144" s="90" t="s">
        <v>2133</v>
      </c>
      <c r="C144" s="93" t="s">
        <v>2134</v>
      </c>
      <c r="D144" s="94">
        <v>0.5</v>
      </c>
      <c r="E144" s="95" t="s">
        <v>2135</v>
      </c>
    </row>
    <row r="145" spans="1:5">
      <c r="A145" s="90" t="s">
        <v>29</v>
      </c>
      <c r="B145" s="90" t="s">
        <v>2136</v>
      </c>
      <c r="C145" s="93" t="s">
        <v>2137</v>
      </c>
      <c r="D145" s="94">
        <v>8</v>
      </c>
      <c r="E145" s="95" t="s">
        <v>2138</v>
      </c>
    </row>
    <row r="146" spans="1:5">
      <c r="A146" s="90" t="s">
        <v>29</v>
      </c>
      <c r="B146" s="90" t="s">
        <v>2139</v>
      </c>
      <c r="C146" s="93" t="s">
        <v>2140</v>
      </c>
      <c r="D146" s="94">
        <v>9000</v>
      </c>
      <c r="E146" s="95" t="s">
        <v>2141</v>
      </c>
    </row>
    <row r="147" spans="1:5">
      <c r="A147" s="90" t="s">
        <v>29</v>
      </c>
      <c r="B147" s="90" t="s">
        <v>2142</v>
      </c>
      <c r="C147" s="93" t="s">
        <v>2143</v>
      </c>
      <c r="D147" s="94">
        <v>1.15</v>
      </c>
      <c r="E147" s="95" t="s">
        <v>2144</v>
      </c>
    </row>
    <row r="148" spans="1:5">
      <c r="A148" s="90" t="s">
        <v>29</v>
      </c>
      <c r="B148" s="90" t="s">
        <v>2145</v>
      </c>
      <c r="C148" s="93" t="s">
        <v>2146</v>
      </c>
      <c r="D148" s="94">
        <v>0.12</v>
      </c>
      <c r="E148" s="95" t="s">
        <v>2147</v>
      </c>
    </row>
    <row r="149" spans="1:5">
      <c r="A149" s="90" t="s">
        <v>29</v>
      </c>
      <c r="B149" s="90" t="s">
        <v>2148</v>
      </c>
      <c r="C149" s="93" t="s">
        <v>2149</v>
      </c>
      <c r="D149" s="94">
        <f>IFERROR(MEDIAN(KOL_Database!$AP$5:$AP$34),0)</f>
        <v>1472.5</v>
      </c>
      <c r="E149" s="95" t="s">
        <v>2150</v>
      </c>
    </row>
    <row r="150" spans="1:5">
      <c r="A150" s="90" t="s">
        <v>29</v>
      </c>
      <c r="B150" s="90" t="s">
        <v>2151</v>
      </c>
      <c r="C150" s="93" t="s">
        <v>2152</v>
      </c>
      <c r="D150" s="94">
        <v>50</v>
      </c>
      <c r="E150" s="95" t="s">
        <v>2153</v>
      </c>
    </row>
    <row r="151" spans="1:5">
      <c r="A151" s="90" t="s">
        <v>29</v>
      </c>
      <c r="B151" s="90" t="s">
        <v>2154</v>
      </c>
      <c r="C151" s="93" t="s">
        <v>2155</v>
      </c>
      <c r="D151" s="94">
        <v>20</v>
      </c>
      <c r="E151" s="95" t="s">
        <v>2156</v>
      </c>
    </row>
    <row r="152" spans="1:5">
      <c r="A152" s="92" t="s">
        <v>2157</v>
      </c>
      <c r="B152" s="90" t="s">
        <v>2158</v>
      </c>
      <c r="C152" s="93" t="s">
        <v>2159</v>
      </c>
      <c r="D152" s="94">
        <v>90</v>
      </c>
      <c r="E152" s="95" t="s">
        <v>2160</v>
      </c>
    </row>
    <row r="153" spans="1:5">
      <c r="A153" s="90" t="s">
        <v>29</v>
      </c>
      <c r="B153" s="90" t="s">
        <v>2161</v>
      </c>
      <c r="C153" s="93" t="s">
        <v>2162</v>
      </c>
      <c r="D153" s="94">
        <v>80</v>
      </c>
      <c r="E153" s="95" t="s">
        <v>29</v>
      </c>
    </row>
    <row r="154" spans="1:5">
      <c r="A154" s="90" t="s">
        <v>29</v>
      </c>
      <c r="B154" s="90" t="s">
        <v>2163</v>
      </c>
      <c r="C154" s="93" t="s">
        <v>2164</v>
      </c>
      <c r="D154" s="94">
        <v>70</v>
      </c>
      <c r="E154" s="95" t="s">
        <v>29</v>
      </c>
    </row>
    <row r="155" spans="1:5">
      <c r="A155" s="90" t="s">
        <v>29</v>
      </c>
      <c r="B155" s="90" t="s">
        <v>2165</v>
      </c>
      <c r="C155" s="93" t="s">
        <v>2166</v>
      </c>
      <c r="D155" s="94">
        <v>60</v>
      </c>
      <c r="E155" s="95" t="s">
        <v>2167</v>
      </c>
    </row>
    <row r="156" spans="1:5">
      <c r="A156" s="92" t="s">
        <v>2168</v>
      </c>
      <c r="B156" s="90" t="s">
        <v>2169</v>
      </c>
      <c r="C156" s="93" t="s">
        <v>2170</v>
      </c>
      <c r="D156" s="94">
        <v>85</v>
      </c>
      <c r="E156" s="95" t="s">
        <v>2171</v>
      </c>
    </row>
    <row r="157" spans="1:5">
      <c r="A157" s="90" t="s">
        <v>29</v>
      </c>
      <c r="B157" s="90" t="s">
        <v>2172</v>
      </c>
      <c r="C157" s="93" t="s">
        <v>2173</v>
      </c>
      <c r="D157" s="94">
        <v>72</v>
      </c>
      <c r="E157" s="95" t="s">
        <v>29</v>
      </c>
    </row>
    <row r="158" spans="1:5">
      <c r="A158" s="90" t="s">
        <v>29</v>
      </c>
      <c r="B158" s="90" t="s">
        <v>2174</v>
      </c>
      <c r="C158" s="93" t="s">
        <v>2175</v>
      </c>
      <c r="D158" s="94">
        <v>60</v>
      </c>
      <c r="E158" s="95" t="s">
        <v>2176</v>
      </c>
    </row>
    <row r="159" spans="1:5">
      <c r="A159" s="92" t="s">
        <v>2177</v>
      </c>
      <c r="B159" s="90" t="s">
        <v>2178</v>
      </c>
      <c r="C159" s="93" t="s">
        <v>2179</v>
      </c>
      <c r="D159" s="94">
        <v>100</v>
      </c>
      <c r="E159" s="95" t="s">
        <v>2180</v>
      </c>
    </row>
    <row r="160" spans="1:5">
      <c r="A160" s="90" t="s">
        <v>29</v>
      </c>
      <c r="B160" s="90" t="s">
        <v>2181</v>
      </c>
      <c r="C160" s="93" t="s">
        <v>2182</v>
      </c>
      <c r="D160" s="94">
        <v>84</v>
      </c>
      <c r="E160" s="95" t="s">
        <v>2183</v>
      </c>
    </row>
    <row r="161" spans="1:15">
      <c r="A161" s="92" t="s">
        <v>2184</v>
      </c>
      <c r="B161" s="90" t="s">
        <v>2185</v>
      </c>
      <c r="C161" s="93" t="s">
        <v>2186</v>
      </c>
      <c r="D161" s="94">
        <v>75</v>
      </c>
      <c r="E161" s="95" t="s">
        <v>2187</v>
      </c>
    </row>
    <row r="162" spans="1:15">
      <c r="A162" s="92" t="s">
        <v>2188</v>
      </c>
      <c r="B162" s="90" t="s">
        <v>2189</v>
      </c>
      <c r="C162" s="93" t="s">
        <v>2190</v>
      </c>
      <c r="D162" s="94">
        <v>35</v>
      </c>
      <c r="E162" s="95" t="s">
        <v>2191</v>
      </c>
    </row>
    <row r="163" spans="1:15">
      <c r="A163" s="90" t="s">
        <v>29</v>
      </c>
      <c r="B163" s="90" t="s">
        <v>493</v>
      </c>
      <c r="C163" s="93" t="s">
        <v>2192</v>
      </c>
      <c r="D163" s="94">
        <v>25</v>
      </c>
      <c r="E163" s="95" t="s">
        <v>2191</v>
      </c>
    </row>
    <row r="164" spans="1:15">
      <c r="A164" s="90" t="s">
        <v>29</v>
      </c>
      <c r="B164" s="90" t="s">
        <v>2103</v>
      </c>
      <c r="C164" s="93" t="s">
        <v>2193</v>
      </c>
      <c r="D164" s="94">
        <v>25</v>
      </c>
      <c r="E164" s="95" t="s">
        <v>2191</v>
      </c>
    </row>
    <row r="165" spans="1:15">
      <c r="A165" s="90" t="s">
        <v>29</v>
      </c>
      <c r="B165" s="90" t="s">
        <v>867</v>
      </c>
      <c r="C165" s="93" t="s">
        <v>2194</v>
      </c>
      <c r="D165" s="94">
        <v>15</v>
      </c>
      <c r="E165" s="95" t="s">
        <v>2191</v>
      </c>
    </row>
    <row r="166" spans="1:15">
      <c r="A166" s="92" t="s">
        <v>2195</v>
      </c>
      <c r="B166" s="96" t="s">
        <v>2196</v>
      </c>
      <c r="C166" s="93" t="s">
        <v>2197</v>
      </c>
      <c r="D166" s="97">
        <f>Lookup_Lists!$D$104+Lookup_Lists!$D$105+Lookup_Lists!$D$106+Lookup_Lists!$D$107+Lookup_Lists!$D$108+Lookup_Lists!$D$109</f>
        <v>100</v>
      </c>
      <c r="E166" s="96" t="str">
        <f>IF(Lookup_Lists!$D$166=100,"OK — the six components total 100%","ERROR — the six components total "&amp;Lookup_Lists!$D$166&amp;"%, they must total 100")</f>
        <v>OK — the six components total 100%</v>
      </c>
    </row>
    <row r="168" ht="18" customHeight="1" spans="1:15">
      <c r="A168" s="87" t="s">
        <v>2198</v>
      </c>
    </row>
    <row r="169" ht="44" customHeight="1" spans="1:15">
      <c r="A169" s="98" t="s">
        <v>2199</v>
      </c>
      <c r="B169" s="88" t="s">
        <v>244</v>
      </c>
      <c r="C169" s="88" t="s">
        <v>597</v>
      </c>
      <c r="D169" s="88" t="s">
        <v>245</v>
      </c>
      <c r="E169" s="88" t="s">
        <v>579</v>
      </c>
      <c r="F169" s="88" t="s">
        <v>243</v>
      </c>
      <c r="G169" s="88" t="s">
        <v>546</v>
      </c>
      <c r="H169" s="88" t="s">
        <v>562</v>
      </c>
      <c r="I169" s="88" t="s">
        <v>613</v>
      </c>
      <c r="J169" s="88" t="s">
        <v>630</v>
      </c>
      <c r="K169" s="88" t="s">
        <v>647</v>
      </c>
      <c r="L169" s="88" t="s">
        <v>666</v>
      </c>
      <c r="M169" s="88" t="s">
        <v>681</v>
      </c>
      <c r="N169" s="88" t="s">
        <v>699</v>
      </c>
      <c r="O169" s="88" t="s">
        <v>714</v>
      </c>
    </row>
    <row r="170" spans="1:15">
      <c r="A170" s="92" t="s">
        <v>134</v>
      </c>
      <c r="B170" s="99">
        <v>20</v>
      </c>
      <c r="C170" s="99">
        <v>20</v>
      </c>
      <c r="D170" s="99">
        <v>20</v>
      </c>
      <c r="E170" s="99">
        <v>40</v>
      </c>
      <c r="F170" s="99">
        <v>100</v>
      </c>
      <c r="G170" s="99">
        <v>80</v>
      </c>
      <c r="H170" s="99">
        <v>80</v>
      </c>
      <c r="I170" s="99">
        <v>60</v>
      </c>
      <c r="J170" s="99">
        <v>40</v>
      </c>
      <c r="K170" s="99">
        <v>20</v>
      </c>
      <c r="L170" s="99">
        <v>40</v>
      </c>
      <c r="M170" s="99">
        <v>60</v>
      </c>
      <c r="N170" s="99">
        <v>40</v>
      </c>
      <c r="O170" s="99">
        <v>40</v>
      </c>
    </row>
    <row r="171" spans="1:15">
      <c r="A171" s="92" t="s">
        <v>135</v>
      </c>
      <c r="B171" s="99">
        <v>100</v>
      </c>
      <c r="C171" s="99">
        <v>80</v>
      </c>
      <c r="D171" s="99">
        <v>40</v>
      </c>
      <c r="E171" s="99">
        <v>60</v>
      </c>
      <c r="F171" s="99">
        <v>20</v>
      </c>
      <c r="G171" s="99">
        <v>20</v>
      </c>
      <c r="H171" s="99">
        <v>20</v>
      </c>
      <c r="I171" s="99">
        <v>80</v>
      </c>
      <c r="J171" s="99">
        <v>40</v>
      </c>
      <c r="K171" s="99">
        <v>40</v>
      </c>
      <c r="L171" s="99">
        <v>40</v>
      </c>
      <c r="M171" s="99">
        <v>20</v>
      </c>
      <c r="N171" s="99">
        <v>20</v>
      </c>
      <c r="O171" s="99">
        <v>40</v>
      </c>
    </row>
    <row r="172" spans="1:15">
      <c r="A172" s="92" t="s">
        <v>136</v>
      </c>
      <c r="B172" s="99">
        <v>40</v>
      </c>
      <c r="C172" s="99">
        <v>40</v>
      </c>
      <c r="D172" s="99">
        <v>100</v>
      </c>
      <c r="E172" s="99">
        <v>60</v>
      </c>
      <c r="F172" s="99">
        <v>20</v>
      </c>
      <c r="G172" s="99">
        <v>20</v>
      </c>
      <c r="H172" s="99">
        <v>40</v>
      </c>
      <c r="I172" s="99">
        <v>80</v>
      </c>
      <c r="J172" s="99">
        <v>80</v>
      </c>
      <c r="K172" s="99">
        <v>60</v>
      </c>
      <c r="L172" s="99">
        <v>60</v>
      </c>
      <c r="M172" s="99">
        <v>20</v>
      </c>
      <c r="N172" s="99">
        <v>20</v>
      </c>
      <c r="O172" s="99">
        <v>60</v>
      </c>
    </row>
    <row r="173" spans="1:15">
      <c r="A173" s="92" t="s">
        <v>1755</v>
      </c>
      <c r="B173" s="99">
        <v>80</v>
      </c>
      <c r="C173" s="99">
        <v>100</v>
      </c>
      <c r="D173" s="99">
        <v>40</v>
      </c>
      <c r="E173" s="99">
        <v>40</v>
      </c>
      <c r="F173" s="99">
        <v>20</v>
      </c>
      <c r="G173" s="99">
        <v>20</v>
      </c>
      <c r="H173" s="99">
        <v>20</v>
      </c>
      <c r="I173" s="99">
        <v>80</v>
      </c>
      <c r="J173" s="99">
        <v>60</v>
      </c>
      <c r="K173" s="99">
        <v>40</v>
      </c>
      <c r="L173" s="99">
        <v>60</v>
      </c>
      <c r="M173" s="99">
        <v>20</v>
      </c>
      <c r="N173" s="99">
        <v>20</v>
      </c>
      <c r="O173" s="99">
        <v>40</v>
      </c>
    </row>
    <row r="174" spans="1:15">
      <c r="A174" s="92" t="s">
        <v>1766</v>
      </c>
      <c r="B174" s="99">
        <v>60</v>
      </c>
      <c r="C174" s="99">
        <v>40</v>
      </c>
      <c r="D174" s="99">
        <v>80</v>
      </c>
      <c r="E174" s="99">
        <v>100</v>
      </c>
      <c r="F174" s="99">
        <v>40</v>
      </c>
      <c r="G174" s="99">
        <v>20</v>
      </c>
      <c r="H174" s="99">
        <v>40</v>
      </c>
      <c r="I174" s="99">
        <v>80</v>
      </c>
      <c r="J174" s="99">
        <v>40</v>
      </c>
      <c r="K174" s="99">
        <v>60</v>
      </c>
      <c r="L174" s="99">
        <v>20</v>
      </c>
      <c r="M174" s="99">
        <v>20</v>
      </c>
      <c r="N174" s="99">
        <v>20</v>
      </c>
      <c r="O174" s="99">
        <v>40</v>
      </c>
    </row>
    <row r="175" spans="1:15">
      <c r="A175" s="92" t="s">
        <v>1775</v>
      </c>
      <c r="B175" s="99">
        <v>20</v>
      </c>
      <c r="C175" s="99">
        <v>20</v>
      </c>
      <c r="D175" s="99">
        <v>20</v>
      </c>
      <c r="E175" s="99">
        <v>20</v>
      </c>
      <c r="F175" s="99">
        <v>80</v>
      </c>
      <c r="G175" s="99">
        <v>100</v>
      </c>
      <c r="H175" s="99">
        <v>80</v>
      </c>
      <c r="I175" s="99">
        <v>60</v>
      </c>
      <c r="J175" s="99">
        <v>40</v>
      </c>
      <c r="K175" s="99">
        <v>40</v>
      </c>
      <c r="L175" s="99">
        <v>20</v>
      </c>
      <c r="M175" s="99">
        <v>20</v>
      </c>
      <c r="N175" s="99">
        <v>40</v>
      </c>
      <c r="O175" s="99">
        <v>40</v>
      </c>
    </row>
    <row r="176" spans="1:15">
      <c r="A176" s="92" t="s">
        <v>562</v>
      </c>
      <c r="B176" s="99">
        <v>20</v>
      </c>
      <c r="C176" s="99">
        <v>20</v>
      </c>
      <c r="D176" s="99">
        <v>20</v>
      </c>
      <c r="E176" s="99">
        <v>40</v>
      </c>
      <c r="F176" s="99">
        <v>80</v>
      </c>
      <c r="G176" s="99">
        <v>80</v>
      </c>
      <c r="H176" s="99">
        <v>100</v>
      </c>
      <c r="I176" s="99">
        <v>60</v>
      </c>
      <c r="J176" s="99">
        <v>40</v>
      </c>
      <c r="K176" s="99">
        <v>60</v>
      </c>
      <c r="L176" s="99">
        <v>40</v>
      </c>
      <c r="M176" s="99">
        <v>40</v>
      </c>
      <c r="N176" s="99">
        <v>20</v>
      </c>
      <c r="O176" s="99">
        <v>20</v>
      </c>
    </row>
    <row r="177" spans="1:15">
      <c r="A177" s="92" t="s">
        <v>1797</v>
      </c>
      <c r="B177" s="99">
        <v>40</v>
      </c>
      <c r="C177" s="99">
        <v>60</v>
      </c>
      <c r="D177" s="99">
        <v>80</v>
      </c>
      <c r="E177" s="99">
        <v>40</v>
      </c>
      <c r="F177" s="99">
        <v>20</v>
      </c>
      <c r="G177" s="99">
        <v>20</v>
      </c>
      <c r="H177" s="99">
        <v>20</v>
      </c>
      <c r="I177" s="99">
        <v>80</v>
      </c>
      <c r="J177" s="99">
        <v>100</v>
      </c>
      <c r="K177" s="99">
        <v>60</v>
      </c>
      <c r="L177" s="99">
        <v>60</v>
      </c>
      <c r="M177" s="99">
        <v>20</v>
      </c>
      <c r="N177" s="99">
        <v>40</v>
      </c>
      <c r="O177" s="99">
        <v>40</v>
      </c>
    </row>
    <row r="178" spans="1:15">
      <c r="A178" s="92" t="s">
        <v>714</v>
      </c>
      <c r="B178" s="99">
        <v>40</v>
      </c>
      <c r="C178" s="99">
        <v>40</v>
      </c>
      <c r="D178" s="99">
        <v>60</v>
      </c>
      <c r="E178" s="99">
        <v>20</v>
      </c>
      <c r="F178" s="99">
        <v>40</v>
      </c>
      <c r="G178" s="99">
        <v>40</v>
      </c>
      <c r="H178" s="99">
        <v>20</v>
      </c>
      <c r="I178" s="99">
        <v>80</v>
      </c>
      <c r="J178" s="99">
        <v>40</v>
      </c>
      <c r="K178" s="99">
        <v>80</v>
      </c>
      <c r="L178" s="99">
        <v>20</v>
      </c>
      <c r="M178" s="99">
        <v>20</v>
      </c>
      <c r="N178" s="99">
        <v>20</v>
      </c>
      <c r="O178" s="99">
        <v>100</v>
      </c>
    </row>
    <row r="179" spans="1:15">
      <c r="A179" s="92" t="s">
        <v>699</v>
      </c>
      <c r="B179" s="99">
        <v>20</v>
      </c>
      <c r="C179" s="99">
        <v>20</v>
      </c>
      <c r="D179" s="99">
        <v>20</v>
      </c>
      <c r="E179" s="99">
        <v>20</v>
      </c>
      <c r="F179" s="99">
        <v>80</v>
      </c>
      <c r="G179" s="99">
        <v>40</v>
      </c>
      <c r="H179" s="99">
        <v>20</v>
      </c>
      <c r="I179" s="99">
        <v>60</v>
      </c>
      <c r="J179" s="99">
        <v>60</v>
      </c>
      <c r="K179" s="99">
        <v>20</v>
      </c>
      <c r="L179" s="99">
        <v>40</v>
      </c>
      <c r="M179" s="99">
        <v>40</v>
      </c>
      <c r="N179" s="99">
        <v>100</v>
      </c>
      <c r="O179" s="99">
        <v>20</v>
      </c>
    </row>
    <row r="180" spans="1:15">
      <c r="A180" s="92" t="s">
        <v>1826</v>
      </c>
      <c r="B180" s="99">
        <v>20</v>
      </c>
      <c r="C180" s="99">
        <v>40</v>
      </c>
      <c r="D180" s="99">
        <v>40</v>
      </c>
      <c r="E180" s="99">
        <v>20</v>
      </c>
      <c r="F180" s="99">
        <v>80</v>
      </c>
      <c r="G180" s="99">
        <v>20</v>
      </c>
      <c r="H180" s="99">
        <v>40</v>
      </c>
      <c r="I180" s="99">
        <v>60</v>
      </c>
      <c r="J180" s="99">
        <v>20</v>
      </c>
      <c r="K180" s="99">
        <v>20</v>
      </c>
      <c r="L180" s="99">
        <v>100</v>
      </c>
      <c r="M180" s="99">
        <v>100</v>
      </c>
      <c r="N180" s="99">
        <v>40</v>
      </c>
      <c r="O180" s="99">
        <v>20</v>
      </c>
    </row>
    <row r="181" spans="1:15">
      <c r="A181" s="92" t="s">
        <v>1837</v>
      </c>
      <c r="B181" s="99">
        <v>60</v>
      </c>
      <c r="C181" s="99">
        <v>40</v>
      </c>
      <c r="D181" s="99">
        <v>60</v>
      </c>
      <c r="E181" s="99">
        <v>60</v>
      </c>
      <c r="F181" s="99">
        <v>20</v>
      </c>
      <c r="G181" s="99">
        <v>40</v>
      </c>
      <c r="H181" s="99">
        <v>60</v>
      </c>
      <c r="I181" s="99">
        <v>80</v>
      </c>
      <c r="J181" s="99">
        <v>40</v>
      </c>
      <c r="K181" s="99">
        <v>100</v>
      </c>
      <c r="L181" s="99">
        <v>20</v>
      </c>
      <c r="M181" s="99">
        <v>20</v>
      </c>
      <c r="N181" s="99">
        <v>20</v>
      </c>
      <c r="O181" s="99">
        <v>80</v>
      </c>
    </row>
    <row r="183" ht="18" customHeight="1" spans="1:15">
      <c r="A183" s="87" t="s">
        <v>2200</v>
      </c>
    </row>
    <row r="184" ht="44" customHeight="1" spans="1:15">
      <c r="A184" s="98" t="s">
        <v>2199</v>
      </c>
      <c r="B184" s="88" t="s">
        <v>244</v>
      </c>
      <c r="C184" s="88" t="s">
        <v>597</v>
      </c>
      <c r="D184" s="88" t="s">
        <v>245</v>
      </c>
      <c r="E184" s="88" t="s">
        <v>579</v>
      </c>
      <c r="F184" s="88" t="s">
        <v>243</v>
      </c>
      <c r="G184" s="88" t="s">
        <v>546</v>
      </c>
      <c r="H184" s="88" t="s">
        <v>562</v>
      </c>
      <c r="I184" s="88" t="s">
        <v>613</v>
      </c>
      <c r="J184" s="88" t="s">
        <v>630</v>
      </c>
      <c r="K184" s="88" t="s">
        <v>647</v>
      </c>
      <c r="L184" s="88" t="s">
        <v>666</v>
      </c>
      <c r="M184" s="88" t="s">
        <v>681</v>
      </c>
      <c r="N184" s="88" t="s">
        <v>699</v>
      </c>
      <c r="O184" s="88" t="s">
        <v>714</v>
      </c>
    </row>
    <row r="185" spans="1:15">
      <c r="A185" s="92" t="s">
        <v>244</v>
      </c>
      <c r="B185" s="99">
        <v>100</v>
      </c>
      <c r="C185" s="99">
        <v>80</v>
      </c>
      <c r="D185" s="99">
        <v>60</v>
      </c>
      <c r="E185" s="99">
        <v>60</v>
      </c>
      <c r="F185" s="99">
        <v>20</v>
      </c>
      <c r="G185" s="99">
        <v>20</v>
      </c>
      <c r="H185" s="99">
        <v>20</v>
      </c>
      <c r="I185" s="99">
        <v>80</v>
      </c>
      <c r="J185" s="99">
        <v>60</v>
      </c>
      <c r="K185" s="99">
        <v>80</v>
      </c>
      <c r="L185" s="99">
        <v>40</v>
      </c>
      <c r="M185" s="99">
        <v>20</v>
      </c>
      <c r="N185" s="99">
        <v>20</v>
      </c>
      <c r="O185" s="99">
        <v>60</v>
      </c>
    </row>
    <row r="186" spans="1:15">
      <c r="A186" s="92" t="s">
        <v>597</v>
      </c>
      <c r="B186" s="99">
        <v>80</v>
      </c>
      <c r="C186" s="99">
        <v>100</v>
      </c>
      <c r="D186" s="99">
        <v>60</v>
      </c>
      <c r="E186" s="99">
        <v>60</v>
      </c>
      <c r="F186" s="99">
        <v>20</v>
      </c>
      <c r="G186" s="99">
        <v>20</v>
      </c>
      <c r="H186" s="99">
        <v>20</v>
      </c>
      <c r="I186" s="99">
        <v>80</v>
      </c>
      <c r="J186" s="99">
        <v>60</v>
      </c>
      <c r="K186" s="99">
        <v>60</v>
      </c>
      <c r="L186" s="99">
        <v>80</v>
      </c>
      <c r="M186" s="99">
        <v>20</v>
      </c>
      <c r="N186" s="99">
        <v>20</v>
      </c>
      <c r="O186" s="99">
        <v>60</v>
      </c>
    </row>
    <row r="187" spans="1:15">
      <c r="A187" s="92" t="s">
        <v>245</v>
      </c>
      <c r="B187" s="99">
        <v>60</v>
      </c>
      <c r="C187" s="99">
        <v>60</v>
      </c>
      <c r="D187" s="99">
        <v>100</v>
      </c>
      <c r="E187" s="99">
        <v>80</v>
      </c>
      <c r="F187" s="99">
        <v>20</v>
      </c>
      <c r="G187" s="99">
        <v>20</v>
      </c>
      <c r="H187" s="99">
        <v>20</v>
      </c>
      <c r="I187" s="99">
        <v>80</v>
      </c>
      <c r="J187" s="99">
        <v>80</v>
      </c>
      <c r="K187" s="99">
        <v>60</v>
      </c>
      <c r="L187" s="99">
        <v>40</v>
      </c>
      <c r="M187" s="99">
        <v>20</v>
      </c>
      <c r="N187" s="99">
        <v>20</v>
      </c>
      <c r="O187" s="99">
        <v>60</v>
      </c>
    </row>
    <row r="188" spans="1:15">
      <c r="A188" s="92" t="s">
        <v>579</v>
      </c>
      <c r="B188" s="99">
        <v>60</v>
      </c>
      <c r="C188" s="99">
        <v>60</v>
      </c>
      <c r="D188" s="99">
        <v>80</v>
      </c>
      <c r="E188" s="99">
        <v>100</v>
      </c>
      <c r="F188" s="99">
        <v>20</v>
      </c>
      <c r="G188" s="99">
        <v>20</v>
      </c>
      <c r="H188" s="99">
        <v>20</v>
      </c>
      <c r="I188" s="99">
        <v>80</v>
      </c>
      <c r="J188" s="99">
        <v>60</v>
      </c>
      <c r="K188" s="99">
        <v>60</v>
      </c>
      <c r="L188" s="99">
        <v>40</v>
      </c>
      <c r="M188" s="99">
        <v>20</v>
      </c>
      <c r="N188" s="99">
        <v>20</v>
      </c>
      <c r="O188" s="99">
        <v>60</v>
      </c>
    </row>
    <row r="189" spans="1:15">
      <c r="A189" s="92" t="s">
        <v>243</v>
      </c>
      <c r="B189" s="99">
        <v>20</v>
      </c>
      <c r="C189" s="99">
        <v>20</v>
      </c>
      <c r="D189" s="99">
        <v>20</v>
      </c>
      <c r="E189" s="99">
        <v>20</v>
      </c>
      <c r="F189" s="99">
        <v>100</v>
      </c>
      <c r="G189" s="99">
        <v>80</v>
      </c>
      <c r="H189" s="99">
        <v>80</v>
      </c>
      <c r="I189" s="99">
        <v>40</v>
      </c>
      <c r="J189" s="99">
        <v>20</v>
      </c>
      <c r="K189" s="99">
        <v>20</v>
      </c>
      <c r="L189" s="99">
        <v>40</v>
      </c>
      <c r="M189" s="99">
        <v>80</v>
      </c>
      <c r="N189" s="99">
        <v>80</v>
      </c>
      <c r="O189" s="99">
        <v>20</v>
      </c>
    </row>
    <row r="190" spans="1:15">
      <c r="A190" s="92" t="s">
        <v>546</v>
      </c>
      <c r="B190" s="99">
        <v>20</v>
      </c>
      <c r="C190" s="99">
        <v>20</v>
      </c>
      <c r="D190" s="99">
        <v>20</v>
      </c>
      <c r="E190" s="99">
        <v>20</v>
      </c>
      <c r="F190" s="99">
        <v>80</v>
      </c>
      <c r="G190" s="99">
        <v>100</v>
      </c>
      <c r="H190" s="99">
        <v>80</v>
      </c>
      <c r="I190" s="99">
        <v>80</v>
      </c>
      <c r="J190" s="99">
        <v>20</v>
      </c>
      <c r="K190" s="99">
        <v>20</v>
      </c>
      <c r="L190" s="99">
        <v>40</v>
      </c>
      <c r="M190" s="99">
        <v>20</v>
      </c>
      <c r="N190" s="99">
        <v>20</v>
      </c>
      <c r="O190" s="99">
        <v>20</v>
      </c>
    </row>
    <row r="191" spans="1:15">
      <c r="A191" s="92" t="s">
        <v>562</v>
      </c>
      <c r="B191" s="99">
        <v>20</v>
      </c>
      <c r="C191" s="99">
        <v>20</v>
      </c>
      <c r="D191" s="99">
        <v>20</v>
      </c>
      <c r="E191" s="99">
        <v>20</v>
      </c>
      <c r="F191" s="99">
        <v>80</v>
      </c>
      <c r="G191" s="99">
        <v>80</v>
      </c>
      <c r="H191" s="99">
        <v>100</v>
      </c>
      <c r="I191" s="99">
        <v>40</v>
      </c>
      <c r="J191" s="99">
        <v>20</v>
      </c>
      <c r="K191" s="99">
        <v>80</v>
      </c>
      <c r="L191" s="99">
        <v>40</v>
      </c>
      <c r="M191" s="99">
        <v>20</v>
      </c>
      <c r="N191" s="99">
        <v>20</v>
      </c>
      <c r="O191" s="99">
        <v>20</v>
      </c>
    </row>
    <row r="192" spans="1:15">
      <c r="A192" s="92" t="s">
        <v>613</v>
      </c>
      <c r="B192" s="99">
        <v>80</v>
      </c>
      <c r="C192" s="99">
        <v>80</v>
      </c>
      <c r="D192" s="99">
        <v>80</v>
      </c>
      <c r="E192" s="99">
        <v>80</v>
      </c>
      <c r="F192" s="99">
        <v>40</v>
      </c>
      <c r="G192" s="99">
        <v>80</v>
      </c>
      <c r="H192" s="99">
        <v>40</v>
      </c>
      <c r="I192" s="99">
        <v>100</v>
      </c>
      <c r="J192" s="99">
        <v>80</v>
      </c>
      <c r="K192" s="99">
        <v>80</v>
      </c>
      <c r="L192" s="99">
        <v>80</v>
      </c>
      <c r="M192" s="99">
        <v>40</v>
      </c>
      <c r="N192" s="99">
        <v>40</v>
      </c>
      <c r="O192" s="99">
        <v>80</v>
      </c>
    </row>
    <row r="193" spans="1:15">
      <c r="A193" s="92" t="s">
        <v>630</v>
      </c>
      <c r="B193" s="99">
        <v>60</v>
      </c>
      <c r="C193" s="99">
        <v>60</v>
      </c>
      <c r="D193" s="99">
        <v>80</v>
      </c>
      <c r="E193" s="99">
        <v>60</v>
      </c>
      <c r="F193" s="99">
        <v>20</v>
      </c>
      <c r="G193" s="99">
        <v>20</v>
      </c>
      <c r="H193" s="99">
        <v>20</v>
      </c>
      <c r="I193" s="99">
        <v>80</v>
      </c>
      <c r="J193" s="99">
        <v>100</v>
      </c>
      <c r="K193" s="99">
        <v>60</v>
      </c>
      <c r="L193" s="99">
        <v>80</v>
      </c>
      <c r="M193" s="99">
        <v>20</v>
      </c>
      <c r="N193" s="99">
        <v>20</v>
      </c>
      <c r="O193" s="99">
        <v>60</v>
      </c>
    </row>
    <row r="194" spans="1:15">
      <c r="A194" s="92" t="s">
        <v>647</v>
      </c>
      <c r="B194" s="99">
        <v>80</v>
      </c>
      <c r="C194" s="99">
        <v>60</v>
      </c>
      <c r="D194" s="99">
        <v>60</v>
      </c>
      <c r="E194" s="99">
        <v>60</v>
      </c>
      <c r="F194" s="99">
        <v>20</v>
      </c>
      <c r="G194" s="99">
        <v>20</v>
      </c>
      <c r="H194" s="99">
        <v>80</v>
      </c>
      <c r="I194" s="99">
        <v>80</v>
      </c>
      <c r="J194" s="99">
        <v>60</v>
      </c>
      <c r="K194" s="99">
        <v>100</v>
      </c>
      <c r="L194" s="99">
        <v>40</v>
      </c>
      <c r="M194" s="99">
        <v>20</v>
      </c>
      <c r="N194" s="99">
        <v>20</v>
      </c>
      <c r="O194" s="99">
        <v>80</v>
      </c>
    </row>
    <row r="195" spans="1:15">
      <c r="A195" s="92" t="s">
        <v>666</v>
      </c>
      <c r="B195" s="99">
        <v>40</v>
      </c>
      <c r="C195" s="99">
        <v>80</v>
      </c>
      <c r="D195" s="99">
        <v>40</v>
      </c>
      <c r="E195" s="99">
        <v>40</v>
      </c>
      <c r="F195" s="99">
        <v>40</v>
      </c>
      <c r="G195" s="99">
        <v>40</v>
      </c>
      <c r="H195" s="99">
        <v>40</v>
      </c>
      <c r="I195" s="99">
        <v>80</v>
      </c>
      <c r="J195" s="99">
        <v>80</v>
      </c>
      <c r="K195" s="99">
        <v>40</v>
      </c>
      <c r="L195" s="99">
        <v>100</v>
      </c>
      <c r="M195" s="99">
        <v>80</v>
      </c>
      <c r="N195" s="99">
        <v>40</v>
      </c>
      <c r="O195" s="99">
        <v>40</v>
      </c>
    </row>
    <row r="196" spans="1:15">
      <c r="A196" s="92" t="s">
        <v>681</v>
      </c>
      <c r="B196" s="99">
        <v>20</v>
      </c>
      <c r="C196" s="99">
        <v>20</v>
      </c>
      <c r="D196" s="99">
        <v>20</v>
      </c>
      <c r="E196" s="99">
        <v>20</v>
      </c>
      <c r="F196" s="99">
        <v>80</v>
      </c>
      <c r="G196" s="99">
        <v>20</v>
      </c>
      <c r="H196" s="99">
        <v>20</v>
      </c>
      <c r="I196" s="99">
        <v>40</v>
      </c>
      <c r="J196" s="99">
        <v>20</v>
      </c>
      <c r="K196" s="99">
        <v>20</v>
      </c>
      <c r="L196" s="99">
        <v>80</v>
      </c>
      <c r="M196" s="99">
        <v>100</v>
      </c>
      <c r="N196" s="99">
        <v>20</v>
      </c>
      <c r="O196" s="99">
        <v>20</v>
      </c>
    </row>
    <row r="197" spans="1:15">
      <c r="A197" s="92" t="s">
        <v>699</v>
      </c>
      <c r="B197" s="99">
        <v>20</v>
      </c>
      <c r="C197" s="99">
        <v>20</v>
      </c>
      <c r="D197" s="99">
        <v>20</v>
      </c>
      <c r="E197" s="99">
        <v>20</v>
      </c>
      <c r="F197" s="99">
        <v>80</v>
      </c>
      <c r="G197" s="99">
        <v>20</v>
      </c>
      <c r="H197" s="99">
        <v>20</v>
      </c>
      <c r="I197" s="99">
        <v>40</v>
      </c>
      <c r="J197" s="99">
        <v>20</v>
      </c>
      <c r="K197" s="99">
        <v>20</v>
      </c>
      <c r="L197" s="99">
        <v>40</v>
      </c>
      <c r="M197" s="99">
        <v>20</v>
      </c>
      <c r="N197" s="99">
        <v>100</v>
      </c>
      <c r="O197" s="99">
        <v>20</v>
      </c>
    </row>
    <row r="198" spans="1:15">
      <c r="A198" s="92" t="s">
        <v>714</v>
      </c>
      <c r="B198" s="99">
        <v>60</v>
      </c>
      <c r="C198" s="99">
        <v>60</v>
      </c>
      <c r="D198" s="99">
        <v>60</v>
      </c>
      <c r="E198" s="99">
        <v>60</v>
      </c>
      <c r="F198" s="99">
        <v>20</v>
      </c>
      <c r="G198" s="99">
        <v>20</v>
      </c>
      <c r="H198" s="99">
        <v>20</v>
      </c>
      <c r="I198" s="99">
        <v>80</v>
      </c>
      <c r="J198" s="99">
        <v>60</v>
      </c>
      <c r="K198" s="99">
        <v>80</v>
      </c>
      <c r="L198" s="99">
        <v>40</v>
      </c>
      <c r="M198" s="99">
        <v>20</v>
      </c>
      <c r="N198" s="99">
        <v>20</v>
      </c>
      <c r="O198" s="99">
        <v>100</v>
      </c>
    </row>
    <row r="200" ht="18" customHeight="1" spans="1:15">
      <c r="A200" s="87" t="s">
        <v>2201</v>
      </c>
    </row>
    <row r="201" ht="44" customHeight="1" spans="1:15">
      <c r="A201" s="98" t="s">
        <v>2199</v>
      </c>
      <c r="B201" s="88" t="s">
        <v>550</v>
      </c>
      <c r="C201" s="88" t="s">
        <v>231</v>
      </c>
      <c r="D201" s="88" t="s">
        <v>402</v>
      </c>
      <c r="E201" s="88" t="s">
        <v>694</v>
      </c>
      <c r="F201" s="88" t="s">
        <v>274</v>
      </c>
      <c r="G201" s="88" t="s">
        <v>275</v>
      </c>
      <c r="H201" s="88" t="s">
        <v>642</v>
      </c>
      <c r="I201" s="88" t="s">
        <v>206</v>
      </c>
      <c r="J201" s="88" t="s">
        <v>2008</v>
      </c>
      <c r="K201" s="88" t="s">
        <v>660</v>
      </c>
      <c r="L201" s="88" t="s">
        <v>661</v>
      </c>
      <c r="M201" s="88" t="s">
        <v>592</v>
      </c>
    </row>
    <row r="202" spans="1:15">
      <c r="A202" s="92" t="s">
        <v>550</v>
      </c>
      <c r="B202" s="99">
        <v>100</v>
      </c>
      <c r="C202" s="99">
        <v>90</v>
      </c>
      <c r="D202" s="99">
        <v>50</v>
      </c>
      <c r="E202" s="99">
        <v>70</v>
      </c>
      <c r="F202" s="99">
        <v>70</v>
      </c>
      <c r="G202" s="99">
        <v>50</v>
      </c>
      <c r="H202" s="99">
        <v>30</v>
      </c>
      <c r="I202" s="99">
        <v>70</v>
      </c>
      <c r="J202" s="99">
        <v>60</v>
      </c>
      <c r="K202" s="99">
        <v>30</v>
      </c>
      <c r="L202" s="99">
        <v>20</v>
      </c>
      <c r="M202" s="99">
        <v>60</v>
      </c>
    </row>
    <row r="203" spans="1:15">
      <c r="A203" s="92" t="s">
        <v>205</v>
      </c>
      <c r="B203" s="99">
        <v>70</v>
      </c>
      <c r="C203" s="99">
        <v>75</v>
      </c>
      <c r="D203" s="99">
        <v>95</v>
      </c>
      <c r="E203" s="99">
        <v>100</v>
      </c>
      <c r="F203" s="99">
        <v>85</v>
      </c>
      <c r="G203" s="99">
        <v>50</v>
      </c>
      <c r="H203" s="99">
        <v>40</v>
      </c>
      <c r="I203" s="99">
        <v>60</v>
      </c>
      <c r="J203" s="99">
        <v>50</v>
      </c>
      <c r="K203" s="99">
        <v>45</v>
      </c>
      <c r="L203" s="99">
        <v>30</v>
      </c>
      <c r="M203" s="99">
        <v>70</v>
      </c>
    </row>
    <row r="204" spans="1:15">
      <c r="A204" s="92" t="s">
        <v>207</v>
      </c>
      <c r="B204" s="99">
        <v>45</v>
      </c>
      <c r="C204" s="99">
        <v>60</v>
      </c>
      <c r="D204" s="99">
        <v>60</v>
      </c>
      <c r="E204" s="99">
        <v>45</v>
      </c>
      <c r="F204" s="99">
        <v>60</v>
      </c>
      <c r="G204" s="99">
        <v>100</v>
      </c>
      <c r="H204" s="99">
        <v>95</v>
      </c>
      <c r="I204" s="99">
        <v>35</v>
      </c>
      <c r="J204" s="99">
        <v>25</v>
      </c>
      <c r="K204" s="99">
        <v>75</v>
      </c>
      <c r="L204" s="99">
        <v>70</v>
      </c>
      <c r="M204" s="99">
        <v>65</v>
      </c>
    </row>
    <row r="205" spans="1:15">
      <c r="A205" s="92" t="s">
        <v>206</v>
      </c>
      <c r="B205" s="99">
        <v>85</v>
      </c>
      <c r="C205" s="99">
        <v>55</v>
      </c>
      <c r="D205" s="99">
        <v>65</v>
      </c>
      <c r="E205" s="99">
        <v>50</v>
      </c>
      <c r="F205" s="99">
        <v>60</v>
      </c>
      <c r="G205" s="99">
        <v>35</v>
      </c>
      <c r="H205" s="99">
        <v>25</v>
      </c>
      <c r="I205" s="99">
        <v>100</v>
      </c>
      <c r="J205" s="99">
        <v>95</v>
      </c>
      <c r="K205" s="99">
        <v>30</v>
      </c>
      <c r="L205" s="99">
        <v>20</v>
      </c>
      <c r="M205" s="99">
        <v>65</v>
      </c>
    </row>
    <row r="206" spans="1:15">
      <c r="A206" s="92" t="s">
        <v>2005</v>
      </c>
      <c r="B206" s="99">
        <v>25</v>
      </c>
      <c r="C206" s="99">
        <v>40</v>
      </c>
      <c r="D206" s="99">
        <v>75</v>
      </c>
      <c r="E206" s="99">
        <v>40</v>
      </c>
      <c r="F206" s="99">
        <v>50</v>
      </c>
      <c r="G206" s="99">
        <v>80</v>
      </c>
      <c r="H206" s="99">
        <v>85</v>
      </c>
      <c r="I206" s="99">
        <v>25</v>
      </c>
      <c r="J206" s="99">
        <v>20</v>
      </c>
      <c r="K206" s="99">
        <v>100</v>
      </c>
      <c r="L206" s="99">
        <v>95</v>
      </c>
      <c r="M206" s="99">
        <v>50</v>
      </c>
    </row>
    <row r="207" spans="1:15">
      <c r="A207" s="92" t="s">
        <v>231</v>
      </c>
      <c r="B207" s="99">
        <v>85</v>
      </c>
      <c r="C207" s="99">
        <v>100</v>
      </c>
      <c r="D207" s="99">
        <v>60</v>
      </c>
      <c r="E207" s="99">
        <v>80</v>
      </c>
      <c r="F207" s="99">
        <v>75</v>
      </c>
      <c r="G207" s="99">
        <v>55</v>
      </c>
      <c r="H207" s="99">
        <v>45</v>
      </c>
      <c r="I207" s="99">
        <v>45</v>
      </c>
      <c r="J207" s="99">
        <v>30</v>
      </c>
      <c r="K207" s="99">
        <v>40</v>
      </c>
      <c r="L207" s="99">
        <v>30</v>
      </c>
      <c r="M207" s="99">
        <v>65</v>
      </c>
    </row>
    <row r="208" spans="1:15">
      <c r="A208" s="92" t="s">
        <v>2013</v>
      </c>
      <c r="B208" s="99">
        <v>55</v>
      </c>
      <c r="C208" s="99">
        <v>70</v>
      </c>
      <c r="D208" s="99">
        <v>70</v>
      </c>
      <c r="E208" s="99">
        <v>50</v>
      </c>
      <c r="F208" s="99">
        <v>70</v>
      </c>
      <c r="G208" s="99">
        <v>100</v>
      </c>
      <c r="H208" s="99">
        <v>80</v>
      </c>
      <c r="I208" s="99">
        <v>45</v>
      </c>
      <c r="J208" s="99">
        <v>35</v>
      </c>
      <c r="K208" s="99">
        <v>60</v>
      </c>
      <c r="L208" s="99">
        <v>55</v>
      </c>
      <c r="M208" s="99">
        <v>85</v>
      </c>
    </row>
    <row r="209" spans="1:13">
      <c r="A209" s="92" t="s">
        <v>2017</v>
      </c>
      <c r="B209" s="99">
        <v>50</v>
      </c>
      <c r="C209" s="99">
        <v>45</v>
      </c>
      <c r="D209" s="99">
        <v>90</v>
      </c>
      <c r="E209" s="99">
        <v>70</v>
      </c>
      <c r="F209" s="99">
        <v>65</v>
      </c>
      <c r="G209" s="99">
        <v>60</v>
      </c>
      <c r="H209" s="99">
        <v>55</v>
      </c>
      <c r="I209" s="99">
        <v>65</v>
      </c>
      <c r="J209" s="99">
        <v>60</v>
      </c>
      <c r="K209" s="99">
        <v>85</v>
      </c>
      <c r="L209" s="99">
        <v>75</v>
      </c>
      <c r="M209" s="99">
        <v>80</v>
      </c>
    </row>
    <row r="210" spans="1:13">
      <c r="A210" s="92" t="s">
        <v>2020</v>
      </c>
      <c r="B210" s="99">
        <v>55</v>
      </c>
      <c r="C210" s="99">
        <v>75</v>
      </c>
      <c r="D210" s="99">
        <v>60</v>
      </c>
      <c r="E210" s="99">
        <v>40</v>
      </c>
      <c r="F210" s="99">
        <v>60</v>
      </c>
      <c r="G210" s="99">
        <v>95</v>
      </c>
      <c r="H210" s="99">
        <v>75</v>
      </c>
      <c r="I210" s="99">
        <v>40</v>
      </c>
      <c r="J210" s="99">
        <v>30</v>
      </c>
      <c r="K210" s="99">
        <v>55</v>
      </c>
      <c r="L210" s="99">
        <v>45</v>
      </c>
      <c r="M210" s="99">
        <v>85</v>
      </c>
    </row>
    <row r="211" spans="1:13">
      <c r="A211" s="92" t="s">
        <v>2024</v>
      </c>
      <c r="B211" s="99">
        <v>70</v>
      </c>
      <c r="C211" s="99">
        <v>70</v>
      </c>
      <c r="D211" s="99">
        <v>90</v>
      </c>
      <c r="E211" s="99">
        <v>90</v>
      </c>
      <c r="F211" s="99">
        <v>75</v>
      </c>
      <c r="G211" s="99">
        <v>60</v>
      </c>
      <c r="H211" s="99">
        <v>55</v>
      </c>
      <c r="I211" s="99">
        <v>80</v>
      </c>
      <c r="J211" s="99">
        <v>70</v>
      </c>
      <c r="K211" s="99">
        <v>60</v>
      </c>
      <c r="L211" s="99">
        <v>40</v>
      </c>
      <c r="M211" s="99">
        <v>75</v>
      </c>
    </row>
    <row r="213" ht="18" customHeight="1" spans="1:13">
      <c r="A213" s="87" t="s">
        <v>2202</v>
      </c>
    </row>
    <row r="214" ht="44" customHeight="1" spans="1:13">
      <c r="A214" s="98" t="s">
        <v>2199</v>
      </c>
      <c r="B214" s="88" t="s">
        <v>231</v>
      </c>
      <c r="C214" s="88" t="s">
        <v>400</v>
      </c>
      <c r="D214" s="88" t="s">
        <v>266</v>
      </c>
      <c r="E214" s="88" t="s">
        <v>233</v>
      </c>
      <c r="F214" s="88" t="s">
        <v>601</v>
      </c>
      <c r="G214" s="88" t="s">
        <v>660</v>
      </c>
      <c r="H214" s="88" t="s">
        <v>617</v>
      </c>
      <c r="I214" s="88" t="s">
        <v>583</v>
      </c>
      <c r="J214" s="88" t="s">
        <v>737</v>
      </c>
      <c r="K214" s="88" t="s">
        <v>667</v>
      </c>
    </row>
    <row r="215" spans="1:13">
      <c r="A215" s="92" t="s">
        <v>1983</v>
      </c>
      <c r="B215" s="99">
        <v>90</v>
      </c>
      <c r="C215" s="99">
        <v>85</v>
      </c>
      <c r="D215" s="99">
        <v>70</v>
      </c>
      <c r="E215" s="99">
        <v>55</v>
      </c>
      <c r="F215" s="99">
        <v>50</v>
      </c>
      <c r="G215" s="99">
        <v>30</v>
      </c>
      <c r="H215" s="99">
        <v>40</v>
      </c>
      <c r="I215" s="99">
        <v>80</v>
      </c>
      <c r="J215" s="99">
        <v>75</v>
      </c>
      <c r="K215" s="99">
        <v>20</v>
      </c>
    </row>
    <row r="216" spans="1:13">
      <c r="A216" s="92" t="s">
        <v>216</v>
      </c>
      <c r="B216" s="99">
        <v>100</v>
      </c>
      <c r="C216" s="99">
        <v>95</v>
      </c>
      <c r="D216" s="99">
        <v>90</v>
      </c>
      <c r="E216" s="99">
        <v>65</v>
      </c>
      <c r="F216" s="99">
        <v>50</v>
      </c>
      <c r="G216" s="99">
        <v>40</v>
      </c>
      <c r="H216" s="99">
        <v>55</v>
      </c>
      <c r="I216" s="99">
        <v>85</v>
      </c>
      <c r="J216" s="99">
        <v>80</v>
      </c>
      <c r="K216" s="99">
        <v>30</v>
      </c>
    </row>
    <row r="217" spans="1:13">
      <c r="A217" s="92" t="s">
        <v>218</v>
      </c>
      <c r="B217" s="99">
        <v>60</v>
      </c>
      <c r="C217" s="99">
        <v>70</v>
      </c>
      <c r="D217" s="99">
        <v>65</v>
      </c>
      <c r="E217" s="99">
        <v>95</v>
      </c>
      <c r="F217" s="99">
        <v>65</v>
      </c>
      <c r="G217" s="99">
        <v>70</v>
      </c>
      <c r="H217" s="99">
        <v>90</v>
      </c>
      <c r="I217" s="99">
        <v>55</v>
      </c>
      <c r="J217" s="99">
        <v>75</v>
      </c>
      <c r="K217" s="99">
        <v>60</v>
      </c>
    </row>
    <row r="218" spans="1:13">
      <c r="A218" s="92" t="s">
        <v>217</v>
      </c>
      <c r="B218" s="99">
        <v>65</v>
      </c>
      <c r="C218" s="99">
        <v>65</v>
      </c>
      <c r="D218" s="99">
        <v>70</v>
      </c>
      <c r="E218" s="99">
        <v>85</v>
      </c>
      <c r="F218" s="99">
        <v>95</v>
      </c>
      <c r="G218" s="99">
        <v>60</v>
      </c>
      <c r="H218" s="99">
        <v>75</v>
      </c>
      <c r="I218" s="99">
        <v>60</v>
      </c>
      <c r="J218" s="99">
        <v>60</v>
      </c>
      <c r="K218" s="99">
        <v>35</v>
      </c>
    </row>
    <row r="219" spans="1:13">
      <c r="A219" s="92" t="s">
        <v>2005</v>
      </c>
      <c r="B219" s="99">
        <v>40</v>
      </c>
      <c r="C219" s="99">
        <v>55</v>
      </c>
      <c r="D219" s="99">
        <v>60</v>
      </c>
      <c r="E219" s="99">
        <v>70</v>
      </c>
      <c r="F219" s="99">
        <v>60</v>
      </c>
      <c r="G219" s="99">
        <v>100</v>
      </c>
      <c r="H219" s="99">
        <v>80</v>
      </c>
      <c r="I219" s="99">
        <v>45</v>
      </c>
      <c r="J219" s="99">
        <v>55</v>
      </c>
      <c r="K219" s="99">
        <v>95</v>
      </c>
    </row>
    <row r="220" spans="1:13">
      <c r="A220" s="92" t="s">
        <v>2011</v>
      </c>
      <c r="B220" s="99">
        <v>75</v>
      </c>
      <c r="C220" s="99">
        <v>60</v>
      </c>
      <c r="D220" s="99">
        <v>60</v>
      </c>
      <c r="E220" s="99">
        <v>95</v>
      </c>
      <c r="F220" s="99">
        <v>80</v>
      </c>
      <c r="G220" s="99">
        <v>60</v>
      </c>
      <c r="H220" s="99">
        <v>75</v>
      </c>
      <c r="I220" s="99">
        <v>50</v>
      </c>
      <c r="J220" s="99">
        <v>70</v>
      </c>
      <c r="K220" s="99">
        <v>40</v>
      </c>
    </row>
    <row r="221" spans="1:13">
      <c r="A221" s="92" t="s">
        <v>2014</v>
      </c>
      <c r="B221" s="99">
        <v>85</v>
      </c>
      <c r="C221" s="99">
        <v>90</v>
      </c>
      <c r="D221" s="99">
        <v>95</v>
      </c>
      <c r="E221" s="99">
        <v>55</v>
      </c>
      <c r="F221" s="99">
        <v>45</v>
      </c>
      <c r="G221" s="99">
        <v>40</v>
      </c>
      <c r="H221" s="99">
        <v>55</v>
      </c>
      <c r="I221" s="99">
        <v>95</v>
      </c>
      <c r="J221" s="99">
        <v>80</v>
      </c>
      <c r="K221" s="99">
        <v>30</v>
      </c>
    </row>
    <row r="222" spans="1:13">
      <c r="A222" s="92" t="s">
        <v>1998</v>
      </c>
      <c r="B222" s="99">
        <v>65</v>
      </c>
      <c r="C222" s="99">
        <v>65</v>
      </c>
      <c r="D222" s="99">
        <v>75</v>
      </c>
      <c r="E222" s="99">
        <v>85</v>
      </c>
      <c r="F222" s="99">
        <v>55</v>
      </c>
      <c r="G222" s="99">
        <v>75</v>
      </c>
      <c r="H222" s="99">
        <v>90</v>
      </c>
      <c r="I222" s="99">
        <v>55</v>
      </c>
      <c r="J222" s="99">
        <v>95</v>
      </c>
      <c r="K222" s="99">
        <v>70</v>
      </c>
    </row>
    <row r="224" ht="18" customHeight="1" spans="1:13">
      <c r="A224" s="87" t="s">
        <v>2203</v>
      </c>
    </row>
    <row r="225" ht="44" customHeight="1" spans="1:11">
      <c r="A225" s="98" t="s">
        <v>2199</v>
      </c>
      <c r="B225" s="88" t="s">
        <v>231</v>
      </c>
      <c r="C225" s="88" t="s">
        <v>400</v>
      </c>
      <c r="D225" s="88" t="s">
        <v>266</v>
      </c>
      <c r="E225" s="88" t="s">
        <v>233</v>
      </c>
      <c r="F225" s="88" t="s">
        <v>601</v>
      </c>
      <c r="G225" s="88" t="s">
        <v>660</v>
      </c>
      <c r="H225" s="88" t="s">
        <v>617</v>
      </c>
      <c r="I225" s="88" t="s">
        <v>583</v>
      </c>
      <c r="J225" s="88" t="s">
        <v>737</v>
      </c>
      <c r="K225" s="88" t="s">
        <v>667</v>
      </c>
    </row>
    <row r="226" spans="1:11">
      <c r="A226" s="92" t="s">
        <v>231</v>
      </c>
      <c r="B226" s="99">
        <v>100</v>
      </c>
      <c r="C226" s="99">
        <v>95</v>
      </c>
      <c r="D226" s="99">
        <v>70</v>
      </c>
      <c r="E226" s="99">
        <v>60</v>
      </c>
      <c r="F226" s="99">
        <v>45</v>
      </c>
      <c r="G226" s="99">
        <v>40</v>
      </c>
      <c r="H226" s="99">
        <v>50</v>
      </c>
      <c r="I226" s="99">
        <v>80</v>
      </c>
      <c r="J226" s="99">
        <v>75</v>
      </c>
      <c r="K226" s="99">
        <v>30</v>
      </c>
    </row>
    <row r="227" spans="1:11">
      <c r="A227" s="92" t="s">
        <v>233</v>
      </c>
      <c r="B227" s="99">
        <v>60</v>
      </c>
      <c r="C227" s="99">
        <v>55</v>
      </c>
      <c r="D227" s="99">
        <v>60</v>
      </c>
      <c r="E227" s="99">
        <v>100</v>
      </c>
      <c r="F227" s="99">
        <v>70</v>
      </c>
      <c r="G227" s="99">
        <v>70</v>
      </c>
      <c r="H227" s="99">
        <v>90</v>
      </c>
      <c r="I227" s="99">
        <v>45</v>
      </c>
      <c r="J227" s="99">
        <v>75</v>
      </c>
      <c r="K227" s="99">
        <v>60</v>
      </c>
    </row>
    <row r="228" spans="1:11">
      <c r="A228" s="92" t="s">
        <v>404</v>
      </c>
      <c r="B228" s="99">
        <v>80</v>
      </c>
      <c r="C228" s="99">
        <v>95</v>
      </c>
      <c r="D228" s="99">
        <v>90</v>
      </c>
      <c r="E228" s="99">
        <v>50</v>
      </c>
      <c r="F228" s="99">
        <v>55</v>
      </c>
      <c r="G228" s="99">
        <v>45</v>
      </c>
      <c r="H228" s="99">
        <v>60</v>
      </c>
      <c r="I228" s="99">
        <v>100</v>
      </c>
      <c r="J228" s="99">
        <v>65</v>
      </c>
      <c r="K228" s="99">
        <v>30</v>
      </c>
    </row>
    <row r="229" spans="1:11">
      <c r="A229" s="92" t="s">
        <v>1998</v>
      </c>
      <c r="B229" s="99">
        <v>60</v>
      </c>
      <c r="C229" s="99">
        <v>60</v>
      </c>
      <c r="D229" s="99">
        <v>70</v>
      </c>
      <c r="E229" s="99">
        <v>80</v>
      </c>
      <c r="F229" s="99">
        <v>50</v>
      </c>
      <c r="G229" s="99">
        <v>75</v>
      </c>
      <c r="H229" s="99">
        <v>90</v>
      </c>
      <c r="I229" s="99">
        <v>50</v>
      </c>
      <c r="J229" s="99">
        <v>100</v>
      </c>
      <c r="K229" s="99">
        <v>70</v>
      </c>
    </row>
    <row r="230" spans="1:11">
      <c r="A230" s="92" t="s">
        <v>2006</v>
      </c>
      <c r="B230" s="99">
        <v>95</v>
      </c>
      <c r="C230" s="99">
        <v>80</v>
      </c>
      <c r="D230" s="99">
        <v>90</v>
      </c>
      <c r="E230" s="99">
        <v>50</v>
      </c>
      <c r="F230" s="99">
        <v>40</v>
      </c>
      <c r="G230" s="99">
        <v>35</v>
      </c>
      <c r="H230" s="99">
        <v>45</v>
      </c>
      <c r="I230" s="99">
        <v>85</v>
      </c>
      <c r="J230" s="99">
        <v>70</v>
      </c>
      <c r="K230" s="99">
        <v>20</v>
      </c>
    </row>
    <row r="231" spans="1:11">
      <c r="A231" s="92" t="s">
        <v>232</v>
      </c>
      <c r="B231" s="99">
        <v>55</v>
      </c>
      <c r="C231" s="99">
        <v>70</v>
      </c>
      <c r="D231" s="99">
        <v>65</v>
      </c>
      <c r="E231" s="99">
        <v>70</v>
      </c>
      <c r="F231" s="99">
        <v>100</v>
      </c>
      <c r="G231" s="99">
        <v>70</v>
      </c>
      <c r="H231" s="99">
        <v>85</v>
      </c>
      <c r="I231" s="99">
        <v>75</v>
      </c>
      <c r="J231" s="99">
        <v>50</v>
      </c>
      <c r="K231" s="99">
        <v>55</v>
      </c>
    </row>
    <row r="232" spans="1:11">
      <c r="A232" s="92" t="s">
        <v>661</v>
      </c>
      <c r="B232" s="99">
        <v>40</v>
      </c>
      <c r="C232" s="99">
        <v>45</v>
      </c>
      <c r="D232" s="99">
        <v>60</v>
      </c>
      <c r="E232" s="99">
        <v>70</v>
      </c>
      <c r="F232" s="99">
        <v>50</v>
      </c>
      <c r="G232" s="99">
        <v>95</v>
      </c>
      <c r="H232" s="99">
        <v>80</v>
      </c>
      <c r="I232" s="99">
        <v>35</v>
      </c>
      <c r="J232" s="99">
        <v>70</v>
      </c>
      <c r="K232" s="99">
        <v>100</v>
      </c>
    </row>
    <row r="233" spans="1:11">
      <c r="A233" s="92" t="s">
        <v>2018</v>
      </c>
      <c r="B233" s="99">
        <v>60</v>
      </c>
      <c r="C233" s="99">
        <v>65</v>
      </c>
      <c r="D233" s="99">
        <v>100</v>
      </c>
      <c r="E233" s="99">
        <v>85</v>
      </c>
      <c r="F233" s="99">
        <v>55</v>
      </c>
      <c r="G233" s="99">
        <v>55</v>
      </c>
      <c r="H233" s="99">
        <v>75</v>
      </c>
      <c r="I233" s="99">
        <v>70</v>
      </c>
      <c r="J233" s="99">
        <v>80</v>
      </c>
      <c r="K233" s="99">
        <v>40</v>
      </c>
    </row>
    <row r="235" ht="18" customHeight="1" spans="1:11">
      <c r="A235" s="87" t="s">
        <v>2204</v>
      </c>
    </row>
    <row r="236" ht="44" customHeight="1" spans="1:11">
      <c r="A236" s="98" t="s">
        <v>2199</v>
      </c>
      <c r="B236" s="88" t="s">
        <v>231</v>
      </c>
      <c r="C236" s="88" t="s">
        <v>400</v>
      </c>
      <c r="D236" s="88" t="s">
        <v>266</v>
      </c>
      <c r="E236" s="88" t="s">
        <v>233</v>
      </c>
      <c r="F236" s="88" t="s">
        <v>601</v>
      </c>
      <c r="G236" s="88" t="s">
        <v>660</v>
      </c>
      <c r="H236" s="88" t="s">
        <v>617</v>
      </c>
      <c r="I236" s="88" t="s">
        <v>583</v>
      </c>
      <c r="J236" s="88" t="s">
        <v>737</v>
      </c>
      <c r="K236" s="88" t="s">
        <v>667</v>
      </c>
    </row>
    <row r="237" spans="1:11">
      <c r="A237" s="92" t="s">
        <v>231</v>
      </c>
      <c r="B237" s="99">
        <v>100</v>
      </c>
      <c r="C237" s="99">
        <v>80</v>
      </c>
      <c r="D237" s="99">
        <v>80</v>
      </c>
      <c r="E237" s="99">
        <v>45</v>
      </c>
      <c r="F237" s="99">
        <v>45</v>
      </c>
      <c r="G237" s="99">
        <v>45</v>
      </c>
      <c r="H237" s="99">
        <v>45</v>
      </c>
      <c r="I237" s="99">
        <v>80</v>
      </c>
      <c r="J237" s="99">
        <v>80</v>
      </c>
      <c r="K237" s="99">
        <v>45</v>
      </c>
    </row>
    <row r="238" spans="1:11">
      <c r="A238" s="92" t="s">
        <v>400</v>
      </c>
      <c r="B238" s="99">
        <v>80</v>
      </c>
      <c r="C238" s="99">
        <v>100</v>
      </c>
      <c r="D238" s="99">
        <v>80</v>
      </c>
      <c r="E238" s="99">
        <v>45</v>
      </c>
      <c r="F238" s="99">
        <v>45</v>
      </c>
      <c r="G238" s="99">
        <v>45</v>
      </c>
      <c r="H238" s="99">
        <v>45</v>
      </c>
      <c r="I238" s="99">
        <v>80</v>
      </c>
      <c r="J238" s="99">
        <v>80</v>
      </c>
      <c r="K238" s="99">
        <v>45</v>
      </c>
    </row>
    <row r="239" spans="1:11">
      <c r="A239" s="92" t="s">
        <v>266</v>
      </c>
      <c r="B239" s="99">
        <v>80</v>
      </c>
      <c r="C239" s="99">
        <v>80</v>
      </c>
      <c r="D239" s="99">
        <v>100</v>
      </c>
      <c r="E239" s="99">
        <v>45</v>
      </c>
      <c r="F239" s="99">
        <v>45</v>
      </c>
      <c r="G239" s="99">
        <v>45</v>
      </c>
      <c r="H239" s="99">
        <v>45</v>
      </c>
      <c r="I239" s="99">
        <v>80</v>
      </c>
      <c r="J239" s="99">
        <v>80</v>
      </c>
      <c r="K239" s="99">
        <v>45</v>
      </c>
    </row>
    <row r="240" spans="1:11">
      <c r="A240" s="92" t="s">
        <v>233</v>
      </c>
      <c r="B240" s="99">
        <v>45</v>
      </c>
      <c r="C240" s="99">
        <v>45</v>
      </c>
      <c r="D240" s="99">
        <v>45</v>
      </c>
      <c r="E240" s="99">
        <v>100</v>
      </c>
      <c r="F240" s="99">
        <v>45</v>
      </c>
      <c r="G240" s="99">
        <v>45</v>
      </c>
      <c r="H240" s="99">
        <v>80</v>
      </c>
      <c r="I240" s="99">
        <v>45</v>
      </c>
      <c r="J240" s="99">
        <v>45</v>
      </c>
      <c r="K240" s="99">
        <v>45</v>
      </c>
    </row>
    <row r="241" spans="1:11">
      <c r="A241" s="92" t="s">
        <v>601</v>
      </c>
      <c r="B241" s="99">
        <v>45</v>
      </c>
      <c r="C241" s="99">
        <v>45</v>
      </c>
      <c r="D241" s="99">
        <v>45</v>
      </c>
      <c r="E241" s="99">
        <v>45</v>
      </c>
      <c r="F241" s="99">
        <v>100</v>
      </c>
      <c r="G241" s="99">
        <v>45</v>
      </c>
      <c r="H241" s="99">
        <v>45</v>
      </c>
      <c r="I241" s="99">
        <v>45</v>
      </c>
      <c r="J241" s="99">
        <v>45</v>
      </c>
      <c r="K241" s="99">
        <v>45</v>
      </c>
    </row>
    <row r="242" spans="1:11">
      <c r="A242" s="92" t="s">
        <v>660</v>
      </c>
      <c r="B242" s="99">
        <v>45</v>
      </c>
      <c r="C242" s="99">
        <v>45</v>
      </c>
      <c r="D242" s="99">
        <v>45</v>
      </c>
      <c r="E242" s="99">
        <v>45</v>
      </c>
      <c r="F242" s="99">
        <v>45</v>
      </c>
      <c r="G242" s="99">
        <v>100</v>
      </c>
      <c r="H242" s="99">
        <v>45</v>
      </c>
      <c r="I242" s="99">
        <v>45</v>
      </c>
      <c r="J242" s="99">
        <v>45</v>
      </c>
      <c r="K242" s="99">
        <v>80</v>
      </c>
    </row>
    <row r="243" spans="1:11">
      <c r="A243" s="92" t="s">
        <v>617</v>
      </c>
      <c r="B243" s="99">
        <v>45</v>
      </c>
      <c r="C243" s="99">
        <v>45</v>
      </c>
      <c r="D243" s="99">
        <v>45</v>
      </c>
      <c r="E243" s="99">
        <v>80</v>
      </c>
      <c r="F243" s="99">
        <v>45</v>
      </c>
      <c r="G243" s="99">
        <v>45</v>
      </c>
      <c r="H243" s="99">
        <v>100</v>
      </c>
      <c r="I243" s="99">
        <v>45</v>
      </c>
      <c r="J243" s="99">
        <v>45</v>
      </c>
      <c r="K243" s="99">
        <v>45</v>
      </c>
    </row>
    <row r="244" spans="1:11">
      <c r="A244" s="92" t="s">
        <v>583</v>
      </c>
      <c r="B244" s="99">
        <v>80</v>
      </c>
      <c r="C244" s="99">
        <v>80</v>
      </c>
      <c r="D244" s="99">
        <v>80</v>
      </c>
      <c r="E244" s="99">
        <v>45</v>
      </c>
      <c r="F244" s="99">
        <v>45</v>
      </c>
      <c r="G244" s="99">
        <v>45</v>
      </c>
      <c r="H244" s="99">
        <v>45</v>
      </c>
      <c r="I244" s="99">
        <v>100</v>
      </c>
      <c r="J244" s="99">
        <v>80</v>
      </c>
      <c r="K244" s="99">
        <v>45</v>
      </c>
    </row>
    <row r="245" spans="1:11">
      <c r="A245" s="92" t="s">
        <v>737</v>
      </c>
      <c r="B245" s="99">
        <v>80</v>
      </c>
      <c r="C245" s="99">
        <v>80</v>
      </c>
      <c r="D245" s="99">
        <v>80</v>
      </c>
      <c r="E245" s="99">
        <v>45</v>
      </c>
      <c r="F245" s="99">
        <v>45</v>
      </c>
      <c r="G245" s="99">
        <v>45</v>
      </c>
      <c r="H245" s="99">
        <v>45</v>
      </c>
      <c r="I245" s="99">
        <v>80</v>
      </c>
      <c r="J245" s="99">
        <v>100</v>
      </c>
      <c r="K245" s="99">
        <v>45</v>
      </c>
    </row>
    <row r="246" spans="1:11">
      <c r="A246" s="92" t="s">
        <v>667</v>
      </c>
      <c r="B246" s="99">
        <v>45</v>
      </c>
      <c r="C246" s="99">
        <v>45</v>
      </c>
      <c r="D246" s="99">
        <v>45</v>
      </c>
      <c r="E246" s="99">
        <v>45</v>
      </c>
      <c r="F246" s="99">
        <v>45</v>
      </c>
      <c r="G246" s="99">
        <v>80</v>
      </c>
      <c r="H246" s="99">
        <v>45</v>
      </c>
      <c r="I246" s="99">
        <v>45</v>
      </c>
      <c r="J246" s="99">
        <v>45</v>
      </c>
      <c r="K246" s="99">
        <v>100</v>
      </c>
    </row>
    <row r="248" ht="18" customHeight="1" spans="1:11">
      <c r="A248" s="87" t="s">
        <v>2205</v>
      </c>
    </row>
    <row r="249" ht="22" customHeight="1" spans="1:11">
      <c r="A249" s="88" t="s">
        <v>1951</v>
      </c>
      <c r="B249" s="88" t="s">
        <v>2206</v>
      </c>
      <c r="C249" s="88" t="s">
        <v>2207</v>
      </c>
      <c r="D249" s="88" t="s">
        <v>2208</v>
      </c>
      <c r="E249" s="88" t="s">
        <v>2209</v>
      </c>
    </row>
    <row r="250" spans="1:11">
      <c r="A250" s="100">
        <v>1</v>
      </c>
      <c r="B250" s="96" t="s">
        <v>1024</v>
      </c>
      <c r="C250" s="90" t="s">
        <v>772</v>
      </c>
      <c r="D250" s="100" t="s">
        <v>2210</v>
      </c>
      <c r="E250" s="93" t="s">
        <v>911</v>
      </c>
    </row>
    <row r="251" spans="1:11">
      <c r="A251" s="100">
        <v>2</v>
      </c>
      <c r="B251" s="96" t="s">
        <v>1039</v>
      </c>
      <c r="C251" s="90" t="s">
        <v>452</v>
      </c>
      <c r="D251" s="100" t="s">
        <v>2210</v>
      </c>
      <c r="E251" s="93" t="s">
        <v>837</v>
      </c>
    </row>
    <row r="252" spans="1:11">
      <c r="A252" s="100">
        <v>3</v>
      </c>
      <c r="B252" s="96" t="s">
        <v>1040</v>
      </c>
      <c r="C252" s="90" t="s">
        <v>453</v>
      </c>
      <c r="D252" s="100" t="s">
        <v>2210</v>
      </c>
      <c r="E252" s="93" t="s">
        <v>911</v>
      </c>
    </row>
    <row r="253" spans="1:11">
      <c r="A253" s="100">
        <v>4</v>
      </c>
      <c r="B253" s="96" t="s">
        <v>1041</v>
      </c>
      <c r="C253" s="90" t="s">
        <v>2211</v>
      </c>
      <c r="D253" s="100" t="s">
        <v>2210</v>
      </c>
      <c r="E253" s="93" t="s">
        <v>837</v>
      </c>
    </row>
    <row r="254" spans="1:11">
      <c r="A254" s="100">
        <v>5</v>
      </c>
      <c r="B254" s="96" t="s">
        <v>1042</v>
      </c>
      <c r="C254" s="90" t="s">
        <v>921</v>
      </c>
      <c r="D254" s="100" t="s">
        <v>2210</v>
      </c>
      <c r="E254" s="93" t="s">
        <v>837</v>
      </c>
    </row>
    <row r="255" spans="1:11">
      <c r="A255" s="100">
        <v>6</v>
      </c>
      <c r="B255" s="96" t="s">
        <v>1043</v>
      </c>
      <c r="C255" s="90" t="s">
        <v>925</v>
      </c>
      <c r="D255" s="100" t="s">
        <v>2210</v>
      </c>
      <c r="E255" s="93" t="s">
        <v>837</v>
      </c>
    </row>
    <row r="256" spans="1:11">
      <c r="A256" s="100">
        <v>7</v>
      </c>
      <c r="B256" s="96" t="s">
        <v>1044</v>
      </c>
      <c r="C256" s="90" t="s">
        <v>456</v>
      </c>
      <c r="D256" s="100" t="s">
        <v>2210</v>
      </c>
      <c r="E256" s="93" t="s">
        <v>844</v>
      </c>
    </row>
    <row r="257" spans="1:5">
      <c r="A257" s="100">
        <v>8</v>
      </c>
      <c r="B257" s="96" t="s">
        <v>1045</v>
      </c>
      <c r="C257" s="90" t="s">
        <v>492</v>
      </c>
      <c r="D257" s="100" t="s">
        <v>2210</v>
      </c>
      <c r="E257" s="93" t="s">
        <v>837</v>
      </c>
    </row>
    <row r="258" spans="1:5">
      <c r="A258" s="100">
        <v>9</v>
      </c>
      <c r="B258" s="96" t="s">
        <v>1046</v>
      </c>
      <c r="C258" s="90" t="s">
        <v>462</v>
      </c>
      <c r="D258" s="100" t="s">
        <v>2210</v>
      </c>
      <c r="E258" s="93" t="s">
        <v>844</v>
      </c>
    </row>
    <row r="259" spans="1:5">
      <c r="A259" s="100">
        <v>10</v>
      </c>
      <c r="B259" s="96" t="s">
        <v>1047</v>
      </c>
      <c r="C259" s="90" t="s">
        <v>931</v>
      </c>
      <c r="D259" s="100" t="s">
        <v>2210</v>
      </c>
      <c r="E259" s="93" t="s">
        <v>844</v>
      </c>
    </row>
    <row r="260" spans="1:5">
      <c r="A260" s="100">
        <v>11</v>
      </c>
      <c r="B260" s="96" t="s">
        <v>1048</v>
      </c>
      <c r="C260" s="90" t="s">
        <v>935</v>
      </c>
      <c r="D260" s="100" t="s">
        <v>2210</v>
      </c>
      <c r="E260" s="93" t="s">
        <v>844</v>
      </c>
    </row>
    <row r="261" spans="1:5">
      <c r="A261" s="100">
        <v>12</v>
      </c>
      <c r="B261" s="96" t="s">
        <v>987</v>
      </c>
      <c r="C261" s="90" t="s">
        <v>2212</v>
      </c>
      <c r="D261" s="100" t="s">
        <v>2210</v>
      </c>
      <c r="E261" s="93" t="s">
        <v>844</v>
      </c>
    </row>
    <row r="262" spans="1:5">
      <c r="A262" s="100">
        <v>13</v>
      </c>
      <c r="B262" s="96" t="s">
        <v>1049</v>
      </c>
      <c r="C262" s="90" t="s">
        <v>458</v>
      </c>
      <c r="D262" s="100" t="s">
        <v>2210</v>
      </c>
      <c r="E262" s="93" t="s">
        <v>844</v>
      </c>
    </row>
    <row r="263" spans="1:5">
      <c r="A263" s="100">
        <v>14</v>
      </c>
      <c r="B263" s="96" t="s">
        <v>1050</v>
      </c>
      <c r="C263" s="90" t="s">
        <v>459</v>
      </c>
      <c r="D263" s="100" t="s">
        <v>2210</v>
      </c>
      <c r="E263" s="93" t="s">
        <v>844</v>
      </c>
    </row>
    <row r="264" spans="1:5">
      <c r="A264" s="100">
        <v>15</v>
      </c>
      <c r="B264" s="96" t="s">
        <v>1051</v>
      </c>
      <c r="C264" s="90" t="s">
        <v>57</v>
      </c>
      <c r="D264" s="100" t="s">
        <v>2210</v>
      </c>
      <c r="E264" s="93" t="s">
        <v>911</v>
      </c>
    </row>
    <row r="265" spans="1:5">
      <c r="A265" s="100">
        <v>16</v>
      </c>
      <c r="B265" s="96" t="s">
        <v>1052</v>
      </c>
      <c r="C265" s="90" t="s">
        <v>457</v>
      </c>
      <c r="D265" s="100" t="s">
        <v>2210</v>
      </c>
      <c r="E265" s="93" t="s">
        <v>844</v>
      </c>
    </row>
    <row r="266" spans="1:5">
      <c r="A266" s="100">
        <v>17</v>
      </c>
      <c r="B266" s="96" t="s">
        <v>1053</v>
      </c>
      <c r="C266" s="90" t="s">
        <v>478</v>
      </c>
      <c r="D266" s="100" t="s">
        <v>2213</v>
      </c>
      <c r="E266" s="93" t="s">
        <v>844</v>
      </c>
    </row>
    <row r="267" spans="1:5">
      <c r="A267" s="100">
        <v>18</v>
      </c>
      <c r="B267" s="96" t="s">
        <v>1054</v>
      </c>
      <c r="C267" s="90" t="s">
        <v>479</v>
      </c>
      <c r="D267" s="100" t="s">
        <v>2213</v>
      </c>
      <c r="E267" s="93" t="s">
        <v>844</v>
      </c>
    </row>
    <row r="268" spans="1:5">
      <c r="A268" s="100">
        <v>19</v>
      </c>
      <c r="B268" s="96" t="s">
        <v>1055</v>
      </c>
      <c r="C268" s="90" t="s">
        <v>480</v>
      </c>
      <c r="D268" s="100" t="s">
        <v>2213</v>
      </c>
      <c r="E268" s="93" t="s">
        <v>844</v>
      </c>
    </row>
    <row r="269" spans="1:5">
      <c r="A269" s="100">
        <v>20</v>
      </c>
      <c r="B269" s="96" t="s">
        <v>1056</v>
      </c>
      <c r="C269" s="90" t="s">
        <v>493</v>
      </c>
      <c r="D269" s="100" t="s">
        <v>2210</v>
      </c>
      <c r="E269" s="93" t="s">
        <v>844</v>
      </c>
    </row>
    <row r="270" spans="1:5">
      <c r="A270" s="100">
        <v>21</v>
      </c>
      <c r="B270" s="96" t="s">
        <v>1057</v>
      </c>
      <c r="C270" s="90" t="s">
        <v>482</v>
      </c>
      <c r="D270" s="100" t="s">
        <v>2210</v>
      </c>
      <c r="E270" s="93" t="s">
        <v>844</v>
      </c>
    </row>
    <row r="271" spans="1:5">
      <c r="A271" s="100">
        <v>22</v>
      </c>
      <c r="B271" s="96" t="s">
        <v>1058</v>
      </c>
      <c r="C271" s="90" t="s">
        <v>774</v>
      </c>
      <c r="D271" s="100" t="s">
        <v>2210</v>
      </c>
      <c r="E271" s="93" t="s">
        <v>911</v>
      </c>
    </row>
    <row r="272" spans="1:5">
      <c r="A272" s="100">
        <v>23</v>
      </c>
      <c r="B272" s="96" t="s">
        <v>1059</v>
      </c>
      <c r="C272" s="90" t="s">
        <v>775</v>
      </c>
      <c r="D272" s="100" t="s">
        <v>2210</v>
      </c>
      <c r="E272" s="93" t="s">
        <v>911</v>
      </c>
    </row>
    <row r="273" spans="1:5">
      <c r="A273" s="100">
        <v>24</v>
      </c>
      <c r="B273" s="96" t="s">
        <v>1060</v>
      </c>
      <c r="C273" s="90" t="s">
        <v>484</v>
      </c>
      <c r="D273" s="100" t="s">
        <v>2213</v>
      </c>
      <c r="E273" s="93" t="s">
        <v>844</v>
      </c>
    </row>
    <row r="274" spans="1:5">
      <c r="A274" s="100">
        <v>25</v>
      </c>
      <c r="B274" s="96" t="s">
        <v>1061</v>
      </c>
      <c r="C274" s="90" t="s">
        <v>59</v>
      </c>
      <c r="D274" s="100" t="s">
        <v>2210</v>
      </c>
      <c r="E274" s="93" t="s">
        <v>911</v>
      </c>
    </row>
    <row r="275" spans="1:5">
      <c r="A275" s="100">
        <v>26</v>
      </c>
      <c r="B275" s="96" t="s">
        <v>976</v>
      </c>
      <c r="C275" s="90" t="s">
        <v>490</v>
      </c>
      <c r="D275" s="100" t="s">
        <v>2210</v>
      </c>
      <c r="E275" s="93" t="s">
        <v>828</v>
      </c>
    </row>
    <row r="276" spans="1:5">
      <c r="A276" s="100">
        <v>27</v>
      </c>
      <c r="B276" s="96" t="s">
        <v>981</v>
      </c>
      <c r="C276" s="90" t="s">
        <v>491</v>
      </c>
      <c r="D276" s="100" t="s">
        <v>2210</v>
      </c>
      <c r="E276" s="93" t="s">
        <v>828</v>
      </c>
    </row>
    <row r="277" spans="1:5">
      <c r="A277" s="100">
        <v>28</v>
      </c>
      <c r="B277" s="96" t="s">
        <v>984</v>
      </c>
      <c r="C277" s="90" t="s">
        <v>2214</v>
      </c>
      <c r="D277" s="100" t="s">
        <v>2210</v>
      </c>
      <c r="E277" s="93" t="s">
        <v>844</v>
      </c>
    </row>
    <row r="278" spans="1:5">
      <c r="A278" s="100">
        <v>29</v>
      </c>
      <c r="B278" s="96" t="s">
        <v>992</v>
      </c>
      <c r="C278" s="90" t="s">
        <v>994</v>
      </c>
      <c r="D278" s="100" t="s">
        <v>2210</v>
      </c>
      <c r="E278" s="93" t="s">
        <v>911</v>
      </c>
    </row>
    <row r="279" spans="1:5">
      <c r="A279" s="100">
        <v>30</v>
      </c>
      <c r="B279" s="96" t="s">
        <v>997</v>
      </c>
      <c r="C279" s="90" t="s">
        <v>2215</v>
      </c>
      <c r="D279" s="100" t="s">
        <v>2210</v>
      </c>
      <c r="E279" s="93" t="s">
        <v>911</v>
      </c>
    </row>
  </sheetData>
  <mergeCells count="13">
    <mergeCell ref="A1:AD1"/>
    <mergeCell ref="A2:AD2"/>
    <mergeCell ref="A4:AD4"/>
    <mergeCell ref="A49:AD49"/>
    <mergeCell ref="A94:AD94"/>
    <mergeCell ref="A102:AD102"/>
    <mergeCell ref="A168:AD168"/>
    <mergeCell ref="A183:AD183"/>
    <mergeCell ref="A200:AD200"/>
    <mergeCell ref="A213:AD213"/>
    <mergeCell ref="A224:AD224"/>
    <mergeCell ref="A235:AD235"/>
    <mergeCell ref="A248:AD248"/>
  </mergeCells>
  <pageMargins left="0.7" right="0.7" top="0.75" bottom="0.75" header="0.3" footer="0.3"/>
  <pageSetup paperSize="1" orientation="portrait"/>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48"/>
  <sheetViews>
    <sheetView workbookViewId="0">
      <pane ySplit="3" topLeftCell="A4" activePane="bottomLeft" state="frozen"/>
      <selection/>
      <selection pane="bottomLeft" activeCell="A1" sqref="A1:D1"/>
    </sheetView>
  </sheetViews>
  <sheetFormatPr defaultColWidth="9" defaultRowHeight="15" outlineLevelCol="3"/>
  <cols>
    <col min="1" max="1" width="30" customWidth="1"/>
    <col min="2" max="2" width="60" customWidth="1"/>
    <col min="3" max="4" width="40" customWidth="1"/>
  </cols>
  <sheetData>
    <row r="1" ht="24" customHeight="1" spans="1:4">
      <c r="A1" s="38" t="s">
        <v>2216</v>
      </c>
    </row>
    <row r="2" ht="30" customHeight="1" spans="1:4">
      <c r="A2" s="39" t="s">
        <v>2217</v>
      </c>
    </row>
    <row r="4" ht="18" customHeight="1" spans="1:4">
      <c r="A4" s="40" t="s">
        <v>2218</v>
      </c>
    </row>
    <row r="5" ht="52" customHeight="1" spans="1:4">
      <c r="A5" s="85" t="s">
        <v>2219</v>
      </c>
      <c r="B5" s="86" t="s">
        <v>2220</v>
      </c>
      <c r="C5" s="54"/>
      <c r="D5" s="55"/>
    </row>
    <row r="6" ht="65" customHeight="1" spans="1:4">
      <c r="A6" s="85" t="s">
        <v>2221</v>
      </c>
      <c r="B6" s="86" t="s">
        <v>2222</v>
      </c>
      <c r="C6" s="54"/>
      <c r="D6" s="55"/>
    </row>
    <row r="7" ht="52" customHeight="1" spans="1:4">
      <c r="A7" s="85" t="s">
        <v>2223</v>
      </c>
      <c r="B7" s="86" t="s">
        <v>2224</v>
      </c>
      <c r="C7" s="54"/>
      <c r="D7" s="55"/>
    </row>
    <row r="8" ht="18" customHeight="1" spans="1:4">
      <c r="A8" s="40" t="s">
        <v>2225</v>
      </c>
    </row>
    <row r="9" ht="28" customHeight="1" spans="1:4">
      <c r="A9" s="85" t="s">
        <v>2226</v>
      </c>
      <c r="B9" s="86" t="s">
        <v>2227</v>
      </c>
      <c r="C9" s="54"/>
      <c r="D9" s="55"/>
    </row>
    <row r="10" ht="39" customHeight="1" spans="1:4">
      <c r="A10" s="85" t="s">
        <v>2228</v>
      </c>
      <c r="B10" s="86" t="s">
        <v>2229</v>
      </c>
      <c r="C10" s="54"/>
      <c r="D10" s="55"/>
    </row>
    <row r="11" ht="52" customHeight="1" spans="1:4">
      <c r="A11" s="85" t="s">
        <v>2230</v>
      </c>
      <c r="B11" s="86" t="s">
        <v>2231</v>
      </c>
      <c r="C11" s="54"/>
      <c r="D11" s="55"/>
    </row>
    <row r="12" ht="18" customHeight="1" spans="1:4">
      <c r="A12" s="40" t="s">
        <v>2232</v>
      </c>
    </row>
    <row r="13" ht="78" customHeight="1" spans="1:4">
      <c r="A13" s="85" t="s">
        <v>2233</v>
      </c>
      <c r="B13" s="86" t="s">
        <v>2234</v>
      </c>
      <c r="C13" s="54"/>
      <c r="D13" s="55"/>
    </row>
    <row r="14" ht="65" customHeight="1" spans="1:4">
      <c r="A14" s="85" t="s">
        <v>2235</v>
      </c>
      <c r="B14" s="86" t="s">
        <v>2236</v>
      </c>
      <c r="C14" s="54"/>
      <c r="D14" s="55"/>
    </row>
    <row r="15" ht="52" customHeight="1" spans="1:4">
      <c r="A15" s="85" t="s">
        <v>2237</v>
      </c>
      <c r="B15" s="86" t="s">
        <v>2238</v>
      </c>
      <c r="C15" s="54"/>
      <c r="D15" s="55"/>
    </row>
    <row r="16" ht="78" customHeight="1" spans="1:4">
      <c r="A16" s="85" t="s">
        <v>2239</v>
      </c>
      <c r="B16" s="86" t="s">
        <v>2240</v>
      </c>
      <c r="C16" s="54"/>
      <c r="D16" s="55"/>
    </row>
    <row r="17" ht="39" customHeight="1" spans="1:4">
      <c r="A17" s="85" t="s">
        <v>2241</v>
      </c>
      <c r="B17" s="86" t="s">
        <v>2242</v>
      </c>
      <c r="C17" s="54"/>
      <c r="D17" s="55"/>
    </row>
    <row r="18" ht="18" customHeight="1" spans="1:4">
      <c r="A18" s="40" t="s">
        <v>2243</v>
      </c>
    </row>
    <row r="19" ht="52" customHeight="1" spans="1:4">
      <c r="A19" s="85" t="s">
        <v>772</v>
      </c>
      <c r="B19" s="86" t="s">
        <v>2244</v>
      </c>
      <c r="C19" s="54"/>
      <c r="D19" s="55"/>
    </row>
    <row r="20" ht="104" customHeight="1" spans="1:4">
      <c r="A20" s="85" t="s">
        <v>2245</v>
      </c>
      <c r="B20" s="86" t="s">
        <v>2246</v>
      </c>
      <c r="C20" s="54"/>
      <c r="D20" s="55"/>
    </row>
    <row r="21" ht="65" customHeight="1" spans="1:4">
      <c r="A21" s="85" t="s">
        <v>2247</v>
      </c>
      <c r="B21" s="86" t="s">
        <v>2248</v>
      </c>
      <c r="C21" s="54"/>
      <c r="D21" s="55"/>
    </row>
    <row r="22" ht="39" customHeight="1" spans="1:4">
      <c r="A22" s="85" t="s">
        <v>2249</v>
      </c>
      <c r="B22" s="86" t="s">
        <v>2250</v>
      </c>
      <c r="C22" s="54"/>
      <c r="D22" s="55"/>
    </row>
    <row r="23" ht="18" customHeight="1" spans="1:4">
      <c r="A23" s="40" t="s">
        <v>2251</v>
      </c>
    </row>
    <row r="24" ht="52" customHeight="1" spans="1:4">
      <c r="A24" s="85" t="s">
        <v>2252</v>
      </c>
      <c r="B24" s="86" t="s">
        <v>2253</v>
      </c>
      <c r="C24" s="54"/>
      <c r="D24" s="55"/>
    </row>
    <row r="25" ht="18" customHeight="1" spans="1:4">
      <c r="A25" s="40" t="s">
        <v>2254</v>
      </c>
    </row>
    <row r="26" ht="52" customHeight="1" spans="1:4">
      <c r="A26" s="85" t="s">
        <v>2255</v>
      </c>
      <c r="B26" s="86" t="s">
        <v>2256</v>
      </c>
      <c r="C26" s="54"/>
      <c r="D26" s="55"/>
    </row>
    <row r="27" ht="78" customHeight="1" spans="1:4">
      <c r="A27" s="85" t="s">
        <v>2257</v>
      </c>
      <c r="B27" s="86" t="s">
        <v>2258</v>
      </c>
      <c r="C27" s="54"/>
      <c r="D27" s="55"/>
    </row>
    <row r="28" ht="65" customHeight="1" spans="1:4">
      <c r="A28" s="85" t="s">
        <v>2259</v>
      </c>
      <c r="B28" s="86" t="s">
        <v>2260</v>
      </c>
      <c r="C28" s="54"/>
      <c r="D28" s="55"/>
    </row>
    <row r="29" ht="52" customHeight="1" spans="1:4">
      <c r="A29" s="85" t="s">
        <v>2261</v>
      </c>
      <c r="B29" s="86" t="s">
        <v>2262</v>
      </c>
      <c r="C29" s="54"/>
      <c r="D29" s="55"/>
    </row>
    <row r="30" ht="52" customHeight="1" spans="1:4">
      <c r="A30" s="85" t="s">
        <v>2263</v>
      </c>
      <c r="B30" s="86" t="s">
        <v>2264</v>
      </c>
      <c r="C30" s="54"/>
      <c r="D30" s="55"/>
    </row>
    <row r="31" ht="65" customHeight="1" spans="1:4">
      <c r="A31" s="85" t="s">
        <v>2265</v>
      </c>
      <c r="B31" s="86" t="s">
        <v>2266</v>
      </c>
      <c r="C31" s="54"/>
      <c r="D31" s="55"/>
    </row>
    <row r="32" ht="104" customHeight="1" spans="1:4">
      <c r="A32" s="85" t="s">
        <v>2267</v>
      </c>
      <c r="B32" s="86" t="s">
        <v>2268</v>
      </c>
      <c r="C32" s="54"/>
      <c r="D32" s="55"/>
    </row>
    <row r="33" ht="18" customHeight="1" spans="1:4">
      <c r="A33" s="40" t="s">
        <v>2269</v>
      </c>
    </row>
    <row r="34" ht="20" customHeight="1" spans="1:4">
      <c r="A34" s="41" t="s">
        <v>2270</v>
      </c>
      <c r="B34" s="41" t="s">
        <v>2271</v>
      </c>
      <c r="C34" s="41" t="s">
        <v>29</v>
      </c>
      <c r="D34" s="41" t="s">
        <v>29</v>
      </c>
    </row>
    <row r="35" spans="1:4">
      <c r="A35" s="49" t="s">
        <v>2272</v>
      </c>
      <c r="B35" s="48" t="s">
        <v>2273</v>
      </c>
      <c r="C35" s="54"/>
      <c r="D35" s="55"/>
    </row>
    <row r="36" spans="1:4">
      <c r="A36" s="49" t="s">
        <v>2274</v>
      </c>
      <c r="B36" s="48" t="s">
        <v>2275</v>
      </c>
      <c r="C36" s="54"/>
      <c r="D36" s="55"/>
    </row>
    <row r="37" spans="1:4">
      <c r="A37" s="49" t="s">
        <v>2276</v>
      </c>
      <c r="B37" s="48" t="s">
        <v>2277</v>
      </c>
      <c r="C37" s="54"/>
      <c r="D37" s="55"/>
    </row>
    <row r="38" spans="1:4">
      <c r="A38" s="49" t="s">
        <v>9</v>
      </c>
      <c r="B38" s="48" t="s">
        <v>2278</v>
      </c>
      <c r="C38" s="54"/>
      <c r="D38" s="55"/>
    </row>
    <row r="39" spans="1:4">
      <c r="A39" s="49" t="s">
        <v>2279</v>
      </c>
      <c r="B39" s="48" t="s">
        <v>2280</v>
      </c>
      <c r="C39" s="54"/>
      <c r="D39" s="55"/>
    </row>
    <row r="40" spans="1:4">
      <c r="A40" s="49" t="s">
        <v>2281</v>
      </c>
      <c r="B40" s="48" t="s">
        <v>2282</v>
      </c>
      <c r="C40" s="54"/>
      <c r="D40" s="55"/>
    </row>
    <row r="41" spans="1:4">
      <c r="A41" s="49" t="s">
        <v>2283</v>
      </c>
      <c r="B41" s="48" t="s">
        <v>2284</v>
      </c>
      <c r="C41" s="54"/>
      <c r="D41" s="55"/>
    </row>
    <row r="42" spans="1:4">
      <c r="A42" s="49" t="s">
        <v>2285</v>
      </c>
      <c r="B42" s="48" t="s">
        <v>2286</v>
      </c>
      <c r="C42" s="54"/>
      <c r="D42" s="55"/>
    </row>
    <row r="43" spans="1:4">
      <c r="A43" s="49" t="s">
        <v>2287</v>
      </c>
      <c r="B43" s="48" t="s">
        <v>2288</v>
      </c>
      <c r="C43" s="54"/>
      <c r="D43" s="55"/>
    </row>
    <row r="44" spans="1:4">
      <c r="A44" s="49" t="s">
        <v>2289</v>
      </c>
      <c r="B44" s="48" t="s">
        <v>2290</v>
      </c>
      <c r="C44" s="54"/>
      <c r="D44" s="55"/>
    </row>
    <row r="45" spans="1:4">
      <c r="A45" s="49" t="s">
        <v>2291</v>
      </c>
      <c r="B45" s="48" t="s">
        <v>2292</v>
      </c>
      <c r="C45" s="54"/>
      <c r="D45" s="55"/>
    </row>
    <row r="46" spans="1:4">
      <c r="A46" s="49" t="s">
        <v>2293</v>
      </c>
      <c r="B46" s="48" t="s">
        <v>2294</v>
      </c>
      <c r="C46" s="54"/>
      <c r="D46" s="55"/>
    </row>
    <row r="47" ht="18" customHeight="1" spans="1:4">
      <c r="A47" s="40" t="s">
        <v>2295</v>
      </c>
    </row>
    <row r="48" ht="39" customHeight="1" spans="1:4">
      <c r="A48" s="85" t="s">
        <v>2296</v>
      </c>
      <c r="B48" s="86" t="s">
        <v>2297</v>
      </c>
      <c r="C48" s="54"/>
      <c r="D48" s="55"/>
    </row>
  </sheetData>
  <mergeCells count="46">
    <mergeCell ref="A1:D1"/>
    <mergeCell ref="A2:D2"/>
    <mergeCell ref="A4:D4"/>
    <mergeCell ref="B5:D5"/>
    <mergeCell ref="B6:D6"/>
    <mergeCell ref="B7:D7"/>
    <mergeCell ref="A8:D8"/>
    <mergeCell ref="B9:D9"/>
    <mergeCell ref="B10:D10"/>
    <mergeCell ref="B11:D11"/>
    <mergeCell ref="A12:D12"/>
    <mergeCell ref="B13:D13"/>
    <mergeCell ref="B14:D14"/>
    <mergeCell ref="B15:D15"/>
    <mergeCell ref="B16:D16"/>
    <mergeCell ref="B17:D17"/>
    <mergeCell ref="A18:D18"/>
    <mergeCell ref="B19:D19"/>
    <mergeCell ref="B20:D20"/>
    <mergeCell ref="B21:D21"/>
    <mergeCell ref="B22:D22"/>
    <mergeCell ref="A23:D23"/>
    <mergeCell ref="B24:D24"/>
    <mergeCell ref="A25:D25"/>
    <mergeCell ref="B26:D26"/>
    <mergeCell ref="B27:D27"/>
    <mergeCell ref="B28:D28"/>
    <mergeCell ref="B29:D29"/>
    <mergeCell ref="B30:D30"/>
    <mergeCell ref="B31:D31"/>
    <mergeCell ref="B32:D32"/>
    <mergeCell ref="A33:D33"/>
    <mergeCell ref="B35:D35"/>
    <mergeCell ref="B36:D36"/>
    <mergeCell ref="B37:D37"/>
    <mergeCell ref="B38:D38"/>
    <mergeCell ref="B39:D39"/>
    <mergeCell ref="B40:D40"/>
    <mergeCell ref="B41:D41"/>
    <mergeCell ref="B42:D42"/>
    <mergeCell ref="B43:D43"/>
    <mergeCell ref="B44:D44"/>
    <mergeCell ref="B45:D45"/>
    <mergeCell ref="B46:D46"/>
    <mergeCell ref="A47:D47"/>
    <mergeCell ref="B48:D48"/>
  </mergeCells>
  <pageMargins left="0.7" right="0.7" top="0.75" bottom="0.75" header="0.3" footer="0.3"/>
  <pageSetup paperSize="1" orientation="portrait"/>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Y29"/>
  <sheetViews>
    <sheetView workbookViewId="0">
      <pane xSplit="4" ySplit="5" topLeftCell="E6" activePane="bottomRight" state="frozen"/>
      <selection/>
      <selection pane="topRight"/>
      <selection pane="bottomLeft"/>
      <selection pane="bottomRight" activeCell="A1" sqref="A1:BY1"/>
    </sheetView>
  </sheetViews>
  <sheetFormatPr defaultColWidth="9" defaultRowHeight="15"/>
  <cols>
    <col min="2" max="4" width="20" customWidth="1"/>
    <col min="5" max="5" width="11" customWidth="1"/>
    <col min="6" max="6" width="16" customWidth="1"/>
    <col min="7" max="7" width="13" customWidth="1"/>
    <col min="8" max="8" width="11" customWidth="1"/>
    <col min="10" max="10" width="24" customWidth="1"/>
    <col min="11" max="11" width="14" customWidth="1"/>
    <col min="12" max="12" width="13" customWidth="1"/>
    <col min="13" max="13" width="16" customWidth="1"/>
    <col min="14" max="14" width="30" customWidth="1"/>
    <col min="15" max="15" width="40" customWidth="1"/>
    <col min="16" max="18" width="12" customWidth="1"/>
    <col min="19" max="19" width="40" customWidth="1"/>
    <col min="20" max="20" width="60" customWidth="1"/>
    <col min="21" max="21" width="46" customWidth="1"/>
    <col min="22" max="26" width="11" customWidth="1"/>
    <col min="27" max="28" width="10" customWidth="1"/>
    <col min="29" max="29" width="12" customWidth="1"/>
    <col min="30" max="30" width="14" customWidth="1"/>
    <col min="31" max="32" width="12" customWidth="1"/>
    <col min="33" max="33" width="14" customWidth="1"/>
    <col min="34" max="34" width="11" customWidth="1"/>
    <col min="35" max="35" width="14" customWidth="1"/>
    <col min="36" max="36" width="11" customWidth="1"/>
    <col min="37" max="37" width="14" customWidth="1"/>
    <col min="38" max="39" width="11" customWidth="1"/>
    <col min="40" max="40" width="12" customWidth="1"/>
    <col min="41" max="58" width="13" customWidth="1"/>
    <col min="59" max="59" width="12" customWidth="1"/>
    <col min="60" max="60" width="34" customWidth="1"/>
    <col min="61" max="63" width="13" customWidth="1"/>
    <col min="64" max="65" width="11" customWidth="1"/>
    <col min="66" max="67" width="12" customWidth="1"/>
    <col min="68" max="68" width="13" customWidth="1"/>
    <col min="69" max="69" width="11" customWidth="1"/>
    <col min="70" max="71" width="12" customWidth="1"/>
    <col min="72" max="72" width="11" customWidth="1"/>
    <col min="73" max="74" width="12" customWidth="1"/>
    <col min="75" max="76" width="13" customWidth="1"/>
    <col min="77" max="77" width="52" customWidth="1"/>
  </cols>
  <sheetData>
    <row r="1" ht="24" customHeight="1" spans="1:77">
      <c r="A1" s="38" t="s">
        <v>2298</v>
      </c>
    </row>
    <row r="2" ht="30" customHeight="1" spans="1:77">
      <c r="A2" s="39" t="s">
        <v>2299</v>
      </c>
    </row>
    <row r="4" ht="15.75" spans="1:77">
      <c r="A4" s="66" t="s">
        <v>435</v>
      </c>
      <c r="B4" s="67"/>
      <c r="C4" s="67"/>
      <c r="D4" s="67"/>
      <c r="E4" s="67"/>
      <c r="F4" s="67"/>
      <c r="G4" s="67"/>
      <c r="H4" s="67"/>
      <c r="I4" s="68"/>
      <c r="J4" s="66" t="s">
        <v>2300</v>
      </c>
      <c r="K4" s="67"/>
      <c r="L4" s="67"/>
      <c r="M4" s="67"/>
      <c r="N4" s="67"/>
      <c r="O4" s="67"/>
      <c r="P4" s="67"/>
      <c r="Q4" s="67"/>
      <c r="R4" s="67"/>
      <c r="S4" s="67"/>
      <c r="T4" s="67"/>
      <c r="U4" s="68"/>
      <c r="V4" s="66" t="s">
        <v>437</v>
      </c>
      <c r="W4" s="67"/>
      <c r="X4" s="67"/>
      <c r="Y4" s="67"/>
      <c r="Z4" s="67"/>
      <c r="AA4" s="67"/>
      <c r="AB4" s="67"/>
      <c r="AC4" s="67"/>
      <c r="AD4" s="67"/>
      <c r="AE4" s="67"/>
      <c r="AF4" s="67"/>
      <c r="AG4" s="67"/>
      <c r="AH4" s="67"/>
      <c r="AI4" s="67"/>
      <c r="AJ4" s="67"/>
      <c r="AK4" s="67"/>
      <c r="AL4" s="67"/>
      <c r="AM4" s="67"/>
      <c r="AN4" s="67"/>
      <c r="AO4" s="67"/>
      <c r="AP4" s="67"/>
      <c r="AQ4" s="67"/>
      <c r="AR4" s="67"/>
      <c r="AS4" s="67"/>
      <c r="AT4" s="67"/>
      <c r="AU4" s="67"/>
      <c r="AV4" s="67"/>
      <c r="AW4" s="67"/>
      <c r="AX4" s="67"/>
      <c r="AY4" s="67"/>
      <c r="AZ4" s="67"/>
      <c r="BA4" s="67"/>
      <c r="BB4" s="67"/>
      <c r="BC4" s="67"/>
      <c r="BD4" s="67"/>
      <c r="BE4" s="67"/>
      <c r="BF4" s="68"/>
      <c r="BG4" s="66" t="s">
        <v>436</v>
      </c>
      <c r="BH4" s="67"/>
      <c r="BI4" s="67"/>
      <c r="BJ4" s="67"/>
      <c r="BK4" s="67"/>
      <c r="BL4" s="67"/>
      <c r="BM4" s="67"/>
      <c r="BN4" s="67"/>
      <c r="BO4" s="67"/>
      <c r="BP4" s="67"/>
      <c r="BQ4" s="67"/>
      <c r="BR4" s="68"/>
      <c r="BS4" s="66" t="s">
        <v>2301</v>
      </c>
      <c r="BT4" s="67"/>
      <c r="BU4" s="67"/>
      <c r="BV4" s="68"/>
      <c r="BW4" s="66" t="s">
        <v>2302</v>
      </c>
      <c r="BX4" s="67"/>
      <c r="BY4" s="68"/>
    </row>
    <row r="5" ht="44" customHeight="1" spans="1:77">
      <c r="A5" s="41" t="s">
        <v>414</v>
      </c>
      <c r="B5" s="41" t="s">
        <v>2303</v>
      </c>
      <c r="C5" s="41" t="s">
        <v>445</v>
      </c>
      <c r="D5" s="41" t="s">
        <v>444</v>
      </c>
      <c r="E5" s="41" t="s">
        <v>390</v>
      </c>
      <c r="F5" s="41" t="s">
        <v>2304</v>
      </c>
      <c r="G5" s="41" t="s">
        <v>450</v>
      </c>
      <c r="H5" s="41" t="s">
        <v>447</v>
      </c>
      <c r="I5" s="41" t="s">
        <v>448</v>
      </c>
      <c r="J5" s="41" t="s">
        <v>2305</v>
      </c>
      <c r="K5" s="41" t="s">
        <v>416</v>
      </c>
      <c r="L5" s="41" t="s">
        <v>2306</v>
      </c>
      <c r="M5" s="41" t="s">
        <v>2307</v>
      </c>
      <c r="N5" s="41" t="s">
        <v>474</v>
      </c>
      <c r="O5" s="41" t="s">
        <v>2308</v>
      </c>
      <c r="P5" s="41" t="s">
        <v>446</v>
      </c>
      <c r="Q5" s="41" t="s">
        <v>399</v>
      </c>
      <c r="R5" s="41" t="s">
        <v>449</v>
      </c>
      <c r="S5" s="41" t="s">
        <v>2309</v>
      </c>
      <c r="T5" s="41" t="s">
        <v>2310</v>
      </c>
      <c r="U5" s="41" t="s">
        <v>2311</v>
      </c>
      <c r="V5" s="41" t="s">
        <v>2312</v>
      </c>
      <c r="W5" s="41" t="s">
        <v>2313</v>
      </c>
      <c r="X5" s="41" t="s">
        <v>2314</v>
      </c>
      <c r="Y5" s="41" t="s">
        <v>2315</v>
      </c>
      <c r="Z5" s="41" t="s">
        <v>467</v>
      </c>
      <c r="AA5" s="41" t="s">
        <v>468</v>
      </c>
      <c r="AB5" s="41" t="s">
        <v>469</v>
      </c>
      <c r="AC5" s="41" t="s">
        <v>2316</v>
      </c>
      <c r="AD5" s="41" t="s">
        <v>470</v>
      </c>
      <c r="AE5" s="41" t="s">
        <v>2317</v>
      </c>
      <c r="AF5" s="41" t="s">
        <v>2318</v>
      </c>
      <c r="AG5" s="41" t="s">
        <v>2319</v>
      </c>
      <c r="AH5" s="41" t="s">
        <v>2320</v>
      </c>
      <c r="AI5" s="41" t="s">
        <v>2321</v>
      </c>
      <c r="AJ5" s="41" t="s">
        <v>2322</v>
      </c>
      <c r="AK5" s="41" t="s">
        <v>2323</v>
      </c>
      <c r="AL5" s="41" t="s">
        <v>2324</v>
      </c>
      <c r="AM5" s="41" t="s">
        <v>2325</v>
      </c>
      <c r="AN5" s="41" t="s">
        <v>2326</v>
      </c>
      <c r="AO5" s="41" t="s">
        <v>2327</v>
      </c>
      <c r="AP5" s="41" t="s">
        <v>2328</v>
      </c>
      <c r="AQ5" s="41" t="s">
        <v>2329</v>
      </c>
      <c r="AR5" s="41" t="s">
        <v>2330</v>
      </c>
      <c r="AS5" s="41" t="s">
        <v>2331</v>
      </c>
      <c r="AT5" s="41" t="s">
        <v>2332</v>
      </c>
      <c r="AU5" s="41" t="s">
        <v>2333</v>
      </c>
      <c r="AV5" s="41" t="s">
        <v>2334</v>
      </c>
      <c r="AW5" s="41" t="s">
        <v>2335</v>
      </c>
      <c r="AX5" s="41" t="s">
        <v>2336</v>
      </c>
      <c r="AY5" s="41" t="s">
        <v>2337</v>
      </c>
      <c r="AZ5" s="41" t="s">
        <v>2338</v>
      </c>
      <c r="BA5" s="41" t="s">
        <v>2339</v>
      </c>
      <c r="BB5" s="41" t="s">
        <v>2340</v>
      </c>
      <c r="BC5" s="41" t="s">
        <v>2341</v>
      </c>
      <c r="BD5" s="41" t="s">
        <v>2342</v>
      </c>
      <c r="BE5" s="41" t="s">
        <v>2343</v>
      </c>
      <c r="BF5" s="41" t="s">
        <v>2344</v>
      </c>
      <c r="BG5" s="41" t="s">
        <v>451</v>
      </c>
      <c r="BH5" s="41" t="s">
        <v>2345</v>
      </c>
      <c r="BI5" s="41" t="s">
        <v>452</v>
      </c>
      <c r="BJ5" s="41" t="s">
        <v>453</v>
      </c>
      <c r="BK5" s="41" t="s">
        <v>492</v>
      </c>
      <c r="BL5" s="41" t="s">
        <v>2346</v>
      </c>
      <c r="BM5" s="41" t="s">
        <v>2347</v>
      </c>
      <c r="BN5" s="41" t="s">
        <v>2348</v>
      </c>
      <c r="BO5" s="41" t="s">
        <v>2349</v>
      </c>
      <c r="BP5" s="41" t="s">
        <v>2350</v>
      </c>
      <c r="BQ5" s="41" t="s">
        <v>2351</v>
      </c>
      <c r="BR5" s="41" t="s">
        <v>457</v>
      </c>
      <c r="BS5" s="41" t="s">
        <v>458</v>
      </c>
      <c r="BT5" s="41" t="s">
        <v>2021</v>
      </c>
      <c r="BU5" s="41" t="s">
        <v>2352</v>
      </c>
      <c r="BV5" s="41" t="s">
        <v>2353</v>
      </c>
      <c r="BW5" s="41" t="s">
        <v>494</v>
      </c>
      <c r="BX5" s="41" t="s">
        <v>773</v>
      </c>
      <c r="BY5" s="41" t="s">
        <v>2354</v>
      </c>
    </row>
    <row r="6" spans="1:77">
      <c r="A6" s="64" t="s">
        <v>496</v>
      </c>
      <c r="B6" s="42" t="s">
        <v>2355</v>
      </c>
      <c r="C6" s="42" t="s">
        <v>2355</v>
      </c>
      <c r="D6" s="42" t="s">
        <v>2356</v>
      </c>
      <c r="E6" s="42" t="s">
        <v>391</v>
      </c>
      <c r="F6" s="42" t="s">
        <v>2357</v>
      </c>
      <c r="G6" s="72">
        <v>685896635</v>
      </c>
      <c r="H6" s="42" t="str">
        <f>IFERROR(INDEX(Lookup_Lists!$A$96:$A$100,MATCH('[1]#REF'!$G$6,Lookup_Lists!$B$96:$B$100,1)),"N/A")</f>
        <v>N/A</v>
      </c>
      <c r="I6" s="42" t="s">
        <v>295</v>
      </c>
      <c r="J6" s="42" t="s">
        <v>2358</v>
      </c>
      <c r="K6" s="42" t="s">
        <v>613</v>
      </c>
      <c r="L6" s="42" t="s">
        <v>2359</v>
      </c>
      <c r="M6" s="81" t="s">
        <v>2360</v>
      </c>
      <c r="N6" s="42" t="s">
        <v>674</v>
      </c>
      <c r="O6" s="42" t="s">
        <v>2361</v>
      </c>
      <c r="P6" s="81" t="s">
        <v>2360</v>
      </c>
      <c r="Q6" s="81" t="s">
        <v>2360</v>
      </c>
      <c r="R6" s="81" t="s">
        <v>2360</v>
      </c>
      <c r="S6" s="42" t="s">
        <v>2362</v>
      </c>
      <c r="T6" s="42" t="s">
        <v>2363</v>
      </c>
      <c r="U6" s="81" t="s">
        <v>2360</v>
      </c>
      <c r="V6" s="81" t="s">
        <v>2360</v>
      </c>
      <c r="W6" s="81" t="s">
        <v>2360</v>
      </c>
      <c r="X6" s="81" t="s">
        <v>2360</v>
      </c>
      <c r="Y6" s="81" t="s">
        <v>2360</v>
      </c>
      <c r="Z6" s="81" t="s">
        <v>2360</v>
      </c>
      <c r="AA6" s="81" t="s">
        <v>2360</v>
      </c>
      <c r="AB6" s="81" t="s">
        <v>2360</v>
      </c>
      <c r="AC6" s="81" t="s">
        <v>2360</v>
      </c>
      <c r="AD6" s="81" t="s">
        <v>2360</v>
      </c>
      <c r="AE6" s="81" t="s">
        <v>2360</v>
      </c>
      <c r="AF6" s="81" t="s">
        <v>2360</v>
      </c>
      <c r="AG6" s="81" t="s">
        <v>2360</v>
      </c>
      <c r="AH6" s="81" t="s">
        <v>2360</v>
      </c>
      <c r="AI6" s="81" t="s">
        <v>2360</v>
      </c>
      <c r="AJ6" s="81" t="s">
        <v>2360</v>
      </c>
      <c r="AK6" s="81" t="s">
        <v>2360</v>
      </c>
      <c r="AL6" s="81" t="s">
        <v>2360</v>
      </c>
      <c r="AM6" s="81" t="s">
        <v>2360</v>
      </c>
      <c r="AN6" s="81" t="s">
        <v>2360</v>
      </c>
      <c r="AO6" s="81" t="s">
        <v>2360</v>
      </c>
      <c r="AP6" s="81" t="s">
        <v>2360</v>
      </c>
      <c r="AQ6" s="81" t="s">
        <v>2360</v>
      </c>
      <c r="AR6" s="81" t="s">
        <v>2360</v>
      </c>
      <c r="AS6" s="81" t="s">
        <v>2360</v>
      </c>
      <c r="AT6" s="81" t="s">
        <v>2360</v>
      </c>
      <c r="AU6" s="81" t="s">
        <v>2360</v>
      </c>
      <c r="AV6" s="81" t="s">
        <v>2360</v>
      </c>
      <c r="AW6" s="81" t="s">
        <v>2360</v>
      </c>
      <c r="AX6" s="81" t="s">
        <v>2360</v>
      </c>
      <c r="AY6" s="81" t="s">
        <v>2360</v>
      </c>
      <c r="AZ6" s="81" t="s">
        <v>2360</v>
      </c>
      <c r="BA6" s="81" t="s">
        <v>2360</v>
      </c>
      <c r="BB6" s="81" t="s">
        <v>2360</v>
      </c>
      <c r="BC6" s="81" t="s">
        <v>2360</v>
      </c>
      <c r="BD6" s="81" t="s">
        <v>2360</v>
      </c>
      <c r="BE6" s="81" t="s">
        <v>2360</v>
      </c>
      <c r="BF6" s="81" t="s">
        <v>2360</v>
      </c>
      <c r="BG6" s="73">
        <v>0.07</v>
      </c>
      <c r="BH6" s="42" t="s">
        <v>919</v>
      </c>
      <c r="BI6" s="72">
        <v>136309208</v>
      </c>
      <c r="BJ6" s="72">
        <v>136309208</v>
      </c>
      <c r="BK6" s="82">
        <v>19.8731</v>
      </c>
      <c r="BL6" s="72">
        <v>1</v>
      </c>
      <c r="BM6" s="81" t="s">
        <v>2360</v>
      </c>
      <c r="BN6" s="72">
        <v>0</v>
      </c>
      <c r="BO6" s="81" t="s">
        <v>2360</v>
      </c>
      <c r="BP6" s="81" t="s">
        <v>2360</v>
      </c>
      <c r="BQ6" s="83">
        <v>0</v>
      </c>
      <c r="BR6" s="81" t="s">
        <v>2360</v>
      </c>
      <c r="BS6" s="81" t="s">
        <v>2360</v>
      </c>
      <c r="BT6" s="81" t="s">
        <v>2360</v>
      </c>
      <c r="BU6" s="81" t="s">
        <v>2360</v>
      </c>
      <c r="BV6" s="81" t="s">
        <v>2360</v>
      </c>
      <c r="BW6" s="42" t="e">
        <f>ROUND((IF(ISNUMBER('[1]#REF'!$K$6),1,IF(AND(ISTEXT('[1]#REF'!$K$6),'[1]#REF'!$K$6&lt;&gt;"N/A"),1,0))+IF(ISNUMBER('[1]#REF'!$BG$6),1,IF(AND(ISTEXT('[1]#REF'!$BG$6),'[1]#REF'!$BG$6&lt;&gt;"N/A"),1,0))+IF(ISNUMBER('[1]#REF'!$BI$6),1,IF(AND(ISTEXT('[1]#REF'!$BI$6),'[1]#REF'!$BI$6&lt;&gt;"N/A"),1,0))+IF(ISNUMBER('[1]#REF'!$BK$6),1,IF(AND(ISTEXT('[1]#REF'!$BK$6),'[1]#REF'!$BK$6&lt;&gt;"N/A"),1,0))+IF(ISNUMBER('[1]#REF'!$AA$6),1,IF(AND(ISTEXT('[1]#REF'!$AA$6),'[1]#REF'!$AA$6&lt;&gt;"N/A"),1,0))+IF(ISNUMBER('[1]#REF'!$AE$6),1,IF(AND(ISTEXT('[1]#REF'!$AE$6),'[1]#REF'!$AE$6&lt;&gt;"N/A"),1,0))+IF(ISNUMBER('[1]#REF'!$AH$6),1,IF(AND(ISTEXT('[1]#REF'!$AH$6),'[1]#REF'!$AH$6&lt;&gt;"N/A"),1,0))+IF(ISNUMBER('[1]#REF'!$AN$6),1,IF(AND(ISTEXT('[1]#REF'!$AN$6),'[1]#REF'!$AN$6&lt;&gt;"N/A"),1,0))+IF(ISNUMBER('[1]#REF'!$BS$6),1,IF(AND(ISTEXT('[1]#REF'!$BS$6),'[1]#REF'!$BS$6&lt;&gt;"N/A"),1,0))+IF(ISNUMBER('[1]#REF'!$BT$6),1,IF(AND(ISTEXT('[1]#REF'!$BT$6),'[1]#REF'!$BT$6&lt;&gt;"N/A"),1,0))+IF(ISNUMBER('[1]#REF'!$BU$6),1,IF(AND(ISTEXT('[1]#REF'!$BU$6),'[1]#REF'!$BU$6&lt;&gt;"N/A"),1,0))+IF(ISNUMBER('[1]#REF'!$BM$6),1,IF(AND(ISTEXT('[1]#REF'!$BM$6),'[1]#REF'!$BM$6&lt;&gt;"N/A"),1,0)))/12*100,0)</f>
        <v>#REF!</v>
      </c>
      <c r="BX6" s="42" t="e">
        <f>IF('[1]#REF'!$BW$6&gt;=Lookup_Lists!$D$159,"High",IF('[1]#REF'!$BW$6&gt;=Lookup_Lists!$D$160,"Medium","Limited Data"))</f>
        <v>#REF!</v>
      </c>
      <c r="BY6" s="42" t="s">
        <v>2364</v>
      </c>
    </row>
    <row r="7" spans="1:77">
      <c r="A7" s="64" t="s">
        <v>504</v>
      </c>
      <c r="B7" s="42" t="s">
        <v>2365</v>
      </c>
      <c r="C7" s="42" t="s">
        <v>2365</v>
      </c>
      <c r="D7" s="42" t="s">
        <v>2366</v>
      </c>
      <c r="E7" s="42" t="s">
        <v>391</v>
      </c>
      <c r="F7" s="42" t="s">
        <v>2357</v>
      </c>
      <c r="G7" s="72">
        <v>679264838</v>
      </c>
      <c r="H7" s="42" t="str">
        <f>IFERROR(INDEX(Lookup_Lists!$A$96:$A$100,MATCH('[1]#REF'!$G$7,Lookup_Lists!$B$96:$B$100,1)),"N/A")</f>
        <v>N/A</v>
      </c>
      <c r="I7" s="42" t="s">
        <v>295</v>
      </c>
      <c r="J7" s="42" t="s">
        <v>579</v>
      </c>
      <c r="K7" s="42" t="s">
        <v>579</v>
      </c>
      <c r="L7" s="42" t="s">
        <v>2359</v>
      </c>
      <c r="M7" s="42" t="s">
        <v>243</v>
      </c>
      <c r="N7" s="42" t="s">
        <v>2367</v>
      </c>
      <c r="O7" s="42" t="s">
        <v>2368</v>
      </c>
      <c r="P7" s="81" t="s">
        <v>2360</v>
      </c>
      <c r="Q7" s="81" t="s">
        <v>2360</v>
      </c>
      <c r="R7" s="81" t="s">
        <v>2360</v>
      </c>
      <c r="S7" s="81" t="s">
        <v>2360</v>
      </c>
      <c r="T7" s="42" t="s">
        <v>2369</v>
      </c>
      <c r="U7" s="42" t="s">
        <v>2370</v>
      </c>
      <c r="V7" s="81" t="s">
        <v>2360</v>
      </c>
      <c r="W7" s="81" t="s">
        <v>2360</v>
      </c>
      <c r="X7" s="81" t="s">
        <v>2360</v>
      </c>
      <c r="Y7" s="81" t="s">
        <v>2360</v>
      </c>
      <c r="Z7" s="81" t="s">
        <v>2360</v>
      </c>
      <c r="AA7" s="83">
        <v>18.18</v>
      </c>
      <c r="AB7" s="83">
        <v>81.82</v>
      </c>
      <c r="AC7" s="83">
        <v>22</v>
      </c>
      <c r="AD7" s="81" t="s">
        <v>2360</v>
      </c>
      <c r="AE7" s="81" t="s">
        <v>2360</v>
      </c>
      <c r="AF7" s="83">
        <v>6</v>
      </c>
      <c r="AG7" s="81" t="s">
        <v>2360</v>
      </c>
      <c r="AH7" s="81" t="s">
        <v>2360</v>
      </c>
      <c r="AI7" s="81" t="s">
        <v>2360</v>
      </c>
      <c r="AJ7" s="81" t="s">
        <v>2360</v>
      </c>
      <c r="AK7" s="81" t="s">
        <v>2360</v>
      </c>
      <c r="AL7" s="81" t="s">
        <v>2360</v>
      </c>
      <c r="AM7" s="81" t="s">
        <v>2360</v>
      </c>
      <c r="AN7" s="83">
        <v>16.7</v>
      </c>
      <c r="AO7" s="81" t="s">
        <v>2360</v>
      </c>
      <c r="AP7" s="81" t="s">
        <v>2360</v>
      </c>
      <c r="AQ7" s="81" t="s">
        <v>2360</v>
      </c>
      <c r="AR7" s="83">
        <v>5.9</v>
      </c>
      <c r="AS7" s="83">
        <v>5.9</v>
      </c>
      <c r="AT7" s="83">
        <v>11.8</v>
      </c>
      <c r="AU7" s="81" t="s">
        <v>2360</v>
      </c>
      <c r="AV7" s="81" t="s">
        <v>2360</v>
      </c>
      <c r="AW7" s="83">
        <v>5.9</v>
      </c>
      <c r="AX7" s="83">
        <v>5.9</v>
      </c>
      <c r="AY7" s="81" t="s">
        <v>2360</v>
      </c>
      <c r="AZ7" s="81" t="s">
        <v>2360</v>
      </c>
      <c r="BA7" s="81" t="s">
        <v>2360</v>
      </c>
      <c r="BB7" s="81" t="s">
        <v>2360</v>
      </c>
      <c r="BC7" s="83">
        <v>29.4</v>
      </c>
      <c r="BD7" s="83">
        <v>29.4</v>
      </c>
      <c r="BE7" s="83">
        <v>5.9</v>
      </c>
      <c r="BF7" s="81" t="s">
        <v>2360</v>
      </c>
      <c r="BG7" s="73">
        <v>2.21</v>
      </c>
      <c r="BH7" s="42" t="s">
        <v>919</v>
      </c>
      <c r="BI7" s="72">
        <v>80305356</v>
      </c>
      <c r="BJ7" s="72">
        <v>80305356</v>
      </c>
      <c r="BK7" s="81" t="s">
        <v>2360</v>
      </c>
      <c r="BL7" s="72">
        <v>8</v>
      </c>
      <c r="BM7" s="73">
        <v>10</v>
      </c>
      <c r="BN7" s="72">
        <v>24</v>
      </c>
      <c r="BO7" s="42" t="s">
        <v>295</v>
      </c>
      <c r="BP7" s="84">
        <v>0.0637</v>
      </c>
      <c r="BQ7" s="83">
        <v>12.5</v>
      </c>
      <c r="BR7" s="81" t="s">
        <v>2360</v>
      </c>
      <c r="BS7" s="65">
        <v>68</v>
      </c>
      <c r="BT7" s="65">
        <v>69</v>
      </c>
      <c r="BU7" s="65">
        <v>68</v>
      </c>
      <c r="BV7" s="81" t="s">
        <v>2360</v>
      </c>
      <c r="BW7" s="42" t="e">
        <f>ROUND((IF(ISNUMBER('[1]#REF'!$K$7),1,IF(AND(ISTEXT('[1]#REF'!$K$7),'[1]#REF'!$K$7&lt;&gt;"N/A"),1,0))+IF(ISNUMBER('[1]#REF'!$BG$7),1,IF(AND(ISTEXT('[1]#REF'!$BG$7),'[1]#REF'!$BG$7&lt;&gt;"N/A"),1,0))+IF(ISNUMBER('[1]#REF'!$BI$7),1,IF(AND(ISTEXT('[1]#REF'!$BI$7),'[1]#REF'!$BI$7&lt;&gt;"N/A"),1,0))+IF(ISNUMBER('[1]#REF'!$BK$7),1,IF(AND(ISTEXT('[1]#REF'!$BK$7),'[1]#REF'!$BK$7&lt;&gt;"N/A"),1,0))+IF(ISNUMBER('[1]#REF'!$AA$7),1,IF(AND(ISTEXT('[1]#REF'!$AA$7),'[1]#REF'!$AA$7&lt;&gt;"N/A"),1,0))+IF(ISNUMBER('[1]#REF'!$AE$7),1,IF(AND(ISTEXT('[1]#REF'!$AE$7),'[1]#REF'!$AE$7&lt;&gt;"N/A"),1,0))+IF(ISNUMBER('[1]#REF'!$AH$7),1,IF(AND(ISTEXT('[1]#REF'!$AH$7),'[1]#REF'!$AH$7&lt;&gt;"N/A"),1,0))+IF(ISNUMBER('[1]#REF'!$AN$7),1,IF(AND(ISTEXT('[1]#REF'!$AN$7),'[1]#REF'!$AN$7&lt;&gt;"N/A"),1,0))+IF(ISNUMBER('[1]#REF'!$BS$7),1,IF(AND(ISTEXT('[1]#REF'!$BS$7),'[1]#REF'!$BS$7&lt;&gt;"N/A"),1,0))+IF(ISNUMBER('[1]#REF'!$BT$7),1,IF(AND(ISTEXT('[1]#REF'!$BT$7),'[1]#REF'!$BT$7&lt;&gt;"N/A"),1,0))+IF(ISNUMBER('[1]#REF'!$BU$7),1,IF(AND(ISTEXT('[1]#REF'!$BU$7),'[1]#REF'!$BU$7&lt;&gt;"N/A"),1,0))+IF(ISNUMBER('[1]#REF'!$BM$7),1,IF(AND(ISTEXT('[1]#REF'!$BM$7),'[1]#REF'!$BM$7&lt;&gt;"N/A"),1,0)))/12*100,0)</f>
        <v>#REF!</v>
      </c>
      <c r="BX7" s="42" t="e">
        <f>IF('[1]#REF'!$BW$7&gt;=Lookup_Lists!$D$159,"High",IF('[1]#REF'!$BW$7&gt;=Lookup_Lists!$D$160,"Medium","Limited Data"))</f>
        <v>#REF!</v>
      </c>
      <c r="BY7" s="42" t="s">
        <v>2371</v>
      </c>
    </row>
    <row r="8" spans="1:77">
      <c r="A8" s="64" t="s">
        <v>513</v>
      </c>
      <c r="B8" s="42" t="s">
        <v>2372</v>
      </c>
      <c r="C8" s="42" t="s">
        <v>2372</v>
      </c>
      <c r="D8" s="42" t="s">
        <v>2373</v>
      </c>
      <c r="E8" s="42" t="s">
        <v>391</v>
      </c>
      <c r="F8" s="42" t="s">
        <v>2357</v>
      </c>
      <c r="G8" s="72">
        <v>516185245</v>
      </c>
      <c r="H8" s="42" t="str">
        <f>IFERROR(INDEX(Lookup_Lists!$A$96:$A$100,MATCH('[1]#REF'!$G$8,Lookup_Lists!$B$96:$B$100,1)),"N/A")</f>
        <v>N/A</v>
      </c>
      <c r="I8" s="42" t="s">
        <v>295</v>
      </c>
      <c r="J8" s="42" t="s">
        <v>2374</v>
      </c>
      <c r="K8" s="81" t="s">
        <v>2360</v>
      </c>
      <c r="L8" s="81" t="s">
        <v>2360</v>
      </c>
      <c r="M8" s="81" t="s">
        <v>2360</v>
      </c>
      <c r="N8" s="81" t="s">
        <v>2360</v>
      </c>
      <c r="O8" s="81" t="s">
        <v>2360</v>
      </c>
      <c r="P8" s="81" t="s">
        <v>2360</v>
      </c>
      <c r="Q8" s="81" t="s">
        <v>2360</v>
      </c>
      <c r="R8" s="81" t="s">
        <v>2360</v>
      </c>
      <c r="S8" s="42" t="s">
        <v>2375</v>
      </c>
      <c r="T8" s="42" t="s">
        <v>2376</v>
      </c>
      <c r="U8" s="81" t="s">
        <v>2360</v>
      </c>
      <c r="V8" s="81" t="s">
        <v>2360</v>
      </c>
      <c r="W8" s="81" t="s">
        <v>2360</v>
      </c>
      <c r="X8" s="81" t="s">
        <v>2360</v>
      </c>
      <c r="Y8" s="81" t="s">
        <v>2360</v>
      </c>
      <c r="Z8" s="81" t="s">
        <v>2360</v>
      </c>
      <c r="AA8" s="83">
        <v>20</v>
      </c>
      <c r="AB8" s="83">
        <v>80</v>
      </c>
      <c r="AC8" s="83">
        <v>25</v>
      </c>
      <c r="AD8" s="81" t="s">
        <v>2360</v>
      </c>
      <c r="AE8" s="81" t="s">
        <v>2360</v>
      </c>
      <c r="AF8" s="83">
        <v>3</v>
      </c>
      <c r="AG8" s="81" t="s">
        <v>2360</v>
      </c>
      <c r="AH8" s="81" t="s">
        <v>2360</v>
      </c>
      <c r="AI8" s="81" t="s">
        <v>2360</v>
      </c>
      <c r="AJ8" s="81" t="s">
        <v>2360</v>
      </c>
      <c r="AK8" s="81" t="s">
        <v>2360</v>
      </c>
      <c r="AL8" s="81" t="s">
        <v>2360</v>
      </c>
      <c r="AM8" s="81" t="s">
        <v>2360</v>
      </c>
      <c r="AN8" s="83">
        <v>18.3</v>
      </c>
      <c r="AO8" s="83">
        <v>5.3</v>
      </c>
      <c r="AP8" s="83">
        <v>5.3</v>
      </c>
      <c r="AQ8" s="81" t="s">
        <v>2360</v>
      </c>
      <c r="AR8" s="83">
        <v>10.5</v>
      </c>
      <c r="AS8" s="81" t="s">
        <v>2360</v>
      </c>
      <c r="AT8" s="83">
        <v>5.3</v>
      </c>
      <c r="AU8" s="81" t="s">
        <v>2360</v>
      </c>
      <c r="AV8" s="83">
        <v>5.3</v>
      </c>
      <c r="AW8" s="81" t="s">
        <v>2360</v>
      </c>
      <c r="AX8" s="83">
        <v>10.5</v>
      </c>
      <c r="AY8" s="83">
        <v>10.5</v>
      </c>
      <c r="AZ8" s="83">
        <v>10.5</v>
      </c>
      <c r="BA8" s="81" t="s">
        <v>2360</v>
      </c>
      <c r="BB8" s="81" t="s">
        <v>2360</v>
      </c>
      <c r="BC8" s="83">
        <v>21.1</v>
      </c>
      <c r="BD8" s="83">
        <v>15.8</v>
      </c>
      <c r="BE8" s="81" t="s">
        <v>2360</v>
      </c>
      <c r="BF8" s="81" t="s">
        <v>2360</v>
      </c>
      <c r="BG8" s="73">
        <v>2.66</v>
      </c>
      <c r="BH8" s="42" t="s">
        <v>919</v>
      </c>
      <c r="BI8" s="72">
        <v>44938781</v>
      </c>
      <c r="BJ8" s="72">
        <v>44938781</v>
      </c>
      <c r="BK8" s="81" t="s">
        <v>2360</v>
      </c>
      <c r="BL8" s="72">
        <v>8</v>
      </c>
      <c r="BM8" s="73">
        <v>0.87</v>
      </c>
      <c r="BN8" s="72">
        <v>275</v>
      </c>
      <c r="BO8" s="42" t="s">
        <v>295</v>
      </c>
      <c r="BP8" s="84">
        <v>0.0191</v>
      </c>
      <c r="BQ8" s="83">
        <v>25</v>
      </c>
      <c r="BR8" s="81" t="s">
        <v>2360</v>
      </c>
      <c r="BS8" s="65">
        <v>65</v>
      </c>
      <c r="BT8" s="65">
        <v>67</v>
      </c>
      <c r="BU8" s="65">
        <v>63</v>
      </c>
      <c r="BV8" s="81" t="s">
        <v>2360</v>
      </c>
      <c r="BW8" s="42" t="e">
        <f>ROUND((IF(ISNUMBER('[1]#REF'!$K$8),1,IF(AND(ISTEXT('[1]#REF'!$K$8),'[1]#REF'!$K$8&lt;&gt;"N/A"),1,0))+IF(ISNUMBER('[1]#REF'!$BG$8),1,IF(AND(ISTEXT('[1]#REF'!$BG$8),'[1]#REF'!$BG$8&lt;&gt;"N/A"),1,0))+IF(ISNUMBER('[1]#REF'!$BI$8),1,IF(AND(ISTEXT('[1]#REF'!$BI$8),'[1]#REF'!$BI$8&lt;&gt;"N/A"),1,0))+IF(ISNUMBER('[1]#REF'!$BK$8),1,IF(AND(ISTEXT('[1]#REF'!$BK$8),'[1]#REF'!$BK$8&lt;&gt;"N/A"),1,0))+IF(ISNUMBER('[1]#REF'!$AA$8),1,IF(AND(ISTEXT('[1]#REF'!$AA$8),'[1]#REF'!$AA$8&lt;&gt;"N/A"),1,0))+IF(ISNUMBER('[1]#REF'!$AE$8),1,IF(AND(ISTEXT('[1]#REF'!$AE$8),'[1]#REF'!$AE$8&lt;&gt;"N/A"),1,0))+IF(ISNUMBER('[1]#REF'!$AH$8),1,IF(AND(ISTEXT('[1]#REF'!$AH$8),'[1]#REF'!$AH$8&lt;&gt;"N/A"),1,0))+IF(ISNUMBER('[1]#REF'!$AN$8),1,IF(AND(ISTEXT('[1]#REF'!$AN$8),'[1]#REF'!$AN$8&lt;&gt;"N/A"),1,0))+IF(ISNUMBER('[1]#REF'!$BS$8),1,IF(AND(ISTEXT('[1]#REF'!$BS$8),'[1]#REF'!$BS$8&lt;&gt;"N/A"),1,0))+IF(ISNUMBER('[1]#REF'!$BT$8),1,IF(AND(ISTEXT('[1]#REF'!$BT$8),'[1]#REF'!$BT$8&lt;&gt;"N/A"),1,0))+IF(ISNUMBER('[1]#REF'!$BU$8),1,IF(AND(ISTEXT('[1]#REF'!$BU$8),'[1]#REF'!$BU$8&lt;&gt;"N/A"),1,0))+IF(ISNUMBER('[1]#REF'!$BM$8),1,IF(AND(ISTEXT('[1]#REF'!$BM$8),'[1]#REF'!$BM$8&lt;&gt;"N/A"),1,0)))/12*100,0)</f>
        <v>#REF!</v>
      </c>
      <c r="BX8" s="42" t="e">
        <f>IF('[1]#REF'!$BW$8&gt;=Lookup_Lists!$D$159,"High",IF('[1]#REF'!$BW$8&gt;=Lookup_Lists!$D$160,"Medium","Limited Data"))</f>
        <v>#REF!</v>
      </c>
      <c r="BY8" s="42" t="s">
        <v>2377</v>
      </c>
    </row>
    <row r="9" spans="1:77">
      <c r="A9" s="64" t="s">
        <v>519</v>
      </c>
      <c r="B9" s="42" t="s">
        <v>2378</v>
      </c>
      <c r="C9" s="42" t="s">
        <v>2378</v>
      </c>
      <c r="D9" s="42" t="s">
        <v>2379</v>
      </c>
      <c r="E9" s="42" t="s">
        <v>391</v>
      </c>
      <c r="F9" s="42" t="s">
        <v>2357</v>
      </c>
      <c r="G9" s="72">
        <v>75052814</v>
      </c>
      <c r="H9" s="42" t="str">
        <f>IFERROR(INDEX(Lookup_Lists!$A$96:$A$100,MATCH('[1]#REF'!$G$9,Lookup_Lists!$B$96:$B$100,1)),"N/A")</f>
        <v>N/A</v>
      </c>
      <c r="I9" s="42" t="s">
        <v>295</v>
      </c>
      <c r="J9" s="81" t="s">
        <v>2360</v>
      </c>
      <c r="K9" s="42" t="s">
        <v>613</v>
      </c>
      <c r="L9" s="42" t="s">
        <v>2380</v>
      </c>
      <c r="M9" s="42" t="s">
        <v>613</v>
      </c>
      <c r="N9" s="42" t="s">
        <v>2381</v>
      </c>
      <c r="O9" s="42" t="s">
        <v>2382</v>
      </c>
      <c r="P9" s="81" t="s">
        <v>2360</v>
      </c>
      <c r="Q9" s="81" t="s">
        <v>2360</v>
      </c>
      <c r="R9" s="81" t="s">
        <v>2360</v>
      </c>
      <c r="S9" s="42" t="s">
        <v>2383</v>
      </c>
      <c r="T9" s="42" t="s">
        <v>2384</v>
      </c>
      <c r="U9" s="42" t="s">
        <v>2385</v>
      </c>
      <c r="V9" s="81" t="s">
        <v>2360</v>
      </c>
      <c r="W9" s="81" t="s">
        <v>2360</v>
      </c>
      <c r="X9" s="81" t="s">
        <v>2360</v>
      </c>
      <c r="Y9" s="81" t="s">
        <v>2360</v>
      </c>
      <c r="Z9" s="81" t="s">
        <v>2360</v>
      </c>
      <c r="AA9" s="83">
        <v>50</v>
      </c>
      <c r="AB9" s="83">
        <v>50</v>
      </c>
      <c r="AC9" s="83">
        <v>30</v>
      </c>
      <c r="AD9" s="42" t="s">
        <v>179</v>
      </c>
      <c r="AE9" s="83">
        <v>60</v>
      </c>
      <c r="AF9" s="83">
        <v>5</v>
      </c>
      <c r="AG9" s="81" t="s">
        <v>2360</v>
      </c>
      <c r="AH9" s="81" t="s">
        <v>2360</v>
      </c>
      <c r="AI9" s="81" t="s">
        <v>2360</v>
      </c>
      <c r="AJ9" s="81" t="s">
        <v>2360</v>
      </c>
      <c r="AK9" s="81" t="s">
        <v>2360</v>
      </c>
      <c r="AL9" s="81" t="s">
        <v>2360</v>
      </c>
      <c r="AM9" s="81" t="s">
        <v>2360</v>
      </c>
      <c r="AN9" s="83">
        <v>8.7</v>
      </c>
      <c r="AO9" s="81" t="s">
        <v>2360</v>
      </c>
      <c r="AP9" s="81" t="s">
        <v>2360</v>
      </c>
      <c r="AQ9" s="83">
        <v>11.1</v>
      </c>
      <c r="AR9" s="83">
        <v>22.2</v>
      </c>
      <c r="AS9" s="83">
        <v>22.2</v>
      </c>
      <c r="AT9" s="83">
        <v>11.1</v>
      </c>
      <c r="AU9" s="81" t="s">
        <v>2360</v>
      </c>
      <c r="AV9" s="81" t="s">
        <v>2360</v>
      </c>
      <c r="AW9" s="81" t="s">
        <v>2360</v>
      </c>
      <c r="AX9" s="81" t="s">
        <v>2360</v>
      </c>
      <c r="AY9" s="83">
        <v>11.1</v>
      </c>
      <c r="AZ9" s="83">
        <v>11.1</v>
      </c>
      <c r="BA9" s="81" t="s">
        <v>2360</v>
      </c>
      <c r="BB9" s="81" t="s">
        <v>2360</v>
      </c>
      <c r="BC9" s="81" t="s">
        <v>2360</v>
      </c>
      <c r="BD9" s="81" t="s">
        <v>2360</v>
      </c>
      <c r="BE9" s="83">
        <v>11.1</v>
      </c>
      <c r="BF9" s="81" t="s">
        <v>2360</v>
      </c>
      <c r="BG9" s="73">
        <v>0.52</v>
      </c>
      <c r="BH9" s="42" t="s">
        <v>919</v>
      </c>
      <c r="BI9" s="72">
        <v>1148129</v>
      </c>
      <c r="BJ9" s="72">
        <v>1148129</v>
      </c>
      <c r="BK9" s="82">
        <v>1.5298</v>
      </c>
      <c r="BL9" s="72">
        <v>6</v>
      </c>
      <c r="BM9" s="73">
        <v>0.27</v>
      </c>
      <c r="BN9" s="72">
        <v>666</v>
      </c>
      <c r="BO9" s="42" t="s">
        <v>295</v>
      </c>
      <c r="BP9" s="84">
        <v>-0.0261</v>
      </c>
      <c r="BQ9" s="83">
        <v>0</v>
      </c>
      <c r="BR9" s="81" t="s">
        <v>2360</v>
      </c>
      <c r="BS9" s="65">
        <v>58</v>
      </c>
      <c r="BT9" s="65">
        <v>29</v>
      </c>
      <c r="BU9" s="65">
        <v>86</v>
      </c>
      <c r="BV9" s="81" t="s">
        <v>2360</v>
      </c>
      <c r="BW9" s="42" t="e">
        <f>ROUND((IF(ISNUMBER('[1]#REF'!$K$9),1,IF(AND(ISTEXT('[1]#REF'!$K$9),'[1]#REF'!$K$9&lt;&gt;"N/A"),1,0))+IF(ISNUMBER('[1]#REF'!$BG$9),1,IF(AND(ISTEXT('[1]#REF'!$BG$9),'[1]#REF'!$BG$9&lt;&gt;"N/A"),1,0))+IF(ISNUMBER('[1]#REF'!$BI$9),1,IF(AND(ISTEXT('[1]#REF'!$BI$9),'[1]#REF'!$BI$9&lt;&gt;"N/A"),1,0))+IF(ISNUMBER('[1]#REF'!$BK$9),1,IF(AND(ISTEXT('[1]#REF'!$BK$9),'[1]#REF'!$BK$9&lt;&gt;"N/A"),1,0))+IF(ISNUMBER('[1]#REF'!$AA$9),1,IF(AND(ISTEXT('[1]#REF'!$AA$9),'[1]#REF'!$AA$9&lt;&gt;"N/A"),1,0))+IF(ISNUMBER('[1]#REF'!$AE$9),1,IF(AND(ISTEXT('[1]#REF'!$AE$9),'[1]#REF'!$AE$9&lt;&gt;"N/A"),1,0))+IF(ISNUMBER('[1]#REF'!$AH$9),1,IF(AND(ISTEXT('[1]#REF'!$AH$9),'[1]#REF'!$AH$9&lt;&gt;"N/A"),1,0))+IF(ISNUMBER('[1]#REF'!$AN$9),1,IF(AND(ISTEXT('[1]#REF'!$AN$9),'[1]#REF'!$AN$9&lt;&gt;"N/A"),1,0))+IF(ISNUMBER('[1]#REF'!$BS$9),1,IF(AND(ISTEXT('[1]#REF'!$BS$9),'[1]#REF'!$BS$9&lt;&gt;"N/A"),1,0))+IF(ISNUMBER('[1]#REF'!$BT$9),1,IF(AND(ISTEXT('[1]#REF'!$BT$9),'[1]#REF'!$BT$9&lt;&gt;"N/A"),1,0))+IF(ISNUMBER('[1]#REF'!$BU$9),1,IF(AND(ISTEXT('[1]#REF'!$BU$9),'[1]#REF'!$BU$9&lt;&gt;"N/A"),1,0))+IF(ISNUMBER('[1]#REF'!$BM$9),1,IF(AND(ISTEXT('[1]#REF'!$BM$9),'[1]#REF'!$BM$9&lt;&gt;"N/A"),1,0)))/12*100,0)</f>
        <v>#REF!</v>
      </c>
      <c r="BX9" s="42" t="e">
        <f>IF('[1]#REF'!$BW$9&gt;=Lookup_Lists!$D$159,"High",IF('[1]#REF'!$BW$9&gt;=Lookup_Lists!$D$160,"Medium","Limited Data"))</f>
        <v>#REF!</v>
      </c>
      <c r="BY9" s="42" t="s">
        <v>2386</v>
      </c>
    </row>
    <row r="10" spans="1:77">
      <c r="A10" s="64" t="s">
        <v>528</v>
      </c>
      <c r="B10" s="42" t="s">
        <v>2387</v>
      </c>
      <c r="C10" s="42" t="s">
        <v>2387</v>
      </c>
      <c r="D10" s="42" t="s">
        <v>2388</v>
      </c>
      <c r="E10" s="42" t="s">
        <v>391</v>
      </c>
      <c r="F10" s="42" t="s">
        <v>2357</v>
      </c>
      <c r="G10" s="72">
        <v>37961844</v>
      </c>
      <c r="H10" s="42" t="str">
        <f>IFERROR(INDEX(Lookup_Lists!$A$96:$A$100,MATCH('[1]#REF'!$G$10,Lookup_Lists!$B$96:$B$100,1)),"N/A")</f>
        <v>N/A</v>
      </c>
      <c r="I10" s="42" t="s">
        <v>295</v>
      </c>
      <c r="J10" s="42" t="s">
        <v>244</v>
      </c>
      <c r="K10" s="42" t="s">
        <v>244</v>
      </c>
      <c r="L10" s="42" t="s">
        <v>2359</v>
      </c>
      <c r="M10" s="81" t="s">
        <v>2360</v>
      </c>
      <c r="N10" s="42" t="s">
        <v>2389</v>
      </c>
      <c r="O10" s="42" t="s">
        <v>2390</v>
      </c>
      <c r="P10" s="81" t="s">
        <v>2360</v>
      </c>
      <c r="Q10" s="81" t="s">
        <v>2360</v>
      </c>
      <c r="R10" s="81" t="s">
        <v>2360</v>
      </c>
      <c r="S10" s="42" t="s">
        <v>2391</v>
      </c>
      <c r="T10" s="42" t="s">
        <v>2392</v>
      </c>
      <c r="U10" s="42" t="s">
        <v>2393</v>
      </c>
      <c r="V10" s="81" t="s">
        <v>2360</v>
      </c>
      <c r="W10" s="81" t="s">
        <v>2360</v>
      </c>
      <c r="X10" s="81" t="s">
        <v>2360</v>
      </c>
      <c r="Y10" s="81" t="s">
        <v>2360</v>
      </c>
      <c r="Z10" s="81" t="s">
        <v>2360</v>
      </c>
      <c r="AA10" s="83">
        <v>51.52</v>
      </c>
      <c r="AB10" s="83">
        <v>48.48</v>
      </c>
      <c r="AC10" s="83">
        <v>33</v>
      </c>
      <c r="AD10" s="42" t="s">
        <v>179</v>
      </c>
      <c r="AE10" s="83">
        <v>85</v>
      </c>
      <c r="AF10" s="83">
        <v>20</v>
      </c>
      <c r="AG10" s="42" t="s">
        <v>632</v>
      </c>
      <c r="AH10" s="83">
        <v>25</v>
      </c>
      <c r="AI10" s="42" t="s">
        <v>507</v>
      </c>
      <c r="AJ10" s="83">
        <v>25</v>
      </c>
      <c r="AK10" s="42" t="s">
        <v>188</v>
      </c>
      <c r="AL10" s="83">
        <v>16.7</v>
      </c>
      <c r="AM10" s="83">
        <v>100</v>
      </c>
      <c r="AN10" s="83">
        <v>25.2</v>
      </c>
      <c r="AO10" s="81" t="s">
        <v>2360</v>
      </c>
      <c r="AP10" s="83">
        <v>3.6</v>
      </c>
      <c r="AQ10" s="83">
        <v>3.6</v>
      </c>
      <c r="AR10" s="83">
        <v>28.6</v>
      </c>
      <c r="AS10" s="83">
        <v>7.1</v>
      </c>
      <c r="AT10" s="83">
        <v>7.1</v>
      </c>
      <c r="AU10" s="83">
        <v>10.7</v>
      </c>
      <c r="AV10" s="81" t="s">
        <v>2360</v>
      </c>
      <c r="AW10" s="83">
        <v>3.6</v>
      </c>
      <c r="AX10" s="81" t="s">
        <v>2360</v>
      </c>
      <c r="AY10" s="81" t="s">
        <v>2360</v>
      </c>
      <c r="AZ10" s="83">
        <v>3.6</v>
      </c>
      <c r="BA10" s="81" t="s">
        <v>2360</v>
      </c>
      <c r="BB10" s="83">
        <v>3.6</v>
      </c>
      <c r="BC10" s="83">
        <v>10.7</v>
      </c>
      <c r="BD10" s="83">
        <v>3.6</v>
      </c>
      <c r="BE10" s="83">
        <v>10.7</v>
      </c>
      <c r="BF10" s="83">
        <v>3.6</v>
      </c>
      <c r="BG10" s="73">
        <v>0.03</v>
      </c>
      <c r="BH10" s="42" t="s">
        <v>919</v>
      </c>
      <c r="BI10" s="72">
        <v>383646</v>
      </c>
      <c r="BJ10" s="72">
        <v>205306</v>
      </c>
      <c r="BK10" s="82">
        <v>1.0106</v>
      </c>
      <c r="BL10" s="72">
        <v>6</v>
      </c>
      <c r="BM10" s="73">
        <v>45</v>
      </c>
      <c r="BN10" s="72">
        <v>4</v>
      </c>
      <c r="BO10" s="42" t="s">
        <v>291</v>
      </c>
      <c r="BP10" s="84">
        <v>-0.0301</v>
      </c>
      <c r="BQ10" s="83">
        <v>0</v>
      </c>
      <c r="BR10" s="81" t="s">
        <v>2360</v>
      </c>
      <c r="BS10" s="65">
        <v>72</v>
      </c>
      <c r="BT10" s="65">
        <v>73</v>
      </c>
      <c r="BU10" s="65">
        <v>71</v>
      </c>
      <c r="BV10" s="81" t="s">
        <v>2360</v>
      </c>
      <c r="BW10" s="42" t="e">
        <f>ROUND((IF(ISNUMBER('[1]#REF'!$K$10),1,IF(AND(ISTEXT('[1]#REF'!$K$10),'[1]#REF'!$K$10&lt;&gt;"N/A"),1,0))+IF(ISNUMBER('[1]#REF'!$BG$10),1,IF(AND(ISTEXT('[1]#REF'!$BG$10),'[1]#REF'!$BG$10&lt;&gt;"N/A"),1,0))+IF(ISNUMBER('[1]#REF'!$BI$10),1,IF(AND(ISTEXT('[1]#REF'!$BI$10),'[1]#REF'!$BI$10&lt;&gt;"N/A"),1,0))+IF(ISNUMBER('[1]#REF'!$BK$10),1,IF(AND(ISTEXT('[1]#REF'!$BK$10),'[1]#REF'!$BK$10&lt;&gt;"N/A"),1,0))+IF(ISNUMBER('[1]#REF'!$AA$10),1,IF(AND(ISTEXT('[1]#REF'!$AA$10),'[1]#REF'!$AA$10&lt;&gt;"N/A"),1,0))+IF(ISNUMBER('[1]#REF'!$AE$10),1,IF(AND(ISTEXT('[1]#REF'!$AE$10),'[1]#REF'!$AE$10&lt;&gt;"N/A"),1,0))+IF(ISNUMBER('[1]#REF'!$AH$10),1,IF(AND(ISTEXT('[1]#REF'!$AH$10),'[1]#REF'!$AH$10&lt;&gt;"N/A"),1,0))+IF(ISNUMBER('[1]#REF'!$AN$10),1,IF(AND(ISTEXT('[1]#REF'!$AN$10),'[1]#REF'!$AN$10&lt;&gt;"N/A"),1,0))+IF(ISNUMBER('[1]#REF'!$BS$10),1,IF(AND(ISTEXT('[1]#REF'!$BS$10),'[1]#REF'!$BS$10&lt;&gt;"N/A"),1,0))+IF(ISNUMBER('[1]#REF'!$BT$10),1,IF(AND(ISTEXT('[1]#REF'!$BT$10),'[1]#REF'!$BT$10&lt;&gt;"N/A"),1,0))+IF(ISNUMBER('[1]#REF'!$BU$10),1,IF(AND(ISTEXT('[1]#REF'!$BU$10),'[1]#REF'!$BU$10&lt;&gt;"N/A"),1,0))+IF(ISNUMBER('[1]#REF'!$BM$10),1,IF(AND(ISTEXT('[1]#REF'!$BM$10),'[1]#REF'!$BM$10&lt;&gt;"N/A"),1,0)))/12*100,0)</f>
        <v>#REF!</v>
      </c>
      <c r="BX10" s="42" t="e">
        <f>IF('[1]#REF'!$BW$10&gt;=Lookup_Lists!$D$159,"High",IF('[1]#REF'!$BW$10&gt;=Lookup_Lists!$D$160,"Medium","Limited Data"))</f>
        <v>#REF!</v>
      </c>
      <c r="BY10" s="42" t="s">
        <v>2394</v>
      </c>
    </row>
    <row r="11" spans="1:77">
      <c r="A11" s="64" t="s">
        <v>535</v>
      </c>
      <c r="B11" s="42" t="s">
        <v>2395</v>
      </c>
      <c r="C11" s="42" t="s">
        <v>2395</v>
      </c>
      <c r="D11" s="42" t="s">
        <v>2396</v>
      </c>
      <c r="E11" s="42" t="s">
        <v>392</v>
      </c>
      <c r="F11" s="42" t="s">
        <v>2357</v>
      </c>
      <c r="G11" s="72">
        <v>26200000</v>
      </c>
      <c r="H11" s="42" t="str">
        <f>IFERROR(INDEX(Lookup_Lists!$A$96:$A$100,MATCH('[1]#REF'!$G$11,Lookup_Lists!$B$96:$B$100,1)),"N/A")</f>
        <v>N/A</v>
      </c>
      <c r="I11" s="42" t="s">
        <v>295</v>
      </c>
      <c r="J11" s="81" t="s">
        <v>2360</v>
      </c>
      <c r="K11" s="81" t="s">
        <v>2360</v>
      </c>
      <c r="L11" s="81" t="s">
        <v>2360</v>
      </c>
      <c r="M11" s="81" t="s">
        <v>2360</v>
      </c>
      <c r="N11" s="81" t="s">
        <v>2360</v>
      </c>
      <c r="O11" s="42" t="s">
        <v>2397</v>
      </c>
      <c r="P11" s="81" t="s">
        <v>2360</v>
      </c>
      <c r="Q11" s="81" t="s">
        <v>2360</v>
      </c>
      <c r="R11" s="81" t="s">
        <v>2360</v>
      </c>
      <c r="S11" s="81" t="s">
        <v>2360</v>
      </c>
      <c r="T11" s="42" t="s">
        <v>2398</v>
      </c>
      <c r="U11" s="42" t="s">
        <v>2399</v>
      </c>
      <c r="V11" s="81" t="s">
        <v>2360</v>
      </c>
      <c r="W11" s="81" t="s">
        <v>2360</v>
      </c>
      <c r="X11" s="81" t="s">
        <v>2360</v>
      </c>
      <c r="Y11" s="81" t="s">
        <v>2360</v>
      </c>
      <c r="Z11" s="81" t="s">
        <v>2360</v>
      </c>
      <c r="AA11" s="83">
        <v>51.72</v>
      </c>
      <c r="AB11" s="83">
        <v>48.28</v>
      </c>
      <c r="AC11" s="83">
        <v>29</v>
      </c>
      <c r="AD11" s="42" t="s">
        <v>179</v>
      </c>
      <c r="AE11" s="83">
        <v>66.7</v>
      </c>
      <c r="AF11" s="83">
        <v>9</v>
      </c>
      <c r="AG11" s="81" t="s">
        <v>2360</v>
      </c>
      <c r="AH11" s="81" t="s">
        <v>2360</v>
      </c>
      <c r="AI11" s="81" t="s">
        <v>2360</v>
      </c>
      <c r="AJ11" s="81" t="s">
        <v>2360</v>
      </c>
      <c r="AK11" s="81" t="s">
        <v>2360</v>
      </c>
      <c r="AL11" s="81" t="s">
        <v>2360</v>
      </c>
      <c r="AM11" s="81" t="s">
        <v>2360</v>
      </c>
      <c r="AN11" s="83">
        <v>11.8</v>
      </c>
      <c r="AO11" s="81" t="s">
        <v>2360</v>
      </c>
      <c r="AP11" s="81" t="s">
        <v>2360</v>
      </c>
      <c r="AQ11" s="83">
        <v>16.7</v>
      </c>
      <c r="AR11" s="83">
        <v>16.7</v>
      </c>
      <c r="AS11" s="81" t="s">
        <v>2360</v>
      </c>
      <c r="AT11" s="83">
        <v>8.3</v>
      </c>
      <c r="AU11" s="81" t="s">
        <v>2360</v>
      </c>
      <c r="AV11" s="81" t="s">
        <v>2360</v>
      </c>
      <c r="AW11" s="83">
        <v>8.3</v>
      </c>
      <c r="AX11" s="81" t="s">
        <v>2360</v>
      </c>
      <c r="AY11" s="83">
        <v>16.7</v>
      </c>
      <c r="AZ11" s="83">
        <v>16.7</v>
      </c>
      <c r="BA11" s="81" t="s">
        <v>2360</v>
      </c>
      <c r="BB11" s="81" t="s">
        <v>2360</v>
      </c>
      <c r="BC11" s="83">
        <v>8.3</v>
      </c>
      <c r="BD11" s="83">
        <v>8.3</v>
      </c>
      <c r="BE11" s="81" t="s">
        <v>2360</v>
      </c>
      <c r="BF11" s="81" t="s">
        <v>2360</v>
      </c>
      <c r="BG11" s="73">
        <v>0.33</v>
      </c>
      <c r="BH11" s="42" t="s">
        <v>2400</v>
      </c>
      <c r="BI11" s="72">
        <v>2762680</v>
      </c>
      <c r="BJ11" s="72">
        <v>308650</v>
      </c>
      <c r="BK11" s="82">
        <v>5.5438</v>
      </c>
      <c r="BL11" s="81" t="s">
        <v>2360</v>
      </c>
      <c r="BM11" s="73">
        <v>1.65</v>
      </c>
      <c r="BN11" s="72">
        <v>182</v>
      </c>
      <c r="BO11" s="42" t="s">
        <v>295</v>
      </c>
      <c r="BP11" s="84">
        <v>0.2857</v>
      </c>
      <c r="BQ11" s="83">
        <v>10</v>
      </c>
      <c r="BR11" s="81" t="s">
        <v>2360</v>
      </c>
      <c r="BS11" s="65">
        <v>76</v>
      </c>
      <c r="BT11" s="65">
        <v>61</v>
      </c>
      <c r="BU11" s="65">
        <v>92</v>
      </c>
      <c r="BV11" s="81" t="s">
        <v>2360</v>
      </c>
      <c r="BW11" s="42" t="e">
        <f>ROUND((IF(ISNUMBER('[1]#REF'!$K$11),1,IF(AND(ISTEXT('[1]#REF'!$K$11),'[1]#REF'!$K$11&lt;&gt;"N/A"),1,0))+IF(ISNUMBER('[1]#REF'!$BG$11),1,IF(AND(ISTEXT('[1]#REF'!$BG$11),'[1]#REF'!$BG$11&lt;&gt;"N/A"),1,0))+IF(ISNUMBER('[1]#REF'!$BI$11),1,IF(AND(ISTEXT('[1]#REF'!$BI$11),'[1]#REF'!$BI$11&lt;&gt;"N/A"),1,0))+IF(ISNUMBER('[1]#REF'!$BK$11),1,IF(AND(ISTEXT('[1]#REF'!$BK$11),'[1]#REF'!$BK$11&lt;&gt;"N/A"),1,0))+IF(ISNUMBER('[1]#REF'!$AA$11),1,IF(AND(ISTEXT('[1]#REF'!$AA$11),'[1]#REF'!$AA$11&lt;&gt;"N/A"),1,0))+IF(ISNUMBER('[1]#REF'!$AE$11),1,IF(AND(ISTEXT('[1]#REF'!$AE$11),'[1]#REF'!$AE$11&lt;&gt;"N/A"),1,0))+IF(ISNUMBER('[1]#REF'!$AH$11),1,IF(AND(ISTEXT('[1]#REF'!$AH$11),'[1]#REF'!$AH$11&lt;&gt;"N/A"),1,0))+IF(ISNUMBER('[1]#REF'!$AN$11),1,IF(AND(ISTEXT('[1]#REF'!$AN$11),'[1]#REF'!$AN$11&lt;&gt;"N/A"),1,0))+IF(ISNUMBER('[1]#REF'!$BS$11),1,IF(AND(ISTEXT('[1]#REF'!$BS$11),'[1]#REF'!$BS$11&lt;&gt;"N/A"),1,0))+IF(ISNUMBER('[1]#REF'!$BT$11),1,IF(AND(ISTEXT('[1]#REF'!$BT$11),'[1]#REF'!$BT$11&lt;&gt;"N/A"),1,0))+IF(ISNUMBER('[1]#REF'!$BU$11),1,IF(AND(ISTEXT('[1]#REF'!$BU$11),'[1]#REF'!$BU$11&lt;&gt;"N/A"),1,0))+IF(ISNUMBER('[1]#REF'!$BM$11),1,IF(AND(ISTEXT('[1]#REF'!$BM$11),'[1]#REF'!$BM$11&lt;&gt;"N/A"),1,0)))/12*100,0)</f>
        <v>#REF!</v>
      </c>
      <c r="BX11" s="42" t="e">
        <f>IF('[1]#REF'!$BW$11&gt;=Lookup_Lists!$D$159,"High",IF('[1]#REF'!$BW$11&gt;=Lookup_Lists!$D$160,"Medium","Limited Data"))</f>
        <v>#REF!</v>
      </c>
      <c r="BY11" s="42" t="s">
        <v>2377</v>
      </c>
    </row>
    <row r="12" spans="1:77">
      <c r="A12" s="64" t="s">
        <v>543</v>
      </c>
      <c r="B12" s="42" t="s">
        <v>2401</v>
      </c>
      <c r="C12" s="42" t="s">
        <v>2401</v>
      </c>
      <c r="D12" s="42" t="s">
        <v>2402</v>
      </c>
      <c r="E12" s="42" t="s">
        <v>391</v>
      </c>
      <c r="F12" s="42" t="s">
        <v>2357</v>
      </c>
      <c r="G12" s="72">
        <v>3997609</v>
      </c>
      <c r="H12" s="42" t="str">
        <f>IFERROR(INDEX(Lookup_Lists!$A$96:$A$100,MATCH('[1]#REF'!$G$12,Lookup_Lists!$B$96:$B$100,1)),"N/A")</f>
        <v>N/A</v>
      </c>
      <c r="I12" s="42" t="s">
        <v>295</v>
      </c>
      <c r="J12" s="42" t="s">
        <v>666</v>
      </c>
      <c r="K12" s="42" t="s">
        <v>666</v>
      </c>
      <c r="L12" s="42" t="s">
        <v>2359</v>
      </c>
      <c r="M12" s="81" t="s">
        <v>2360</v>
      </c>
      <c r="N12" s="81" t="s">
        <v>2360</v>
      </c>
      <c r="O12" s="81" t="s">
        <v>2360</v>
      </c>
      <c r="P12" s="81" t="s">
        <v>2360</v>
      </c>
      <c r="Q12" s="81" t="s">
        <v>2360</v>
      </c>
      <c r="R12" s="81" t="s">
        <v>2360</v>
      </c>
      <c r="S12" s="42" t="s">
        <v>2403</v>
      </c>
      <c r="T12" s="42" t="s">
        <v>2404</v>
      </c>
      <c r="U12" s="81" t="s">
        <v>2360</v>
      </c>
      <c r="V12" s="81" t="s">
        <v>2360</v>
      </c>
      <c r="W12" s="81" t="s">
        <v>2360</v>
      </c>
      <c r="X12" s="81" t="s">
        <v>2360</v>
      </c>
      <c r="Y12" s="81" t="s">
        <v>2360</v>
      </c>
      <c r="Z12" s="81" t="s">
        <v>2360</v>
      </c>
      <c r="AA12" s="83">
        <v>39.47</v>
      </c>
      <c r="AB12" s="83">
        <v>60.53</v>
      </c>
      <c r="AC12" s="83">
        <v>38</v>
      </c>
      <c r="AD12" s="42" t="s">
        <v>179</v>
      </c>
      <c r="AE12" s="83">
        <v>85.7</v>
      </c>
      <c r="AF12" s="83">
        <v>14</v>
      </c>
      <c r="AG12" s="42" t="s">
        <v>632</v>
      </c>
      <c r="AH12" s="83">
        <v>33.3</v>
      </c>
      <c r="AI12" s="42" t="s">
        <v>2405</v>
      </c>
      <c r="AJ12" s="83">
        <v>16.7</v>
      </c>
      <c r="AK12" s="42" t="s">
        <v>2406</v>
      </c>
      <c r="AL12" s="83">
        <v>16.7</v>
      </c>
      <c r="AM12" s="83">
        <v>100</v>
      </c>
      <c r="AN12" s="83">
        <v>15.2</v>
      </c>
      <c r="AO12" s="81" t="s">
        <v>2360</v>
      </c>
      <c r="AP12" s="83">
        <v>6.3</v>
      </c>
      <c r="AQ12" s="83">
        <v>6.3</v>
      </c>
      <c r="AR12" s="83">
        <v>6.3</v>
      </c>
      <c r="AS12" s="83">
        <v>12.5</v>
      </c>
      <c r="AT12" s="83">
        <v>6.3</v>
      </c>
      <c r="AU12" s="81" t="s">
        <v>2360</v>
      </c>
      <c r="AV12" s="81" t="s">
        <v>2360</v>
      </c>
      <c r="AW12" s="83">
        <v>6.3</v>
      </c>
      <c r="AX12" s="81" t="s">
        <v>2360</v>
      </c>
      <c r="AY12" s="83">
        <v>12.5</v>
      </c>
      <c r="AZ12" s="83">
        <v>12.5</v>
      </c>
      <c r="BA12" s="81" t="s">
        <v>2360</v>
      </c>
      <c r="BB12" s="81" t="s">
        <v>2360</v>
      </c>
      <c r="BC12" s="83">
        <v>18.8</v>
      </c>
      <c r="BD12" s="83">
        <v>12.5</v>
      </c>
      <c r="BE12" s="81" t="s">
        <v>2360</v>
      </c>
      <c r="BF12" s="81" t="s">
        <v>2360</v>
      </c>
      <c r="BG12" s="73">
        <v>1.46</v>
      </c>
      <c r="BH12" s="42" t="s">
        <v>919</v>
      </c>
      <c r="BI12" s="72">
        <v>1608002.14</v>
      </c>
      <c r="BJ12" s="72">
        <v>1110744</v>
      </c>
      <c r="BK12" s="82">
        <v>50.0887</v>
      </c>
      <c r="BL12" s="72">
        <v>8</v>
      </c>
      <c r="BM12" s="73">
        <v>34.29</v>
      </c>
      <c r="BN12" s="72">
        <v>7</v>
      </c>
      <c r="BO12" s="42" t="s">
        <v>291</v>
      </c>
      <c r="BP12" s="84">
        <v>0.2351</v>
      </c>
      <c r="BQ12" s="83">
        <v>0</v>
      </c>
      <c r="BR12" s="81" t="s">
        <v>2360</v>
      </c>
      <c r="BS12" s="65">
        <v>63</v>
      </c>
      <c r="BT12" s="65">
        <v>77</v>
      </c>
      <c r="BU12" s="65">
        <v>49</v>
      </c>
      <c r="BV12" s="81" t="s">
        <v>2360</v>
      </c>
      <c r="BW12" s="42" t="e">
        <f>ROUND((IF(ISNUMBER('[1]#REF'!$K$12),1,IF(AND(ISTEXT('[1]#REF'!$K$12),'[1]#REF'!$K$12&lt;&gt;"N/A"),1,0))+IF(ISNUMBER('[1]#REF'!$BG$12),1,IF(AND(ISTEXT('[1]#REF'!$BG$12),'[1]#REF'!$BG$12&lt;&gt;"N/A"),1,0))+IF(ISNUMBER('[1]#REF'!$BI$12),1,IF(AND(ISTEXT('[1]#REF'!$BI$12),'[1]#REF'!$BI$12&lt;&gt;"N/A"),1,0))+IF(ISNUMBER('[1]#REF'!$BK$12),1,IF(AND(ISTEXT('[1]#REF'!$BK$12),'[1]#REF'!$BK$12&lt;&gt;"N/A"),1,0))+IF(ISNUMBER('[1]#REF'!$AA$12),1,IF(AND(ISTEXT('[1]#REF'!$AA$12),'[1]#REF'!$AA$12&lt;&gt;"N/A"),1,0))+IF(ISNUMBER('[1]#REF'!$AE$12),1,IF(AND(ISTEXT('[1]#REF'!$AE$12),'[1]#REF'!$AE$12&lt;&gt;"N/A"),1,0))+IF(ISNUMBER('[1]#REF'!$AH$12),1,IF(AND(ISTEXT('[1]#REF'!$AH$12),'[1]#REF'!$AH$12&lt;&gt;"N/A"),1,0))+IF(ISNUMBER('[1]#REF'!$AN$12),1,IF(AND(ISTEXT('[1]#REF'!$AN$12),'[1]#REF'!$AN$12&lt;&gt;"N/A"),1,0))+IF(ISNUMBER('[1]#REF'!$BS$12),1,IF(AND(ISTEXT('[1]#REF'!$BS$12),'[1]#REF'!$BS$12&lt;&gt;"N/A"),1,0))+IF(ISNUMBER('[1]#REF'!$BT$12),1,IF(AND(ISTEXT('[1]#REF'!$BT$12),'[1]#REF'!$BT$12&lt;&gt;"N/A"),1,0))+IF(ISNUMBER('[1]#REF'!$BU$12),1,IF(AND(ISTEXT('[1]#REF'!$BU$12),'[1]#REF'!$BU$12&lt;&gt;"N/A"),1,0))+IF(ISNUMBER('[1]#REF'!$BM$12),1,IF(AND(ISTEXT('[1]#REF'!$BM$12),'[1]#REF'!$BM$12&lt;&gt;"N/A"),1,0)))/12*100,0)</f>
        <v>#REF!</v>
      </c>
      <c r="BX12" s="42" t="e">
        <f>IF('[1]#REF'!$BW$12&gt;=Lookup_Lists!$D$159,"High",IF('[1]#REF'!$BW$12&gt;=Lookup_Lists!$D$160,"Medium","Limited Data"))</f>
        <v>#REF!</v>
      </c>
      <c r="BY12" s="42" t="s">
        <v>2407</v>
      </c>
    </row>
    <row r="13" spans="1:77">
      <c r="A13" s="64" t="s">
        <v>552</v>
      </c>
      <c r="B13" s="42" t="s">
        <v>2408</v>
      </c>
      <c r="C13" s="42" t="s">
        <v>2408</v>
      </c>
      <c r="D13" s="42" t="s">
        <v>2409</v>
      </c>
      <c r="E13" s="42" t="s">
        <v>391</v>
      </c>
      <c r="F13" s="42" t="s">
        <v>2357</v>
      </c>
      <c r="G13" s="72">
        <v>20046665</v>
      </c>
      <c r="H13" s="42" t="str">
        <f>IFERROR(INDEX(Lookup_Lists!$A$96:$A$100,MATCH('[1]#REF'!$G$13,Lookup_Lists!$B$96:$B$100,1)),"N/A")</f>
        <v>N/A</v>
      </c>
      <c r="I13" s="42" t="s">
        <v>295</v>
      </c>
      <c r="J13" s="81" t="s">
        <v>2360</v>
      </c>
      <c r="K13" s="42" t="s">
        <v>245</v>
      </c>
      <c r="L13" s="42" t="s">
        <v>2380</v>
      </c>
      <c r="M13" s="42" t="s">
        <v>245</v>
      </c>
      <c r="N13" s="42" t="s">
        <v>2410</v>
      </c>
      <c r="O13" s="42" t="s">
        <v>2411</v>
      </c>
      <c r="P13" s="81" t="s">
        <v>2360</v>
      </c>
      <c r="Q13" s="81" t="s">
        <v>2360</v>
      </c>
      <c r="R13" s="81" t="s">
        <v>2360</v>
      </c>
      <c r="S13" s="42" t="s">
        <v>2412</v>
      </c>
      <c r="T13" s="42" t="s">
        <v>2413</v>
      </c>
      <c r="U13" s="42" t="s">
        <v>2414</v>
      </c>
      <c r="V13" s="81" t="s">
        <v>2360</v>
      </c>
      <c r="W13" s="81" t="s">
        <v>2360</v>
      </c>
      <c r="X13" s="81" t="s">
        <v>2360</v>
      </c>
      <c r="Y13" s="81" t="s">
        <v>2360</v>
      </c>
      <c r="Z13" s="81" t="s">
        <v>2360</v>
      </c>
      <c r="AA13" s="83">
        <v>57.5</v>
      </c>
      <c r="AB13" s="83">
        <v>42.5</v>
      </c>
      <c r="AC13" s="83">
        <v>40</v>
      </c>
      <c r="AD13" s="42" t="s">
        <v>179</v>
      </c>
      <c r="AE13" s="83">
        <v>86.7</v>
      </c>
      <c r="AF13" s="83">
        <v>15</v>
      </c>
      <c r="AG13" s="42" t="s">
        <v>507</v>
      </c>
      <c r="AH13" s="83">
        <v>18.2</v>
      </c>
      <c r="AI13" s="42" t="s">
        <v>632</v>
      </c>
      <c r="AJ13" s="83">
        <v>9.1</v>
      </c>
      <c r="AK13" s="42" t="s">
        <v>188</v>
      </c>
      <c r="AL13" s="83">
        <v>9.1</v>
      </c>
      <c r="AM13" s="83">
        <v>100</v>
      </c>
      <c r="AN13" s="83">
        <v>17.1</v>
      </c>
      <c r="AO13" s="83">
        <v>5.6</v>
      </c>
      <c r="AP13" s="81" t="s">
        <v>2360</v>
      </c>
      <c r="AQ13" s="81" t="s">
        <v>2360</v>
      </c>
      <c r="AR13" s="83">
        <v>27.8</v>
      </c>
      <c r="AS13" s="83">
        <v>5.6</v>
      </c>
      <c r="AT13" s="83">
        <v>5.6</v>
      </c>
      <c r="AU13" s="81" t="s">
        <v>2360</v>
      </c>
      <c r="AV13" s="83">
        <v>5.6</v>
      </c>
      <c r="AW13" s="83">
        <v>11.1</v>
      </c>
      <c r="AX13" s="81" t="s">
        <v>2360</v>
      </c>
      <c r="AY13" s="81" t="s">
        <v>2360</v>
      </c>
      <c r="AZ13" s="83">
        <v>22.2</v>
      </c>
      <c r="BA13" s="81" t="s">
        <v>2360</v>
      </c>
      <c r="BB13" s="81" t="s">
        <v>2360</v>
      </c>
      <c r="BC13" s="83">
        <v>16.7</v>
      </c>
      <c r="BD13" s="81" t="s">
        <v>2360</v>
      </c>
      <c r="BE13" s="81" t="s">
        <v>2360</v>
      </c>
      <c r="BF13" s="81" t="s">
        <v>2360</v>
      </c>
      <c r="BG13" s="73">
        <v>0.01</v>
      </c>
      <c r="BH13" s="42" t="s">
        <v>919</v>
      </c>
      <c r="BI13" s="72">
        <v>226692.67</v>
      </c>
      <c r="BJ13" s="72">
        <v>80192</v>
      </c>
      <c r="BK13" s="82">
        <v>1.1308</v>
      </c>
      <c r="BL13" s="72">
        <v>7</v>
      </c>
      <c r="BM13" s="73">
        <v>105</v>
      </c>
      <c r="BN13" s="72">
        <v>2</v>
      </c>
      <c r="BO13" s="42" t="s">
        <v>291</v>
      </c>
      <c r="BP13" s="84">
        <v>-0.0202</v>
      </c>
      <c r="BQ13" s="83">
        <v>0</v>
      </c>
      <c r="BR13" s="81" t="s">
        <v>2360</v>
      </c>
      <c r="BS13" s="65">
        <v>62</v>
      </c>
      <c r="BT13" s="65">
        <v>55</v>
      </c>
      <c r="BU13" s="65">
        <v>70</v>
      </c>
      <c r="BV13" s="81" t="s">
        <v>2360</v>
      </c>
      <c r="BW13" s="42" t="e">
        <f>ROUND((IF(ISNUMBER('[1]#REF'!$K$13),1,IF(AND(ISTEXT('[1]#REF'!$K$13),'[1]#REF'!$K$13&lt;&gt;"N/A"),1,0))+IF(ISNUMBER('[1]#REF'!$BG$13),1,IF(AND(ISTEXT('[1]#REF'!$BG$13),'[1]#REF'!$BG$13&lt;&gt;"N/A"),1,0))+IF(ISNUMBER('[1]#REF'!$BI$13),1,IF(AND(ISTEXT('[1]#REF'!$BI$13),'[1]#REF'!$BI$13&lt;&gt;"N/A"),1,0))+IF(ISNUMBER('[1]#REF'!$BK$13),1,IF(AND(ISTEXT('[1]#REF'!$BK$13),'[1]#REF'!$BK$13&lt;&gt;"N/A"),1,0))+IF(ISNUMBER('[1]#REF'!$AA$13),1,IF(AND(ISTEXT('[1]#REF'!$AA$13),'[1]#REF'!$AA$13&lt;&gt;"N/A"),1,0))+IF(ISNUMBER('[1]#REF'!$AE$13),1,IF(AND(ISTEXT('[1]#REF'!$AE$13),'[1]#REF'!$AE$13&lt;&gt;"N/A"),1,0))+IF(ISNUMBER('[1]#REF'!$AH$13),1,IF(AND(ISTEXT('[1]#REF'!$AH$13),'[1]#REF'!$AH$13&lt;&gt;"N/A"),1,0))+IF(ISNUMBER('[1]#REF'!$AN$13),1,IF(AND(ISTEXT('[1]#REF'!$AN$13),'[1]#REF'!$AN$13&lt;&gt;"N/A"),1,0))+IF(ISNUMBER('[1]#REF'!$BS$13),1,IF(AND(ISTEXT('[1]#REF'!$BS$13),'[1]#REF'!$BS$13&lt;&gt;"N/A"),1,0))+IF(ISNUMBER('[1]#REF'!$BT$13),1,IF(AND(ISTEXT('[1]#REF'!$BT$13),'[1]#REF'!$BT$13&lt;&gt;"N/A"),1,0))+IF(ISNUMBER('[1]#REF'!$BU$13),1,IF(AND(ISTEXT('[1]#REF'!$BU$13),'[1]#REF'!$BU$13&lt;&gt;"N/A"),1,0))+IF(ISNUMBER('[1]#REF'!$BM$13),1,IF(AND(ISTEXT('[1]#REF'!$BM$13),'[1]#REF'!$BM$13&lt;&gt;"N/A"),1,0)))/12*100,0)</f>
        <v>#REF!</v>
      </c>
      <c r="BX13" s="42" t="e">
        <f>IF('[1]#REF'!$BW$13&gt;=Lookup_Lists!$D$159,"High",IF('[1]#REF'!$BW$13&gt;=Lookup_Lists!$D$160,"Medium","Limited Data"))</f>
        <v>#REF!</v>
      </c>
      <c r="BY13" s="42" t="s">
        <v>2415</v>
      </c>
    </row>
    <row r="14" spans="1:77">
      <c r="A14" s="64" t="s">
        <v>559</v>
      </c>
      <c r="B14" s="42" t="s">
        <v>2416</v>
      </c>
      <c r="C14" s="42" t="s">
        <v>2416</v>
      </c>
      <c r="D14" s="42" t="s">
        <v>2417</v>
      </c>
      <c r="E14" s="42" t="s">
        <v>391</v>
      </c>
      <c r="F14" s="42" t="s">
        <v>2357</v>
      </c>
      <c r="G14" s="72">
        <v>18018065</v>
      </c>
      <c r="H14" s="42" t="str">
        <f>IFERROR(INDEX(Lookup_Lists!$A$96:$A$100,MATCH('[1]#REF'!$G$14,Lookup_Lists!$B$96:$B$100,1)),"N/A")</f>
        <v>N/A</v>
      </c>
      <c r="I14" s="42" t="s">
        <v>291</v>
      </c>
      <c r="J14" s="42" t="s">
        <v>597</v>
      </c>
      <c r="K14" s="42" t="s">
        <v>597</v>
      </c>
      <c r="L14" s="42" t="s">
        <v>2359</v>
      </c>
      <c r="M14" s="81" t="s">
        <v>2360</v>
      </c>
      <c r="N14" s="81" t="s">
        <v>2360</v>
      </c>
      <c r="O14" s="81" t="s">
        <v>2360</v>
      </c>
      <c r="P14" s="81" t="s">
        <v>2360</v>
      </c>
      <c r="Q14" s="81" t="s">
        <v>2360</v>
      </c>
      <c r="R14" s="81" t="s">
        <v>2360</v>
      </c>
      <c r="S14" s="81" t="s">
        <v>2360</v>
      </c>
      <c r="T14" s="81" t="s">
        <v>2360</v>
      </c>
      <c r="U14" s="81" t="s">
        <v>2360</v>
      </c>
      <c r="V14" s="81" t="s">
        <v>2360</v>
      </c>
      <c r="W14" s="81" t="s">
        <v>2360</v>
      </c>
      <c r="X14" s="81" t="s">
        <v>2360</v>
      </c>
      <c r="Y14" s="81" t="s">
        <v>2360</v>
      </c>
      <c r="Z14" s="81" t="s">
        <v>2360</v>
      </c>
      <c r="AA14" s="81" t="s">
        <v>2360</v>
      </c>
      <c r="AB14" s="81" t="s">
        <v>2360</v>
      </c>
      <c r="AC14" s="81" t="s">
        <v>2360</v>
      </c>
      <c r="AD14" s="81" t="s">
        <v>2360</v>
      </c>
      <c r="AE14" s="81" t="s">
        <v>2360</v>
      </c>
      <c r="AF14" s="81" t="s">
        <v>2360</v>
      </c>
      <c r="AG14" s="81" t="s">
        <v>2360</v>
      </c>
      <c r="AH14" s="81" t="s">
        <v>2360</v>
      </c>
      <c r="AI14" s="81" t="s">
        <v>2360</v>
      </c>
      <c r="AJ14" s="81" t="s">
        <v>2360</v>
      </c>
      <c r="AK14" s="81" t="s">
        <v>2360</v>
      </c>
      <c r="AL14" s="81" t="s">
        <v>2360</v>
      </c>
      <c r="AM14" s="81" t="s">
        <v>2360</v>
      </c>
      <c r="AN14" s="81" t="s">
        <v>2360</v>
      </c>
      <c r="AO14" s="81" t="s">
        <v>2360</v>
      </c>
      <c r="AP14" s="81" t="s">
        <v>2360</v>
      </c>
      <c r="AQ14" s="81" t="s">
        <v>2360</v>
      </c>
      <c r="AR14" s="81" t="s">
        <v>2360</v>
      </c>
      <c r="AS14" s="81" t="s">
        <v>2360</v>
      </c>
      <c r="AT14" s="81" t="s">
        <v>2360</v>
      </c>
      <c r="AU14" s="81" t="s">
        <v>2360</v>
      </c>
      <c r="AV14" s="81" t="s">
        <v>2360</v>
      </c>
      <c r="AW14" s="81" t="s">
        <v>2360</v>
      </c>
      <c r="AX14" s="81" t="s">
        <v>2360</v>
      </c>
      <c r="AY14" s="81" t="s">
        <v>2360</v>
      </c>
      <c r="AZ14" s="81" t="s">
        <v>2360</v>
      </c>
      <c r="BA14" s="81" t="s">
        <v>2360</v>
      </c>
      <c r="BB14" s="81" t="s">
        <v>2360</v>
      </c>
      <c r="BC14" s="81" t="s">
        <v>2360</v>
      </c>
      <c r="BD14" s="81" t="s">
        <v>2360</v>
      </c>
      <c r="BE14" s="81" t="s">
        <v>2360</v>
      </c>
      <c r="BF14" s="81" t="s">
        <v>2360</v>
      </c>
      <c r="BG14" s="81" t="s">
        <v>2360</v>
      </c>
      <c r="BH14" s="81" t="s">
        <v>2360</v>
      </c>
      <c r="BI14" s="81" t="s">
        <v>2360</v>
      </c>
      <c r="BJ14" s="81" t="s">
        <v>2360</v>
      </c>
      <c r="BK14" s="81" t="s">
        <v>2360</v>
      </c>
      <c r="BL14" s="81" t="s">
        <v>2360</v>
      </c>
      <c r="BM14" s="81" t="s">
        <v>2360</v>
      </c>
      <c r="BN14" s="81" t="s">
        <v>2360</v>
      </c>
      <c r="BO14" s="81" t="s">
        <v>2360</v>
      </c>
      <c r="BP14" s="81" t="s">
        <v>2360</v>
      </c>
      <c r="BQ14" s="81" t="s">
        <v>2360</v>
      </c>
      <c r="BR14" s="81" t="s">
        <v>2360</v>
      </c>
      <c r="BS14" s="81" t="s">
        <v>2360</v>
      </c>
      <c r="BT14" s="81" t="s">
        <v>2360</v>
      </c>
      <c r="BU14" s="81" t="s">
        <v>2360</v>
      </c>
      <c r="BV14" s="81" t="s">
        <v>2360</v>
      </c>
      <c r="BW14" s="42" t="e">
        <f>ROUND((IF(ISNUMBER('[1]#REF'!$K$14),1,IF(AND(ISTEXT('[1]#REF'!$K$14),'[1]#REF'!$K$14&lt;&gt;"N/A"),1,0))+IF(ISNUMBER('[1]#REF'!$BG$14),1,IF(AND(ISTEXT('[1]#REF'!$BG$14),'[1]#REF'!$BG$14&lt;&gt;"N/A"),1,0))+IF(ISNUMBER('[1]#REF'!$BI$14),1,IF(AND(ISTEXT('[1]#REF'!$BI$14),'[1]#REF'!$BI$14&lt;&gt;"N/A"),1,0))+IF(ISNUMBER('[1]#REF'!$BK$14),1,IF(AND(ISTEXT('[1]#REF'!$BK$14),'[1]#REF'!$BK$14&lt;&gt;"N/A"),1,0))+IF(ISNUMBER('[1]#REF'!$AA$14),1,IF(AND(ISTEXT('[1]#REF'!$AA$14),'[1]#REF'!$AA$14&lt;&gt;"N/A"),1,0))+IF(ISNUMBER('[1]#REF'!$AE$14),1,IF(AND(ISTEXT('[1]#REF'!$AE$14),'[1]#REF'!$AE$14&lt;&gt;"N/A"),1,0))+IF(ISNUMBER('[1]#REF'!$AH$14),1,IF(AND(ISTEXT('[1]#REF'!$AH$14),'[1]#REF'!$AH$14&lt;&gt;"N/A"),1,0))+IF(ISNUMBER('[1]#REF'!$AN$14),1,IF(AND(ISTEXT('[1]#REF'!$AN$14),'[1]#REF'!$AN$14&lt;&gt;"N/A"),1,0))+IF(ISNUMBER('[1]#REF'!$BS$14),1,IF(AND(ISTEXT('[1]#REF'!$BS$14),'[1]#REF'!$BS$14&lt;&gt;"N/A"),1,0))+IF(ISNUMBER('[1]#REF'!$BT$14),1,IF(AND(ISTEXT('[1]#REF'!$BT$14),'[1]#REF'!$BT$14&lt;&gt;"N/A"),1,0))+IF(ISNUMBER('[1]#REF'!$BU$14),1,IF(AND(ISTEXT('[1]#REF'!$BU$14),'[1]#REF'!$BU$14&lt;&gt;"N/A"),1,0))+IF(ISNUMBER('[1]#REF'!$BM$14),1,IF(AND(ISTEXT('[1]#REF'!$BM$14),'[1]#REF'!$BM$14&lt;&gt;"N/A"),1,0)))/12*100,0)</f>
        <v>#REF!</v>
      </c>
      <c r="BX14" s="42" t="e">
        <f>IF('[1]#REF'!$BW$14&gt;=Lookup_Lists!$D$159,"High",IF('[1]#REF'!$BW$14&gt;=Lookup_Lists!$D$160,"Medium","Limited Data"))</f>
        <v>#REF!</v>
      </c>
      <c r="BY14" s="42" t="s">
        <v>2418</v>
      </c>
    </row>
    <row r="15" spans="1:77">
      <c r="A15" s="64" t="s">
        <v>569</v>
      </c>
      <c r="B15" s="42" t="s">
        <v>2419</v>
      </c>
      <c r="C15" s="42" t="s">
        <v>2419</v>
      </c>
      <c r="D15" s="42" t="s">
        <v>2420</v>
      </c>
      <c r="E15" s="42" t="s">
        <v>391</v>
      </c>
      <c r="F15" s="42" t="s">
        <v>2357</v>
      </c>
      <c r="G15" s="72">
        <v>17452714</v>
      </c>
      <c r="H15" s="42" t="str">
        <f>IFERROR(INDEX(Lookup_Lists!$A$96:$A$100,MATCH('[1]#REF'!$G$15,Lookup_Lists!$B$96:$B$100,1)),"N/A")</f>
        <v>N/A</v>
      </c>
      <c r="I15" s="42" t="s">
        <v>295</v>
      </c>
      <c r="J15" s="42" t="s">
        <v>613</v>
      </c>
      <c r="K15" s="42" t="s">
        <v>613</v>
      </c>
      <c r="L15" s="42" t="s">
        <v>2359</v>
      </c>
      <c r="M15" s="81" t="s">
        <v>2360</v>
      </c>
      <c r="N15" s="42" t="s">
        <v>2421</v>
      </c>
      <c r="O15" s="42" t="s">
        <v>2422</v>
      </c>
      <c r="P15" s="81" t="s">
        <v>2360</v>
      </c>
      <c r="Q15" s="81" t="s">
        <v>2360</v>
      </c>
      <c r="R15" s="81" t="s">
        <v>2360</v>
      </c>
      <c r="S15" s="81" t="s">
        <v>2360</v>
      </c>
      <c r="T15" s="42" t="s">
        <v>2423</v>
      </c>
      <c r="U15" s="81" t="s">
        <v>2360</v>
      </c>
      <c r="V15" s="81" t="s">
        <v>2360</v>
      </c>
      <c r="W15" s="81" t="s">
        <v>2360</v>
      </c>
      <c r="X15" s="81" t="s">
        <v>2360</v>
      </c>
      <c r="Y15" s="81" t="s">
        <v>2360</v>
      </c>
      <c r="Z15" s="81" t="s">
        <v>2360</v>
      </c>
      <c r="AA15" s="83">
        <v>28.21</v>
      </c>
      <c r="AB15" s="83">
        <v>71.79</v>
      </c>
      <c r="AC15" s="83">
        <v>39</v>
      </c>
      <c r="AD15" s="42" t="s">
        <v>179</v>
      </c>
      <c r="AE15" s="83">
        <v>56.3</v>
      </c>
      <c r="AF15" s="83">
        <v>16</v>
      </c>
      <c r="AG15" s="42" t="s">
        <v>188</v>
      </c>
      <c r="AH15" s="83">
        <v>25</v>
      </c>
      <c r="AI15" s="42" t="s">
        <v>507</v>
      </c>
      <c r="AJ15" s="83">
        <v>12.5</v>
      </c>
      <c r="AK15" s="42" t="s">
        <v>2424</v>
      </c>
      <c r="AL15" s="83">
        <v>12.5</v>
      </c>
      <c r="AM15" s="83">
        <v>100</v>
      </c>
      <c r="AN15" s="83">
        <v>22.2</v>
      </c>
      <c r="AO15" s="81" t="s">
        <v>2360</v>
      </c>
      <c r="AP15" s="81" t="s">
        <v>2360</v>
      </c>
      <c r="AQ15" s="81" t="s">
        <v>2360</v>
      </c>
      <c r="AR15" s="83">
        <v>16.7</v>
      </c>
      <c r="AS15" s="81" t="s">
        <v>2360</v>
      </c>
      <c r="AT15" s="83">
        <v>4.2</v>
      </c>
      <c r="AU15" s="81" t="s">
        <v>2360</v>
      </c>
      <c r="AV15" s="83">
        <v>4.2</v>
      </c>
      <c r="AW15" s="83">
        <v>12.5</v>
      </c>
      <c r="AX15" s="83">
        <v>4.2</v>
      </c>
      <c r="AY15" s="83">
        <v>8.3</v>
      </c>
      <c r="AZ15" s="83">
        <v>4.2</v>
      </c>
      <c r="BA15" s="81" t="s">
        <v>2360</v>
      </c>
      <c r="BB15" s="83">
        <v>12.5</v>
      </c>
      <c r="BC15" s="83">
        <v>20.8</v>
      </c>
      <c r="BD15" s="83">
        <v>4.2</v>
      </c>
      <c r="BE15" s="83">
        <v>4.2</v>
      </c>
      <c r="BF15" s="83">
        <v>4.2</v>
      </c>
      <c r="BG15" s="73">
        <v>0.28</v>
      </c>
      <c r="BH15" s="42" t="s">
        <v>919</v>
      </c>
      <c r="BI15" s="72">
        <v>577655.67</v>
      </c>
      <c r="BJ15" s="72">
        <v>557850</v>
      </c>
      <c r="BK15" s="82">
        <v>0.996</v>
      </c>
      <c r="BL15" s="72">
        <v>9</v>
      </c>
      <c r="BM15" s="73">
        <v>5.74</v>
      </c>
      <c r="BN15" s="72">
        <v>47</v>
      </c>
      <c r="BO15" s="42" t="s">
        <v>295</v>
      </c>
      <c r="BP15" s="84">
        <v>-0.022</v>
      </c>
      <c r="BQ15" s="83">
        <v>0</v>
      </c>
      <c r="BR15" s="81" t="s">
        <v>2360</v>
      </c>
      <c r="BS15" s="65">
        <v>54</v>
      </c>
      <c r="BT15" s="65">
        <v>51</v>
      </c>
      <c r="BU15" s="65">
        <v>56</v>
      </c>
      <c r="BV15" s="81" t="s">
        <v>2360</v>
      </c>
      <c r="BW15" s="42" t="e">
        <f>ROUND((IF(ISNUMBER('[1]#REF'!$K$15),1,IF(AND(ISTEXT('[1]#REF'!$K$15),'[1]#REF'!$K$15&lt;&gt;"N/A"),1,0))+IF(ISNUMBER('[1]#REF'!$BG$15),1,IF(AND(ISTEXT('[1]#REF'!$BG$15),'[1]#REF'!$BG$15&lt;&gt;"N/A"),1,0))+IF(ISNUMBER('[1]#REF'!$BI$15),1,IF(AND(ISTEXT('[1]#REF'!$BI$15),'[1]#REF'!$BI$15&lt;&gt;"N/A"),1,0))+IF(ISNUMBER('[1]#REF'!$BK$15),1,IF(AND(ISTEXT('[1]#REF'!$BK$15),'[1]#REF'!$BK$15&lt;&gt;"N/A"),1,0))+IF(ISNUMBER('[1]#REF'!$AA$15),1,IF(AND(ISTEXT('[1]#REF'!$AA$15),'[1]#REF'!$AA$15&lt;&gt;"N/A"),1,0))+IF(ISNUMBER('[1]#REF'!$AE$15),1,IF(AND(ISTEXT('[1]#REF'!$AE$15),'[1]#REF'!$AE$15&lt;&gt;"N/A"),1,0))+IF(ISNUMBER('[1]#REF'!$AH$15),1,IF(AND(ISTEXT('[1]#REF'!$AH$15),'[1]#REF'!$AH$15&lt;&gt;"N/A"),1,0))+IF(ISNUMBER('[1]#REF'!$AN$15),1,IF(AND(ISTEXT('[1]#REF'!$AN$15),'[1]#REF'!$AN$15&lt;&gt;"N/A"),1,0))+IF(ISNUMBER('[1]#REF'!$BS$15),1,IF(AND(ISTEXT('[1]#REF'!$BS$15),'[1]#REF'!$BS$15&lt;&gt;"N/A"),1,0))+IF(ISNUMBER('[1]#REF'!$BT$15),1,IF(AND(ISTEXT('[1]#REF'!$BT$15),'[1]#REF'!$BT$15&lt;&gt;"N/A"),1,0))+IF(ISNUMBER('[1]#REF'!$BU$15),1,IF(AND(ISTEXT('[1]#REF'!$BU$15),'[1]#REF'!$BU$15&lt;&gt;"N/A"),1,0))+IF(ISNUMBER('[1]#REF'!$BM$15),1,IF(AND(ISTEXT('[1]#REF'!$BM$15),'[1]#REF'!$BM$15&lt;&gt;"N/A"),1,0)))/12*100,0)</f>
        <v>#REF!</v>
      </c>
      <c r="BX15" s="42" t="e">
        <f>IF('[1]#REF'!$BW$15&gt;=Lookup_Lists!$D$159,"High",IF('[1]#REF'!$BW$15&gt;=Lookup_Lists!$D$160,"Medium","Limited Data"))</f>
        <v>#REF!</v>
      </c>
      <c r="BY15" s="42" t="s">
        <v>2371</v>
      </c>
    </row>
    <row r="16" spans="1:77">
      <c r="A16" s="64" t="s">
        <v>576</v>
      </c>
      <c r="B16" s="42" t="s">
        <v>2425</v>
      </c>
      <c r="C16" s="42" t="s">
        <v>2425</v>
      </c>
      <c r="D16" s="42" t="s">
        <v>2426</v>
      </c>
      <c r="E16" s="42" t="s">
        <v>391</v>
      </c>
      <c r="F16" s="42" t="s">
        <v>2357</v>
      </c>
      <c r="G16" s="72">
        <v>14916540</v>
      </c>
      <c r="H16" s="42" t="str">
        <f>IFERROR(INDEX(Lookup_Lists!$A$96:$A$100,MATCH('[1]#REF'!$G$16,Lookup_Lists!$B$96:$B$100,1)),"N/A")</f>
        <v>N/A</v>
      </c>
      <c r="I16" s="42" t="s">
        <v>295</v>
      </c>
      <c r="J16" s="81" t="s">
        <v>2360</v>
      </c>
      <c r="K16" s="81" t="s">
        <v>2360</v>
      </c>
      <c r="L16" s="81" t="s">
        <v>2360</v>
      </c>
      <c r="M16" s="81" t="s">
        <v>2360</v>
      </c>
      <c r="N16" s="42" t="s">
        <v>2427</v>
      </c>
      <c r="O16" s="42" t="s">
        <v>2428</v>
      </c>
      <c r="P16" s="81" t="s">
        <v>2360</v>
      </c>
      <c r="Q16" s="81" t="s">
        <v>2360</v>
      </c>
      <c r="R16" s="81" t="s">
        <v>2360</v>
      </c>
      <c r="S16" s="42" t="s">
        <v>2429</v>
      </c>
      <c r="T16" s="42" t="s">
        <v>2430</v>
      </c>
      <c r="U16" s="42" t="s">
        <v>2431</v>
      </c>
      <c r="V16" s="81" t="s">
        <v>2360</v>
      </c>
      <c r="W16" s="81" t="s">
        <v>2360</v>
      </c>
      <c r="X16" s="81" t="s">
        <v>2360</v>
      </c>
      <c r="Y16" s="81" t="s">
        <v>2360</v>
      </c>
      <c r="Z16" s="81" t="s">
        <v>2360</v>
      </c>
      <c r="AA16" s="83">
        <v>71.79</v>
      </c>
      <c r="AB16" s="83">
        <v>28.21</v>
      </c>
      <c r="AC16" s="83">
        <v>39</v>
      </c>
      <c r="AD16" s="42" t="s">
        <v>179</v>
      </c>
      <c r="AE16" s="83">
        <v>70</v>
      </c>
      <c r="AF16" s="83">
        <v>10</v>
      </c>
      <c r="AG16" s="42" t="s">
        <v>2406</v>
      </c>
      <c r="AH16" s="83">
        <v>16.7</v>
      </c>
      <c r="AI16" s="42" t="s">
        <v>2432</v>
      </c>
      <c r="AJ16" s="83">
        <v>16.7</v>
      </c>
      <c r="AK16" s="42" t="s">
        <v>2433</v>
      </c>
      <c r="AL16" s="83">
        <v>16.7</v>
      </c>
      <c r="AM16" s="83">
        <v>100</v>
      </c>
      <c r="AN16" s="83">
        <v>21.7</v>
      </c>
      <c r="AO16" s="83">
        <v>4.3</v>
      </c>
      <c r="AP16" s="83">
        <v>4.3</v>
      </c>
      <c r="AQ16" s="83">
        <v>4.3</v>
      </c>
      <c r="AR16" s="83">
        <v>21.7</v>
      </c>
      <c r="AS16" s="83">
        <v>4.3</v>
      </c>
      <c r="AT16" s="83">
        <v>4.3</v>
      </c>
      <c r="AU16" s="81" t="s">
        <v>2360</v>
      </c>
      <c r="AV16" s="83">
        <v>4.3</v>
      </c>
      <c r="AW16" s="83">
        <v>4.3</v>
      </c>
      <c r="AX16" s="81" t="s">
        <v>2360</v>
      </c>
      <c r="AY16" s="83">
        <v>4.3</v>
      </c>
      <c r="AZ16" s="83">
        <v>8.7</v>
      </c>
      <c r="BA16" s="81" t="s">
        <v>2360</v>
      </c>
      <c r="BB16" s="83">
        <v>4.3</v>
      </c>
      <c r="BC16" s="83">
        <v>17.4</v>
      </c>
      <c r="BD16" s="83">
        <v>4.3</v>
      </c>
      <c r="BE16" s="83">
        <v>8.7</v>
      </c>
      <c r="BF16" s="81" t="s">
        <v>2360</v>
      </c>
      <c r="BG16" s="73">
        <v>0.25</v>
      </c>
      <c r="BH16" s="42" t="s">
        <v>919</v>
      </c>
      <c r="BI16" s="81" t="s">
        <v>2360</v>
      </c>
      <c r="BJ16" s="81" t="s">
        <v>2360</v>
      </c>
      <c r="BK16" s="81" t="s">
        <v>2360</v>
      </c>
      <c r="BL16" s="72">
        <v>0</v>
      </c>
      <c r="BM16" s="81" t="s">
        <v>2360</v>
      </c>
      <c r="BN16" s="81" t="s">
        <v>2360</v>
      </c>
      <c r="BO16" s="81" t="s">
        <v>2360</v>
      </c>
      <c r="BP16" s="84">
        <v>-0.0281</v>
      </c>
      <c r="BQ16" s="81" t="s">
        <v>2360</v>
      </c>
      <c r="BR16" s="81" t="s">
        <v>2360</v>
      </c>
      <c r="BS16" s="65">
        <v>62</v>
      </c>
      <c r="BT16" s="65">
        <v>42</v>
      </c>
      <c r="BU16" s="65">
        <v>81</v>
      </c>
      <c r="BV16" s="81" t="s">
        <v>2360</v>
      </c>
      <c r="BW16" s="42" t="e">
        <f>ROUND((IF(ISNUMBER('[1]#REF'!$K$16),1,IF(AND(ISTEXT('[1]#REF'!$K$16),'[1]#REF'!$K$16&lt;&gt;"N/A"),1,0))+IF(ISNUMBER('[1]#REF'!$BG$16),1,IF(AND(ISTEXT('[1]#REF'!$BG$16),'[1]#REF'!$BG$16&lt;&gt;"N/A"),1,0))+IF(ISNUMBER('[1]#REF'!$BI$16),1,IF(AND(ISTEXT('[1]#REF'!$BI$16),'[1]#REF'!$BI$16&lt;&gt;"N/A"),1,0))+IF(ISNUMBER('[1]#REF'!$BK$16),1,IF(AND(ISTEXT('[1]#REF'!$BK$16),'[1]#REF'!$BK$16&lt;&gt;"N/A"),1,0))+IF(ISNUMBER('[1]#REF'!$AA$16),1,IF(AND(ISTEXT('[1]#REF'!$AA$16),'[1]#REF'!$AA$16&lt;&gt;"N/A"),1,0))+IF(ISNUMBER('[1]#REF'!$AE$16),1,IF(AND(ISTEXT('[1]#REF'!$AE$16),'[1]#REF'!$AE$16&lt;&gt;"N/A"),1,0))+IF(ISNUMBER('[1]#REF'!$AH$16),1,IF(AND(ISTEXT('[1]#REF'!$AH$16),'[1]#REF'!$AH$16&lt;&gt;"N/A"),1,0))+IF(ISNUMBER('[1]#REF'!$AN$16),1,IF(AND(ISTEXT('[1]#REF'!$AN$16),'[1]#REF'!$AN$16&lt;&gt;"N/A"),1,0))+IF(ISNUMBER('[1]#REF'!$BS$16),1,IF(AND(ISTEXT('[1]#REF'!$BS$16),'[1]#REF'!$BS$16&lt;&gt;"N/A"),1,0))+IF(ISNUMBER('[1]#REF'!$BT$16),1,IF(AND(ISTEXT('[1]#REF'!$BT$16),'[1]#REF'!$BT$16&lt;&gt;"N/A"),1,0))+IF(ISNUMBER('[1]#REF'!$BU$16),1,IF(AND(ISTEXT('[1]#REF'!$BU$16),'[1]#REF'!$BU$16&lt;&gt;"N/A"),1,0))+IF(ISNUMBER('[1]#REF'!$BM$16),1,IF(AND(ISTEXT('[1]#REF'!$BM$16),'[1]#REF'!$BM$16&lt;&gt;"N/A"),1,0)))/12*100,0)</f>
        <v>#REF!</v>
      </c>
      <c r="BX16" s="42" t="e">
        <f>IF('[1]#REF'!$BW$16&gt;=Lookup_Lists!$D$159,"High",IF('[1]#REF'!$BW$16&gt;=Lookup_Lists!$D$160,"Medium","Limited Data"))</f>
        <v>#REF!</v>
      </c>
      <c r="BY16" s="42" t="s">
        <v>2377</v>
      </c>
    </row>
    <row r="17" spans="1:77">
      <c r="A17" s="64" t="s">
        <v>585</v>
      </c>
      <c r="B17" s="42" t="s">
        <v>2434</v>
      </c>
      <c r="C17" s="42" t="s">
        <v>2434</v>
      </c>
      <c r="D17" s="42" t="s">
        <v>2435</v>
      </c>
      <c r="E17" s="42" t="s">
        <v>391</v>
      </c>
      <c r="F17" s="42" t="s">
        <v>2357</v>
      </c>
      <c r="G17" s="72">
        <v>14398391</v>
      </c>
      <c r="H17" s="42" t="str">
        <f>IFERROR(INDEX(Lookup_Lists!$A$96:$A$100,MATCH('[1]#REF'!$G$17,Lookup_Lists!$B$96:$B$100,1)),"N/A")</f>
        <v>N/A</v>
      </c>
      <c r="I17" s="42" t="s">
        <v>295</v>
      </c>
      <c r="J17" s="81" t="s">
        <v>2360</v>
      </c>
      <c r="K17" s="81" t="s">
        <v>2360</v>
      </c>
      <c r="L17" s="81" t="s">
        <v>2360</v>
      </c>
      <c r="M17" s="81" t="s">
        <v>2360</v>
      </c>
      <c r="N17" s="42" t="s">
        <v>2436</v>
      </c>
      <c r="O17" s="42" t="s">
        <v>2437</v>
      </c>
      <c r="P17" s="81" t="s">
        <v>2360</v>
      </c>
      <c r="Q17" s="81" t="s">
        <v>2360</v>
      </c>
      <c r="R17" s="81" t="s">
        <v>2360</v>
      </c>
      <c r="S17" s="42" t="s">
        <v>2438</v>
      </c>
      <c r="T17" s="42" t="s">
        <v>2439</v>
      </c>
      <c r="U17" s="42" t="s">
        <v>2440</v>
      </c>
      <c r="V17" s="81" t="s">
        <v>2360</v>
      </c>
      <c r="W17" s="81" t="s">
        <v>2360</v>
      </c>
      <c r="X17" s="81" t="s">
        <v>2360</v>
      </c>
      <c r="Y17" s="81" t="s">
        <v>2360</v>
      </c>
      <c r="Z17" s="81" t="s">
        <v>2360</v>
      </c>
      <c r="AA17" s="83">
        <v>71.43</v>
      </c>
      <c r="AB17" s="83">
        <v>28.57</v>
      </c>
      <c r="AC17" s="83">
        <v>21</v>
      </c>
      <c r="AD17" s="42" t="s">
        <v>179</v>
      </c>
      <c r="AE17" s="83">
        <v>80</v>
      </c>
      <c r="AF17" s="83">
        <v>5</v>
      </c>
      <c r="AG17" s="42" t="s">
        <v>2441</v>
      </c>
      <c r="AH17" s="83">
        <v>50</v>
      </c>
      <c r="AI17" s="42" t="s">
        <v>2442</v>
      </c>
      <c r="AJ17" s="83">
        <v>50</v>
      </c>
      <c r="AK17" s="81" t="s">
        <v>2360</v>
      </c>
      <c r="AL17" s="81" t="s">
        <v>2360</v>
      </c>
      <c r="AM17" s="83">
        <v>100</v>
      </c>
      <c r="AN17" s="83">
        <v>10.8</v>
      </c>
      <c r="AO17" s="81" t="s">
        <v>2360</v>
      </c>
      <c r="AP17" s="81" t="s">
        <v>2360</v>
      </c>
      <c r="AQ17" s="83">
        <v>9.1</v>
      </c>
      <c r="AR17" s="83">
        <v>18.2</v>
      </c>
      <c r="AS17" s="83">
        <v>9.1</v>
      </c>
      <c r="AT17" s="81" t="s">
        <v>2360</v>
      </c>
      <c r="AU17" s="81" t="s">
        <v>2360</v>
      </c>
      <c r="AV17" s="81" t="s">
        <v>2360</v>
      </c>
      <c r="AW17" s="83">
        <v>18.2</v>
      </c>
      <c r="AX17" s="81" t="s">
        <v>2360</v>
      </c>
      <c r="AY17" s="81" t="s">
        <v>2360</v>
      </c>
      <c r="AZ17" s="81" t="s">
        <v>2360</v>
      </c>
      <c r="BA17" s="81" t="s">
        <v>2360</v>
      </c>
      <c r="BB17" s="81" t="s">
        <v>2360</v>
      </c>
      <c r="BC17" s="83">
        <v>18.2</v>
      </c>
      <c r="BD17" s="83">
        <v>18.2</v>
      </c>
      <c r="BE17" s="81" t="s">
        <v>2360</v>
      </c>
      <c r="BF17" s="83">
        <v>9.1</v>
      </c>
      <c r="BG17" s="73">
        <v>3.07</v>
      </c>
      <c r="BH17" s="42" t="s">
        <v>919</v>
      </c>
      <c r="BI17" s="72">
        <v>10433740.4</v>
      </c>
      <c r="BJ17" s="72">
        <v>7989419</v>
      </c>
      <c r="BK17" s="81" t="s">
        <v>2360</v>
      </c>
      <c r="BL17" s="72">
        <v>6</v>
      </c>
      <c r="BM17" s="73">
        <v>6.67</v>
      </c>
      <c r="BN17" s="72">
        <v>27</v>
      </c>
      <c r="BO17" s="42" t="s">
        <v>295</v>
      </c>
      <c r="BP17" s="84">
        <v>0.0038</v>
      </c>
      <c r="BQ17" s="83">
        <v>0</v>
      </c>
      <c r="BR17" s="81" t="s">
        <v>2360</v>
      </c>
      <c r="BS17" s="65">
        <v>58</v>
      </c>
      <c r="BT17" s="65">
        <v>64</v>
      </c>
      <c r="BU17" s="65">
        <v>53</v>
      </c>
      <c r="BV17" s="81" t="s">
        <v>2360</v>
      </c>
      <c r="BW17" s="42" t="e">
        <f>ROUND((IF(ISNUMBER('[1]#REF'!$K$17),1,IF(AND(ISTEXT('[1]#REF'!$K$17),'[1]#REF'!$K$17&lt;&gt;"N/A"),1,0))+IF(ISNUMBER('[1]#REF'!$BG$17),1,IF(AND(ISTEXT('[1]#REF'!$BG$17),'[1]#REF'!$BG$17&lt;&gt;"N/A"),1,0))+IF(ISNUMBER('[1]#REF'!$BI$17),1,IF(AND(ISTEXT('[1]#REF'!$BI$17),'[1]#REF'!$BI$17&lt;&gt;"N/A"),1,0))+IF(ISNUMBER('[1]#REF'!$BK$17),1,IF(AND(ISTEXT('[1]#REF'!$BK$17),'[1]#REF'!$BK$17&lt;&gt;"N/A"),1,0))+IF(ISNUMBER('[1]#REF'!$AA$17),1,IF(AND(ISTEXT('[1]#REF'!$AA$17),'[1]#REF'!$AA$17&lt;&gt;"N/A"),1,0))+IF(ISNUMBER('[1]#REF'!$AE$17),1,IF(AND(ISTEXT('[1]#REF'!$AE$17),'[1]#REF'!$AE$17&lt;&gt;"N/A"),1,0))+IF(ISNUMBER('[1]#REF'!$AH$17),1,IF(AND(ISTEXT('[1]#REF'!$AH$17),'[1]#REF'!$AH$17&lt;&gt;"N/A"),1,0))+IF(ISNUMBER('[1]#REF'!$AN$17),1,IF(AND(ISTEXT('[1]#REF'!$AN$17),'[1]#REF'!$AN$17&lt;&gt;"N/A"),1,0))+IF(ISNUMBER('[1]#REF'!$BS$17),1,IF(AND(ISTEXT('[1]#REF'!$BS$17),'[1]#REF'!$BS$17&lt;&gt;"N/A"),1,0))+IF(ISNUMBER('[1]#REF'!$BT$17),1,IF(AND(ISTEXT('[1]#REF'!$BT$17),'[1]#REF'!$BT$17&lt;&gt;"N/A"),1,0))+IF(ISNUMBER('[1]#REF'!$BU$17),1,IF(AND(ISTEXT('[1]#REF'!$BU$17),'[1]#REF'!$BU$17&lt;&gt;"N/A"),1,0))+IF(ISNUMBER('[1]#REF'!$BM$17),1,IF(AND(ISTEXT('[1]#REF'!$BM$17),'[1]#REF'!$BM$17&lt;&gt;"N/A"),1,0)))/12*100,0)</f>
        <v>#REF!</v>
      </c>
      <c r="BX17" s="42" t="e">
        <f>IF('[1]#REF'!$BW$17&gt;=Lookup_Lists!$D$159,"High",IF('[1]#REF'!$BW$17&gt;=Lookup_Lists!$D$160,"Medium","Limited Data"))</f>
        <v>#REF!</v>
      </c>
      <c r="BY17" s="42" t="s">
        <v>2377</v>
      </c>
    </row>
    <row r="18" spans="1:77">
      <c r="A18" s="64" t="s">
        <v>594</v>
      </c>
      <c r="B18" s="42" t="s">
        <v>2443</v>
      </c>
      <c r="C18" s="42" t="s">
        <v>2443</v>
      </c>
      <c r="D18" s="42" t="s">
        <v>2444</v>
      </c>
      <c r="E18" s="42" t="s">
        <v>391</v>
      </c>
      <c r="F18" s="42" t="s">
        <v>2357</v>
      </c>
      <c r="G18" s="72">
        <v>2249679</v>
      </c>
      <c r="H18" s="42" t="str">
        <f>IFERROR(INDEX(Lookup_Lists!$A$96:$A$100,MATCH('[1]#REF'!$G$18,Lookup_Lists!$B$96:$B$100,1)),"N/A")</f>
        <v>N/A</v>
      </c>
      <c r="I18" s="42" t="s">
        <v>295</v>
      </c>
      <c r="J18" s="81" t="s">
        <v>2360</v>
      </c>
      <c r="K18" s="81" t="s">
        <v>2360</v>
      </c>
      <c r="L18" s="81" t="s">
        <v>2360</v>
      </c>
      <c r="M18" s="81" t="s">
        <v>2360</v>
      </c>
      <c r="N18" s="81" t="s">
        <v>2360</v>
      </c>
      <c r="O18" s="81" t="s">
        <v>2360</v>
      </c>
      <c r="P18" s="81" t="s">
        <v>2360</v>
      </c>
      <c r="Q18" s="81" t="s">
        <v>2360</v>
      </c>
      <c r="R18" s="81" t="s">
        <v>2360</v>
      </c>
      <c r="S18" s="42" t="s">
        <v>2445</v>
      </c>
      <c r="T18" s="42" t="s">
        <v>2446</v>
      </c>
      <c r="U18" s="42" t="s">
        <v>2447</v>
      </c>
      <c r="V18" s="81" t="s">
        <v>2360</v>
      </c>
      <c r="W18" s="81" t="s">
        <v>2360</v>
      </c>
      <c r="X18" s="81" t="s">
        <v>2360</v>
      </c>
      <c r="Y18" s="81" t="s">
        <v>2360</v>
      </c>
      <c r="Z18" s="81" t="s">
        <v>2360</v>
      </c>
      <c r="AA18" s="83">
        <v>20</v>
      </c>
      <c r="AB18" s="83">
        <v>80</v>
      </c>
      <c r="AC18" s="83">
        <v>30</v>
      </c>
      <c r="AD18" s="42" t="s">
        <v>179</v>
      </c>
      <c r="AE18" s="83">
        <v>55.6</v>
      </c>
      <c r="AF18" s="83">
        <v>9</v>
      </c>
      <c r="AG18" s="81" t="s">
        <v>2360</v>
      </c>
      <c r="AH18" s="81" t="s">
        <v>2360</v>
      </c>
      <c r="AI18" s="81" t="s">
        <v>2360</v>
      </c>
      <c r="AJ18" s="81" t="s">
        <v>2360</v>
      </c>
      <c r="AK18" s="81" t="s">
        <v>2360</v>
      </c>
      <c r="AL18" s="81" t="s">
        <v>2360</v>
      </c>
      <c r="AM18" s="81" t="s">
        <v>2360</v>
      </c>
      <c r="AN18" s="83">
        <v>7</v>
      </c>
      <c r="AO18" s="81" t="s">
        <v>2360</v>
      </c>
      <c r="AP18" s="81" t="s">
        <v>2360</v>
      </c>
      <c r="AQ18" s="81" t="s">
        <v>2360</v>
      </c>
      <c r="AR18" s="81" t="s">
        <v>2360</v>
      </c>
      <c r="AS18" s="83">
        <v>14.3</v>
      </c>
      <c r="AT18" s="81" t="s">
        <v>2360</v>
      </c>
      <c r="AU18" s="81" t="s">
        <v>2360</v>
      </c>
      <c r="AV18" s="81" t="s">
        <v>2360</v>
      </c>
      <c r="AW18" s="81" t="s">
        <v>2360</v>
      </c>
      <c r="AX18" s="81" t="s">
        <v>2360</v>
      </c>
      <c r="AY18" s="83">
        <v>14.3</v>
      </c>
      <c r="AZ18" s="83">
        <v>14.3</v>
      </c>
      <c r="BA18" s="81" t="s">
        <v>2360</v>
      </c>
      <c r="BB18" s="81" t="s">
        <v>2360</v>
      </c>
      <c r="BC18" s="83">
        <v>42.9</v>
      </c>
      <c r="BD18" s="83">
        <v>14.3</v>
      </c>
      <c r="BE18" s="81" t="s">
        <v>2360</v>
      </c>
      <c r="BF18" s="81" t="s">
        <v>2360</v>
      </c>
      <c r="BG18" s="73">
        <v>0.72</v>
      </c>
      <c r="BH18" s="42" t="s">
        <v>919</v>
      </c>
      <c r="BI18" s="72">
        <v>501299.75</v>
      </c>
      <c r="BJ18" s="72">
        <v>335177.5</v>
      </c>
      <c r="BK18" s="82">
        <v>24.1573</v>
      </c>
      <c r="BL18" s="72">
        <v>8</v>
      </c>
      <c r="BM18" s="73">
        <v>1.03</v>
      </c>
      <c r="BN18" s="72">
        <v>233</v>
      </c>
      <c r="BO18" s="42" t="s">
        <v>295</v>
      </c>
      <c r="BP18" s="84">
        <v>0</v>
      </c>
      <c r="BQ18" s="83">
        <v>0</v>
      </c>
      <c r="BR18" s="81" t="s">
        <v>2360</v>
      </c>
      <c r="BS18" s="65">
        <v>59</v>
      </c>
      <c r="BT18" s="65">
        <v>48</v>
      </c>
      <c r="BU18" s="65">
        <v>70</v>
      </c>
      <c r="BV18" s="81" t="s">
        <v>2360</v>
      </c>
      <c r="BW18" s="42" t="e">
        <f>ROUND((IF(ISNUMBER('[1]#REF'!$K$18),1,IF(AND(ISTEXT('[1]#REF'!$K$18),'[1]#REF'!$K$18&lt;&gt;"N/A"),1,0))+IF(ISNUMBER('[1]#REF'!$BG$18),1,IF(AND(ISTEXT('[1]#REF'!$BG$18),'[1]#REF'!$BG$18&lt;&gt;"N/A"),1,0))+IF(ISNUMBER('[1]#REF'!$BI$18),1,IF(AND(ISTEXT('[1]#REF'!$BI$18),'[1]#REF'!$BI$18&lt;&gt;"N/A"),1,0))+IF(ISNUMBER('[1]#REF'!$BK$18),1,IF(AND(ISTEXT('[1]#REF'!$BK$18),'[1]#REF'!$BK$18&lt;&gt;"N/A"),1,0))+IF(ISNUMBER('[1]#REF'!$AA$18),1,IF(AND(ISTEXT('[1]#REF'!$AA$18),'[1]#REF'!$AA$18&lt;&gt;"N/A"),1,0))+IF(ISNUMBER('[1]#REF'!$AE$18),1,IF(AND(ISTEXT('[1]#REF'!$AE$18),'[1]#REF'!$AE$18&lt;&gt;"N/A"),1,0))+IF(ISNUMBER('[1]#REF'!$AH$18),1,IF(AND(ISTEXT('[1]#REF'!$AH$18),'[1]#REF'!$AH$18&lt;&gt;"N/A"),1,0))+IF(ISNUMBER('[1]#REF'!$AN$18),1,IF(AND(ISTEXT('[1]#REF'!$AN$18),'[1]#REF'!$AN$18&lt;&gt;"N/A"),1,0))+IF(ISNUMBER('[1]#REF'!$BS$18),1,IF(AND(ISTEXT('[1]#REF'!$BS$18),'[1]#REF'!$BS$18&lt;&gt;"N/A"),1,0))+IF(ISNUMBER('[1]#REF'!$BT$18),1,IF(AND(ISTEXT('[1]#REF'!$BT$18),'[1]#REF'!$BT$18&lt;&gt;"N/A"),1,0))+IF(ISNUMBER('[1]#REF'!$BU$18),1,IF(AND(ISTEXT('[1]#REF'!$BU$18),'[1]#REF'!$BU$18&lt;&gt;"N/A"),1,0))+IF(ISNUMBER('[1]#REF'!$BM$18),1,IF(AND(ISTEXT('[1]#REF'!$BM$18),'[1]#REF'!$BM$18&lt;&gt;"N/A"),1,0)))/12*100,0)</f>
        <v>#REF!</v>
      </c>
      <c r="BX18" s="42" t="e">
        <f>IF('[1]#REF'!$BW$18&gt;=Lookup_Lists!$D$159,"High",IF('[1]#REF'!$BW$18&gt;=Lookup_Lists!$D$160,"Medium","Limited Data"))</f>
        <v>#REF!</v>
      </c>
      <c r="BY18" s="42" t="s">
        <v>2377</v>
      </c>
    </row>
    <row r="19" spans="1:77">
      <c r="A19" s="64" t="s">
        <v>603</v>
      </c>
      <c r="B19" s="42" t="s">
        <v>2448</v>
      </c>
      <c r="C19" s="42" t="s">
        <v>2448</v>
      </c>
      <c r="D19" s="42" t="s">
        <v>2449</v>
      </c>
      <c r="E19" s="42" t="s">
        <v>392</v>
      </c>
      <c r="F19" s="42" t="s">
        <v>2357</v>
      </c>
      <c r="G19" s="72">
        <v>13200000</v>
      </c>
      <c r="H19" s="42" t="str">
        <f>IFERROR(INDEX(Lookup_Lists!$A$96:$A$100,MATCH('[1]#REF'!$G$19,Lookup_Lists!$B$96:$B$100,1)),"N/A")</f>
        <v>N/A</v>
      </c>
      <c r="I19" s="42" t="s">
        <v>295</v>
      </c>
      <c r="J19" s="81" t="s">
        <v>2360</v>
      </c>
      <c r="K19" s="81" t="s">
        <v>2360</v>
      </c>
      <c r="L19" s="81" t="s">
        <v>2360</v>
      </c>
      <c r="M19" s="81" t="s">
        <v>2360</v>
      </c>
      <c r="N19" s="42" t="s">
        <v>2450</v>
      </c>
      <c r="O19" s="42" t="s">
        <v>2451</v>
      </c>
      <c r="P19" s="81" t="s">
        <v>2360</v>
      </c>
      <c r="Q19" s="81" t="s">
        <v>2360</v>
      </c>
      <c r="R19" s="81" t="s">
        <v>2360</v>
      </c>
      <c r="S19" s="81" t="s">
        <v>2360</v>
      </c>
      <c r="T19" s="42" t="s">
        <v>2452</v>
      </c>
      <c r="U19" s="42" t="s">
        <v>2453</v>
      </c>
      <c r="V19" s="81" t="s">
        <v>2360</v>
      </c>
      <c r="W19" s="81" t="s">
        <v>2360</v>
      </c>
      <c r="X19" s="81" t="s">
        <v>2360</v>
      </c>
      <c r="Y19" s="81" t="s">
        <v>2360</v>
      </c>
      <c r="Z19" s="81" t="s">
        <v>2360</v>
      </c>
      <c r="AA19" s="83">
        <v>69.23</v>
      </c>
      <c r="AB19" s="83">
        <v>30.77</v>
      </c>
      <c r="AC19" s="83">
        <v>26</v>
      </c>
      <c r="AD19" s="42" t="s">
        <v>179</v>
      </c>
      <c r="AE19" s="83">
        <v>40</v>
      </c>
      <c r="AF19" s="83">
        <v>10</v>
      </c>
      <c r="AG19" s="42" t="s">
        <v>2454</v>
      </c>
      <c r="AH19" s="83">
        <v>100</v>
      </c>
      <c r="AI19" s="81" t="s">
        <v>2360</v>
      </c>
      <c r="AJ19" s="81" t="s">
        <v>2360</v>
      </c>
      <c r="AK19" s="81" t="s">
        <v>2360</v>
      </c>
      <c r="AL19" s="81" t="s">
        <v>2360</v>
      </c>
      <c r="AM19" s="83">
        <v>100</v>
      </c>
      <c r="AN19" s="83">
        <v>18.3</v>
      </c>
      <c r="AO19" s="83">
        <v>15.8</v>
      </c>
      <c r="AP19" s="81" t="s">
        <v>2360</v>
      </c>
      <c r="AQ19" s="83">
        <v>21.1</v>
      </c>
      <c r="AR19" s="81" t="s">
        <v>2360</v>
      </c>
      <c r="AS19" s="81" t="s">
        <v>2360</v>
      </c>
      <c r="AT19" s="81" t="s">
        <v>2360</v>
      </c>
      <c r="AU19" s="83">
        <v>10.5</v>
      </c>
      <c r="AV19" s="81" t="s">
        <v>2360</v>
      </c>
      <c r="AW19" s="81" t="s">
        <v>2360</v>
      </c>
      <c r="AX19" s="83">
        <v>15.8</v>
      </c>
      <c r="AY19" s="83">
        <v>5.3</v>
      </c>
      <c r="AZ19" s="83">
        <v>10.5</v>
      </c>
      <c r="BA19" s="81" t="s">
        <v>2360</v>
      </c>
      <c r="BB19" s="83">
        <v>5.3</v>
      </c>
      <c r="BC19" s="83">
        <v>10.5</v>
      </c>
      <c r="BD19" s="81" t="s">
        <v>2360</v>
      </c>
      <c r="BE19" s="83">
        <v>5.3</v>
      </c>
      <c r="BF19" s="81" t="s">
        <v>2360</v>
      </c>
      <c r="BG19" s="73">
        <v>0.19</v>
      </c>
      <c r="BH19" s="42" t="s">
        <v>2400</v>
      </c>
      <c r="BI19" s="72">
        <v>47997390</v>
      </c>
      <c r="BJ19" s="72">
        <v>354300</v>
      </c>
      <c r="BK19" s="82">
        <v>1.7595</v>
      </c>
      <c r="BL19" s="81" t="s">
        <v>2360</v>
      </c>
      <c r="BM19" s="73">
        <v>0.35</v>
      </c>
      <c r="BN19" s="72">
        <v>851</v>
      </c>
      <c r="BO19" s="42" t="s">
        <v>295</v>
      </c>
      <c r="BP19" s="84">
        <v>0</v>
      </c>
      <c r="BQ19" s="83">
        <v>10</v>
      </c>
      <c r="BR19" s="81" t="s">
        <v>2360</v>
      </c>
      <c r="BS19" s="65">
        <v>67</v>
      </c>
      <c r="BT19" s="65">
        <v>56</v>
      </c>
      <c r="BU19" s="65">
        <v>78</v>
      </c>
      <c r="BV19" s="81" t="s">
        <v>2360</v>
      </c>
      <c r="BW19" s="42" t="e">
        <f>ROUND((IF(ISNUMBER('[1]#REF'!$K$19),1,IF(AND(ISTEXT('[1]#REF'!$K$19),'[1]#REF'!$K$19&lt;&gt;"N/A"),1,0))+IF(ISNUMBER('[1]#REF'!$BG$19),1,IF(AND(ISTEXT('[1]#REF'!$BG$19),'[1]#REF'!$BG$19&lt;&gt;"N/A"),1,0))+IF(ISNUMBER('[1]#REF'!$BI$19),1,IF(AND(ISTEXT('[1]#REF'!$BI$19),'[1]#REF'!$BI$19&lt;&gt;"N/A"),1,0))+IF(ISNUMBER('[1]#REF'!$BK$19),1,IF(AND(ISTEXT('[1]#REF'!$BK$19),'[1]#REF'!$BK$19&lt;&gt;"N/A"),1,0))+IF(ISNUMBER('[1]#REF'!$AA$19),1,IF(AND(ISTEXT('[1]#REF'!$AA$19),'[1]#REF'!$AA$19&lt;&gt;"N/A"),1,0))+IF(ISNUMBER('[1]#REF'!$AE$19),1,IF(AND(ISTEXT('[1]#REF'!$AE$19),'[1]#REF'!$AE$19&lt;&gt;"N/A"),1,0))+IF(ISNUMBER('[1]#REF'!$AH$19),1,IF(AND(ISTEXT('[1]#REF'!$AH$19),'[1]#REF'!$AH$19&lt;&gt;"N/A"),1,0))+IF(ISNUMBER('[1]#REF'!$AN$19),1,IF(AND(ISTEXT('[1]#REF'!$AN$19),'[1]#REF'!$AN$19&lt;&gt;"N/A"),1,0))+IF(ISNUMBER('[1]#REF'!$BS$19),1,IF(AND(ISTEXT('[1]#REF'!$BS$19),'[1]#REF'!$BS$19&lt;&gt;"N/A"),1,0))+IF(ISNUMBER('[1]#REF'!$BT$19),1,IF(AND(ISTEXT('[1]#REF'!$BT$19),'[1]#REF'!$BT$19&lt;&gt;"N/A"),1,0))+IF(ISNUMBER('[1]#REF'!$BU$19),1,IF(AND(ISTEXT('[1]#REF'!$BU$19),'[1]#REF'!$BU$19&lt;&gt;"N/A"),1,0))+IF(ISNUMBER('[1]#REF'!$BM$19),1,IF(AND(ISTEXT('[1]#REF'!$BM$19),'[1]#REF'!$BM$19&lt;&gt;"N/A"),1,0)))/12*100,0)</f>
        <v>#REF!</v>
      </c>
      <c r="BX19" s="42" t="e">
        <f>IF('[1]#REF'!$BW$19&gt;=Lookup_Lists!$D$159,"High",IF('[1]#REF'!$BW$19&gt;=Lookup_Lists!$D$160,"Medium","Limited Data"))</f>
        <v>#REF!</v>
      </c>
      <c r="BY19" s="42" t="s">
        <v>2377</v>
      </c>
    </row>
    <row r="20" spans="1:77">
      <c r="A20" s="64" t="s">
        <v>610</v>
      </c>
      <c r="B20" s="42" t="s">
        <v>2455</v>
      </c>
      <c r="C20" s="42" t="s">
        <v>2455</v>
      </c>
      <c r="D20" s="42" t="s">
        <v>2456</v>
      </c>
      <c r="E20" s="42" t="s">
        <v>392</v>
      </c>
      <c r="F20" s="42" t="s">
        <v>2357</v>
      </c>
      <c r="G20" s="72">
        <v>13100000</v>
      </c>
      <c r="H20" s="42" t="str">
        <f>IFERROR(INDEX(Lookup_Lists!$A$96:$A$100,MATCH('[1]#REF'!$G$20,Lookup_Lists!$B$96:$B$100,1)),"N/A")</f>
        <v>N/A</v>
      </c>
      <c r="I20" s="42" t="s">
        <v>295</v>
      </c>
      <c r="J20" s="42" t="s">
        <v>666</v>
      </c>
      <c r="K20" s="42" t="s">
        <v>666</v>
      </c>
      <c r="L20" s="42" t="s">
        <v>2359</v>
      </c>
      <c r="M20" s="81" t="s">
        <v>2360</v>
      </c>
      <c r="N20" s="42" t="s">
        <v>656</v>
      </c>
      <c r="O20" s="42" t="s">
        <v>2457</v>
      </c>
      <c r="P20" s="81" t="s">
        <v>2360</v>
      </c>
      <c r="Q20" s="81" t="s">
        <v>2360</v>
      </c>
      <c r="R20" s="81" t="s">
        <v>2360</v>
      </c>
      <c r="S20" s="81" t="s">
        <v>2360</v>
      </c>
      <c r="T20" s="42" t="s">
        <v>2458</v>
      </c>
      <c r="U20" s="42" t="s">
        <v>2459</v>
      </c>
      <c r="V20" s="81" t="s">
        <v>2360</v>
      </c>
      <c r="W20" s="81" t="s">
        <v>2360</v>
      </c>
      <c r="X20" s="81" t="s">
        <v>2360</v>
      </c>
      <c r="Y20" s="81" t="s">
        <v>2360</v>
      </c>
      <c r="Z20" s="81" t="s">
        <v>2360</v>
      </c>
      <c r="AA20" s="83">
        <v>80.65</v>
      </c>
      <c r="AB20" s="83">
        <v>19.35</v>
      </c>
      <c r="AC20" s="83">
        <v>31</v>
      </c>
      <c r="AD20" s="42" t="s">
        <v>179</v>
      </c>
      <c r="AE20" s="83">
        <v>81.3</v>
      </c>
      <c r="AF20" s="83">
        <v>16</v>
      </c>
      <c r="AG20" s="42" t="s">
        <v>2460</v>
      </c>
      <c r="AH20" s="83">
        <v>33.3</v>
      </c>
      <c r="AI20" s="42" t="s">
        <v>2461</v>
      </c>
      <c r="AJ20" s="83">
        <v>33.3</v>
      </c>
      <c r="AK20" s="42" t="s">
        <v>589</v>
      </c>
      <c r="AL20" s="83">
        <v>33.3</v>
      </c>
      <c r="AM20" s="83">
        <v>100</v>
      </c>
      <c r="AN20" s="83">
        <v>13.9</v>
      </c>
      <c r="AO20" s="81" t="s">
        <v>2360</v>
      </c>
      <c r="AP20" s="81" t="s">
        <v>2360</v>
      </c>
      <c r="AQ20" s="81" t="s">
        <v>2360</v>
      </c>
      <c r="AR20" s="83">
        <v>14.3</v>
      </c>
      <c r="AS20" s="83">
        <v>14.3</v>
      </c>
      <c r="AT20" s="81" t="s">
        <v>2360</v>
      </c>
      <c r="AU20" s="81" t="s">
        <v>2360</v>
      </c>
      <c r="AV20" s="81" t="s">
        <v>2360</v>
      </c>
      <c r="AW20" s="81" t="s">
        <v>2360</v>
      </c>
      <c r="AX20" s="83">
        <v>14.3</v>
      </c>
      <c r="AY20" s="81" t="s">
        <v>2360</v>
      </c>
      <c r="AZ20" s="83">
        <v>21.4</v>
      </c>
      <c r="BA20" s="83">
        <v>14.3</v>
      </c>
      <c r="BB20" s="81" t="s">
        <v>2360</v>
      </c>
      <c r="BC20" s="83">
        <v>14.3</v>
      </c>
      <c r="BD20" s="81" t="s">
        <v>2360</v>
      </c>
      <c r="BE20" s="81" t="s">
        <v>2360</v>
      </c>
      <c r="BF20" s="83">
        <v>7.1</v>
      </c>
      <c r="BG20" s="73">
        <v>0.6</v>
      </c>
      <c r="BH20" s="42" t="s">
        <v>2400</v>
      </c>
      <c r="BI20" s="72">
        <v>843860</v>
      </c>
      <c r="BJ20" s="72">
        <v>495650</v>
      </c>
      <c r="BK20" s="82">
        <v>4.1775</v>
      </c>
      <c r="BL20" s="81" t="s">
        <v>2360</v>
      </c>
      <c r="BM20" s="73">
        <v>50</v>
      </c>
      <c r="BN20" s="72">
        <v>6</v>
      </c>
      <c r="BO20" s="42" t="s">
        <v>291</v>
      </c>
      <c r="BP20" s="84">
        <v>0</v>
      </c>
      <c r="BQ20" s="83">
        <v>10</v>
      </c>
      <c r="BR20" s="81" t="s">
        <v>2360</v>
      </c>
      <c r="BS20" s="65">
        <v>76</v>
      </c>
      <c r="BT20" s="65">
        <v>59</v>
      </c>
      <c r="BU20" s="65">
        <v>93</v>
      </c>
      <c r="BV20" s="81" t="s">
        <v>2360</v>
      </c>
      <c r="BW20" s="42" t="e">
        <f>ROUND((IF(ISNUMBER('[1]#REF'!$K$20),1,IF(AND(ISTEXT('[1]#REF'!$K$20),'[1]#REF'!$K$20&lt;&gt;"N/A"),1,0))+IF(ISNUMBER('[1]#REF'!$BG$20),1,IF(AND(ISTEXT('[1]#REF'!$BG$20),'[1]#REF'!$BG$20&lt;&gt;"N/A"),1,0))+IF(ISNUMBER('[1]#REF'!$BI$20),1,IF(AND(ISTEXT('[1]#REF'!$BI$20),'[1]#REF'!$BI$20&lt;&gt;"N/A"),1,0))+IF(ISNUMBER('[1]#REF'!$BK$20),1,IF(AND(ISTEXT('[1]#REF'!$BK$20),'[1]#REF'!$BK$20&lt;&gt;"N/A"),1,0))+IF(ISNUMBER('[1]#REF'!$AA$20),1,IF(AND(ISTEXT('[1]#REF'!$AA$20),'[1]#REF'!$AA$20&lt;&gt;"N/A"),1,0))+IF(ISNUMBER('[1]#REF'!$AE$20),1,IF(AND(ISTEXT('[1]#REF'!$AE$20),'[1]#REF'!$AE$20&lt;&gt;"N/A"),1,0))+IF(ISNUMBER('[1]#REF'!$AH$20),1,IF(AND(ISTEXT('[1]#REF'!$AH$20),'[1]#REF'!$AH$20&lt;&gt;"N/A"),1,0))+IF(ISNUMBER('[1]#REF'!$AN$20),1,IF(AND(ISTEXT('[1]#REF'!$AN$20),'[1]#REF'!$AN$20&lt;&gt;"N/A"),1,0))+IF(ISNUMBER('[1]#REF'!$BS$20),1,IF(AND(ISTEXT('[1]#REF'!$BS$20),'[1]#REF'!$BS$20&lt;&gt;"N/A"),1,0))+IF(ISNUMBER('[1]#REF'!$BT$20),1,IF(AND(ISTEXT('[1]#REF'!$BT$20),'[1]#REF'!$BT$20&lt;&gt;"N/A"),1,0))+IF(ISNUMBER('[1]#REF'!$BU$20),1,IF(AND(ISTEXT('[1]#REF'!$BU$20),'[1]#REF'!$BU$20&lt;&gt;"N/A"),1,0))+IF(ISNUMBER('[1]#REF'!$BM$20),1,IF(AND(ISTEXT('[1]#REF'!$BM$20),'[1]#REF'!$BM$20&lt;&gt;"N/A"),1,0)))/12*100,0)</f>
        <v>#REF!</v>
      </c>
      <c r="BX20" s="42" t="e">
        <f>IF('[1]#REF'!$BW$20&gt;=Lookup_Lists!$D$159,"High",IF('[1]#REF'!$BW$20&gt;=Lookup_Lists!$D$160,"Medium","Limited Data"))</f>
        <v>#REF!</v>
      </c>
      <c r="BY20" s="42" t="s">
        <v>2462</v>
      </c>
    </row>
    <row r="21" spans="1:77">
      <c r="A21" s="64" t="s">
        <v>619</v>
      </c>
      <c r="B21" s="42" t="s">
        <v>2463</v>
      </c>
      <c r="C21" s="42" t="s">
        <v>2463</v>
      </c>
      <c r="D21" s="42" t="s">
        <v>2464</v>
      </c>
      <c r="E21" s="42" t="s">
        <v>392</v>
      </c>
      <c r="F21" s="42" t="s">
        <v>2357</v>
      </c>
      <c r="G21" s="72">
        <v>12700000</v>
      </c>
      <c r="H21" s="42" t="str">
        <f>IFERROR(INDEX(Lookup_Lists!$A$96:$A$100,MATCH('[1]#REF'!$G$21,Lookup_Lists!$B$96:$B$100,1)),"N/A")</f>
        <v>N/A</v>
      </c>
      <c r="I21" s="42" t="s">
        <v>295</v>
      </c>
      <c r="J21" s="81" t="s">
        <v>2360</v>
      </c>
      <c r="K21" s="81" t="s">
        <v>2360</v>
      </c>
      <c r="L21" s="81" t="s">
        <v>2360</v>
      </c>
      <c r="M21" s="81" t="s">
        <v>2360</v>
      </c>
      <c r="N21" s="81" t="s">
        <v>2360</v>
      </c>
      <c r="O21" s="42" t="s">
        <v>2465</v>
      </c>
      <c r="P21" s="81" t="s">
        <v>2360</v>
      </c>
      <c r="Q21" s="81" t="s">
        <v>2360</v>
      </c>
      <c r="R21" s="81" t="s">
        <v>2360</v>
      </c>
      <c r="S21" s="81" t="s">
        <v>2360</v>
      </c>
      <c r="T21" s="42" t="s">
        <v>2466</v>
      </c>
      <c r="U21" s="42" t="s">
        <v>2467</v>
      </c>
      <c r="V21" s="81" t="s">
        <v>2360</v>
      </c>
      <c r="W21" s="81" t="s">
        <v>2360</v>
      </c>
      <c r="X21" s="81" t="s">
        <v>2360</v>
      </c>
      <c r="Y21" s="81" t="s">
        <v>2360</v>
      </c>
      <c r="Z21" s="81" t="s">
        <v>2360</v>
      </c>
      <c r="AA21" s="83">
        <v>66.67</v>
      </c>
      <c r="AB21" s="83">
        <v>33.33</v>
      </c>
      <c r="AC21" s="83">
        <v>21</v>
      </c>
      <c r="AD21" s="42" t="s">
        <v>179</v>
      </c>
      <c r="AE21" s="83">
        <v>70</v>
      </c>
      <c r="AF21" s="83">
        <v>10</v>
      </c>
      <c r="AG21" s="42" t="s">
        <v>2468</v>
      </c>
      <c r="AH21" s="83">
        <v>50</v>
      </c>
      <c r="AI21" s="42" t="s">
        <v>2022</v>
      </c>
      <c r="AJ21" s="83">
        <v>50</v>
      </c>
      <c r="AK21" s="81" t="s">
        <v>2360</v>
      </c>
      <c r="AL21" s="81" t="s">
        <v>2360</v>
      </c>
      <c r="AM21" s="83">
        <v>100</v>
      </c>
      <c r="AN21" s="83">
        <v>12.7</v>
      </c>
      <c r="AO21" s="81" t="s">
        <v>2360</v>
      </c>
      <c r="AP21" s="81" t="s">
        <v>2360</v>
      </c>
      <c r="AQ21" s="83">
        <v>7.7</v>
      </c>
      <c r="AR21" s="83">
        <v>7.7</v>
      </c>
      <c r="AS21" s="81" t="s">
        <v>2360</v>
      </c>
      <c r="AT21" s="83">
        <v>7.7</v>
      </c>
      <c r="AU21" s="83">
        <v>7.7</v>
      </c>
      <c r="AV21" s="81" t="s">
        <v>2360</v>
      </c>
      <c r="AW21" s="81" t="s">
        <v>2360</v>
      </c>
      <c r="AX21" s="83">
        <v>15.4</v>
      </c>
      <c r="AY21" s="83">
        <v>7.7</v>
      </c>
      <c r="AZ21" s="83">
        <v>23.1</v>
      </c>
      <c r="BA21" s="81" t="s">
        <v>2360</v>
      </c>
      <c r="BB21" s="81" t="s">
        <v>2360</v>
      </c>
      <c r="BC21" s="83">
        <v>23.1</v>
      </c>
      <c r="BD21" s="81" t="s">
        <v>2360</v>
      </c>
      <c r="BE21" s="81" t="s">
        <v>2360</v>
      </c>
      <c r="BF21" s="81" t="s">
        <v>2360</v>
      </c>
      <c r="BG21" s="73">
        <v>0.06</v>
      </c>
      <c r="BH21" s="42" t="s">
        <v>2400</v>
      </c>
      <c r="BI21" s="72">
        <v>392440</v>
      </c>
      <c r="BJ21" s="72">
        <v>286800</v>
      </c>
      <c r="BK21" s="82">
        <v>0.7763</v>
      </c>
      <c r="BL21" s="81" t="s">
        <v>2360</v>
      </c>
      <c r="BM21" s="73">
        <v>5.36</v>
      </c>
      <c r="BN21" s="72">
        <v>56</v>
      </c>
      <c r="BO21" s="42" t="s">
        <v>295</v>
      </c>
      <c r="BP21" s="84">
        <v>0</v>
      </c>
      <c r="BQ21" s="83">
        <v>20</v>
      </c>
      <c r="BR21" s="81" t="s">
        <v>2360</v>
      </c>
      <c r="BS21" s="65">
        <v>78</v>
      </c>
      <c r="BT21" s="65">
        <v>65</v>
      </c>
      <c r="BU21" s="65">
        <v>90</v>
      </c>
      <c r="BV21" s="81" t="s">
        <v>2360</v>
      </c>
      <c r="BW21" s="42" t="e">
        <f>ROUND((IF(ISNUMBER('[1]#REF'!$K$21),1,IF(AND(ISTEXT('[1]#REF'!$K$21),'[1]#REF'!$K$21&lt;&gt;"N/A"),1,0))+IF(ISNUMBER('[1]#REF'!$BG$21),1,IF(AND(ISTEXT('[1]#REF'!$BG$21),'[1]#REF'!$BG$21&lt;&gt;"N/A"),1,0))+IF(ISNUMBER('[1]#REF'!$BI$21),1,IF(AND(ISTEXT('[1]#REF'!$BI$21),'[1]#REF'!$BI$21&lt;&gt;"N/A"),1,0))+IF(ISNUMBER('[1]#REF'!$BK$21),1,IF(AND(ISTEXT('[1]#REF'!$BK$21),'[1]#REF'!$BK$21&lt;&gt;"N/A"),1,0))+IF(ISNUMBER('[1]#REF'!$AA$21),1,IF(AND(ISTEXT('[1]#REF'!$AA$21),'[1]#REF'!$AA$21&lt;&gt;"N/A"),1,0))+IF(ISNUMBER('[1]#REF'!$AE$21),1,IF(AND(ISTEXT('[1]#REF'!$AE$21),'[1]#REF'!$AE$21&lt;&gt;"N/A"),1,0))+IF(ISNUMBER('[1]#REF'!$AH$21),1,IF(AND(ISTEXT('[1]#REF'!$AH$21),'[1]#REF'!$AH$21&lt;&gt;"N/A"),1,0))+IF(ISNUMBER('[1]#REF'!$AN$21),1,IF(AND(ISTEXT('[1]#REF'!$AN$21),'[1]#REF'!$AN$21&lt;&gt;"N/A"),1,0))+IF(ISNUMBER('[1]#REF'!$BS$21),1,IF(AND(ISTEXT('[1]#REF'!$BS$21),'[1]#REF'!$BS$21&lt;&gt;"N/A"),1,0))+IF(ISNUMBER('[1]#REF'!$BT$21),1,IF(AND(ISTEXT('[1]#REF'!$BT$21),'[1]#REF'!$BT$21&lt;&gt;"N/A"),1,0))+IF(ISNUMBER('[1]#REF'!$BU$21),1,IF(AND(ISTEXT('[1]#REF'!$BU$21),'[1]#REF'!$BU$21&lt;&gt;"N/A"),1,0))+IF(ISNUMBER('[1]#REF'!$BM$21),1,IF(AND(ISTEXT('[1]#REF'!$BM$21),'[1]#REF'!$BM$21&lt;&gt;"N/A"),1,0)))/12*100,0)</f>
        <v>#REF!</v>
      </c>
      <c r="BX21" s="42" t="e">
        <f>IF('[1]#REF'!$BW$21&gt;=Lookup_Lists!$D$159,"High",IF('[1]#REF'!$BW$21&gt;=Lookup_Lists!$D$160,"Medium","Limited Data"))</f>
        <v>#REF!</v>
      </c>
      <c r="BY21" s="42" t="s">
        <v>2377</v>
      </c>
    </row>
    <row r="22" spans="1:77">
      <c r="A22" s="64" t="s">
        <v>627</v>
      </c>
      <c r="B22" s="42" t="s">
        <v>2469</v>
      </c>
      <c r="C22" s="42" t="s">
        <v>2469</v>
      </c>
      <c r="D22" s="42" t="s">
        <v>2470</v>
      </c>
      <c r="E22" s="42" t="s">
        <v>391</v>
      </c>
      <c r="F22" s="42" t="s">
        <v>2357</v>
      </c>
      <c r="G22" s="72">
        <v>12292815</v>
      </c>
      <c r="H22" s="42" t="str">
        <f>IFERROR(INDEX(Lookup_Lists!$A$96:$A$100,MATCH('[1]#REF'!$G$22,Lookup_Lists!$B$96:$B$100,1)),"N/A")</f>
        <v>N/A</v>
      </c>
      <c r="I22" s="42" t="s">
        <v>295</v>
      </c>
      <c r="J22" s="42" t="s">
        <v>597</v>
      </c>
      <c r="K22" s="42" t="s">
        <v>597</v>
      </c>
      <c r="L22" s="42" t="s">
        <v>2359</v>
      </c>
      <c r="M22" s="81" t="s">
        <v>2360</v>
      </c>
      <c r="N22" s="42" t="s">
        <v>674</v>
      </c>
      <c r="O22" s="42" t="s">
        <v>2361</v>
      </c>
      <c r="P22" s="81" t="s">
        <v>2360</v>
      </c>
      <c r="Q22" s="81" t="s">
        <v>2360</v>
      </c>
      <c r="R22" s="81" t="s">
        <v>2360</v>
      </c>
      <c r="S22" s="42" t="s">
        <v>2471</v>
      </c>
      <c r="T22" s="42" t="s">
        <v>2472</v>
      </c>
      <c r="U22" s="42" t="s">
        <v>2473</v>
      </c>
      <c r="V22" s="81" t="s">
        <v>2360</v>
      </c>
      <c r="W22" s="81" t="s">
        <v>2360</v>
      </c>
      <c r="X22" s="81" t="s">
        <v>2360</v>
      </c>
      <c r="Y22" s="81" t="s">
        <v>2360</v>
      </c>
      <c r="Z22" s="81" t="s">
        <v>2360</v>
      </c>
      <c r="AA22" s="83">
        <v>38.46</v>
      </c>
      <c r="AB22" s="83">
        <v>61.54</v>
      </c>
      <c r="AC22" s="83">
        <v>26</v>
      </c>
      <c r="AD22" s="42" t="s">
        <v>179</v>
      </c>
      <c r="AE22" s="83">
        <v>16.7</v>
      </c>
      <c r="AF22" s="83">
        <v>6</v>
      </c>
      <c r="AG22" s="81" t="s">
        <v>2360</v>
      </c>
      <c r="AH22" s="81" t="s">
        <v>2360</v>
      </c>
      <c r="AI22" s="81" t="s">
        <v>2360</v>
      </c>
      <c r="AJ22" s="81" t="s">
        <v>2360</v>
      </c>
      <c r="AK22" s="81" t="s">
        <v>2360</v>
      </c>
      <c r="AL22" s="81" t="s">
        <v>2360</v>
      </c>
      <c r="AM22" s="81" t="s">
        <v>2360</v>
      </c>
      <c r="AN22" s="83">
        <v>16.3</v>
      </c>
      <c r="AO22" s="81" t="s">
        <v>2360</v>
      </c>
      <c r="AP22" s="83">
        <v>5.9</v>
      </c>
      <c r="AQ22" s="81" t="s">
        <v>2360</v>
      </c>
      <c r="AR22" s="83">
        <v>11.8</v>
      </c>
      <c r="AS22" s="83">
        <v>5.9</v>
      </c>
      <c r="AT22" s="83">
        <v>5.9</v>
      </c>
      <c r="AU22" s="81" t="s">
        <v>2360</v>
      </c>
      <c r="AV22" s="83">
        <v>5.9</v>
      </c>
      <c r="AW22" s="81" t="s">
        <v>2360</v>
      </c>
      <c r="AX22" s="81" t="s">
        <v>2360</v>
      </c>
      <c r="AY22" s="83">
        <v>11.8</v>
      </c>
      <c r="AZ22" s="83">
        <v>11.8</v>
      </c>
      <c r="BA22" s="83">
        <v>11.8</v>
      </c>
      <c r="BB22" s="83">
        <v>5.9</v>
      </c>
      <c r="BC22" s="83">
        <v>5.9</v>
      </c>
      <c r="BD22" s="81" t="s">
        <v>2360</v>
      </c>
      <c r="BE22" s="83">
        <v>11.8</v>
      </c>
      <c r="BF22" s="83">
        <v>5.9</v>
      </c>
      <c r="BG22" s="73">
        <v>0.12</v>
      </c>
      <c r="BH22" s="42" t="s">
        <v>919</v>
      </c>
      <c r="BI22" s="81" t="s">
        <v>2360</v>
      </c>
      <c r="BJ22" s="81" t="s">
        <v>2360</v>
      </c>
      <c r="BK22" s="81" t="s">
        <v>2360</v>
      </c>
      <c r="BL22" s="72">
        <v>0</v>
      </c>
      <c r="BM22" s="81" t="s">
        <v>2360</v>
      </c>
      <c r="BN22" s="81" t="s">
        <v>2360</v>
      </c>
      <c r="BO22" s="81" t="s">
        <v>2360</v>
      </c>
      <c r="BP22" s="84">
        <v>-0.051</v>
      </c>
      <c r="BQ22" s="81" t="s">
        <v>2360</v>
      </c>
      <c r="BR22" s="81" t="s">
        <v>2360</v>
      </c>
      <c r="BS22" s="65">
        <v>59</v>
      </c>
      <c r="BT22" s="65">
        <v>52</v>
      </c>
      <c r="BU22" s="65">
        <v>66</v>
      </c>
      <c r="BV22" s="81" t="s">
        <v>2360</v>
      </c>
      <c r="BW22" s="42" t="e">
        <f>ROUND((IF(ISNUMBER('[1]#REF'!$K$22),1,IF(AND(ISTEXT('[1]#REF'!$K$22),'[1]#REF'!$K$22&lt;&gt;"N/A"),1,0))+IF(ISNUMBER('[1]#REF'!$BG$22),1,IF(AND(ISTEXT('[1]#REF'!$BG$22),'[1]#REF'!$BG$22&lt;&gt;"N/A"),1,0))+IF(ISNUMBER('[1]#REF'!$BI$22),1,IF(AND(ISTEXT('[1]#REF'!$BI$22),'[1]#REF'!$BI$22&lt;&gt;"N/A"),1,0))+IF(ISNUMBER('[1]#REF'!$BK$22),1,IF(AND(ISTEXT('[1]#REF'!$BK$22),'[1]#REF'!$BK$22&lt;&gt;"N/A"),1,0))+IF(ISNUMBER('[1]#REF'!$AA$22),1,IF(AND(ISTEXT('[1]#REF'!$AA$22),'[1]#REF'!$AA$22&lt;&gt;"N/A"),1,0))+IF(ISNUMBER('[1]#REF'!$AE$22),1,IF(AND(ISTEXT('[1]#REF'!$AE$22),'[1]#REF'!$AE$22&lt;&gt;"N/A"),1,0))+IF(ISNUMBER('[1]#REF'!$AH$22),1,IF(AND(ISTEXT('[1]#REF'!$AH$22),'[1]#REF'!$AH$22&lt;&gt;"N/A"),1,0))+IF(ISNUMBER('[1]#REF'!$AN$22),1,IF(AND(ISTEXT('[1]#REF'!$AN$22),'[1]#REF'!$AN$22&lt;&gt;"N/A"),1,0))+IF(ISNUMBER('[1]#REF'!$BS$22),1,IF(AND(ISTEXT('[1]#REF'!$BS$22),'[1]#REF'!$BS$22&lt;&gt;"N/A"),1,0))+IF(ISNUMBER('[1]#REF'!$BT$22),1,IF(AND(ISTEXT('[1]#REF'!$BT$22),'[1]#REF'!$BT$22&lt;&gt;"N/A"),1,0))+IF(ISNUMBER('[1]#REF'!$BU$22),1,IF(AND(ISTEXT('[1]#REF'!$BU$22),'[1]#REF'!$BU$22&lt;&gt;"N/A"),1,0))+IF(ISNUMBER('[1]#REF'!$BM$22),1,IF(AND(ISTEXT('[1]#REF'!$BM$22),'[1]#REF'!$BM$22&lt;&gt;"N/A"),1,0)))/12*100,0)</f>
        <v>#REF!</v>
      </c>
      <c r="BX22" s="42" t="e">
        <f>IF('[1]#REF'!$BW$22&gt;=Lookup_Lists!$D$159,"High",IF('[1]#REF'!$BW$22&gt;=Lookup_Lists!$D$160,"Medium","Limited Data"))</f>
        <v>#REF!</v>
      </c>
      <c r="BY22" s="42" t="s">
        <v>2371</v>
      </c>
    </row>
    <row r="23" spans="1:77">
      <c r="A23" s="64" t="s">
        <v>636</v>
      </c>
      <c r="B23" s="42" t="s">
        <v>2474</v>
      </c>
      <c r="C23" s="42" t="s">
        <v>2474</v>
      </c>
      <c r="D23" s="42" t="s">
        <v>2475</v>
      </c>
      <c r="E23" s="42" t="s">
        <v>391</v>
      </c>
      <c r="F23" s="42" t="s">
        <v>2357</v>
      </c>
      <c r="G23" s="72">
        <v>12163586</v>
      </c>
      <c r="H23" s="42" t="str">
        <f>IFERROR(INDEX(Lookup_Lists!$A$96:$A$100,MATCH('[1]#REF'!$G$23,Lookup_Lists!$B$96:$B$100,1)),"N/A")</f>
        <v>N/A</v>
      </c>
      <c r="I23" s="42" t="s">
        <v>295</v>
      </c>
      <c r="J23" s="42" t="s">
        <v>666</v>
      </c>
      <c r="K23" s="42" t="s">
        <v>666</v>
      </c>
      <c r="L23" s="42" t="s">
        <v>2359</v>
      </c>
      <c r="M23" s="81" t="s">
        <v>2360</v>
      </c>
      <c r="N23" s="81" t="s">
        <v>2360</v>
      </c>
      <c r="O23" s="81" t="s">
        <v>2360</v>
      </c>
      <c r="P23" s="81" t="s">
        <v>2360</v>
      </c>
      <c r="Q23" s="81" t="s">
        <v>2360</v>
      </c>
      <c r="R23" s="81" t="s">
        <v>2360</v>
      </c>
      <c r="S23" s="42" t="s">
        <v>2476</v>
      </c>
      <c r="T23" s="42" t="s">
        <v>2477</v>
      </c>
      <c r="U23" s="81" t="s">
        <v>2360</v>
      </c>
      <c r="V23" s="81" t="s">
        <v>2360</v>
      </c>
      <c r="W23" s="81" t="s">
        <v>2360</v>
      </c>
      <c r="X23" s="81" t="s">
        <v>2360</v>
      </c>
      <c r="Y23" s="81" t="s">
        <v>2360</v>
      </c>
      <c r="Z23" s="81" t="s">
        <v>2360</v>
      </c>
      <c r="AA23" s="83">
        <v>45</v>
      </c>
      <c r="AB23" s="83">
        <v>55</v>
      </c>
      <c r="AC23" s="83">
        <v>20</v>
      </c>
      <c r="AD23" s="42" t="s">
        <v>179</v>
      </c>
      <c r="AE23" s="83">
        <v>90</v>
      </c>
      <c r="AF23" s="83">
        <v>10</v>
      </c>
      <c r="AG23" s="42" t="s">
        <v>2478</v>
      </c>
      <c r="AH23" s="83">
        <v>33.3</v>
      </c>
      <c r="AI23" s="42" t="s">
        <v>2433</v>
      </c>
      <c r="AJ23" s="83">
        <v>33.3</v>
      </c>
      <c r="AK23" s="42" t="s">
        <v>2479</v>
      </c>
      <c r="AL23" s="83">
        <v>33.3</v>
      </c>
      <c r="AM23" s="83">
        <v>100</v>
      </c>
      <c r="AN23" s="83">
        <v>15.5</v>
      </c>
      <c r="AO23" s="81" t="s">
        <v>2360</v>
      </c>
      <c r="AP23" s="81" t="s">
        <v>2360</v>
      </c>
      <c r="AQ23" s="83">
        <v>6.3</v>
      </c>
      <c r="AR23" s="83">
        <v>31.3</v>
      </c>
      <c r="AS23" s="83">
        <v>6.3</v>
      </c>
      <c r="AT23" s="81" t="s">
        <v>2360</v>
      </c>
      <c r="AU23" s="83">
        <v>6.3</v>
      </c>
      <c r="AV23" s="81" t="s">
        <v>2360</v>
      </c>
      <c r="AW23" s="81" t="s">
        <v>2360</v>
      </c>
      <c r="AX23" s="83">
        <v>6.3</v>
      </c>
      <c r="AY23" s="83">
        <v>6.3</v>
      </c>
      <c r="AZ23" s="83">
        <v>12.5</v>
      </c>
      <c r="BA23" s="83">
        <v>6.3</v>
      </c>
      <c r="BB23" s="81" t="s">
        <v>2360</v>
      </c>
      <c r="BC23" s="83">
        <v>12.5</v>
      </c>
      <c r="BD23" s="81" t="s">
        <v>2360</v>
      </c>
      <c r="BE23" s="83">
        <v>6.3</v>
      </c>
      <c r="BF23" s="81" t="s">
        <v>2360</v>
      </c>
      <c r="BG23" s="73">
        <v>0.08</v>
      </c>
      <c r="BH23" s="42" t="s">
        <v>919</v>
      </c>
      <c r="BI23" s="81" t="s">
        <v>2360</v>
      </c>
      <c r="BJ23" s="81" t="s">
        <v>2360</v>
      </c>
      <c r="BK23" s="81" t="s">
        <v>2360</v>
      </c>
      <c r="BL23" s="72">
        <v>10</v>
      </c>
      <c r="BM23" s="73">
        <v>300</v>
      </c>
      <c r="BN23" s="72">
        <v>1</v>
      </c>
      <c r="BO23" s="42" t="s">
        <v>291</v>
      </c>
      <c r="BP23" s="84">
        <v>0.0343</v>
      </c>
      <c r="BQ23" s="83">
        <v>0</v>
      </c>
      <c r="BR23" s="81" t="s">
        <v>2360</v>
      </c>
      <c r="BS23" s="65">
        <v>63</v>
      </c>
      <c r="BT23" s="65">
        <v>52</v>
      </c>
      <c r="BU23" s="65">
        <v>74</v>
      </c>
      <c r="BV23" s="81" t="s">
        <v>2360</v>
      </c>
      <c r="BW23" s="42" t="e">
        <f>ROUND((IF(ISNUMBER('[1]#REF'!$K$23),1,IF(AND(ISTEXT('[1]#REF'!$K$23),'[1]#REF'!$K$23&lt;&gt;"N/A"),1,0))+IF(ISNUMBER('[1]#REF'!$BG$23),1,IF(AND(ISTEXT('[1]#REF'!$BG$23),'[1]#REF'!$BG$23&lt;&gt;"N/A"),1,0))+IF(ISNUMBER('[1]#REF'!$BI$23),1,IF(AND(ISTEXT('[1]#REF'!$BI$23),'[1]#REF'!$BI$23&lt;&gt;"N/A"),1,0))+IF(ISNUMBER('[1]#REF'!$BK$23),1,IF(AND(ISTEXT('[1]#REF'!$BK$23),'[1]#REF'!$BK$23&lt;&gt;"N/A"),1,0))+IF(ISNUMBER('[1]#REF'!$AA$23),1,IF(AND(ISTEXT('[1]#REF'!$AA$23),'[1]#REF'!$AA$23&lt;&gt;"N/A"),1,0))+IF(ISNUMBER('[1]#REF'!$AE$23),1,IF(AND(ISTEXT('[1]#REF'!$AE$23),'[1]#REF'!$AE$23&lt;&gt;"N/A"),1,0))+IF(ISNUMBER('[1]#REF'!$AH$23),1,IF(AND(ISTEXT('[1]#REF'!$AH$23),'[1]#REF'!$AH$23&lt;&gt;"N/A"),1,0))+IF(ISNUMBER('[1]#REF'!$AN$23),1,IF(AND(ISTEXT('[1]#REF'!$AN$23),'[1]#REF'!$AN$23&lt;&gt;"N/A"),1,0))+IF(ISNUMBER('[1]#REF'!$BS$23),1,IF(AND(ISTEXT('[1]#REF'!$BS$23),'[1]#REF'!$BS$23&lt;&gt;"N/A"),1,0))+IF(ISNUMBER('[1]#REF'!$BT$23),1,IF(AND(ISTEXT('[1]#REF'!$BT$23),'[1]#REF'!$BT$23&lt;&gt;"N/A"),1,0))+IF(ISNUMBER('[1]#REF'!$BU$23),1,IF(AND(ISTEXT('[1]#REF'!$BU$23),'[1]#REF'!$BU$23&lt;&gt;"N/A"),1,0))+IF(ISNUMBER('[1]#REF'!$BM$23),1,IF(AND(ISTEXT('[1]#REF'!$BM$23),'[1]#REF'!$BM$23&lt;&gt;"N/A"),1,0)))/12*100,0)</f>
        <v>#REF!</v>
      </c>
      <c r="BX23" s="42" t="e">
        <f>IF('[1]#REF'!$BW$23&gt;=Lookup_Lists!$D$159,"High",IF('[1]#REF'!$BW$23&gt;=Lookup_Lists!$D$160,"Medium","Limited Data"))</f>
        <v>#REF!</v>
      </c>
      <c r="BY23" s="42" t="s">
        <v>2480</v>
      </c>
    </row>
    <row r="24" spans="1:77">
      <c r="A24" s="64" t="s">
        <v>644</v>
      </c>
      <c r="B24" s="42" t="s">
        <v>2481</v>
      </c>
      <c r="C24" s="42" t="s">
        <v>2481</v>
      </c>
      <c r="D24" s="42" t="s">
        <v>2482</v>
      </c>
      <c r="E24" s="42" t="s">
        <v>392</v>
      </c>
      <c r="F24" s="42" t="s">
        <v>2357</v>
      </c>
      <c r="G24" s="72">
        <v>12100000</v>
      </c>
      <c r="H24" s="42" t="str">
        <f>IFERROR(INDEX(Lookup_Lists!$A$96:$A$100,MATCH('[1]#REF'!$G$24,Lookup_Lists!$B$96:$B$100,1)),"N/A")</f>
        <v>N/A</v>
      </c>
      <c r="I24" s="42" t="s">
        <v>295</v>
      </c>
      <c r="J24" s="81" t="s">
        <v>2360</v>
      </c>
      <c r="K24" s="81" t="s">
        <v>2360</v>
      </c>
      <c r="L24" s="81" t="s">
        <v>2360</v>
      </c>
      <c r="M24" s="81" t="s">
        <v>2360</v>
      </c>
      <c r="N24" s="81" t="s">
        <v>2360</v>
      </c>
      <c r="O24" s="42" t="s">
        <v>2483</v>
      </c>
      <c r="P24" s="81" t="s">
        <v>2360</v>
      </c>
      <c r="Q24" s="81" t="s">
        <v>2360</v>
      </c>
      <c r="R24" s="81" t="s">
        <v>2360</v>
      </c>
      <c r="S24" s="81" t="s">
        <v>2360</v>
      </c>
      <c r="T24" s="42" t="s">
        <v>2484</v>
      </c>
      <c r="U24" s="81" t="s">
        <v>2360</v>
      </c>
      <c r="V24" s="81" t="s">
        <v>2360</v>
      </c>
      <c r="W24" s="81" t="s">
        <v>2360</v>
      </c>
      <c r="X24" s="81" t="s">
        <v>2360</v>
      </c>
      <c r="Y24" s="81" t="s">
        <v>2360</v>
      </c>
      <c r="Z24" s="81" t="s">
        <v>2360</v>
      </c>
      <c r="AA24" s="83">
        <v>65.62</v>
      </c>
      <c r="AB24" s="83">
        <v>34.38</v>
      </c>
      <c r="AC24" s="83">
        <v>32</v>
      </c>
      <c r="AD24" s="42" t="s">
        <v>179</v>
      </c>
      <c r="AE24" s="83">
        <v>58.3</v>
      </c>
      <c r="AF24" s="83">
        <v>12</v>
      </c>
      <c r="AG24" s="81" t="s">
        <v>2360</v>
      </c>
      <c r="AH24" s="81" t="s">
        <v>2360</v>
      </c>
      <c r="AI24" s="81" t="s">
        <v>2360</v>
      </c>
      <c r="AJ24" s="81" t="s">
        <v>2360</v>
      </c>
      <c r="AK24" s="81" t="s">
        <v>2360</v>
      </c>
      <c r="AL24" s="81" t="s">
        <v>2360</v>
      </c>
      <c r="AM24" s="81" t="s">
        <v>2360</v>
      </c>
      <c r="AN24" s="83">
        <v>7</v>
      </c>
      <c r="AO24" s="81" t="s">
        <v>2360</v>
      </c>
      <c r="AP24" s="81" t="s">
        <v>2360</v>
      </c>
      <c r="AQ24" s="81" t="s">
        <v>2360</v>
      </c>
      <c r="AR24" s="81" t="s">
        <v>2360</v>
      </c>
      <c r="AS24" s="81" t="s">
        <v>2360</v>
      </c>
      <c r="AT24" s="81" t="s">
        <v>2360</v>
      </c>
      <c r="AU24" s="81" t="s">
        <v>2360</v>
      </c>
      <c r="AV24" s="81" t="s">
        <v>2360</v>
      </c>
      <c r="AW24" s="83">
        <v>28.6</v>
      </c>
      <c r="AX24" s="81" t="s">
        <v>2360</v>
      </c>
      <c r="AY24" s="81" t="s">
        <v>2360</v>
      </c>
      <c r="AZ24" s="83">
        <v>14.3</v>
      </c>
      <c r="BA24" s="81" t="s">
        <v>2360</v>
      </c>
      <c r="BB24" s="83">
        <v>14.3</v>
      </c>
      <c r="BC24" s="83">
        <v>42.9</v>
      </c>
      <c r="BD24" s="81" t="s">
        <v>2360</v>
      </c>
      <c r="BE24" s="81" t="s">
        <v>2360</v>
      </c>
      <c r="BF24" s="81" t="s">
        <v>2360</v>
      </c>
      <c r="BG24" s="73">
        <v>0.06</v>
      </c>
      <c r="BH24" s="42" t="s">
        <v>2400</v>
      </c>
      <c r="BI24" s="72">
        <v>96298.4</v>
      </c>
      <c r="BJ24" s="72">
        <v>66800</v>
      </c>
      <c r="BK24" s="82">
        <v>0.6463</v>
      </c>
      <c r="BL24" s="81" t="s">
        <v>2360</v>
      </c>
      <c r="BM24" s="73">
        <v>150</v>
      </c>
      <c r="BN24" s="72">
        <v>2</v>
      </c>
      <c r="BO24" s="42" t="s">
        <v>291</v>
      </c>
      <c r="BP24" s="84">
        <v>0</v>
      </c>
      <c r="BQ24" s="83">
        <v>20</v>
      </c>
      <c r="BR24" s="81" t="s">
        <v>2360</v>
      </c>
      <c r="BS24" s="65">
        <v>70</v>
      </c>
      <c r="BT24" s="65">
        <v>57</v>
      </c>
      <c r="BU24" s="65">
        <v>82</v>
      </c>
      <c r="BV24" s="81" t="s">
        <v>2360</v>
      </c>
      <c r="BW24" s="42" t="e">
        <f>ROUND((IF(ISNUMBER('[1]#REF'!$K$24),1,IF(AND(ISTEXT('[1]#REF'!$K$24),'[1]#REF'!$K$24&lt;&gt;"N/A"),1,0))+IF(ISNUMBER('[1]#REF'!$BG$24),1,IF(AND(ISTEXT('[1]#REF'!$BG$24),'[1]#REF'!$BG$24&lt;&gt;"N/A"),1,0))+IF(ISNUMBER('[1]#REF'!$BI$24),1,IF(AND(ISTEXT('[1]#REF'!$BI$24),'[1]#REF'!$BI$24&lt;&gt;"N/A"),1,0))+IF(ISNUMBER('[1]#REF'!$BK$24),1,IF(AND(ISTEXT('[1]#REF'!$BK$24),'[1]#REF'!$BK$24&lt;&gt;"N/A"),1,0))+IF(ISNUMBER('[1]#REF'!$AA$24),1,IF(AND(ISTEXT('[1]#REF'!$AA$24),'[1]#REF'!$AA$24&lt;&gt;"N/A"),1,0))+IF(ISNUMBER('[1]#REF'!$AE$24),1,IF(AND(ISTEXT('[1]#REF'!$AE$24),'[1]#REF'!$AE$24&lt;&gt;"N/A"),1,0))+IF(ISNUMBER('[1]#REF'!$AH$24),1,IF(AND(ISTEXT('[1]#REF'!$AH$24),'[1]#REF'!$AH$24&lt;&gt;"N/A"),1,0))+IF(ISNUMBER('[1]#REF'!$AN$24),1,IF(AND(ISTEXT('[1]#REF'!$AN$24),'[1]#REF'!$AN$24&lt;&gt;"N/A"),1,0))+IF(ISNUMBER('[1]#REF'!$BS$24),1,IF(AND(ISTEXT('[1]#REF'!$BS$24),'[1]#REF'!$BS$24&lt;&gt;"N/A"),1,0))+IF(ISNUMBER('[1]#REF'!$BT$24),1,IF(AND(ISTEXT('[1]#REF'!$BT$24),'[1]#REF'!$BT$24&lt;&gt;"N/A"),1,0))+IF(ISNUMBER('[1]#REF'!$BU$24),1,IF(AND(ISTEXT('[1]#REF'!$BU$24),'[1]#REF'!$BU$24&lt;&gt;"N/A"),1,0))+IF(ISNUMBER('[1]#REF'!$BM$24),1,IF(AND(ISTEXT('[1]#REF'!$BM$24),'[1]#REF'!$BM$24&lt;&gt;"N/A"),1,0)))/12*100,0)</f>
        <v>#REF!</v>
      </c>
      <c r="BX24" s="42" t="e">
        <f>IF('[1]#REF'!$BW$24&gt;=Lookup_Lists!$D$159,"High",IF('[1]#REF'!$BW$24&gt;=Lookup_Lists!$D$160,"Medium","Limited Data"))</f>
        <v>#REF!</v>
      </c>
      <c r="BY24" s="42" t="s">
        <v>2485</v>
      </c>
    </row>
    <row r="25" spans="1:77">
      <c r="A25" s="64" t="s">
        <v>653</v>
      </c>
      <c r="B25" s="42" t="s">
        <v>2486</v>
      </c>
      <c r="C25" s="42" t="s">
        <v>2486</v>
      </c>
      <c r="D25" s="42" t="s">
        <v>2487</v>
      </c>
      <c r="E25" s="42" t="s">
        <v>392</v>
      </c>
      <c r="F25" s="42" t="s">
        <v>2357</v>
      </c>
      <c r="G25" s="72">
        <v>12000000</v>
      </c>
      <c r="H25" s="42" t="str">
        <f>IFERROR(INDEX(Lookup_Lists!$A$96:$A$100,MATCH('[1]#REF'!$G$25,Lookup_Lists!$B$96:$B$100,1)),"N/A")</f>
        <v>N/A</v>
      </c>
      <c r="I25" s="42" t="s">
        <v>291</v>
      </c>
      <c r="J25" s="42" t="s">
        <v>666</v>
      </c>
      <c r="K25" s="42" t="s">
        <v>666</v>
      </c>
      <c r="L25" s="42" t="s">
        <v>2359</v>
      </c>
      <c r="M25" s="81" t="s">
        <v>2360</v>
      </c>
      <c r="N25" s="81" t="s">
        <v>2360</v>
      </c>
      <c r="O25" s="81" t="s">
        <v>2360</v>
      </c>
      <c r="P25" s="81" t="s">
        <v>2360</v>
      </c>
      <c r="Q25" s="81" t="s">
        <v>2360</v>
      </c>
      <c r="R25" s="81" t="s">
        <v>2360</v>
      </c>
      <c r="S25" s="81" t="s">
        <v>2360</v>
      </c>
      <c r="T25" s="42" t="s">
        <v>2488</v>
      </c>
      <c r="U25" s="42" t="s">
        <v>2489</v>
      </c>
      <c r="V25" s="81" t="s">
        <v>2360</v>
      </c>
      <c r="W25" s="81" t="s">
        <v>2360</v>
      </c>
      <c r="X25" s="81" t="s">
        <v>2360</v>
      </c>
      <c r="Y25" s="81" t="s">
        <v>2360</v>
      </c>
      <c r="Z25" s="81" t="s">
        <v>2360</v>
      </c>
      <c r="AA25" s="83">
        <v>90</v>
      </c>
      <c r="AB25" s="83">
        <v>10</v>
      </c>
      <c r="AC25" s="83">
        <v>20</v>
      </c>
      <c r="AD25" s="42" t="s">
        <v>179</v>
      </c>
      <c r="AE25" s="83">
        <v>55.6</v>
      </c>
      <c r="AF25" s="83">
        <v>9</v>
      </c>
      <c r="AG25" s="81" t="s">
        <v>2360</v>
      </c>
      <c r="AH25" s="81" t="s">
        <v>2360</v>
      </c>
      <c r="AI25" s="81" t="s">
        <v>2360</v>
      </c>
      <c r="AJ25" s="81" t="s">
        <v>2360</v>
      </c>
      <c r="AK25" s="81" t="s">
        <v>2360</v>
      </c>
      <c r="AL25" s="81" t="s">
        <v>2360</v>
      </c>
      <c r="AM25" s="81" t="s">
        <v>2360</v>
      </c>
      <c r="AN25" s="83">
        <v>11</v>
      </c>
      <c r="AO25" s="81" t="s">
        <v>2360</v>
      </c>
      <c r="AP25" s="81" t="s">
        <v>2360</v>
      </c>
      <c r="AQ25" s="81" t="s">
        <v>2360</v>
      </c>
      <c r="AR25" s="81" t="s">
        <v>2360</v>
      </c>
      <c r="AS25" s="81" t="s">
        <v>2360</v>
      </c>
      <c r="AT25" s="81" t="s">
        <v>2360</v>
      </c>
      <c r="AU25" s="81" t="s">
        <v>2360</v>
      </c>
      <c r="AV25" s="81" t="s">
        <v>2360</v>
      </c>
      <c r="AW25" s="83">
        <v>18.2</v>
      </c>
      <c r="AX25" s="83">
        <v>9.1</v>
      </c>
      <c r="AY25" s="83">
        <v>18.2</v>
      </c>
      <c r="AZ25" s="83">
        <v>27.3</v>
      </c>
      <c r="BA25" s="83">
        <v>9.1</v>
      </c>
      <c r="BB25" s="81" t="s">
        <v>2360</v>
      </c>
      <c r="BC25" s="83">
        <v>9.1</v>
      </c>
      <c r="BD25" s="81" t="s">
        <v>2360</v>
      </c>
      <c r="BE25" s="83">
        <v>9.1</v>
      </c>
      <c r="BF25" s="81" t="s">
        <v>2360</v>
      </c>
      <c r="BG25" s="73">
        <v>1.81</v>
      </c>
      <c r="BH25" s="42" t="s">
        <v>2400</v>
      </c>
      <c r="BI25" s="72">
        <v>2383810</v>
      </c>
      <c r="BJ25" s="72">
        <v>1700000</v>
      </c>
      <c r="BK25" s="82">
        <v>16.1074</v>
      </c>
      <c r="BL25" s="81" t="s">
        <v>2360</v>
      </c>
      <c r="BM25" s="73">
        <v>42.86</v>
      </c>
      <c r="BN25" s="72">
        <v>7</v>
      </c>
      <c r="BO25" s="42" t="s">
        <v>291</v>
      </c>
      <c r="BP25" s="84">
        <v>0.6711</v>
      </c>
      <c r="BQ25" s="83">
        <v>0</v>
      </c>
      <c r="BR25" s="81" t="s">
        <v>2360</v>
      </c>
      <c r="BS25" s="65">
        <v>75</v>
      </c>
      <c r="BT25" s="65">
        <v>67</v>
      </c>
      <c r="BU25" s="65">
        <v>83</v>
      </c>
      <c r="BV25" s="81" t="s">
        <v>2360</v>
      </c>
      <c r="BW25" s="42" t="e">
        <f>ROUND((IF(ISNUMBER('[1]#REF'!$K$25),1,IF(AND(ISTEXT('[1]#REF'!$K$25),'[1]#REF'!$K$25&lt;&gt;"N/A"),1,0))+IF(ISNUMBER('[1]#REF'!$BG$25),1,IF(AND(ISTEXT('[1]#REF'!$BG$25),'[1]#REF'!$BG$25&lt;&gt;"N/A"),1,0))+IF(ISNUMBER('[1]#REF'!$BI$25),1,IF(AND(ISTEXT('[1]#REF'!$BI$25),'[1]#REF'!$BI$25&lt;&gt;"N/A"),1,0))+IF(ISNUMBER('[1]#REF'!$BK$25),1,IF(AND(ISTEXT('[1]#REF'!$BK$25),'[1]#REF'!$BK$25&lt;&gt;"N/A"),1,0))+IF(ISNUMBER('[1]#REF'!$AA$25),1,IF(AND(ISTEXT('[1]#REF'!$AA$25),'[1]#REF'!$AA$25&lt;&gt;"N/A"),1,0))+IF(ISNUMBER('[1]#REF'!$AE$25),1,IF(AND(ISTEXT('[1]#REF'!$AE$25),'[1]#REF'!$AE$25&lt;&gt;"N/A"),1,0))+IF(ISNUMBER('[1]#REF'!$AH$25),1,IF(AND(ISTEXT('[1]#REF'!$AH$25),'[1]#REF'!$AH$25&lt;&gt;"N/A"),1,0))+IF(ISNUMBER('[1]#REF'!$AN$25),1,IF(AND(ISTEXT('[1]#REF'!$AN$25),'[1]#REF'!$AN$25&lt;&gt;"N/A"),1,0))+IF(ISNUMBER('[1]#REF'!$BS$25),1,IF(AND(ISTEXT('[1]#REF'!$BS$25),'[1]#REF'!$BS$25&lt;&gt;"N/A"),1,0))+IF(ISNUMBER('[1]#REF'!$BT$25),1,IF(AND(ISTEXT('[1]#REF'!$BT$25),'[1]#REF'!$BT$25&lt;&gt;"N/A"),1,0))+IF(ISNUMBER('[1]#REF'!$BU$25),1,IF(AND(ISTEXT('[1]#REF'!$BU$25),'[1]#REF'!$BU$25&lt;&gt;"N/A"),1,0))+IF(ISNUMBER('[1]#REF'!$BM$25),1,IF(AND(ISTEXT('[1]#REF'!$BM$25),'[1]#REF'!$BM$25&lt;&gt;"N/A"),1,0)))/12*100,0)</f>
        <v>#REF!</v>
      </c>
      <c r="BX25" s="42" t="e">
        <f>IF('[1]#REF'!$BW$25&gt;=Lookup_Lists!$D$159,"High",IF('[1]#REF'!$BW$25&gt;=Lookup_Lists!$D$160,"Medium","Limited Data"))</f>
        <v>#REF!</v>
      </c>
      <c r="BY25" s="42" t="s">
        <v>2490</v>
      </c>
    </row>
    <row r="26" spans="1:77">
      <c r="A26" s="64" t="s">
        <v>663</v>
      </c>
      <c r="B26" s="42" t="s">
        <v>2491</v>
      </c>
      <c r="C26" s="42" t="s">
        <v>2492</v>
      </c>
      <c r="D26" s="42" t="s">
        <v>2493</v>
      </c>
      <c r="E26" s="42" t="s">
        <v>392</v>
      </c>
      <c r="F26" s="42" t="s">
        <v>2494</v>
      </c>
      <c r="G26" s="72">
        <v>11800000</v>
      </c>
      <c r="H26" s="42" t="str">
        <f>IFERROR(INDEX(Lookup_Lists!$A$96:$A$100,MATCH('[1]#REF'!$G$26,Lookup_Lists!$B$96:$B$100,1)),"N/A")</f>
        <v>N/A</v>
      </c>
      <c r="I26" s="42" t="s">
        <v>295</v>
      </c>
      <c r="J26" s="42" t="s">
        <v>244</v>
      </c>
      <c r="K26" s="42" t="s">
        <v>244</v>
      </c>
      <c r="L26" s="42" t="s">
        <v>2359</v>
      </c>
      <c r="M26" s="81" t="s">
        <v>2360</v>
      </c>
      <c r="N26" s="81" t="s">
        <v>2360</v>
      </c>
      <c r="O26" s="81" t="s">
        <v>2360</v>
      </c>
      <c r="P26" s="81" t="s">
        <v>2360</v>
      </c>
      <c r="Q26" s="81" t="s">
        <v>2360</v>
      </c>
      <c r="R26" s="81" t="s">
        <v>2360</v>
      </c>
      <c r="S26" s="81" t="s">
        <v>2360</v>
      </c>
      <c r="T26" s="81" t="s">
        <v>2360</v>
      </c>
      <c r="U26" s="81" t="s">
        <v>2360</v>
      </c>
      <c r="V26" s="81" t="s">
        <v>2360</v>
      </c>
      <c r="W26" s="81" t="s">
        <v>2360</v>
      </c>
      <c r="X26" s="81" t="s">
        <v>2360</v>
      </c>
      <c r="Y26" s="81" t="s">
        <v>2360</v>
      </c>
      <c r="Z26" s="81" t="s">
        <v>2360</v>
      </c>
      <c r="AA26" s="81" t="s">
        <v>2360</v>
      </c>
      <c r="AB26" s="81" t="s">
        <v>2360</v>
      </c>
      <c r="AC26" s="81" t="s">
        <v>2360</v>
      </c>
      <c r="AD26" s="81" t="s">
        <v>2360</v>
      </c>
      <c r="AE26" s="81" t="s">
        <v>2360</v>
      </c>
      <c r="AF26" s="81" t="s">
        <v>2360</v>
      </c>
      <c r="AG26" s="81" t="s">
        <v>2360</v>
      </c>
      <c r="AH26" s="81" t="s">
        <v>2360</v>
      </c>
      <c r="AI26" s="81" t="s">
        <v>2360</v>
      </c>
      <c r="AJ26" s="81" t="s">
        <v>2360</v>
      </c>
      <c r="AK26" s="81" t="s">
        <v>2360</v>
      </c>
      <c r="AL26" s="81" t="s">
        <v>2360</v>
      </c>
      <c r="AM26" s="81" t="s">
        <v>2360</v>
      </c>
      <c r="AN26" s="81" t="s">
        <v>2360</v>
      </c>
      <c r="AO26" s="81" t="s">
        <v>2360</v>
      </c>
      <c r="AP26" s="81" t="s">
        <v>2360</v>
      </c>
      <c r="AQ26" s="81" t="s">
        <v>2360</v>
      </c>
      <c r="AR26" s="81" t="s">
        <v>2360</v>
      </c>
      <c r="AS26" s="81" t="s">
        <v>2360</v>
      </c>
      <c r="AT26" s="81" t="s">
        <v>2360</v>
      </c>
      <c r="AU26" s="81" t="s">
        <v>2360</v>
      </c>
      <c r="AV26" s="81" t="s">
        <v>2360</v>
      </c>
      <c r="AW26" s="81" t="s">
        <v>2360</v>
      </c>
      <c r="AX26" s="81" t="s">
        <v>2360</v>
      </c>
      <c r="AY26" s="81" t="s">
        <v>2360</v>
      </c>
      <c r="AZ26" s="81" t="s">
        <v>2360</v>
      </c>
      <c r="BA26" s="81" t="s">
        <v>2360</v>
      </c>
      <c r="BB26" s="81" t="s">
        <v>2360</v>
      </c>
      <c r="BC26" s="81" t="s">
        <v>2360</v>
      </c>
      <c r="BD26" s="81" t="s">
        <v>2360</v>
      </c>
      <c r="BE26" s="81" t="s">
        <v>2360</v>
      </c>
      <c r="BF26" s="81" t="s">
        <v>2360</v>
      </c>
      <c r="BG26" s="81" t="s">
        <v>2360</v>
      </c>
      <c r="BH26" s="81" t="s">
        <v>2360</v>
      </c>
      <c r="BI26" s="81" t="s">
        <v>2360</v>
      </c>
      <c r="BJ26" s="81" t="s">
        <v>2360</v>
      </c>
      <c r="BK26" s="81" t="s">
        <v>2360</v>
      </c>
      <c r="BL26" s="81" t="s">
        <v>2360</v>
      </c>
      <c r="BM26" s="81" t="s">
        <v>2360</v>
      </c>
      <c r="BN26" s="81" t="s">
        <v>2360</v>
      </c>
      <c r="BO26" s="81" t="s">
        <v>2360</v>
      </c>
      <c r="BP26" s="81" t="s">
        <v>2360</v>
      </c>
      <c r="BQ26" s="81" t="s">
        <v>2360</v>
      </c>
      <c r="BR26" s="81" t="s">
        <v>2360</v>
      </c>
      <c r="BS26" s="81" t="s">
        <v>2360</v>
      </c>
      <c r="BT26" s="81" t="s">
        <v>2360</v>
      </c>
      <c r="BU26" s="81" t="s">
        <v>2360</v>
      </c>
      <c r="BV26" s="81" t="s">
        <v>2360</v>
      </c>
      <c r="BW26" s="42" t="e">
        <f>ROUND((IF(ISNUMBER('[1]#REF'!$K$26),1,IF(AND(ISTEXT('[1]#REF'!$K$26),'[1]#REF'!$K$26&lt;&gt;"N/A"),1,0))+IF(ISNUMBER('[1]#REF'!$BG$26),1,IF(AND(ISTEXT('[1]#REF'!$BG$26),'[1]#REF'!$BG$26&lt;&gt;"N/A"),1,0))+IF(ISNUMBER('[1]#REF'!$BI$26),1,IF(AND(ISTEXT('[1]#REF'!$BI$26),'[1]#REF'!$BI$26&lt;&gt;"N/A"),1,0))+IF(ISNUMBER('[1]#REF'!$BK$26),1,IF(AND(ISTEXT('[1]#REF'!$BK$26),'[1]#REF'!$BK$26&lt;&gt;"N/A"),1,0))+IF(ISNUMBER('[1]#REF'!$AA$26),1,IF(AND(ISTEXT('[1]#REF'!$AA$26),'[1]#REF'!$AA$26&lt;&gt;"N/A"),1,0))+IF(ISNUMBER('[1]#REF'!$AE$26),1,IF(AND(ISTEXT('[1]#REF'!$AE$26),'[1]#REF'!$AE$26&lt;&gt;"N/A"),1,0))+IF(ISNUMBER('[1]#REF'!$AH$26),1,IF(AND(ISTEXT('[1]#REF'!$AH$26),'[1]#REF'!$AH$26&lt;&gt;"N/A"),1,0))+IF(ISNUMBER('[1]#REF'!$AN$26),1,IF(AND(ISTEXT('[1]#REF'!$AN$26),'[1]#REF'!$AN$26&lt;&gt;"N/A"),1,0))+IF(ISNUMBER('[1]#REF'!$BS$26),1,IF(AND(ISTEXT('[1]#REF'!$BS$26),'[1]#REF'!$BS$26&lt;&gt;"N/A"),1,0))+IF(ISNUMBER('[1]#REF'!$BT$26),1,IF(AND(ISTEXT('[1]#REF'!$BT$26),'[1]#REF'!$BT$26&lt;&gt;"N/A"),1,0))+IF(ISNUMBER('[1]#REF'!$BU$26),1,IF(AND(ISTEXT('[1]#REF'!$BU$26),'[1]#REF'!$BU$26&lt;&gt;"N/A"),1,0))+IF(ISNUMBER('[1]#REF'!$BM$26),1,IF(AND(ISTEXT('[1]#REF'!$BM$26),'[1]#REF'!$BM$26&lt;&gt;"N/A"),1,0)))/12*100,0)</f>
        <v>#REF!</v>
      </c>
      <c r="BX26" s="42" t="e">
        <f>IF('[1]#REF'!$BW$26&gt;=Lookup_Lists!$D$159,"High",IF('[1]#REF'!$BW$26&gt;=Lookup_Lists!$D$160,"Medium","Limited Data"))</f>
        <v>#REF!</v>
      </c>
      <c r="BY26" s="42" t="s">
        <v>2495</v>
      </c>
    </row>
    <row r="27" spans="1:77">
      <c r="A27" s="64" t="s">
        <v>671</v>
      </c>
      <c r="B27" s="42" t="s">
        <v>2496</v>
      </c>
      <c r="C27" s="42" t="s">
        <v>2496</v>
      </c>
      <c r="D27" s="42" t="s">
        <v>2497</v>
      </c>
      <c r="E27" s="42" t="s">
        <v>391</v>
      </c>
      <c r="F27" s="42" t="s">
        <v>2357</v>
      </c>
      <c r="G27" s="72">
        <v>11208273</v>
      </c>
      <c r="H27" s="42" t="str">
        <f>IFERROR(INDEX(Lookup_Lists!$A$96:$A$100,MATCH('[1]#REF'!$G$27,Lookup_Lists!$B$96:$B$100,1)),"N/A")</f>
        <v>N/A</v>
      </c>
      <c r="I27" s="42" t="s">
        <v>295</v>
      </c>
      <c r="J27" s="42" t="s">
        <v>613</v>
      </c>
      <c r="K27" s="42" t="s">
        <v>613</v>
      </c>
      <c r="L27" s="42" t="s">
        <v>2359</v>
      </c>
      <c r="M27" s="81" t="s">
        <v>2360</v>
      </c>
      <c r="N27" s="42" t="s">
        <v>2498</v>
      </c>
      <c r="O27" s="42" t="s">
        <v>2499</v>
      </c>
      <c r="P27" s="81" t="s">
        <v>2360</v>
      </c>
      <c r="Q27" s="81" t="s">
        <v>2360</v>
      </c>
      <c r="R27" s="81" t="s">
        <v>2360</v>
      </c>
      <c r="S27" s="42" t="s">
        <v>2500</v>
      </c>
      <c r="T27" s="42" t="s">
        <v>2501</v>
      </c>
      <c r="U27" s="42" t="s">
        <v>2502</v>
      </c>
      <c r="V27" s="81" t="s">
        <v>2360</v>
      </c>
      <c r="W27" s="81" t="s">
        <v>2360</v>
      </c>
      <c r="X27" s="81" t="s">
        <v>2360</v>
      </c>
      <c r="Y27" s="81" t="s">
        <v>2360</v>
      </c>
      <c r="Z27" s="81" t="s">
        <v>2360</v>
      </c>
      <c r="AA27" s="83">
        <v>25.64</v>
      </c>
      <c r="AB27" s="83">
        <v>74.36</v>
      </c>
      <c r="AC27" s="83">
        <v>39</v>
      </c>
      <c r="AD27" s="42" t="s">
        <v>179</v>
      </c>
      <c r="AE27" s="83">
        <v>100</v>
      </c>
      <c r="AF27" s="83">
        <v>10</v>
      </c>
      <c r="AG27" s="42" t="s">
        <v>632</v>
      </c>
      <c r="AH27" s="83">
        <v>12.5</v>
      </c>
      <c r="AI27" s="42" t="s">
        <v>507</v>
      </c>
      <c r="AJ27" s="83">
        <v>12.5</v>
      </c>
      <c r="AK27" s="42" t="s">
        <v>2503</v>
      </c>
      <c r="AL27" s="83">
        <v>12.5</v>
      </c>
      <c r="AM27" s="83">
        <v>100</v>
      </c>
      <c r="AN27" s="83">
        <v>24.5</v>
      </c>
      <c r="AO27" s="83">
        <v>3.8</v>
      </c>
      <c r="AP27" s="81" t="s">
        <v>2360</v>
      </c>
      <c r="AQ27" s="83">
        <v>3.8</v>
      </c>
      <c r="AR27" s="83">
        <v>23.1</v>
      </c>
      <c r="AS27" s="81" t="s">
        <v>2360</v>
      </c>
      <c r="AT27" s="81" t="s">
        <v>2360</v>
      </c>
      <c r="AU27" s="83">
        <v>7.7</v>
      </c>
      <c r="AV27" s="81" t="s">
        <v>2360</v>
      </c>
      <c r="AW27" s="83">
        <v>7.7</v>
      </c>
      <c r="AX27" s="81" t="s">
        <v>2360</v>
      </c>
      <c r="AY27" s="83">
        <v>7.7</v>
      </c>
      <c r="AZ27" s="83">
        <v>7.7</v>
      </c>
      <c r="BA27" s="81" t="s">
        <v>2360</v>
      </c>
      <c r="BB27" s="81" t="s">
        <v>2360</v>
      </c>
      <c r="BC27" s="83">
        <v>38.5</v>
      </c>
      <c r="BD27" s="81" t="s">
        <v>2360</v>
      </c>
      <c r="BE27" s="81" t="s">
        <v>2360</v>
      </c>
      <c r="BF27" s="81" t="s">
        <v>2360</v>
      </c>
      <c r="BG27" s="73">
        <v>0.6</v>
      </c>
      <c r="BH27" s="42" t="s">
        <v>919</v>
      </c>
      <c r="BI27" s="72">
        <v>230981.5</v>
      </c>
      <c r="BJ27" s="72">
        <v>230981.5</v>
      </c>
      <c r="BK27" s="82">
        <v>1.5523</v>
      </c>
      <c r="BL27" s="72">
        <v>7</v>
      </c>
      <c r="BM27" s="73">
        <v>3.44</v>
      </c>
      <c r="BN27" s="72">
        <v>61</v>
      </c>
      <c r="BO27" s="42" t="s">
        <v>295</v>
      </c>
      <c r="BP27" s="84">
        <v>-0.0271</v>
      </c>
      <c r="BQ27" s="83">
        <v>0</v>
      </c>
      <c r="BR27" s="81" t="s">
        <v>2360</v>
      </c>
      <c r="BS27" s="65">
        <v>59</v>
      </c>
      <c r="BT27" s="65">
        <v>61</v>
      </c>
      <c r="BU27" s="65">
        <v>57</v>
      </c>
      <c r="BV27" s="81" t="s">
        <v>2360</v>
      </c>
      <c r="BW27" s="42" t="e">
        <f>ROUND((IF(ISNUMBER('[1]#REF'!$K$27),1,IF(AND(ISTEXT('[1]#REF'!$K$27),'[1]#REF'!$K$27&lt;&gt;"N/A"),1,0))+IF(ISNUMBER('[1]#REF'!$BG$27),1,IF(AND(ISTEXT('[1]#REF'!$BG$27),'[1]#REF'!$BG$27&lt;&gt;"N/A"),1,0))+IF(ISNUMBER('[1]#REF'!$BI$27),1,IF(AND(ISTEXT('[1]#REF'!$BI$27),'[1]#REF'!$BI$27&lt;&gt;"N/A"),1,0))+IF(ISNUMBER('[1]#REF'!$BK$27),1,IF(AND(ISTEXT('[1]#REF'!$BK$27),'[1]#REF'!$BK$27&lt;&gt;"N/A"),1,0))+IF(ISNUMBER('[1]#REF'!$AA$27),1,IF(AND(ISTEXT('[1]#REF'!$AA$27),'[1]#REF'!$AA$27&lt;&gt;"N/A"),1,0))+IF(ISNUMBER('[1]#REF'!$AE$27),1,IF(AND(ISTEXT('[1]#REF'!$AE$27),'[1]#REF'!$AE$27&lt;&gt;"N/A"),1,0))+IF(ISNUMBER('[1]#REF'!$AH$27),1,IF(AND(ISTEXT('[1]#REF'!$AH$27),'[1]#REF'!$AH$27&lt;&gt;"N/A"),1,0))+IF(ISNUMBER('[1]#REF'!$AN$27),1,IF(AND(ISTEXT('[1]#REF'!$AN$27),'[1]#REF'!$AN$27&lt;&gt;"N/A"),1,0))+IF(ISNUMBER('[1]#REF'!$BS$27),1,IF(AND(ISTEXT('[1]#REF'!$BS$27),'[1]#REF'!$BS$27&lt;&gt;"N/A"),1,0))+IF(ISNUMBER('[1]#REF'!$BT$27),1,IF(AND(ISTEXT('[1]#REF'!$BT$27),'[1]#REF'!$BT$27&lt;&gt;"N/A"),1,0))+IF(ISNUMBER('[1]#REF'!$BU$27),1,IF(AND(ISTEXT('[1]#REF'!$BU$27),'[1]#REF'!$BU$27&lt;&gt;"N/A"),1,0))+IF(ISNUMBER('[1]#REF'!$BM$27),1,IF(AND(ISTEXT('[1]#REF'!$BM$27),'[1]#REF'!$BM$27&lt;&gt;"N/A"),1,0)))/12*100,0)</f>
        <v>#REF!</v>
      </c>
      <c r="BX27" s="42" t="e">
        <f>IF('[1]#REF'!$BW$27&gt;=Lookup_Lists!$D$159,"High",IF('[1]#REF'!$BW$27&gt;=Lookup_Lists!$D$160,"Medium","Limited Data"))</f>
        <v>#REF!</v>
      </c>
      <c r="BY27" s="42" t="s">
        <v>2371</v>
      </c>
    </row>
    <row r="28" spans="1:77">
      <c r="A28" s="64" t="s">
        <v>678</v>
      </c>
      <c r="B28" s="42" t="s">
        <v>2504</v>
      </c>
      <c r="C28" s="42" t="s">
        <v>2505</v>
      </c>
      <c r="D28" s="42" t="s">
        <v>2506</v>
      </c>
      <c r="E28" s="42" t="s">
        <v>392</v>
      </c>
      <c r="F28" s="42" t="s">
        <v>2494</v>
      </c>
      <c r="G28" s="72">
        <v>10664778</v>
      </c>
      <c r="H28" s="42" t="str">
        <f>IFERROR(INDEX(Lookup_Lists!$A$96:$A$100,MATCH('[1]#REF'!$G$28,Lookup_Lists!$B$96:$B$100,1)),"N/A")</f>
        <v>N/A</v>
      </c>
      <c r="I28" s="42" t="s">
        <v>291</v>
      </c>
      <c r="J28" s="81" t="s">
        <v>2360</v>
      </c>
      <c r="K28" s="81" t="s">
        <v>2360</v>
      </c>
      <c r="L28" s="81" t="s">
        <v>2360</v>
      </c>
      <c r="M28" s="81" t="s">
        <v>2360</v>
      </c>
      <c r="N28" s="81" t="s">
        <v>2360</v>
      </c>
      <c r="O28" s="81" t="s">
        <v>2360</v>
      </c>
      <c r="P28" s="81" t="s">
        <v>2360</v>
      </c>
      <c r="Q28" s="81" t="s">
        <v>2360</v>
      </c>
      <c r="R28" s="81" t="s">
        <v>2360</v>
      </c>
      <c r="S28" s="81" t="s">
        <v>2360</v>
      </c>
      <c r="T28" s="81" t="s">
        <v>2360</v>
      </c>
      <c r="U28" s="81" t="s">
        <v>2360</v>
      </c>
      <c r="V28" s="81" t="s">
        <v>2360</v>
      </c>
      <c r="W28" s="81" t="s">
        <v>2360</v>
      </c>
      <c r="X28" s="81" t="s">
        <v>2360</v>
      </c>
      <c r="Y28" s="81" t="s">
        <v>2360</v>
      </c>
      <c r="Z28" s="81" t="s">
        <v>2360</v>
      </c>
      <c r="AA28" s="81" t="s">
        <v>2360</v>
      </c>
      <c r="AB28" s="81" t="s">
        <v>2360</v>
      </c>
      <c r="AC28" s="81" t="s">
        <v>2360</v>
      </c>
      <c r="AD28" s="81" t="s">
        <v>2360</v>
      </c>
      <c r="AE28" s="81" t="s">
        <v>2360</v>
      </c>
      <c r="AF28" s="81" t="s">
        <v>2360</v>
      </c>
      <c r="AG28" s="81" t="s">
        <v>2360</v>
      </c>
      <c r="AH28" s="81" t="s">
        <v>2360</v>
      </c>
      <c r="AI28" s="81" t="s">
        <v>2360</v>
      </c>
      <c r="AJ28" s="81" t="s">
        <v>2360</v>
      </c>
      <c r="AK28" s="81" t="s">
        <v>2360</v>
      </c>
      <c r="AL28" s="81" t="s">
        <v>2360</v>
      </c>
      <c r="AM28" s="81" t="s">
        <v>2360</v>
      </c>
      <c r="AN28" s="81" t="s">
        <v>2360</v>
      </c>
      <c r="AO28" s="81" t="s">
        <v>2360</v>
      </c>
      <c r="AP28" s="81" t="s">
        <v>2360</v>
      </c>
      <c r="AQ28" s="81" t="s">
        <v>2360</v>
      </c>
      <c r="AR28" s="81" t="s">
        <v>2360</v>
      </c>
      <c r="AS28" s="81" t="s">
        <v>2360</v>
      </c>
      <c r="AT28" s="81" t="s">
        <v>2360</v>
      </c>
      <c r="AU28" s="81" t="s">
        <v>2360</v>
      </c>
      <c r="AV28" s="81" t="s">
        <v>2360</v>
      </c>
      <c r="AW28" s="81" t="s">
        <v>2360</v>
      </c>
      <c r="AX28" s="81" t="s">
        <v>2360</v>
      </c>
      <c r="AY28" s="81" t="s">
        <v>2360</v>
      </c>
      <c r="AZ28" s="81" t="s">
        <v>2360</v>
      </c>
      <c r="BA28" s="81" t="s">
        <v>2360</v>
      </c>
      <c r="BB28" s="81" t="s">
        <v>2360</v>
      </c>
      <c r="BC28" s="81" t="s">
        <v>2360</v>
      </c>
      <c r="BD28" s="81" t="s">
        <v>2360</v>
      </c>
      <c r="BE28" s="81" t="s">
        <v>2360</v>
      </c>
      <c r="BF28" s="81" t="s">
        <v>2360</v>
      </c>
      <c r="BG28" s="81" t="s">
        <v>2360</v>
      </c>
      <c r="BH28" s="81" t="s">
        <v>2360</v>
      </c>
      <c r="BI28" s="81" t="s">
        <v>2360</v>
      </c>
      <c r="BJ28" s="81" t="s">
        <v>2360</v>
      </c>
      <c r="BK28" s="81" t="s">
        <v>2360</v>
      </c>
      <c r="BL28" s="81" t="s">
        <v>2360</v>
      </c>
      <c r="BM28" s="81" t="s">
        <v>2360</v>
      </c>
      <c r="BN28" s="81" t="s">
        <v>2360</v>
      </c>
      <c r="BO28" s="81" t="s">
        <v>2360</v>
      </c>
      <c r="BP28" s="81" t="s">
        <v>2360</v>
      </c>
      <c r="BQ28" s="81" t="s">
        <v>2360</v>
      </c>
      <c r="BR28" s="81" t="s">
        <v>2360</v>
      </c>
      <c r="BS28" s="81" t="s">
        <v>2360</v>
      </c>
      <c r="BT28" s="81" t="s">
        <v>2360</v>
      </c>
      <c r="BU28" s="81" t="s">
        <v>2360</v>
      </c>
      <c r="BV28" s="81" t="s">
        <v>2360</v>
      </c>
      <c r="BW28" s="42" t="e">
        <f>ROUND((IF(ISNUMBER('[1]#REF'!$K$28),1,IF(AND(ISTEXT('[1]#REF'!$K$28),'[1]#REF'!$K$28&lt;&gt;"N/A"),1,0))+IF(ISNUMBER('[1]#REF'!$BG$28),1,IF(AND(ISTEXT('[1]#REF'!$BG$28),'[1]#REF'!$BG$28&lt;&gt;"N/A"),1,0))+IF(ISNUMBER('[1]#REF'!$BI$28),1,IF(AND(ISTEXT('[1]#REF'!$BI$28),'[1]#REF'!$BI$28&lt;&gt;"N/A"),1,0))+IF(ISNUMBER('[1]#REF'!$BK$28),1,IF(AND(ISTEXT('[1]#REF'!$BK$28),'[1]#REF'!$BK$28&lt;&gt;"N/A"),1,0))+IF(ISNUMBER('[1]#REF'!$AA$28),1,IF(AND(ISTEXT('[1]#REF'!$AA$28),'[1]#REF'!$AA$28&lt;&gt;"N/A"),1,0))+IF(ISNUMBER('[1]#REF'!$AE$28),1,IF(AND(ISTEXT('[1]#REF'!$AE$28),'[1]#REF'!$AE$28&lt;&gt;"N/A"),1,0))+IF(ISNUMBER('[1]#REF'!$AH$28),1,IF(AND(ISTEXT('[1]#REF'!$AH$28),'[1]#REF'!$AH$28&lt;&gt;"N/A"),1,0))+IF(ISNUMBER('[1]#REF'!$AN$28),1,IF(AND(ISTEXT('[1]#REF'!$AN$28),'[1]#REF'!$AN$28&lt;&gt;"N/A"),1,0))+IF(ISNUMBER('[1]#REF'!$BS$28),1,IF(AND(ISTEXT('[1]#REF'!$BS$28),'[1]#REF'!$BS$28&lt;&gt;"N/A"),1,0))+IF(ISNUMBER('[1]#REF'!$BT$28),1,IF(AND(ISTEXT('[1]#REF'!$BT$28),'[1]#REF'!$BT$28&lt;&gt;"N/A"),1,0))+IF(ISNUMBER('[1]#REF'!$BU$28),1,IF(AND(ISTEXT('[1]#REF'!$BU$28),'[1]#REF'!$BU$28&lt;&gt;"N/A"),1,0))+IF(ISNUMBER('[1]#REF'!$BM$28),1,IF(AND(ISTEXT('[1]#REF'!$BM$28),'[1]#REF'!$BM$28&lt;&gt;"N/A"),1,0)))/12*100,0)</f>
        <v>#REF!</v>
      </c>
      <c r="BX28" s="42" t="e">
        <f>IF('[1]#REF'!$BW$28&gt;=Lookup_Lists!$D$159,"High",IF('[1]#REF'!$BW$28&gt;=Lookup_Lists!$D$160,"Medium","Limited Data"))</f>
        <v>#REF!</v>
      </c>
      <c r="BY28" s="42" t="s">
        <v>2507</v>
      </c>
    </row>
    <row r="29" spans="1:77">
      <c r="A29" s="64" t="s">
        <v>686</v>
      </c>
      <c r="B29" s="42" t="s">
        <v>2508</v>
      </c>
      <c r="C29" s="42" t="s">
        <v>2508</v>
      </c>
      <c r="D29" s="42" t="s">
        <v>2509</v>
      </c>
      <c r="E29" s="42" t="s">
        <v>392</v>
      </c>
      <c r="F29" s="42" t="s">
        <v>2357</v>
      </c>
      <c r="G29" s="72">
        <v>10500000</v>
      </c>
      <c r="H29" s="42" t="str">
        <f>IFERROR(INDEX(Lookup_Lists!$A$96:$A$100,MATCH('[1]#REF'!$G$29,Lookup_Lists!$B$96:$B$100,1)),"N/A")</f>
        <v>N/A</v>
      </c>
      <c r="I29" s="42" t="s">
        <v>295</v>
      </c>
      <c r="J29" s="81" t="s">
        <v>2360</v>
      </c>
      <c r="K29" s="42" t="s">
        <v>613</v>
      </c>
      <c r="L29" s="42" t="s">
        <v>2380</v>
      </c>
      <c r="M29" s="42" t="s">
        <v>613</v>
      </c>
      <c r="N29" s="42" t="s">
        <v>2510</v>
      </c>
      <c r="O29" s="42" t="s">
        <v>2511</v>
      </c>
      <c r="P29" s="81" t="s">
        <v>2360</v>
      </c>
      <c r="Q29" s="81" t="s">
        <v>2360</v>
      </c>
      <c r="R29" s="81" t="s">
        <v>2360</v>
      </c>
      <c r="S29" s="81" t="s">
        <v>2360</v>
      </c>
      <c r="T29" s="42" t="s">
        <v>2512</v>
      </c>
      <c r="U29" s="42" t="s">
        <v>2513</v>
      </c>
      <c r="V29" s="81" t="s">
        <v>2360</v>
      </c>
      <c r="W29" s="81" t="s">
        <v>2360</v>
      </c>
      <c r="X29" s="81" t="s">
        <v>2360</v>
      </c>
      <c r="Y29" s="81" t="s">
        <v>2360</v>
      </c>
      <c r="Z29" s="81" t="s">
        <v>2360</v>
      </c>
      <c r="AA29" s="83">
        <v>26.67</v>
      </c>
      <c r="AB29" s="83">
        <v>73.33</v>
      </c>
      <c r="AC29" s="83">
        <v>15</v>
      </c>
      <c r="AD29" s="42" t="s">
        <v>179</v>
      </c>
      <c r="AE29" s="83">
        <v>76.9</v>
      </c>
      <c r="AF29" s="83">
        <v>13</v>
      </c>
      <c r="AG29" s="42" t="s">
        <v>188</v>
      </c>
      <c r="AH29" s="83">
        <v>25</v>
      </c>
      <c r="AI29" s="42" t="s">
        <v>2406</v>
      </c>
      <c r="AJ29" s="83">
        <v>25</v>
      </c>
      <c r="AK29" s="42" t="s">
        <v>2514</v>
      </c>
      <c r="AL29" s="83">
        <v>25</v>
      </c>
      <c r="AM29" s="83">
        <v>100</v>
      </c>
      <c r="AN29" s="83">
        <v>12.7</v>
      </c>
      <c r="AO29" s="81" t="s">
        <v>2360</v>
      </c>
      <c r="AP29" s="83">
        <v>7.7</v>
      </c>
      <c r="AQ29" s="81" t="s">
        <v>2360</v>
      </c>
      <c r="AR29" s="81" t="s">
        <v>2360</v>
      </c>
      <c r="AS29" s="81" t="s">
        <v>2360</v>
      </c>
      <c r="AT29" s="81" t="s">
        <v>2360</v>
      </c>
      <c r="AU29" s="81" t="s">
        <v>2360</v>
      </c>
      <c r="AV29" s="81" t="s">
        <v>2360</v>
      </c>
      <c r="AW29" s="83">
        <v>23.1</v>
      </c>
      <c r="AX29" s="83">
        <v>15.4</v>
      </c>
      <c r="AY29" s="81" t="s">
        <v>2360</v>
      </c>
      <c r="AZ29" s="83">
        <v>15.4</v>
      </c>
      <c r="BA29" s="83">
        <v>7.7</v>
      </c>
      <c r="BB29" s="81" t="s">
        <v>2360</v>
      </c>
      <c r="BC29" s="83">
        <v>15.4</v>
      </c>
      <c r="BD29" s="81" t="s">
        <v>2360</v>
      </c>
      <c r="BE29" s="81" t="s">
        <v>2360</v>
      </c>
      <c r="BF29" s="83">
        <v>15.4</v>
      </c>
      <c r="BG29" s="73">
        <v>0.01</v>
      </c>
      <c r="BH29" s="42" t="s">
        <v>919</v>
      </c>
      <c r="BI29" s="72">
        <v>59235.9</v>
      </c>
      <c r="BJ29" s="72">
        <v>46550</v>
      </c>
      <c r="BK29" s="82">
        <v>0.5434</v>
      </c>
      <c r="BL29" s="81" t="s">
        <v>2360</v>
      </c>
      <c r="BM29" s="81" t="s">
        <v>2360</v>
      </c>
      <c r="BN29" s="72">
        <v>0</v>
      </c>
      <c r="BO29" s="81" t="s">
        <v>2360</v>
      </c>
      <c r="BP29" s="84">
        <v>0.9174</v>
      </c>
      <c r="BQ29" s="83">
        <v>0</v>
      </c>
      <c r="BR29" s="81" t="s">
        <v>2360</v>
      </c>
      <c r="BS29" s="65">
        <v>80</v>
      </c>
      <c r="BT29" s="65">
        <v>75</v>
      </c>
      <c r="BU29" s="65">
        <v>84</v>
      </c>
      <c r="BV29" s="81" t="s">
        <v>2360</v>
      </c>
      <c r="BW29" s="42" t="e">
        <f>ROUND((IF(ISNUMBER('[1]#REF'!$K$29),1,IF(AND(ISTEXT('[1]#REF'!$K$29),'[1]#REF'!$K$29&lt;&gt;"N/A"),1,0))+IF(ISNUMBER('[1]#REF'!$BG$29),1,IF(AND(ISTEXT('[1]#REF'!$BG$29),'[1]#REF'!$BG$29&lt;&gt;"N/A"),1,0))+IF(ISNUMBER('[1]#REF'!$BI$29),1,IF(AND(ISTEXT('[1]#REF'!$BI$29),'[1]#REF'!$BI$29&lt;&gt;"N/A"),1,0))+IF(ISNUMBER('[1]#REF'!$BK$29),1,IF(AND(ISTEXT('[1]#REF'!$BK$29),'[1]#REF'!$BK$29&lt;&gt;"N/A"),1,0))+IF(ISNUMBER('[1]#REF'!$AA$29),1,IF(AND(ISTEXT('[1]#REF'!$AA$29),'[1]#REF'!$AA$29&lt;&gt;"N/A"),1,0))+IF(ISNUMBER('[1]#REF'!$AE$29),1,IF(AND(ISTEXT('[1]#REF'!$AE$29),'[1]#REF'!$AE$29&lt;&gt;"N/A"),1,0))+IF(ISNUMBER('[1]#REF'!$AH$29),1,IF(AND(ISTEXT('[1]#REF'!$AH$29),'[1]#REF'!$AH$29&lt;&gt;"N/A"),1,0))+IF(ISNUMBER('[1]#REF'!$AN$29),1,IF(AND(ISTEXT('[1]#REF'!$AN$29),'[1]#REF'!$AN$29&lt;&gt;"N/A"),1,0))+IF(ISNUMBER('[1]#REF'!$BS$29),1,IF(AND(ISTEXT('[1]#REF'!$BS$29),'[1]#REF'!$BS$29&lt;&gt;"N/A"),1,0))+IF(ISNUMBER('[1]#REF'!$BT$29),1,IF(AND(ISTEXT('[1]#REF'!$BT$29),'[1]#REF'!$BT$29&lt;&gt;"N/A"),1,0))+IF(ISNUMBER('[1]#REF'!$BU$29),1,IF(AND(ISTEXT('[1]#REF'!$BU$29),'[1]#REF'!$BU$29&lt;&gt;"N/A"),1,0))+IF(ISNUMBER('[1]#REF'!$BM$29),1,IF(AND(ISTEXT('[1]#REF'!$BM$29),'[1]#REF'!$BM$29&lt;&gt;"N/A"),1,0)))/12*100,0)</f>
        <v>#REF!</v>
      </c>
      <c r="BX29" s="42" t="e">
        <f>IF('[1]#REF'!$BW$29&gt;=Lookup_Lists!$D$159,"High",IF('[1]#REF'!$BW$29&gt;=Lookup_Lists!$D$160,"Medium","Limited Data"))</f>
        <v>#REF!</v>
      </c>
      <c r="BY29" s="42" t="s">
        <v>2515</v>
      </c>
    </row>
  </sheetData>
  <autoFilter xmlns:etc="http://www.wps.cn/officeDocument/2017/etCustomData" ref="A5:BY29" etc:filterBottomFollowUsedRange="0">
    <extLst/>
  </autoFilter>
  <mergeCells count="8">
    <mergeCell ref="A1:BY1"/>
    <mergeCell ref="A2:BY2"/>
    <mergeCell ref="A4:I4"/>
    <mergeCell ref="J4:U4"/>
    <mergeCell ref="V4:BF4"/>
    <mergeCell ref="BG4:BR4"/>
    <mergeCell ref="BS4:BV4"/>
    <mergeCell ref="BW4:BY4"/>
  </mergeCells>
  <pageMargins left="0.7" right="0.7" top="0.75" bottom="0.75" header="0.3" footer="0.3"/>
  <pageSetup paperSize="1" orientation="portrait"/>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60"/>
  <sheetViews>
    <sheetView workbookViewId="0">
      <pane xSplit="4" ySplit="4" topLeftCell="E5" activePane="bottomRight" state="frozen"/>
      <selection/>
      <selection pane="topRight"/>
      <selection pane="bottomLeft"/>
      <selection pane="bottomRight" activeCell="A1" sqref="A1:I1"/>
    </sheetView>
  </sheetViews>
  <sheetFormatPr defaultColWidth="9" defaultRowHeight="15"/>
  <cols>
    <col min="1" max="1" width="26" customWidth="1"/>
    <col min="2" max="2" width="30" customWidth="1"/>
    <col min="3" max="3" width="24" customWidth="1"/>
    <col min="4" max="4" width="46" customWidth="1"/>
    <col min="5" max="9" width="32" customWidth="1"/>
  </cols>
  <sheetData>
    <row r="1" ht="24" customHeight="1" spans="1:9">
      <c r="A1" s="38" t="s">
        <v>2516</v>
      </c>
    </row>
    <row r="2" ht="30" customHeight="1" spans="1:9">
      <c r="A2" s="39" t="s">
        <v>2517</v>
      </c>
    </row>
    <row r="4" ht="30" customHeight="1" spans="1:9">
      <c r="A4" s="41" t="s">
        <v>115</v>
      </c>
      <c r="B4" s="41" t="s">
        <v>2518</v>
      </c>
      <c r="C4" s="41" t="s">
        <v>311</v>
      </c>
      <c r="D4" s="41" t="s">
        <v>2519</v>
      </c>
      <c r="E4" s="41" t="s">
        <v>2520</v>
      </c>
      <c r="F4" s="41" t="s">
        <v>2521</v>
      </c>
      <c r="G4" s="41" t="s">
        <v>2522</v>
      </c>
      <c r="H4" s="41" t="s">
        <v>2523</v>
      </c>
      <c r="I4" s="41" t="s">
        <v>2524</v>
      </c>
    </row>
    <row r="5" spans="1:9">
      <c r="A5" s="45" t="s">
        <v>2525</v>
      </c>
      <c r="B5" s="49" t="s">
        <v>124</v>
      </c>
      <c r="C5" s="46" t="s">
        <v>125</v>
      </c>
      <c r="D5" s="48" t="s">
        <v>2526</v>
      </c>
      <c r="E5" s="75" t="s">
        <v>2527</v>
      </c>
      <c r="F5" s="75" t="s">
        <v>2528</v>
      </c>
      <c r="G5" s="75" t="s">
        <v>2529</v>
      </c>
      <c r="H5" s="75" t="s">
        <v>2530</v>
      </c>
      <c r="I5" s="75" t="s">
        <v>2531</v>
      </c>
    </row>
    <row r="6" spans="1:9">
      <c r="A6" s="43" t="s">
        <v>29</v>
      </c>
      <c r="B6" s="49" t="s">
        <v>127</v>
      </c>
      <c r="C6" s="46" t="s">
        <v>128</v>
      </c>
      <c r="D6" s="48" t="s">
        <v>2532</v>
      </c>
      <c r="E6" s="75" t="s">
        <v>2520</v>
      </c>
      <c r="F6" s="75" t="s">
        <v>2521</v>
      </c>
      <c r="G6" s="75" t="s">
        <v>2522</v>
      </c>
      <c r="H6" s="75" t="s">
        <v>2523</v>
      </c>
      <c r="I6" s="75" t="s">
        <v>2524</v>
      </c>
    </row>
    <row r="7" ht="25.5" spans="1:9">
      <c r="A7" s="43" t="s">
        <v>29</v>
      </c>
      <c r="B7" s="49" t="s">
        <v>2533</v>
      </c>
      <c r="C7" s="46" t="s">
        <v>2534</v>
      </c>
      <c r="D7" s="48" t="s">
        <v>2535</v>
      </c>
      <c r="E7" s="76" t="s">
        <v>243</v>
      </c>
      <c r="F7" s="76" t="s">
        <v>244</v>
      </c>
      <c r="G7" s="76" t="s">
        <v>245</v>
      </c>
      <c r="H7" s="76" t="s">
        <v>579</v>
      </c>
      <c r="I7" s="76" t="s">
        <v>597</v>
      </c>
    </row>
    <row r="8" spans="1:9">
      <c r="A8" s="43" t="s">
        <v>29</v>
      </c>
      <c r="B8" s="49" t="s">
        <v>2536</v>
      </c>
      <c r="C8" s="46" t="s">
        <v>2537</v>
      </c>
      <c r="D8" s="48" t="s">
        <v>2538</v>
      </c>
      <c r="E8" s="75" t="s">
        <v>2539</v>
      </c>
      <c r="F8" s="75" t="s">
        <v>2540</v>
      </c>
      <c r="G8" s="75" t="s">
        <v>2541</v>
      </c>
      <c r="H8" s="75" t="s">
        <v>2542</v>
      </c>
      <c r="I8" s="75" t="s">
        <v>2543</v>
      </c>
    </row>
    <row r="9" ht="45" spans="1:9">
      <c r="A9" s="43" t="s">
        <v>29</v>
      </c>
      <c r="B9" s="49" t="s">
        <v>225</v>
      </c>
      <c r="C9" s="46" t="s">
        <v>226</v>
      </c>
      <c r="D9" s="48" t="s">
        <v>2544</v>
      </c>
      <c r="E9" s="75" t="s">
        <v>2545</v>
      </c>
      <c r="F9" s="75" t="s">
        <v>2546</v>
      </c>
      <c r="G9" s="75" t="s">
        <v>2547</v>
      </c>
      <c r="H9" s="75" t="s">
        <v>2548</v>
      </c>
      <c r="I9" s="75" t="s">
        <v>2549</v>
      </c>
    </row>
    <row r="10" ht="30" spans="1:9">
      <c r="A10" s="43" t="s">
        <v>29</v>
      </c>
      <c r="B10" s="49" t="s">
        <v>2550</v>
      </c>
      <c r="C10" s="46" t="s">
        <v>2551</v>
      </c>
      <c r="D10" s="48" t="s">
        <v>2552</v>
      </c>
      <c r="E10" s="75" t="s">
        <v>2553</v>
      </c>
      <c r="F10" s="75" t="s">
        <v>2554</v>
      </c>
      <c r="G10" s="75" t="s">
        <v>2555</v>
      </c>
      <c r="H10" s="75" t="s">
        <v>2556</v>
      </c>
      <c r="I10" s="75" t="s">
        <v>2557</v>
      </c>
    </row>
    <row r="11" ht="22.5" spans="1:9">
      <c r="A11" s="45" t="s">
        <v>161</v>
      </c>
      <c r="B11" s="49" t="s">
        <v>163</v>
      </c>
      <c r="C11" s="46" t="s">
        <v>164</v>
      </c>
      <c r="D11" s="77" t="s">
        <v>2558</v>
      </c>
      <c r="E11" s="78" t="s">
        <v>165</v>
      </c>
      <c r="F11" s="78" t="s">
        <v>166</v>
      </c>
      <c r="G11" s="78" t="s">
        <v>166</v>
      </c>
      <c r="H11" s="78" t="s">
        <v>166</v>
      </c>
      <c r="I11" s="78" t="s">
        <v>166</v>
      </c>
    </row>
    <row r="12" spans="1:9">
      <c r="A12" s="43" t="s">
        <v>29</v>
      </c>
      <c r="B12" s="49" t="s">
        <v>168</v>
      </c>
      <c r="C12" s="46" t="s">
        <v>169</v>
      </c>
      <c r="D12" s="77" t="s">
        <v>2559</v>
      </c>
      <c r="E12" s="78" t="s">
        <v>166</v>
      </c>
      <c r="F12" s="78" t="s">
        <v>165</v>
      </c>
      <c r="G12" s="78" t="s">
        <v>165</v>
      </c>
      <c r="H12" s="78" t="s">
        <v>165</v>
      </c>
      <c r="I12" s="78" t="s">
        <v>165</v>
      </c>
    </row>
    <row r="13" ht="25.5" spans="1:9">
      <c r="A13" s="43" t="s">
        <v>29</v>
      </c>
      <c r="B13" s="49" t="s">
        <v>171</v>
      </c>
      <c r="C13" s="46" t="s">
        <v>172</v>
      </c>
      <c r="D13" s="48" t="s">
        <v>2560</v>
      </c>
      <c r="E13" s="78" t="s">
        <v>175</v>
      </c>
      <c r="F13" s="78" t="s">
        <v>174</v>
      </c>
      <c r="G13" s="78" t="s">
        <v>175</v>
      </c>
      <c r="H13" s="78" t="s">
        <v>175</v>
      </c>
      <c r="I13" s="78" t="s">
        <v>174</v>
      </c>
    </row>
    <row r="14" spans="1:9">
      <c r="A14" s="43" t="s">
        <v>29</v>
      </c>
      <c r="B14" s="49" t="s">
        <v>177</v>
      </c>
      <c r="C14" s="46" t="s">
        <v>178</v>
      </c>
      <c r="D14" s="48" t="s">
        <v>882</v>
      </c>
      <c r="E14" s="78" t="s">
        <v>179</v>
      </c>
      <c r="F14" s="78" t="s">
        <v>179</v>
      </c>
      <c r="G14" s="78" t="s">
        <v>179</v>
      </c>
      <c r="H14" s="78" t="s">
        <v>179</v>
      </c>
      <c r="I14" s="78" t="s">
        <v>179</v>
      </c>
    </row>
    <row r="15" spans="1:9">
      <c r="A15" s="43" t="s">
        <v>29</v>
      </c>
      <c r="B15" s="49" t="s">
        <v>186</v>
      </c>
      <c r="C15" s="46" t="s">
        <v>187</v>
      </c>
      <c r="D15" s="48" t="s">
        <v>888</v>
      </c>
      <c r="E15" s="78" t="s">
        <v>188</v>
      </c>
      <c r="F15" s="78" t="s">
        <v>188</v>
      </c>
      <c r="G15" s="78" t="s">
        <v>188</v>
      </c>
      <c r="H15" s="78" t="s">
        <v>188</v>
      </c>
      <c r="I15" s="78" t="s">
        <v>188</v>
      </c>
    </row>
    <row r="16" ht="30" spans="1:9">
      <c r="A16" s="43" t="s">
        <v>29</v>
      </c>
      <c r="B16" s="49" t="s">
        <v>190</v>
      </c>
      <c r="C16" s="46" t="s">
        <v>2561</v>
      </c>
      <c r="D16" s="48" t="s">
        <v>2562</v>
      </c>
      <c r="E16" s="79" t="s">
        <v>2563</v>
      </c>
      <c r="F16" s="79" t="s">
        <v>2564</v>
      </c>
      <c r="G16" s="79" t="s">
        <v>2565</v>
      </c>
      <c r="H16" s="79" t="s">
        <v>2566</v>
      </c>
      <c r="I16" s="79" t="s">
        <v>2567</v>
      </c>
    </row>
    <row r="17" spans="1:9">
      <c r="A17" s="43" t="s">
        <v>29</v>
      </c>
      <c r="B17" s="46" t="s">
        <v>2568</v>
      </c>
      <c r="C17" s="46" t="s">
        <v>2569</v>
      </c>
      <c r="D17" s="46" t="s">
        <v>2570</v>
      </c>
      <c r="E17" s="80">
        <v>0</v>
      </c>
      <c r="F17" s="80">
        <v>0</v>
      </c>
      <c r="G17" s="80">
        <v>0</v>
      </c>
      <c r="H17" s="80">
        <v>0</v>
      </c>
      <c r="I17" s="80">
        <v>0</v>
      </c>
    </row>
    <row r="18" spans="1:9">
      <c r="A18" s="43" t="s">
        <v>29</v>
      </c>
      <c r="B18" s="46" t="s">
        <v>2571</v>
      </c>
      <c r="C18" s="46" t="s">
        <v>2572</v>
      </c>
      <c r="D18" s="46" t="s">
        <v>2573</v>
      </c>
      <c r="E18" s="80">
        <v>0</v>
      </c>
      <c r="F18" s="80">
        <v>0</v>
      </c>
      <c r="G18" s="80">
        <v>0</v>
      </c>
      <c r="H18" s="80">
        <v>0</v>
      </c>
      <c r="I18" s="80">
        <v>0</v>
      </c>
    </row>
    <row r="19" spans="1:9">
      <c r="A19" s="43" t="s">
        <v>29</v>
      </c>
      <c r="B19" s="46" t="s">
        <v>2574</v>
      </c>
      <c r="C19" s="46" t="s">
        <v>2575</v>
      </c>
      <c r="D19" s="46" t="s">
        <v>2576</v>
      </c>
      <c r="E19" s="80">
        <v>0</v>
      </c>
      <c r="F19" s="80">
        <v>1</v>
      </c>
      <c r="G19" s="80">
        <v>0</v>
      </c>
      <c r="H19" s="80">
        <v>0</v>
      </c>
      <c r="I19" s="80">
        <v>1</v>
      </c>
    </row>
    <row r="20" spans="1:9">
      <c r="A20" s="43" t="s">
        <v>29</v>
      </c>
      <c r="B20" s="46" t="s">
        <v>2577</v>
      </c>
      <c r="C20" s="46" t="s">
        <v>2578</v>
      </c>
      <c r="D20" s="46" t="s">
        <v>2579</v>
      </c>
      <c r="E20" s="80">
        <v>1</v>
      </c>
      <c r="F20" s="80">
        <v>0</v>
      </c>
      <c r="G20" s="80">
        <v>0</v>
      </c>
      <c r="H20" s="80">
        <v>0</v>
      </c>
      <c r="I20" s="80">
        <v>0</v>
      </c>
    </row>
    <row r="21" spans="1:9">
      <c r="A21" s="43" t="s">
        <v>29</v>
      </c>
      <c r="B21" s="46" t="s">
        <v>2580</v>
      </c>
      <c r="C21" s="46" t="s">
        <v>2581</v>
      </c>
      <c r="D21" s="46" t="s">
        <v>2582</v>
      </c>
      <c r="E21" s="80">
        <v>1</v>
      </c>
      <c r="F21" s="80">
        <v>0</v>
      </c>
      <c r="G21" s="80">
        <v>0</v>
      </c>
      <c r="H21" s="80">
        <v>0</v>
      </c>
      <c r="I21" s="80">
        <v>0</v>
      </c>
    </row>
    <row r="22" spans="1:9">
      <c r="A22" s="43" t="s">
        <v>29</v>
      </c>
      <c r="B22" s="46" t="s">
        <v>2583</v>
      </c>
      <c r="C22" s="46" t="s">
        <v>2584</v>
      </c>
      <c r="D22" s="46" t="s">
        <v>2585</v>
      </c>
      <c r="E22" s="80">
        <v>0</v>
      </c>
      <c r="F22" s="80">
        <v>1</v>
      </c>
      <c r="G22" s="80">
        <v>1</v>
      </c>
      <c r="H22" s="80">
        <v>0</v>
      </c>
      <c r="I22" s="80">
        <v>0</v>
      </c>
    </row>
    <row r="23" spans="1:9">
      <c r="A23" s="43" t="s">
        <v>29</v>
      </c>
      <c r="B23" s="46" t="s">
        <v>2586</v>
      </c>
      <c r="C23" s="46" t="s">
        <v>2587</v>
      </c>
      <c r="D23" s="46" t="s">
        <v>2588</v>
      </c>
      <c r="E23" s="80">
        <v>0</v>
      </c>
      <c r="F23" s="80">
        <v>1</v>
      </c>
      <c r="G23" s="80">
        <v>0</v>
      </c>
      <c r="H23" s="80">
        <v>0</v>
      </c>
      <c r="I23" s="80">
        <v>1</v>
      </c>
    </row>
    <row r="24" spans="1:9">
      <c r="A24" s="43" t="s">
        <v>29</v>
      </c>
      <c r="B24" s="46" t="s">
        <v>2589</v>
      </c>
      <c r="C24" s="46" t="s">
        <v>2590</v>
      </c>
      <c r="D24" s="46" t="s">
        <v>2591</v>
      </c>
      <c r="E24" s="80">
        <v>0</v>
      </c>
      <c r="F24" s="80">
        <v>0</v>
      </c>
      <c r="G24" s="80">
        <v>0</v>
      </c>
      <c r="H24" s="80">
        <v>1</v>
      </c>
      <c r="I24" s="80">
        <v>0</v>
      </c>
    </row>
    <row r="25" spans="1:9">
      <c r="A25" s="43" t="s">
        <v>29</v>
      </c>
      <c r="B25" s="46" t="s">
        <v>2592</v>
      </c>
      <c r="C25" s="46" t="s">
        <v>2593</v>
      </c>
      <c r="D25" s="46" t="s">
        <v>2594</v>
      </c>
      <c r="E25" s="80">
        <v>0</v>
      </c>
      <c r="F25" s="80">
        <v>0</v>
      </c>
      <c r="G25" s="80">
        <v>1</v>
      </c>
      <c r="H25" s="80">
        <v>1</v>
      </c>
      <c r="I25" s="80">
        <v>0</v>
      </c>
    </row>
    <row r="26" spans="1:9">
      <c r="A26" s="43" t="s">
        <v>29</v>
      </c>
      <c r="B26" s="46" t="s">
        <v>2595</v>
      </c>
      <c r="C26" s="46" t="s">
        <v>2596</v>
      </c>
      <c r="D26" s="46" t="s">
        <v>2597</v>
      </c>
      <c r="E26" s="80">
        <v>1</v>
      </c>
      <c r="F26" s="80">
        <v>0</v>
      </c>
      <c r="G26" s="80">
        <v>0</v>
      </c>
      <c r="H26" s="80">
        <v>0</v>
      </c>
      <c r="I26" s="80">
        <v>0</v>
      </c>
    </row>
    <row r="27" spans="1:9">
      <c r="A27" s="43" t="s">
        <v>29</v>
      </c>
      <c r="B27" s="46" t="s">
        <v>2598</v>
      </c>
      <c r="C27" s="46" t="s">
        <v>2599</v>
      </c>
      <c r="D27" s="46" t="s">
        <v>2600</v>
      </c>
      <c r="E27" s="80">
        <v>0</v>
      </c>
      <c r="F27" s="80">
        <v>0</v>
      </c>
      <c r="G27" s="80">
        <v>0</v>
      </c>
      <c r="H27" s="80">
        <v>0</v>
      </c>
      <c r="I27" s="80">
        <v>1</v>
      </c>
    </row>
    <row r="28" spans="1:9">
      <c r="A28" s="43" t="s">
        <v>29</v>
      </c>
      <c r="B28" s="46" t="s">
        <v>2601</v>
      </c>
      <c r="C28" s="46" t="s">
        <v>2602</v>
      </c>
      <c r="D28" s="46" t="s">
        <v>2603</v>
      </c>
      <c r="E28" s="80">
        <v>0</v>
      </c>
      <c r="F28" s="80">
        <v>0</v>
      </c>
      <c r="G28" s="80">
        <v>1</v>
      </c>
      <c r="H28" s="80">
        <v>0</v>
      </c>
      <c r="I28" s="80">
        <v>0</v>
      </c>
    </row>
    <row r="29" spans="1:9">
      <c r="A29" s="43" t="s">
        <v>29</v>
      </c>
      <c r="B29" s="46" t="s">
        <v>2604</v>
      </c>
      <c r="C29" s="46" t="s">
        <v>2605</v>
      </c>
      <c r="D29" s="46" t="s">
        <v>2606</v>
      </c>
      <c r="E29" s="80">
        <v>0</v>
      </c>
      <c r="F29" s="80">
        <v>0</v>
      </c>
      <c r="G29" s="80">
        <v>0</v>
      </c>
      <c r="H29" s="80">
        <v>0</v>
      </c>
      <c r="I29" s="80">
        <v>0</v>
      </c>
    </row>
    <row r="30" spans="1:9">
      <c r="A30" s="43" t="s">
        <v>29</v>
      </c>
      <c r="B30" s="46" t="s">
        <v>2607</v>
      </c>
      <c r="C30" s="46" t="s">
        <v>2608</v>
      </c>
      <c r="D30" s="46" t="s">
        <v>2609</v>
      </c>
      <c r="E30" s="80">
        <v>0</v>
      </c>
      <c r="F30" s="80">
        <v>0</v>
      </c>
      <c r="G30" s="80">
        <v>0</v>
      </c>
      <c r="H30" s="80">
        <v>0</v>
      </c>
      <c r="I30" s="80">
        <v>1</v>
      </c>
    </row>
    <row r="31" spans="1:9">
      <c r="A31" s="43" t="s">
        <v>29</v>
      </c>
      <c r="B31" s="46" t="s">
        <v>2610</v>
      </c>
      <c r="C31" s="46" t="s">
        <v>2611</v>
      </c>
      <c r="D31" s="46" t="s">
        <v>2612</v>
      </c>
      <c r="E31" s="80">
        <v>0</v>
      </c>
      <c r="F31" s="80">
        <v>0</v>
      </c>
      <c r="G31" s="80">
        <v>0</v>
      </c>
      <c r="H31" s="80">
        <v>0</v>
      </c>
      <c r="I31" s="80">
        <v>0</v>
      </c>
    </row>
    <row r="32" spans="1:9">
      <c r="A32" s="43" t="s">
        <v>29</v>
      </c>
      <c r="B32" s="46" t="s">
        <v>2613</v>
      </c>
      <c r="C32" s="46" t="s">
        <v>2614</v>
      </c>
      <c r="D32" s="46" t="s">
        <v>2615</v>
      </c>
      <c r="E32" s="80">
        <v>0</v>
      </c>
      <c r="F32" s="80">
        <v>0</v>
      </c>
      <c r="G32" s="80">
        <v>0</v>
      </c>
      <c r="H32" s="80">
        <v>1</v>
      </c>
      <c r="I32" s="80">
        <v>0</v>
      </c>
    </row>
    <row r="33" spans="1:9">
      <c r="A33" s="43" t="s">
        <v>29</v>
      </c>
      <c r="B33" s="46" t="s">
        <v>2616</v>
      </c>
      <c r="C33" s="46" t="s">
        <v>2617</v>
      </c>
      <c r="D33" s="46" t="s">
        <v>2618</v>
      </c>
      <c r="E33" s="80">
        <v>1</v>
      </c>
      <c r="F33" s="80">
        <v>0</v>
      </c>
      <c r="G33" s="80">
        <v>0</v>
      </c>
      <c r="H33" s="80">
        <v>0</v>
      </c>
      <c r="I33" s="80">
        <v>0</v>
      </c>
    </row>
    <row r="34" spans="1:9">
      <c r="A34" s="43" t="s">
        <v>29</v>
      </c>
      <c r="B34" s="46" t="s">
        <v>2619</v>
      </c>
      <c r="C34" s="46" t="s">
        <v>2620</v>
      </c>
      <c r="D34" s="46" t="s">
        <v>2621</v>
      </c>
      <c r="E34" s="80">
        <v>0</v>
      </c>
      <c r="F34" s="80">
        <v>0</v>
      </c>
      <c r="G34" s="80">
        <v>1</v>
      </c>
      <c r="H34" s="80">
        <v>0</v>
      </c>
      <c r="I34" s="80">
        <v>1</v>
      </c>
    </row>
    <row r="35" ht="38.25" spans="1:9">
      <c r="A35" s="45" t="s">
        <v>2622</v>
      </c>
      <c r="B35" s="49" t="s">
        <v>2623</v>
      </c>
      <c r="C35" s="46" t="s">
        <v>2624</v>
      </c>
      <c r="D35" s="48" t="s">
        <v>2625</v>
      </c>
      <c r="E35" s="75" t="s">
        <v>2626</v>
      </c>
      <c r="F35" s="75" t="s">
        <v>2627</v>
      </c>
      <c r="G35" s="75" t="s">
        <v>2628</v>
      </c>
      <c r="H35" s="75" t="s">
        <v>2629</v>
      </c>
      <c r="I35" s="75" t="s">
        <v>2630</v>
      </c>
    </row>
    <row r="36" ht="33.75" spans="1:9">
      <c r="A36" s="45" t="s">
        <v>2631</v>
      </c>
      <c r="B36" s="49" t="s">
        <v>203</v>
      </c>
      <c r="C36" s="46" t="s">
        <v>2632</v>
      </c>
      <c r="D36" s="77" t="s">
        <v>2633</v>
      </c>
      <c r="E36" s="75" t="s">
        <v>2634</v>
      </c>
      <c r="F36" s="75" t="s">
        <v>2635</v>
      </c>
      <c r="G36" s="75" t="s">
        <v>2636</v>
      </c>
      <c r="H36" s="75" t="s">
        <v>2637</v>
      </c>
      <c r="I36" s="75" t="s">
        <v>2638</v>
      </c>
    </row>
    <row r="37" ht="75" spans="1:9">
      <c r="A37" s="43" t="s">
        <v>29</v>
      </c>
      <c r="B37" s="49" t="s">
        <v>2639</v>
      </c>
      <c r="C37" s="46" t="s">
        <v>2640</v>
      </c>
      <c r="D37" s="48" t="s">
        <v>2641</v>
      </c>
      <c r="E37" s="75" t="s">
        <v>2642</v>
      </c>
      <c r="F37" s="75" t="s">
        <v>2643</v>
      </c>
      <c r="G37" s="75" t="s">
        <v>2644</v>
      </c>
      <c r="H37" s="75" t="s">
        <v>2645</v>
      </c>
      <c r="I37" s="75" t="s">
        <v>2646</v>
      </c>
    </row>
    <row r="39" ht="18" customHeight="1" spans="1:9">
      <c r="A39" s="40" t="s">
        <v>2647</v>
      </c>
    </row>
    <row r="40" ht="20" customHeight="1" spans="1:9">
      <c r="A40" s="41" t="s">
        <v>2648</v>
      </c>
      <c r="B40" s="41" t="s">
        <v>310</v>
      </c>
      <c r="C40" s="41" t="s">
        <v>311</v>
      </c>
      <c r="D40" s="41" t="s">
        <v>2649</v>
      </c>
      <c r="E40" s="41" t="s">
        <v>2520</v>
      </c>
      <c r="F40" s="41" t="s">
        <v>2521</v>
      </c>
      <c r="G40" s="41" t="s">
        <v>2522</v>
      </c>
      <c r="H40" s="41" t="s">
        <v>2523</v>
      </c>
      <c r="I40" s="41" t="s">
        <v>2524</v>
      </c>
    </row>
    <row r="41" spans="1:9">
      <c r="A41" s="45" t="s">
        <v>226</v>
      </c>
      <c r="B41" s="46" t="s">
        <v>313</v>
      </c>
      <c r="C41" s="46" t="s">
        <v>333</v>
      </c>
      <c r="D41" s="48" t="s">
        <v>2650</v>
      </c>
      <c r="E41" s="43" t="s">
        <v>2651</v>
      </c>
      <c r="F41" s="43" t="s">
        <v>2652</v>
      </c>
      <c r="G41" s="43" t="s">
        <v>2653</v>
      </c>
      <c r="H41" s="43" t="s">
        <v>2654</v>
      </c>
      <c r="I41" s="43" t="s">
        <v>2655</v>
      </c>
    </row>
    <row r="42" spans="1:9">
      <c r="A42" s="43" t="s">
        <v>29</v>
      </c>
      <c r="B42" s="46" t="s">
        <v>316</v>
      </c>
      <c r="C42" s="46" t="s">
        <v>334</v>
      </c>
      <c r="D42" s="48" t="s">
        <v>29</v>
      </c>
      <c r="E42" s="43" t="s">
        <v>2656</v>
      </c>
      <c r="F42" s="43" t="s">
        <v>2657</v>
      </c>
      <c r="G42" s="43" t="s">
        <v>2658</v>
      </c>
      <c r="H42" s="43" t="s">
        <v>2659</v>
      </c>
      <c r="I42" s="43" t="s">
        <v>2660</v>
      </c>
    </row>
    <row r="43" spans="1:9">
      <c r="A43" s="43" t="s">
        <v>29</v>
      </c>
      <c r="B43" s="46" t="s">
        <v>318</v>
      </c>
      <c r="C43" s="46" t="s">
        <v>335</v>
      </c>
      <c r="D43" s="48" t="s">
        <v>29</v>
      </c>
      <c r="E43" s="43" t="s">
        <v>2661</v>
      </c>
      <c r="F43" s="43" t="s">
        <v>2662</v>
      </c>
      <c r="G43" s="43" t="s">
        <v>2663</v>
      </c>
      <c r="H43" s="43" t="s">
        <v>2664</v>
      </c>
      <c r="I43" s="43" t="s">
        <v>2665</v>
      </c>
    </row>
    <row r="44" spans="1:9">
      <c r="A44" s="43" t="s">
        <v>29</v>
      </c>
      <c r="B44" s="46" t="s">
        <v>320</v>
      </c>
      <c r="C44" s="46" t="s">
        <v>336</v>
      </c>
      <c r="D44" s="48" t="s">
        <v>29</v>
      </c>
      <c r="E44" s="43" t="s">
        <v>2666</v>
      </c>
      <c r="F44" s="43" t="s">
        <v>2667</v>
      </c>
      <c r="G44" s="43" t="s">
        <v>2668</v>
      </c>
      <c r="H44" s="43" t="s">
        <v>2669</v>
      </c>
      <c r="I44" s="43" t="s">
        <v>2670</v>
      </c>
    </row>
    <row r="45" spans="1:9">
      <c r="A45" s="43" t="s">
        <v>29</v>
      </c>
      <c r="B45" s="46" t="s">
        <v>322</v>
      </c>
      <c r="C45" s="46" t="s">
        <v>337</v>
      </c>
      <c r="D45" s="48" t="s">
        <v>29</v>
      </c>
      <c r="E45" s="43" t="s">
        <v>2671</v>
      </c>
      <c r="F45" s="43" t="s">
        <v>2672</v>
      </c>
      <c r="G45" s="43" t="s">
        <v>2673</v>
      </c>
      <c r="H45" s="43" t="s">
        <v>2674</v>
      </c>
      <c r="I45" s="43" t="s">
        <v>2675</v>
      </c>
    </row>
    <row r="46" spans="1:9">
      <c r="A46" s="43" t="s">
        <v>29</v>
      </c>
      <c r="B46" s="46" t="s">
        <v>2676</v>
      </c>
      <c r="C46" s="46" t="s">
        <v>2677</v>
      </c>
      <c r="D46" s="48" t="s">
        <v>29</v>
      </c>
      <c r="E46" s="43" t="s">
        <v>2678</v>
      </c>
      <c r="F46" s="43" t="s">
        <v>2679</v>
      </c>
      <c r="G46" s="43" t="s">
        <v>2680</v>
      </c>
      <c r="H46" s="43" t="s">
        <v>2681</v>
      </c>
      <c r="I46" s="43" t="s">
        <v>2682</v>
      </c>
    </row>
    <row r="47" spans="1:9">
      <c r="A47" s="43" t="s">
        <v>29</v>
      </c>
      <c r="B47" s="43" t="s">
        <v>2683</v>
      </c>
      <c r="C47" s="46" t="s">
        <v>338</v>
      </c>
      <c r="D47" s="43" t="s">
        <v>29</v>
      </c>
      <c r="E47" s="50">
        <f>COUNTIF(E41:E46,"&lt;&gt;")</f>
        <v>6</v>
      </c>
      <c r="F47" s="50">
        <f>COUNTIF(F41:F46,"&lt;&gt;")</f>
        <v>6</v>
      </c>
      <c r="G47" s="50">
        <f>COUNTIF(G41:G46,"&lt;&gt;")</f>
        <v>6</v>
      </c>
      <c r="H47" s="50">
        <f>COUNTIF(H41:H46,"&lt;&gt;")</f>
        <v>6</v>
      </c>
      <c r="I47" s="50">
        <f>COUNTIF(I41:I46,"&lt;&gt;")</f>
        <v>6</v>
      </c>
    </row>
    <row r="48" ht="25.5" spans="1:9">
      <c r="A48" s="45" t="s">
        <v>2551</v>
      </c>
      <c r="B48" s="46" t="s">
        <v>313</v>
      </c>
      <c r="C48" s="46" t="s">
        <v>2684</v>
      </c>
      <c r="D48" s="48" t="s">
        <v>2685</v>
      </c>
      <c r="E48" s="43" t="s">
        <v>2686</v>
      </c>
      <c r="F48" s="43" t="s">
        <v>2652</v>
      </c>
      <c r="G48" s="43" t="s">
        <v>2663</v>
      </c>
      <c r="H48" s="43" t="s">
        <v>2654</v>
      </c>
      <c r="I48" s="43" t="s">
        <v>2665</v>
      </c>
    </row>
    <row r="49" spans="1:9">
      <c r="A49" s="43" t="s">
        <v>29</v>
      </c>
      <c r="B49" s="46" t="s">
        <v>316</v>
      </c>
      <c r="C49" s="46" t="s">
        <v>2687</v>
      </c>
      <c r="D49" s="48" t="s">
        <v>29</v>
      </c>
      <c r="E49" s="43" t="s">
        <v>2688</v>
      </c>
      <c r="F49" s="43" t="s">
        <v>2689</v>
      </c>
      <c r="G49" s="43" t="s">
        <v>2690</v>
      </c>
      <c r="H49" s="43" t="s">
        <v>2691</v>
      </c>
      <c r="I49" s="43" t="s">
        <v>2655</v>
      </c>
    </row>
    <row r="50" spans="1:9">
      <c r="A50" s="43" t="s">
        <v>29</v>
      </c>
      <c r="B50" s="46" t="s">
        <v>318</v>
      </c>
      <c r="C50" s="46" t="s">
        <v>2692</v>
      </c>
      <c r="D50" s="48" t="s">
        <v>29</v>
      </c>
      <c r="E50" s="43" t="s">
        <v>2693</v>
      </c>
      <c r="F50" s="43" t="s">
        <v>2667</v>
      </c>
      <c r="G50" s="43" t="s">
        <v>2653</v>
      </c>
      <c r="H50" s="43" t="s">
        <v>2664</v>
      </c>
      <c r="I50" s="43" t="s">
        <v>2682</v>
      </c>
    </row>
    <row r="51" spans="1:9">
      <c r="A51" s="43" t="s">
        <v>29</v>
      </c>
      <c r="B51" s="46" t="s">
        <v>320</v>
      </c>
      <c r="C51" s="46" t="s">
        <v>2694</v>
      </c>
      <c r="D51" s="48" t="s">
        <v>29</v>
      </c>
      <c r="E51" s="43" t="s">
        <v>2666</v>
      </c>
      <c r="F51" s="43" t="s">
        <v>2695</v>
      </c>
      <c r="G51" s="43" t="s">
        <v>2696</v>
      </c>
      <c r="H51" s="43" t="s">
        <v>2659</v>
      </c>
      <c r="I51" s="43" t="s">
        <v>2660</v>
      </c>
    </row>
    <row r="52" spans="1:9">
      <c r="A52" s="43" t="s">
        <v>29</v>
      </c>
      <c r="B52" s="46" t="s">
        <v>322</v>
      </c>
      <c r="C52" s="46" t="s">
        <v>2697</v>
      </c>
      <c r="D52" s="48" t="s">
        <v>29</v>
      </c>
      <c r="E52" s="43" t="s">
        <v>2661</v>
      </c>
      <c r="F52" s="43" t="s">
        <v>2698</v>
      </c>
      <c r="G52" s="43" t="s">
        <v>2680</v>
      </c>
      <c r="H52" s="43" t="s">
        <v>2699</v>
      </c>
      <c r="I52" s="43" t="s">
        <v>2700</v>
      </c>
    </row>
    <row r="53" spans="1:9">
      <c r="A53" s="43" t="s">
        <v>29</v>
      </c>
      <c r="B53" s="43" t="s">
        <v>2683</v>
      </c>
      <c r="C53" s="46" t="s">
        <v>2701</v>
      </c>
      <c r="D53" s="43" t="s">
        <v>29</v>
      </c>
      <c r="E53" s="50">
        <f>COUNTIF(E48:E52,"&lt;&gt;")</f>
        <v>5</v>
      </c>
      <c r="F53" s="50">
        <f>COUNTIF(F48:F52,"&lt;&gt;")</f>
        <v>5</v>
      </c>
      <c r="G53" s="50">
        <f>COUNTIF(G48:G52,"&lt;&gt;")</f>
        <v>5</v>
      </c>
      <c r="H53" s="50">
        <f>COUNTIF(H48:H52,"&lt;&gt;")</f>
        <v>5</v>
      </c>
      <c r="I53" s="50">
        <f>COUNTIF(I48:I52,"&lt;&gt;")</f>
        <v>5</v>
      </c>
    </row>
    <row r="54" spans="1:9">
      <c r="A54" s="45" t="s">
        <v>2624</v>
      </c>
      <c r="B54" s="46" t="s">
        <v>313</v>
      </c>
      <c r="C54" s="46" t="s">
        <v>2702</v>
      </c>
      <c r="D54" s="48" t="s">
        <v>2703</v>
      </c>
      <c r="E54" s="43" t="s">
        <v>2651</v>
      </c>
      <c r="F54" s="43" t="s">
        <v>2652</v>
      </c>
      <c r="G54" s="43" t="s">
        <v>2663</v>
      </c>
      <c r="H54" s="43" t="s">
        <v>2659</v>
      </c>
      <c r="I54" s="43" t="s">
        <v>2655</v>
      </c>
    </row>
    <row r="55" spans="1:9">
      <c r="A55" s="43" t="s">
        <v>29</v>
      </c>
      <c r="B55" s="46" t="s">
        <v>316</v>
      </c>
      <c r="C55" s="46" t="s">
        <v>2704</v>
      </c>
      <c r="D55" s="48" t="s">
        <v>29</v>
      </c>
      <c r="E55" s="43" t="s">
        <v>2661</v>
      </c>
      <c r="F55" s="43" t="s">
        <v>2662</v>
      </c>
      <c r="G55" s="43" t="s">
        <v>2653</v>
      </c>
      <c r="H55" s="43" t="s">
        <v>2654</v>
      </c>
      <c r="I55" s="43" t="s">
        <v>2660</v>
      </c>
    </row>
    <row r="56" spans="1:9">
      <c r="A56" s="43" t="s">
        <v>29</v>
      </c>
      <c r="B56" s="46" t="s">
        <v>318</v>
      </c>
      <c r="C56" s="46" t="s">
        <v>2705</v>
      </c>
      <c r="D56" s="48" t="s">
        <v>29</v>
      </c>
      <c r="E56" s="43" t="s">
        <v>2678</v>
      </c>
      <c r="F56" s="43" t="s">
        <v>2695</v>
      </c>
      <c r="G56" s="43" t="s">
        <v>2658</v>
      </c>
      <c r="H56" s="43" t="s">
        <v>2669</v>
      </c>
      <c r="I56" s="43" t="s">
        <v>2670</v>
      </c>
    </row>
    <row r="57" spans="1:9">
      <c r="A57" s="43" t="s">
        <v>29</v>
      </c>
      <c r="B57" s="46" t="s">
        <v>320</v>
      </c>
      <c r="C57" s="46" t="s">
        <v>2706</v>
      </c>
      <c r="D57" s="48" t="s">
        <v>29</v>
      </c>
      <c r="E57" s="43" t="s">
        <v>2671</v>
      </c>
      <c r="F57" s="43" t="s">
        <v>2667</v>
      </c>
      <c r="G57" s="43" t="s">
        <v>2668</v>
      </c>
      <c r="H57" s="43" t="s">
        <v>2664</v>
      </c>
      <c r="I57" s="43" t="s">
        <v>2682</v>
      </c>
    </row>
    <row r="58" spans="1:9">
      <c r="A58" s="43" t="s">
        <v>29</v>
      </c>
      <c r="B58" s="46" t="s">
        <v>322</v>
      </c>
      <c r="C58" s="46" t="s">
        <v>2707</v>
      </c>
      <c r="D58" s="48" t="s">
        <v>29</v>
      </c>
      <c r="E58" s="43" t="s">
        <v>2708</v>
      </c>
      <c r="F58" s="43" t="s">
        <v>2709</v>
      </c>
      <c r="G58" s="43" t="s">
        <v>2710</v>
      </c>
      <c r="H58" s="43" t="s">
        <v>2681</v>
      </c>
      <c r="I58" s="43" t="s">
        <v>2675</v>
      </c>
    </row>
    <row r="59" spans="1:9">
      <c r="A59" s="43" t="s">
        <v>29</v>
      </c>
      <c r="B59" s="46" t="s">
        <v>2676</v>
      </c>
      <c r="C59" s="46" t="s">
        <v>2711</v>
      </c>
      <c r="D59" s="48" t="s">
        <v>29</v>
      </c>
      <c r="E59" s="43" t="s">
        <v>2688</v>
      </c>
      <c r="F59" s="43" t="s">
        <v>2712</v>
      </c>
      <c r="G59" s="43" t="s">
        <v>2713</v>
      </c>
      <c r="H59" s="43" t="s">
        <v>2714</v>
      </c>
      <c r="I59" s="43" t="s">
        <v>2715</v>
      </c>
    </row>
    <row r="60" spans="1:9">
      <c r="A60" s="43" t="s">
        <v>29</v>
      </c>
      <c r="B60" s="43" t="s">
        <v>2683</v>
      </c>
      <c r="C60" s="46" t="s">
        <v>2716</v>
      </c>
      <c r="D60" s="43" t="s">
        <v>29</v>
      </c>
      <c r="E60" s="50">
        <f>COUNTIF(E54:E59,"&lt;&gt;")</f>
        <v>6</v>
      </c>
      <c r="F60" s="50">
        <f>COUNTIF(F54:F59,"&lt;&gt;")</f>
        <v>6</v>
      </c>
      <c r="G60" s="50">
        <f>COUNTIF(G54:G59,"&lt;&gt;")</f>
        <v>6</v>
      </c>
      <c r="H60" s="50">
        <f>COUNTIF(H54:H59,"&lt;&gt;")</f>
        <v>6</v>
      </c>
      <c r="I60" s="50">
        <f>COUNTIF(I54:I59,"&lt;&gt;")</f>
        <v>6</v>
      </c>
    </row>
  </sheetData>
  <mergeCells count="3">
    <mergeCell ref="A1:I1"/>
    <mergeCell ref="A2:I2"/>
    <mergeCell ref="A39:I39"/>
  </mergeCells>
  <pageMargins left="0.7" right="0.7" top="0.75" bottom="0.75" header="0.3" footer="0.3"/>
  <pageSetup paperSize="1" orientation="portrait"/>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G125"/>
  <sheetViews>
    <sheetView workbookViewId="0">
      <pane xSplit="5" ySplit="5" topLeftCell="F6" activePane="bottomRight" state="frozen"/>
      <selection/>
      <selection pane="topRight"/>
      <selection pane="bottomLeft"/>
      <selection pane="bottomRight" activeCell="A1" sqref="A1:BG1"/>
    </sheetView>
  </sheetViews>
  <sheetFormatPr defaultColWidth="9" defaultRowHeight="15"/>
  <cols>
    <col min="1" max="1" width="10" customWidth="1"/>
    <col min="6" max="7" width="10" customWidth="1"/>
    <col min="8" max="8" width="11" customWidth="1"/>
    <col min="9" max="9" width="20" customWidth="1"/>
    <col min="10" max="10" width="16" customWidth="1"/>
    <col min="11" max="12" width="15" customWidth="1"/>
    <col min="13" max="13" width="16" customWidth="1"/>
    <col min="14" max="14" width="20" customWidth="1"/>
    <col min="15" max="15" width="11" customWidth="1"/>
    <col min="16" max="16" width="14" customWidth="1"/>
    <col min="17" max="19" width="16" customWidth="1"/>
    <col min="20" max="22" width="20" customWidth="1"/>
    <col min="23" max="23" width="13" customWidth="1"/>
    <col min="24" max="24" width="20" customWidth="1"/>
    <col min="25" max="25" width="15" customWidth="1"/>
    <col min="26" max="27" width="19" customWidth="1"/>
    <col min="28" max="28" width="12" customWidth="1"/>
    <col min="29" max="29" width="14" customWidth="1"/>
    <col min="30" max="30" width="20" customWidth="1"/>
    <col min="31" max="31" width="19" customWidth="1"/>
    <col min="32" max="32" width="20" customWidth="1"/>
    <col min="33" max="33" width="10" customWidth="1"/>
    <col min="34" max="34" width="20" customWidth="1"/>
    <col min="35" max="35" width="19" customWidth="1"/>
    <col min="36" max="36" width="17" customWidth="1"/>
    <col min="37" max="38" width="20" customWidth="1"/>
    <col min="39" max="39" width="19" customWidth="1"/>
    <col min="40" max="43" width="20" customWidth="1"/>
    <col min="44" max="44" width="18" customWidth="1"/>
    <col min="45" max="45" width="20" customWidth="1"/>
    <col min="46" max="46" width="14" customWidth="1"/>
    <col min="47" max="47" width="18" customWidth="1"/>
    <col min="48" max="48" width="14" customWidth="1"/>
    <col min="49" max="49" width="58" customWidth="1"/>
    <col min="50" max="50" width="18" customWidth="1"/>
    <col min="51" max="51" width="19" customWidth="1"/>
    <col min="52" max="52" width="13" customWidth="1"/>
    <col min="53" max="53" width="20" customWidth="1"/>
    <col min="54" max="54" width="12" customWidth="1"/>
    <col min="55" max="55" width="10" customWidth="1"/>
    <col min="56" max="56" width="50" customWidth="1"/>
    <col min="57" max="57" width="42" customWidth="1"/>
    <col min="58" max="58" width="18" customWidth="1"/>
    <col min="59" max="59" width="11" customWidth="1"/>
  </cols>
  <sheetData>
    <row r="1" ht="24" customHeight="1" spans="1:59">
      <c r="A1" s="38" t="s">
        <v>739</v>
      </c>
    </row>
    <row r="2" ht="30" customHeight="1" spans="1:59">
      <c r="A2" s="39" t="s">
        <v>2717</v>
      </c>
    </row>
    <row r="4" ht="15.75" spans="1:59">
      <c r="A4" s="66" t="s">
        <v>741</v>
      </c>
      <c r="B4" s="67"/>
      <c r="C4" s="67"/>
      <c r="D4" s="67"/>
      <c r="E4" s="67"/>
      <c r="F4" s="67"/>
      <c r="G4" s="67"/>
      <c r="H4" s="67"/>
      <c r="I4" s="68"/>
      <c r="J4" s="66" t="s">
        <v>742</v>
      </c>
      <c r="K4" s="67"/>
      <c r="L4" s="67"/>
      <c r="M4" s="67"/>
      <c r="N4" s="68"/>
      <c r="O4" s="66" t="s">
        <v>743</v>
      </c>
      <c r="P4" s="67"/>
      <c r="Q4" s="67"/>
      <c r="R4" s="67"/>
      <c r="S4" s="67"/>
      <c r="T4" s="68"/>
      <c r="U4" s="66" t="s">
        <v>744</v>
      </c>
      <c r="V4" s="67"/>
      <c r="W4" s="67"/>
      <c r="X4" s="67"/>
      <c r="Y4" s="67"/>
      <c r="Z4" s="68"/>
      <c r="AA4" s="66" t="s">
        <v>745</v>
      </c>
      <c r="AB4" s="67"/>
      <c r="AC4" s="67"/>
      <c r="AD4" s="67"/>
      <c r="AE4" s="67"/>
      <c r="AF4" s="68"/>
      <c r="AG4" s="66" t="s">
        <v>746</v>
      </c>
      <c r="AH4" s="67"/>
      <c r="AI4" s="67"/>
      <c r="AJ4" s="67"/>
      <c r="AK4" s="67"/>
      <c r="AL4" s="67"/>
      <c r="AM4" s="67"/>
      <c r="AN4" s="68"/>
      <c r="AO4" s="66" t="s">
        <v>747</v>
      </c>
      <c r="AP4" s="67"/>
      <c r="AQ4" s="67"/>
      <c r="AR4" s="67"/>
      <c r="AS4" s="67"/>
      <c r="AT4" s="67"/>
      <c r="AU4" s="67"/>
      <c r="AV4" s="67"/>
      <c r="AW4" s="68"/>
      <c r="AX4" s="66" t="s">
        <v>748</v>
      </c>
      <c r="AY4" s="67"/>
      <c r="AZ4" s="67"/>
      <c r="BA4" s="67"/>
      <c r="BB4" s="67"/>
      <c r="BC4" s="68"/>
      <c r="BD4" s="66" t="s">
        <v>749</v>
      </c>
      <c r="BE4" s="67"/>
      <c r="BF4" s="67"/>
      <c r="BG4" s="68"/>
    </row>
    <row r="5" ht="46" customHeight="1" spans="1:59">
      <c r="A5" s="41" t="s">
        <v>124</v>
      </c>
      <c r="B5" s="41" t="s">
        <v>750</v>
      </c>
      <c r="C5" s="41" t="s">
        <v>414</v>
      </c>
      <c r="D5" s="41" t="s">
        <v>1031</v>
      </c>
      <c r="E5" s="41" t="s">
        <v>415</v>
      </c>
      <c r="F5" s="41" t="s">
        <v>390</v>
      </c>
      <c r="G5" s="41" t="s">
        <v>416</v>
      </c>
      <c r="H5" s="41" t="s">
        <v>450</v>
      </c>
      <c r="I5" s="41" t="s">
        <v>451</v>
      </c>
      <c r="J5" s="41" t="s">
        <v>752</v>
      </c>
      <c r="K5" s="41" t="s">
        <v>753</v>
      </c>
      <c r="L5" s="41" t="s">
        <v>2718</v>
      </c>
      <c r="M5" s="41" t="s">
        <v>2719</v>
      </c>
      <c r="N5" s="41" t="s">
        <v>2720</v>
      </c>
      <c r="O5" s="41" t="s">
        <v>2721</v>
      </c>
      <c r="P5" s="41" t="s">
        <v>2722</v>
      </c>
      <c r="Q5" s="41" t="s">
        <v>2723</v>
      </c>
      <c r="R5" s="41" t="s">
        <v>2724</v>
      </c>
      <c r="S5" s="41" t="s">
        <v>2725</v>
      </c>
      <c r="T5" s="41" t="s">
        <v>2726</v>
      </c>
      <c r="U5" s="41" t="s">
        <v>2727</v>
      </c>
      <c r="V5" s="41" t="s">
        <v>759</v>
      </c>
      <c r="W5" s="41" t="s">
        <v>760</v>
      </c>
      <c r="X5" s="41" t="s">
        <v>761</v>
      </c>
      <c r="Y5" s="41" t="s">
        <v>2728</v>
      </c>
      <c r="Z5" s="41" t="s">
        <v>2729</v>
      </c>
      <c r="AA5" s="41" t="s">
        <v>762</v>
      </c>
      <c r="AB5" s="41" t="s">
        <v>2730</v>
      </c>
      <c r="AC5" s="41" t="s">
        <v>764</v>
      </c>
      <c r="AD5" s="41" t="s">
        <v>2731</v>
      </c>
      <c r="AE5" s="41" t="s">
        <v>2732</v>
      </c>
      <c r="AF5" s="41" t="s">
        <v>2733</v>
      </c>
      <c r="AG5" s="41" t="s">
        <v>2734</v>
      </c>
      <c r="AH5" s="41" t="s">
        <v>767</v>
      </c>
      <c r="AI5" s="41" t="s">
        <v>456</v>
      </c>
      <c r="AJ5" s="41" t="s">
        <v>457</v>
      </c>
      <c r="AK5" s="41" t="s">
        <v>768</v>
      </c>
      <c r="AL5" s="41" t="s">
        <v>769</v>
      </c>
      <c r="AM5" s="41" t="s">
        <v>2735</v>
      </c>
      <c r="AN5" s="41" t="s">
        <v>2736</v>
      </c>
      <c r="AO5" s="41" t="s">
        <v>2737</v>
      </c>
      <c r="AP5" s="41" t="s">
        <v>2738</v>
      </c>
      <c r="AQ5" s="41" t="s">
        <v>2739</v>
      </c>
      <c r="AR5" s="41" t="s">
        <v>2740</v>
      </c>
      <c r="AS5" s="41" t="s">
        <v>2741</v>
      </c>
      <c r="AT5" s="41" t="s">
        <v>2742</v>
      </c>
      <c r="AU5" s="41" t="s">
        <v>2743</v>
      </c>
      <c r="AV5" s="41" t="s">
        <v>2744</v>
      </c>
      <c r="AW5" s="41" t="s">
        <v>2745</v>
      </c>
      <c r="AX5" s="41" t="s">
        <v>2746</v>
      </c>
      <c r="AY5" s="41" t="s">
        <v>772</v>
      </c>
      <c r="AZ5" s="41" t="s">
        <v>424</v>
      </c>
      <c r="BA5" s="41" t="s">
        <v>494</v>
      </c>
      <c r="BB5" s="41" t="s">
        <v>773</v>
      </c>
      <c r="BC5" s="41" t="s">
        <v>2747</v>
      </c>
      <c r="BD5" s="41" t="s">
        <v>2748</v>
      </c>
      <c r="BE5" s="41" t="s">
        <v>2749</v>
      </c>
      <c r="BF5" s="41" t="s">
        <v>2750</v>
      </c>
      <c r="BG5" s="41" t="s">
        <v>780</v>
      </c>
    </row>
    <row r="6" spans="1:59">
      <c r="A6" s="64" t="s">
        <v>2527</v>
      </c>
      <c r="B6" s="42" t="str">
        <f>Brand_Profile!$E$6</f>
        <v>BRAND-B</v>
      </c>
      <c r="C6" s="42" t="e">
        <f>'[1]#REF'!$A$6</f>
        <v>#REF!</v>
      </c>
      <c r="D6" s="42" t="e">
        <f>'[1]#REF'!$C$6</f>
        <v>#REF!</v>
      </c>
      <c r="E6" s="42" t="e">
        <f>'[1]#REF'!$D$6</f>
        <v>#REF!</v>
      </c>
      <c r="F6" s="42" t="e">
        <f>'[1]#REF'!$E$6</f>
        <v>#REF!</v>
      </c>
      <c r="G6" s="42" t="e">
        <f>'[1]#REF'!$K$6</f>
        <v>#REF!</v>
      </c>
      <c r="H6" s="72" t="e">
        <f>'[1]#REF'!$G$6</f>
        <v>#REF!</v>
      </c>
      <c r="I6" s="73" t="e">
        <f>'[1]#REF'!$BG$6</f>
        <v>#REF!</v>
      </c>
      <c r="J6" s="65" t="e">
        <f>IF(NOT(AND(ISTEXT('[1]#REF'!$K$6),'[1]#REF'!$K$6&lt;&gt;"N/A")),Lookup_Lists!$D$150,IF(Brand_Profile!$E$7='[1]#REF'!$K$6,100,IFERROR(INDEX(Lookup_Lists!$B$349:$J$357,MATCH(Brand_Profile!$E$7,Lookup_Lists!$A$349:$A$357,0),MATCH('[1]#REF'!$K$6,Lookup_Lists!$B$348:$J$348,0)),Lookup_Lists!$D$151)))</f>
        <v>#REF!</v>
      </c>
      <c r="K6" s="65" t="e">
        <f>IF(LEN(TRIM(SUBSTITUTE(Matching_Engine!$BD$6,"|","")))=0,"N/A",IF(Brand_Profile!$E$47=0,Lookup_Lists!$D$150,ROUND((IF(Brand_Profile!$E$41="",0,IF(ISNUMBER(SEARCH(Brand_Profile!$E$41,Matching_Engine!$BD$6)),1,0))+IF(Brand_Profile!$E$42="",0,IF(ISNUMBER(SEARCH(Brand_Profile!$E$42,Matching_Engine!$BD$6)),1,0))+IF(Brand_Profile!$E$43="",0,IF(ISNUMBER(SEARCH(Brand_Profile!$E$43,Matching_Engine!$BD$6)),1,0))+IF(Brand_Profile!$E$44="",0,IF(ISNUMBER(SEARCH(Brand_Profile!$E$44,Matching_Engine!$BD$6)),1,0))+IF(Brand_Profile!$E$45="",0,IF(ISNUMBER(SEARCH(Brand_Profile!$E$45,Matching_Engine!$BD$6)),1,0))+IF(Brand_Profile!$E$46="",0,IF(ISNUMBER(SEARCH(Brand_Profile!$E$46,Matching_Engine!$BD$6)),1,0)))/Brand_Profile!$E$47*100,0)))</f>
        <v>#VALUE!</v>
      </c>
      <c r="L6" s="65" t="e">
        <f>IF(NOT(AND(ISTEXT('[1]#REF'!$U$6),'[1]#REF'!$U$6&lt;&gt;"N/A")),"N/A",IF(Brand_Profile!$E$53=0,Lookup_Lists!$D$150,ROUND((IF(Brand_Profile!$E$48="",0,IF(ISNUMBER(SEARCH(Brand_Profile!$E$48,Matching_Engine!$BF$6)),1,0))+IF(Brand_Profile!$E$49="",0,IF(ISNUMBER(SEARCH(Brand_Profile!$E$49,Matching_Engine!$BF$6)),1,0))+IF(Brand_Profile!$E$50="",0,IF(ISNUMBER(SEARCH(Brand_Profile!$E$50,Matching_Engine!$BF$6)),1,0))+IF(Brand_Profile!$E$51="",0,IF(ISNUMBER(SEARCH(Brand_Profile!$E$51,Matching_Engine!$BF$6)),1,0))+IF(Brand_Profile!$E$52="",0,IF(ISNUMBER(SEARCH(Brand_Profile!$E$52,Matching_Engine!$BF$6)),1,0)))/Brand_Profile!$E$53*100,0)))</f>
        <v>#REF!</v>
      </c>
      <c r="M6" s="63" t="str">
        <f>IF((IF(ISNUMBER(Matching_Engine!$J$6),Lookup_Lists!$D$332,0)+IF(ISNUMBER(Matching_Engine!$K$6),Lookup_Lists!$D$333,0)+IF(ISNUMBER(Matching_Engine!$L$6),Lookup_Lists!$D$334,0))=0,"N/A",ROUND((IF(ISNUMBER(Matching_Engine!$J$6),Matching_Engine!$J$6*Lookup_Lists!$D$332,0)+IF(ISNUMBER(Matching_Engine!$K$6),Matching_Engine!$K$6*Lookup_Lists!$D$333,0)+IF(ISNUMBER(Matching_Engine!$L$6),Matching_Engine!$L$6*Lookup_Lists!$D$334,0))/(IF(ISNUMBER(Matching_Engine!$J$6),Lookup_Lists!$D$332,0)+IF(ISNUMBER(Matching_Engine!$K$6),Lookup_Lists!$D$333,0)+IF(ISNUMBER(Matching_Engine!$L$6),Lookup_Lists!$D$334,0)),0))</f>
        <v>N/A</v>
      </c>
      <c r="N6" s="42">
        <f>IF(ISNUMBER(Matching_Engine!$M$6),1,0)</f>
        <v>1</v>
      </c>
      <c r="O6" s="65" t="str">
        <f ca="1">IF(NOT(ISNUMBER(IFERROR(INDEX('[1]#REF'!$V$6:'[1]#REF'!$Z$6,1,MATCH(Brand_Profile!$E$11,Lookup_Lists!$F$6:$F$10,0)),""))),"N/A",MIN(100,ROUND((IFERROR(INDEX('[1]#REF'!$V$6:'[1]#REF'!$Z$6,1,MATCH(Brand_Profile!$E$11,Lookup_Lists!$F$6:$F$10,0)),"")+0.5*IF(ISNUMBER(IFERROR(INDEX('[1]#REF'!$V$6:'[1]#REF'!$Z$6,1,MATCH(Brand_Profile!$E$12,Lookup_Lists!$F$6:$F$10,0)),"")),IFERROR(INDEX('[1]#REF'!$V$6:'[1]#REF'!$Z$6,1,MATCH(Brand_Profile!$E$12,Lookup_Lists!$F$6:$F$10,0)),""),0))/Lookup_Lists!$D$142*100,0)))</f>
        <v>N/A</v>
      </c>
      <c r="P6" s="65" t="str">
        <f>IF(Brand_Profile!$E$13="Any",100,IF(NOT(ISNUMBER('[1]#REF'!$AA$6)),"N/A",IF(Brand_Profile!$E$13="Female",MIN(100,ROUND('[1]#REF'!$AA$6/Lookup_Lists!$D$143*100,0)),IF(Brand_Profile!$E$13="Male",MIN(100,ROUND(IF(ISNUMBER('[1]#REF'!$AB$6),'[1]#REF'!$AB$6,100-'[1]#REF'!$AA$6)/Lookup_Lists!$D$143*100,0)),MAX(0,ROUND(100-ABS('[1]#REF'!$AA$6-50)*2,0))))))</f>
        <v>N/A</v>
      </c>
      <c r="Q6" s="65" t="str">
        <f>IF((IF(ISNUMBER(IF(NOT(ISNUMBER('[1]#REF'!$AE$6)),"N/A",IF('[1]#REF'!$AD$6&lt;&gt;Brand_Profile!$E$14,Lookup_Lists!$D$151,MIN(100,ROUND('[1]#REF'!$AE$6/Lookup_Lists!$D$316*100,0))))),Lookup_Lists!$D$118,0)+IF(ISNUMBER(IF(NOT(ISNUMBER('[1]#REF'!$AM$6)),"N/A",MIN(100,ROUND((IF('[1]#REF'!$AG$6=Brand_Profile!$E$15,IF(ISNUMBER('[1]#REF'!$AH$6),'[1]#REF'!$AH$6,0),0)+IF('[1]#REF'!$AI$6=Brand_Profile!$E$15,IF(ISNUMBER('[1]#REF'!$AJ$6),'[1]#REF'!$AJ$6,0),0)+IF('[1]#REF'!$AK$6=Brand_Profile!$E$15,IF(ISNUMBER('[1]#REF'!$AL$6),'[1]#REF'!$AL$6,0),0))/Lookup_Lists!$D$317*100,0)))),Lookup_Lists!$D$120,0))=0,"N/A",ROUND((IF(ISNUMBER(IF(NOT(ISNUMBER('[1]#REF'!$AE$6)),"N/A",IF('[1]#REF'!$AD$6&lt;&gt;Brand_Profile!$E$14,Lookup_Lists!$D$151,MIN(100,ROUND('[1]#REF'!$AE$6/Lookup_Lists!$D$316*100,0))))),IF(NOT(ISNUMBER('[1]#REF'!$AE$6)),"N/A",IF('[1]#REF'!$AD$6&lt;&gt;Brand_Profile!$E$14,Lookup_Lists!$D$151,MIN(100,ROUND('[1]#REF'!$AE$6/Lookup_Lists!$D$316*100,0))))*Lookup_Lists!$D$118,0)+IF(ISNUMBER(IF(NOT(ISNUMBER('[1]#REF'!$AM$6)),"N/A",MIN(100,ROUND((IF('[1]#REF'!$AG$6=Brand_Profile!$E$15,IF(ISNUMBER('[1]#REF'!$AH$6),'[1]#REF'!$AH$6,0),0)+IF('[1]#REF'!$AI$6=Brand_Profile!$E$15,IF(ISNUMBER('[1]#REF'!$AJ$6),'[1]#REF'!$AJ$6,0),0)+IF('[1]#REF'!$AK$6=Brand_Profile!$E$15,IF(ISNUMBER('[1]#REF'!$AL$6),'[1]#REF'!$AL$6,0),0))/Lookup_Lists!$D$317*100,0)))),IF(NOT(ISNUMBER('[1]#REF'!$AM$6)),"N/A",MIN(100,ROUND((IF('[1]#REF'!$AG$6=Brand_Profile!$E$15,IF(ISNUMBER('[1]#REF'!$AH$6),'[1]#REF'!$AH$6,0),0)+IF('[1]#REF'!$AI$6=Brand_Profile!$E$15,IF(ISNUMBER('[1]#REF'!$AJ$6),'[1]#REF'!$AJ$6,0),0)+IF('[1]#REF'!$AK$6=Brand_Profile!$E$15,IF(ISNUMBER('[1]#REF'!$AL$6),'[1]#REF'!$AL$6,0),0))/Lookup_Lists!$D$317*100,0)))*Lookup_Lists!$D$120,0))/(IF(ISNUMBER(IF(NOT(ISNUMBER('[1]#REF'!$AE$6)),"N/A",IF('[1]#REF'!$AD$6&lt;&gt;Brand_Profile!$E$14,Lookup_Lists!$D$151,MIN(100,ROUND('[1]#REF'!$AE$6/Lookup_Lists!$D$316*100,0))))),Lookup_Lists!$D$118,0)+IF(ISNUMBER(IF(NOT(ISNUMBER('[1]#REF'!$AM$6)),"N/A",MIN(100,ROUND((IF('[1]#REF'!$AG$6=Brand_Profile!$E$15,IF(ISNUMBER('[1]#REF'!$AH$6),'[1]#REF'!$AH$6,0),0)+IF('[1]#REF'!$AI$6=Brand_Profile!$E$15,IF(ISNUMBER('[1]#REF'!$AJ$6),'[1]#REF'!$AJ$6,0),0)+IF('[1]#REF'!$AK$6=Brand_Profile!$E$15,IF(ISNUMBER('[1]#REF'!$AL$6),'[1]#REF'!$AL$6,0),0))/Lookup_Lists!$D$317*100,0)))),Lookup_Lists!$D$120,0)),0))</f>
        <v>N/A</v>
      </c>
      <c r="R6" s="65" t="str">
        <f>IF(NOT(ISNUMBER('[1]#REF'!$AN$6)),"N/A",MIN(100,ROUND((IF(ISNUMBER('[1]#REF'!$AO$6),'[1]#REF'!$AO$6*Brand_Profile!$E$17,0)+IF(ISNUMBER('[1]#REF'!$AP$6),'[1]#REF'!$AP$6*Brand_Profile!$E$18,0)+IF(ISNUMBER('[1]#REF'!$AQ$6),'[1]#REF'!$AQ$6*Brand_Profile!$E$19,0)+IF(ISNUMBER('[1]#REF'!$AR$6),'[1]#REF'!$AR$6*Brand_Profile!$E$20,0)+IF(ISNUMBER('[1]#REF'!$AS$6),'[1]#REF'!$AS$6*Brand_Profile!$E$21,0)+IF(ISNUMBER('[1]#REF'!$AT$6),'[1]#REF'!$AT$6*Brand_Profile!$E$22,0)+IF(ISNUMBER('[1]#REF'!$AU$6),'[1]#REF'!$AU$6*Brand_Profile!$E$23,0)+IF(ISNUMBER('[1]#REF'!$AV$6),'[1]#REF'!$AV$6*Brand_Profile!$E$24,0)+IF(ISNUMBER('[1]#REF'!$AW$6),'[1]#REF'!$AW$6*Brand_Profile!$E$25,0)+IF(ISNUMBER('[1]#REF'!$AX$6),'[1]#REF'!$AX$6*Brand_Profile!$E$26,0)+IF(ISNUMBER('[1]#REF'!$AY$6),'[1]#REF'!$AY$6*Brand_Profile!$E$27,0)+IF(ISNUMBER('[1]#REF'!$AZ$6),'[1]#REF'!$AZ$6*Brand_Profile!$E$28,0)+IF(ISNUMBER('[1]#REF'!$BA$6),'[1]#REF'!$BA$6*Brand_Profile!$E$29,0)+IF(ISNUMBER('[1]#REF'!$BB$6),'[1]#REF'!$BB$6*Brand_Profile!$E$30,0)+IF(ISNUMBER('[1]#REF'!$BC$6),'[1]#REF'!$BC$6*Brand_Profile!$E$31,0)+IF(ISNUMBER('[1]#REF'!$BD$6),'[1]#REF'!$BD$6*Brand_Profile!$E$32,0)+IF(ISNUMBER('[1]#REF'!$BE$6),'[1]#REF'!$BE$6*Brand_Profile!$E$33,0)+IF(ISNUMBER('[1]#REF'!$BF$6),'[1]#REF'!$BF$6*Brand_Profile!$E$34,0))/Lookup_Lists!$D$318*100,0)))</f>
        <v>N/A</v>
      </c>
      <c r="S6" s="63">
        <f ca="1">IF((IF(ISNUMBER(Matching_Engine!$O$6),Lookup_Lists!$D$113,0)+IF(ISNUMBER(Matching_Engine!$P$6),Lookup_Lists!$D$114,0)+IF(ISNUMBER(Matching_Engine!$Q$6),Lookup_Lists!$D$115,0)+IF(ISNUMBER(Matching_Engine!$R$6),Lookup_Lists!$D$116,0))=0,"N/A",ROUND((IF(ISNUMBER(Matching_Engine!$O$6),Matching_Engine!$O$6*Lookup_Lists!$D$113,0)+IF(ISNUMBER(Matching_Engine!$P$6),Matching_Engine!$P$6*Lookup_Lists!$D$114,0)+IF(ISNUMBER(Matching_Engine!$Q$6),Matching_Engine!$Q$6*Lookup_Lists!$D$115,0)+IF(ISNUMBER(Matching_Engine!$R$6),Matching_Engine!$R$6*Lookup_Lists!$D$116,0))/(IF(ISNUMBER(Matching_Engine!$O$6),Lookup_Lists!$D$113,0)+IF(ISNUMBER(Matching_Engine!$P$6),Lookup_Lists!$D$114,0)+IF(ISNUMBER(Matching_Engine!$Q$6),Lookup_Lists!$D$115,0)+IF(ISNUMBER(Matching_Engine!$R$6),Lookup_Lists!$D$116,0)),0))</f>
        <v>88</v>
      </c>
      <c r="T6" s="42">
        <f ca="1">IF(ISNUMBER(Matching_Engine!$S$6),1,0)</f>
        <v>1</v>
      </c>
      <c r="U6" s="65" t="e">
        <f>IF(NOT(AND(ISTEXT('[1]#REF'!$M$6),'[1]#REF'!$M$6&lt;&gt;"N/A")),Lookup_Lists!$D$150,IF(Brand_Profile!$E$7='[1]#REF'!$M$6,100,IFERROR(INDEX(Lookup_Lists!$B$349:$J$357,MATCH(Brand_Profile!$E$7,Lookup_Lists!$A$349:$A$357,0),MATCH('[1]#REF'!$M$6,Lookup_Lists!$B$348:$J$348,0)),Lookup_Lists!$D$151)))</f>
        <v>#REF!</v>
      </c>
      <c r="V6" s="65" t="e">
        <f>IF(NOT(AND(ISTEXT('[1]#REF'!$P$6),'[1]#REF'!$P$6&lt;&gt;"N/A")),"N/A",IFERROR(INDEX(Lookup_Lists!$B$349:$J$357,MATCH(Brand_Profile!$E$7,Lookup_Lists!$A$349:$A$357,0),MATCH('[1]#REF'!$P$6,Lookup_Lists!$B$348:$J$348,0)),Lookup_Lists!$D$151))</f>
        <v>#REF!</v>
      </c>
      <c r="W6" s="65" t="e">
        <f>IF(LEN(TRIM(SUBSTITUTE(Matching_Engine!$BE$6,"|","")))=0,"N/A",IF(Brand_Profile!$E$60=0,Lookup_Lists!$D$150,ROUND((IF(Brand_Profile!$E$54="",0,IF(ISNUMBER(SEARCH(Brand_Profile!$E$54,Matching_Engine!$BE$6)),1,0))+IF(Brand_Profile!$E$55="",0,IF(ISNUMBER(SEARCH(Brand_Profile!$E$55,Matching_Engine!$BE$6)),1,0))+IF(Brand_Profile!$E$56="",0,IF(ISNUMBER(SEARCH(Brand_Profile!$E$56,Matching_Engine!$BE$6)),1,0))+IF(Brand_Profile!$E$57="",0,IF(ISNUMBER(SEARCH(Brand_Profile!$E$57,Matching_Engine!$BE$6)),1,0))+IF(Brand_Profile!$E$58="",0,IF(ISNUMBER(SEARCH(Brand_Profile!$E$58,Matching_Engine!$BE$6)),1,0))+IF(Brand_Profile!$E$59="",0,IF(ISNUMBER(SEARCH(Brand_Profile!$E$59,Matching_Engine!$BE$6)),1,0)))/Brand_Profile!$E$60*100,0)))</f>
        <v>#VALUE!</v>
      </c>
      <c r="X6" s="65" t="e">
        <f>IF(NOT(AND(ISTEXT('[1]#REF'!$Q$6),'[1]#REF'!$Q$6&lt;&gt;"N/A")),"N/A",Lookup_Lists!$D$150)</f>
        <v>#REF!</v>
      </c>
      <c r="Y6" s="63">
        <f>IF((IF(ISNUMBER(Matching_Engine!$U$6),Lookup_Lists!$D$335,0)+IF(ISNUMBER(Matching_Engine!$V$6),Lookup_Lists!$D$122,0)+IF(ISNUMBER(Matching_Engine!$W$6),Lookup_Lists!$D$336,0)+IF(ISNUMBER(Matching_Engine!$X$6),Lookup_Lists!$D$124,0))=0,"N/A",ROUND((IF(ISNUMBER(Matching_Engine!$U$6),Matching_Engine!$U$6*Lookup_Lists!$D$335,0)+IF(ISNUMBER(Matching_Engine!$V$6),Matching_Engine!$V$6*Lookup_Lists!$D$122,0)+IF(ISNUMBER(Matching_Engine!$W$6),Matching_Engine!$W$6*Lookup_Lists!$D$336,0)+IF(ISNUMBER(Matching_Engine!$X$6),Matching_Engine!$X$6*Lookup_Lists!$D$124,0))/(IF(ISNUMBER(Matching_Engine!$U$6),Lookup_Lists!$D$335,0)+IF(ISNUMBER(Matching_Engine!$V$6),Lookup_Lists!$D$122,0)+IF(ISNUMBER(Matching_Engine!$W$6),Lookup_Lists!$D$336,0)+IF(ISNUMBER(Matching_Engine!$X$6),Lookup_Lists!$D$124,0)),0))</f>
        <v>70</v>
      </c>
      <c r="Z6" s="42">
        <f>IF(ISNUMBER(Matching_Engine!$Y$6),1,0)</f>
        <v>1</v>
      </c>
      <c r="AA6" s="65" t="e">
        <f>IF(NOT(AND(ISTEXT('[1]#REF'!$Q$6),'[1]#REF'!$Q$6&lt;&gt;"N/A")),"N/A",Lookup_Lists!$D$150)</f>
        <v>#REF!</v>
      </c>
      <c r="AB6" s="65" t="e">
        <f>IF(NOT(AND(ISTEXT('[1]#REF'!$Q$6),'[1]#REF'!$Q$6&lt;&gt;"N/A")),"N/A",Lookup_Lists!$D$150)</f>
        <v>#REF!</v>
      </c>
      <c r="AC6" s="65" t="str">
        <f t="shared" ref="AC6:AC69" si="0">"N/A"</f>
        <v>N/A</v>
      </c>
      <c r="AD6" s="65" t="e">
        <f>IF(NOT(AND(ISTEXT('[1]#REF'!$Q$6),'[1]#REF'!$Q$6&lt;&gt;"N/A")),"N/A",Lookup_Lists!$D$150)</f>
        <v>#REF!</v>
      </c>
      <c r="AE6" s="63">
        <f>IF((IF(ISNUMBER(Matching_Engine!$AA$6),Lookup_Lists!$D$125,0)+IF(ISNUMBER(Matching_Engine!$AB$6),Lookup_Lists!$D$126,0)+IF(ISNUMBER(Matching_Engine!$AC$6),Lookup_Lists!$D$127,0)+IF(ISNUMBER(Matching_Engine!$AD$6),Lookup_Lists!$D$128,0))=0,"N/A",ROUND((IF(ISNUMBER(Matching_Engine!$AA$6),Matching_Engine!$AA$6*Lookup_Lists!$D$125,0)+IF(ISNUMBER(Matching_Engine!$AB$6),Matching_Engine!$AB$6*Lookup_Lists!$D$126,0)+IF(ISNUMBER(Matching_Engine!$AC$6),Matching_Engine!$AC$6*Lookup_Lists!$D$127,0)+IF(ISNUMBER(Matching_Engine!$AD$6),Matching_Engine!$AD$6*Lookup_Lists!$D$128,0))/(IF(ISNUMBER(Matching_Engine!$AA$6),Lookup_Lists!$D$125,0)+IF(ISNUMBER(Matching_Engine!$AB$6),Lookup_Lists!$D$126,0)+IF(ISNUMBER(Matching_Engine!$AC$6),Lookup_Lists!$D$127,0)+IF(ISNUMBER(Matching_Engine!$AD$6),Lookup_Lists!$D$128,0)),0))</f>
        <v>76</v>
      </c>
      <c r="AF6" s="42">
        <f>IF(ISNUMBER(Matching_Engine!$AE$6),1,0)</f>
        <v>1</v>
      </c>
      <c r="AG6" s="65" t="str">
        <f>IF(NOT(ISNUMBER('[1]#REF'!$BG$6)),"N/A",MIN(100,ROUND('[1]#REF'!$BG$6/IFERROR(INDEX(Lookup_Lists!$B$340:$B$344,MATCH('[1]#REF'!$H$6,Lookup_Lists!$A$340:$A$344,0)),Lookup_Lists!$D$141)*100,0)))</f>
        <v>N/A</v>
      </c>
      <c r="AH6" s="65" t="str">
        <f>IF(NOT(ISNUMBER('[1]#REF'!$BS$6)),"N/A",MIN(100,MAX(0,'[1]#REF'!$BS$6)))</f>
        <v>N/A</v>
      </c>
      <c r="AI6" s="65" t="e">
        <f>IF(OR(NOT(ISNUMBER('[1]#REF'!$BM$6)),NOT(ISNUMBER('[1]#REF'!$BN$6)),'[1]#REF'!$BN$6&lt;Lookup_Lists!$D$320),"N/A",MIN(100,ROUND('[1]#REF'!$BM$6/Lookup_Lists!$D$319*100,0)))</f>
        <v>#REF!</v>
      </c>
      <c r="AJ6" s="65" t="str">
        <f>IF(NOT(ISNUMBER('[1]#REF'!$BR$6)),"N/A",'[1]#REF'!$BR$6)</f>
        <v>N/A</v>
      </c>
      <c r="AK6" s="65" t="str">
        <f>IF(NOT(ISNUMBER('[1]#REF'!$BK$6)),"N/A",MIN(100,ROUND('[1]#REF'!$BK$6/Lookup_Lists!$D$321*100,0)))</f>
        <v>N/A</v>
      </c>
      <c r="AL6" s="65" t="str">
        <f>IF(NOT(ISNUMBER('[1]#REF'!$BP$6)),"N/A",MIN(100,MAX(0,ROUND(('[1]#REF'!$BP$6+2)/(Lookup_Lists!$D$145+2)*100,0))))</f>
        <v>N/A</v>
      </c>
      <c r="AM6" s="63">
        <f>IF((IF(ISNUMBER(Matching_Engine!$AG$6),Lookup_Lists!$D$129,0)+IF(ISNUMBER(Matching_Engine!$AH$6),Lookup_Lists!$D$130,0)+IF(ISNUMBER(Matching_Engine!$AI$6),Lookup_Lists!$D$131,0)+IF(ISNUMBER(Matching_Engine!$AJ$6),Lookup_Lists!$D$132,0)+IF(ISNUMBER(Matching_Engine!$AK$6),Lookup_Lists!$D$133,0)+IF(ISNUMBER(Matching_Engine!$AL$6),Lookup_Lists!$D$134,0))=0,"N/A",ROUND((IF(ISNUMBER(Matching_Engine!$AG$6),Matching_Engine!$AG$6*Lookup_Lists!$D$129,0)+IF(ISNUMBER(Matching_Engine!$AH$6),Matching_Engine!$AH$6*Lookup_Lists!$D$130,0)+IF(ISNUMBER(Matching_Engine!$AI$6),Matching_Engine!$AI$6*Lookup_Lists!$D$131,0)+IF(ISNUMBER(Matching_Engine!$AJ$6),Matching_Engine!$AJ$6*Lookup_Lists!$D$132,0)+IF(ISNUMBER(Matching_Engine!$AK$6),Matching_Engine!$AK$6*Lookup_Lists!$D$133,0)+IF(ISNUMBER(Matching_Engine!$AL$6),Matching_Engine!$AL$6*Lookup_Lists!$D$134,0))/(IF(ISNUMBER(Matching_Engine!$AG$6),Lookup_Lists!$D$129,0)+IF(ISNUMBER(Matching_Engine!$AH$6),Lookup_Lists!$D$130,0)+IF(ISNUMBER(Matching_Engine!$AI$6),Lookup_Lists!$D$131,0)+IF(ISNUMBER(Matching_Engine!$AJ$6),Lookup_Lists!$D$132,0)+IF(ISNUMBER(Matching_Engine!$AK$6),Lookup_Lists!$D$133,0)+IF(ISNUMBER(Matching_Engine!$AL$6),Lookup_Lists!$D$134,0)),0))</f>
        <v>66</v>
      </c>
      <c r="AN6" s="42">
        <f>IF(ISNUMBER(Matching_Engine!$AM$6),1,0)</f>
        <v>0</v>
      </c>
      <c r="AO6" s="65" t="str">
        <f>IF(NOT(ISNUMBER('[1]#REF'!$BT$6)),"N/A",MIN(100,MAX(0,'[1]#REF'!$BT$6)))</f>
        <v>N/A</v>
      </c>
      <c r="AP6" s="65" t="str">
        <f>IF(NOT(ISNUMBER('[1]#REF'!$BU$6)),"N/A",MIN(100,MAX(0,'[1]#REF'!$BU$6)))</f>
        <v>N/A</v>
      </c>
      <c r="AQ6" s="65" t="e">
        <f>IF('[1]#REF'!$I$6="Yes",Lookup_Lists!$D$326,IF('[1]#REF'!$I$6="No",Lookup_Lists!$D$327,"N/A"))</f>
        <v>#REF!</v>
      </c>
      <c r="AR6" s="65" t="str">
        <f>IF(NOT(ISNUMBER('[1]#REF'!$BQ$6)),"N/A",MAX(0,ROUND(100-'[1]#REF'!$BQ$6/Lookup_Lists!$D$328*100,0)))</f>
        <v>N/A</v>
      </c>
      <c r="AS6" s="65" t="e">
        <f>IF(NOT(AND(ISTEXT('[1]#REF'!$BV$6),'[1]#REF'!$BV$6&lt;&gt;"N/A")),"N/A",'[1]#REF'!$BV$6)</f>
        <v>#REF!</v>
      </c>
      <c r="AT6" s="63" t="str">
        <f ca="1">IF((IF(ISNUMBER(Matching_Engine!$AO$6),Lookup_Lists!$D$322,0)+IF(ISNUMBER(Matching_Engine!$AP$6),Lookup_Lists!$D$323,0)+IF(ISNUMBER(Matching_Engine!$AQ$6),Lookup_Lists!$D$324,0)+IF(ISNUMBER(Matching_Engine!$AR$6),Lookup_Lists!$D$325,0))=0,"N/A",ROUND((IF(ISNUMBER(Matching_Engine!$AO$6),Matching_Engine!$AO$6*Lookup_Lists!$D$322,0)+IF(ISNUMBER(Matching_Engine!$AP$6),Matching_Engine!$AP$6*Lookup_Lists!$D$323,0)+IF(ISNUMBER(Matching_Engine!$AQ$6),Matching_Engine!$AQ$6*Lookup_Lists!$D$324,0)+IF(ISNUMBER(Matching_Engine!$AR$6),Matching_Engine!$AR$6*Lookup_Lists!$D$325,0))/(IF(ISNUMBER(Matching_Engine!$AO$6),Lookup_Lists!$D$322,0)+IF(ISNUMBER(Matching_Engine!$AP$6),Lookup_Lists!$D$323,0)+IF(ISNUMBER(Matching_Engine!$AQ$6),Lookup_Lists!$D$324,0)+IF(ISNUMBER(Matching_Engine!$AR$6),Lookup_Lists!$D$325,0)),0))</f>
        <v>N/A</v>
      </c>
      <c r="AU6" s="42">
        <f>IF(ISNUMBER(Matching_Engine!$AT$6),1,0)</f>
        <v>1</v>
      </c>
      <c r="AV6" s="42" t="str">
        <f>IF(NOT(ISNUMBER(Matching_Engine!$AT$6)),"Not Screened",IF(Matching_Engine!$AT$6&gt;=Lookup_Lists!$D$329,"Low Risk",IF(Matching_Engine!$AT$6&gt;=Lookup_Lists!$D$330,"Moderate Risk",IF(Matching_Engine!$AT$6&gt;=Lookup_Lists!$D$331,"Elevated Risk","High Risk"))))</f>
        <v>Low Risk</v>
      </c>
      <c r="AW6" s="42" t="e">
        <f ca="1">IF(NOT(ISNUMBER(Matching_Engine!$AT$6)),"No integrity signal: no audience-analysis row for this account.","Integrity screen only — no content-risk reading exists (comments_analysis: 0 rows). "&amp;IF(ISNUMBER(Matching_Engine!$AO$6),"Authenticity "&amp;Matching_Engine!$AO$6&amp;". ","Authenticity N/A. ")&amp;IF(ISNUMBER(Matching_Engine!$AP$6),"Follower quality "&amp;Matching_Engine!$AP$6&amp;". ","Follower quality N/A. ")&amp;IF('[1]#REF'!$I$6="Yes","Platform-verified.","Not platform-verified."))</f>
        <v>#REF!</v>
      </c>
      <c r="AX6" s="65">
        <f>Matching_Engine!$N$6*Lookup_Lists!$D$104+Matching_Engine!$T$6*Lookup_Lists!$D$105+Matching_Engine!$Z$6*Lookup_Lists!$D$106+Matching_Engine!$AF$6*Lookup_Lists!$D$107+Matching_Engine!$AN$6*Lookup_Lists!$D$108+Matching_Engine!$AU$6*Lookup_Lists!$D$109</f>
        <v>7720</v>
      </c>
      <c r="AY6" s="74" t="e">
        <f ca="1">IF(Matching_Engine!$AX$6=0,"N/A",ROUND((IF(Matching_Engine!$N$6=1,Matching_Engine!$M$6*Lookup_Lists!$D$104,0)+IF(Matching_Engine!$T$6=1,Matching_Engine!$S$6*Lookup_Lists!$D$105,0)+IF(Matching_Engine!$Z$6=1,Matching_Engine!$Y$6*Lookup_Lists!$D$106,0)+IF(Matching_Engine!$AF$6=1,Matching_Engine!$AE$6*Lookup_Lists!$D$107,0)+IF(Matching_Engine!$AN$6=1,Matching_Engine!$AM$6*Lookup_Lists!$D$108,0)+IF(Matching_Engine!$AU$6=1,Matching_Engine!$AT$6*Lookup_Lists!$D$109,0))/Matching_Engine!$AX$6,0))</f>
        <v>#VALUE!</v>
      </c>
      <c r="AZ6" s="42" t="str">
        <f ca="1">IF(NOT(ISNUMBER(Matching_Engine!$AY$6)),"Not Scored",IF(Matching_Engine!$AY$6&gt;=Lookup_Lists!$D$152,"Excellent Match",IF(Matching_Engine!$AY$6&gt;=Lookup_Lists!$D$153,"Strong Match",IF(Matching_Engine!$AY$6&gt;=Lookup_Lists!$D$154,"Good Match",IF(Matching_Engine!$AY$6&gt;=Lookup_Lists!$D$155,"Moderate Match","Low Match")))))</f>
        <v>Strong Match</v>
      </c>
      <c r="BA6" s="65" t="e">
        <f>'[1]#REF'!$BW$6</f>
        <v>#REF!</v>
      </c>
      <c r="BB6" s="42" t="e">
        <f>'[1]#REF'!$BX$6</f>
        <v>#REF!</v>
      </c>
      <c r="BC6" s="65">
        <f ca="1">IF(NOT(ISNUMBER(Matching_Engine!$AY$6)),-1,Matching_Engine!$AY$6*1000+24)</f>
        <v>80024</v>
      </c>
      <c r="BD6" s="42" t="e">
        <f>IF(AND(ISTEXT('[1]#REF'!$S$6),'[1]#REF'!$S$6&lt;&gt;"N/A"),'[1]#REF'!$S$6,"")&amp;" | "&amp;IF(AND(ISTEXT('[1]#REF'!$T$6),'[1]#REF'!$T$6&lt;&gt;"N/A"),'[1]#REF'!$T$6,"")&amp;" | "&amp;IF(AND(ISTEXT('[1]#REF'!$N$6),'[1]#REF'!$N$6&lt;&gt;"N/A"),'[1]#REF'!$N$6,"")&amp;" | "&amp;IF(AND(ISTEXT('[1]#REF'!$K$6),'[1]#REF'!$K$6&lt;&gt;"N/A"),'[1]#REF'!$K$6,"")&amp;" | "&amp;IF(AND(ISTEXT('[1]#REF'!$J$6),'[1]#REF'!$J$6&lt;&gt;"N/A"),'[1]#REF'!$J$6,"")</f>
        <v>#REF!</v>
      </c>
      <c r="BE6" s="42" t="e">
        <f>IF(AND(ISTEXT('[1]#REF'!$T$6),'[1]#REF'!$T$6&lt;&gt;"N/A"),'[1]#REF'!$T$6,"")&amp;" | "&amp;IF(AND(ISTEXT('[1]#REF'!$N$6),'[1]#REF'!$N$6&lt;&gt;"N/A"),'[1]#REF'!$N$6,"")&amp;" | "&amp;IF(AND(ISTEXT('[1]#REF'!$O$6),'[1]#REF'!$O$6&lt;&gt;"N/A"),'[1]#REF'!$O$6,"")&amp;" | "&amp;IF(AND(ISTEXT('[1]#REF'!$S$6),'[1]#REF'!$S$6&lt;&gt;"N/A"),'[1]#REF'!$S$6,"")</f>
        <v>#REF!</v>
      </c>
      <c r="BF6" s="42" t="e">
        <f>IF(AND(ISTEXT('[1]#REF'!$U$6),'[1]#REF'!$U$6&lt;&gt;"N/A"),'[1]#REF'!$U$6,"")</f>
        <v>#REF!</v>
      </c>
      <c r="BG6" s="42" t="str">
        <f>Matching_Engine!$A$6&amp;"|"&amp;Matching_Engine!$C$6</f>
        <v>BRAND-A|KOL-01</v>
      </c>
    </row>
    <row r="7" spans="1:59">
      <c r="A7" s="64" t="s">
        <v>2527</v>
      </c>
      <c r="B7" s="42" t="str">
        <f>Brand_Profile!$E$6</f>
        <v>BRAND-B</v>
      </c>
      <c r="C7" s="42" t="e">
        <f>'[1]#REF'!$A$7</f>
        <v>#REF!</v>
      </c>
      <c r="D7" s="42" t="e">
        <f>'[1]#REF'!$C$7</f>
        <v>#REF!</v>
      </c>
      <c r="E7" s="42" t="e">
        <f>'[1]#REF'!$D$7</f>
        <v>#REF!</v>
      </c>
      <c r="F7" s="42" t="e">
        <f>'[1]#REF'!$E$7</f>
        <v>#REF!</v>
      </c>
      <c r="G7" s="42" t="e">
        <f>'[1]#REF'!$K$7</f>
        <v>#REF!</v>
      </c>
      <c r="H7" s="72" t="e">
        <f>'[1]#REF'!$G$7</f>
        <v>#REF!</v>
      </c>
      <c r="I7" s="73" t="e">
        <f>'[1]#REF'!$BG$7</f>
        <v>#REF!</v>
      </c>
      <c r="J7" s="65" t="e">
        <f>IF(NOT(AND(ISTEXT('[1]#REF'!$K$7),'[1]#REF'!$K$7&lt;&gt;"N/A")),Lookup_Lists!$D$150,IF(Brand_Profile!$E$7='[1]#REF'!$K$7,100,IFERROR(INDEX(Lookup_Lists!$B$349:$J$357,MATCH(Brand_Profile!$E$7,Lookup_Lists!$A$349:$A$357,0),MATCH('[1]#REF'!$K$7,Lookup_Lists!$B$348:$J$348,0)),Lookup_Lists!$D$151)))</f>
        <v>#REF!</v>
      </c>
      <c r="K7" s="65" t="e">
        <f>IF(LEN(TRIM(SUBSTITUTE(Matching_Engine!$BD$7,"|","")))=0,"N/A",IF(Brand_Profile!$E$47=0,Lookup_Lists!$D$150,ROUND((IF(Brand_Profile!$E$41="",0,IF(ISNUMBER(SEARCH(Brand_Profile!$E$41,Matching_Engine!$BD$7)),1,0))+IF(Brand_Profile!$E$42="",0,IF(ISNUMBER(SEARCH(Brand_Profile!$E$42,Matching_Engine!$BD$7)),1,0))+IF(Brand_Profile!$E$43="",0,IF(ISNUMBER(SEARCH(Brand_Profile!$E$43,Matching_Engine!$BD$7)),1,0))+IF(Brand_Profile!$E$44="",0,IF(ISNUMBER(SEARCH(Brand_Profile!$E$44,Matching_Engine!$BD$7)),1,0))+IF(Brand_Profile!$E$45="",0,IF(ISNUMBER(SEARCH(Brand_Profile!$E$45,Matching_Engine!$BD$7)),1,0))+IF(Brand_Profile!$E$46="",0,IF(ISNUMBER(SEARCH(Brand_Profile!$E$46,Matching_Engine!$BD$7)),1,0)))/Brand_Profile!$E$47*100,0)))</f>
        <v>#VALUE!</v>
      </c>
      <c r="L7" s="65" t="e">
        <f>IF(NOT(AND(ISTEXT('[1]#REF'!$U$7),'[1]#REF'!$U$7&lt;&gt;"N/A")),"N/A",IF(Brand_Profile!$E$53=0,Lookup_Lists!$D$150,ROUND((IF(Brand_Profile!$E$48="",0,IF(ISNUMBER(SEARCH(Brand_Profile!$E$48,Matching_Engine!$BF$7)),1,0))+IF(Brand_Profile!$E$49="",0,IF(ISNUMBER(SEARCH(Brand_Profile!$E$49,Matching_Engine!$BF$7)),1,0))+IF(Brand_Profile!$E$50="",0,IF(ISNUMBER(SEARCH(Brand_Profile!$E$50,Matching_Engine!$BF$7)),1,0))+IF(Brand_Profile!$E$51="",0,IF(ISNUMBER(SEARCH(Brand_Profile!$E$51,Matching_Engine!$BF$7)),1,0))+IF(Brand_Profile!$E$52="",0,IF(ISNUMBER(SEARCH(Brand_Profile!$E$52,Matching_Engine!$BF$7)),1,0)))/Brand_Profile!$E$53*100,0)))</f>
        <v>#REF!</v>
      </c>
      <c r="M7" s="63" t="str">
        <f>IF((IF(ISNUMBER(Matching_Engine!$J$7),Lookup_Lists!$D$332,0)+IF(ISNUMBER(Matching_Engine!$K$7),Lookup_Lists!$D$333,0)+IF(ISNUMBER(Matching_Engine!$L$7),Lookup_Lists!$D$334,0))=0,"N/A",ROUND((IF(ISNUMBER(Matching_Engine!$J$7),Matching_Engine!$J$7*Lookup_Lists!$D$332,0)+IF(ISNUMBER(Matching_Engine!$K$7),Matching_Engine!$K$7*Lookup_Lists!$D$333,0)+IF(ISNUMBER(Matching_Engine!$L$7),Matching_Engine!$L$7*Lookup_Lists!$D$334,0))/(IF(ISNUMBER(Matching_Engine!$J$7),Lookup_Lists!$D$332,0)+IF(ISNUMBER(Matching_Engine!$K$7),Lookup_Lists!$D$333,0)+IF(ISNUMBER(Matching_Engine!$L$7),Lookup_Lists!$D$334,0)),0))</f>
        <v>N/A</v>
      </c>
      <c r="N7" s="42">
        <f>IF(ISNUMBER(Matching_Engine!$M$7),1,0)</f>
        <v>1</v>
      </c>
      <c r="O7" s="65" t="str">
        <f ca="1">IF(NOT(ISNUMBER(IFERROR(INDEX('[1]#REF'!$V$7:'[1]#REF'!$Z$7,1,MATCH(Brand_Profile!$E$11,Lookup_Lists!$F$6:$F$10,0)),""))),"N/A",MIN(100,ROUND((IFERROR(INDEX('[1]#REF'!$V$7:'[1]#REF'!$Z$7,1,MATCH(Brand_Profile!$E$11,Lookup_Lists!$F$6:$F$10,0)),"")+0.5*IF(ISNUMBER(IFERROR(INDEX('[1]#REF'!$V$7:'[1]#REF'!$Z$7,1,MATCH(Brand_Profile!$E$12,Lookup_Lists!$F$6:$F$10,0)),"")),IFERROR(INDEX('[1]#REF'!$V$7:'[1]#REF'!$Z$7,1,MATCH(Brand_Profile!$E$12,Lookup_Lists!$F$6:$F$10,0)),""),0))/Lookup_Lists!$D$142*100,0)))</f>
        <v>N/A</v>
      </c>
      <c r="P7" s="65" t="str">
        <f>IF(Brand_Profile!$E$13="Any",100,IF(NOT(ISNUMBER('[1]#REF'!$AA$7)),"N/A",IF(Brand_Profile!$E$13="Female",MIN(100,ROUND('[1]#REF'!$AA$7/Lookup_Lists!$D$143*100,0)),IF(Brand_Profile!$E$13="Male",MIN(100,ROUND(IF(ISNUMBER('[1]#REF'!$AB$7),'[1]#REF'!$AB$7,100-'[1]#REF'!$AA$7)/Lookup_Lists!$D$143*100,0)),MAX(0,ROUND(100-ABS('[1]#REF'!$AA$7-50)*2,0))))))</f>
        <v>N/A</v>
      </c>
      <c r="Q7" s="65" t="str">
        <f>IF((IF(ISNUMBER(IF(NOT(ISNUMBER('[1]#REF'!$AE$7)),"N/A",IF('[1]#REF'!$AD$7&lt;&gt;Brand_Profile!$E$14,Lookup_Lists!$D$151,MIN(100,ROUND('[1]#REF'!$AE$7/Lookup_Lists!$D$316*100,0))))),Lookup_Lists!$D$118,0)+IF(ISNUMBER(IF(NOT(ISNUMBER('[1]#REF'!$AM$7)),"N/A",MIN(100,ROUND((IF('[1]#REF'!$AG$7=Brand_Profile!$E$15,IF(ISNUMBER('[1]#REF'!$AH$7),'[1]#REF'!$AH$7,0),0)+IF('[1]#REF'!$AI$7=Brand_Profile!$E$15,IF(ISNUMBER('[1]#REF'!$AJ$7),'[1]#REF'!$AJ$7,0),0)+IF('[1]#REF'!$AK$7=Brand_Profile!$E$15,IF(ISNUMBER('[1]#REF'!$AL$7),'[1]#REF'!$AL$7,0),0))/Lookup_Lists!$D$317*100,0)))),Lookup_Lists!$D$120,0))=0,"N/A",ROUND((IF(ISNUMBER(IF(NOT(ISNUMBER('[1]#REF'!$AE$7)),"N/A",IF('[1]#REF'!$AD$7&lt;&gt;Brand_Profile!$E$14,Lookup_Lists!$D$151,MIN(100,ROUND('[1]#REF'!$AE$7/Lookup_Lists!$D$316*100,0))))),IF(NOT(ISNUMBER('[1]#REF'!$AE$7)),"N/A",IF('[1]#REF'!$AD$7&lt;&gt;Brand_Profile!$E$14,Lookup_Lists!$D$151,MIN(100,ROUND('[1]#REF'!$AE$7/Lookup_Lists!$D$316*100,0))))*Lookup_Lists!$D$118,0)+IF(ISNUMBER(IF(NOT(ISNUMBER('[1]#REF'!$AM$7)),"N/A",MIN(100,ROUND((IF('[1]#REF'!$AG$7=Brand_Profile!$E$15,IF(ISNUMBER('[1]#REF'!$AH$7),'[1]#REF'!$AH$7,0),0)+IF('[1]#REF'!$AI$7=Brand_Profile!$E$15,IF(ISNUMBER('[1]#REF'!$AJ$7),'[1]#REF'!$AJ$7,0),0)+IF('[1]#REF'!$AK$7=Brand_Profile!$E$15,IF(ISNUMBER('[1]#REF'!$AL$7),'[1]#REF'!$AL$7,0),0))/Lookup_Lists!$D$317*100,0)))),IF(NOT(ISNUMBER('[1]#REF'!$AM$7)),"N/A",MIN(100,ROUND((IF('[1]#REF'!$AG$7=Brand_Profile!$E$15,IF(ISNUMBER('[1]#REF'!$AH$7),'[1]#REF'!$AH$7,0),0)+IF('[1]#REF'!$AI$7=Brand_Profile!$E$15,IF(ISNUMBER('[1]#REF'!$AJ$7),'[1]#REF'!$AJ$7,0),0)+IF('[1]#REF'!$AK$7=Brand_Profile!$E$15,IF(ISNUMBER('[1]#REF'!$AL$7),'[1]#REF'!$AL$7,0),0))/Lookup_Lists!$D$317*100,0)))*Lookup_Lists!$D$120,0))/(IF(ISNUMBER(IF(NOT(ISNUMBER('[1]#REF'!$AE$7)),"N/A",IF('[1]#REF'!$AD$7&lt;&gt;Brand_Profile!$E$14,Lookup_Lists!$D$151,MIN(100,ROUND('[1]#REF'!$AE$7/Lookup_Lists!$D$316*100,0))))),Lookup_Lists!$D$118,0)+IF(ISNUMBER(IF(NOT(ISNUMBER('[1]#REF'!$AM$7)),"N/A",MIN(100,ROUND((IF('[1]#REF'!$AG$7=Brand_Profile!$E$15,IF(ISNUMBER('[1]#REF'!$AH$7),'[1]#REF'!$AH$7,0),0)+IF('[1]#REF'!$AI$7=Brand_Profile!$E$15,IF(ISNUMBER('[1]#REF'!$AJ$7),'[1]#REF'!$AJ$7,0),0)+IF('[1]#REF'!$AK$7=Brand_Profile!$E$15,IF(ISNUMBER('[1]#REF'!$AL$7),'[1]#REF'!$AL$7,0),0))/Lookup_Lists!$D$317*100,0)))),Lookup_Lists!$D$120,0)),0))</f>
        <v>N/A</v>
      </c>
      <c r="R7" s="65" t="str">
        <f>IF(NOT(ISNUMBER('[1]#REF'!$AN$7)),"N/A",MIN(100,ROUND((IF(ISNUMBER('[1]#REF'!$AO$7),'[1]#REF'!$AO$7*Brand_Profile!$E$17,0)+IF(ISNUMBER('[1]#REF'!$AP$7),'[1]#REF'!$AP$7*Brand_Profile!$E$18,0)+IF(ISNUMBER('[1]#REF'!$AQ$7),'[1]#REF'!$AQ$7*Brand_Profile!$E$19,0)+IF(ISNUMBER('[1]#REF'!$AR$7),'[1]#REF'!$AR$7*Brand_Profile!$E$20,0)+IF(ISNUMBER('[1]#REF'!$AS$7),'[1]#REF'!$AS$7*Brand_Profile!$E$21,0)+IF(ISNUMBER('[1]#REF'!$AT$7),'[1]#REF'!$AT$7*Brand_Profile!$E$22,0)+IF(ISNUMBER('[1]#REF'!$AU$7),'[1]#REF'!$AU$7*Brand_Profile!$E$23,0)+IF(ISNUMBER('[1]#REF'!$AV$7),'[1]#REF'!$AV$7*Brand_Profile!$E$24,0)+IF(ISNUMBER('[1]#REF'!$AW$7),'[1]#REF'!$AW$7*Brand_Profile!$E$25,0)+IF(ISNUMBER('[1]#REF'!$AX$7),'[1]#REF'!$AX$7*Brand_Profile!$E$26,0)+IF(ISNUMBER('[1]#REF'!$AY$7),'[1]#REF'!$AY$7*Brand_Profile!$E$27,0)+IF(ISNUMBER('[1]#REF'!$AZ$7),'[1]#REF'!$AZ$7*Brand_Profile!$E$28,0)+IF(ISNUMBER('[1]#REF'!$BA$7),'[1]#REF'!$BA$7*Brand_Profile!$E$29,0)+IF(ISNUMBER('[1]#REF'!$BB$7),'[1]#REF'!$BB$7*Brand_Profile!$E$30,0)+IF(ISNUMBER('[1]#REF'!$BC$7),'[1]#REF'!$BC$7*Brand_Profile!$E$31,0)+IF(ISNUMBER('[1]#REF'!$BD$7),'[1]#REF'!$BD$7*Brand_Profile!$E$32,0)+IF(ISNUMBER('[1]#REF'!$BE$7),'[1]#REF'!$BE$7*Brand_Profile!$E$33,0)+IF(ISNUMBER('[1]#REF'!$BF$7),'[1]#REF'!$BF$7*Brand_Profile!$E$34,0))/Lookup_Lists!$D$318*100,0)))</f>
        <v>N/A</v>
      </c>
      <c r="S7" s="63">
        <f ca="1">IF((IF(ISNUMBER(Matching_Engine!$O$7),Lookup_Lists!$D$113,0)+IF(ISNUMBER(Matching_Engine!$P$7),Lookup_Lists!$D$114,0)+IF(ISNUMBER(Matching_Engine!$Q$7),Lookup_Lists!$D$115,0)+IF(ISNUMBER(Matching_Engine!$R$7),Lookup_Lists!$D$116,0))=0,"N/A",ROUND((IF(ISNUMBER(Matching_Engine!$O$7),Matching_Engine!$O$7*Lookup_Lists!$D$113,0)+IF(ISNUMBER(Matching_Engine!$P$7),Matching_Engine!$P$7*Lookup_Lists!$D$114,0)+IF(ISNUMBER(Matching_Engine!$Q$7),Matching_Engine!$Q$7*Lookup_Lists!$D$115,0)+IF(ISNUMBER(Matching_Engine!$R$7),Matching_Engine!$R$7*Lookup_Lists!$D$116,0))/(IF(ISNUMBER(Matching_Engine!$O$7),Lookup_Lists!$D$113,0)+IF(ISNUMBER(Matching_Engine!$P$7),Lookup_Lists!$D$114,0)+IF(ISNUMBER(Matching_Engine!$Q$7),Lookup_Lists!$D$115,0)+IF(ISNUMBER(Matching_Engine!$R$7),Lookup_Lists!$D$116,0)),0))</f>
        <v>90</v>
      </c>
      <c r="T7" s="42">
        <f ca="1">IF(ISNUMBER(Matching_Engine!$S$7),1,0)</f>
        <v>1</v>
      </c>
      <c r="U7" s="65" t="e">
        <f>IF(NOT(AND(ISTEXT('[1]#REF'!$M$7),'[1]#REF'!$M$7&lt;&gt;"N/A")),Lookup_Lists!$D$150,IF(Brand_Profile!$E$7='[1]#REF'!$M$7,100,IFERROR(INDEX(Lookup_Lists!$B$349:$J$357,MATCH(Brand_Profile!$E$7,Lookup_Lists!$A$349:$A$357,0),MATCH('[1]#REF'!$M$7,Lookup_Lists!$B$348:$J$348,0)),Lookup_Lists!$D$151)))</f>
        <v>#REF!</v>
      </c>
      <c r="V7" s="65" t="e">
        <f>IF(NOT(AND(ISTEXT('[1]#REF'!$P$7),'[1]#REF'!$P$7&lt;&gt;"N/A")),"N/A",IFERROR(INDEX(Lookup_Lists!$B$349:$J$357,MATCH(Brand_Profile!$E$7,Lookup_Lists!$A$349:$A$357,0),MATCH('[1]#REF'!$P$7,Lookup_Lists!$B$348:$J$348,0)),Lookup_Lists!$D$151))</f>
        <v>#REF!</v>
      </c>
      <c r="W7" s="65" t="e">
        <f>IF(LEN(TRIM(SUBSTITUTE(Matching_Engine!$BE$7,"|","")))=0,"N/A",IF(Brand_Profile!$E$60=0,Lookup_Lists!$D$150,ROUND((IF(Brand_Profile!$E$54="",0,IF(ISNUMBER(SEARCH(Brand_Profile!$E$54,Matching_Engine!$BE$7)),1,0))+IF(Brand_Profile!$E$55="",0,IF(ISNUMBER(SEARCH(Brand_Profile!$E$55,Matching_Engine!$BE$7)),1,0))+IF(Brand_Profile!$E$56="",0,IF(ISNUMBER(SEARCH(Brand_Profile!$E$56,Matching_Engine!$BE$7)),1,0))+IF(Brand_Profile!$E$57="",0,IF(ISNUMBER(SEARCH(Brand_Profile!$E$57,Matching_Engine!$BE$7)),1,0))+IF(Brand_Profile!$E$58="",0,IF(ISNUMBER(SEARCH(Brand_Profile!$E$58,Matching_Engine!$BE$7)),1,0))+IF(Brand_Profile!$E$59="",0,IF(ISNUMBER(SEARCH(Brand_Profile!$E$59,Matching_Engine!$BE$7)),1,0)))/Brand_Profile!$E$60*100,0)))</f>
        <v>#VALUE!</v>
      </c>
      <c r="X7" s="65" t="e">
        <f>IF(NOT(AND(ISTEXT('[1]#REF'!$Q$7),'[1]#REF'!$Q$7&lt;&gt;"N/A")),"N/A",Lookup_Lists!$D$150)</f>
        <v>#REF!</v>
      </c>
      <c r="Y7" s="63">
        <f>IF((IF(ISNUMBER(Matching_Engine!$U$7),Lookup_Lists!$D$335,0)+IF(ISNUMBER(Matching_Engine!$V$7),Lookup_Lists!$D$122,0)+IF(ISNUMBER(Matching_Engine!$W$7),Lookup_Lists!$D$336,0)+IF(ISNUMBER(Matching_Engine!$X$7),Lookup_Lists!$D$124,0))=0,"N/A",ROUND((IF(ISNUMBER(Matching_Engine!$U$7),Matching_Engine!$U$7*Lookup_Lists!$D$335,0)+IF(ISNUMBER(Matching_Engine!$V$7),Matching_Engine!$V$7*Lookup_Lists!$D$122,0)+IF(ISNUMBER(Matching_Engine!$W$7),Matching_Engine!$W$7*Lookup_Lists!$D$336,0)+IF(ISNUMBER(Matching_Engine!$X$7),Matching_Engine!$X$7*Lookup_Lists!$D$124,0))/(IF(ISNUMBER(Matching_Engine!$U$7),Lookup_Lists!$D$335,0)+IF(ISNUMBER(Matching_Engine!$V$7),Lookup_Lists!$D$122,0)+IF(ISNUMBER(Matching_Engine!$W$7),Lookup_Lists!$D$336,0)+IF(ISNUMBER(Matching_Engine!$X$7),Lookup_Lists!$D$124,0)),0))</f>
        <v>100</v>
      </c>
      <c r="Z7" s="42">
        <f>IF(ISNUMBER(Matching_Engine!$Y$7),1,0)</f>
        <v>1</v>
      </c>
      <c r="AA7" s="65" t="e">
        <f>IF(NOT(AND(ISTEXT('[1]#REF'!$Q$7),'[1]#REF'!$Q$7&lt;&gt;"N/A")),"N/A",Lookup_Lists!$D$150)</f>
        <v>#REF!</v>
      </c>
      <c r="AB7" s="65" t="e">
        <f>IF(NOT(AND(ISTEXT('[1]#REF'!$Q$7),'[1]#REF'!$Q$7&lt;&gt;"N/A")),"N/A",Lookup_Lists!$D$150)</f>
        <v>#REF!</v>
      </c>
      <c r="AC7" s="65" t="str">
        <f t="shared" si="0"/>
        <v>N/A</v>
      </c>
      <c r="AD7" s="65" t="e">
        <f>IF(NOT(AND(ISTEXT('[1]#REF'!$Q$7),'[1]#REF'!$Q$7&lt;&gt;"N/A")),"N/A",Lookup_Lists!$D$150)</f>
        <v>#REF!</v>
      </c>
      <c r="AE7" s="63">
        <f>IF((IF(ISNUMBER(Matching_Engine!$AA$7),Lookup_Lists!$D$125,0)+IF(ISNUMBER(Matching_Engine!$AB$7),Lookup_Lists!$D$126,0)+IF(ISNUMBER(Matching_Engine!$AC$7),Lookup_Lists!$D$127,0)+IF(ISNUMBER(Matching_Engine!$AD$7),Lookup_Lists!$D$128,0))=0,"N/A",ROUND((IF(ISNUMBER(Matching_Engine!$AA$7),Matching_Engine!$AA$7*Lookup_Lists!$D$125,0)+IF(ISNUMBER(Matching_Engine!$AB$7),Matching_Engine!$AB$7*Lookup_Lists!$D$126,0)+IF(ISNUMBER(Matching_Engine!$AC$7),Matching_Engine!$AC$7*Lookup_Lists!$D$127,0)+IF(ISNUMBER(Matching_Engine!$AD$7),Matching_Engine!$AD$7*Lookup_Lists!$D$128,0))/(IF(ISNUMBER(Matching_Engine!$AA$7),Lookup_Lists!$D$125,0)+IF(ISNUMBER(Matching_Engine!$AB$7),Lookup_Lists!$D$126,0)+IF(ISNUMBER(Matching_Engine!$AC$7),Lookup_Lists!$D$127,0)+IF(ISNUMBER(Matching_Engine!$AD$7),Lookup_Lists!$D$128,0)),0))</f>
        <v>91</v>
      </c>
      <c r="AF7" s="42">
        <f>IF(ISNUMBER(Matching_Engine!$AE$7),1,0)</f>
        <v>1</v>
      </c>
      <c r="AG7" s="65" t="str">
        <f>IF(NOT(ISNUMBER('[1]#REF'!$BG$7)),"N/A",MIN(100,ROUND('[1]#REF'!$BG$7/IFERROR(INDEX(Lookup_Lists!$B$340:$B$344,MATCH('[1]#REF'!$H$7,Lookup_Lists!$A$340:$A$344,0)),Lookup_Lists!$D$141)*100,0)))</f>
        <v>N/A</v>
      </c>
      <c r="AH7" s="65" t="str">
        <f>IF(NOT(ISNUMBER('[1]#REF'!$BS$7)),"N/A",MIN(100,MAX(0,'[1]#REF'!$BS$7)))</f>
        <v>N/A</v>
      </c>
      <c r="AI7" s="65" t="e">
        <f>IF(OR(NOT(ISNUMBER('[1]#REF'!$BM$7)),NOT(ISNUMBER('[1]#REF'!$BN$7)),'[1]#REF'!$BN$7&lt;Lookup_Lists!$D$320),"N/A",MIN(100,ROUND('[1]#REF'!$BM$7/Lookup_Lists!$D$319*100,0)))</f>
        <v>#REF!</v>
      </c>
      <c r="AJ7" s="65" t="str">
        <f>IF(NOT(ISNUMBER('[1]#REF'!$BR$7)),"N/A",'[1]#REF'!$BR$7)</f>
        <v>N/A</v>
      </c>
      <c r="AK7" s="65" t="str">
        <f>IF(NOT(ISNUMBER('[1]#REF'!$BK$7)),"N/A",MIN(100,ROUND('[1]#REF'!$BK$7/Lookup_Lists!$D$321*100,0)))</f>
        <v>N/A</v>
      </c>
      <c r="AL7" s="65" t="str">
        <f>IF(NOT(ISNUMBER('[1]#REF'!$BP$7)),"N/A",MIN(100,MAX(0,ROUND(('[1]#REF'!$BP$7+2)/(Lookup_Lists!$D$145+2)*100,0))))</f>
        <v>N/A</v>
      </c>
      <c r="AM7" s="63">
        <f>IF((IF(ISNUMBER(Matching_Engine!$AG$7),Lookup_Lists!$D$129,0)+IF(ISNUMBER(Matching_Engine!$AH$7),Lookup_Lists!$D$130,0)+IF(ISNUMBER(Matching_Engine!$AI$7),Lookup_Lists!$D$131,0)+IF(ISNUMBER(Matching_Engine!$AJ$7),Lookup_Lists!$D$132,0)+IF(ISNUMBER(Matching_Engine!$AK$7),Lookup_Lists!$D$133,0)+IF(ISNUMBER(Matching_Engine!$AL$7),Lookup_Lists!$D$134,0))=0,"N/A",ROUND((IF(ISNUMBER(Matching_Engine!$AG$7),Matching_Engine!$AG$7*Lookup_Lists!$D$129,0)+IF(ISNUMBER(Matching_Engine!$AH$7),Matching_Engine!$AH$7*Lookup_Lists!$D$130,0)+IF(ISNUMBER(Matching_Engine!$AI$7),Matching_Engine!$AI$7*Lookup_Lists!$D$131,0)+IF(ISNUMBER(Matching_Engine!$AJ$7),Matching_Engine!$AJ$7*Lookup_Lists!$D$132,0)+IF(ISNUMBER(Matching_Engine!$AK$7),Matching_Engine!$AK$7*Lookup_Lists!$D$133,0)+IF(ISNUMBER(Matching_Engine!$AL$7),Matching_Engine!$AL$7*Lookup_Lists!$D$134,0))/(IF(ISNUMBER(Matching_Engine!$AG$7),Lookup_Lists!$D$129,0)+IF(ISNUMBER(Matching_Engine!$AH$7),Lookup_Lists!$D$130,0)+IF(ISNUMBER(Matching_Engine!$AI$7),Lookup_Lists!$D$131,0)+IF(ISNUMBER(Matching_Engine!$AJ$7),Lookup_Lists!$D$132,0)+IF(ISNUMBER(Matching_Engine!$AK$7),Lookup_Lists!$D$133,0)+IF(ISNUMBER(Matching_Engine!$AL$7),Lookup_Lists!$D$134,0)),0))</f>
        <v>85</v>
      </c>
      <c r="AN7" s="42">
        <f>IF(ISNUMBER(Matching_Engine!$AM$7),1,0)</f>
        <v>0</v>
      </c>
      <c r="AO7" s="65" t="str">
        <f>IF(NOT(ISNUMBER('[1]#REF'!$BT$7)),"N/A",MIN(100,MAX(0,'[1]#REF'!$BT$7)))</f>
        <v>N/A</v>
      </c>
      <c r="AP7" s="65" t="str">
        <f>IF(NOT(ISNUMBER('[1]#REF'!$BU$7)),"N/A",MIN(100,MAX(0,'[1]#REF'!$BU$7)))</f>
        <v>N/A</v>
      </c>
      <c r="AQ7" s="65" t="e">
        <f>IF('[1]#REF'!$I$7="Yes",Lookup_Lists!$D$326,IF('[1]#REF'!$I$7="No",Lookup_Lists!$D$327,"N/A"))</f>
        <v>#REF!</v>
      </c>
      <c r="AR7" s="65" t="str">
        <f>IF(NOT(ISNUMBER('[1]#REF'!$BQ$7)),"N/A",MAX(0,ROUND(100-'[1]#REF'!$BQ$7/Lookup_Lists!$D$328*100,0)))</f>
        <v>N/A</v>
      </c>
      <c r="AS7" s="65" t="e">
        <f>IF(NOT(AND(ISTEXT('[1]#REF'!$BV$7),'[1]#REF'!$BV$7&lt;&gt;"N/A")),"N/A",'[1]#REF'!$BV$7)</f>
        <v>#REF!</v>
      </c>
      <c r="AT7" s="63" t="str">
        <f ca="1">IF((IF(ISNUMBER(Matching_Engine!$AO$7),Lookup_Lists!$D$322,0)+IF(ISNUMBER(Matching_Engine!$AP$7),Lookup_Lists!$D$323,0)+IF(ISNUMBER(Matching_Engine!$AQ$7),Lookup_Lists!$D$324,0)+IF(ISNUMBER(Matching_Engine!$AR$7),Lookup_Lists!$D$325,0))=0,"N/A",ROUND((IF(ISNUMBER(Matching_Engine!$AO$7),Matching_Engine!$AO$7*Lookup_Lists!$D$322,0)+IF(ISNUMBER(Matching_Engine!$AP$7),Matching_Engine!$AP$7*Lookup_Lists!$D$323,0)+IF(ISNUMBER(Matching_Engine!$AQ$7),Matching_Engine!$AQ$7*Lookup_Lists!$D$324,0)+IF(ISNUMBER(Matching_Engine!$AR$7),Matching_Engine!$AR$7*Lookup_Lists!$D$325,0))/(IF(ISNUMBER(Matching_Engine!$AO$7),Lookup_Lists!$D$322,0)+IF(ISNUMBER(Matching_Engine!$AP$7),Lookup_Lists!$D$323,0)+IF(ISNUMBER(Matching_Engine!$AQ$7),Lookup_Lists!$D$324,0)+IF(ISNUMBER(Matching_Engine!$AR$7),Lookup_Lists!$D$325,0)),0))</f>
        <v>N/A</v>
      </c>
      <c r="AU7" s="42">
        <f>IF(ISNUMBER(Matching_Engine!$AT$7),1,0)</f>
        <v>1</v>
      </c>
      <c r="AV7" s="42" t="str">
        <f>IF(NOT(ISNUMBER(Matching_Engine!$AT$7)),"Not Screened",IF(Matching_Engine!$AT$7&gt;=Lookup_Lists!$D$329,"Low Risk",IF(Matching_Engine!$AT$7&gt;=Lookup_Lists!$D$330,"Moderate Risk",IF(Matching_Engine!$AT$7&gt;=Lookup_Lists!$D$331,"Elevated Risk","High Risk"))))</f>
        <v>Low Risk</v>
      </c>
      <c r="AW7" s="42" t="e">
        <f ca="1">IF(NOT(ISNUMBER(Matching_Engine!$AT$7)),"No integrity signal: no audience-analysis row for this account.","Integrity screen only — no content-risk reading exists (comments_analysis: 0 rows). "&amp;IF(ISNUMBER(Matching_Engine!$AO$7),"Authenticity "&amp;Matching_Engine!$AO$7&amp;". ","Authenticity N/A. ")&amp;IF(ISNUMBER(Matching_Engine!$AP$7),"Follower quality "&amp;Matching_Engine!$AP$7&amp;". ","Follower quality N/A. ")&amp;IF('[1]#REF'!$I$7="Yes","Platform-verified.","Not platform-verified."))</f>
        <v>#REF!</v>
      </c>
      <c r="AX7" s="65">
        <f>Matching_Engine!$N$7*Lookup_Lists!$D$104+Matching_Engine!$T$7*Lookup_Lists!$D$105+Matching_Engine!$Z$7*Lookup_Lists!$D$106+Matching_Engine!$AF$7*Lookup_Lists!$D$107+Matching_Engine!$AN$7*Lookup_Lists!$D$108+Matching_Engine!$AU$7*Lookup_Lists!$D$109</f>
        <v>8350</v>
      </c>
      <c r="AY7" s="74" t="e">
        <f ca="1">IF(Matching_Engine!$AX$7=0,"N/A",ROUND((IF(Matching_Engine!$N$7=1,Matching_Engine!$M$7*Lookup_Lists!$D$104,0)+IF(Matching_Engine!$T$7=1,Matching_Engine!$S$7*Lookup_Lists!$D$105,0)+IF(Matching_Engine!$Z$7=1,Matching_Engine!$Y$7*Lookup_Lists!$D$106,0)+IF(Matching_Engine!$AF$7=1,Matching_Engine!$AE$7*Lookup_Lists!$D$107,0)+IF(Matching_Engine!$AN$7=1,Matching_Engine!$AM$7*Lookup_Lists!$D$108,0)+IF(Matching_Engine!$AU$7=1,Matching_Engine!$AT$7*Lookup_Lists!$D$109,0))/Matching_Engine!$AX$7,0))</f>
        <v>#VALUE!</v>
      </c>
      <c r="AZ7" s="42" t="str">
        <f ca="1">IF(NOT(ISNUMBER(Matching_Engine!$AY$7)),"Not Scored",IF(Matching_Engine!$AY$7&gt;=Lookup_Lists!$D$152,"Excellent Match",IF(Matching_Engine!$AY$7&gt;=Lookup_Lists!$D$153,"Strong Match",IF(Matching_Engine!$AY$7&gt;=Lookup_Lists!$D$154,"Good Match",IF(Matching_Engine!$AY$7&gt;=Lookup_Lists!$D$155,"Moderate Match","Low Match")))))</f>
        <v>Excellent Match</v>
      </c>
      <c r="BA7" s="65" t="e">
        <f>'[1]#REF'!$BW$7</f>
        <v>#REF!</v>
      </c>
      <c r="BB7" s="42" t="e">
        <f>'[1]#REF'!$BX$7</f>
        <v>#REF!</v>
      </c>
      <c r="BC7" s="65">
        <f ca="1">IF(NOT(ISNUMBER(Matching_Engine!$AY$7)),-1,Matching_Engine!$AY$7*1000+23)</f>
        <v>93023</v>
      </c>
      <c r="BD7" s="42" t="e">
        <f>IF(AND(ISTEXT('[1]#REF'!$S$7),'[1]#REF'!$S$7&lt;&gt;"N/A"),'[1]#REF'!$S$7,"")&amp;" | "&amp;IF(AND(ISTEXT('[1]#REF'!$T$7),'[1]#REF'!$T$7&lt;&gt;"N/A"),'[1]#REF'!$T$7,"")&amp;" | "&amp;IF(AND(ISTEXT('[1]#REF'!$N$7),'[1]#REF'!$N$7&lt;&gt;"N/A"),'[1]#REF'!$N$7,"")&amp;" | "&amp;IF(AND(ISTEXT('[1]#REF'!$K$7),'[1]#REF'!$K$7&lt;&gt;"N/A"),'[1]#REF'!$K$7,"")&amp;" | "&amp;IF(AND(ISTEXT('[1]#REF'!$J$7),'[1]#REF'!$J$7&lt;&gt;"N/A"),'[1]#REF'!$J$7,"")</f>
        <v>#REF!</v>
      </c>
      <c r="BE7" s="42" t="e">
        <f>IF(AND(ISTEXT('[1]#REF'!$T$7),'[1]#REF'!$T$7&lt;&gt;"N/A"),'[1]#REF'!$T$7,"")&amp;" | "&amp;IF(AND(ISTEXT('[1]#REF'!$N$7),'[1]#REF'!$N$7&lt;&gt;"N/A"),'[1]#REF'!$N$7,"")&amp;" | "&amp;IF(AND(ISTEXT('[1]#REF'!$O$7),'[1]#REF'!$O$7&lt;&gt;"N/A"),'[1]#REF'!$O$7,"")&amp;" | "&amp;IF(AND(ISTEXT('[1]#REF'!$S$7),'[1]#REF'!$S$7&lt;&gt;"N/A"),'[1]#REF'!$S$7,"")</f>
        <v>#REF!</v>
      </c>
      <c r="BF7" s="42" t="e">
        <f>IF(AND(ISTEXT('[1]#REF'!$U$7),'[1]#REF'!$U$7&lt;&gt;"N/A"),'[1]#REF'!$U$7,"")</f>
        <v>#REF!</v>
      </c>
      <c r="BG7" s="42" t="str">
        <f>Matching_Engine!$A$7&amp;"|"&amp;Matching_Engine!$C$7</f>
        <v>BRAND-A|KOL-02</v>
      </c>
    </row>
    <row r="8" spans="1:59">
      <c r="A8" s="64" t="s">
        <v>2527</v>
      </c>
      <c r="B8" s="42" t="str">
        <f>Brand_Profile!$E$6</f>
        <v>BRAND-B</v>
      </c>
      <c r="C8" s="42" t="e">
        <f>'[1]#REF'!$A$8</f>
        <v>#REF!</v>
      </c>
      <c r="D8" s="42" t="e">
        <f>'[1]#REF'!$C$8</f>
        <v>#REF!</v>
      </c>
      <c r="E8" s="42" t="e">
        <f>'[1]#REF'!$D$8</f>
        <v>#REF!</v>
      </c>
      <c r="F8" s="42" t="e">
        <f>'[1]#REF'!$E$8</f>
        <v>#REF!</v>
      </c>
      <c r="G8" s="42" t="e">
        <f>'[1]#REF'!$K$8</f>
        <v>#REF!</v>
      </c>
      <c r="H8" s="72" t="e">
        <f>'[1]#REF'!$G$8</f>
        <v>#REF!</v>
      </c>
      <c r="I8" s="73" t="e">
        <f>'[1]#REF'!$BG$8</f>
        <v>#REF!</v>
      </c>
      <c r="J8" s="65" t="e">
        <f>IF(NOT(AND(ISTEXT('[1]#REF'!$K$8),'[1]#REF'!$K$8&lt;&gt;"N/A")),Lookup_Lists!$D$150,IF(Brand_Profile!$E$7='[1]#REF'!$K$8,100,IFERROR(INDEX(Lookup_Lists!$B$349:$J$357,MATCH(Brand_Profile!$E$7,Lookup_Lists!$A$349:$A$357,0),MATCH('[1]#REF'!$K$8,Lookup_Lists!$B$348:$J$348,0)),Lookup_Lists!$D$151)))</f>
        <v>#REF!</v>
      </c>
      <c r="K8" s="65" t="e">
        <f>IF(LEN(TRIM(SUBSTITUTE(Matching_Engine!$BD$8,"|","")))=0,"N/A",IF(Brand_Profile!$E$47=0,Lookup_Lists!$D$150,ROUND((IF(Brand_Profile!$E$41="",0,IF(ISNUMBER(SEARCH(Brand_Profile!$E$41,Matching_Engine!$BD$8)),1,0))+IF(Brand_Profile!$E$42="",0,IF(ISNUMBER(SEARCH(Brand_Profile!$E$42,Matching_Engine!$BD$8)),1,0))+IF(Brand_Profile!$E$43="",0,IF(ISNUMBER(SEARCH(Brand_Profile!$E$43,Matching_Engine!$BD$8)),1,0))+IF(Brand_Profile!$E$44="",0,IF(ISNUMBER(SEARCH(Brand_Profile!$E$44,Matching_Engine!$BD$8)),1,0))+IF(Brand_Profile!$E$45="",0,IF(ISNUMBER(SEARCH(Brand_Profile!$E$45,Matching_Engine!$BD$8)),1,0))+IF(Brand_Profile!$E$46="",0,IF(ISNUMBER(SEARCH(Brand_Profile!$E$46,Matching_Engine!$BD$8)),1,0)))/Brand_Profile!$E$47*100,0)))</f>
        <v>#VALUE!</v>
      </c>
      <c r="L8" s="65" t="e">
        <f>IF(NOT(AND(ISTEXT('[1]#REF'!$U$8),'[1]#REF'!$U$8&lt;&gt;"N/A")),"N/A",IF(Brand_Profile!$E$53=0,Lookup_Lists!$D$150,ROUND((IF(Brand_Profile!$E$48="",0,IF(ISNUMBER(SEARCH(Brand_Profile!$E$48,Matching_Engine!$BF$8)),1,0))+IF(Brand_Profile!$E$49="",0,IF(ISNUMBER(SEARCH(Brand_Profile!$E$49,Matching_Engine!$BF$8)),1,0))+IF(Brand_Profile!$E$50="",0,IF(ISNUMBER(SEARCH(Brand_Profile!$E$50,Matching_Engine!$BF$8)),1,0))+IF(Brand_Profile!$E$51="",0,IF(ISNUMBER(SEARCH(Brand_Profile!$E$51,Matching_Engine!$BF$8)),1,0))+IF(Brand_Profile!$E$52="",0,IF(ISNUMBER(SEARCH(Brand_Profile!$E$52,Matching_Engine!$BF$8)),1,0)))/Brand_Profile!$E$53*100,0)))</f>
        <v>#REF!</v>
      </c>
      <c r="M8" s="63" t="str">
        <f>IF((IF(ISNUMBER(Matching_Engine!$J$8),Lookup_Lists!$D$332,0)+IF(ISNUMBER(Matching_Engine!$K$8),Lookup_Lists!$D$333,0)+IF(ISNUMBER(Matching_Engine!$L$8),Lookup_Lists!$D$334,0))=0,"N/A",ROUND((IF(ISNUMBER(Matching_Engine!$J$8),Matching_Engine!$J$8*Lookup_Lists!$D$332,0)+IF(ISNUMBER(Matching_Engine!$K$8),Matching_Engine!$K$8*Lookup_Lists!$D$333,0)+IF(ISNUMBER(Matching_Engine!$L$8),Matching_Engine!$L$8*Lookup_Lists!$D$334,0))/(IF(ISNUMBER(Matching_Engine!$J$8),Lookup_Lists!$D$332,0)+IF(ISNUMBER(Matching_Engine!$K$8),Lookup_Lists!$D$333,0)+IF(ISNUMBER(Matching_Engine!$L$8),Lookup_Lists!$D$334,0)),0))</f>
        <v>N/A</v>
      </c>
      <c r="N8" s="42">
        <f>IF(ISNUMBER(Matching_Engine!$M$8),1,0)</f>
        <v>1</v>
      </c>
      <c r="O8" s="65" t="str">
        <f ca="1">IF(NOT(ISNUMBER(IFERROR(INDEX('[1]#REF'!$V$8:'[1]#REF'!$Z$8,1,MATCH(Brand_Profile!$E$11,Lookup_Lists!$F$6:$F$10,0)),""))),"N/A",MIN(100,ROUND((IFERROR(INDEX('[1]#REF'!$V$8:'[1]#REF'!$Z$8,1,MATCH(Brand_Profile!$E$11,Lookup_Lists!$F$6:$F$10,0)),"")+0.5*IF(ISNUMBER(IFERROR(INDEX('[1]#REF'!$V$8:'[1]#REF'!$Z$8,1,MATCH(Brand_Profile!$E$12,Lookup_Lists!$F$6:$F$10,0)),"")),IFERROR(INDEX('[1]#REF'!$V$8:'[1]#REF'!$Z$8,1,MATCH(Brand_Profile!$E$12,Lookup_Lists!$F$6:$F$10,0)),""),0))/Lookup_Lists!$D$142*100,0)))</f>
        <v>N/A</v>
      </c>
      <c r="P8" s="65" t="str">
        <f>IF(Brand_Profile!$E$13="Any",100,IF(NOT(ISNUMBER('[1]#REF'!$AA$8)),"N/A",IF(Brand_Profile!$E$13="Female",MIN(100,ROUND('[1]#REF'!$AA$8/Lookup_Lists!$D$143*100,0)),IF(Brand_Profile!$E$13="Male",MIN(100,ROUND(IF(ISNUMBER('[1]#REF'!$AB$8),'[1]#REF'!$AB$8,100-'[1]#REF'!$AA$8)/Lookup_Lists!$D$143*100,0)),MAX(0,ROUND(100-ABS('[1]#REF'!$AA$8-50)*2,0))))))</f>
        <v>N/A</v>
      </c>
      <c r="Q8" s="65" t="str">
        <f>IF((IF(ISNUMBER(IF(NOT(ISNUMBER('[1]#REF'!$AE$8)),"N/A",IF('[1]#REF'!$AD$8&lt;&gt;Brand_Profile!$E$14,Lookup_Lists!$D$151,MIN(100,ROUND('[1]#REF'!$AE$8/Lookup_Lists!$D$316*100,0))))),Lookup_Lists!$D$118,0)+IF(ISNUMBER(IF(NOT(ISNUMBER('[1]#REF'!$AM$8)),"N/A",MIN(100,ROUND((IF('[1]#REF'!$AG$8=Brand_Profile!$E$15,IF(ISNUMBER('[1]#REF'!$AH$8),'[1]#REF'!$AH$8,0),0)+IF('[1]#REF'!$AI$8=Brand_Profile!$E$15,IF(ISNUMBER('[1]#REF'!$AJ$8),'[1]#REF'!$AJ$8,0),0)+IF('[1]#REF'!$AK$8=Brand_Profile!$E$15,IF(ISNUMBER('[1]#REF'!$AL$8),'[1]#REF'!$AL$8,0),0))/Lookup_Lists!$D$317*100,0)))),Lookup_Lists!$D$120,0))=0,"N/A",ROUND((IF(ISNUMBER(IF(NOT(ISNUMBER('[1]#REF'!$AE$8)),"N/A",IF('[1]#REF'!$AD$8&lt;&gt;Brand_Profile!$E$14,Lookup_Lists!$D$151,MIN(100,ROUND('[1]#REF'!$AE$8/Lookup_Lists!$D$316*100,0))))),IF(NOT(ISNUMBER('[1]#REF'!$AE$8)),"N/A",IF('[1]#REF'!$AD$8&lt;&gt;Brand_Profile!$E$14,Lookup_Lists!$D$151,MIN(100,ROUND('[1]#REF'!$AE$8/Lookup_Lists!$D$316*100,0))))*Lookup_Lists!$D$118,0)+IF(ISNUMBER(IF(NOT(ISNUMBER('[1]#REF'!$AM$8)),"N/A",MIN(100,ROUND((IF('[1]#REF'!$AG$8=Brand_Profile!$E$15,IF(ISNUMBER('[1]#REF'!$AH$8),'[1]#REF'!$AH$8,0),0)+IF('[1]#REF'!$AI$8=Brand_Profile!$E$15,IF(ISNUMBER('[1]#REF'!$AJ$8),'[1]#REF'!$AJ$8,0),0)+IF('[1]#REF'!$AK$8=Brand_Profile!$E$15,IF(ISNUMBER('[1]#REF'!$AL$8),'[1]#REF'!$AL$8,0),0))/Lookup_Lists!$D$317*100,0)))),IF(NOT(ISNUMBER('[1]#REF'!$AM$8)),"N/A",MIN(100,ROUND((IF('[1]#REF'!$AG$8=Brand_Profile!$E$15,IF(ISNUMBER('[1]#REF'!$AH$8),'[1]#REF'!$AH$8,0),0)+IF('[1]#REF'!$AI$8=Brand_Profile!$E$15,IF(ISNUMBER('[1]#REF'!$AJ$8),'[1]#REF'!$AJ$8,0),0)+IF('[1]#REF'!$AK$8=Brand_Profile!$E$15,IF(ISNUMBER('[1]#REF'!$AL$8),'[1]#REF'!$AL$8,0),0))/Lookup_Lists!$D$317*100,0)))*Lookup_Lists!$D$120,0))/(IF(ISNUMBER(IF(NOT(ISNUMBER('[1]#REF'!$AE$8)),"N/A",IF('[1]#REF'!$AD$8&lt;&gt;Brand_Profile!$E$14,Lookup_Lists!$D$151,MIN(100,ROUND('[1]#REF'!$AE$8/Lookup_Lists!$D$316*100,0))))),Lookup_Lists!$D$118,0)+IF(ISNUMBER(IF(NOT(ISNUMBER('[1]#REF'!$AM$8)),"N/A",MIN(100,ROUND((IF('[1]#REF'!$AG$8=Brand_Profile!$E$15,IF(ISNUMBER('[1]#REF'!$AH$8),'[1]#REF'!$AH$8,0),0)+IF('[1]#REF'!$AI$8=Brand_Profile!$E$15,IF(ISNUMBER('[1]#REF'!$AJ$8),'[1]#REF'!$AJ$8,0),0)+IF('[1]#REF'!$AK$8=Brand_Profile!$E$15,IF(ISNUMBER('[1]#REF'!$AL$8),'[1]#REF'!$AL$8,0),0))/Lookup_Lists!$D$317*100,0)))),Lookup_Lists!$D$120,0)),0))</f>
        <v>N/A</v>
      </c>
      <c r="R8" s="65" t="str">
        <f>IF(NOT(ISNUMBER('[1]#REF'!$AN$8)),"N/A",MIN(100,ROUND((IF(ISNUMBER('[1]#REF'!$AO$8),'[1]#REF'!$AO$8*Brand_Profile!$E$17,0)+IF(ISNUMBER('[1]#REF'!$AP$8),'[1]#REF'!$AP$8*Brand_Profile!$E$18,0)+IF(ISNUMBER('[1]#REF'!$AQ$8),'[1]#REF'!$AQ$8*Brand_Profile!$E$19,0)+IF(ISNUMBER('[1]#REF'!$AR$8),'[1]#REF'!$AR$8*Brand_Profile!$E$20,0)+IF(ISNUMBER('[1]#REF'!$AS$8),'[1]#REF'!$AS$8*Brand_Profile!$E$21,0)+IF(ISNUMBER('[1]#REF'!$AT$8),'[1]#REF'!$AT$8*Brand_Profile!$E$22,0)+IF(ISNUMBER('[1]#REF'!$AU$8),'[1]#REF'!$AU$8*Brand_Profile!$E$23,0)+IF(ISNUMBER('[1]#REF'!$AV$8),'[1]#REF'!$AV$8*Brand_Profile!$E$24,0)+IF(ISNUMBER('[1]#REF'!$AW$8),'[1]#REF'!$AW$8*Brand_Profile!$E$25,0)+IF(ISNUMBER('[1]#REF'!$AX$8),'[1]#REF'!$AX$8*Brand_Profile!$E$26,0)+IF(ISNUMBER('[1]#REF'!$AY$8),'[1]#REF'!$AY$8*Brand_Profile!$E$27,0)+IF(ISNUMBER('[1]#REF'!$AZ$8),'[1]#REF'!$AZ$8*Brand_Profile!$E$28,0)+IF(ISNUMBER('[1]#REF'!$BA$8),'[1]#REF'!$BA$8*Brand_Profile!$E$29,0)+IF(ISNUMBER('[1]#REF'!$BB$8),'[1]#REF'!$BB$8*Brand_Profile!$E$30,0)+IF(ISNUMBER('[1]#REF'!$BC$8),'[1]#REF'!$BC$8*Brand_Profile!$E$31,0)+IF(ISNUMBER('[1]#REF'!$BD$8),'[1]#REF'!$BD$8*Brand_Profile!$E$32,0)+IF(ISNUMBER('[1]#REF'!$BE$8),'[1]#REF'!$BE$8*Brand_Profile!$E$33,0)+IF(ISNUMBER('[1]#REF'!$BF$8),'[1]#REF'!$BF$8*Brand_Profile!$E$34,0))/Lookup_Lists!$D$318*100,0)))</f>
        <v>N/A</v>
      </c>
      <c r="S8" s="63">
        <f ca="1">IF((IF(ISNUMBER(Matching_Engine!$O$8),Lookup_Lists!$D$113,0)+IF(ISNUMBER(Matching_Engine!$P$8),Lookup_Lists!$D$114,0)+IF(ISNUMBER(Matching_Engine!$Q$8),Lookup_Lists!$D$115,0)+IF(ISNUMBER(Matching_Engine!$R$8),Lookup_Lists!$D$116,0))=0,"N/A",ROUND((IF(ISNUMBER(Matching_Engine!$O$8),Matching_Engine!$O$8*Lookup_Lists!$D$113,0)+IF(ISNUMBER(Matching_Engine!$P$8),Matching_Engine!$P$8*Lookup_Lists!$D$114,0)+IF(ISNUMBER(Matching_Engine!$Q$8),Matching_Engine!$Q$8*Lookup_Lists!$D$115,0)+IF(ISNUMBER(Matching_Engine!$R$8),Matching_Engine!$R$8*Lookup_Lists!$D$116,0))/(IF(ISNUMBER(Matching_Engine!$O$8),Lookup_Lists!$D$113,0)+IF(ISNUMBER(Matching_Engine!$P$8),Lookup_Lists!$D$114,0)+IF(ISNUMBER(Matching_Engine!$Q$8),Lookup_Lists!$D$115,0)+IF(ISNUMBER(Matching_Engine!$R$8),Lookup_Lists!$D$116,0)),0))</f>
        <v>70</v>
      </c>
      <c r="T8" s="42">
        <f ca="1">IF(ISNUMBER(Matching_Engine!$S$8),1,0)</f>
        <v>1</v>
      </c>
      <c r="U8" s="65" t="e">
        <f>IF(NOT(AND(ISTEXT('[1]#REF'!$M$8),'[1]#REF'!$M$8&lt;&gt;"N/A")),Lookup_Lists!$D$150,IF(Brand_Profile!$E$7='[1]#REF'!$M$8,100,IFERROR(INDEX(Lookup_Lists!$B$349:$J$357,MATCH(Brand_Profile!$E$7,Lookup_Lists!$A$349:$A$357,0),MATCH('[1]#REF'!$M$8,Lookup_Lists!$B$348:$J$348,0)),Lookup_Lists!$D$151)))</f>
        <v>#REF!</v>
      </c>
      <c r="V8" s="65" t="e">
        <f>IF(NOT(AND(ISTEXT('[1]#REF'!$P$8),'[1]#REF'!$P$8&lt;&gt;"N/A")),"N/A",IFERROR(INDEX(Lookup_Lists!$B$349:$J$357,MATCH(Brand_Profile!$E$7,Lookup_Lists!$A$349:$A$357,0),MATCH('[1]#REF'!$P$8,Lookup_Lists!$B$348:$J$348,0)),Lookup_Lists!$D$151))</f>
        <v>#REF!</v>
      </c>
      <c r="W8" s="65" t="e">
        <f>IF(LEN(TRIM(SUBSTITUTE(Matching_Engine!$BE$8,"|","")))=0,"N/A",IF(Brand_Profile!$E$60=0,Lookup_Lists!$D$150,ROUND((IF(Brand_Profile!$E$54="",0,IF(ISNUMBER(SEARCH(Brand_Profile!$E$54,Matching_Engine!$BE$8)),1,0))+IF(Brand_Profile!$E$55="",0,IF(ISNUMBER(SEARCH(Brand_Profile!$E$55,Matching_Engine!$BE$8)),1,0))+IF(Brand_Profile!$E$56="",0,IF(ISNUMBER(SEARCH(Brand_Profile!$E$56,Matching_Engine!$BE$8)),1,0))+IF(Brand_Profile!$E$57="",0,IF(ISNUMBER(SEARCH(Brand_Profile!$E$57,Matching_Engine!$BE$8)),1,0))+IF(Brand_Profile!$E$58="",0,IF(ISNUMBER(SEARCH(Brand_Profile!$E$58,Matching_Engine!$BE$8)),1,0))+IF(Brand_Profile!$E$59="",0,IF(ISNUMBER(SEARCH(Brand_Profile!$E$59,Matching_Engine!$BE$8)),1,0)))/Brand_Profile!$E$60*100,0)))</f>
        <v>#VALUE!</v>
      </c>
      <c r="X8" s="65" t="e">
        <f>IF(NOT(AND(ISTEXT('[1]#REF'!$Q$8),'[1]#REF'!$Q$8&lt;&gt;"N/A")),"N/A",Lookup_Lists!$D$150)</f>
        <v>#REF!</v>
      </c>
      <c r="Y8" s="63">
        <f>IF((IF(ISNUMBER(Matching_Engine!$U$8),Lookup_Lists!$D$335,0)+IF(ISNUMBER(Matching_Engine!$V$8),Lookup_Lists!$D$122,0)+IF(ISNUMBER(Matching_Engine!$W$8),Lookup_Lists!$D$336,0)+IF(ISNUMBER(Matching_Engine!$X$8),Lookup_Lists!$D$124,0))=0,"N/A",ROUND((IF(ISNUMBER(Matching_Engine!$U$8),Matching_Engine!$U$8*Lookup_Lists!$D$335,0)+IF(ISNUMBER(Matching_Engine!$V$8),Matching_Engine!$V$8*Lookup_Lists!$D$122,0)+IF(ISNUMBER(Matching_Engine!$W$8),Matching_Engine!$W$8*Lookup_Lists!$D$336,0)+IF(ISNUMBER(Matching_Engine!$X$8),Matching_Engine!$X$8*Lookup_Lists!$D$124,0))/(IF(ISNUMBER(Matching_Engine!$U$8),Lookup_Lists!$D$335,0)+IF(ISNUMBER(Matching_Engine!$V$8),Lookup_Lists!$D$122,0)+IF(ISNUMBER(Matching_Engine!$W$8),Lookup_Lists!$D$336,0)+IF(ISNUMBER(Matching_Engine!$X$8),Lookup_Lists!$D$124,0)),0))</f>
        <v>13</v>
      </c>
      <c r="Z8" s="42">
        <f>IF(ISNUMBER(Matching_Engine!$Y$8),1,0)</f>
        <v>1</v>
      </c>
      <c r="AA8" s="65" t="e">
        <f>IF(NOT(AND(ISTEXT('[1]#REF'!$Q$8),'[1]#REF'!$Q$8&lt;&gt;"N/A")),"N/A",Lookup_Lists!$D$150)</f>
        <v>#REF!</v>
      </c>
      <c r="AB8" s="65" t="e">
        <f>IF(NOT(AND(ISTEXT('[1]#REF'!$Q$8),'[1]#REF'!$Q$8&lt;&gt;"N/A")),"N/A",Lookup_Lists!$D$150)</f>
        <v>#REF!</v>
      </c>
      <c r="AC8" s="65" t="str">
        <f t="shared" si="0"/>
        <v>N/A</v>
      </c>
      <c r="AD8" s="65" t="e">
        <f>IF(NOT(AND(ISTEXT('[1]#REF'!$Q$8),'[1]#REF'!$Q$8&lt;&gt;"N/A")),"N/A",Lookup_Lists!$D$150)</f>
        <v>#REF!</v>
      </c>
      <c r="AE8" s="63">
        <f>IF((IF(ISNUMBER(Matching_Engine!$AA$8),Lookup_Lists!$D$125,0)+IF(ISNUMBER(Matching_Engine!$AB$8),Lookup_Lists!$D$126,0)+IF(ISNUMBER(Matching_Engine!$AC$8),Lookup_Lists!$D$127,0)+IF(ISNUMBER(Matching_Engine!$AD$8),Lookup_Lists!$D$128,0))=0,"N/A",ROUND((IF(ISNUMBER(Matching_Engine!$AA$8),Matching_Engine!$AA$8*Lookup_Lists!$D$125,0)+IF(ISNUMBER(Matching_Engine!$AB$8),Matching_Engine!$AB$8*Lookup_Lists!$D$126,0)+IF(ISNUMBER(Matching_Engine!$AC$8),Matching_Engine!$AC$8*Lookup_Lists!$D$127,0)+IF(ISNUMBER(Matching_Engine!$AD$8),Matching_Engine!$AD$8*Lookup_Lists!$D$128,0))/(IF(ISNUMBER(Matching_Engine!$AA$8),Lookup_Lists!$D$125,0)+IF(ISNUMBER(Matching_Engine!$AB$8),Lookup_Lists!$D$126,0)+IF(ISNUMBER(Matching_Engine!$AC$8),Lookup_Lists!$D$127,0)+IF(ISNUMBER(Matching_Engine!$AD$8),Lookup_Lists!$D$128,0)),0))</f>
        <v>61</v>
      </c>
      <c r="AF8" s="42">
        <f>IF(ISNUMBER(Matching_Engine!$AE$8),1,0)</f>
        <v>1</v>
      </c>
      <c r="AG8" s="65" t="str">
        <f>IF(NOT(ISNUMBER('[1]#REF'!$BG$8)),"N/A",MIN(100,ROUND('[1]#REF'!$BG$8/IFERROR(INDEX(Lookup_Lists!$B$340:$B$344,MATCH('[1]#REF'!$H$8,Lookup_Lists!$A$340:$A$344,0)),Lookup_Lists!$D$141)*100,0)))</f>
        <v>N/A</v>
      </c>
      <c r="AH8" s="65" t="str">
        <f>IF(NOT(ISNUMBER('[1]#REF'!$BS$8)),"N/A",MIN(100,MAX(0,'[1]#REF'!$BS$8)))</f>
        <v>N/A</v>
      </c>
      <c r="AI8" s="65" t="e">
        <f>IF(OR(NOT(ISNUMBER('[1]#REF'!$BM$8)),NOT(ISNUMBER('[1]#REF'!$BN$8)),'[1]#REF'!$BN$8&lt;Lookup_Lists!$D$320),"N/A",MIN(100,ROUND('[1]#REF'!$BM$8/Lookup_Lists!$D$319*100,0)))</f>
        <v>#REF!</v>
      </c>
      <c r="AJ8" s="65" t="str">
        <f>IF(NOT(ISNUMBER('[1]#REF'!$BR$8)),"N/A",'[1]#REF'!$BR$8)</f>
        <v>N/A</v>
      </c>
      <c r="AK8" s="65" t="str">
        <f>IF(NOT(ISNUMBER('[1]#REF'!$BK$8)),"N/A",MIN(100,ROUND('[1]#REF'!$BK$8/Lookup_Lists!$D$321*100,0)))</f>
        <v>N/A</v>
      </c>
      <c r="AL8" s="65" t="str">
        <f>IF(NOT(ISNUMBER('[1]#REF'!$BP$8)),"N/A",MIN(100,MAX(0,ROUND(('[1]#REF'!$BP$8+2)/(Lookup_Lists!$D$145+2)*100,0))))</f>
        <v>N/A</v>
      </c>
      <c r="AM8" s="63">
        <f>IF((IF(ISNUMBER(Matching_Engine!$AG$8),Lookup_Lists!$D$129,0)+IF(ISNUMBER(Matching_Engine!$AH$8),Lookup_Lists!$D$130,0)+IF(ISNUMBER(Matching_Engine!$AI$8),Lookup_Lists!$D$131,0)+IF(ISNUMBER(Matching_Engine!$AJ$8),Lookup_Lists!$D$132,0)+IF(ISNUMBER(Matching_Engine!$AK$8),Lookup_Lists!$D$133,0)+IF(ISNUMBER(Matching_Engine!$AL$8),Lookup_Lists!$D$134,0))=0,"N/A",ROUND((IF(ISNUMBER(Matching_Engine!$AG$8),Matching_Engine!$AG$8*Lookup_Lists!$D$129,0)+IF(ISNUMBER(Matching_Engine!$AH$8),Matching_Engine!$AH$8*Lookup_Lists!$D$130,0)+IF(ISNUMBER(Matching_Engine!$AI$8),Matching_Engine!$AI$8*Lookup_Lists!$D$131,0)+IF(ISNUMBER(Matching_Engine!$AJ$8),Matching_Engine!$AJ$8*Lookup_Lists!$D$132,0)+IF(ISNUMBER(Matching_Engine!$AK$8),Matching_Engine!$AK$8*Lookup_Lists!$D$133,0)+IF(ISNUMBER(Matching_Engine!$AL$8),Matching_Engine!$AL$8*Lookup_Lists!$D$134,0))/(IF(ISNUMBER(Matching_Engine!$AG$8),Lookup_Lists!$D$129,0)+IF(ISNUMBER(Matching_Engine!$AH$8),Lookup_Lists!$D$130,0)+IF(ISNUMBER(Matching_Engine!$AI$8),Lookup_Lists!$D$131,0)+IF(ISNUMBER(Matching_Engine!$AJ$8),Lookup_Lists!$D$132,0)+IF(ISNUMBER(Matching_Engine!$AK$8),Lookup_Lists!$D$133,0)+IF(ISNUMBER(Matching_Engine!$AL$8),Lookup_Lists!$D$134,0)),0))</f>
        <v>63</v>
      </c>
      <c r="AN8" s="42">
        <f>IF(ISNUMBER(Matching_Engine!$AM$8),1,0)</f>
        <v>0</v>
      </c>
      <c r="AO8" s="65" t="str">
        <f>IF(NOT(ISNUMBER('[1]#REF'!$BT$8)),"N/A",MIN(100,MAX(0,'[1]#REF'!$BT$8)))</f>
        <v>N/A</v>
      </c>
      <c r="AP8" s="65" t="str">
        <f>IF(NOT(ISNUMBER('[1]#REF'!$BU$8)),"N/A",MIN(100,MAX(0,'[1]#REF'!$BU$8)))</f>
        <v>N/A</v>
      </c>
      <c r="AQ8" s="65" t="e">
        <f>IF('[1]#REF'!$I$8="Yes",Lookup_Lists!$D$326,IF('[1]#REF'!$I$8="No",Lookup_Lists!$D$327,"N/A"))</f>
        <v>#REF!</v>
      </c>
      <c r="AR8" s="65" t="str">
        <f>IF(NOT(ISNUMBER('[1]#REF'!$BQ$8)),"N/A",MAX(0,ROUND(100-'[1]#REF'!$BQ$8/Lookup_Lists!$D$328*100,0)))</f>
        <v>N/A</v>
      </c>
      <c r="AS8" s="65" t="e">
        <f>IF(NOT(AND(ISTEXT('[1]#REF'!$BV$8),'[1]#REF'!$BV$8&lt;&gt;"N/A")),"N/A",'[1]#REF'!$BV$8)</f>
        <v>#REF!</v>
      </c>
      <c r="AT8" s="63" t="str">
        <f ca="1">IF((IF(ISNUMBER(Matching_Engine!$AO$8),Lookup_Lists!$D$322,0)+IF(ISNUMBER(Matching_Engine!$AP$8),Lookup_Lists!$D$323,0)+IF(ISNUMBER(Matching_Engine!$AQ$8),Lookup_Lists!$D$324,0)+IF(ISNUMBER(Matching_Engine!$AR$8),Lookup_Lists!$D$325,0))=0,"N/A",ROUND((IF(ISNUMBER(Matching_Engine!$AO$8),Matching_Engine!$AO$8*Lookup_Lists!$D$322,0)+IF(ISNUMBER(Matching_Engine!$AP$8),Matching_Engine!$AP$8*Lookup_Lists!$D$323,0)+IF(ISNUMBER(Matching_Engine!$AQ$8),Matching_Engine!$AQ$8*Lookup_Lists!$D$324,0)+IF(ISNUMBER(Matching_Engine!$AR$8),Matching_Engine!$AR$8*Lookup_Lists!$D$325,0))/(IF(ISNUMBER(Matching_Engine!$AO$8),Lookup_Lists!$D$322,0)+IF(ISNUMBER(Matching_Engine!$AP$8),Lookup_Lists!$D$323,0)+IF(ISNUMBER(Matching_Engine!$AQ$8),Lookup_Lists!$D$324,0)+IF(ISNUMBER(Matching_Engine!$AR$8),Lookup_Lists!$D$325,0)),0))</f>
        <v>N/A</v>
      </c>
      <c r="AU8" s="42">
        <f>IF(ISNUMBER(Matching_Engine!$AT$8),1,0)</f>
        <v>1</v>
      </c>
      <c r="AV8" s="42" t="str">
        <f>IF(NOT(ISNUMBER(Matching_Engine!$AT$8)),"Not Screened",IF(Matching_Engine!$AT$8&gt;=Lookup_Lists!$D$329,"Low Risk",IF(Matching_Engine!$AT$8&gt;=Lookup_Lists!$D$330,"Moderate Risk",IF(Matching_Engine!$AT$8&gt;=Lookup_Lists!$D$331,"Elevated Risk","High Risk"))))</f>
        <v>Low Risk</v>
      </c>
      <c r="AW8" s="42" t="e">
        <f ca="1">IF(NOT(ISNUMBER(Matching_Engine!$AT$8)),"No integrity signal: no audience-analysis row for this account.","Integrity screen only — no content-risk reading exists (comments_analysis: 0 rows). "&amp;IF(ISNUMBER(Matching_Engine!$AO$8),"Authenticity "&amp;Matching_Engine!$AO$8&amp;". ","Authenticity N/A. ")&amp;IF(ISNUMBER(Matching_Engine!$AP$8),"Follower quality "&amp;Matching_Engine!$AP$8&amp;". ","Follower quality N/A. ")&amp;IF('[1]#REF'!$I$8="Yes","Platform-verified.","Not platform-verified."))</f>
        <v>#REF!</v>
      </c>
      <c r="AX8" s="65">
        <f>Matching_Engine!$N$8*Lookup_Lists!$D$104+Matching_Engine!$T$8*Lookup_Lists!$D$105+Matching_Engine!$Z$8*Lookup_Lists!$D$106+Matching_Engine!$AF$8*Lookup_Lists!$D$107+Matching_Engine!$AN$8*Lookup_Lists!$D$108+Matching_Engine!$AU$8*Lookup_Lists!$D$109</f>
        <v>4020</v>
      </c>
      <c r="AY8" s="74" t="e">
        <f ca="1">IF(Matching_Engine!$AX$8=0,"N/A",ROUND((IF(Matching_Engine!$N$8=1,Matching_Engine!$M$8*Lookup_Lists!$D$104,0)+IF(Matching_Engine!$T$8=1,Matching_Engine!$S$8*Lookup_Lists!$D$105,0)+IF(Matching_Engine!$Z$8=1,Matching_Engine!$Y$8*Lookup_Lists!$D$106,0)+IF(Matching_Engine!$AF$8=1,Matching_Engine!$AE$8*Lookup_Lists!$D$107,0)+IF(Matching_Engine!$AN$8=1,Matching_Engine!$AM$8*Lookup_Lists!$D$108,0)+IF(Matching_Engine!$AU$8=1,Matching_Engine!$AT$8*Lookup_Lists!$D$109,0))/Matching_Engine!$AX$8,0))</f>
        <v>#VALUE!</v>
      </c>
      <c r="AZ8" s="42" t="str">
        <f ca="1">IF(NOT(ISNUMBER(Matching_Engine!$AY$8)),"Not Scored",IF(Matching_Engine!$AY$8&gt;=Lookup_Lists!$D$152,"Excellent Match",IF(Matching_Engine!$AY$8&gt;=Lookup_Lists!$D$153,"Strong Match",IF(Matching_Engine!$AY$8&gt;=Lookup_Lists!$D$154,"Good Match",IF(Matching_Engine!$AY$8&gt;=Lookup_Lists!$D$155,"Moderate Match","Low Match")))))</f>
        <v>Low Match</v>
      </c>
      <c r="BA8" s="65" t="e">
        <f>'[1]#REF'!$BW$8</f>
        <v>#REF!</v>
      </c>
      <c r="BB8" s="42" t="e">
        <f>'[1]#REF'!$BX$8</f>
        <v>#REF!</v>
      </c>
      <c r="BC8" s="65">
        <f ca="1">IF(NOT(ISNUMBER(Matching_Engine!$AY$8)),-1,Matching_Engine!$AY$8*1000+22)</f>
        <v>48022</v>
      </c>
      <c r="BD8" s="42" t="e">
        <f>IF(AND(ISTEXT('[1]#REF'!$S$8),'[1]#REF'!$S$8&lt;&gt;"N/A"),'[1]#REF'!$S$8,"")&amp;" | "&amp;IF(AND(ISTEXT('[1]#REF'!$T$8),'[1]#REF'!$T$8&lt;&gt;"N/A"),'[1]#REF'!$T$8,"")&amp;" | "&amp;IF(AND(ISTEXT('[1]#REF'!$N$8),'[1]#REF'!$N$8&lt;&gt;"N/A"),'[1]#REF'!$N$8,"")&amp;" | "&amp;IF(AND(ISTEXT('[1]#REF'!$K$8),'[1]#REF'!$K$8&lt;&gt;"N/A"),'[1]#REF'!$K$8,"")&amp;" | "&amp;IF(AND(ISTEXT('[1]#REF'!$J$8),'[1]#REF'!$J$8&lt;&gt;"N/A"),'[1]#REF'!$J$8,"")</f>
        <v>#REF!</v>
      </c>
      <c r="BE8" s="42" t="e">
        <f>IF(AND(ISTEXT('[1]#REF'!$T$8),'[1]#REF'!$T$8&lt;&gt;"N/A"),'[1]#REF'!$T$8,"")&amp;" | "&amp;IF(AND(ISTEXT('[1]#REF'!$N$8),'[1]#REF'!$N$8&lt;&gt;"N/A"),'[1]#REF'!$N$8,"")&amp;" | "&amp;IF(AND(ISTEXT('[1]#REF'!$O$8),'[1]#REF'!$O$8&lt;&gt;"N/A"),'[1]#REF'!$O$8,"")&amp;" | "&amp;IF(AND(ISTEXT('[1]#REF'!$S$8),'[1]#REF'!$S$8&lt;&gt;"N/A"),'[1]#REF'!$S$8,"")</f>
        <v>#REF!</v>
      </c>
      <c r="BF8" s="42" t="e">
        <f>IF(AND(ISTEXT('[1]#REF'!$U$8),'[1]#REF'!$U$8&lt;&gt;"N/A"),'[1]#REF'!$U$8,"")</f>
        <v>#REF!</v>
      </c>
      <c r="BG8" s="42" t="str">
        <f>Matching_Engine!$A$8&amp;"|"&amp;Matching_Engine!$C$8</f>
        <v>BRAND-A|KOL-03</v>
      </c>
    </row>
    <row r="9" spans="1:59">
      <c r="A9" s="64" t="s">
        <v>2527</v>
      </c>
      <c r="B9" s="42" t="str">
        <f>Brand_Profile!$E$6</f>
        <v>BRAND-B</v>
      </c>
      <c r="C9" s="42" t="e">
        <f>'[1]#REF'!$A$9</f>
        <v>#REF!</v>
      </c>
      <c r="D9" s="42" t="e">
        <f>'[1]#REF'!$C$9</f>
        <v>#REF!</v>
      </c>
      <c r="E9" s="42" t="e">
        <f>'[1]#REF'!$D$9</f>
        <v>#REF!</v>
      </c>
      <c r="F9" s="42" t="e">
        <f>'[1]#REF'!$E$9</f>
        <v>#REF!</v>
      </c>
      <c r="G9" s="42" t="e">
        <f>'[1]#REF'!$K$9</f>
        <v>#REF!</v>
      </c>
      <c r="H9" s="72" t="e">
        <f>'[1]#REF'!$G$9</f>
        <v>#REF!</v>
      </c>
      <c r="I9" s="73" t="e">
        <f>'[1]#REF'!$BG$9</f>
        <v>#REF!</v>
      </c>
      <c r="J9" s="65" t="e">
        <f>IF(NOT(AND(ISTEXT('[1]#REF'!$K$9),'[1]#REF'!$K$9&lt;&gt;"N/A")),Lookup_Lists!$D$150,IF(Brand_Profile!$E$7='[1]#REF'!$K$9,100,IFERROR(INDEX(Lookup_Lists!$B$349:$J$357,MATCH(Brand_Profile!$E$7,Lookup_Lists!$A$349:$A$357,0),MATCH('[1]#REF'!$K$9,Lookup_Lists!$B$348:$J$348,0)),Lookup_Lists!$D$151)))</f>
        <v>#REF!</v>
      </c>
      <c r="K9" s="65" t="e">
        <f>IF(LEN(TRIM(SUBSTITUTE(Matching_Engine!$BD$9,"|","")))=0,"N/A",IF(Brand_Profile!$E$47=0,Lookup_Lists!$D$150,ROUND((IF(Brand_Profile!$E$41="",0,IF(ISNUMBER(SEARCH(Brand_Profile!$E$41,Matching_Engine!$BD$9)),1,0))+IF(Brand_Profile!$E$42="",0,IF(ISNUMBER(SEARCH(Brand_Profile!$E$42,Matching_Engine!$BD$9)),1,0))+IF(Brand_Profile!$E$43="",0,IF(ISNUMBER(SEARCH(Brand_Profile!$E$43,Matching_Engine!$BD$9)),1,0))+IF(Brand_Profile!$E$44="",0,IF(ISNUMBER(SEARCH(Brand_Profile!$E$44,Matching_Engine!$BD$9)),1,0))+IF(Brand_Profile!$E$45="",0,IF(ISNUMBER(SEARCH(Brand_Profile!$E$45,Matching_Engine!$BD$9)),1,0))+IF(Brand_Profile!$E$46="",0,IF(ISNUMBER(SEARCH(Brand_Profile!$E$46,Matching_Engine!$BD$9)),1,0)))/Brand_Profile!$E$47*100,0)))</f>
        <v>#VALUE!</v>
      </c>
      <c r="L9" s="65" t="e">
        <f>IF(NOT(AND(ISTEXT('[1]#REF'!$U$9),'[1]#REF'!$U$9&lt;&gt;"N/A")),"N/A",IF(Brand_Profile!$E$53=0,Lookup_Lists!$D$150,ROUND((IF(Brand_Profile!$E$48="",0,IF(ISNUMBER(SEARCH(Brand_Profile!$E$48,Matching_Engine!$BF$9)),1,0))+IF(Brand_Profile!$E$49="",0,IF(ISNUMBER(SEARCH(Brand_Profile!$E$49,Matching_Engine!$BF$9)),1,0))+IF(Brand_Profile!$E$50="",0,IF(ISNUMBER(SEARCH(Brand_Profile!$E$50,Matching_Engine!$BF$9)),1,0))+IF(Brand_Profile!$E$51="",0,IF(ISNUMBER(SEARCH(Brand_Profile!$E$51,Matching_Engine!$BF$9)),1,0))+IF(Brand_Profile!$E$52="",0,IF(ISNUMBER(SEARCH(Brand_Profile!$E$52,Matching_Engine!$BF$9)),1,0)))/Brand_Profile!$E$53*100,0)))</f>
        <v>#REF!</v>
      </c>
      <c r="M9" s="63" t="str">
        <f>IF((IF(ISNUMBER(Matching_Engine!$J$9),Lookup_Lists!$D$332,0)+IF(ISNUMBER(Matching_Engine!$K$9),Lookup_Lists!$D$333,0)+IF(ISNUMBER(Matching_Engine!$L$9),Lookup_Lists!$D$334,0))=0,"N/A",ROUND((IF(ISNUMBER(Matching_Engine!$J$9),Matching_Engine!$J$9*Lookup_Lists!$D$332,0)+IF(ISNUMBER(Matching_Engine!$K$9),Matching_Engine!$K$9*Lookup_Lists!$D$333,0)+IF(ISNUMBER(Matching_Engine!$L$9),Matching_Engine!$L$9*Lookup_Lists!$D$334,0))/(IF(ISNUMBER(Matching_Engine!$J$9),Lookup_Lists!$D$332,0)+IF(ISNUMBER(Matching_Engine!$K$9),Lookup_Lists!$D$333,0)+IF(ISNUMBER(Matching_Engine!$L$9),Lookup_Lists!$D$334,0)),0))</f>
        <v>N/A</v>
      </c>
      <c r="N9" s="42">
        <f>IF(ISNUMBER(Matching_Engine!$M$9),1,0)</f>
        <v>1</v>
      </c>
      <c r="O9" s="65" t="str">
        <f ca="1">IF(NOT(ISNUMBER(IFERROR(INDEX('[1]#REF'!$V$9:'[1]#REF'!$Z$9,1,MATCH(Brand_Profile!$E$11,Lookup_Lists!$F$6:$F$10,0)),""))),"N/A",MIN(100,ROUND((IFERROR(INDEX('[1]#REF'!$V$9:'[1]#REF'!$Z$9,1,MATCH(Brand_Profile!$E$11,Lookup_Lists!$F$6:$F$10,0)),"")+0.5*IF(ISNUMBER(IFERROR(INDEX('[1]#REF'!$V$9:'[1]#REF'!$Z$9,1,MATCH(Brand_Profile!$E$12,Lookup_Lists!$F$6:$F$10,0)),"")),IFERROR(INDEX('[1]#REF'!$V$9:'[1]#REF'!$Z$9,1,MATCH(Brand_Profile!$E$12,Lookup_Lists!$F$6:$F$10,0)),""),0))/Lookup_Lists!$D$142*100,0)))</f>
        <v>N/A</v>
      </c>
      <c r="P9" s="65" t="str">
        <f>IF(Brand_Profile!$E$13="Any",100,IF(NOT(ISNUMBER('[1]#REF'!$AA$9)),"N/A",IF(Brand_Profile!$E$13="Female",MIN(100,ROUND('[1]#REF'!$AA$9/Lookup_Lists!$D$143*100,0)),IF(Brand_Profile!$E$13="Male",MIN(100,ROUND(IF(ISNUMBER('[1]#REF'!$AB$9),'[1]#REF'!$AB$9,100-'[1]#REF'!$AA$9)/Lookup_Lists!$D$143*100,0)),MAX(0,ROUND(100-ABS('[1]#REF'!$AA$9-50)*2,0))))))</f>
        <v>N/A</v>
      </c>
      <c r="Q9" s="65" t="str">
        <f>IF((IF(ISNUMBER(IF(NOT(ISNUMBER('[1]#REF'!$AE$9)),"N/A",IF('[1]#REF'!$AD$9&lt;&gt;Brand_Profile!$E$14,Lookup_Lists!$D$151,MIN(100,ROUND('[1]#REF'!$AE$9/Lookup_Lists!$D$316*100,0))))),Lookup_Lists!$D$118,0)+IF(ISNUMBER(IF(NOT(ISNUMBER('[1]#REF'!$AM$9)),"N/A",MIN(100,ROUND((IF('[1]#REF'!$AG$9=Brand_Profile!$E$15,IF(ISNUMBER('[1]#REF'!$AH$9),'[1]#REF'!$AH$9,0),0)+IF('[1]#REF'!$AI$9=Brand_Profile!$E$15,IF(ISNUMBER('[1]#REF'!$AJ$9),'[1]#REF'!$AJ$9,0),0)+IF('[1]#REF'!$AK$9=Brand_Profile!$E$15,IF(ISNUMBER('[1]#REF'!$AL$9),'[1]#REF'!$AL$9,0),0))/Lookup_Lists!$D$317*100,0)))),Lookup_Lists!$D$120,0))=0,"N/A",ROUND((IF(ISNUMBER(IF(NOT(ISNUMBER('[1]#REF'!$AE$9)),"N/A",IF('[1]#REF'!$AD$9&lt;&gt;Brand_Profile!$E$14,Lookup_Lists!$D$151,MIN(100,ROUND('[1]#REF'!$AE$9/Lookup_Lists!$D$316*100,0))))),IF(NOT(ISNUMBER('[1]#REF'!$AE$9)),"N/A",IF('[1]#REF'!$AD$9&lt;&gt;Brand_Profile!$E$14,Lookup_Lists!$D$151,MIN(100,ROUND('[1]#REF'!$AE$9/Lookup_Lists!$D$316*100,0))))*Lookup_Lists!$D$118,0)+IF(ISNUMBER(IF(NOT(ISNUMBER('[1]#REF'!$AM$9)),"N/A",MIN(100,ROUND((IF('[1]#REF'!$AG$9=Brand_Profile!$E$15,IF(ISNUMBER('[1]#REF'!$AH$9),'[1]#REF'!$AH$9,0),0)+IF('[1]#REF'!$AI$9=Brand_Profile!$E$15,IF(ISNUMBER('[1]#REF'!$AJ$9),'[1]#REF'!$AJ$9,0),0)+IF('[1]#REF'!$AK$9=Brand_Profile!$E$15,IF(ISNUMBER('[1]#REF'!$AL$9),'[1]#REF'!$AL$9,0),0))/Lookup_Lists!$D$317*100,0)))),IF(NOT(ISNUMBER('[1]#REF'!$AM$9)),"N/A",MIN(100,ROUND((IF('[1]#REF'!$AG$9=Brand_Profile!$E$15,IF(ISNUMBER('[1]#REF'!$AH$9),'[1]#REF'!$AH$9,0),0)+IF('[1]#REF'!$AI$9=Brand_Profile!$E$15,IF(ISNUMBER('[1]#REF'!$AJ$9),'[1]#REF'!$AJ$9,0),0)+IF('[1]#REF'!$AK$9=Brand_Profile!$E$15,IF(ISNUMBER('[1]#REF'!$AL$9),'[1]#REF'!$AL$9,0),0))/Lookup_Lists!$D$317*100,0)))*Lookup_Lists!$D$120,0))/(IF(ISNUMBER(IF(NOT(ISNUMBER('[1]#REF'!$AE$9)),"N/A",IF('[1]#REF'!$AD$9&lt;&gt;Brand_Profile!$E$14,Lookup_Lists!$D$151,MIN(100,ROUND('[1]#REF'!$AE$9/Lookup_Lists!$D$316*100,0))))),Lookup_Lists!$D$118,0)+IF(ISNUMBER(IF(NOT(ISNUMBER('[1]#REF'!$AM$9)),"N/A",MIN(100,ROUND((IF('[1]#REF'!$AG$9=Brand_Profile!$E$15,IF(ISNUMBER('[1]#REF'!$AH$9),'[1]#REF'!$AH$9,0),0)+IF('[1]#REF'!$AI$9=Brand_Profile!$E$15,IF(ISNUMBER('[1]#REF'!$AJ$9),'[1]#REF'!$AJ$9,0),0)+IF('[1]#REF'!$AK$9=Brand_Profile!$E$15,IF(ISNUMBER('[1]#REF'!$AL$9),'[1]#REF'!$AL$9,0),0))/Lookup_Lists!$D$317*100,0)))),Lookup_Lists!$D$120,0)),0))</f>
        <v>N/A</v>
      </c>
      <c r="R9" s="65" t="str">
        <f>IF(NOT(ISNUMBER('[1]#REF'!$AN$9)),"N/A",MIN(100,ROUND((IF(ISNUMBER('[1]#REF'!$AO$9),'[1]#REF'!$AO$9*Brand_Profile!$E$17,0)+IF(ISNUMBER('[1]#REF'!$AP$9),'[1]#REF'!$AP$9*Brand_Profile!$E$18,0)+IF(ISNUMBER('[1]#REF'!$AQ$9),'[1]#REF'!$AQ$9*Brand_Profile!$E$19,0)+IF(ISNUMBER('[1]#REF'!$AR$9),'[1]#REF'!$AR$9*Brand_Profile!$E$20,0)+IF(ISNUMBER('[1]#REF'!$AS$9),'[1]#REF'!$AS$9*Brand_Profile!$E$21,0)+IF(ISNUMBER('[1]#REF'!$AT$9),'[1]#REF'!$AT$9*Brand_Profile!$E$22,0)+IF(ISNUMBER('[1]#REF'!$AU$9),'[1]#REF'!$AU$9*Brand_Profile!$E$23,0)+IF(ISNUMBER('[1]#REF'!$AV$9),'[1]#REF'!$AV$9*Brand_Profile!$E$24,0)+IF(ISNUMBER('[1]#REF'!$AW$9),'[1]#REF'!$AW$9*Brand_Profile!$E$25,0)+IF(ISNUMBER('[1]#REF'!$AX$9),'[1]#REF'!$AX$9*Brand_Profile!$E$26,0)+IF(ISNUMBER('[1]#REF'!$AY$9),'[1]#REF'!$AY$9*Brand_Profile!$E$27,0)+IF(ISNUMBER('[1]#REF'!$AZ$9),'[1]#REF'!$AZ$9*Brand_Profile!$E$28,0)+IF(ISNUMBER('[1]#REF'!$BA$9),'[1]#REF'!$BA$9*Brand_Profile!$E$29,0)+IF(ISNUMBER('[1]#REF'!$BB$9),'[1]#REF'!$BB$9*Brand_Profile!$E$30,0)+IF(ISNUMBER('[1]#REF'!$BC$9),'[1]#REF'!$BC$9*Brand_Profile!$E$31,0)+IF(ISNUMBER('[1]#REF'!$BD$9),'[1]#REF'!$BD$9*Brand_Profile!$E$32,0)+IF(ISNUMBER('[1]#REF'!$BE$9),'[1]#REF'!$BE$9*Brand_Profile!$E$33,0)+IF(ISNUMBER('[1]#REF'!$BF$9),'[1]#REF'!$BF$9*Brand_Profile!$E$34,0))/Lookup_Lists!$D$318*100,0)))</f>
        <v>N/A</v>
      </c>
      <c r="S9" s="63">
        <f ca="1">IF((IF(ISNUMBER(Matching_Engine!$O$9),Lookup_Lists!$D$113,0)+IF(ISNUMBER(Matching_Engine!$P$9),Lookup_Lists!$D$114,0)+IF(ISNUMBER(Matching_Engine!$Q$9),Lookup_Lists!$D$115,0)+IF(ISNUMBER(Matching_Engine!$R$9),Lookup_Lists!$D$116,0))=0,"N/A",ROUND((IF(ISNUMBER(Matching_Engine!$O$9),Matching_Engine!$O$9*Lookup_Lists!$D$113,0)+IF(ISNUMBER(Matching_Engine!$P$9),Matching_Engine!$P$9*Lookup_Lists!$D$114,0)+IF(ISNUMBER(Matching_Engine!$Q$9),Matching_Engine!$Q$9*Lookup_Lists!$D$115,0)+IF(ISNUMBER(Matching_Engine!$R$9),Matching_Engine!$R$9*Lookup_Lists!$D$116,0))/(IF(ISNUMBER(Matching_Engine!$O$9),Lookup_Lists!$D$113,0)+IF(ISNUMBER(Matching_Engine!$P$9),Lookup_Lists!$D$114,0)+IF(ISNUMBER(Matching_Engine!$Q$9),Lookup_Lists!$D$115,0)+IF(ISNUMBER(Matching_Engine!$R$9),Lookup_Lists!$D$116,0)),0))</f>
        <v>60</v>
      </c>
      <c r="T9" s="42">
        <f ca="1">IF(ISNUMBER(Matching_Engine!$S$9),1,0)</f>
        <v>1</v>
      </c>
      <c r="U9" s="65" t="e">
        <f>IF(NOT(AND(ISTEXT('[1]#REF'!$M$9),'[1]#REF'!$M$9&lt;&gt;"N/A")),Lookup_Lists!$D$150,IF(Brand_Profile!$E$7='[1]#REF'!$M$9,100,IFERROR(INDEX(Lookup_Lists!$B$349:$J$357,MATCH(Brand_Profile!$E$7,Lookup_Lists!$A$349:$A$357,0),MATCH('[1]#REF'!$M$9,Lookup_Lists!$B$348:$J$348,0)),Lookup_Lists!$D$151)))</f>
        <v>#REF!</v>
      </c>
      <c r="V9" s="65" t="e">
        <f>IF(NOT(AND(ISTEXT('[1]#REF'!$P$9),'[1]#REF'!$P$9&lt;&gt;"N/A")),"N/A",IFERROR(INDEX(Lookup_Lists!$B$349:$J$357,MATCH(Brand_Profile!$E$7,Lookup_Lists!$A$349:$A$357,0),MATCH('[1]#REF'!$P$9,Lookup_Lists!$B$348:$J$348,0)),Lookup_Lists!$D$151))</f>
        <v>#REF!</v>
      </c>
      <c r="W9" s="65" t="e">
        <f>IF(LEN(TRIM(SUBSTITUTE(Matching_Engine!$BE$9,"|","")))=0,"N/A",IF(Brand_Profile!$E$60=0,Lookup_Lists!$D$150,ROUND((IF(Brand_Profile!$E$54="",0,IF(ISNUMBER(SEARCH(Brand_Profile!$E$54,Matching_Engine!$BE$9)),1,0))+IF(Brand_Profile!$E$55="",0,IF(ISNUMBER(SEARCH(Brand_Profile!$E$55,Matching_Engine!$BE$9)),1,0))+IF(Brand_Profile!$E$56="",0,IF(ISNUMBER(SEARCH(Brand_Profile!$E$56,Matching_Engine!$BE$9)),1,0))+IF(Brand_Profile!$E$57="",0,IF(ISNUMBER(SEARCH(Brand_Profile!$E$57,Matching_Engine!$BE$9)),1,0))+IF(Brand_Profile!$E$58="",0,IF(ISNUMBER(SEARCH(Brand_Profile!$E$58,Matching_Engine!$BE$9)),1,0))+IF(Brand_Profile!$E$59="",0,IF(ISNUMBER(SEARCH(Brand_Profile!$E$59,Matching_Engine!$BE$9)),1,0)))/Brand_Profile!$E$60*100,0)))</f>
        <v>#VALUE!</v>
      </c>
      <c r="X9" s="65" t="e">
        <f>IF(NOT(AND(ISTEXT('[1]#REF'!$Q$9),'[1]#REF'!$Q$9&lt;&gt;"N/A")),"N/A",Lookup_Lists!$D$150)</f>
        <v>#REF!</v>
      </c>
      <c r="Y9" s="63">
        <f>IF((IF(ISNUMBER(Matching_Engine!$U$9),Lookup_Lists!$D$335,0)+IF(ISNUMBER(Matching_Engine!$V$9),Lookup_Lists!$D$122,0)+IF(ISNUMBER(Matching_Engine!$W$9),Lookup_Lists!$D$336,0)+IF(ISNUMBER(Matching_Engine!$X$9),Lookup_Lists!$D$124,0))=0,"N/A",ROUND((IF(ISNUMBER(Matching_Engine!$U$9),Matching_Engine!$U$9*Lookup_Lists!$D$335,0)+IF(ISNUMBER(Matching_Engine!$V$9),Matching_Engine!$V$9*Lookup_Lists!$D$122,0)+IF(ISNUMBER(Matching_Engine!$W$9),Matching_Engine!$W$9*Lookup_Lists!$D$336,0)+IF(ISNUMBER(Matching_Engine!$X$9),Matching_Engine!$X$9*Lookup_Lists!$D$124,0))/(IF(ISNUMBER(Matching_Engine!$U$9),Lookup_Lists!$D$335,0)+IF(ISNUMBER(Matching_Engine!$V$9),Lookup_Lists!$D$122,0)+IF(ISNUMBER(Matching_Engine!$W$9),Lookup_Lists!$D$336,0)+IF(ISNUMBER(Matching_Engine!$X$9),Lookup_Lists!$D$124,0)),0))</f>
        <v>13</v>
      </c>
      <c r="Z9" s="42">
        <f>IF(ISNUMBER(Matching_Engine!$Y$9),1,0)</f>
        <v>1</v>
      </c>
      <c r="AA9" s="65" t="e">
        <f>IF(NOT(AND(ISTEXT('[1]#REF'!$Q$9),'[1]#REF'!$Q$9&lt;&gt;"N/A")),"N/A",Lookup_Lists!$D$150)</f>
        <v>#REF!</v>
      </c>
      <c r="AB9" s="65" t="e">
        <f>IF(NOT(AND(ISTEXT('[1]#REF'!$Q$9),'[1]#REF'!$Q$9&lt;&gt;"N/A")),"N/A",Lookup_Lists!$D$150)</f>
        <v>#REF!</v>
      </c>
      <c r="AC9" s="65" t="str">
        <f t="shared" si="0"/>
        <v>N/A</v>
      </c>
      <c r="AD9" s="65" t="e">
        <f>IF(NOT(AND(ISTEXT('[1]#REF'!$Q$9),'[1]#REF'!$Q$9&lt;&gt;"N/A")),"N/A",Lookup_Lists!$D$150)</f>
        <v>#REF!</v>
      </c>
      <c r="AE9" s="63">
        <f>IF((IF(ISNUMBER(Matching_Engine!$AA$9),Lookup_Lists!$D$125,0)+IF(ISNUMBER(Matching_Engine!$AB$9),Lookup_Lists!$D$126,0)+IF(ISNUMBER(Matching_Engine!$AC$9),Lookup_Lists!$D$127,0)+IF(ISNUMBER(Matching_Engine!$AD$9),Lookup_Lists!$D$128,0))=0,"N/A",ROUND((IF(ISNUMBER(Matching_Engine!$AA$9),Matching_Engine!$AA$9*Lookup_Lists!$D$125,0)+IF(ISNUMBER(Matching_Engine!$AB$9),Matching_Engine!$AB$9*Lookup_Lists!$D$126,0)+IF(ISNUMBER(Matching_Engine!$AC$9),Matching_Engine!$AC$9*Lookup_Lists!$D$127,0)+IF(ISNUMBER(Matching_Engine!$AD$9),Matching_Engine!$AD$9*Lookup_Lists!$D$128,0))/(IF(ISNUMBER(Matching_Engine!$AA$9),Lookup_Lists!$D$125,0)+IF(ISNUMBER(Matching_Engine!$AB$9),Lookup_Lists!$D$126,0)+IF(ISNUMBER(Matching_Engine!$AC$9),Lookup_Lists!$D$127,0)+IF(ISNUMBER(Matching_Engine!$AD$9),Lookup_Lists!$D$128,0)),0))</f>
        <v>73</v>
      </c>
      <c r="AF9" s="42">
        <f>IF(ISNUMBER(Matching_Engine!$AE$9),1,0)</f>
        <v>1</v>
      </c>
      <c r="AG9" s="65" t="str">
        <f>IF(NOT(ISNUMBER('[1]#REF'!$BG$9)),"N/A",MIN(100,ROUND('[1]#REF'!$BG$9/IFERROR(INDEX(Lookup_Lists!$B$340:$B$344,MATCH('[1]#REF'!$H$9,Lookup_Lists!$A$340:$A$344,0)),Lookup_Lists!$D$141)*100,0)))</f>
        <v>N/A</v>
      </c>
      <c r="AH9" s="65" t="str">
        <f>IF(NOT(ISNUMBER('[1]#REF'!$BS$9)),"N/A",MIN(100,MAX(0,'[1]#REF'!$BS$9)))</f>
        <v>N/A</v>
      </c>
      <c r="AI9" s="65" t="e">
        <f>IF(OR(NOT(ISNUMBER('[1]#REF'!$BM$9)),NOT(ISNUMBER('[1]#REF'!$BN$9)),'[1]#REF'!$BN$9&lt;Lookup_Lists!$D$320),"N/A",MIN(100,ROUND('[1]#REF'!$BM$9/Lookup_Lists!$D$319*100,0)))</f>
        <v>#REF!</v>
      </c>
      <c r="AJ9" s="65" t="str">
        <f>IF(NOT(ISNUMBER('[1]#REF'!$BR$9)),"N/A",'[1]#REF'!$BR$9)</f>
        <v>N/A</v>
      </c>
      <c r="AK9" s="65" t="str">
        <f>IF(NOT(ISNUMBER('[1]#REF'!$BK$9)),"N/A",MIN(100,ROUND('[1]#REF'!$BK$9/Lookup_Lists!$D$321*100,0)))</f>
        <v>N/A</v>
      </c>
      <c r="AL9" s="65" t="str">
        <f>IF(NOT(ISNUMBER('[1]#REF'!$BP$9)),"N/A",MIN(100,MAX(0,ROUND(('[1]#REF'!$BP$9+2)/(Lookup_Lists!$D$145+2)*100,0))))</f>
        <v>N/A</v>
      </c>
      <c r="AM9" s="63">
        <f>IF((IF(ISNUMBER(Matching_Engine!$AG$9),Lookup_Lists!$D$129,0)+IF(ISNUMBER(Matching_Engine!$AH$9),Lookup_Lists!$D$130,0)+IF(ISNUMBER(Matching_Engine!$AI$9),Lookup_Lists!$D$131,0)+IF(ISNUMBER(Matching_Engine!$AJ$9),Lookup_Lists!$D$132,0)+IF(ISNUMBER(Matching_Engine!$AK$9),Lookup_Lists!$D$133,0)+IF(ISNUMBER(Matching_Engine!$AL$9),Lookup_Lists!$D$134,0))=0,"N/A",ROUND((IF(ISNUMBER(Matching_Engine!$AG$9),Matching_Engine!$AG$9*Lookup_Lists!$D$129,0)+IF(ISNUMBER(Matching_Engine!$AH$9),Matching_Engine!$AH$9*Lookup_Lists!$D$130,0)+IF(ISNUMBER(Matching_Engine!$AI$9),Matching_Engine!$AI$9*Lookup_Lists!$D$131,0)+IF(ISNUMBER(Matching_Engine!$AJ$9),Matching_Engine!$AJ$9*Lookup_Lists!$D$132,0)+IF(ISNUMBER(Matching_Engine!$AK$9),Matching_Engine!$AK$9*Lookup_Lists!$D$133,0)+IF(ISNUMBER(Matching_Engine!$AL$9),Matching_Engine!$AL$9*Lookup_Lists!$D$134,0))/(IF(ISNUMBER(Matching_Engine!$AG$9),Lookup_Lists!$D$129,0)+IF(ISNUMBER(Matching_Engine!$AH$9),Lookup_Lists!$D$130,0)+IF(ISNUMBER(Matching_Engine!$AI$9),Lookup_Lists!$D$131,0)+IF(ISNUMBER(Matching_Engine!$AJ$9),Lookup_Lists!$D$132,0)+IF(ISNUMBER(Matching_Engine!$AK$9),Lookup_Lists!$D$133,0)+IF(ISNUMBER(Matching_Engine!$AL$9),Lookup_Lists!$D$134,0)),0))</f>
        <v>87</v>
      </c>
      <c r="AN9" s="42">
        <f>IF(ISNUMBER(Matching_Engine!$AM$9),1,0)</f>
        <v>0</v>
      </c>
      <c r="AO9" s="65" t="str">
        <f>IF(NOT(ISNUMBER('[1]#REF'!$BT$9)),"N/A",MIN(100,MAX(0,'[1]#REF'!$BT$9)))</f>
        <v>N/A</v>
      </c>
      <c r="AP9" s="65" t="str">
        <f>IF(NOT(ISNUMBER('[1]#REF'!$BU$9)),"N/A",MIN(100,MAX(0,'[1]#REF'!$BU$9)))</f>
        <v>N/A</v>
      </c>
      <c r="AQ9" s="65" t="e">
        <f>IF('[1]#REF'!$I$9="Yes",Lookup_Lists!$D$326,IF('[1]#REF'!$I$9="No",Lookup_Lists!$D$327,"N/A"))</f>
        <v>#REF!</v>
      </c>
      <c r="AR9" s="65" t="str">
        <f>IF(NOT(ISNUMBER('[1]#REF'!$BQ$9)),"N/A",MAX(0,ROUND(100-'[1]#REF'!$BQ$9/Lookup_Lists!$D$328*100,0)))</f>
        <v>N/A</v>
      </c>
      <c r="AS9" s="65" t="e">
        <f>IF(NOT(AND(ISTEXT('[1]#REF'!$BV$9),'[1]#REF'!$BV$9&lt;&gt;"N/A")),"N/A",'[1]#REF'!$BV$9)</f>
        <v>#REF!</v>
      </c>
      <c r="AT9" s="63" t="str">
        <f ca="1">IF((IF(ISNUMBER(Matching_Engine!$AO$9),Lookup_Lists!$D$322,0)+IF(ISNUMBER(Matching_Engine!$AP$9),Lookup_Lists!$D$323,0)+IF(ISNUMBER(Matching_Engine!$AQ$9),Lookup_Lists!$D$324,0)+IF(ISNUMBER(Matching_Engine!$AR$9),Lookup_Lists!$D$325,0))=0,"N/A",ROUND((IF(ISNUMBER(Matching_Engine!$AO$9),Matching_Engine!$AO$9*Lookup_Lists!$D$322,0)+IF(ISNUMBER(Matching_Engine!$AP$9),Matching_Engine!$AP$9*Lookup_Lists!$D$323,0)+IF(ISNUMBER(Matching_Engine!$AQ$9),Matching_Engine!$AQ$9*Lookup_Lists!$D$324,0)+IF(ISNUMBER(Matching_Engine!$AR$9),Matching_Engine!$AR$9*Lookup_Lists!$D$325,0))/(IF(ISNUMBER(Matching_Engine!$AO$9),Lookup_Lists!$D$322,0)+IF(ISNUMBER(Matching_Engine!$AP$9),Lookup_Lists!$D$323,0)+IF(ISNUMBER(Matching_Engine!$AQ$9),Lookup_Lists!$D$324,0)+IF(ISNUMBER(Matching_Engine!$AR$9),Lookup_Lists!$D$325,0)),0))</f>
        <v>N/A</v>
      </c>
      <c r="AU9" s="42">
        <f>IF(ISNUMBER(Matching_Engine!$AT$9),1,0)</f>
        <v>1</v>
      </c>
      <c r="AV9" s="42" t="str">
        <f>IF(NOT(ISNUMBER(Matching_Engine!$AT$9)),"Not Screened",IF(Matching_Engine!$AT$9&gt;=Lookup_Lists!$D$329,"Low Risk",IF(Matching_Engine!$AT$9&gt;=Lookup_Lists!$D$330,"Moderate Risk",IF(Matching_Engine!$AT$9&gt;=Lookup_Lists!$D$331,"Elevated Risk","High Risk"))))</f>
        <v>Low Risk</v>
      </c>
      <c r="AW9" s="42" t="e">
        <f ca="1">IF(NOT(ISNUMBER(Matching_Engine!$AT$9)),"No integrity signal: no audience-analysis row for this account.","Integrity screen only — no content-risk reading exists (comments_analysis: 0 rows). "&amp;IF(ISNUMBER(Matching_Engine!$AO$9),"Authenticity "&amp;Matching_Engine!$AO$9&amp;". ","Authenticity N/A. ")&amp;IF(ISNUMBER(Matching_Engine!$AP$9),"Follower quality "&amp;Matching_Engine!$AP$9&amp;". ","Follower quality N/A. ")&amp;IF('[1]#REF'!$I$9="Yes","Platform-verified.","Not platform-verified."))</f>
        <v>#REF!</v>
      </c>
      <c r="AX9" s="65">
        <f>Matching_Engine!$N$9*Lookup_Lists!$D$104+Matching_Engine!$T$9*Lookup_Lists!$D$105+Matching_Engine!$Z$9*Lookup_Lists!$D$106+Matching_Engine!$AF$9*Lookup_Lists!$D$107+Matching_Engine!$AN$9*Lookup_Lists!$D$108+Matching_Engine!$AU$9*Lookup_Lists!$D$109</f>
        <v>4338.5</v>
      </c>
      <c r="AY9" s="74" t="e">
        <f ca="1">IF(Matching_Engine!$AX$9=0,"N/A",ROUND((IF(Matching_Engine!$N$9=1,Matching_Engine!$M$9*Lookup_Lists!$D$104,0)+IF(Matching_Engine!$T$9=1,Matching_Engine!$S$9*Lookup_Lists!$D$105,0)+IF(Matching_Engine!$Z$9=1,Matching_Engine!$Y$9*Lookup_Lists!$D$106,0)+IF(Matching_Engine!$AF$9=1,Matching_Engine!$AE$9*Lookup_Lists!$D$107,0)+IF(Matching_Engine!$AN$9=1,Matching_Engine!$AM$9*Lookup_Lists!$D$108,0)+IF(Matching_Engine!$AU$9=1,Matching_Engine!$AT$9*Lookup_Lists!$D$109,0))/Matching_Engine!$AX$9,0))</f>
        <v>#VALUE!</v>
      </c>
      <c r="AZ9" s="42" t="str">
        <f ca="1">IF(NOT(ISNUMBER(Matching_Engine!$AY$9)),"Not Scored",IF(Matching_Engine!$AY$9&gt;=Lookup_Lists!$D$152,"Excellent Match",IF(Matching_Engine!$AY$9&gt;=Lookup_Lists!$D$153,"Strong Match",IF(Matching_Engine!$AY$9&gt;=Lookup_Lists!$D$154,"Good Match",IF(Matching_Engine!$AY$9&gt;=Lookup_Lists!$D$155,"Moderate Match","Low Match")))))</f>
        <v>Low Match</v>
      </c>
      <c r="BA9" s="65" t="e">
        <f>'[1]#REF'!$BW$9</f>
        <v>#REF!</v>
      </c>
      <c r="BB9" s="42" t="e">
        <f>'[1]#REF'!$BX$9</f>
        <v>#REF!</v>
      </c>
      <c r="BC9" s="65">
        <f ca="1">IF(NOT(ISNUMBER(Matching_Engine!$AY$9)),-1,Matching_Engine!$AY$9*1000+21)</f>
        <v>46021</v>
      </c>
      <c r="BD9" s="42" t="e">
        <f>IF(AND(ISTEXT('[1]#REF'!$S$9),'[1]#REF'!$S$9&lt;&gt;"N/A"),'[1]#REF'!$S$9,"")&amp;" | "&amp;IF(AND(ISTEXT('[1]#REF'!$T$9),'[1]#REF'!$T$9&lt;&gt;"N/A"),'[1]#REF'!$T$9,"")&amp;" | "&amp;IF(AND(ISTEXT('[1]#REF'!$N$9),'[1]#REF'!$N$9&lt;&gt;"N/A"),'[1]#REF'!$N$9,"")&amp;" | "&amp;IF(AND(ISTEXT('[1]#REF'!$K$9),'[1]#REF'!$K$9&lt;&gt;"N/A"),'[1]#REF'!$K$9,"")&amp;" | "&amp;IF(AND(ISTEXT('[1]#REF'!$J$9),'[1]#REF'!$J$9&lt;&gt;"N/A"),'[1]#REF'!$J$9,"")</f>
        <v>#REF!</v>
      </c>
      <c r="BE9" s="42" t="e">
        <f>IF(AND(ISTEXT('[1]#REF'!$T$9),'[1]#REF'!$T$9&lt;&gt;"N/A"),'[1]#REF'!$T$9,"")&amp;" | "&amp;IF(AND(ISTEXT('[1]#REF'!$N$9),'[1]#REF'!$N$9&lt;&gt;"N/A"),'[1]#REF'!$N$9,"")&amp;" | "&amp;IF(AND(ISTEXT('[1]#REF'!$O$9),'[1]#REF'!$O$9&lt;&gt;"N/A"),'[1]#REF'!$O$9,"")&amp;" | "&amp;IF(AND(ISTEXT('[1]#REF'!$S$9),'[1]#REF'!$S$9&lt;&gt;"N/A"),'[1]#REF'!$S$9,"")</f>
        <v>#REF!</v>
      </c>
      <c r="BF9" s="42" t="e">
        <f>IF(AND(ISTEXT('[1]#REF'!$U$9),'[1]#REF'!$U$9&lt;&gt;"N/A"),'[1]#REF'!$U$9,"")</f>
        <v>#REF!</v>
      </c>
      <c r="BG9" s="42" t="str">
        <f>Matching_Engine!$A$9&amp;"|"&amp;Matching_Engine!$C$9</f>
        <v>BRAND-A|KOL-04</v>
      </c>
    </row>
    <row r="10" spans="1:59">
      <c r="A10" s="64" t="s">
        <v>2527</v>
      </c>
      <c r="B10" s="42" t="str">
        <f>Brand_Profile!$E$6</f>
        <v>BRAND-B</v>
      </c>
      <c r="C10" s="42" t="e">
        <f>'[1]#REF'!$A$10</f>
        <v>#REF!</v>
      </c>
      <c r="D10" s="42" t="e">
        <f>'[1]#REF'!$C$10</f>
        <v>#REF!</v>
      </c>
      <c r="E10" s="42" t="e">
        <f>'[1]#REF'!$D$10</f>
        <v>#REF!</v>
      </c>
      <c r="F10" s="42" t="e">
        <f>'[1]#REF'!$E$10</f>
        <v>#REF!</v>
      </c>
      <c r="G10" s="42" t="e">
        <f>'[1]#REF'!$K$10</f>
        <v>#REF!</v>
      </c>
      <c r="H10" s="72" t="e">
        <f>'[1]#REF'!$G$10</f>
        <v>#REF!</v>
      </c>
      <c r="I10" s="73" t="e">
        <f>'[1]#REF'!$BG$10</f>
        <v>#REF!</v>
      </c>
      <c r="J10" s="65" t="e">
        <f>IF(NOT(AND(ISTEXT('[1]#REF'!$K$10),'[1]#REF'!$K$10&lt;&gt;"N/A")),Lookup_Lists!$D$150,IF(Brand_Profile!$E$7='[1]#REF'!$K$10,100,IFERROR(INDEX(Lookup_Lists!$B$349:$J$357,MATCH(Brand_Profile!$E$7,Lookup_Lists!$A$349:$A$357,0),MATCH('[1]#REF'!$K$10,Lookup_Lists!$B$348:$J$348,0)),Lookup_Lists!$D$151)))</f>
        <v>#REF!</v>
      </c>
      <c r="K10" s="65" t="e">
        <f>IF(LEN(TRIM(SUBSTITUTE(Matching_Engine!$BD$10,"|","")))=0,"N/A",IF(Brand_Profile!$E$47=0,Lookup_Lists!$D$150,ROUND((IF(Brand_Profile!$E$41="",0,IF(ISNUMBER(SEARCH(Brand_Profile!$E$41,Matching_Engine!$BD$10)),1,0))+IF(Brand_Profile!$E$42="",0,IF(ISNUMBER(SEARCH(Brand_Profile!$E$42,Matching_Engine!$BD$10)),1,0))+IF(Brand_Profile!$E$43="",0,IF(ISNUMBER(SEARCH(Brand_Profile!$E$43,Matching_Engine!$BD$10)),1,0))+IF(Brand_Profile!$E$44="",0,IF(ISNUMBER(SEARCH(Brand_Profile!$E$44,Matching_Engine!$BD$10)),1,0))+IF(Brand_Profile!$E$45="",0,IF(ISNUMBER(SEARCH(Brand_Profile!$E$45,Matching_Engine!$BD$10)),1,0))+IF(Brand_Profile!$E$46="",0,IF(ISNUMBER(SEARCH(Brand_Profile!$E$46,Matching_Engine!$BD$10)),1,0)))/Brand_Profile!$E$47*100,0)))</f>
        <v>#VALUE!</v>
      </c>
      <c r="L10" s="65" t="e">
        <f>IF(NOT(AND(ISTEXT('[1]#REF'!$U$10),'[1]#REF'!$U$10&lt;&gt;"N/A")),"N/A",IF(Brand_Profile!$E$53=0,Lookup_Lists!$D$150,ROUND((IF(Brand_Profile!$E$48="",0,IF(ISNUMBER(SEARCH(Brand_Profile!$E$48,Matching_Engine!$BF$10)),1,0))+IF(Brand_Profile!$E$49="",0,IF(ISNUMBER(SEARCH(Brand_Profile!$E$49,Matching_Engine!$BF$10)),1,0))+IF(Brand_Profile!$E$50="",0,IF(ISNUMBER(SEARCH(Brand_Profile!$E$50,Matching_Engine!$BF$10)),1,0))+IF(Brand_Profile!$E$51="",0,IF(ISNUMBER(SEARCH(Brand_Profile!$E$51,Matching_Engine!$BF$10)),1,0))+IF(Brand_Profile!$E$52="",0,IF(ISNUMBER(SEARCH(Brand_Profile!$E$52,Matching_Engine!$BF$10)),1,0)))/Brand_Profile!$E$53*100,0)))</f>
        <v>#REF!</v>
      </c>
      <c r="M10" s="63" t="str">
        <f>IF((IF(ISNUMBER(Matching_Engine!$J$10),Lookup_Lists!$D$332,0)+IF(ISNUMBER(Matching_Engine!$K$10),Lookup_Lists!$D$333,0)+IF(ISNUMBER(Matching_Engine!$L$10),Lookup_Lists!$D$334,0))=0,"N/A",ROUND((IF(ISNUMBER(Matching_Engine!$J$10),Matching_Engine!$J$10*Lookup_Lists!$D$332,0)+IF(ISNUMBER(Matching_Engine!$K$10),Matching_Engine!$K$10*Lookup_Lists!$D$333,0)+IF(ISNUMBER(Matching_Engine!$L$10),Matching_Engine!$L$10*Lookup_Lists!$D$334,0))/(IF(ISNUMBER(Matching_Engine!$J$10),Lookup_Lists!$D$332,0)+IF(ISNUMBER(Matching_Engine!$K$10),Lookup_Lists!$D$333,0)+IF(ISNUMBER(Matching_Engine!$L$10),Lookup_Lists!$D$334,0)),0))</f>
        <v>N/A</v>
      </c>
      <c r="N10" s="42">
        <f>IF(ISNUMBER(Matching_Engine!$M$10),1,0)</f>
        <v>1</v>
      </c>
      <c r="O10" s="65" t="str">
        <f ca="1">IF(NOT(ISNUMBER(IFERROR(INDEX('[1]#REF'!$V$10:'[1]#REF'!$Z$10,1,MATCH(Brand_Profile!$E$11,Lookup_Lists!$F$6:$F$10,0)),""))),"N/A",MIN(100,ROUND((IFERROR(INDEX('[1]#REF'!$V$10:'[1]#REF'!$Z$10,1,MATCH(Brand_Profile!$E$11,Lookup_Lists!$F$6:$F$10,0)),"")+0.5*IF(ISNUMBER(IFERROR(INDEX('[1]#REF'!$V$10:'[1]#REF'!$Z$10,1,MATCH(Brand_Profile!$E$12,Lookup_Lists!$F$6:$F$10,0)),"")),IFERROR(INDEX('[1]#REF'!$V$10:'[1]#REF'!$Z$10,1,MATCH(Brand_Profile!$E$12,Lookup_Lists!$F$6:$F$10,0)),""),0))/Lookup_Lists!$D$142*100,0)))</f>
        <v>N/A</v>
      </c>
      <c r="P10" s="65" t="str">
        <f>IF(Brand_Profile!$E$13="Any",100,IF(NOT(ISNUMBER('[1]#REF'!$AA$10)),"N/A",IF(Brand_Profile!$E$13="Female",MIN(100,ROUND('[1]#REF'!$AA$10/Lookup_Lists!$D$143*100,0)),IF(Brand_Profile!$E$13="Male",MIN(100,ROUND(IF(ISNUMBER('[1]#REF'!$AB$10),'[1]#REF'!$AB$10,100-'[1]#REF'!$AA$10)/Lookup_Lists!$D$143*100,0)),MAX(0,ROUND(100-ABS('[1]#REF'!$AA$10-50)*2,0))))))</f>
        <v>N/A</v>
      </c>
      <c r="Q10" s="65" t="str">
        <f>IF((IF(ISNUMBER(IF(NOT(ISNUMBER('[1]#REF'!$AE$10)),"N/A",IF('[1]#REF'!$AD$10&lt;&gt;Brand_Profile!$E$14,Lookup_Lists!$D$151,MIN(100,ROUND('[1]#REF'!$AE$10/Lookup_Lists!$D$316*100,0))))),Lookup_Lists!$D$118,0)+IF(ISNUMBER(IF(NOT(ISNUMBER('[1]#REF'!$AM$10)),"N/A",MIN(100,ROUND((IF('[1]#REF'!$AG$10=Brand_Profile!$E$15,IF(ISNUMBER('[1]#REF'!$AH$10),'[1]#REF'!$AH$10,0),0)+IF('[1]#REF'!$AI$10=Brand_Profile!$E$15,IF(ISNUMBER('[1]#REF'!$AJ$10),'[1]#REF'!$AJ$10,0),0)+IF('[1]#REF'!$AK$10=Brand_Profile!$E$15,IF(ISNUMBER('[1]#REF'!$AL$10),'[1]#REF'!$AL$10,0),0))/Lookup_Lists!$D$317*100,0)))),Lookup_Lists!$D$120,0))=0,"N/A",ROUND((IF(ISNUMBER(IF(NOT(ISNUMBER('[1]#REF'!$AE$10)),"N/A",IF('[1]#REF'!$AD$10&lt;&gt;Brand_Profile!$E$14,Lookup_Lists!$D$151,MIN(100,ROUND('[1]#REF'!$AE$10/Lookup_Lists!$D$316*100,0))))),IF(NOT(ISNUMBER('[1]#REF'!$AE$10)),"N/A",IF('[1]#REF'!$AD$10&lt;&gt;Brand_Profile!$E$14,Lookup_Lists!$D$151,MIN(100,ROUND('[1]#REF'!$AE$10/Lookup_Lists!$D$316*100,0))))*Lookup_Lists!$D$118,0)+IF(ISNUMBER(IF(NOT(ISNUMBER('[1]#REF'!$AM$10)),"N/A",MIN(100,ROUND((IF('[1]#REF'!$AG$10=Brand_Profile!$E$15,IF(ISNUMBER('[1]#REF'!$AH$10),'[1]#REF'!$AH$10,0),0)+IF('[1]#REF'!$AI$10=Brand_Profile!$E$15,IF(ISNUMBER('[1]#REF'!$AJ$10),'[1]#REF'!$AJ$10,0),0)+IF('[1]#REF'!$AK$10=Brand_Profile!$E$15,IF(ISNUMBER('[1]#REF'!$AL$10),'[1]#REF'!$AL$10,0),0))/Lookup_Lists!$D$317*100,0)))),IF(NOT(ISNUMBER('[1]#REF'!$AM$10)),"N/A",MIN(100,ROUND((IF('[1]#REF'!$AG$10=Brand_Profile!$E$15,IF(ISNUMBER('[1]#REF'!$AH$10),'[1]#REF'!$AH$10,0),0)+IF('[1]#REF'!$AI$10=Brand_Profile!$E$15,IF(ISNUMBER('[1]#REF'!$AJ$10),'[1]#REF'!$AJ$10,0),0)+IF('[1]#REF'!$AK$10=Brand_Profile!$E$15,IF(ISNUMBER('[1]#REF'!$AL$10),'[1]#REF'!$AL$10,0),0))/Lookup_Lists!$D$317*100,0)))*Lookup_Lists!$D$120,0))/(IF(ISNUMBER(IF(NOT(ISNUMBER('[1]#REF'!$AE$10)),"N/A",IF('[1]#REF'!$AD$10&lt;&gt;Brand_Profile!$E$14,Lookup_Lists!$D$151,MIN(100,ROUND('[1]#REF'!$AE$10/Lookup_Lists!$D$316*100,0))))),Lookup_Lists!$D$118,0)+IF(ISNUMBER(IF(NOT(ISNUMBER('[1]#REF'!$AM$10)),"N/A",MIN(100,ROUND((IF('[1]#REF'!$AG$10=Brand_Profile!$E$15,IF(ISNUMBER('[1]#REF'!$AH$10),'[1]#REF'!$AH$10,0),0)+IF('[1]#REF'!$AI$10=Brand_Profile!$E$15,IF(ISNUMBER('[1]#REF'!$AJ$10),'[1]#REF'!$AJ$10,0),0)+IF('[1]#REF'!$AK$10=Brand_Profile!$E$15,IF(ISNUMBER('[1]#REF'!$AL$10),'[1]#REF'!$AL$10,0),0))/Lookup_Lists!$D$317*100,0)))),Lookup_Lists!$D$120,0)),0))</f>
        <v>N/A</v>
      </c>
      <c r="R10" s="65" t="str">
        <f>IF(NOT(ISNUMBER('[1]#REF'!$AN$10)),"N/A",MIN(100,ROUND((IF(ISNUMBER('[1]#REF'!$AO$10),'[1]#REF'!$AO$10*Brand_Profile!$E$17,0)+IF(ISNUMBER('[1]#REF'!$AP$10),'[1]#REF'!$AP$10*Brand_Profile!$E$18,0)+IF(ISNUMBER('[1]#REF'!$AQ$10),'[1]#REF'!$AQ$10*Brand_Profile!$E$19,0)+IF(ISNUMBER('[1]#REF'!$AR$10),'[1]#REF'!$AR$10*Brand_Profile!$E$20,0)+IF(ISNUMBER('[1]#REF'!$AS$10),'[1]#REF'!$AS$10*Brand_Profile!$E$21,0)+IF(ISNUMBER('[1]#REF'!$AT$10),'[1]#REF'!$AT$10*Brand_Profile!$E$22,0)+IF(ISNUMBER('[1]#REF'!$AU$10),'[1]#REF'!$AU$10*Brand_Profile!$E$23,0)+IF(ISNUMBER('[1]#REF'!$AV$10),'[1]#REF'!$AV$10*Brand_Profile!$E$24,0)+IF(ISNUMBER('[1]#REF'!$AW$10),'[1]#REF'!$AW$10*Brand_Profile!$E$25,0)+IF(ISNUMBER('[1]#REF'!$AX$10),'[1]#REF'!$AX$10*Brand_Profile!$E$26,0)+IF(ISNUMBER('[1]#REF'!$AY$10),'[1]#REF'!$AY$10*Brand_Profile!$E$27,0)+IF(ISNUMBER('[1]#REF'!$AZ$10),'[1]#REF'!$AZ$10*Brand_Profile!$E$28,0)+IF(ISNUMBER('[1]#REF'!$BA$10),'[1]#REF'!$BA$10*Brand_Profile!$E$29,0)+IF(ISNUMBER('[1]#REF'!$BB$10),'[1]#REF'!$BB$10*Brand_Profile!$E$30,0)+IF(ISNUMBER('[1]#REF'!$BC$10),'[1]#REF'!$BC$10*Brand_Profile!$E$31,0)+IF(ISNUMBER('[1]#REF'!$BD$10),'[1]#REF'!$BD$10*Brand_Profile!$E$32,0)+IF(ISNUMBER('[1]#REF'!$BE$10),'[1]#REF'!$BE$10*Brand_Profile!$E$33,0)+IF(ISNUMBER('[1]#REF'!$BF$10),'[1]#REF'!$BF$10*Brand_Profile!$E$34,0))/Lookup_Lists!$D$318*100,0)))</f>
        <v>N/A</v>
      </c>
      <c r="S10" s="63">
        <f ca="1">IF((IF(ISNUMBER(Matching_Engine!$O$10),Lookup_Lists!$D$113,0)+IF(ISNUMBER(Matching_Engine!$P$10),Lookup_Lists!$D$114,0)+IF(ISNUMBER(Matching_Engine!$Q$10),Lookup_Lists!$D$115,0)+IF(ISNUMBER(Matching_Engine!$R$10),Lookup_Lists!$D$116,0))=0,"N/A",ROUND((IF(ISNUMBER(Matching_Engine!$O$10),Matching_Engine!$O$10*Lookup_Lists!$D$113,0)+IF(ISNUMBER(Matching_Engine!$P$10),Matching_Engine!$P$10*Lookup_Lists!$D$114,0)+IF(ISNUMBER(Matching_Engine!$Q$10),Matching_Engine!$Q$10*Lookup_Lists!$D$115,0)+IF(ISNUMBER(Matching_Engine!$R$10),Matching_Engine!$R$10*Lookup_Lists!$D$116,0))/(IF(ISNUMBER(Matching_Engine!$O$10),Lookup_Lists!$D$113,0)+IF(ISNUMBER(Matching_Engine!$P$10),Lookup_Lists!$D$114,0)+IF(ISNUMBER(Matching_Engine!$Q$10),Lookup_Lists!$D$115,0)+IF(ISNUMBER(Matching_Engine!$R$10),Lookup_Lists!$D$116,0)),0))</f>
        <v>66</v>
      </c>
      <c r="T10" s="42">
        <f ca="1">IF(ISNUMBER(Matching_Engine!$S$10),1,0)</f>
        <v>1</v>
      </c>
      <c r="U10" s="65" t="e">
        <f>IF(NOT(AND(ISTEXT('[1]#REF'!$M$10),'[1]#REF'!$M$10&lt;&gt;"N/A")),Lookup_Lists!$D$150,IF(Brand_Profile!$E$7='[1]#REF'!$M$10,100,IFERROR(INDEX(Lookup_Lists!$B$349:$J$357,MATCH(Brand_Profile!$E$7,Lookup_Lists!$A$349:$A$357,0),MATCH('[1]#REF'!$M$10,Lookup_Lists!$B$348:$J$348,0)),Lookup_Lists!$D$151)))</f>
        <v>#REF!</v>
      </c>
      <c r="V10" s="65" t="e">
        <f>IF(NOT(AND(ISTEXT('[1]#REF'!$P$10),'[1]#REF'!$P$10&lt;&gt;"N/A")),"N/A",IFERROR(INDEX(Lookup_Lists!$B$349:$J$357,MATCH(Brand_Profile!$E$7,Lookup_Lists!$A$349:$A$357,0),MATCH('[1]#REF'!$P$10,Lookup_Lists!$B$348:$J$348,0)),Lookup_Lists!$D$151))</f>
        <v>#REF!</v>
      </c>
      <c r="W10" s="65" t="e">
        <f>IF(LEN(TRIM(SUBSTITUTE(Matching_Engine!$BE$10,"|","")))=0,"N/A",IF(Brand_Profile!$E$60=0,Lookup_Lists!$D$150,ROUND((IF(Brand_Profile!$E$54="",0,IF(ISNUMBER(SEARCH(Brand_Profile!$E$54,Matching_Engine!$BE$10)),1,0))+IF(Brand_Profile!$E$55="",0,IF(ISNUMBER(SEARCH(Brand_Profile!$E$55,Matching_Engine!$BE$10)),1,0))+IF(Brand_Profile!$E$56="",0,IF(ISNUMBER(SEARCH(Brand_Profile!$E$56,Matching_Engine!$BE$10)),1,0))+IF(Brand_Profile!$E$57="",0,IF(ISNUMBER(SEARCH(Brand_Profile!$E$57,Matching_Engine!$BE$10)),1,0))+IF(Brand_Profile!$E$58="",0,IF(ISNUMBER(SEARCH(Brand_Profile!$E$58,Matching_Engine!$BE$10)),1,0))+IF(Brand_Profile!$E$59="",0,IF(ISNUMBER(SEARCH(Brand_Profile!$E$59,Matching_Engine!$BE$10)),1,0)))/Brand_Profile!$E$60*100,0)))</f>
        <v>#VALUE!</v>
      </c>
      <c r="X10" s="65" t="e">
        <f>IF(NOT(AND(ISTEXT('[1]#REF'!$Q$10),'[1]#REF'!$Q$10&lt;&gt;"N/A")),"N/A",Lookup_Lists!$D$150)</f>
        <v>#REF!</v>
      </c>
      <c r="Y10" s="63">
        <f>IF((IF(ISNUMBER(Matching_Engine!$U$10),Lookup_Lists!$D$335,0)+IF(ISNUMBER(Matching_Engine!$V$10),Lookup_Lists!$D$122,0)+IF(ISNUMBER(Matching_Engine!$W$10),Lookup_Lists!$D$336,0)+IF(ISNUMBER(Matching_Engine!$X$10),Lookup_Lists!$D$124,0))=0,"N/A",ROUND((IF(ISNUMBER(Matching_Engine!$U$10),Matching_Engine!$U$10*Lookup_Lists!$D$335,0)+IF(ISNUMBER(Matching_Engine!$V$10),Matching_Engine!$V$10*Lookup_Lists!$D$122,0)+IF(ISNUMBER(Matching_Engine!$W$10),Matching_Engine!$W$10*Lookup_Lists!$D$336,0)+IF(ISNUMBER(Matching_Engine!$X$10),Matching_Engine!$X$10*Lookup_Lists!$D$124,0))/(IF(ISNUMBER(Matching_Engine!$U$10),Lookup_Lists!$D$335,0)+IF(ISNUMBER(Matching_Engine!$V$10),Lookup_Lists!$D$122,0)+IF(ISNUMBER(Matching_Engine!$W$10),Lookup_Lists!$D$336,0)+IF(ISNUMBER(Matching_Engine!$X$10),Lookup_Lists!$D$124,0)),0))</f>
        <v>13</v>
      </c>
      <c r="Z10" s="42">
        <f>IF(ISNUMBER(Matching_Engine!$Y$10),1,0)</f>
        <v>1</v>
      </c>
      <c r="AA10" s="65" t="e">
        <f>IF(NOT(AND(ISTEXT('[1]#REF'!$Q$10),'[1]#REF'!$Q$10&lt;&gt;"N/A")),"N/A",Lookup_Lists!$D$150)</f>
        <v>#REF!</v>
      </c>
      <c r="AB10" s="65" t="e">
        <f>IF(NOT(AND(ISTEXT('[1]#REF'!$Q$10),'[1]#REF'!$Q$10&lt;&gt;"N/A")),"N/A",Lookup_Lists!$D$150)</f>
        <v>#REF!</v>
      </c>
      <c r="AC10" s="65" t="str">
        <f t="shared" si="0"/>
        <v>N/A</v>
      </c>
      <c r="AD10" s="65" t="e">
        <f>IF(NOT(AND(ISTEXT('[1]#REF'!$Q$10),'[1]#REF'!$Q$10&lt;&gt;"N/A")),"N/A",Lookup_Lists!$D$150)</f>
        <v>#REF!</v>
      </c>
      <c r="AE10" s="63">
        <f>IF((IF(ISNUMBER(Matching_Engine!$AA$10),Lookup_Lists!$D$125,0)+IF(ISNUMBER(Matching_Engine!$AB$10),Lookup_Lists!$D$126,0)+IF(ISNUMBER(Matching_Engine!$AC$10),Lookup_Lists!$D$127,0)+IF(ISNUMBER(Matching_Engine!$AD$10),Lookup_Lists!$D$128,0))=0,"N/A",ROUND((IF(ISNUMBER(Matching_Engine!$AA$10),Matching_Engine!$AA$10*Lookup_Lists!$D$125,0)+IF(ISNUMBER(Matching_Engine!$AB$10),Matching_Engine!$AB$10*Lookup_Lists!$D$126,0)+IF(ISNUMBER(Matching_Engine!$AC$10),Matching_Engine!$AC$10*Lookup_Lists!$D$127,0)+IF(ISNUMBER(Matching_Engine!$AD$10),Matching_Engine!$AD$10*Lookup_Lists!$D$128,0))/(IF(ISNUMBER(Matching_Engine!$AA$10),Lookup_Lists!$D$125,0)+IF(ISNUMBER(Matching_Engine!$AB$10),Lookup_Lists!$D$126,0)+IF(ISNUMBER(Matching_Engine!$AC$10),Lookup_Lists!$D$127,0)+IF(ISNUMBER(Matching_Engine!$AD$10),Lookup_Lists!$D$128,0)),0))</f>
        <v>45</v>
      </c>
      <c r="AF10" s="42">
        <f>IF(ISNUMBER(Matching_Engine!$AE$10),1,0)</f>
        <v>1</v>
      </c>
      <c r="AG10" s="65" t="str">
        <f>IF(NOT(ISNUMBER('[1]#REF'!$BG$10)),"N/A",MIN(100,ROUND('[1]#REF'!$BG$10/IFERROR(INDEX(Lookup_Lists!$B$340:$B$344,MATCH('[1]#REF'!$H$10,Lookup_Lists!$A$340:$A$344,0)),Lookup_Lists!$D$141)*100,0)))</f>
        <v>N/A</v>
      </c>
      <c r="AH10" s="65" t="str">
        <f>IF(NOT(ISNUMBER('[1]#REF'!$BS$10)),"N/A",MIN(100,MAX(0,'[1]#REF'!$BS$10)))</f>
        <v>N/A</v>
      </c>
      <c r="AI10" s="65" t="e">
        <f>IF(OR(NOT(ISNUMBER('[1]#REF'!$BM$10)),NOT(ISNUMBER('[1]#REF'!$BN$10)),'[1]#REF'!$BN$10&lt;Lookup_Lists!$D$320),"N/A",MIN(100,ROUND('[1]#REF'!$BM$10/Lookup_Lists!$D$319*100,0)))</f>
        <v>#REF!</v>
      </c>
      <c r="AJ10" s="65" t="str">
        <f>IF(NOT(ISNUMBER('[1]#REF'!$BR$10)),"N/A",'[1]#REF'!$BR$10)</f>
        <v>N/A</v>
      </c>
      <c r="AK10" s="65" t="str">
        <f>IF(NOT(ISNUMBER('[1]#REF'!$BK$10)),"N/A",MIN(100,ROUND('[1]#REF'!$BK$10/Lookup_Lists!$D$321*100,0)))</f>
        <v>N/A</v>
      </c>
      <c r="AL10" s="65" t="str">
        <f>IF(NOT(ISNUMBER('[1]#REF'!$BP$10)),"N/A",MIN(100,MAX(0,ROUND(('[1]#REF'!$BP$10+2)/(Lookup_Lists!$D$145+2)*100,0))))</f>
        <v>N/A</v>
      </c>
      <c r="AM10" s="63">
        <f>IF((IF(ISNUMBER(Matching_Engine!$AG$10),Lookup_Lists!$D$129,0)+IF(ISNUMBER(Matching_Engine!$AH$10),Lookup_Lists!$D$130,0)+IF(ISNUMBER(Matching_Engine!$AI$10),Lookup_Lists!$D$131,0)+IF(ISNUMBER(Matching_Engine!$AJ$10),Lookup_Lists!$D$132,0)+IF(ISNUMBER(Matching_Engine!$AK$10),Lookup_Lists!$D$133,0)+IF(ISNUMBER(Matching_Engine!$AL$10),Lookup_Lists!$D$134,0))=0,"N/A",ROUND((IF(ISNUMBER(Matching_Engine!$AG$10),Matching_Engine!$AG$10*Lookup_Lists!$D$129,0)+IF(ISNUMBER(Matching_Engine!$AH$10),Matching_Engine!$AH$10*Lookup_Lists!$D$130,0)+IF(ISNUMBER(Matching_Engine!$AI$10),Matching_Engine!$AI$10*Lookup_Lists!$D$131,0)+IF(ISNUMBER(Matching_Engine!$AJ$10),Matching_Engine!$AJ$10*Lookup_Lists!$D$132,0)+IF(ISNUMBER(Matching_Engine!$AK$10),Matching_Engine!$AK$10*Lookup_Lists!$D$133,0)+IF(ISNUMBER(Matching_Engine!$AL$10),Matching_Engine!$AL$10*Lookup_Lists!$D$134,0))/(IF(ISNUMBER(Matching_Engine!$AG$10),Lookup_Lists!$D$129,0)+IF(ISNUMBER(Matching_Engine!$AH$10),Lookup_Lists!$D$130,0)+IF(ISNUMBER(Matching_Engine!$AI$10),Lookup_Lists!$D$131,0)+IF(ISNUMBER(Matching_Engine!$AJ$10),Lookup_Lists!$D$132,0)+IF(ISNUMBER(Matching_Engine!$AK$10),Lookup_Lists!$D$133,0)+IF(ISNUMBER(Matching_Engine!$AL$10),Lookup_Lists!$D$134,0)),0))</f>
        <v>72</v>
      </c>
      <c r="AN10" s="42">
        <f>IF(ISNUMBER(Matching_Engine!$AM$10),1,0)</f>
        <v>0</v>
      </c>
      <c r="AO10" s="65" t="str">
        <f>IF(NOT(ISNUMBER('[1]#REF'!$BT$10)),"N/A",MIN(100,MAX(0,'[1]#REF'!$BT$10)))</f>
        <v>N/A</v>
      </c>
      <c r="AP10" s="65" t="str">
        <f>IF(NOT(ISNUMBER('[1]#REF'!$BU$10)),"N/A",MIN(100,MAX(0,'[1]#REF'!$BU$10)))</f>
        <v>N/A</v>
      </c>
      <c r="AQ10" s="65" t="e">
        <f>IF('[1]#REF'!$I$10="Yes",Lookup_Lists!$D$326,IF('[1]#REF'!$I$10="No",Lookup_Lists!$D$327,"N/A"))</f>
        <v>#REF!</v>
      </c>
      <c r="AR10" s="65" t="str">
        <f>IF(NOT(ISNUMBER('[1]#REF'!$BQ$10)),"N/A",MAX(0,ROUND(100-'[1]#REF'!$BQ$10/Lookup_Lists!$D$328*100,0)))</f>
        <v>N/A</v>
      </c>
      <c r="AS10" s="65" t="e">
        <f>IF(NOT(AND(ISTEXT('[1]#REF'!$BV$10),'[1]#REF'!$BV$10&lt;&gt;"N/A")),"N/A",'[1]#REF'!$BV$10)</f>
        <v>#REF!</v>
      </c>
      <c r="AT10" s="63" t="str">
        <f ca="1">IF((IF(ISNUMBER(Matching_Engine!$AO$10),Lookup_Lists!$D$322,0)+IF(ISNUMBER(Matching_Engine!$AP$10),Lookup_Lists!$D$323,0)+IF(ISNUMBER(Matching_Engine!$AQ$10),Lookup_Lists!$D$324,0)+IF(ISNUMBER(Matching_Engine!$AR$10),Lookup_Lists!$D$325,0))=0,"N/A",ROUND((IF(ISNUMBER(Matching_Engine!$AO$10),Matching_Engine!$AO$10*Lookup_Lists!$D$322,0)+IF(ISNUMBER(Matching_Engine!$AP$10),Matching_Engine!$AP$10*Lookup_Lists!$D$323,0)+IF(ISNUMBER(Matching_Engine!$AQ$10),Matching_Engine!$AQ$10*Lookup_Lists!$D$324,0)+IF(ISNUMBER(Matching_Engine!$AR$10),Matching_Engine!$AR$10*Lookup_Lists!$D$325,0))/(IF(ISNUMBER(Matching_Engine!$AO$10),Lookup_Lists!$D$322,0)+IF(ISNUMBER(Matching_Engine!$AP$10),Lookup_Lists!$D$323,0)+IF(ISNUMBER(Matching_Engine!$AQ$10),Lookup_Lists!$D$324,0)+IF(ISNUMBER(Matching_Engine!$AR$10),Lookup_Lists!$D$325,0)),0))</f>
        <v>N/A</v>
      </c>
      <c r="AU10" s="42">
        <f>IF(ISNUMBER(Matching_Engine!$AT$10),1,0)</f>
        <v>1</v>
      </c>
      <c r="AV10" s="42" t="str">
        <f>IF(NOT(ISNUMBER(Matching_Engine!$AT$10)),"Not Screened",IF(Matching_Engine!$AT$10&gt;=Lookup_Lists!$D$329,"Low Risk",IF(Matching_Engine!$AT$10&gt;=Lookup_Lists!$D$330,"Moderate Risk",IF(Matching_Engine!$AT$10&gt;=Lookup_Lists!$D$331,"Elevated Risk","High Risk"))))</f>
        <v>Low Risk</v>
      </c>
      <c r="AW10" s="42" t="e">
        <f ca="1">IF(NOT(ISNUMBER(Matching_Engine!$AT$10)),"No integrity signal: no audience-analysis row for this account.","Integrity screen only — no content-risk reading exists (comments_analysis: 0 rows). "&amp;IF(ISNUMBER(Matching_Engine!$AO$10),"Authenticity "&amp;Matching_Engine!$AO$10&amp;". ","Authenticity N/A. ")&amp;IF(ISNUMBER(Matching_Engine!$AP$10),"Follower quality "&amp;Matching_Engine!$AP$10&amp;". ","Follower quality N/A. ")&amp;IF('[1]#REF'!$I$10="Yes","Platform-verified.","Not platform-verified."))</f>
        <v>#REF!</v>
      </c>
      <c r="AX10" s="65">
        <f>Matching_Engine!$N$10*Lookup_Lists!$D$104+Matching_Engine!$T$10*Lookup_Lists!$D$105+Matching_Engine!$Z$10*Lookup_Lists!$D$106+Matching_Engine!$AF$10*Lookup_Lists!$D$107+Matching_Engine!$AN$10*Lookup_Lists!$D$108+Matching_Engine!$AU$10*Lookup_Lists!$D$109</f>
        <v>4229.5</v>
      </c>
      <c r="AY10" s="74" t="e">
        <f ca="1">IF(Matching_Engine!$AX$10=0,"N/A",ROUND((IF(Matching_Engine!$N$10=1,Matching_Engine!$M$10*Lookup_Lists!$D$104,0)+IF(Matching_Engine!$T$10=1,Matching_Engine!$S$10*Lookup_Lists!$D$105,0)+IF(Matching_Engine!$Z$10=1,Matching_Engine!$Y$10*Lookup_Lists!$D$106,0)+IF(Matching_Engine!$AF$10=1,Matching_Engine!$AE$10*Lookup_Lists!$D$107,0)+IF(Matching_Engine!$AN$10=1,Matching_Engine!$AM$10*Lookup_Lists!$D$108,0)+IF(Matching_Engine!$AU$10=1,Matching_Engine!$AT$10*Lookup_Lists!$D$109,0))/Matching_Engine!$AX$10,0))</f>
        <v>#VALUE!</v>
      </c>
      <c r="AZ10" s="42" t="str">
        <f ca="1">IF(NOT(ISNUMBER(Matching_Engine!$AY$10)),"Not Scored",IF(Matching_Engine!$AY$10&gt;=Lookup_Lists!$D$152,"Excellent Match",IF(Matching_Engine!$AY$10&gt;=Lookup_Lists!$D$153,"Strong Match",IF(Matching_Engine!$AY$10&gt;=Lookup_Lists!$D$154,"Good Match",IF(Matching_Engine!$AY$10&gt;=Lookup_Lists!$D$155,"Moderate Match","Low Match")))))</f>
        <v>Low Match</v>
      </c>
      <c r="BA10" s="65" t="e">
        <f>'[1]#REF'!$BW$10</f>
        <v>#REF!</v>
      </c>
      <c r="BB10" s="42" t="e">
        <f>'[1]#REF'!$BX$10</f>
        <v>#REF!</v>
      </c>
      <c r="BC10" s="65">
        <f ca="1">IF(NOT(ISNUMBER(Matching_Engine!$AY$10)),-1,Matching_Engine!$AY$10*1000+20)</f>
        <v>45020</v>
      </c>
      <c r="BD10" s="42" t="e">
        <f>IF(AND(ISTEXT('[1]#REF'!$S$10),'[1]#REF'!$S$10&lt;&gt;"N/A"),'[1]#REF'!$S$10,"")&amp;" | "&amp;IF(AND(ISTEXT('[1]#REF'!$T$10),'[1]#REF'!$T$10&lt;&gt;"N/A"),'[1]#REF'!$T$10,"")&amp;" | "&amp;IF(AND(ISTEXT('[1]#REF'!$N$10),'[1]#REF'!$N$10&lt;&gt;"N/A"),'[1]#REF'!$N$10,"")&amp;" | "&amp;IF(AND(ISTEXT('[1]#REF'!$K$10),'[1]#REF'!$K$10&lt;&gt;"N/A"),'[1]#REF'!$K$10,"")&amp;" | "&amp;IF(AND(ISTEXT('[1]#REF'!$J$10),'[1]#REF'!$J$10&lt;&gt;"N/A"),'[1]#REF'!$J$10,"")</f>
        <v>#REF!</v>
      </c>
      <c r="BE10" s="42" t="e">
        <f>IF(AND(ISTEXT('[1]#REF'!$T$10),'[1]#REF'!$T$10&lt;&gt;"N/A"),'[1]#REF'!$T$10,"")&amp;" | "&amp;IF(AND(ISTEXT('[1]#REF'!$N$10),'[1]#REF'!$N$10&lt;&gt;"N/A"),'[1]#REF'!$N$10,"")&amp;" | "&amp;IF(AND(ISTEXT('[1]#REF'!$O$10),'[1]#REF'!$O$10&lt;&gt;"N/A"),'[1]#REF'!$O$10,"")&amp;" | "&amp;IF(AND(ISTEXT('[1]#REF'!$S$10),'[1]#REF'!$S$10&lt;&gt;"N/A"),'[1]#REF'!$S$10,"")</f>
        <v>#REF!</v>
      </c>
      <c r="BF10" s="42" t="e">
        <f>IF(AND(ISTEXT('[1]#REF'!$U$10),'[1]#REF'!$U$10&lt;&gt;"N/A"),'[1]#REF'!$U$10,"")</f>
        <v>#REF!</v>
      </c>
      <c r="BG10" s="42" t="str">
        <f>Matching_Engine!$A$10&amp;"|"&amp;Matching_Engine!$C$10</f>
        <v>BRAND-A|KOL-05</v>
      </c>
    </row>
    <row r="11" spans="1:59">
      <c r="A11" s="64" t="s">
        <v>2527</v>
      </c>
      <c r="B11" s="42" t="str">
        <f>Brand_Profile!$E$6</f>
        <v>BRAND-B</v>
      </c>
      <c r="C11" s="42" t="e">
        <f>'[1]#REF'!$A$11</f>
        <v>#REF!</v>
      </c>
      <c r="D11" s="42" t="e">
        <f>'[1]#REF'!$C$11</f>
        <v>#REF!</v>
      </c>
      <c r="E11" s="42" t="e">
        <f>'[1]#REF'!$D$11</f>
        <v>#REF!</v>
      </c>
      <c r="F11" s="42" t="e">
        <f>'[1]#REF'!$E$11</f>
        <v>#REF!</v>
      </c>
      <c r="G11" s="42" t="e">
        <f>'[1]#REF'!$K$11</f>
        <v>#REF!</v>
      </c>
      <c r="H11" s="72" t="e">
        <f>'[1]#REF'!$G$11</f>
        <v>#REF!</v>
      </c>
      <c r="I11" s="73" t="e">
        <f>'[1]#REF'!$BG$11</f>
        <v>#REF!</v>
      </c>
      <c r="J11" s="65" t="e">
        <f>IF(NOT(AND(ISTEXT('[1]#REF'!$K$11),'[1]#REF'!$K$11&lt;&gt;"N/A")),Lookup_Lists!$D$150,IF(Brand_Profile!$E$7='[1]#REF'!$K$11,100,IFERROR(INDEX(Lookup_Lists!$B$349:$J$357,MATCH(Brand_Profile!$E$7,Lookup_Lists!$A$349:$A$357,0),MATCH('[1]#REF'!$K$11,Lookup_Lists!$B$348:$J$348,0)),Lookup_Lists!$D$151)))</f>
        <v>#REF!</v>
      </c>
      <c r="K11" s="65" t="e">
        <f>IF(LEN(TRIM(SUBSTITUTE(Matching_Engine!$BD$11,"|","")))=0,"N/A",IF(Brand_Profile!$E$47=0,Lookup_Lists!$D$150,ROUND((IF(Brand_Profile!$E$41="",0,IF(ISNUMBER(SEARCH(Brand_Profile!$E$41,Matching_Engine!$BD$11)),1,0))+IF(Brand_Profile!$E$42="",0,IF(ISNUMBER(SEARCH(Brand_Profile!$E$42,Matching_Engine!$BD$11)),1,0))+IF(Brand_Profile!$E$43="",0,IF(ISNUMBER(SEARCH(Brand_Profile!$E$43,Matching_Engine!$BD$11)),1,0))+IF(Brand_Profile!$E$44="",0,IF(ISNUMBER(SEARCH(Brand_Profile!$E$44,Matching_Engine!$BD$11)),1,0))+IF(Brand_Profile!$E$45="",0,IF(ISNUMBER(SEARCH(Brand_Profile!$E$45,Matching_Engine!$BD$11)),1,0))+IF(Brand_Profile!$E$46="",0,IF(ISNUMBER(SEARCH(Brand_Profile!$E$46,Matching_Engine!$BD$11)),1,0)))/Brand_Profile!$E$47*100,0)))</f>
        <v>#VALUE!</v>
      </c>
      <c r="L11" s="65" t="e">
        <f>IF(NOT(AND(ISTEXT('[1]#REF'!$U$11),'[1]#REF'!$U$11&lt;&gt;"N/A")),"N/A",IF(Brand_Profile!$E$53=0,Lookup_Lists!$D$150,ROUND((IF(Brand_Profile!$E$48="",0,IF(ISNUMBER(SEARCH(Brand_Profile!$E$48,Matching_Engine!$BF$11)),1,0))+IF(Brand_Profile!$E$49="",0,IF(ISNUMBER(SEARCH(Brand_Profile!$E$49,Matching_Engine!$BF$11)),1,0))+IF(Brand_Profile!$E$50="",0,IF(ISNUMBER(SEARCH(Brand_Profile!$E$50,Matching_Engine!$BF$11)),1,0))+IF(Brand_Profile!$E$51="",0,IF(ISNUMBER(SEARCH(Brand_Profile!$E$51,Matching_Engine!$BF$11)),1,0))+IF(Brand_Profile!$E$52="",0,IF(ISNUMBER(SEARCH(Brand_Profile!$E$52,Matching_Engine!$BF$11)),1,0)))/Brand_Profile!$E$53*100,0)))</f>
        <v>#REF!</v>
      </c>
      <c r="M11" s="63" t="str">
        <f>IF((IF(ISNUMBER(Matching_Engine!$J$11),Lookup_Lists!$D$332,0)+IF(ISNUMBER(Matching_Engine!$K$11),Lookup_Lists!$D$333,0)+IF(ISNUMBER(Matching_Engine!$L$11),Lookup_Lists!$D$334,0))=0,"N/A",ROUND((IF(ISNUMBER(Matching_Engine!$J$11),Matching_Engine!$J$11*Lookup_Lists!$D$332,0)+IF(ISNUMBER(Matching_Engine!$K$11),Matching_Engine!$K$11*Lookup_Lists!$D$333,0)+IF(ISNUMBER(Matching_Engine!$L$11),Matching_Engine!$L$11*Lookup_Lists!$D$334,0))/(IF(ISNUMBER(Matching_Engine!$J$11),Lookup_Lists!$D$332,0)+IF(ISNUMBER(Matching_Engine!$K$11),Lookup_Lists!$D$333,0)+IF(ISNUMBER(Matching_Engine!$L$11),Lookup_Lists!$D$334,0)),0))</f>
        <v>N/A</v>
      </c>
      <c r="N11" s="42">
        <f>IF(ISNUMBER(Matching_Engine!$M$11),1,0)</f>
        <v>1</v>
      </c>
      <c r="O11" s="65" t="str">
        <f ca="1">IF(NOT(ISNUMBER(IFERROR(INDEX('[1]#REF'!$V$11:'[1]#REF'!$Z$11,1,MATCH(Brand_Profile!$E$11,Lookup_Lists!$F$6:$F$10,0)),""))),"N/A",MIN(100,ROUND((IFERROR(INDEX('[1]#REF'!$V$11:'[1]#REF'!$Z$11,1,MATCH(Brand_Profile!$E$11,Lookup_Lists!$F$6:$F$10,0)),"")+0.5*IF(ISNUMBER(IFERROR(INDEX('[1]#REF'!$V$11:'[1]#REF'!$Z$11,1,MATCH(Brand_Profile!$E$12,Lookup_Lists!$F$6:$F$10,0)),"")),IFERROR(INDEX('[1]#REF'!$V$11:'[1]#REF'!$Z$11,1,MATCH(Brand_Profile!$E$12,Lookup_Lists!$F$6:$F$10,0)),""),0))/Lookup_Lists!$D$142*100,0)))</f>
        <v>N/A</v>
      </c>
      <c r="P11" s="65" t="str">
        <f>IF(Brand_Profile!$E$13="Any",100,IF(NOT(ISNUMBER('[1]#REF'!$AA$11)),"N/A",IF(Brand_Profile!$E$13="Female",MIN(100,ROUND('[1]#REF'!$AA$11/Lookup_Lists!$D$143*100,0)),IF(Brand_Profile!$E$13="Male",MIN(100,ROUND(IF(ISNUMBER('[1]#REF'!$AB$11),'[1]#REF'!$AB$11,100-'[1]#REF'!$AA$11)/Lookup_Lists!$D$143*100,0)),MAX(0,ROUND(100-ABS('[1]#REF'!$AA$11-50)*2,0))))))</f>
        <v>N/A</v>
      </c>
      <c r="Q11" s="65" t="str">
        <f>IF((IF(ISNUMBER(IF(NOT(ISNUMBER('[1]#REF'!$AE$11)),"N/A",IF('[1]#REF'!$AD$11&lt;&gt;Brand_Profile!$E$14,Lookup_Lists!$D$151,MIN(100,ROUND('[1]#REF'!$AE$11/Lookup_Lists!$D$316*100,0))))),Lookup_Lists!$D$118,0)+IF(ISNUMBER(IF(NOT(ISNUMBER('[1]#REF'!$AM$11)),"N/A",MIN(100,ROUND((IF('[1]#REF'!$AG$11=Brand_Profile!$E$15,IF(ISNUMBER('[1]#REF'!$AH$11),'[1]#REF'!$AH$11,0),0)+IF('[1]#REF'!$AI$11=Brand_Profile!$E$15,IF(ISNUMBER('[1]#REF'!$AJ$11),'[1]#REF'!$AJ$11,0),0)+IF('[1]#REF'!$AK$11=Brand_Profile!$E$15,IF(ISNUMBER('[1]#REF'!$AL$11),'[1]#REF'!$AL$11,0),0))/Lookup_Lists!$D$317*100,0)))),Lookup_Lists!$D$120,0))=0,"N/A",ROUND((IF(ISNUMBER(IF(NOT(ISNUMBER('[1]#REF'!$AE$11)),"N/A",IF('[1]#REF'!$AD$11&lt;&gt;Brand_Profile!$E$14,Lookup_Lists!$D$151,MIN(100,ROUND('[1]#REF'!$AE$11/Lookup_Lists!$D$316*100,0))))),IF(NOT(ISNUMBER('[1]#REF'!$AE$11)),"N/A",IF('[1]#REF'!$AD$11&lt;&gt;Brand_Profile!$E$14,Lookup_Lists!$D$151,MIN(100,ROUND('[1]#REF'!$AE$11/Lookup_Lists!$D$316*100,0))))*Lookup_Lists!$D$118,0)+IF(ISNUMBER(IF(NOT(ISNUMBER('[1]#REF'!$AM$11)),"N/A",MIN(100,ROUND((IF('[1]#REF'!$AG$11=Brand_Profile!$E$15,IF(ISNUMBER('[1]#REF'!$AH$11),'[1]#REF'!$AH$11,0),0)+IF('[1]#REF'!$AI$11=Brand_Profile!$E$15,IF(ISNUMBER('[1]#REF'!$AJ$11),'[1]#REF'!$AJ$11,0),0)+IF('[1]#REF'!$AK$11=Brand_Profile!$E$15,IF(ISNUMBER('[1]#REF'!$AL$11),'[1]#REF'!$AL$11,0),0))/Lookup_Lists!$D$317*100,0)))),IF(NOT(ISNUMBER('[1]#REF'!$AM$11)),"N/A",MIN(100,ROUND((IF('[1]#REF'!$AG$11=Brand_Profile!$E$15,IF(ISNUMBER('[1]#REF'!$AH$11),'[1]#REF'!$AH$11,0),0)+IF('[1]#REF'!$AI$11=Brand_Profile!$E$15,IF(ISNUMBER('[1]#REF'!$AJ$11),'[1]#REF'!$AJ$11,0),0)+IF('[1]#REF'!$AK$11=Brand_Profile!$E$15,IF(ISNUMBER('[1]#REF'!$AL$11),'[1]#REF'!$AL$11,0),0))/Lookup_Lists!$D$317*100,0)))*Lookup_Lists!$D$120,0))/(IF(ISNUMBER(IF(NOT(ISNUMBER('[1]#REF'!$AE$11)),"N/A",IF('[1]#REF'!$AD$11&lt;&gt;Brand_Profile!$E$14,Lookup_Lists!$D$151,MIN(100,ROUND('[1]#REF'!$AE$11/Lookup_Lists!$D$316*100,0))))),Lookup_Lists!$D$118,0)+IF(ISNUMBER(IF(NOT(ISNUMBER('[1]#REF'!$AM$11)),"N/A",MIN(100,ROUND((IF('[1]#REF'!$AG$11=Brand_Profile!$E$15,IF(ISNUMBER('[1]#REF'!$AH$11),'[1]#REF'!$AH$11,0),0)+IF('[1]#REF'!$AI$11=Brand_Profile!$E$15,IF(ISNUMBER('[1]#REF'!$AJ$11),'[1]#REF'!$AJ$11,0),0)+IF('[1]#REF'!$AK$11=Brand_Profile!$E$15,IF(ISNUMBER('[1]#REF'!$AL$11),'[1]#REF'!$AL$11,0),0))/Lookup_Lists!$D$317*100,0)))),Lookup_Lists!$D$120,0)),0))</f>
        <v>N/A</v>
      </c>
      <c r="R11" s="65" t="str">
        <f>IF(NOT(ISNUMBER('[1]#REF'!$AN$11)),"N/A",MIN(100,ROUND((IF(ISNUMBER('[1]#REF'!$AO$11),'[1]#REF'!$AO$11*Brand_Profile!$E$17,0)+IF(ISNUMBER('[1]#REF'!$AP$11),'[1]#REF'!$AP$11*Brand_Profile!$E$18,0)+IF(ISNUMBER('[1]#REF'!$AQ$11),'[1]#REF'!$AQ$11*Brand_Profile!$E$19,0)+IF(ISNUMBER('[1]#REF'!$AR$11),'[1]#REF'!$AR$11*Brand_Profile!$E$20,0)+IF(ISNUMBER('[1]#REF'!$AS$11),'[1]#REF'!$AS$11*Brand_Profile!$E$21,0)+IF(ISNUMBER('[1]#REF'!$AT$11),'[1]#REF'!$AT$11*Brand_Profile!$E$22,0)+IF(ISNUMBER('[1]#REF'!$AU$11),'[1]#REF'!$AU$11*Brand_Profile!$E$23,0)+IF(ISNUMBER('[1]#REF'!$AV$11),'[1]#REF'!$AV$11*Brand_Profile!$E$24,0)+IF(ISNUMBER('[1]#REF'!$AW$11),'[1]#REF'!$AW$11*Brand_Profile!$E$25,0)+IF(ISNUMBER('[1]#REF'!$AX$11),'[1]#REF'!$AX$11*Brand_Profile!$E$26,0)+IF(ISNUMBER('[1]#REF'!$AY$11),'[1]#REF'!$AY$11*Brand_Profile!$E$27,0)+IF(ISNUMBER('[1]#REF'!$AZ$11),'[1]#REF'!$AZ$11*Brand_Profile!$E$28,0)+IF(ISNUMBER('[1]#REF'!$BA$11),'[1]#REF'!$BA$11*Brand_Profile!$E$29,0)+IF(ISNUMBER('[1]#REF'!$BB$11),'[1]#REF'!$BB$11*Brand_Profile!$E$30,0)+IF(ISNUMBER('[1]#REF'!$BC$11),'[1]#REF'!$BC$11*Brand_Profile!$E$31,0)+IF(ISNUMBER('[1]#REF'!$BD$11),'[1]#REF'!$BD$11*Brand_Profile!$E$32,0)+IF(ISNUMBER('[1]#REF'!$BE$11),'[1]#REF'!$BE$11*Brand_Profile!$E$33,0)+IF(ISNUMBER('[1]#REF'!$BF$11),'[1]#REF'!$BF$11*Brand_Profile!$E$34,0))/Lookup_Lists!$D$318*100,0)))</f>
        <v>N/A</v>
      </c>
      <c r="S11" s="63">
        <f ca="1">IF((IF(ISNUMBER(Matching_Engine!$O$11),Lookup_Lists!$D$113,0)+IF(ISNUMBER(Matching_Engine!$P$11),Lookup_Lists!$D$114,0)+IF(ISNUMBER(Matching_Engine!$Q$11),Lookup_Lists!$D$115,0)+IF(ISNUMBER(Matching_Engine!$R$11),Lookup_Lists!$D$116,0))=0,"N/A",ROUND((IF(ISNUMBER(Matching_Engine!$O$11),Matching_Engine!$O$11*Lookup_Lists!$D$113,0)+IF(ISNUMBER(Matching_Engine!$P$11),Matching_Engine!$P$11*Lookup_Lists!$D$114,0)+IF(ISNUMBER(Matching_Engine!$Q$11),Matching_Engine!$Q$11*Lookup_Lists!$D$115,0)+IF(ISNUMBER(Matching_Engine!$R$11),Matching_Engine!$R$11*Lookup_Lists!$D$116,0))/(IF(ISNUMBER(Matching_Engine!$O$11),Lookup_Lists!$D$113,0)+IF(ISNUMBER(Matching_Engine!$P$11),Lookup_Lists!$D$114,0)+IF(ISNUMBER(Matching_Engine!$Q$11),Lookup_Lists!$D$115,0)+IF(ISNUMBER(Matching_Engine!$R$11),Lookup_Lists!$D$116,0)),0))</f>
        <v>60</v>
      </c>
      <c r="T11" s="42">
        <f ca="1">IF(ISNUMBER(Matching_Engine!$S$11),1,0)</f>
        <v>1</v>
      </c>
      <c r="U11" s="65" t="e">
        <f>IF(NOT(AND(ISTEXT('[1]#REF'!$M$11),'[1]#REF'!$M$11&lt;&gt;"N/A")),Lookup_Lists!$D$150,IF(Brand_Profile!$E$7='[1]#REF'!$M$11,100,IFERROR(INDEX(Lookup_Lists!$B$349:$J$357,MATCH(Brand_Profile!$E$7,Lookup_Lists!$A$349:$A$357,0),MATCH('[1]#REF'!$M$11,Lookup_Lists!$B$348:$J$348,0)),Lookup_Lists!$D$151)))</f>
        <v>#REF!</v>
      </c>
      <c r="V11" s="65" t="e">
        <f>IF(NOT(AND(ISTEXT('[1]#REF'!$P$11),'[1]#REF'!$P$11&lt;&gt;"N/A")),"N/A",IFERROR(INDEX(Lookup_Lists!$B$349:$J$357,MATCH(Brand_Profile!$E$7,Lookup_Lists!$A$349:$A$357,0),MATCH('[1]#REF'!$P$11,Lookup_Lists!$B$348:$J$348,0)),Lookup_Lists!$D$151))</f>
        <v>#REF!</v>
      </c>
      <c r="W11" s="65" t="e">
        <f>IF(LEN(TRIM(SUBSTITUTE(Matching_Engine!$BE$11,"|","")))=0,"N/A",IF(Brand_Profile!$E$60=0,Lookup_Lists!$D$150,ROUND((IF(Brand_Profile!$E$54="",0,IF(ISNUMBER(SEARCH(Brand_Profile!$E$54,Matching_Engine!$BE$11)),1,0))+IF(Brand_Profile!$E$55="",0,IF(ISNUMBER(SEARCH(Brand_Profile!$E$55,Matching_Engine!$BE$11)),1,0))+IF(Brand_Profile!$E$56="",0,IF(ISNUMBER(SEARCH(Brand_Profile!$E$56,Matching_Engine!$BE$11)),1,0))+IF(Brand_Profile!$E$57="",0,IF(ISNUMBER(SEARCH(Brand_Profile!$E$57,Matching_Engine!$BE$11)),1,0))+IF(Brand_Profile!$E$58="",0,IF(ISNUMBER(SEARCH(Brand_Profile!$E$58,Matching_Engine!$BE$11)),1,0))+IF(Brand_Profile!$E$59="",0,IF(ISNUMBER(SEARCH(Brand_Profile!$E$59,Matching_Engine!$BE$11)),1,0)))/Brand_Profile!$E$60*100,0)))</f>
        <v>#VALUE!</v>
      </c>
      <c r="X11" s="65" t="e">
        <f>IF(NOT(AND(ISTEXT('[1]#REF'!$Q$11),'[1]#REF'!$Q$11&lt;&gt;"N/A")),"N/A",Lookup_Lists!$D$150)</f>
        <v>#REF!</v>
      </c>
      <c r="Y11" s="63">
        <f>IF((IF(ISNUMBER(Matching_Engine!$U$11),Lookup_Lists!$D$335,0)+IF(ISNUMBER(Matching_Engine!$V$11),Lookup_Lists!$D$122,0)+IF(ISNUMBER(Matching_Engine!$W$11),Lookup_Lists!$D$336,0)+IF(ISNUMBER(Matching_Engine!$X$11),Lookup_Lists!$D$124,0))=0,"N/A",ROUND((IF(ISNUMBER(Matching_Engine!$U$11),Matching_Engine!$U$11*Lookup_Lists!$D$335,0)+IF(ISNUMBER(Matching_Engine!$V$11),Matching_Engine!$V$11*Lookup_Lists!$D$122,0)+IF(ISNUMBER(Matching_Engine!$W$11),Matching_Engine!$W$11*Lookup_Lists!$D$336,0)+IF(ISNUMBER(Matching_Engine!$X$11),Matching_Engine!$X$11*Lookup_Lists!$D$124,0))/(IF(ISNUMBER(Matching_Engine!$U$11),Lookup_Lists!$D$335,0)+IF(ISNUMBER(Matching_Engine!$V$11),Lookup_Lists!$D$122,0)+IF(ISNUMBER(Matching_Engine!$W$11),Lookup_Lists!$D$336,0)+IF(ISNUMBER(Matching_Engine!$X$11),Lookup_Lists!$D$124,0)),0))</f>
        <v>13</v>
      </c>
      <c r="Z11" s="42">
        <f>IF(ISNUMBER(Matching_Engine!$Y$11),1,0)</f>
        <v>1</v>
      </c>
      <c r="AA11" s="65" t="e">
        <f>IF(NOT(AND(ISTEXT('[1]#REF'!$Q$11),'[1]#REF'!$Q$11&lt;&gt;"N/A")),"N/A",Lookup_Lists!$D$150)</f>
        <v>#REF!</v>
      </c>
      <c r="AB11" s="65" t="e">
        <f>IF(NOT(AND(ISTEXT('[1]#REF'!$Q$11),'[1]#REF'!$Q$11&lt;&gt;"N/A")),"N/A",Lookup_Lists!$D$150)</f>
        <v>#REF!</v>
      </c>
      <c r="AC11" s="65" t="str">
        <f t="shared" si="0"/>
        <v>N/A</v>
      </c>
      <c r="AD11" s="65" t="e">
        <f>IF(NOT(AND(ISTEXT('[1]#REF'!$Q$11),'[1]#REF'!$Q$11&lt;&gt;"N/A")),"N/A",Lookup_Lists!$D$150)</f>
        <v>#REF!</v>
      </c>
      <c r="AE11" s="63">
        <f>IF((IF(ISNUMBER(Matching_Engine!$AA$11),Lookup_Lists!$D$125,0)+IF(ISNUMBER(Matching_Engine!$AB$11),Lookup_Lists!$D$126,0)+IF(ISNUMBER(Matching_Engine!$AC$11),Lookup_Lists!$D$127,0)+IF(ISNUMBER(Matching_Engine!$AD$11),Lookup_Lists!$D$128,0))=0,"N/A",ROUND((IF(ISNUMBER(Matching_Engine!$AA$11),Matching_Engine!$AA$11*Lookup_Lists!$D$125,0)+IF(ISNUMBER(Matching_Engine!$AB$11),Matching_Engine!$AB$11*Lookup_Lists!$D$126,0)+IF(ISNUMBER(Matching_Engine!$AC$11),Matching_Engine!$AC$11*Lookup_Lists!$D$127,0)+IF(ISNUMBER(Matching_Engine!$AD$11),Matching_Engine!$AD$11*Lookup_Lists!$D$128,0))/(IF(ISNUMBER(Matching_Engine!$AA$11),Lookup_Lists!$D$125,0)+IF(ISNUMBER(Matching_Engine!$AB$11),Lookup_Lists!$D$126,0)+IF(ISNUMBER(Matching_Engine!$AC$11),Lookup_Lists!$D$127,0)+IF(ISNUMBER(Matching_Engine!$AD$11),Lookup_Lists!$D$128,0)),0))</f>
        <v>59</v>
      </c>
      <c r="AF11" s="42">
        <f>IF(ISNUMBER(Matching_Engine!$AE$11),1,0)</f>
        <v>1</v>
      </c>
      <c r="AG11" s="65" t="str">
        <f>IF(NOT(ISNUMBER('[1]#REF'!$BG$11)),"N/A",MIN(100,ROUND('[1]#REF'!$BG$11/IFERROR(INDEX(Lookup_Lists!$B$340:$B$344,MATCH('[1]#REF'!$H$11,Lookup_Lists!$A$340:$A$344,0)),Lookup_Lists!$D$141)*100,0)))</f>
        <v>N/A</v>
      </c>
      <c r="AH11" s="65" t="str">
        <f>IF(NOT(ISNUMBER('[1]#REF'!$BS$11)),"N/A",MIN(100,MAX(0,'[1]#REF'!$BS$11)))</f>
        <v>N/A</v>
      </c>
      <c r="AI11" s="65" t="e">
        <f>IF(OR(NOT(ISNUMBER('[1]#REF'!$BM$11)),NOT(ISNUMBER('[1]#REF'!$BN$11)),'[1]#REF'!$BN$11&lt;Lookup_Lists!$D$320),"N/A",MIN(100,ROUND('[1]#REF'!$BM$11/Lookup_Lists!$D$319*100,0)))</f>
        <v>#REF!</v>
      </c>
      <c r="AJ11" s="65" t="str">
        <f>IF(NOT(ISNUMBER('[1]#REF'!$BR$11)),"N/A",'[1]#REF'!$BR$11)</f>
        <v>N/A</v>
      </c>
      <c r="AK11" s="65" t="str">
        <f>IF(NOT(ISNUMBER('[1]#REF'!$BK$11)),"N/A",MIN(100,ROUND('[1]#REF'!$BK$11/Lookup_Lists!$D$321*100,0)))</f>
        <v>N/A</v>
      </c>
      <c r="AL11" s="65" t="str">
        <f>IF(NOT(ISNUMBER('[1]#REF'!$BP$11)),"N/A",MIN(100,MAX(0,ROUND(('[1]#REF'!$BP$11+2)/(Lookup_Lists!$D$145+2)*100,0))))</f>
        <v>N/A</v>
      </c>
      <c r="AM11" s="63">
        <f>IF((IF(ISNUMBER(Matching_Engine!$AG$11),Lookup_Lists!$D$129,0)+IF(ISNUMBER(Matching_Engine!$AH$11),Lookup_Lists!$D$130,0)+IF(ISNUMBER(Matching_Engine!$AI$11),Lookup_Lists!$D$131,0)+IF(ISNUMBER(Matching_Engine!$AJ$11),Lookup_Lists!$D$132,0)+IF(ISNUMBER(Matching_Engine!$AK$11),Lookup_Lists!$D$133,0)+IF(ISNUMBER(Matching_Engine!$AL$11),Lookup_Lists!$D$134,0))=0,"N/A",ROUND((IF(ISNUMBER(Matching_Engine!$AG$11),Matching_Engine!$AG$11*Lookup_Lists!$D$129,0)+IF(ISNUMBER(Matching_Engine!$AH$11),Matching_Engine!$AH$11*Lookup_Lists!$D$130,0)+IF(ISNUMBER(Matching_Engine!$AI$11),Matching_Engine!$AI$11*Lookup_Lists!$D$131,0)+IF(ISNUMBER(Matching_Engine!$AJ$11),Matching_Engine!$AJ$11*Lookup_Lists!$D$132,0)+IF(ISNUMBER(Matching_Engine!$AK$11),Matching_Engine!$AK$11*Lookup_Lists!$D$133,0)+IF(ISNUMBER(Matching_Engine!$AL$11),Matching_Engine!$AL$11*Lookup_Lists!$D$134,0))/(IF(ISNUMBER(Matching_Engine!$AG$11),Lookup_Lists!$D$129,0)+IF(ISNUMBER(Matching_Engine!$AH$11),Lookup_Lists!$D$130,0)+IF(ISNUMBER(Matching_Engine!$AI$11),Lookup_Lists!$D$131,0)+IF(ISNUMBER(Matching_Engine!$AJ$11),Lookup_Lists!$D$132,0)+IF(ISNUMBER(Matching_Engine!$AK$11),Lookup_Lists!$D$133,0)+IF(ISNUMBER(Matching_Engine!$AL$11),Lookup_Lists!$D$134,0)),0))</f>
        <v>65</v>
      </c>
      <c r="AN11" s="42">
        <f>IF(ISNUMBER(Matching_Engine!$AM$11),1,0)</f>
        <v>0</v>
      </c>
      <c r="AO11" s="65" t="str">
        <f>IF(NOT(ISNUMBER('[1]#REF'!$BT$11)),"N/A",MIN(100,MAX(0,'[1]#REF'!$BT$11)))</f>
        <v>N/A</v>
      </c>
      <c r="AP11" s="65" t="str">
        <f>IF(NOT(ISNUMBER('[1]#REF'!$BU$11)),"N/A",MIN(100,MAX(0,'[1]#REF'!$BU$11)))</f>
        <v>N/A</v>
      </c>
      <c r="AQ11" s="65" t="e">
        <f>IF('[1]#REF'!$I$11="Yes",Lookup_Lists!$D$326,IF('[1]#REF'!$I$11="No",Lookup_Lists!$D$327,"N/A"))</f>
        <v>#REF!</v>
      </c>
      <c r="AR11" s="65" t="str">
        <f>IF(NOT(ISNUMBER('[1]#REF'!$BQ$11)),"N/A",MAX(0,ROUND(100-'[1]#REF'!$BQ$11/Lookup_Lists!$D$328*100,0)))</f>
        <v>N/A</v>
      </c>
      <c r="AS11" s="65" t="e">
        <f>IF(NOT(AND(ISTEXT('[1]#REF'!$BV$11),'[1]#REF'!$BV$11&lt;&gt;"N/A")),"N/A",'[1]#REF'!$BV$11)</f>
        <v>#REF!</v>
      </c>
      <c r="AT11" s="63" t="str">
        <f ca="1">IF((IF(ISNUMBER(Matching_Engine!$AO$11),Lookup_Lists!$D$322,0)+IF(ISNUMBER(Matching_Engine!$AP$11),Lookup_Lists!$D$323,0)+IF(ISNUMBER(Matching_Engine!$AQ$11),Lookup_Lists!$D$324,0)+IF(ISNUMBER(Matching_Engine!$AR$11),Lookup_Lists!$D$325,0))=0,"N/A",ROUND((IF(ISNUMBER(Matching_Engine!$AO$11),Matching_Engine!$AO$11*Lookup_Lists!$D$322,0)+IF(ISNUMBER(Matching_Engine!$AP$11),Matching_Engine!$AP$11*Lookup_Lists!$D$323,0)+IF(ISNUMBER(Matching_Engine!$AQ$11),Matching_Engine!$AQ$11*Lookup_Lists!$D$324,0)+IF(ISNUMBER(Matching_Engine!$AR$11),Matching_Engine!$AR$11*Lookup_Lists!$D$325,0))/(IF(ISNUMBER(Matching_Engine!$AO$11),Lookup_Lists!$D$322,0)+IF(ISNUMBER(Matching_Engine!$AP$11),Lookup_Lists!$D$323,0)+IF(ISNUMBER(Matching_Engine!$AQ$11),Lookup_Lists!$D$324,0)+IF(ISNUMBER(Matching_Engine!$AR$11),Lookup_Lists!$D$325,0)),0))</f>
        <v>N/A</v>
      </c>
      <c r="AU11" s="42">
        <f>IF(ISNUMBER(Matching_Engine!$AT$11),1,0)</f>
        <v>1</v>
      </c>
      <c r="AV11" s="42" t="str">
        <f>IF(NOT(ISNUMBER(Matching_Engine!$AT$11)),"Not Screened",IF(Matching_Engine!$AT$11&gt;=Lookup_Lists!$D$329,"Low Risk",IF(Matching_Engine!$AT$11&gt;=Lookup_Lists!$D$330,"Moderate Risk",IF(Matching_Engine!$AT$11&gt;=Lookup_Lists!$D$331,"Elevated Risk","High Risk"))))</f>
        <v>Low Risk</v>
      </c>
      <c r="AW11" s="42" t="e">
        <f ca="1">IF(NOT(ISNUMBER(Matching_Engine!$AT$11)),"No integrity signal: no audience-analysis row for this account.","Integrity screen only — no content-risk reading exists (comments_analysis: 0 rows). "&amp;IF(ISNUMBER(Matching_Engine!$AO$11),"Authenticity "&amp;Matching_Engine!$AO$11&amp;". ","Authenticity N/A. ")&amp;IF(ISNUMBER(Matching_Engine!$AP$11),"Follower quality "&amp;Matching_Engine!$AP$11&amp;". ","Follower quality N/A. ")&amp;IF('[1]#REF'!$I$11="Yes","Platform-verified.","Not platform-verified."))</f>
        <v>#REF!</v>
      </c>
      <c r="AX11" s="65">
        <f>Matching_Engine!$N$11*Lookup_Lists!$D$104+Matching_Engine!$T$11*Lookup_Lists!$D$105+Matching_Engine!$Z$11*Lookup_Lists!$D$106+Matching_Engine!$AF$11*Lookup_Lists!$D$107+Matching_Engine!$AN$11*Lookup_Lists!$D$108+Matching_Engine!$AU$11*Lookup_Lists!$D$109</f>
        <v>4139.5</v>
      </c>
      <c r="AY11" s="74" t="e">
        <f ca="1">IF(Matching_Engine!$AX$11=0,"N/A",ROUND((IF(Matching_Engine!$N$11=1,Matching_Engine!$M$11*Lookup_Lists!$D$104,0)+IF(Matching_Engine!$T$11=1,Matching_Engine!$S$11*Lookup_Lists!$D$105,0)+IF(Matching_Engine!$Z$11=1,Matching_Engine!$Y$11*Lookup_Lists!$D$106,0)+IF(Matching_Engine!$AF$11=1,Matching_Engine!$AE$11*Lookup_Lists!$D$107,0)+IF(Matching_Engine!$AN$11=1,Matching_Engine!$AM$11*Lookup_Lists!$D$108,0)+IF(Matching_Engine!$AU$11=1,Matching_Engine!$AT$11*Lookup_Lists!$D$109,0))/Matching_Engine!$AX$11,0))</f>
        <v>#VALUE!</v>
      </c>
      <c r="AZ11" s="42" t="str">
        <f ca="1">IF(NOT(ISNUMBER(Matching_Engine!$AY$11)),"Not Scored",IF(Matching_Engine!$AY$11&gt;=Lookup_Lists!$D$152,"Excellent Match",IF(Matching_Engine!$AY$11&gt;=Lookup_Lists!$D$153,"Strong Match",IF(Matching_Engine!$AY$11&gt;=Lookup_Lists!$D$154,"Good Match",IF(Matching_Engine!$AY$11&gt;=Lookup_Lists!$D$155,"Moderate Match","Low Match")))))</f>
        <v>Low Match</v>
      </c>
      <c r="BA11" s="65" t="e">
        <f>'[1]#REF'!$BW$11</f>
        <v>#REF!</v>
      </c>
      <c r="BB11" s="42" t="e">
        <f>'[1]#REF'!$BX$11</f>
        <v>#REF!</v>
      </c>
      <c r="BC11" s="65">
        <f ca="1">IF(NOT(ISNUMBER(Matching_Engine!$AY$11)),-1,Matching_Engine!$AY$11*1000+19)</f>
        <v>44019</v>
      </c>
      <c r="BD11" s="42" t="e">
        <f>IF(AND(ISTEXT('[1]#REF'!$S$11),'[1]#REF'!$S$11&lt;&gt;"N/A"),'[1]#REF'!$S$11,"")&amp;" | "&amp;IF(AND(ISTEXT('[1]#REF'!$T$11),'[1]#REF'!$T$11&lt;&gt;"N/A"),'[1]#REF'!$T$11,"")&amp;" | "&amp;IF(AND(ISTEXT('[1]#REF'!$N$11),'[1]#REF'!$N$11&lt;&gt;"N/A"),'[1]#REF'!$N$11,"")&amp;" | "&amp;IF(AND(ISTEXT('[1]#REF'!$K$11),'[1]#REF'!$K$11&lt;&gt;"N/A"),'[1]#REF'!$K$11,"")&amp;" | "&amp;IF(AND(ISTEXT('[1]#REF'!$J$11),'[1]#REF'!$J$11&lt;&gt;"N/A"),'[1]#REF'!$J$11,"")</f>
        <v>#REF!</v>
      </c>
      <c r="BE11" s="42" t="e">
        <f>IF(AND(ISTEXT('[1]#REF'!$T$11),'[1]#REF'!$T$11&lt;&gt;"N/A"),'[1]#REF'!$T$11,"")&amp;" | "&amp;IF(AND(ISTEXT('[1]#REF'!$N$11),'[1]#REF'!$N$11&lt;&gt;"N/A"),'[1]#REF'!$N$11,"")&amp;" | "&amp;IF(AND(ISTEXT('[1]#REF'!$O$11),'[1]#REF'!$O$11&lt;&gt;"N/A"),'[1]#REF'!$O$11,"")&amp;" | "&amp;IF(AND(ISTEXT('[1]#REF'!$S$11),'[1]#REF'!$S$11&lt;&gt;"N/A"),'[1]#REF'!$S$11,"")</f>
        <v>#REF!</v>
      </c>
      <c r="BF11" s="42" t="e">
        <f>IF(AND(ISTEXT('[1]#REF'!$U$11),'[1]#REF'!$U$11&lt;&gt;"N/A"),'[1]#REF'!$U$11,"")</f>
        <v>#REF!</v>
      </c>
      <c r="BG11" s="42" t="str">
        <f>Matching_Engine!$A$11&amp;"|"&amp;Matching_Engine!$C$11</f>
        <v>BRAND-A|KOL-06</v>
      </c>
    </row>
    <row r="12" spans="1:59">
      <c r="A12" s="64" t="s">
        <v>2527</v>
      </c>
      <c r="B12" s="42" t="str">
        <f>Brand_Profile!$E$6</f>
        <v>BRAND-B</v>
      </c>
      <c r="C12" s="42" t="e">
        <f>'[1]#REF'!$A$12</f>
        <v>#REF!</v>
      </c>
      <c r="D12" s="42" t="e">
        <f>'[1]#REF'!$C$12</f>
        <v>#REF!</v>
      </c>
      <c r="E12" s="42" t="e">
        <f>'[1]#REF'!$D$12</f>
        <v>#REF!</v>
      </c>
      <c r="F12" s="42" t="e">
        <f>'[1]#REF'!$E$12</f>
        <v>#REF!</v>
      </c>
      <c r="G12" s="42" t="e">
        <f>'[1]#REF'!$K$12</f>
        <v>#REF!</v>
      </c>
      <c r="H12" s="72" t="e">
        <f>'[1]#REF'!$G$12</f>
        <v>#REF!</v>
      </c>
      <c r="I12" s="73" t="e">
        <f>'[1]#REF'!$BG$12</f>
        <v>#REF!</v>
      </c>
      <c r="J12" s="65" t="e">
        <f>IF(NOT(AND(ISTEXT('[1]#REF'!$K$12),'[1]#REF'!$K$12&lt;&gt;"N/A")),Lookup_Lists!$D$150,IF(Brand_Profile!$E$7='[1]#REF'!$K$12,100,IFERROR(INDEX(Lookup_Lists!$B$349:$J$357,MATCH(Brand_Profile!$E$7,Lookup_Lists!$A$349:$A$357,0),MATCH('[1]#REF'!$K$12,Lookup_Lists!$B$348:$J$348,0)),Lookup_Lists!$D$151)))</f>
        <v>#REF!</v>
      </c>
      <c r="K12" s="65" t="e">
        <f>IF(LEN(TRIM(SUBSTITUTE(Matching_Engine!$BD$12,"|","")))=0,"N/A",IF(Brand_Profile!$E$47=0,Lookup_Lists!$D$150,ROUND((IF(Brand_Profile!$E$41="",0,IF(ISNUMBER(SEARCH(Brand_Profile!$E$41,Matching_Engine!$BD$12)),1,0))+IF(Brand_Profile!$E$42="",0,IF(ISNUMBER(SEARCH(Brand_Profile!$E$42,Matching_Engine!$BD$12)),1,0))+IF(Brand_Profile!$E$43="",0,IF(ISNUMBER(SEARCH(Brand_Profile!$E$43,Matching_Engine!$BD$12)),1,0))+IF(Brand_Profile!$E$44="",0,IF(ISNUMBER(SEARCH(Brand_Profile!$E$44,Matching_Engine!$BD$12)),1,0))+IF(Brand_Profile!$E$45="",0,IF(ISNUMBER(SEARCH(Brand_Profile!$E$45,Matching_Engine!$BD$12)),1,0))+IF(Brand_Profile!$E$46="",0,IF(ISNUMBER(SEARCH(Brand_Profile!$E$46,Matching_Engine!$BD$12)),1,0)))/Brand_Profile!$E$47*100,0)))</f>
        <v>#VALUE!</v>
      </c>
      <c r="L12" s="65" t="e">
        <f>IF(NOT(AND(ISTEXT('[1]#REF'!$U$12),'[1]#REF'!$U$12&lt;&gt;"N/A")),"N/A",IF(Brand_Profile!$E$53=0,Lookup_Lists!$D$150,ROUND((IF(Brand_Profile!$E$48="",0,IF(ISNUMBER(SEARCH(Brand_Profile!$E$48,Matching_Engine!$BF$12)),1,0))+IF(Brand_Profile!$E$49="",0,IF(ISNUMBER(SEARCH(Brand_Profile!$E$49,Matching_Engine!$BF$12)),1,0))+IF(Brand_Profile!$E$50="",0,IF(ISNUMBER(SEARCH(Brand_Profile!$E$50,Matching_Engine!$BF$12)),1,0))+IF(Brand_Profile!$E$51="",0,IF(ISNUMBER(SEARCH(Brand_Profile!$E$51,Matching_Engine!$BF$12)),1,0))+IF(Brand_Profile!$E$52="",0,IF(ISNUMBER(SEARCH(Brand_Profile!$E$52,Matching_Engine!$BF$12)),1,0)))/Brand_Profile!$E$53*100,0)))</f>
        <v>#REF!</v>
      </c>
      <c r="M12" s="63" t="str">
        <f>IF((IF(ISNUMBER(Matching_Engine!$J$12),Lookup_Lists!$D$332,0)+IF(ISNUMBER(Matching_Engine!$K$12),Lookup_Lists!$D$333,0)+IF(ISNUMBER(Matching_Engine!$L$12),Lookup_Lists!$D$334,0))=0,"N/A",ROUND((IF(ISNUMBER(Matching_Engine!$J$12),Matching_Engine!$J$12*Lookup_Lists!$D$332,0)+IF(ISNUMBER(Matching_Engine!$K$12),Matching_Engine!$K$12*Lookup_Lists!$D$333,0)+IF(ISNUMBER(Matching_Engine!$L$12),Matching_Engine!$L$12*Lookup_Lists!$D$334,0))/(IF(ISNUMBER(Matching_Engine!$J$12),Lookup_Lists!$D$332,0)+IF(ISNUMBER(Matching_Engine!$K$12),Lookup_Lists!$D$333,0)+IF(ISNUMBER(Matching_Engine!$L$12),Lookup_Lists!$D$334,0)),0))</f>
        <v>N/A</v>
      </c>
      <c r="N12" s="42">
        <f>IF(ISNUMBER(Matching_Engine!$M$12),1,0)</f>
        <v>1</v>
      </c>
      <c r="O12" s="65" t="str">
        <f ca="1">IF(NOT(ISNUMBER(IFERROR(INDEX('[1]#REF'!$V$12:'[1]#REF'!$Z$12,1,MATCH(Brand_Profile!$E$11,Lookup_Lists!$F$6:$F$10,0)),""))),"N/A",MIN(100,ROUND((IFERROR(INDEX('[1]#REF'!$V$12:'[1]#REF'!$Z$12,1,MATCH(Brand_Profile!$E$11,Lookup_Lists!$F$6:$F$10,0)),"")+0.5*IF(ISNUMBER(IFERROR(INDEX('[1]#REF'!$V$12:'[1]#REF'!$Z$12,1,MATCH(Brand_Profile!$E$12,Lookup_Lists!$F$6:$F$10,0)),"")),IFERROR(INDEX('[1]#REF'!$V$12:'[1]#REF'!$Z$12,1,MATCH(Brand_Profile!$E$12,Lookup_Lists!$F$6:$F$10,0)),""),0))/Lookup_Lists!$D$142*100,0)))</f>
        <v>N/A</v>
      </c>
      <c r="P12" s="65" t="str">
        <f>IF(Brand_Profile!$E$13="Any",100,IF(NOT(ISNUMBER('[1]#REF'!$AA$12)),"N/A",IF(Brand_Profile!$E$13="Female",MIN(100,ROUND('[1]#REF'!$AA$12/Lookup_Lists!$D$143*100,0)),IF(Brand_Profile!$E$13="Male",MIN(100,ROUND(IF(ISNUMBER('[1]#REF'!$AB$12),'[1]#REF'!$AB$12,100-'[1]#REF'!$AA$12)/Lookup_Lists!$D$143*100,0)),MAX(0,ROUND(100-ABS('[1]#REF'!$AA$12-50)*2,0))))))</f>
        <v>N/A</v>
      </c>
      <c r="Q12" s="65" t="str">
        <f>IF((IF(ISNUMBER(IF(NOT(ISNUMBER('[1]#REF'!$AE$12)),"N/A",IF('[1]#REF'!$AD$12&lt;&gt;Brand_Profile!$E$14,Lookup_Lists!$D$151,MIN(100,ROUND('[1]#REF'!$AE$12/Lookup_Lists!$D$316*100,0))))),Lookup_Lists!$D$118,0)+IF(ISNUMBER(IF(NOT(ISNUMBER('[1]#REF'!$AM$12)),"N/A",MIN(100,ROUND((IF('[1]#REF'!$AG$12=Brand_Profile!$E$15,IF(ISNUMBER('[1]#REF'!$AH$12),'[1]#REF'!$AH$12,0),0)+IF('[1]#REF'!$AI$12=Brand_Profile!$E$15,IF(ISNUMBER('[1]#REF'!$AJ$12),'[1]#REF'!$AJ$12,0),0)+IF('[1]#REF'!$AK$12=Brand_Profile!$E$15,IF(ISNUMBER('[1]#REF'!$AL$12),'[1]#REF'!$AL$12,0),0))/Lookup_Lists!$D$317*100,0)))),Lookup_Lists!$D$120,0))=0,"N/A",ROUND((IF(ISNUMBER(IF(NOT(ISNUMBER('[1]#REF'!$AE$12)),"N/A",IF('[1]#REF'!$AD$12&lt;&gt;Brand_Profile!$E$14,Lookup_Lists!$D$151,MIN(100,ROUND('[1]#REF'!$AE$12/Lookup_Lists!$D$316*100,0))))),IF(NOT(ISNUMBER('[1]#REF'!$AE$12)),"N/A",IF('[1]#REF'!$AD$12&lt;&gt;Brand_Profile!$E$14,Lookup_Lists!$D$151,MIN(100,ROUND('[1]#REF'!$AE$12/Lookup_Lists!$D$316*100,0))))*Lookup_Lists!$D$118,0)+IF(ISNUMBER(IF(NOT(ISNUMBER('[1]#REF'!$AM$12)),"N/A",MIN(100,ROUND((IF('[1]#REF'!$AG$12=Brand_Profile!$E$15,IF(ISNUMBER('[1]#REF'!$AH$12),'[1]#REF'!$AH$12,0),0)+IF('[1]#REF'!$AI$12=Brand_Profile!$E$15,IF(ISNUMBER('[1]#REF'!$AJ$12),'[1]#REF'!$AJ$12,0),0)+IF('[1]#REF'!$AK$12=Brand_Profile!$E$15,IF(ISNUMBER('[1]#REF'!$AL$12),'[1]#REF'!$AL$12,0),0))/Lookup_Lists!$D$317*100,0)))),IF(NOT(ISNUMBER('[1]#REF'!$AM$12)),"N/A",MIN(100,ROUND((IF('[1]#REF'!$AG$12=Brand_Profile!$E$15,IF(ISNUMBER('[1]#REF'!$AH$12),'[1]#REF'!$AH$12,0),0)+IF('[1]#REF'!$AI$12=Brand_Profile!$E$15,IF(ISNUMBER('[1]#REF'!$AJ$12),'[1]#REF'!$AJ$12,0),0)+IF('[1]#REF'!$AK$12=Brand_Profile!$E$15,IF(ISNUMBER('[1]#REF'!$AL$12),'[1]#REF'!$AL$12,0),0))/Lookup_Lists!$D$317*100,0)))*Lookup_Lists!$D$120,0))/(IF(ISNUMBER(IF(NOT(ISNUMBER('[1]#REF'!$AE$12)),"N/A",IF('[1]#REF'!$AD$12&lt;&gt;Brand_Profile!$E$14,Lookup_Lists!$D$151,MIN(100,ROUND('[1]#REF'!$AE$12/Lookup_Lists!$D$316*100,0))))),Lookup_Lists!$D$118,0)+IF(ISNUMBER(IF(NOT(ISNUMBER('[1]#REF'!$AM$12)),"N/A",MIN(100,ROUND((IF('[1]#REF'!$AG$12=Brand_Profile!$E$15,IF(ISNUMBER('[1]#REF'!$AH$12),'[1]#REF'!$AH$12,0),0)+IF('[1]#REF'!$AI$12=Brand_Profile!$E$15,IF(ISNUMBER('[1]#REF'!$AJ$12),'[1]#REF'!$AJ$12,0),0)+IF('[1]#REF'!$AK$12=Brand_Profile!$E$15,IF(ISNUMBER('[1]#REF'!$AL$12),'[1]#REF'!$AL$12,0),0))/Lookup_Lists!$D$317*100,0)))),Lookup_Lists!$D$120,0)),0))</f>
        <v>N/A</v>
      </c>
      <c r="R12" s="65" t="str">
        <f>IF(NOT(ISNUMBER('[1]#REF'!$AN$12)),"N/A",MIN(100,ROUND((IF(ISNUMBER('[1]#REF'!$AO$12),'[1]#REF'!$AO$12*Brand_Profile!$E$17,0)+IF(ISNUMBER('[1]#REF'!$AP$12),'[1]#REF'!$AP$12*Brand_Profile!$E$18,0)+IF(ISNUMBER('[1]#REF'!$AQ$12),'[1]#REF'!$AQ$12*Brand_Profile!$E$19,0)+IF(ISNUMBER('[1]#REF'!$AR$12),'[1]#REF'!$AR$12*Brand_Profile!$E$20,0)+IF(ISNUMBER('[1]#REF'!$AS$12),'[1]#REF'!$AS$12*Brand_Profile!$E$21,0)+IF(ISNUMBER('[1]#REF'!$AT$12),'[1]#REF'!$AT$12*Brand_Profile!$E$22,0)+IF(ISNUMBER('[1]#REF'!$AU$12),'[1]#REF'!$AU$12*Brand_Profile!$E$23,0)+IF(ISNUMBER('[1]#REF'!$AV$12),'[1]#REF'!$AV$12*Brand_Profile!$E$24,0)+IF(ISNUMBER('[1]#REF'!$AW$12),'[1]#REF'!$AW$12*Brand_Profile!$E$25,0)+IF(ISNUMBER('[1]#REF'!$AX$12),'[1]#REF'!$AX$12*Brand_Profile!$E$26,0)+IF(ISNUMBER('[1]#REF'!$AY$12),'[1]#REF'!$AY$12*Brand_Profile!$E$27,0)+IF(ISNUMBER('[1]#REF'!$AZ$12),'[1]#REF'!$AZ$12*Brand_Profile!$E$28,0)+IF(ISNUMBER('[1]#REF'!$BA$12),'[1]#REF'!$BA$12*Brand_Profile!$E$29,0)+IF(ISNUMBER('[1]#REF'!$BB$12),'[1]#REF'!$BB$12*Brand_Profile!$E$30,0)+IF(ISNUMBER('[1]#REF'!$BC$12),'[1]#REF'!$BC$12*Brand_Profile!$E$31,0)+IF(ISNUMBER('[1]#REF'!$BD$12),'[1]#REF'!$BD$12*Brand_Profile!$E$32,0)+IF(ISNUMBER('[1]#REF'!$BE$12),'[1]#REF'!$BE$12*Brand_Profile!$E$33,0)+IF(ISNUMBER('[1]#REF'!$BF$12),'[1]#REF'!$BF$12*Brand_Profile!$E$34,0))/Lookup_Lists!$D$318*100,0)))</f>
        <v>N/A</v>
      </c>
      <c r="S12" s="63">
        <f ca="1">IF((IF(ISNUMBER(Matching_Engine!$O$12),Lookup_Lists!$D$113,0)+IF(ISNUMBER(Matching_Engine!$P$12),Lookup_Lists!$D$114,0)+IF(ISNUMBER(Matching_Engine!$Q$12),Lookup_Lists!$D$115,0)+IF(ISNUMBER(Matching_Engine!$R$12),Lookup_Lists!$D$116,0))=0,"N/A",ROUND((IF(ISNUMBER(Matching_Engine!$O$12),Matching_Engine!$O$12*Lookup_Lists!$D$113,0)+IF(ISNUMBER(Matching_Engine!$P$12),Matching_Engine!$P$12*Lookup_Lists!$D$114,0)+IF(ISNUMBER(Matching_Engine!$Q$12),Matching_Engine!$Q$12*Lookup_Lists!$D$115,0)+IF(ISNUMBER(Matching_Engine!$R$12),Matching_Engine!$R$12*Lookup_Lists!$D$116,0))/(IF(ISNUMBER(Matching_Engine!$O$12),Lookup_Lists!$D$113,0)+IF(ISNUMBER(Matching_Engine!$P$12),Lookup_Lists!$D$114,0)+IF(ISNUMBER(Matching_Engine!$Q$12),Lookup_Lists!$D$115,0)+IF(ISNUMBER(Matching_Engine!$R$12),Lookup_Lists!$D$116,0)),0))</f>
        <v>100</v>
      </c>
      <c r="T12" s="42">
        <f ca="1">IF(ISNUMBER(Matching_Engine!$S$12),1,0)</f>
        <v>1</v>
      </c>
      <c r="U12" s="65" t="e">
        <f>IF(NOT(AND(ISTEXT('[1]#REF'!$M$12),'[1]#REF'!$M$12&lt;&gt;"N/A")),Lookup_Lists!$D$150,IF(Brand_Profile!$E$7='[1]#REF'!$M$12,100,IFERROR(INDEX(Lookup_Lists!$B$349:$J$357,MATCH(Brand_Profile!$E$7,Lookup_Lists!$A$349:$A$357,0),MATCH('[1]#REF'!$M$12,Lookup_Lists!$B$348:$J$348,0)),Lookup_Lists!$D$151)))</f>
        <v>#REF!</v>
      </c>
      <c r="V12" s="65" t="e">
        <f>IF(NOT(AND(ISTEXT('[1]#REF'!$P$12),'[1]#REF'!$P$12&lt;&gt;"N/A")),"N/A",IFERROR(INDEX(Lookup_Lists!$B$349:$J$357,MATCH(Brand_Profile!$E$7,Lookup_Lists!$A$349:$A$357,0),MATCH('[1]#REF'!$P$12,Lookup_Lists!$B$348:$J$348,0)),Lookup_Lists!$D$151))</f>
        <v>#REF!</v>
      </c>
      <c r="W12" s="65" t="e">
        <f>IF(LEN(TRIM(SUBSTITUTE(Matching_Engine!$BE$12,"|","")))=0,"N/A",IF(Brand_Profile!$E$60=0,Lookup_Lists!$D$150,ROUND((IF(Brand_Profile!$E$54="",0,IF(ISNUMBER(SEARCH(Brand_Profile!$E$54,Matching_Engine!$BE$12)),1,0))+IF(Brand_Profile!$E$55="",0,IF(ISNUMBER(SEARCH(Brand_Profile!$E$55,Matching_Engine!$BE$12)),1,0))+IF(Brand_Profile!$E$56="",0,IF(ISNUMBER(SEARCH(Brand_Profile!$E$56,Matching_Engine!$BE$12)),1,0))+IF(Brand_Profile!$E$57="",0,IF(ISNUMBER(SEARCH(Brand_Profile!$E$57,Matching_Engine!$BE$12)),1,0))+IF(Brand_Profile!$E$58="",0,IF(ISNUMBER(SEARCH(Brand_Profile!$E$58,Matching_Engine!$BE$12)),1,0))+IF(Brand_Profile!$E$59="",0,IF(ISNUMBER(SEARCH(Brand_Profile!$E$59,Matching_Engine!$BE$12)),1,0)))/Brand_Profile!$E$60*100,0)))</f>
        <v>#VALUE!</v>
      </c>
      <c r="X12" s="65" t="e">
        <f>IF(NOT(AND(ISTEXT('[1]#REF'!$Q$12),'[1]#REF'!$Q$12&lt;&gt;"N/A")),"N/A",Lookup_Lists!$D$150)</f>
        <v>#REF!</v>
      </c>
      <c r="Y12" s="63">
        <f>IF((IF(ISNUMBER(Matching_Engine!$U$12),Lookup_Lists!$D$335,0)+IF(ISNUMBER(Matching_Engine!$V$12),Lookup_Lists!$D$122,0)+IF(ISNUMBER(Matching_Engine!$W$12),Lookup_Lists!$D$336,0)+IF(ISNUMBER(Matching_Engine!$X$12),Lookup_Lists!$D$124,0))=0,"N/A",ROUND((IF(ISNUMBER(Matching_Engine!$U$12),Matching_Engine!$U$12*Lookup_Lists!$D$335,0)+IF(ISNUMBER(Matching_Engine!$V$12),Matching_Engine!$V$12*Lookup_Lists!$D$122,0)+IF(ISNUMBER(Matching_Engine!$W$12),Matching_Engine!$W$12*Lookup_Lists!$D$336,0)+IF(ISNUMBER(Matching_Engine!$X$12),Matching_Engine!$X$12*Lookup_Lists!$D$124,0))/(IF(ISNUMBER(Matching_Engine!$U$12),Lookup_Lists!$D$335,0)+IF(ISNUMBER(Matching_Engine!$V$12),Lookup_Lists!$D$122,0)+IF(ISNUMBER(Matching_Engine!$W$12),Lookup_Lists!$D$336,0)+IF(ISNUMBER(Matching_Engine!$X$12),Lookup_Lists!$D$124,0)),0))</f>
        <v>92</v>
      </c>
      <c r="Z12" s="42">
        <f>IF(ISNUMBER(Matching_Engine!$Y$12),1,0)</f>
        <v>1</v>
      </c>
      <c r="AA12" s="65" t="e">
        <f>IF(NOT(AND(ISTEXT('[1]#REF'!$Q$12),'[1]#REF'!$Q$12&lt;&gt;"N/A")),"N/A",Lookup_Lists!$D$150)</f>
        <v>#REF!</v>
      </c>
      <c r="AB12" s="65" t="e">
        <f>IF(NOT(AND(ISTEXT('[1]#REF'!$Q$12),'[1]#REF'!$Q$12&lt;&gt;"N/A")),"N/A",Lookup_Lists!$D$150)</f>
        <v>#REF!</v>
      </c>
      <c r="AC12" s="65" t="str">
        <f t="shared" si="0"/>
        <v>N/A</v>
      </c>
      <c r="AD12" s="65" t="e">
        <f>IF(NOT(AND(ISTEXT('[1]#REF'!$Q$12),'[1]#REF'!$Q$12&lt;&gt;"N/A")),"N/A",Lookup_Lists!$D$150)</f>
        <v>#REF!</v>
      </c>
      <c r="AE12" s="63">
        <f>IF((IF(ISNUMBER(Matching_Engine!$AA$12),Lookup_Lists!$D$125,0)+IF(ISNUMBER(Matching_Engine!$AB$12),Lookup_Lists!$D$126,0)+IF(ISNUMBER(Matching_Engine!$AC$12),Lookup_Lists!$D$127,0)+IF(ISNUMBER(Matching_Engine!$AD$12),Lookup_Lists!$D$128,0))=0,"N/A",ROUND((IF(ISNUMBER(Matching_Engine!$AA$12),Matching_Engine!$AA$12*Lookup_Lists!$D$125,0)+IF(ISNUMBER(Matching_Engine!$AB$12),Matching_Engine!$AB$12*Lookup_Lists!$D$126,0)+IF(ISNUMBER(Matching_Engine!$AC$12),Matching_Engine!$AC$12*Lookup_Lists!$D$127,0)+IF(ISNUMBER(Matching_Engine!$AD$12),Matching_Engine!$AD$12*Lookup_Lists!$D$128,0))/(IF(ISNUMBER(Matching_Engine!$AA$12),Lookup_Lists!$D$125,0)+IF(ISNUMBER(Matching_Engine!$AB$12),Lookup_Lists!$D$126,0)+IF(ISNUMBER(Matching_Engine!$AC$12),Lookup_Lists!$D$127,0)+IF(ISNUMBER(Matching_Engine!$AD$12),Lookup_Lists!$D$128,0)),0))</f>
        <v>82</v>
      </c>
      <c r="AF12" s="42">
        <f>IF(ISNUMBER(Matching_Engine!$AE$12),1,0)</f>
        <v>1</v>
      </c>
      <c r="AG12" s="65" t="str">
        <f>IF(NOT(ISNUMBER('[1]#REF'!$BG$12)),"N/A",MIN(100,ROUND('[1]#REF'!$BG$12/IFERROR(INDEX(Lookup_Lists!$B$340:$B$344,MATCH('[1]#REF'!$H$12,Lookup_Lists!$A$340:$A$344,0)),Lookup_Lists!$D$141)*100,0)))</f>
        <v>N/A</v>
      </c>
      <c r="AH12" s="65" t="str">
        <f>IF(NOT(ISNUMBER('[1]#REF'!$BS$12)),"N/A",MIN(100,MAX(0,'[1]#REF'!$BS$12)))</f>
        <v>N/A</v>
      </c>
      <c r="AI12" s="65" t="e">
        <f>IF(OR(NOT(ISNUMBER('[1]#REF'!$BM$12)),NOT(ISNUMBER('[1]#REF'!$BN$12)),'[1]#REF'!$BN$12&lt;Lookup_Lists!$D$320),"N/A",MIN(100,ROUND('[1]#REF'!$BM$12/Lookup_Lists!$D$319*100,0)))</f>
        <v>#REF!</v>
      </c>
      <c r="AJ12" s="65" t="str">
        <f>IF(NOT(ISNUMBER('[1]#REF'!$BR$12)),"N/A",'[1]#REF'!$BR$12)</f>
        <v>N/A</v>
      </c>
      <c r="AK12" s="65" t="str">
        <f>IF(NOT(ISNUMBER('[1]#REF'!$BK$12)),"N/A",MIN(100,ROUND('[1]#REF'!$BK$12/Lookup_Lists!$D$321*100,0)))</f>
        <v>N/A</v>
      </c>
      <c r="AL12" s="65" t="str">
        <f>IF(NOT(ISNUMBER('[1]#REF'!$BP$12)),"N/A",MIN(100,MAX(0,ROUND(('[1]#REF'!$BP$12+2)/(Lookup_Lists!$D$145+2)*100,0))))</f>
        <v>N/A</v>
      </c>
      <c r="AM12" s="63">
        <f>IF((IF(ISNUMBER(Matching_Engine!$AG$12),Lookup_Lists!$D$129,0)+IF(ISNUMBER(Matching_Engine!$AH$12),Lookup_Lists!$D$130,0)+IF(ISNUMBER(Matching_Engine!$AI$12),Lookup_Lists!$D$131,0)+IF(ISNUMBER(Matching_Engine!$AJ$12),Lookup_Lists!$D$132,0)+IF(ISNUMBER(Matching_Engine!$AK$12),Lookup_Lists!$D$133,0)+IF(ISNUMBER(Matching_Engine!$AL$12),Lookup_Lists!$D$134,0))=0,"N/A",ROUND((IF(ISNUMBER(Matching_Engine!$AG$12),Matching_Engine!$AG$12*Lookup_Lists!$D$129,0)+IF(ISNUMBER(Matching_Engine!$AH$12),Matching_Engine!$AH$12*Lookup_Lists!$D$130,0)+IF(ISNUMBER(Matching_Engine!$AI$12),Matching_Engine!$AI$12*Lookup_Lists!$D$131,0)+IF(ISNUMBER(Matching_Engine!$AJ$12),Matching_Engine!$AJ$12*Lookup_Lists!$D$132,0)+IF(ISNUMBER(Matching_Engine!$AK$12),Matching_Engine!$AK$12*Lookup_Lists!$D$133,0)+IF(ISNUMBER(Matching_Engine!$AL$12),Matching_Engine!$AL$12*Lookup_Lists!$D$134,0))/(IF(ISNUMBER(Matching_Engine!$AG$12),Lookup_Lists!$D$129,0)+IF(ISNUMBER(Matching_Engine!$AH$12),Lookup_Lists!$D$130,0)+IF(ISNUMBER(Matching_Engine!$AI$12),Lookup_Lists!$D$131,0)+IF(ISNUMBER(Matching_Engine!$AJ$12),Lookup_Lists!$D$132,0)+IF(ISNUMBER(Matching_Engine!$AK$12),Lookup_Lists!$D$133,0)+IF(ISNUMBER(Matching_Engine!$AL$12),Lookup_Lists!$D$134,0)),0))</f>
        <v>73</v>
      </c>
      <c r="AN12" s="42">
        <f>IF(ISNUMBER(Matching_Engine!$AM$12),1,0)</f>
        <v>0</v>
      </c>
      <c r="AO12" s="65" t="str">
        <f>IF(NOT(ISNUMBER('[1]#REF'!$BT$12)),"N/A",MIN(100,MAX(0,'[1]#REF'!$BT$12)))</f>
        <v>N/A</v>
      </c>
      <c r="AP12" s="65" t="str">
        <f>IF(NOT(ISNUMBER('[1]#REF'!$BU$12)),"N/A",MIN(100,MAX(0,'[1]#REF'!$BU$12)))</f>
        <v>N/A</v>
      </c>
      <c r="AQ12" s="65" t="e">
        <f>IF('[1]#REF'!$I$12="Yes",Lookup_Lists!$D$326,IF('[1]#REF'!$I$12="No",Lookup_Lists!$D$327,"N/A"))</f>
        <v>#REF!</v>
      </c>
      <c r="AR12" s="65" t="str">
        <f>IF(NOT(ISNUMBER('[1]#REF'!$BQ$12)),"N/A",MAX(0,ROUND(100-'[1]#REF'!$BQ$12/Lookup_Lists!$D$328*100,0)))</f>
        <v>N/A</v>
      </c>
      <c r="AS12" s="65" t="e">
        <f>IF(NOT(AND(ISTEXT('[1]#REF'!$BV$12),'[1]#REF'!$BV$12&lt;&gt;"N/A")),"N/A",'[1]#REF'!$BV$12)</f>
        <v>#REF!</v>
      </c>
      <c r="AT12" s="63" t="str">
        <f ca="1">IF((IF(ISNUMBER(Matching_Engine!$AO$12),Lookup_Lists!$D$322,0)+IF(ISNUMBER(Matching_Engine!$AP$12),Lookup_Lists!$D$323,0)+IF(ISNUMBER(Matching_Engine!$AQ$12),Lookup_Lists!$D$324,0)+IF(ISNUMBER(Matching_Engine!$AR$12),Lookup_Lists!$D$325,0))=0,"N/A",ROUND((IF(ISNUMBER(Matching_Engine!$AO$12),Matching_Engine!$AO$12*Lookup_Lists!$D$322,0)+IF(ISNUMBER(Matching_Engine!$AP$12),Matching_Engine!$AP$12*Lookup_Lists!$D$323,0)+IF(ISNUMBER(Matching_Engine!$AQ$12),Matching_Engine!$AQ$12*Lookup_Lists!$D$324,0)+IF(ISNUMBER(Matching_Engine!$AR$12),Matching_Engine!$AR$12*Lookup_Lists!$D$325,0))/(IF(ISNUMBER(Matching_Engine!$AO$12),Lookup_Lists!$D$322,0)+IF(ISNUMBER(Matching_Engine!$AP$12),Lookup_Lists!$D$323,0)+IF(ISNUMBER(Matching_Engine!$AQ$12),Lookup_Lists!$D$324,0)+IF(ISNUMBER(Matching_Engine!$AR$12),Lookup_Lists!$D$325,0)),0))</f>
        <v>N/A</v>
      </c>
      <c r="AU12" s="42">
        <f>IF(ISNUMBER(Matching_Engine!$AT$12),1,0)</f>
        <v>1</v>
      </c>
      <c r="AV12" s="42" t="str">
        <f>IF(NOT(ISNUMBER(Matching_Engine!$AT$12)),"Not Screened",IF(Matching_Engine!$AT$12&gt;=Lookup_Lists!$D$329,"Low Risk",IF(Matching_Engine!$AT$12&gt;=Lookup_Lists!$D$330,"Moderate Risk",IF(Matching_Engine!$AT$12&gt;=Lookup_Lists!$D$331,"Elevated Risk","High Risk"))))</f>
        <v>Low Risk</v>
      </c>
      <c r="AW12" s="42" t="e">
        <f ca="1">IF(NOT(ISNUMBER(Matching_Engine!$AT$12)),"No integrity signal: no audience-analysis row for this account.","Integrity screen only — no content-risk reading exists (comments_analysis: 0 rows). "&amp;IF(ISNUMBER(Matching_Engine!$AO$12),"Authenticity "&amp;Matching_Engine!$AO$12&amp;". ","Authenticity N/A. ")&amp;IF(ISNUMBER(Matching_Engine!$AP$12),"Follower quality "&amp;Matching_Engine!$AP$12&amp;". ","Follower quality N/A. ")&amp;IF('[1]#REF'!$I$12="Yes","Platform-verified.","Not platform-verified."))</f>
        <v>#REF!</v>
      </c>
      <c r="AX12" s="65">
        <f>Matching_Engine!$N$12*Lookup_Lists!$D$104+Matching_Engine!$T$12*Lookup_Lists!$D$105+Matching_Engine!$Z$12*Lookup_Lists!$D$106+Matching_Engine!$AF$12*Lookup_Lists!$D$107+Matching_Engine!$AN$12*Lookup_Lists!$D$108+Matching_Engine!$AU$12*Lookup_Lists!$D$109</f>
        <v>7310</v>
      </c>
      <c r="AY12" s="74" t="e">
        <f ca="1">IF(Matching_Engine!$AX$12=0,"N/A",ROUND((IF(Matching_Engine!$N$12=1,Matching_Engine!$M$12*Lookup_Lists!$D$104,0)+IF(Matching_Engine!$T$12=1,Matching_Engine!$S$12*Lookup_Lists!$D$105,0)+IF(Matching_Engine!$Z$12=1,Matching_Engine!$Y$12*Lookup_Lists!$D$106,0)+IF(Matching_Engine!$AF$12=1,Matching_Engine!$AE$12*Lookup_Lists!$D$107,0)+IF(Matching_Engine!$AN$12=1,Matching_Engine!$AM$12*Lookup_Lists!$D$108,0)+IF(Matching_Engine!$AU$12=1,Matching_Engine!$AT$12*Lookup_Lists!$D$109,0))/Matching_Engine!$AX$12,0))</f>
        <v>#VALUE!</v>
      </c>
      <c r="AZ12" s="42" t="str">
        <f ca="1">IF(NOT(ISNUMBER(Matching_Engine!$AY$12)),"Not Scored",IF(Matching_Engine!$AY$12&gt;=Lookup_Lists!$D$152,"Excellent Match",IF(Matching_Engine!$AY$12&gt;=Lookup_Lists!$D$153,"Strong Match",IF(Matching_Engine!$AY$12&gt;=Lookup_Lists!$D$154,"Good Match",IF(Matching_Engine!$AY$12&gt;=Lookup_Lists!$D$155,"Moderate Match","Low Match")))))</f>
        <v>Strong Match</v>
      </c>
      <c r="BA12" s="65" t="e">
        <f>'[1]#REF'!$BW$12</f>
        <v>#REF!</v>
      </c>
      <c r="BB12" s="42" t="e">
        <f>'[1]#REF'!$BX$12</f>
        <v>#REF!</v>
      </c>
      <c r="BC12" s="65">
        <f ca="1">IF(NOT(ISNUMBER(Matching_Engine!$AY$12)),-1,Matching_Engine!$AY$12*1000+18)</f>
        <v>87018</v>
      </c>
      <c r="BD12" s="42" t="e">
        <f>IF(AND(ISTEXT('[1]#REF'!$S$12),'[1]#REF'!$S$12&lt;&gt;"N/A"),'[1]#REF'!$S$12,"")&amp;" | "&amp;IF(AND(ISTEXT('[1]#REF'!$T$12),'[1]#REF'!$T$12&lt;&gt;"N/A"),'[1]#REF'!$T$12,"")&amp;" | "&amp;IF(AND(ISTEXT('[1]#REF'!$N$12),'[1]#REF'!$N$12&lt;&gt;"N/A"),'[1]#REF'!$N$12,"")&amp;" | "&amp;IF(AND(ISTEXT('[1]#REF'!$K$12),'[1]#REF'!$K$12&lt;&gt;"N/A"),'[1]#REF'!$K$12,"")&amp;" | "&amp;IF(AND(ISTEXT('[1]#REF'!$J$12),'[1]#REF'!$J$12&lt;&gt;"N/A"),'[1]#REF'!$J$12,"")</f>
        <v>#REF!</v>
      </c>
      <c r="BE12" s="42" t="e">
        <f>IF(AND(ISTEXT('[1]#REF'!$T$12),'[1]#REF'!$T$12&lt;&gt;"N/A"),'[1]#REF'!$T$12,"")&amp;" | "&amp;IF(AND(ISTEXT('[1]#REF'!$N$12),'[1]#REF'!$N$12&lt;&gt;"N/A"),'[1]#REF'!$N$12,"")&amp;" | "&amp;IF(AND(ISTEXT('[1]#REF'!$O$12),'[1]#REF'!$O$12&lt;&gt;"N/A"),'[1]#REF'!$O$12,"")&amp;" | "&amp;IF(AND(ISTEXT('[1]#REF'!$S$12),'[1]#REF'!$S$12&lt;&gt;"N/A"),'[1]#REF'!$S$12,"")</f>
        <v>#REF!</v>
      </c>
      <c r="BF12" s="42" t="e">
        <f>IF(AND(ISTEXT('[1]#REF'!$U$12),'[1]#REF'!$U$12&lt;&gt;"N/A"),'[1]#REF'!$U$12,"")</f>
        <v>#REF!</v>
      </c>
      <c r="BG12" s="42" t="str">
        <f>Matching_Engine!$A$12&amp;"|"&amp;Matching_Engine!$C$12</f>
        <v>BRAND-A|KOL-07</v>
      </c>
    </row>
    <row r="13" spans="1:59">
      <c r="A13" s="64" t="s">
        <v>2527</v>
      </c>
      <c r="B13" s="42" t="str">
        <f>Brand_Profile!$E$6</f>
        <v>BRAND-B</v>
      </c>
      <c r="C13" s="42" t="e">
        <f>'[1]#REF'!$A$13</f>
        <v>#REF!</v>
      </c>
      <c r="D13" s="42" t="e">
        <f>'[1]#REF'!$C$13</f>
        <v>#REF!</v>
      </c>
      <c r="E13" s="42" t="e">
        <f>'[1]#REF'!$D$13</f>
        <v>#REF!</v>
      </c>
      <c r="F13" s="42" t="e">
        <f>'[1]#REF'!$E$13</f>
        <v>#REF!</v>
      </c>
      <c r="G13" s="42" t="e">
        <f>'[1]#REF'!$K$13</f>
        <v>#REF!</v>
      </c>
      <c r="H13" s="72" t="e">
        <f>'[1]#REF'!$G$13</f>
        <v>#REF!</v>
      </c>
      <c r="I13" s="73" t="e">
        <f>'[1]#REF'!$BG$13</f>
        <v>#REF!</v>
      </c>
      <c r="J13" s="65" t="e">
        <f>IF(NOT(AND(ISTEXT('[1]#REF'!$K$13),'[1]#REF'!$K$13&lt;&gt;"N/A")),Lookup_Lists!$D$150,IF(Brand_Profile!$E$7='[1]#REF'!$K$13,100,IFERROR(INDEX(Lookup_Lists!$B$349:$J$357,MATCH(Brand_Profile!$E$7,Lookup_Lists!$A$349:$A$357,0),MATCH('[1]#REF'!$K$13,Lookup_Lists!$B$348:$J$348,0)),Lookup_Lists!$D$151)))</f>
        <v>#REF!</v>
      </c>
      <c r="K13" s="65" t="e">
        <f>IF(LEN(TRIM(SUBSTITUTE(Matching_Engine!$BD$13,"|","")))=0,"N/A",IF(Brand_Profile!$E$47=0,Lookup_Lists!$D$150,ROUND((IF(Brand_Profile!$E$41="",0,IF(ISNUMBER(SEARCH(Brand_Profile!$E$41,Matching_Engine!$BD$13)),1,0))+IF(Brand_Profile!$E$42="",0,IF(ISNUMBER(SEARCH(Brand_Profile!$E$42,Matching_Engine!$BD$13)),1,0))+IF(Brand_Profile!$E$43="",0,IF(ISNUMBER(SEARCH(Brand_Profile!$E$43,Matching_Engine!$BD$13)),1,0))+IF(Brand_Profile!$E$44="",0,IF(ISNUMBER(SEARCH(Brand_Profile!$E$44,Matching_Engine!$BD$13)),1,0))+IF(Brand_Profile!$E$45="",0,IF(ISNUMBER(SEARCH(Brand_Profile!$E$45,Matching_Engine!$BD$13)),1,0))+IF(Brand_Profile!$E$46="",0,IF(ISNUMBER(SEARCH(Brand_Profile!$E$46,Matching_Engine!$BD$13)),1,0)))/Brand_Profile!$E$47*100,0)))</f>
        <v>#VALUE!</v>
      </c>
      <c r="L13" s="65" t="e">
        <f>IF(NOT(AND(ISTEXT('[1]#REF'!$U$13),'[1]#REF'!$U$13&lt;&gt;"N/A")),"N/A",IF(Brand_Profile!$E$53=0,Lookup_Lists!$D$150,ROUND((IF(Brand_Profile!$E$48="",0,IF(ISNUMBER(SEARCH(Brand_Profile!$E$48,Matching_Engine!$BF$13)),1,0))+IF(Brand_Profile!$E$49="",0,IF(ISNUMBER(SEARCH(Brand_Profile!$E$49,Matching_Engine!$BF$13)),1,0))+IF(Brand_Profile!$E$50="",0,IF(ISNUMBER(SEARCH(Brand_Profile!$E$50,Matching_Engine!$BF$13)),1,0))+IF(Brand_Profile!$E$51="",0,IF(ISNUMBER(SEARCH(Brand_Profile!$E$51,Matching_Engine!$BF$13)),1,0))+IF(Brand_Profile!$E$52="",0,IF(ISNUMBER(SEARCH(Brand_Profile!$E$52,Matching_Engine!$BF$13)),1,0)))/Brand_Profile!$E$53*100,0)))</f>
        <v>#REF!</v>
      </c>
      <c r="M13" s="63" t="str">
        <f>IF((IF(ISNUMBER(Matching_Engine!$J$13),Lookup_Lists!$D$332,0)+IF(ISNUMBER(Matching_Engine!$K$13),Lookup_Lists!$D$333,0)+IF(ISNUMBER(Matching_Engine!$L$13),Lookup_Lists!$D$334,0))=0,"N/A",ROUND((IF(ISNUMBER(Matching_Engine!$J$13),Matching_Engine!$J$13*Lookup_Lists!$D$332,0)+IF(ISNUMBER(Matching_Engine!$K$13),Matching_Engine!$K$13*Lookup_Lists!$D$333,0)+IF(ISNUMBER(Matching_Engine!$L$13),Matching_Engine!$L$13*Lookup_Lists!$D$334,0))/(IF(ISNUMBER(Matching_Engine!$J$13),Lookup_Lists!$D$332,0)+IF(ISNUMBER(Matching_Engine!$K$13),Lookup_Lists!$D$333,0)+IF(ISNUMBER(Matching_Engine!$L$13),Lookup_Lists!$D$334,0)),0))</f>
        <v>N/A</v>
      </c>
      <c r="N13" s="42">
        <f>IF(ISNUMBER(Matching_Engine!$M$13),1,0)</f>
        <v>1</v>
      </c>
      <c r="O13" s="65" t="str">
        <f ca="1">IF(NOT(ISNUMBER(IFERROR(INDEX('[1]#REF'!$V$13:'[1]#REF'!$Z$13,1,MATCH(Brand_Profile!$E$11,Lookup_Lists!$F$6:$F$10,0)),""))),"N/A",MIN(100,ROUND((IFERROR(INDEX('[1]#REF'!$V$13:'[1]#REF'!$Z$13,1,MATCH(Brand_Profile!$E$11,Lookup_Lists!$F$6:$F$10,0)),"")+0.5*IF(ISNUMBER(IFERROR(INDEX('[1]#REF'!$V$13:'[1]#REF'!$Z$13,1,MATCH(Brand_Profile!$E$12,Lookup_Lists!$F$6:$F$10,0)),"")),IFERROR(INDEX('[1]#REF'!$V$13:'[1]#REF'!$Z$13,1,MATCH(Brand_Profile!$E$12,Lookup_Lists!$F$6:$F$10,0)),""),0))/Lookup_Lists!$D$142*100,0)))</f>
        <v>N/A</v>
      </c>
      <c r="P13" s="65" t="str">
        <f>IF(Brand_Profile!$E$13="Any",100,IF(NOT(ISNUMBER('[1]#REF'!$AA$13)),"N/A",IF(Brand_Profile!$E$13="Female",MIN(100,ROUND('[1]#REF'!$AA$13/Lookup_Lists!$D$143*100,0)),IF(Brand_Profile!$E$13="Male",MIN(100,ROUND(IF(ISNUMBER('[1]#REF'!$AB$13),'[1]#REF'!$AB$13,100-'[1]#REF'!$AA$13)/Lookup_Lists!$D$143*100,0)),MAX(0,ROUND(100-ABS('[1]#REF'!$AA$13-50)*2,0))))))</f>
        <v>N/A</v>
      </c>
      <c r="Q13" s="65" t="str">
        <f>IF((IF(ISNUMBER(IF(NOT(ISNUMBER('[1]#REF'!$AE$13)),"N/A",IF('[1]#REF'!$AD$13&lt;&gt;Brand_Profile!$E$14,Lookup_Lists!$D$151,MIN(100,ROUND('[1]#REF'!$AE$13/Lookup_Lists!$D$316*100,0))))),Lookup_Lists!$D$118,0)+IF(ISNUMBER(IF(NOT(ISNUMBER('[1]#REF'!$AM$13)),"N/A",MIN(100,ROUND((IF('[1]#REF'!$AG$13=Brand_Profile!$E$15,IF(ISNUMBER('[1]#REF'!$AH$13),'[1]#REF'!$AH$13,0),0)+IF('[1]#REF'!$AI$13=Brand_Profile!$E$15,IF(ISNUMBER('[1]#REF'!$AJ$13),'[1]#REF'!$AJ$13,0),0)+IF('[1]#REF'!$AK$13=Brand_Profile!$E$15,IF(ISNUMBER('[1]#REF'!$AL$13),'[1]#REF'!$AL$13,0),0))/Lookup_Lists!$D$317*100,0)))),Lookup_Lists!$D$120,0))=0,"N/A",ROUND((IF(ISNUMBER(IF(NOT(ISNUMBER('[1]#REF'!$AE$13)),"N/A",IF('[1]#REF'!$AD$13&lt;&gt;Brand_Profile!$E$14,Lookup_Lists!$D$151,MIN(100,ROUND('[1]#REF'!$AE$13/Lookup_Lists!$D$316*100,0))))),IF(NOT(ISNUMBER('[1]#REF'!$AE$13)),"N/A",IF('[1]#REF'!$AD$13&lt;&gt;Brand_Profile!$E$14,Lookup_Lists!$D$151,MIN(100,ROUND('[1]#REF'!$AE$13/Lookup_Lists!$D$316*100,0))))*Lookup_Lists!$D$118,0)+IF(ISNUMBER(IF(NOT(ISNUMBER('[1]#REF'!$AM$13)),"N/A",MIN(100,ROUND((IF('[1]#REF'!$AG$13=Brand_Profile!$E$15,IF(ISNUMBER('[1]#REF'!$AH$13),'[1]#REF'!$AH$13,0),0)+IF('[1]#REF'!$AI$13=Brand_Profile!$E$15,IF(ISNUMBER('[1]#REF'!$AJ$13),'[1]#REF'!$AJ$13,0),0)+IF('[1]#REF'!$AK$13=Brand_Profile!$E$15,IF(ISNUMBER('[1]#REF'!$AL$13),'[1]#REF'!$AL$13,0),0))/Lookup_Lists!$D$317*100,0)))),IF(NOT(ISNUMBER('[1]#REF'!$AM$13)),"N/A",MIN(100,ROUND((IF('[1]#REF'!$AG$13=Brand_Profile!$E$15,IF(ISNUMBER('[1]#REF'!$AH$13),'[1]#REF'!$AH$13,0),0)+IF('[1]#REF'!$AI$13=Brand_Profile!$E$15,IF(ISNUMBER('[1]#REF'!$AJ$13),'[1]#REF'!$AJ$13,0),0)+IF('[1]#REF'!$AK$13=Brand_Profile!$E$15,IF(ISNUMBER('[1]#REF'!$AL$13),'[1]#REF'!$AL$13,0),0))/Lookup_Lists!$D$317*100,0)))*Lookup_Lists!$D$120,0))/(IF(ISNUMBER(IF(NOT(ISNUMBER('[1]#REF'!$AE$13)),"N/A",IF('[1]#REF'!$AD$13&lt;&gt;Brand_Profile!$E$14,Lookup_Lists!$D$151,MIN(100,ROUND('[1]#REF'!$AE$13/Lookup_Lists!$D$316*100,0))))),Lookup_Lists!$D$118,0)+IF(ISNUMBER(IF(NOT(ISNUMBER('[1]#REF'!$AM$13)),"N/A",MIN(100,ROUND((IF('[1]#REF'!$AG$13=Brand_Profile!$E$15,IF(ISNUMBER('[1]#REF'!$AH$13),'[1]#REF'!$AH$13,0),0)+IF('[1]#REF'!$AI$13=Brand_Profile!$E$15,IF(ISNUMBER('[1]#REF'!$AJ$13),'[1]#REF'!$AJ$13,0),0)+IF('[1]#REF'!$AK$13=Brand_Profile!$E$15,IF(ISNUMBER('[1]#REF'!$AL$13),'[1]#REF'!$AL$13,0),0))/Lookup_Lists!$D$317*100,0)))),Lookup_Lists!$D$120,0)),0))</f>
        <v>N/A</v>
      </c>
      <c r="R13" s="65" t="str">
        <f>IF(NOT(ISNUMBER('[1]#REF'!$AN$13)),"N/A",MIN(100,ROUND((IF(ISNUMBER('[1]#REF'!$AO$13),'[1]#REF'!$AO$13*Brand_Profile!$E$17,0)+IF(ISNUMBER('[1]#REF'!$AP$13),'[1]#REF'!$AP$13*Brand_Profile!$E$18,0)+IF(ISNUMBER('[1]#REF'!$AQ$13),'[1]#REF'!$AQ$13*Brand_Profile!$E$19,0)+IF(ISNUMBER('[1]#REF'!$AR$13),'[1]#REF'!$AR$13*Brand_Profile!$E$20,0)+IF(ISNUMBER('[1]#REF'!$AS$13),'[1]#REF'!$AS$13*Brand_Profile!$E$21,0)+IF(ISNUMBER('[1]#REF'!$AT$13),'[1]#REF'!$AT$13*Brand_Profile!$E$22,0)+IF(ISNUMBER('[1]#REF'!$AU$13),'[1]#REF'!$AU$13*Brand_Profile!$E$23,0)+IF(ISNUMBER('[1]#REF'!$AV$13),'[1]#REF'!$AV$13*Brand_Profile!$E$24,0)+IF(ISNUMBER('[1]#REF'!$AW$13),'[1]#REF'!$AW$13*Brand_Profile!$E$25,0)+IF(ISNUMBER('[1]#REF'!$AX$13),'[1]#REF'!$AX$13*Brand_Profile!$E$26,0)+IF(ISNUMBER('[1]#REF'!$AY$13),'[1]#REF'!$AY$13*Brand_Profile!$E$27,0)+IF(ISNUMBER('[1]#REF'!$AZ$13),'[1]#REF'!$AZ$13*Brand_Profile!$E$28,0)+IF(ISNUMBER('[1]#REF'!$BA$13),'[1]#REF'!$BA$13*Brand_Profile!$E$29,0)+IF(ISNUMBER('[1]#REF'!$BB$13),'[1]#REF'!$BB$13*Brand_Profile!$E$30,0)+IF(ISNUMBER('[1]#REF'!$BC$13),'[1]#REF'!$BC$13*Brand_Profile!$E$31,0)+IF(ISNUMBER('[1]#REF'!$BD$13),'[1]#REF'!$BD$13*Brand_Profile!$E$32,0)+IF(ISNUMBER('[1]#REF'!$BE$13),'[1]#REF'!$BE$13*Brand_Profile!$E$33,0)+IF(ISNUMBER('[1]#REF'!$BF$13),'[1]#REF'!$BF$13*Brand_Profile!$E$34,0))/Lookup_Lists!$D$318*100,0)))</f>
        <v>N/A</v>
      </c>
      <c r="S13" s="63">
        <f ca="1">IF((IF(ISNUMBER(Matching_Engine!$O$13),Lookup_Lists!$D$113,0)+IF(ISNUMBER(Matching_Engine!$P$13),Lookup_Lists!$D$114,0)+IF(ISNUMBER(Matching_Engine!$Q$13),Lookup_Lists!$D$115,0)+IF(ISNUMBER(Matching_Engine!$R$13),Lookup_Lists!$D$116,0))=0,"N/A",ROUND((IF(ISNUMBER(Matching_Engine!$O$13),Matching_Engine!$O$13*Lookup_Lists!$D$113,0)+IF(ISNUMBER(Matching_Engine!$P$13),Matching_Engine!$P$13*Lookup_Lists!$D$114,0)+IF(ISNUMBER(Matching_Engine!$Q$13),Matching_Engine!$Q$13*Lookup_Lists!$D$115,0)+IF(ISNUMBER(Matching_Engine!$R$13),Matching_Engine!$R$13*Lookup_Lists!$D$116,0))/(IF(ISNUMBER(Matching_Engine!$O$13),Lookup_Lists!$D$113,0)+IF(ISNUMBER(Matching_Engine!$P$13),Lookup_Lists!$D$114,0)+IF(ISNUMBER(Matching_Engine!$Q$13),Lookup_Lists!$D$115,0)+IF(ISNUMBER(Matching_Engine!$R$13),Lookup_Lists!$D$116,0)),0))</f>
        <v>94</v>
      </c>
      <c r="T13" s="42">
        <f ca="1">IF(ISNUMBER(Matching_Engine!$S$13),1,0)</f>
        <v>1</v>
      </c>
      <c r="U13" s="65" t="e">
        <f>IF(NOT(AND(ISTEXT('[1]#REF'!$M$13),'[1]#REF'!$M$13&lt;&gt;"N/A")),Lookup_Lists!$D$150,IF(Brand_Profile!$E$7='[1]#REF'!$M$13,100,IFERROR(INDEX(Lookup_Lists!$B$349:$J$357,MATCH(Brand_Profile!$E$7,Lookup_Lists!$A$349:$A$357,0),MATCH('[1]#REF'!$M$13,Lookup_Lists!$B$348:$J$348,0)),Lookup_Lists!$D$151)))</f>
        <v>#REF!</v>
      </c>
      <c r="V13" s="65" t="e">
        <f>IF(NOT(AND(ISTEXT('[1]#REF'!$P$13),'[1]#REF'!$P$13&lt;&gt;"N/A")),"N/A",IFERROR(INDEX(Lookup_Lists!$B$349:$J$357,MATCH(Brand_Profile!$E$7,Lookup_Lists!$A$349:$A$357,0),MATCH('[1]#REF'!$P$13,Lookup_Lists!$B$348:$J$348,0)),Lookup_Lists!$D$151))</f>
        <v>#REF!</v>
      </c>
      <c r="W13" s="65" t="e">
        <f>IF(LEN(TRIM(SUBSTITUTE(Matching_Engine!$BE$13,"|","")))=0,"N/A",IF(Brand_Profile!$E$60=0,Lookup_Lists!$D$150,ROUND((IF(Brand_Profile!$E$54="",0,IF(ISNUMBER(SEARCH(Brand_Profile!$E$54,Matching_Engine!$BE$13)),1,0))+IF(Brand_Profile!$E$55="",0,IF(ISNUMBER(SEARCH(Brand_Profile!$E$55,Matching_Engine!$BE$13)),1,0))+IF(Brand_Profile!$E$56="",0,IF(ISNUMBER(SEARCH(Brand_Profile!$E$56,Matching_Engine!$BE$13)),1,0))+IF(Brand_Profile!$E$57="",0,IF(ISNUMBER(SEARCH(Brand_Profile!$E$57,Matching_Engine!$BE$13)),1,0))+IF(Brand_Profile!$E$58="",0,IF(ISNUMBER(SEARCH(Brand_Profile!$E$58,Matching_Engine!$BE$13)),1,0))+IF(Brand_Profile!$E$59="",0,IF(ISNUMBER(SEARCH(Brand_Profile!$E$59,Matching_Engine!$BE$13)),1,0)))/Brand_Profile!$E$60*100,0)))</f>
        <v>#VALUE!</v>
      </c>
      <c r="X13" s="65" t="e">
        <f>IF(NOT(AND(ISTEXT('[1]#REF'!$Q$13),'[1]#REF'!$Q$13&lt;&gt;"N/A")),"N/A",Lookup_Lists!$D$150)</f>
        <v>#REF!</v>
      </c>
      <c r="Y13" s="63">
        <f>IF((IF(ISNUMBER(Matching_Engine!$U$13),Lookup_Lists!$D$335,0)+IF(ISNUMBER(Matching_Engine!$V$13),Lookup_Lists!$D$122,0)+IF(ISNUMBER(Matching_Engine!$W$13),Lookup_Lists!$D$336,0)+IF(ISNUMBER(Matching_Engine!$X$13),Lookup_Lists!$D$124,0))=0,"N/A",ROUND((IF(ISNUMBER(Matching_Engine!$U$13),Matching_Engine!$U$13*Lookup_Lists!$D$335,0)+IF(ISNUMBER(Matching_Engine!$V$13),Matching_Engine!$V$13*Lookup_Lists!$D$122,0)+IF(ISNUMBER(Matching_Engine!$W$13),Matching_Engine!$W$13*Lookup_Lists!$D$336,0)+IF(ISNUMBER(Matching_Engine!$X$13),Matching_Engine!$X$13*Lookup_Lists!$D$124,0))/(IF(ISNUMBER(Matching_Engine!$U$13),Lookup_Lists!$D$335,0)+IF(ISNUMBER(Matching_Engine!$V$13),Lookup_Lists!$D$122,0)+IF(ISNUMBER(Matching_Engine!$W$13),Lookup_Lists!$D$336,0)+IF(ISNUMBER(Matching_Engine!$X$13),Lookup_Lists!$D$124,0)),0))</f>
        <v>79</v>
      </c>
      <c r="Z13" s="42">
        <f>IF(ISNUMBER(Matching_Engine!$Y$13),1,0)</f>
        <v>1</v>
      </c>
      <c r="AA13" s="65" t="e">
        <f>IF(NOT(AND(ISTEXT('[1]#REF'!$Q$13),'[1]#REF'!$Q$13&lt;&gt;"N/A")),"N/A",Lookup_Lists!$D$150)</f>
        <v>#REF!</v>
      </c>
      <c r="AB13" s="65" t="e">
        <f>IF(NOT(AND(ISTEXT('[1]#REF'!$Q$13),'[1]#REF'!$Q$13&lt;&gt;"N/A")),"N/A",Lookup_Lists!$D$150)</f>
        <v>#REF!</v>
      </c>
      <c r="AC13" s="65" t="str">
        <f t="shared" si="0"/>
        <v>N/A</v>
      </c>
      <c r="AD13" s="65" t="e">
        <f>IF(NOT(AND(ISTEXT('[1]#REF'!$Q$13),'[1]#REF'!$Q$13&lt;&gt;"N/A")),"N/A",Lookup_Lists!$D$150)</f>
        <v>#REF!</v>
      </c>
      <c r="AE13" s="63">
        <f>IF((IF(ISNUMBER(Matching_Engine!$AA$13),Lookup_Lists!$D$125,0)+IF(ISNUMBER(Matching_Engine!$AB$13),Lookup_Lists!$D$126,0)+IF(ISNUMBER(Matching_Engine!$AC$13),Lookup_Lists!$D$127,0)+IF(ISNUMBER(Matching_Engine!$AD$13),Lookup_Lists!$D$128,0))=0,"N/A",ROUND((IF(ISNUMBER(Matching_Engine!$AA$13),Matching_Engine!$AA$13*Lookup_Lists!$D$125,0)+IF(ISNUMBER(Matching_Engine!$AB$13),Matching_Engine!$AB$13*Lookup_Lists!$D$126,0)+IF(ISNUMBER(Matching_Engine!$AC$13),Matching_Engine!$AC$13*Lookup_Lists!$D$127,0)+IF(ISNUMBER(Matching_Engine!$AD$13),Matching_Engine!$AD$13*Lookup_Lists!$D$128,0))/(IF(ISNUMBER(Matching_Engine!$AA$13),Lookup_Lists!$D$125,0)+IF(ISNUMBER(Matching_Engine!$AB$13),Lookup_Lists!$D$126,0)+IF(ISNUMBER(Matching_Engine!$AC$13),Lookup_Lists!$D$127,0)+IF(ISNUMBER(Matching_Engine!$AD$13),Lookup_Lists!$D$128,0)),0))</f>
        <v>90</v>
      </c>
      <c r="AF13" s="42">
        <f>IF(ISNUMBER(Matching_Engine!$AE$13),1,0)</f>
        <v>1</v>
      </c>
      <c r="AG13" s="65" t="str">
        <f>IF(NOT(ISNUMBER('[1]#REF'!$BG$13)),"N/A",MIN(100,ROUND('[1]#REF'!$BG$13/IFERROR(INDEX(Lookup_Lists!$B$340:$B$344,MATCH('[1]#REF'!$H$13,Lookup_Lists!$A$340:$A$344,0)),Lookup_Lists!$D$141)*100,0)))</f>
        <v>N/A</v>
      </c>
      <c r="AH13" s="65" t="str">
        <f>IF(NOT(ISNUMBER('[1]#REF'!$BS$13)),"N/A",MIN(100,MAX(0,'[1]#REF'!$BS$13)))</f>
        <v>N/A</v>
      </c>
      <c r="AI13" s="65" t="e">
        <f>IF(OR(NOT(ISNUMBER('[1]#REF'!$BM$13)),NOT(ISNUMBER('[1]#REF'!$BN$13)),'[1]#REF'!$BN$13&lt;Lookup_Lists!$D$320),"N/A",MIN(100,ROUND('[1]#REF'!$BM$13/Lookup_Lists!$D$319*100,0)))</f>
        <v>#REF!</v>
      </c>
      <c r="AJ13" s="65" t="str">
        <f>IF(NOT(ISNUMBER('[1]#REF'!$BR$13)),"N/A",'[1]#REF'!$BR$13)</f>
        <v>N/A</v>
      </c>
      <c r="AK13" s="65" t="str">
        <f>IF(NOT(ISNUMBER('[1]#REF'!$BK$13)),"N/A",MIN(100,ROUND('[1]#REF'!$BK$13/Lookup_Lists!$D$321*100,0)))</f>
        <v>N/A</v>
      </c>
      <c r="AL13" s="65" t="str">
        <f>IF(NOT(ISNUMBER('[1]#REF'!$BP$13)),"N/A",MIN(100,MAX(0,ROUND(('[1]#REF'!$BP$13+2)/(Lookup_Lists!$D$145+2)*100,0))))</f>
        <v>N/A</v>
      </c>
      <c r="AM13" s="63">
        <f>IF((IF(ISNUMBER(Matching_Engine!$AG$13),Lookup_Lists!$D$129,0)+IF(ISNUMBER(Matching_Engine!$AH$13),Lookup_Lists!$D$130,0)+IF(ISNUMBER(Matching_Engine!$AI$13),Lookup_Lists!$D$131,0)+IF(ISNUMBER(Matching_Engine!$AJ$13),Lookup_Lists!$D$132,0)+IF(ISNUMBER(Matching_Engine!$AK$13),Lookup_Lists!$D$133,0)+IF(ISNUMBER(Matching_Engine!$AL$13),Lookup_Lists!$D$134,0))=0,"N/A",ROUND((IF(ISNUMBER(Matching_Engine!$AG$13),Matching_Engine!$AG$13*Lookup_Lists!$D$129,0)+IF(ISNUMBER(Matching_Engine!$AH$13),Matching_Engine!$AH$13*Lookup_Lists!$D$130,0)+IF(ISNUMBER(Matching_Engine!$AI$13),Matching_Engine!$AI$13*Lookup_Lists!$D$131,0)+IF(ISNUMBER(Matching_Engine!$AJ$13),Matching_Engine!$AJ$13*Lookup_Lists!$D$132,0)+IF(ISNUMBER(Matching_Engine!$AK$13),Matching_Engine!$AK$13*Lookup_Lists!$D$133,0)+IF(ISNUMBER(Matching_Engine!$AL$13),Matching_Engine!$AL$13*Lookup_Lists!$D$134,0))/(IF(ISNUMBER(Matching_Engine!$AG$13),Lookup_Lists!$D$129,0)+IF(ISNUMBER(Matching_Engine!$AH$13),Lookup_Lists!$D$130,0)+IF(ISNUMBER(Matching_Engine!$AI$13),Lookup_Lists!$D$131,0)+IF(ISNUMBER(Matching_Engine!$AJ$13),Lookup_Lists!$D$132,0)+IF(ISNUMBER(Matching_Engine!$AK$13),Lookup_Lists!$D$133,0)+IF(ISNUMBER(Matching_Engine!$AL$13),Lookup_Lists!$D$134,0)),0))</f>
        <v>71</v>
      </c>
      <c r="AN13" s="42">
        <f>IF(ISNUMBER(Matching_Engine!$AM$13),1,0)</f>
        <v>0</v>
      </c>
      <c r="AO13" s="65" t="str">
        <f>IF(NOT(ISNUMBER('[1]#REF'!$BT$13)),"N/A",MIN(100,MAX(0,'[1]#REF'!$BT$13)))</f>
        <v>N/A</v>
      </c>
      <c r="AP13" s="65" t="str">
        <f>IF(NOT(ISNUMBER('[1]#REF'!$BU$13)),"N/A",MIN(100,MAX(0,'[1]#REF'!$BU$13)))</f>
        <v>N/A</v>
      </c>
      <c r="AQ13" s="65" t="e">
        <f>IF('[1]#REF'!$I$13="Yes",Lookup_Lists!$D$326,IF('[1]#REF'!$I$13="No",Lookup_Lists!$D$327,"N/A"))</f>
        <v>#REF!</v>
      </c>
      <c r="AR13" s="65" t="str">
        <f>IF(NOT(ISNUMBER('[1]#REF'!$BQ$13)),"N/A",MAX(0,ROUND(100-'[1]#REF'!$BQ$13/Lookup_Lists!$D$328*100,0)))</f>
        <v>N/A</v>
      </c>
      <c r="AS13" s="65" t="e">
        <f>IF(NOT(AND(ISTEXT('[1]#REF'!$BV$13),'[1]#REF'!$BV$13&lt;&gt;"N/A")),"N/A",'[1]#REF'!$BV$13)</f>
        <v>#REF!</v>
      </c>
      <c r="AT13" s="63" t="str">
        <f ca="1">IF((IF(ISNUMBER(Matching_Engine!$AO$13),Lookup_Lists!$D$322,0)+IF(ISNUMBER(Matching_Engine!$AP$13),Lookup_Lists!$D$323,0)+IF(ISNUMBER(Matching_Engine!$AQ$13),Lookup_Lists!$D$324,0)+IF(ISNUMBER(Matching_Engine!$AR$13),Lookup_Lists!$D$325,0))=0,"N/A",ROUND((IF(ISNUMBER(Matching_Engine!$AO$13),Matching_Engine!$AO$13*Lookup_Lists!$D$322,0)+IF(ISNUMBER(Matching_Engine!$AP$13),Matching_Engine!$AP$13*Lookup_Lists!$D$323,0)+IF(ISNUMBER(Matching_Engine!$AQ$13),Matching_Engine!$AQ$13*Lookup_Lists!$D$324,0)+IF(ISNUMBER(Matching_Engine!$AR$13),Matching_Engine!$AR$13*Lookup_Lists!$D$325,0))/(IF(ISNUMBER(Matching_Engine!$AO$13),Lookup_Lists!$D$322,0)+IF(ISNUMBER(Matching_Engine!$AP$13),Lookup_Lists!$D$323,0)+IF(ISNUMBER(Matching_Engine!$AQ$13),Lookup_Lists!$D$324,0)+IF(ISNUMBER(Matching_Engine!$AR$13),Lookup_Lists!$D$325,0)),0))</f>
        <v>N/A</v>
      </c>
      <c r="AU13" s="42">
        <f>IF(ISNUMBER(Matching_Engine!$AT$13),1,0)</f>
        <v>1</v>
      </c>
      <c r="AV13" s="42" t="str">
        <f>IF(NOT(ISNUMBER(Matching_Engine!$AT$13)),"Not Screened",IF(Matching_Engine!$AT$13&gt;=Lookup_Lists!$D$329,"Low Risk",IF(Matching_Engine!$AT$13&gt;=Lookup_Lists!$D$330,"Moderate Risk",IF(Matching_Engine!$AT$13&gt;=Lookup_Lists!$D$331,"Elevated Risk","High Risk"))))</f>
        <v>Low Risk</v>
      </c>
      <c r="AW13" s="42" t="e">
        <f ca="1">IF(NOT(ISNUMBER(Matching_Engine!$AT$13)),"No integrity signal: no audience-analysis row for this account.","Integrity screen only — no content-risk reading exists (comments_analysis: 0 rows). "&amp;IF(ISNUMBER(Matching_Engine!$AO$13),"Authenticity "&amp;Matching_Engine!$AO$13&amp;". ","Authenticity N/A. ")&amp;IF(ISNUMBER(Matching_Engine!$AP$13),"Follower quality "&amp;Matching_Engine!$AP$13&amp;". ","Follower quality N/A. ")&amp;IF('[1]#REF'!$I$13="Yes","Platform-verified.","Not platform-verified."))</f>
        <v>#REF!</v>
      </c>
      <c r="AX13" s="65">
        <f>Matching_Engine!$N$13*Lookup_Lists!$D$104+Matching_Engine!$T$13*Lookup_Lists!$D$105+Matching_Engine!$Z$13*Lookup_Lists!$D$106+Matching_Engine!$AF$13*Lookup_Lists!$D$107+Matching_Engine!$AN$13*Lookup_Lists!$D$108+Matching_Engine!$AU$13*Lookup_Lists!$D$109</f>
        <v>7499.5</v>
      </c>
      <c r="AY13" s="74" t="e">
        <f ca="1">IF(Matching_Engine!$AX$13=0,"N/A",ROUND((IF(Matching_Engine!$N$13=1,Matching_Engine!$M$13*Lookup_Lists!$D$104,0)+IF(Matching_Engine!$T$13=1,Matching_Engine!$S$13*Lookup_Lists!$D$105,0)+IF(Matching_Engine!$Z$13=1,Matching_Engine!$Y$13*Lookup_Lists!$D$106,0)+IF(Matching_Engine!$AF$13=1,Matching_Engine!$AE$13*Lookup_Lists!$D$107,0)+IF(Matching_Engine!$AN$13=1,Matching_Engine!$AM$13*Lookup_Lists!$D$108,0)+IF(Matching_Engine!$AU$13=1,Matching_Engine!$AT$13*Lookup_Lists!$D$109,0))/Matching_Engine!$AX$13,0))</f>
        <v>#VALUE!</v>
      </c>
      <c r="AZ13" s="42" t="str">
        <f ca="1">IF(NOT(ISNUMBER(Matching_Engine!$AY$13)),"Not Scored",IF(Matching_Engine!$AY$13&gt;=Lookup_Lists!$D$152,"Excellent Match",IF(Matching_Engine!$AY$13&gt;=Lookup_Lists!$D$153,"Strong Match",IF(Matching_Engine!$AY$13&gt;=Lookup_Lists!$D$154,"Good Match",IF(Matching_Engine!$AY$13&gt;=Lookup_Lists!$D$155,"Moderate Match","Low Match")))))</f>
        <v>Not Scored</v>
      </c>
      <c r="BA13" s="65" t="e">
        <f>'[1]#REF'!$BW$13</f>
        <v>#REF!</v>
      </c>
      <c r="BB13" s="42" t="e">
        <f>'[1]#REF'!$BX$13</f>
        <v>#REF!</v>
      </c>
      <c r="BC13" s="65">
        <f ca="1">IF(NOT(ISNUMBER(Matching_Engine!$AY$13)),-1,Matching_Engine!$AY$13*1000+17)</f>
        <v>-1</v>
      </c>
      <c r="BD13" s="42" t="e">
        <f>IF(AND(ISTEXT('[1]#REF'!$S$13),'[1]#REF'!$S$13&lt;&gt;"N/A"),'[1]#REF'!$S$13,"")&amp;" | "&amp;IF(AND(ISTEXT('[1]#REF'!$T$13),'[1]#REF'!$T$13&lt;&gt;"N/A"),'[1]#REF'!$T$13,"")&amp;" | "&amp;IF(AND(ISTEXT('[1]#REF'!$N$13),'[1]#REF'!$N$13&lt;&gt;"N/A"),'[1]#REF'!$N$13,"")&amp;" | "&amp;IF(AND(ISTEXT('[1]#REF'!$K$13),'[1]#REF'!$K$13&lt;&gt;"N/A"),'[1]#REF'!$K$13,"")&amp;" | "&amp;IF(AND(ISTEXT('[1]#REF'!$J$13),'[1]#REF'!$J$13&lt;&gt;"N/A"),'[1]#REF'!$J$13,"")</f>
        <v>#REF!</v>
      </c>
      <c r="BE13" s="42" t="e">
        <f>IF(AND(ISTEXT('[1]#REF'!$T$13),'[1]#REF'!$T$13&lt;&gt;"N/A"),'[1]#REF'!$T$13,"")&amp;" | "&amp;IF(AND(ISTEXT('[1]#REF'!$N$13),'[1]#REF'!$N$13&lt;&gt;"N/A"),'[1]#REF'!$N$13,"")&amp;" | "&amp;IF(AND(ISTEXT('[1]#REF'!$O$13),'[1]#REF'!$O$13&lt;&gt;"N/A"),'[1]#REF'!$O$13,"")&amp;" | "&amp;IF(AND(ISTEXT('[1]#REF'!$S$13),'[1]#REF'!$S$13&lt;&gt;"N/A"),'[1]#REF'!$S$13,"")</f>
        <v>#REF!</v>
      </c>
      <c r="BF13" s="42" t="e">
        <f>IF(AND(ISTEXT('[1]#REF'!$U$13),'[1]#REF'!$U$13&lt;&gt;"N/A"),'[1]#REF'!$U$13,"")</f>
        <v>#REF!</v>
      </c>
      <c r="BG13" s="42" t="str">
        <f>Matching_Engine!$A$13&amp;"|"&amp;Matching_Engine!$C$13</f>
        <v>BRAND-A|KOL-08</v>
      </c>
    </row>
    <row r="14" spans="1:59">
      <c r="A14" s="64" t="s">
        <v>2527</v>
      </c>
      <c r="B14" s="42" t="str">
        <f>Brand_Profile!$E$6</f>
        <v>BRAND-B</v>
      </c>
      <c r="C14" s="42" t="e">
        <f>'[1]#REF'!$A$14</f>
        <v>#REF!</v>
      </c>
      <c r="D14" s="42" t="e">
        <f>'[1]#REF'!$C$14</f>
        <v>#REF!</v>
      </c>
      <c r="E14" s="42" t="e">
        <f>'[1]#REF'!$D$14</f>
        <v>#REF!</v>
      </c>
      <c r="F14" s="42" t="e">
        <f>'[1]#REF'!$E$14</f>
        <v>#REF!</v>
      </c>
      <c r="G14" s="42" t="e">
        <f>'[1]#REF'!$K$14</f>
        <v>#REF!</v>
      </c>
      <c r="H14" s="72" t="e">
        <f>'[1]#REF'!$G$14</f>
        <v>#REF!</v>
      </c>
      <c r="I14" s="73" t="e">
        <f>'[1]#REF'!$BG$14</f>
        <v>#REF!</v>
      </c>
      <c r="J14" s="65" t="e">
        <f>IF(NOT(AND(ISTEXT('[1]#REF'!$K$14),'[1]#REF'!$K$14&lt;&gt;"N/A")),Lookup_Lists!$D$150,IF(Brand_Profile!$E$7='[1]#REF'!$K$14,100,IFERROR(INDEX(Lookup_Lists!$B$349:$J$357,MATCH(Brand_Profile!$E$7,Lookup_Lists!$A$349:$A$357,0),MATCH('[1]#REF'!$K$14,Lookup_Lists!$B$348:$J$348,0)),Lookup_Lists!$D$151)))</f>
        <v>#REF!</v>
      </c>
      <c r="K14" s="65" t="e">
        <f>IF(LEN(TRIM(SUBSTITUTE(Matching_Engine!$BD$14,"|","")))=0,"N/A",IF(Brand_Profile!$E$47=0,Lookup_Lists!$D$150,ROUND((IF(Brand_Profile!$E$41="",0,IF(ISNUMBER(SEARCH(Brand_Profile!$E$41,Matching_Engine!$BD$14)),1,0))+IF(Brand_Profile!$E$42="",0,IF(ISNUMBER(SEARCH(Brand_Profile!$E$42,Matching_Engine!$BD$14)),1,0))+IF(Brand_Profile!$E$43="",0,IF(ISNUMBER(SEARCH(Brand_Profile!$E$43,Matching_Engine!$BD$14)),1,0))+IF(Brand_Profile!$E$44="",0,IF(ISNUMBER(SEARCH(Brand_Profile!$E$44,Matching_Engine!$BD$14)),1,0))+IF(Brand_Profile!$E$45="",0,IF(ISNUMBER(SEARCH(Brand_Profile!$E$45,Matching_Engine!$BD$14)),1,0))+IF(Brand_Profile!$E$46="",0,IF(ISNUMBER(SEARCH(Brand_Profile!$E$46,Matching_Engine!$BD$14)),1,0)))/Brand_Profile!$E$47*100,0)))</f>
        <v>#VALUE!</v>
      </c>
      <c r="L14" s="65" t="e">
        <f>IF(NOT(AND(ISTEXT('[1]#REF'!$U$14),'[1]#REF'!$U$14&lt;&gt;"N/A")),"N/A",IF(Brand_Profile!$E$53=0,Lookup_Lists!$D$150,ROUND((IF(Brand_Profile!$E$48="",0,IF(ISNUMBER(SEARCH(Brand_Profile!$E$48,Matching_Engine!$BF$14)),1,0))+IF(Brand_Profile!$E$49="",0,IF(ISNUMBER(SEARCH(Brand_Profile!$E$49,Matching_Engine!$BF$14)),1,0))+IF(Brand_Profile!$E$50="",0,IF(ISNUMBER(SEARCH(Brand_Profile!$E$50,Matching_Engine!$BF$14)),1,0))+IF(Brand_Profile!$E$51="",0,IF(ISNUMBER(SEARCH(Brand_Profile!$E$51,Matching_Engine!$BF$14)),1,0))+IF(Brand_Profile!$E$52="",0,IF(ISNUMBER(SEARCH(Brand_Profile!$E$52,Matching_Engine!$BF$14)),1,0)))/Brand_Profile!$E$53*100,0)))</f>
        <v>#REF!</v>
      </c>
      <c r="M14" s="63" t="str">
        <f>IF((IF(ISNUMBER(Matching_Engine!$J$14),Lookup_Lists!$D$332,0)+IF(ISNUMBER(Matching_Engine!$K$14),Lookup_Lists!$D$333,0)+IF(ISNUMBER(Matching_Engine!$L$14),Lookup_Lists!$D$334,0))=0,"N/A",ROUND((IF(ISNUMBER(Matching_Engine!$J$14),Matching_Engine!$J$14*Lookup_Lists!$D$332,0)+IF(ISNUMBER(Matching_Engine!$K$14),Matching_Engine!$K$14*Lookup_Lists!$D$333,0)+IF(ISNUMBER(Matching_Engine!$L$14),Matching_Engine!$L$14*Lookup_Lists!$D$334,0))/(IF(ISNUMBER(Matching_Engine!$J$14),Lookup_Lists!$D$332,0)+IF(ISNUMBER(Matching_Engine!$K$14),Lookup_Lists!$D$333,0)+IF(ISNUMBER(Matching_Engine!$L$14),Lookup_Lists!$D$334,0)),0))</f>
        <v>N/A</v>
      </c>
      <c r="N14" s="42">
        <f>IF(ISNUMBER(Matching_Engine!$M$14),1,0)</f>
        <v>1</v>
      </c>
      <c r="O14" s="65" t="str">
        <f ca="1">IF(NOT(ISNUMBER(IFERROR(INDEX('[1]#REF'!$V$14:'[1]#REF'!$Z$14,1,MATCH(Brand_Profile!$E$11,Lookup_Lists!$F$6:$F$10,0)),""))),"N/A",MIN(100,ROUND((IFERROR(INDEX('[1]#REF'!$V$14:'[1]#REF'!$Z$14,1,MATCH(Brand_Profile!$E$11,Lookup_Lists!$F$6:$F$10,0)),"")+0.5*IF(ISNUMBER(IFERROR(INDEX('[1]#REF'!$V$14:'[1]#REF'!$Z$14,1,MATCH(Brand_Profile!$E$12,Lookup_Lists!$F$6:$F$10,0)),"")),IFERROR(INDEX('[1]#REF'!$V$14:'[1]#REF'!$Z$14,1,MATCH(Brand_Profile!$E$12,Lookup_Lists!$F$6:$F$10,0)),""),0))/Lookup_Lists!$D$142*100,0)))</f>
        <v>N/A</v>
      </c>
      <c r="P14" s="65" t="str">
        <f>IF(Brand_Profile!$E$13="Any",100,IF(NOT(ISNUMBER('[1]#REF'!$AA$14)),"N/A",IF(Brand_Profile!$E$13="Female",MIN(100,ROUND('[1]#REF'!$AA$14/Lookup_Lists!$D$143*100,0)),IF(Brand_Profile!$E$13="Male",MIN(100,ROUND(IF(ISNUMBER('[1]#REF'!$AB$14),'[1]#REF'!$AB$14,100-'[1]#REF'!$AA$14)/Lookup_Lists!$D$143*100,0)),MAX(0,ROUND(100-ABS('[1]#REF'!$AA$14-50)*2,0))))))</f>
        <v>N/A</v>
      </c>
      <c r="Q14" s="65" t="str">
        <f>IF((IF(ISNUMBER(IF(NOT(ISNUMBER('[1]#REF'!$AE$14)),"N/A",IF('[1]#REF'!$AD$14&lt;&gt;Brand_Profile!$E$14,Lookup_Lists!$D$151,MIN(100,ROUND('[1]#REF'!$AE$14/Lookup_Lists!$D$316*100,0))))),Lookup_Lists!$D$118,0)+IF(ISNUMBER(IF(NOT(ISNUMBER('[1]#REF'!$AM$14)),"N/A",MIN(100,ROUND((IF('[1]#REF'!$AG$14=Brand_Profile!$E$15,IF(ISNUMBER('[1]#REF'!$AH$14),'[1]#REF'!$AH$14,0),0)+IF('[1]#REF'!$AI$14=Brand_Profile!$E$15,IF(ISNUMBER('[1]#REF'!$AJ$14),'[1]#REF'!$AJ$14,0),0)+IF('[1]#REF'!$AK$14=Brand_Profile!$E$15,IF(ISNUMBER('[1]#REF'!$AL$14),'[1]#REF'!$AL$14,0),0))/Lookup_Lists!$D$317*100,0)))),Lookup_Lists!$D$120,0))=0,"N/A",ROUND((IF(ISNUMBER(IF(NOT(ISNUMBER('[1]#REF'!$AE$14)),"N/A",IF('[1]#REF'!$AD$14&lt;&gt;Brand_Profile!$E$14,Lookup_Lists!$D$151,MIN(100,ROUND('[1]#REF'!$AE$14/Lookup_Lists!$D$316*100,0))))),IF(NOT(ISNUMBER('[1]#REF'!$AE$14)),"N/A",IF('[1]#REF'!$AD$14&lt;&gt;Brand_Profile!$E$14,Lookup_Lists!$D$151,MIN(100,ROUND('[1]#REF'!$AE$14/Lookup_Lists!$D$316*100,0))))*Lookup_Lists!$D$118,0)+IF(ISNUMBER(IF(NOT(ISNUMBER('[1]#REF'!$AM$14)),"N/A",MIN(100,ROUND((IF('[1]#REF'!$AG$14=Brand_Profile!$E$15,IF(ISNUMBER('[1]#REF'!$AH$14),'[1]#REF'!$AH$14,0),0)+IF('[1]#REF'!$AI$14=Brand_Profile!$E$15,IF(ISNUMBER('[1]#REF'!$AJ$14),'[1]#REF'!$AJ$14,0),0)+IF('[1]#REF'!$AK$14=Brand_Profile!$E$15,IF(ISNUMBER('[1]#REF'!$AL$14),'[1]#REF'!$AL$14,0),0))/Lookup_Lists!$D$317*100,0)))),IF(NOT(ISNUMBER('[1]#REF'!$AM$14)),"N/A",MIN(100,ROUND((IF('[1]#REF'!$AG$14=Brand_Profile!$E$15,IF(ISNUMBER('[1]#REF'!$AH$14),'[1]#REF'!$AH$14,0),0)+IF('[1]#REF'!$AI$14=Brand_Profile!$E$15,IF(ISNUMBER('[1]#REF'!$AJ$14),'[1]#REF'!$AJ$14,0),0)+IF('[1]#REF'!$AK$14=Brand_Profile!$E$15,IF(ISNUMBER('[1]#REF'!$AL$14),'[1]#REF'!$AL$14,0),0))/Lookup_Lists!$D$317*100,0)))*Lookup_Lists!$D$120,0))/(IF(ISNUMBER(IF(NOT(ISNUMBER('[1]#REF'!$AE$14)),"N/A",IF('[1]#REF'!$AD$14&lt;&gt;Brand_Profile!$E$14,Lookup_Lists!$D$151,MIN(100,ROUND('[1]#REF'!$AE$14/Lookup_Lists!$D$316*100,0))))),Lookup_Lists!$D$118,0)+IF(ISNUMBER(IF(NOT(ISNUMBER('[1]#REF'!$AM$14)),"N/A",MIN(100,ROUND((IF('[1]#REF'!$AG$14=Brand_Profile!$E$15,IF(ISNUMBER('[1]#REF'!$AH$14),'[1]#REF'!$AH$14,0),0)+IF('[1]#REF'!$AI$14=Brand_Profile!$E$15,IF(ISNUMBER('[1]#REF'!$AJ$14),'[1]#REF'!$AJ$14,0),0)+IF('[1]#REF'!$AK$14=Brand_Profile!$E$15,IF(ISNUMBER('[1]#REF'!$AL$14),'[1]#REF'!$AL$14,0),0))/Lookup_Lists!$D$317*100,0)))),Lookup_Lists!$D$120,0)),0))</f>
        <v>N/A</v>
      </c>
      <c r="R14" s="65" t="str">
        <f>IF(NOT(ISNUMBER('[1]#REF'!$AN$14)),"N/A",MIN(100,ROUND((IF(ISNUMBER('[1]#REF'!$AO$14),'[1]#REF'!$AO$14*Brand_Profile!$E$17,0)+IF(ISNUMBER('[1]#REF'!$AP$14),'[1]#REF'!$AP$14*Brand_Profile!$E$18,0)+IF(ISNUMBER('[1]#REF'!$AQ$14),'[1]#REF'!$AQ$14*Brand_Profile!$E$19,0)+IF(ISNUMBER('[1]#REF'!$AR$14),'[1]#REF'!$AR$14*Brand_Profile!$E$20,0)+IF(ISNUMBER('[1]#REF'!$AS$14),'[1]#REF'!$AS$14*Brand_Profile!$E$21,0)+IF(ISNUMBER('[1]#REF'!$AT$14),'[1]#REF'!$AT$14*Brand_Profile!$E$22,0)+IF(ISNUMBER('[1]#REF'!$AU$14),'[1]#REF'!$AU$14*Brand_Profile!$E$23,0)+IF(ISNUMBER('[1]#REF'!$AV$14),'[1]#REF'!$AV$14*Brand_Profile!$E$24,0)+IF(ISNUMBER('[1]#REF'!$AW$14),'[1]#REF'!$AW$14*Brand_Profile!$E$25,0)+IF(ISNUMBER('[1]#REF'!$AX$14),'[1]#REF'!$AX$14*Brand_Profile!$E$26,0)+IF(ISNUMBER('[1]#REF'!$AY$14),'[1]#REF'!$AY$14*Brand_Profile!$E$27,0)+IF(ISNUMBER('[1]#REF'!$AZ$14),'[1]#REF'!$AZ$14*Brand_Profile!$E$28,0)+IF(ISNUMBER('[1]#REF'!$BA$14),'[1]#REF'!$BA$14*Brand_Profile!$E$29,0)+IF(ISNUMBER('[1]#REF'!$BB$14),'[1]#REF'!$BB$14*Brand_Profile!$E$30,0)+IF(ISNUMBER('[1]#REF'!$BC$14),'[1]#REF'!$BC$14*Brand_Profile!$E$31,0)+IF(ISNUMBER('[1]#REF'!$BD$14),'[1]#REF'!$BD$14*Brand_Profile!$E$32,0)+IF(ISNUMBER('[1]#REF'!$BE$14),'[1]#REF'!$BE$14*Brand_Profile!$E$33,0)+IF(ISNUMBER('[1]#REF'!$BF$14),'[1]#REF'!$BF$14*Brand_Profile!$E$34,0))/Lookup_Lists!$D$318*100,0)))</f>
        <v>N/A</v>
      </c>
      <c r="S14" s="63">
        <f ca="1">IF((IF(ISNUMBER(Matching_Engine!$O$14),Lookup_Lists!$D$113,0)+IF(ISNUMBER(Matching_Engine!$P$14),Lookup_Lists!$D$114,0)+IF(ISNUMBER(Matching_Engine!$Q$14),Lookup_Lists!$D$115,0)+IF(ISNUMBER(Matching_Engine!$R$14),Lookup_Lists!$D$116,0))=0,"N/A",ROUND((IF(ISNUMBER(Matching_Engine!$O$14),Matching_Engine!$O$14*Lookup_Lists!$D$113,0)+IF(ISNUMBER(Matching_Engine!$P$14),Matching_Engine!$P$14*Lookup_Lists!$D$114,0)+IF(ISNUMBER(Matching_Engine!$Q$14),Matching_Engine!$Q$14*Lookup_Lists!$D$115,0)+IF(ISNUMBER(Matching_Engine!$R$14),Matching_Engine!$R$14*Lookup_Lists!$D$116,0))/(IF(ISNUMBER(Matching_Engine!$O$14),Lookup_Lists!$D$113,0)+IF(ISNUMBER(Matching_Engine!$P$14),Lookup_Lists!$D$114,0)+IF(ISNUMBER(Matching_Engine!$Q$14),Lookup_Lists!$D$115,0)+IF(ISNUMBER(Matching_Engine!$R$14),Lookup_Lists!$D$116,0)),0))</f>
        <v>84</v>
      </c>
      <c r="T14" s="42">
        <f ca="1">IF(ISNUMBER(Matching_Engine!$S$14),1,0)</f>
        <v>1</v>
      </c>
      <c r="U14" s="65" t="e">
        <f>IF(NOT(AND(ISTEXT('[1]#REF'!$M$14),'[1]#REF'!$M$14&lt;&gt;"N/A")),Lookup_Lists!$D$150,IF(Brand_Profile!$E$7='[1]#REF'!$M$14,100,IFERROR(INDEX(Lookup_Lists!$B$349:$J$357,MATCH(Brand_Profile!$E$7,Lookup_Lists!$A$349:$A$357,0),MATCH('[1]#REF'!$M$14,Lookup_Lists!$B$348:$J$348,0)),Lookup_Lists!$D$151)))</f>
        <v>#REF!</v>
      </c>
      <c r="V14" s="65" t="e">
        <f>IF(NOT(AND(ISTEXT('[1]#REF'!$P$14),'[1]#REF'!$P$14&lt;&gt;"N/A")),"N/A",IFERROR(INDEX(Lookup_Lists!$B$349:$J$357,MATCH(Brand_Profile!$E$7,Lookup_Lists!$A$349:$A$357,0),MATCH('[1]#REF'!$P$14,Lookup_Lists!$B$348:$J$348,0)),Lookup_Lists!$D$151))</f>
        <v>#REF!</v>
      </c>
      <c r="W14" s="65" t="e">
        <f>IF(LEN(TRIM(SUBSTITUTE(Matching_Engine!$BE$14,"|","")))=0,"N/A",IF(Brand_Profile!$E$60=0,Lookup_Lists!$D$150,ROUND((IF(Brand_Profile!$E$54="",0,IF(ISNUMBER(SEARCH(Brand_Profile!$E$54,Matching_Engine!$BE$14)),1,0))+IF(Brand_Profile!$E$55="",0,IF(ISNUMBER(SEARCH(Brand_Profile!$E$55,Matching_Engine!$BE$14)),1,0))+IF(Brand_Profile!$E$56="",0,IF(ISNUMBER(SEARCH(Brand_Profile!$E$56,Matching_Engine!$BE$14)),1,0))+IF(Brand_Profile!$E$57="",0,IF(ISNUMBER(SEARCH(Brand_Profile!$E$57,Matching_Engine!$BE$14)),1,0))+IF(Brand_Profile!$E$58="",0,IF(ISNUMBER(SEARCH(Brand_Profile!$E$58,Matching_Engine!$BE$14)),1,0))+IF(Brand_Profile!$E$59="",0,IF(ISNUMBER(SEARCH(Brand_Profile!$E$59,Matching_Engine!$BE$14)),1,0)))/Brand_Profile!$E$60*100,0)))</f>
        <v>#VALUE!</v>
      </c>
      <c r="X14" s="65" t="e">
        <f>IF(NOT(AND(ISTEXT('[1]#REF'!$Q$14),'[1]#REF'!$Q$14&lt;&gt;"N/A")),"N/A",Lookup_Lists!$D$150)</f>
        <v>#REF!</v>
      </c>
      <c r="Y14" s="63">
        <f>IF((IF(ISNUMBER(Matching_Engine!$U$14),Lookup_Lists!$D$335,0)+IF(ISNUMBER(Matching_Engine!$V$14),Lookup_Lists!$D$122,0)+IF(ISNUMBER(Matching_Engine!$W$14),Lookup_Lists!$D$336,0)+IF(ISNUMBER(Matching_Engine!$X$14),Lookup_Lists!$D$124,0))=0,"N/A",ROUND((IF(ISNUMBER(Matching_Engine!$U$14),Matching_Engine!$U$14*Lookup_Lists!$D$335,0)+IF(ISNUMBER(Matching_Engine!$V$14),Matching_Engine!$V$14*Lookup_Lists!$D$122,0)+IF(ISNUMBER(Matching_Engine!$W$14),Matching_Engine!$W$14*Lookup_Lists!$D$336,0)+IF(ISNUMBER(Matching_Engine!$X$14),Matching_Engine!$X$14*Lookup_Lists!$D$124,0))/(IF(ISNUMBER(Matching_Engine!$U$14),Lookup_Lists!$D$335,0)+IF(ISNUMBER(Matching_Engine!$V$14),Lookup_Lists!$D$122,0)+IF(ISNUMBER(Matching_Engine!$W$14),Lookup_Lists!$D$336,0)+IF(ISNUMBER(Matching_Engine!$X$14),Lookup_Lists!$D$124,0)),0))</f>
        <v>79</v>
      </c>
      <c r="Z14" s="42">
        <f>IF(ISNUMBER(Matching_Engine!$Y$14),1,0)</f>
        <v>1</v>
      </c>
      <c r="AA14" s="65" t="e">
        <f>IF(NOT(AND(ISTEXT('[1]#REF'!$Q$14),'[1]#REF'!$Q$14&lt;&gt;"N/A")),"N/A",Lookup_Lists!$D$150)</f>
        <v>#REF!</v>
      </c>
      <c r="AB14" s="65" t="e">
        <f>IF(NOT(AND(ISTEXT('[1]#REF'!$Q$14),'[1]#REF'!$Q$14&lt;&gt;"N/A")),"N/A",Lookup_Lists!$D$150)</f>
        <v>#REF!</v>
      </c>
      <c r="AC14" s="65" t="str">
        <f t="shared" si="0"/>
        <v>N/A</v>
      </c>
      <c r="AD14" s="65" t="e">
        <f>IF(NOT(AND(ISTEXT('[1]#REF'!$Q$14),'[1]#REF'!$Q$14&lt;&gt;"N/A")),"N/A",Lookup_Lists!$D$150)</f>
        <v>#REF!</v>
      </c>
      <c r="AE14" s="63">
        <f>IF((IF(ISNUMBER(Matching_Engine!$AA$14),Lookup_Lists!$D$125,0)+IF(ISNUMBER(Matching_Engine!$AB$14),Lookup_Lists!$D$126,0)+IF(ISNUMBER(Matching_Engine!$AC$14),Lookup_Lists!$D$127,0)+IF(ISNUMBER(Matching_Engine!$AD$14),Lookup_Lists!$D$128,0))=0,"N/A",ROUND((IF(ISNUMBER(Matching_Engine!$AA$14),Matching_Engine!$AA$14*Lookup_Lists!$D$125,0)+IF(ISNUMBER(Matching_Engine!$AB$14),Matching_Engine!$AB$14*Lookup_Lists!$D$126,0)+IF(ISNUMBER(Matching_Engine!$AC$14),Matching_Engine!$AC$14*Lookup_Lists!$D$127,0)+IF(ISNUMBER(Matching_Engine!$AD$14),Matching_Engine!$AD$14*Lookup_Lists!$D$128,0))/(IF(ISNUMBER(Matching_Engine!$AA$14),Lookup_Lists!$D$125,0)+IF(ISNUMBER(Matching_Engine!$AB$14),Lookup_Lists!$D$126,0)+IF(ISNUMBER(Matching_Engine!$AC$14),Lookup_Lists!$D$127,0)+IF(ISNUMBER(Matching_Engine!$AD$14),Lookup_Lists!$D$128,0)),0))</f>
        <v>83</v>
      </c>
      <c r="AF14" s="42">
        <f>IF(ISNUMBER(Matching_Engine!$AE$14),1,0)</f>
        <v>1</v>
      </c>
      <c r="AG14" s="65" t="str">
        <f>IF(NOT(ISNUMBER('[1]#REF'!$BG$14)),"N/A",MIN(100,ROUND('[1]#REF'!$BG$14/IFERROR(INDEX(Lookup_Lists!$B$340:$B$344,MATCH('[1]#REF'!$H$14,Lookup_Lists!$A$340:$A$344,0)),Lookup_Lists!$D$141)*100,0)))</f>
        <v>N/A</v>
      </c>
      <c r="AH14" s="65" t="str">
        <f>IF(NOT(ISNUMBER('[1]#REF'!$BS$14)),"N/A",MIN(100,MAX(0,'[1]#REF'!$BS$14)))</f>
        <v>N/A</v>
      </c>
      <c r="AI14" s="65" t="e">
        <f>IF(OR(NOT(ISNUMBER('[1]#REF'!$BM$14)),NOT(ISNUMBER('[1]#REF'!$BN$14)),'[1]#REF'!$BN$14&lt;Lookup_Lists!$D$320),"N/A",MIN(100,ROUND('[1]#REF'!$BM$14/Lookup_Lists!$D$319*100,0)))</f>
        <v>#REF!</v>
      </c>
      <c r="AJ14" s="65" t="str">
        <f>IF(NOT(ISNUMBER('[1]#REF'!$BR$14)),"N/A",'[1]#REF'!$BR$14)</f>
        <v>N/A</v>
      </c>
      <c r="AK14" s="65" t="str">
        <f>IF(NOT(ISNUMBER('[1]#REF'!$BK$14)),"N/A",MIN(100,ROUND('[1]#REF'!$BK$14/Lookup_Lists!$D$321*100,0)))</f>
        <v>N/A</v>
      </c>
      <c r="AL14" s="65" t="str">
        <f>IF(NOT(ISNUMBER('[1]#REF'!$BP$14)),"N/A",MIN(100,MAX(0,ROUND(('[1]#REF'!$BP$14+2)/(Lookup_Lists!$D$145+2)*100,0))))</f>
        <v>N/A</v>
      </c>
      <c r="AM14" s="63">
        <f>IF((IF(ISNUMBER(Matching_Engine!$AG$14),Lookup_Lists!$D$129,0)+IF(ISNUMBER(Matching_Engine!$AH$14),Lookup_Lists!$D$130,0)+IF(ISNUMBER(Matching_Engine!$AI$14),Lookup_Lists!$D$131,0)+IF(ISNUMBER(Matching_Engine!$AJ$14),Lookup_Lists!$D$132,0)+IF(ISNUMBER(Matching_Engine!$AK$14),Lookup_Lists!$D$133,0)+IF(ISNUMBER(Matching_Engine!$AL$14),Lookup_Lists!$D$134,0))=0,"N/A",ROUND((IF(ISNUMBER(Matching_Engine!$AG$14),Matching_Engine!$AG$14*Lookup_Lists!$D$129,0)+IF(ISNUMBER(Matching_Engine!$AH$14),Matching_Engine!$AH$14*Lookup_Lists!$D$130,0)+IF(ISNUMBER(Matching_Engine!$AI$14),Matching_Engine!$AI$14*Lookup_Lists!$D$131,0)+IF(ISNUMBER(Matching_Engine!$AJ$14),Matching_Engine!$AJ$14*Lookup_Lists!$D$132,0)+IF(ISNUMBER(Matching_Engine!$AK$14),Matching_Engine!$AK$14*Lookup_Lists!$D$133,0)+IF(ISNUMBER(Matching_Engine!$AL$14),Matching_Engine!$AL$14*Lookup_Lists!$D$134,0))/(IF(ISNUMBER(Matching_Engine!$AG$14),Lookup_Lists!$D$129,0)+IF(ISNUMBER(Matching_Engine!$AH$14),Lookup_Lists!$D$130,0)+IF(ISNUMBER(Matching_Engine!$AI$14),Lookup_Lists!$D$131,0)+IF(ISNUMBER(Matching_Engine!$AJ$14),Lookup_Lists!$D$132,0)+IF(ISNUMBER(Matching_Engine!$AK$14),Lookup_Lists!$D$133,0)+IF(ISNUMBER(Matching_Engine!$AL$14),Lookup_Lists!$D$134,0)),0))</f>
        <v>89</v>
      </c>
      <c r="AN14" s="42">
        <f>IF(ISNUMBER(Matching_Engine!$AM$14),1,0)</f>
        <v>0</v>
      </c>
      <c r="AO14" s="65" t="str">
        <f>IF(NOT(ISNUMBER('[1]#REF'!$BT$14)),"N/A",MIN(100,MAX(0,'[1]#REF'!$BT$14)))</f>
        <v>N/A</v>
      </c>
      <c r="AP14" s="65" t="str">
        <f>IF(NOT(ISNUMBER('[1]#REF'!$BU$14)),"N/A",MIN(100,MAX(0,'[1]#REF'!$BU$14)))</f>
        <v>N/A</v>
      </c>
      <c r="AQ14" s="65" t="e">
        <f>IF('[1]#REF'!$I$14="Yes",Lookup_Lists!$D$326,IF('[1]#REF'!$I$14="No",Lookup_Lists!$D$327,"N/A"))</f>
        <v>#REF!</v>
      </c>
      <c r="AR14" s="65" t="str">
        <f>IF(NOT(ISNUMBER('[1]#REF'!$BQ$14)),"N/A",MAX(0,ROUND(100-'[1]#REF'!$BQ$14/Lookup_Lists!$D$328*100,0)))</f>
        <v>N/A</v>
      </c>
      <c r="AS14" s="65" t="e">
        <f>IF(NOT(AND(ISTEXT('[1]#REF'!$BV$14),'[1]#REF'!$BV$14&lt;&gt;"N/A")),"N/A",'[1]#REF'!$BV$14)</f>
        <v>#REF!</v>
      </c>
      <c r="AT14" s="63" t="str">
        <f ca="1">IF((IF(ISNUMBER(Matching_Engine!$AO$14),Lookup_Lists!$D$322,0)+IF(ISNUMBER(Matching_Engine!$AP$14),Lookup_Lists!$D$323,0)+IF(ISNUMBER(Matching_Engine!$AQ$14),Lookup_Lists!$D$324,0)+IF(ISNUMBER(Matching_Engine!$AR$14),Lookup_Lists!$D$325,0))=0,"N/A",ROUND((IF(ISNUMBER(Matching_Engine!$AO$14),Matching_Engine!$AO$14*Lookup_Lists!$D$322,0)+IF(ISNUMBER(Matching_Engine!$AP$14),Matching_Engine!$AP$14*Lookup_Lists!$D$323,0)+IF(ISNUMBER(Matching_Engine!$AQ$14),Matching_Engine!$AQ$14*Lookup_Lists!$D$324,0)+IF(ISNUMBER(Matching_Engine!$AR$14),Matching_Engine!$AR$14*Lookup_Lists!$D$325,0))/(IF(ISNUMBER(Matching_Engine!$AO$14),Lookup_Lists!$D$322,0)+IF(ISNUMBER(Matching_Engine!$AP$14),Lookup_Lists!$D$323,0)+IF(ISNUMBER(Matching_Engine!$AQ$14),Lookup_Lists!$D$324,0)+IF(ISNUMBER(Matching_Engine!$AR$14),Lookup_Lists!$D$325,0)),0))</f>
        <v>N/A</v>
      </c>
      <c r="AU14" s="42">
        <f>IF(ISNUMBER(Matching_Engine!$AT$14),1,0)</f>
        <v>1</v>
      </c>
      <c r="AV14" s="42" t="str">
        <f>IF(NOT(ISNUMBER(Matching_Engine!$AT$14)),"Not Screened",IF(Matching_Engine!$AT$14&gt;=Lookup_Lists!$D$329,"Low Risk",IF(Matching_Engine!$AT$14&gt;=Lookup_Lists!$D$330,"Moderate Risk",IF(Matching_Engine!$AT$14&gt;=Lookup_Lists!$D$331,"Elevated Risk","High Risk"))))</f>
        <v>Low Risk</v>
      </c>
      <c r="AW14" s="42" t="e">
        <f ca="1">IF(NOT(ISNUMBER(Matching_Engine!$AT$14)),"No integrity signal: no audience-analysis row for this account.","Integrity screen only — no content-risk reading exists (comments_analysis: 0 rows). "&amp;IF(ISNUMBER(Matching_Engine!$AO$14),"Authenticity "&amp;Matching_Engine!$AO$14&amp;". ","Authenticity N/A. ")&amp;IF(ISNUMBER(Matching_Engine!$AP$14),"Follower quality "&amp;Matching_Engine!$AP$14&amp;". ","Follower quality N/A. ")&amp;IF('[1]#REF'!$I$14="Yes","Platform-verified.","Not platform-verified."))</f>
        <v>#REF!</v>
      </c>
      <c r="AX14" s="65">
        <f>Matching_Engine!$N$14*Lookup_Lists!$D$104+Matching_Engine!$T$14*Lookup_Lists!$D$105+Matching_Engine!$Z$14*Lookup_Lists!$D$106+Matching_Engine!$AF$14*Lookup_Lists!$D$107+Matching_Engine!$AN$14*Lookup_Lists!$D$108+Matching_Engine!$AU$14*Lookup_Lists!$D$109</f>
        <v>7510</v>
      </c>
      <c r="AY14" s="74" t="e">
        <f ca="1">IF(Matching_Engine!$AX$14=0,"N/A",ROUND((IF(Matching_Engine!$N$14=1,Matching_Engine!$M$14*Lookup_Lists!$D$104,0)+IF(Matching_Engine!$T$14=1,Matching_Engine!$S$14*Lookup_Lists!$D$105,0)+IF(Matching_Engine!$Z$14=1,Matching_Engine!$Y$14*Lookup_Lists!$D$106,0)+IF(Matching_Engine!$AF$14=1,Matching_Engine!$AE$14*Lookup_Lists!$D$107,0)+IF(Matching_Engine!$AN$14=1,Matching_Engine!$AM$14*Lookup_Lists!$D$108,0)+IF(Matching_Engine!$AU$14=1,Matching_Engine!$AT$14*Lookup_Lists!$D$109,0))/Matching_Engine!$AX$14,0))</f>
        <v>#VALUE!</v>
      </c>
      <c r="AZ14" s="42" t="str">
        <f ca="1">IF(NOT(ISNUMBER(Matching_Engine!$AY$14)),"Not Scored",IF(Matching_Engine!$AY$14&gt;=Lookup_Lists!$D$152,"Excellent Match",IF(Matching_Engine!$AY$14&gt;=Lookup_Lists!$D$153,"Strong Match",IF(Matching_Engine!$AY$14&gt;=Lookup_Lists!$D$154,"Good Match",IF(Matching_Engine!$AY$14&gt;=Lookup_Lists!$D$155,"Moderate Match","Low Match")))))</f>
        <v>Strong Match</v>
      </c>
      <c r="BA14" s="65" t="e">
        <f>'[1]#REF'!$BW$14</f>
        <v>#REF!</v>
      </c>
      <c r="BB14" s="42" t="e">
        <f>'[1]#REF'!$BX$14</f>
        <v>#REF!</v>
      </c>
      <c r="BC14" s="65">
        <f ca="1">IF(NOT(ISNUMBER(Matching_Engine!$AY$14)),-1,Matching_Engine!$AY$14*1000+16)</f>
        <v>81016</v>
      </c>
      <c r="BD14" s="42" t="e">
        <f>IF(AND(ISTEXT('[1]#REF'!$S$14),'[1]#REF'!$S$14&lt;&gt;"N/A"),'[1]#REF'!$S$14,"")&amp;" | "&amp;IF(AND(ISTEXT('[1]#REF'!$T$14),'[1]#REF'!$T$14&lt;&gt;"N/A"),'[1]#REF'!$T$14,"")&amp;" | "&amp;IF(AND(ISTEXT('[1]#REF'!$N$14),'[1]#REF'!$N$14&lt;&gt;"N/A"),'[1]#REF'!$N$14,"")&amp;" | "&amp;IF(AND(ISTEXT('[1]#REF'!$K$14),'[1]#REF'!$K$14&lt;&gt;"N/A"),'[1]#REF'!$K$14,"")&amp;" | "&amp;IF(AND(ISTEXT('[1]#REF'!$J$14),'[1]#REF'!$J$14&lt;&gt;"N/A"),'[1]#REF'!$J$14,"")</f>
        <v>#REF!</v>
      </c>
      <c r="BE14" s="42" t="e">
        <f>IF(AND(ISTEXT('[1]#REF'!$T$14),'[1]#REF'!$T$14&lt;&gt;"N/A"),'[1]#REF'!$T$14,"")&amp;" | "&amp;IF(AND(ISTEXT('[1]#REF'!$N$14),'[1]#REF'!$N$14&lt;&gt;"N/A"),'[1]#REF'!$N$14,"")&amp;" | "&amp;IF(AND(ISTEXT('[1]#REF'!$O$14),'[1]#REF'!$O$14&lt;&gt;"N/A"),'[1]#REF'!$O$14,"")&amp;" | "&amp;IF(AND(ISTEXT('[1]#REF'!$S$14),'[1]#REF'!$S$14&lt;&gt;"N/A"),'[1]#REF'!$S$14,"")</f>
        <v>#REF!</v>
      </c>
      <c r="BF14" s="42" t="e">
        <f>IF(AND(ISTEXT('[1]#REF'!$U$14),'[1]#REF'!$U$14&lt;&gt;"N/A"),'[1]#REF'!$U$14,"")</f>
        <v>#REF!</v>
      </c>
      <c r="BG14" s="42" t="str">
        <f>Matching_Engine!$A$14&amp;"|"&amp;Matching_Engine!$C$14</f>
        <v>BRAND-A|KOL-09</v>
      </c>
    </row>
    <row r="15" spans="1:59">
      <c r="A15" s="64" t="s">
        <v>2527</v>
      </c>
      <c r="B15" s="42" t="str">
        <f>Brand_Profile!$E$6</f>
        <v>BRAND-B</v>
      </c>
      <c r="C15" s="42" t="e">
        <f>'[1]#REF'!$A$15</f>
        <v>#REF!</v>
      </c>
      <c r="D15" s="42" t="e">
        <f>'[1]#REF'!$C$15</f>
        <v>#REF!</v>
      </c>
      <c r="E15" s="42" t="e">
        <f>'[1]#REF'!$D$15</f>
        <v>#REF!</v>
      </c>
      <c r="F15" s="42" t="e">
        <f>'[1]#REF'!$E$15</f>
        <v>#REF!</v>
      </c>
      <c r="G15" s="42" t="e">
        <f>'[1]#REF'!$K$15</f>
        <v>#REF!</v>
      </c>
      <c r="H15" s="72" t="e">
        <f>'[1]#REF'!$G$15</f>
        <v>#REF!</v>
      </c>
      <c r="I15" s="73" t="e">
        <f>'[1]#REF'!$BG$15</f>
        <v>#REF!</v>
      </c>
      <c r="J15" s="65" t="e">
        <f>IF(NOT(AND(ISTEXT('[1]#REF'!$K$15),'[1]#REF'!$K$15&lt;&gt;"N/A")),Lookup_Lists!$D$150,IF(Brand_Profile!$E$7='[1]#REF'!$K$15,100,IFERROR(INDEX(Lookup_Lists!$B$349:$J$357,MATCH(Brand_Profile!$E$7,Lookup_Lists!$A$349:$A$357,0),MATCH('[1]#REF'!$K$15,Lookup_Lists!$B$348:$J$348,0)),Lookup_Lists!$D$151)))</f>
        <v>#REF!</v>
      </c>
      <c r="K15" s="65" t="e">
        <f>IF(LEN(TRIM(SUBSTITUTE(Matching_Engine!$BD$15,"|","")))=0,"N/A",IF(Brand_Profile!$E$47=0,Lookup_Lists!$D$150,ROUND((IF(Brand_Profile!$E$41="",0,IF(ISNUMBER(SEARCH(Brand_Profile!$E$41,Matching_Engine!$BD$15)),1,0))+IF(Brand_Profile!$E$42="",0,IF(ISNUMBER(SEARCH(Brand_Profile!$E$42,Matching_Engine!$BD$15)),1,0))+IF(Brand_Profile!$E$43="",0,IF(ISNUMBER(SEARCH(Brand_Profile!$E$43,Matching_Engine!$BD$15)),1,0))+IF(Brand_Profile!$E$44="",0,IF(ISNUMBER(SEARCH(Brand_Profile!$E$44,Matching_Engine!$BD$15)),1,0))+IF(Brand_Profile!$E$45="",0,IF(ISNUMBER(SEARCH(Brand_Profile!$E$45,Matching_Engine!$BD$15)),1,0))+IF(Brand_Profile!$E$46="",0,IF(ISNUMBER(SEARCH(Brand_Profile!$E$46,Matching_Engine!$BD$15)),1,0)))/Brand_Profile!$E$47*100,0)))</f>
        <v>#VALUE!</v>
      </c>
      <c r="L15" s="65" t="e">
        <f>IF(NOT(AND(ISTEXT('[1]#REF'!$U$15),'[1]#REF'!$U$15&lt;&gt;"N/A")),"N/A",IF(Brand_Profile!$E$53=0,Lookup_Lists!$D$150,ROUND((IF(Brand_Profile!$E$48="",0,IF(ISNUMBER(SEARCH(Brand_Profile!$E$48,Matching_Engine!$BF$15)),1,0))+IF(Brand_Profile!$E$49="",0,IF(ISNUMBER(SEARCH(Brand_Profile!$E$49,Matching_Engine!$BF$15)),1,0))+IF(Brand_Profile!$E$50="",0,IF(ISNUMBER(SEARCH(Brand_Profile!$E$50,Matching_Engine!$BF$15)),1,0))+IF(Brand_Profile!$E$51="",0,IF(ISNUMBER(SEARCH(Brand_Profile!$E$51,Matching_Engine!$BF$15)),1,0))+IF(Brand_Profile!$E$52="",0,IF(ISNUMBER(SEARCH(Brand_Profile!$E$52,Matching_Engine!$BF$15)),1,0)))/Brand_Profile!$E$53*100,0)))</f>
        <v>#REF!</v>
      </c>
      <c r="M15" s="63" t="str">
        <f>IF((IF(ISNUMBER(Matching_Engine!$J$15),Lookup_Lists!$D$332,0)+IF(ISNUMBER(Matching_Engine!$K$15),Lookup_Lists!$D$333,0)+IF(ISNUMBER(Matching_Engine!$L$15),Lookup_Lists!$D$334,0))=0,"N/A",ROUND((IF(ISNUMBER(Matching_Engine!$J$15),Matching_Engine!$J$15*Lookup_Lists!$D$332,0)+IF(ISNUMBER(Matching_Engine!$K$15),Matching_Engine!$K$15*Lookup_Lists!$D$333,0)+IF(ISNUMBER(Matching_Engine!$L$15),Matching_Engine!$L$15*Lookup_Lists!$D$334,0))/(IF(ISNUMBER(Matching_Engine!$J$15),Lookup_Lists!$D$332,0)+IF(ISNUMBER(Matching_Engine!$K$15),Lookup_Lists!$D$333,0)+IF(ISNUMBER(Matching_Engine!$L$15),Lookup_Lists!$D$334,0)),0))</f>
        <v>N/A</v>
      </c>
      <c r="N15" s="42">
        <f>IF(ISNUMBER(Matching_Engine!$M$15),1,0)</f>
        <v>1</v>
      </c>
      <c r="O15" s="65" t="str">
        <f ca="1">IF(NOT(ISNUMBER(IFERROR(INDEX('[1]#REF'!$V$15:'[1]#REF'!$Z$15,1,MATCH(Brand_Profile!$E$11,Lookup_Lists!$F$6:$F$10,0)),""))),"N/A",MIN(100,ROUND((IFERROR(INDEX('[1]#REF'!$V$15:'[1]#REF'!$Z$15,1,MATCH(Brand_Profile!$E$11,Lookup_Lists!$F$6:$F$10,0)),"")+0.5*IF(ISNUMBER(IFERROR(INDEX('[1]#REF'!$V$15:'[1]#REF'!$Z$15,1,MATCH(Brand_Profile!$E$12,Lookup_Lists!$F$6:$F$10,0)),"")),IFERROR(INDEX('[1]#REF'!$V$15:'[1]#REF'!$Z$15,1,MATCH(Brand_Profile!$E$12,Lookup_Lists!$F$6:$F$10,0)),""),0))/Lookup_Lists!$D$142*100,0)))</f>
        <v>N/A</v>
      </c>
      <c r="P15" s="65" t="str">
        <f>IF(Brand_Profile!$E$13="Any",100,IF(NOT(ISNUMBER('[1]#REF'!$AA$15)),"N/A",IF(Brand_Profile!$E$13="Female",MIN(100,ROUND('[1]#REF'!$AA$15/Lookup_Lists!$D$143*100,0)),IF(Brand_Profile!$E$13="Male",MIN(100,ROUND(IF(ISNUMBER('[1]#REF'!$AB$15),'[1]#REF'!$AB$15,100-'[1]#REF'!$AA$15)/Lookup_Lists!$D$143*100,0)),MAX(0,ROUND(100-ABS('[1]#REF'!$AA$15-50)*2,0))))))</f>
        <v>N/A</v>
      </c>
      <c r="Q15" s="65" t="str">
        <f>IF((IF(ISNUMBER(IF(NOT(ISNUMBER('[1]#REF'!$AE$15)),"N/A",IF('[1]#REF'!$AD$15&lt;&gt;Brand_Profile!$E$14,Lookup_Lists!$D$151,MIN(100,ROUND('[1]#REF'!$AE$15/Lookup_Lists!$D$316*100,0))))),Lookup_Lists!$D$118,0)+IF(ISNUMBER(IF(NOT(ISNUMBER('[1]#REF'!$AM$15)),"N/A",MIN(100,ROUND((IF('[1]#REF'!$AG$15=Brand_Profile!$E$15,IF(ISNUMBER('[1]#REF'!$AH$15),'[1]#REF'!$AH$15,0),0)+IF('[1]#REF'!$AI$15=Brand_Profile!$E$15,IF(ISNUMBER('[1]#REF'!$AJ$15),'[1]#REF'!$AJ$15,0),0)+IF('[1]#REF'!$AK$15=Brand_Profile!$E$15,IF(ISNUMBER('[1]#REF'!$AL$15),'[1]#REF'!$AL$15,0),0))/Lookup_Lists!$D$317*100,0)))),Lookup_Lists!$D$120,0))=0,"N/A",ROUND((IF(ISNUMBER(IF(NOT(ISNUMBER('[1]#REF'!$AE$15)),"N/A",IF('[1]#REF'!$AD$15&lt;&gt;Brand_Profile!$E$14,Lookup_Lists!$D$151,MIN(100,ROUND('[1]#REF'!$AE$15/Lookup_Lists!$D$316*100,0))))),IF(NOT(ISNUMBER('[1]#REF'!$AE$15)),"N/A",IF('[1]#REF'!$AD$15&lt;&gt;Brand_Profile!$E$14,Lookup_Lists!$D$151,MIN(100,ROUND('[1]#REF'!$AE$15/Lookup_Lists!$D$316*100,0))))*Lookup_Lists!$D$118,0)+IF(ISNUMBER(IF(NOT(ISNUMBER('[1]#REF'!$AM$15)),"N/A",MIN(100,ROUND((IF('[1]#REF'!$AG$15=Brand_Profile!$E$15,IF(ISNUMBER('[1]#REF'!$AH$15),'[1]#REF'!$AH$15,0),0)+IF('[1]#REF'!$AI$15=Brand_Profile!$E$15,IF(ISNUMBER('[1]#REF'!$AJ$15),'[1]#REF'!$AJ$15,0),0)+IF('[1]#REF'!$AK$15=Brand_Profile!$E$15,IF(ISNUMBER('[1]#REF'!$AL$15),'[1]#REF'!$AL$15,0),0))/Lookup_Lists!$D$317*100,0)))),IF(NOT(ISNUMBER('[1]#REF'!$AM$15)),"N/A",MIN(100,ROUND((IF('[1]#REF'!$AG$15=Brand_Profile!$E$15,IF(ISNUMBER('[1]#REF'!$AH$15),'[1]#REF'!$AH$15,0),0)+IF('[1]#REF'!$AI$15=Brand_Profile!$E$15,IF(ISNUMBER('[1]#REF'!$AJ$15),'[1]#REF'!$AJ$15,0),0)+IF('[1]#REF'!$AK$15=Brand_Profile!$E$15,IF(ISNUMBER('[1]#REF'!$AL$15),'[1]#REF'!$AL$15,0),0))/Lookup_Lists!$D$317*100,0)))*Lookup_Lists!$D$120,0))/(IF(ISNUMBER(IF(NOT(ISNUMBER('[1]#REF'!$AE$15)),"N/A",IF('[1]#REF'!$AD$15&lt;&gt;Brand_Profile!$E$14,Lookup_Lists!$D$151,MIN(100,ROUND('[1]#REF'!$AE$15/Lookup_Lists!$D$316*100,0))))),Lookup_Lists!$D$118,0)+IF(ISNUMBER(IF(NOT(ISNUMBER('[1]#REF'!$AM$15)),"N/A",MIN(100,ROUND((IF('[1]#REF'!$AG$15=Brand_Profile!$E$15,IF(ISNUMBER('[1]#REF'!$AH$15),'[1]#REF'!$AH$15,0),0)+IF('[1]#REF'!$AI$15=Brand_Profile!$E$15,IF(ISNUMBER('[1]#REF'!$AJ$15),'[1]#REF'!$AJ$15,0),0)+IF('[1]#REF'!$AK$15=Brand_Profile!$E$15,IF(ISNUMBER('[1]#REF'!$AL$15),'[1]#REF'!$AL$15,0),0))/Lookup_Lists!$D$317*100,0)))),Lookup_Lists!$D$120,0)),0))</f>
        <v>N/A</v>
      </c>
      <c r="R15" s="65" t="str">
        <f>IF(NOT(ISNUMBER('[1]#REF'!$AN$15)),"N/A",MIN(100,ROUND((IF(ISNUMBER('[1]#REF'!$AO$15),'[1]#REF'!$AO$15*Brand_Profile!$E$17,0)+IF(ISNUMBER('[1]#REF'!$AP$15),'[1]#REF'!$AP$15*Brand_Profile!$E$18,0)+IF(ISNUMBER('[1]#REF'!$AQ$15),'[1]#REF'!$AQ$15*Brand_Profile!$E$19,0)+IF(ISNUMBER('[1]#REF'!$AR$15),'[1]#REF'!$AR$15*Brand_Profile!$E$20,0)+IF(ISNUMBER('[1]#REF'!$AS$15),'[1]#REF'!$AS$15*Brand_Profile!$E$21,0)+IF(ISNUMBER('[1]#REF'!$AT$15),'[1]#REF'!$AT$15*Brand_Profile!$E$22,0)+IF(ISNUMBER('[1]#REF'!$AU$15),'[1]#REF'!$AU$15*Brand_Profile!$E$23,0)+IF(ISNUMBER('[1]#REF'!$AV$15),'[1]#REF'!$AV$15*Brand_Profile!$E$24,0)+IF(ISNUMBER('[1]#REF'!$AW$15),'[1]#REF'!$AW$15*Brand_Profile!$E$25,0)+IF(ISNUMBER('[1]#REF'!$AX$15),'[1]#REF'!$AX$15*Brand_Profile!$E$26,0)+IF(ISNUMBER('[1]#REF'!$AY$15),'[1]#REF'!$AY$15*Brand_Profile!$E$27,0)+IF(ISNUMBER('[1]#REF'!$AZ$15),'[1]#REF'!$AZ$15*Brand_Profile!$E$28,0)+IF(ISNUMBER('[1]#REF'!$BA$15),'[1]#REF'!$BA$15*Brand_Profile!$E$29,0)+IF(ISNUMBER('[1]#REF'!$BB$15),'[1]#REF'!$BB$15*Brand_Profile!$E$30,0)+IF(ISNUMBER('[1]#REF'!$BC$15),'[1]#REF'!$BC$15*Brand_Profile!$E$31,0)+IF(ISNUMBER('[1]#REF'!$BD$15),'[1]#REF'!$BD$15*Brand_Profile!$E$32,0)+IF(ISNUMBER('[1]#REF'!$BE$15),'[1]#REF'!$BE$15*Brand_Profile!$E$33,0)+IF(ISNUMBER('[1]#REF'!$BF$15),'[1]#REF'!$BF$15*Brand_Profile!$E$34,0))/Lookup_Lists!$D$318*100,0)))</f>
        <v>N/A</v>
      </c>
      <c r="S15" s="63">
        <f ca="1">IF((IF(ISNUMBER(Matching_Engine!$O$15),Lookup_Lists!$D$113,0)+IF(ISNUMBER(Matching_Engine!$P$15),Lookup_Lists!$D$114,0)+IF(ISNUMBER(Matching_Engine!$Q$15),Lookup_Lists!$D$115,0)+IF(ISNUMBER(Matching_Engine!$R$15),Lookup_Lists!$D$116,0))=0,"N/A",ROUND((IF(ISNUMBER(Matching_Engine!$O$15),Matching_Engine!$O$15*Lookup_Lists!$D$113,0)+IF(ISNUMBER(Matching_Engine!$P$15),Matching_Engine!$P$15*Lookup_Lists!$D$114,0)+IF(ISNUMBER(Matching_Engine!$Q$15),Matching_Engine!$Q$15*Lookup_Lists!$D$115,0)+IF(ISNUMBER(Matching_Engine!$R$15),Matching_Engine!$R$15*Lookup_Lists!$D$116,0))/(IF(ISNUMBER(Matching_Engine!$O$15),Lookup_Lists!$D$113,0)+IF(ISNUMBER(Matching_Engine!$P$15),Lookup_Lists!$D$114,0)+IF(ISNUMBER(Matching_Engine!$Q$15),Lookup_Lists!$D$115,0)+IF(ISNUMBER(Matching_Engine!$R$15),Lookup_Lists!$D$116,0)),0))</f>
        <v>78</v>
      </c>
      <c r="T15" s="42">
        <f ca="1">IF(ISNUMBER(Matching_Engine!$S$15),1,0)</f>
        <v>1</v>
      </c>
      <c r="U15" s="65" t="e">
        <f>IF(NOT(AND(ISTEXT('[1]#REF'!$M$15),'[1]#REF'!$M$15&lt;&gt;"N/A")),Lookup_Lists!$D$150,IF(Brand_Profile!$E$7='[1]#REF'!$M$15,100,IFERROR(INDEX(Lookup_Lists!$B$349:$J$357,MATCH(Brand_Profile!$E$7,Lookup_Lists!$A$349:$A$357,0),MATCH('[1]#REF'!$M$15,Lookup_Lists!$B$348:$J$348,0)),Lookup_Lists!$D$151)))</f>
        <v>#REF!</v>
      </c>
      <c r="V15" s="65" t="e">
        <f>IF(NOT(AND(ISTEXT('[1]#REF'!$P$15),'[1]#REF'!$P$15&lt;&gt;"N/A")),"N/A",IFERROR(INDEX(Lookup_Lists!$B$349:$J$357,MATCH(Brand_Profile!$E$7,Lookup_Lists!$A$349:$A$357,0),MATCH('[1]#REF'!$P$15,Lookup_Lists!$B$348:$J$348,0)),Lookup_Lists!$D$151))</f>
        <v>#REF!</v>
      </c>
      <c r="W15" s="65" t="e">
        <f>IF(LEN(TRIM(SUBSTITUTE(Matching_Engine!$BE$15,"|","")))=0,"N/A",IF(Brand_Profile!$E$60=0,Lookup_Lists!$D$150,ROUND((IF(Brand_Profile!$E$54="",0,IF(ISNUMBER(SEARCH(Brand_Profile!$E$54,Matching_Engine!$BE$15)),1,0))+IF(Brand_Profile!$E$55="",0,IF(ISNUMBER(SEARCH(Brand_Profile!$E$55,Matching_Engine!$BE$15)),1,0))+IF(Brand_Profile!$E$56="",0,IF(ISNUMBER(SEARCH(Brand_Profile!$E$56,Matching_Engine!$BE$15)),1,0))+IF(Brand_Profile!$E$57="",0,IF(ISNUMBER(SEARCH(Brand_Profile!$E$57,Matching_Engine!$BE$15)),1,0))+IF(Brand_Profile!$E$58="",0,IF(ISNUMBER(SEARCH(Brand_Profile!$E$58,Matching_Engine!$BE$15)),1,0))+IF(Brand_Profile!$E$59="",0,IF(ISNUMBER(SEARCH(Brand_Profile!$E$59,Matching_Engine!$BE$15)),1,0)))/Brand_Profile!$E$60*100,0)))</f>
        <v>#VALUE!</v>
      </c>
      <c r="X15" s="65" t="e">
        <f>IF(NOT(AND(ISTEXT('[1]#REF'!$Q$15),'[1]#REF'!$Q$15&lt;&gt;"N/A")),"N/A",Lookup_Lists!$D$150)</f>
        <v>#REF!</v>
      </c>
      <c r="Y15" s="63">
        <f>IF((IF(ISNUMBER(Matching_Engine!$U$15),Lookup_Lists!$D$335,0)+IF(ISNUMBER(Matching_Engine!$V$15),Lookup_Lists!$D$122,0)+IF(ISNUMBER(Matching_Engine!$W$15),Lookup_Lists!$D$336,0)+IF(ISNUMBER(Matching_Engine!$X$15),Lookup_Lists!$D$124,0))=0,"N/A",ROUND((IF(ISNUMBER(Matching_Engine!$U$15),Matching_Engine!$U$15*Lookup_Lists!$D$335,0)+IF(ISNUMBER(Matching_Engine!$V$15),Matching_Engine!$V$15*Lookup_Lists!$D$122,0)+IF(ISNUMBER(Matching_Engine!$W$15),Matching_Engine!$W$15*Lookup_Lists!$D$336,0)+IF(ISNUMBER(Matching_Engine!$X$15),Matching_Engine!$X$15*Lookup_Lists!$D$124,0))/(IF(ISNUMBER(Matching_Engine!$U$15),Lookup_Lists!$D$335,0)+IF(ISNUMBER(Matching_Engine!$V$15),Lookup_Lists!$D$122,0)+IF(ISNUMBER(Matching_Engine!$W$15),Lookup_Lists!$D$336,0)+IF(ISNUMBER(Matching_Engine!$X$15),Lookup_Lists!$D$124,0)),0))</f>
        <v>64</v>
      </c>
      <c r="Z15" s="42">
        <f>IF(ISNUMBER(Matching_Engine!$Y$15),1,0)</f>
        <v>1</v>
      </c>
      <c r="AA15" s="65" t="e">
        <f>IF(NOT(AND(ISTEXT('[1]#REF'!$Q$15),'[1]#REF'!$Q$15&lt;&gt;"N/A")),"N/A",Lookup_Lists!$D$150)</f>
        <v>#REF!</v>
      </c>
      <c r="AB15" s="65" t="e">
        <f>IF(NOT(AND(ISTEXT('[1]#REF'!$Q$15),'[1]#REF'!$Q$15&lt;&gt;"N/A")),"N/A",Lookup_Lists!$D$150)</f>
        <v>#REF!</v>
      </c>
      <c r="AC15" s="65" t="str">
        <f t="shared" si="0"/>
        <v>N/A</v>
      </c>
      <c r="AD15" s="65" t="e">
        <f>IF(NOT(AND(ISTEXT('[1]#REF'!$Q$15),'[1]#REF'!$Q$15&lt;&gt;"N/A")),"N/A",Lookup_Lists!$D$150)</f>
        <v>#REF!</v>
      </c>
      <c r="AE15" s="63">
        <f>IF((IF(ISNUMBER(Matching_Engine!$AA$15),Lookup_Lists!$D$125,0)+IF(ISNUMBER(Matching_Engine!$AB$15),Lookup_Lists!$D$126,0)+IF(ISNUMBER(Matching_Engine!$AC$15),Lookup_Lists!$D$127,0)+IF(ISNUMBER(Matching_Engine!$AD$15),Lookup_Lists!$D$128,0))=0,"N/A",ROUND((IF(ISNUMBER(Matching_Engine!$AA$15),Matching_Engine!$AA$15*Lookup_Lists!$D$125,0)+IF(ISNUMBER(Matching_Engine!$AB$15),Matching_Engine!$AB$15*Lookup_Lists!$D$126,0)+IF(ISNUMBER(Matching_Engine!$AC$15),Matching_Engine!$AC$15*Lookup_Lists!$D$127,0)+IF(ISNUMBER(Matching_Engine!$AD$15),Matching_Engine!$AD$15*Lookup_Lists!$D$128,0))/(IF(ISNUMBER(Matching_Engine!$AA$15),Lookup_Lists!$D$125,0)+IF(ISNUMBER(Matching_Engine!$AB$15),Lookup_Lists!$D$126,0)+IF(ISNUMBER(Matching_Engine!$AC$15),Lookup_Lists!$D$127,0)+IF(ISNUMBER(Matching_Engine!$AD$15),Lookup_Lists!$D$128,0)),0))</f>
        <v>79</v>
      </c>
      <c r="AF15" s="42">
        <f>IF(ISNUMBER(Matching_Engine!$AE$15),1,0)</f>
        <v>1</v>
      </c>
      <c r="AG15" s="65" t="str">
        <f>IF(NOT(ISNUMBER('[1]#REF'!$BG$15)),"N/A",MIN(100,ROUND('[1]#REF'!$BG$15/IFERROR(INDEX(Lookup_Lists!$B$340:$B$344,MATCH('[1]#REF'!$H$15,Lookup_Lists!$A$340:$A$344,0)),Lookup_Lists!$D$141)*100,0)))</f>
        <v>N/A</v>
      </c>
      <c r="AH15" s="65" t="str">
        <f>IF(NOT(ISNUMBER('[1]#REF'!$BS$15)),"N/A",MIN(100,MAX(0,'[1]#REF'!$BS$15)))</f>
        <v>N/A</v>
      </c>
      <c r="AI15" s="65" t="e">
        <f>IF(OR(NOT(ISNUMBER('[1]#REF'!$BM$15)),NOT(ISNUMBER('[1]#REF'!$BN$15)),'[1]#REF'!$BN$15&lt;Lookup_Lists!$D$320),"N/A",MIN(100,ROUND('[1]#REF'!$BM$15/Lookup_Lists!$D$319*100,0)))</f>
        <v>#REF!</v>
      </c>
      <c r="AJ15" s="65" t="str">
        <f>IF(NOT(ISNUMBER('[1]#REF'!$BR$15)),"N/A",'[1]#REF'!$BR$15)</f>
        <v>N/A</v>
      </c>
      <c r="AK15" s="65" t="str">
        <f>IF(NOT(ISNUMBER('[1]#REF'!$BK$15)),"N/A",MIN(100,ROUND('[1]#REF'!$BK$15/Lookup_Lists!$D$321*100,0)))</f>
        <v>N/A</v>
      </c>
      <c r="AL15" s="65" t="str">
        <f>IF(NOT(ISNUMBER('[1]#REF'!$BP$15)),"N/A",MIN(100,MAX(0,ROUND(('[1]#REF'!$BP$15+2)/(Lookup_Lists!$D$145+2)*100,0))))</f>
        <v>N/A</v>
      </c>
      <c r="AM15" s="63">
        <f>IF((IF(ISNUMBER(Matching_Engine!$AG$15),Lookup_Lists!$D$129,0)+IF(ISNUMBER(Matching_Engine!$AH$15),Lookup_Lists!$D$130,0)+IF(ISNUMBER(Matching_Engine!$AI$15),Lookup_Lists!$D$131,0)+IF(ISNUMBER(Matching_Engine!$AJ$15),Lookup_Lists!$D$132,0)+IF(ISNUMBER(Matching_Engine!$AK$15),Lookup_Lists!$D$133,0)+IF(ISNUMBER(Matching_Engine!$AL$15),Lookup_Lists!$D$134,0))=0,"N/A",ROUND((IF(ISNUMBER(Matching_Engine!$AG$15),Matching_Engine!$AG$15*Lookup_Lists!$D$129,0)+IF(ISNUMBER(Matching_Engine!$AH$15),Matching_Engine!$AH$15*Lookup_Lists!$D$130,0)+IF(ISNUMBER(Matching_Engine!$AI$15),Matching_Engine!$AI$15*Lookup_Lists!$D$131,0)+IF(ISNUMBER(Matching_Engine!$AJ$15),Matching_Engine!$AJ$15*Lookup_Lists!$D$132,0)+IF(ISNUMBER(Matching_Engine!$AK$15),Matching_Engine!$AK$15*Lookup_Lists!$D$133,0)+IF(ISNUMBER(Matching_Engine!$AL$15),Matching_Engine!$AL$15*Lookup_Lists!$D$134,0))/(IF(ISNUMBER(Matching_Engine!$AG$15),Lookup_Lists!$D$129,0)+IF(ISNUMBER(Matching_Engine!$AH$15),Lookup_Lists!$D$130,0)+IF(ISNUMBER(Matching_Engine!$AI$15),Lookup_Lists!$D$131,0)+IF(ISNUMBER(Matching_Engine!$AJ$15),Lookup_Lists!$D$132,0)+IF(ISNUMBER(Matching_Engine!$AK$15),Lookup_Lists!$D$133,0)+IF(ISNUMBER(Matching_Engine!$AL$15),Lookup_Lists!$D$134,0)),0))</f>
        <v>66</v>
      </c>
      <c r="AN15" s="42">
        <f>IF(ISNUMBER(Matching_Engine!$AM$15),1,0)</f>
        <v>0</v>
      </c>
      <c r="AO15" s="65" t="str">
        <f>IF(NOT(ISNUMBER('[1]#REF'!$BT$15)),"N/A",MIN(100,MAX(0,'[1]#REF'!$BT$15)))</f>
        <v>N/A</v>
      </c>
      <c r="AP15" s="65" t="str">
        <f>IF(NOT(ISNUMBER('[1]#REF'!$BU$15)),"N/A",MIN(100,MAX(0,'[1]#REF'!$BU$15)))</f>
        <v>N/A</v>
      </c>
      <c r="AQ15" s="65" t="e">
        <f>IF('[1]#REF'!$I$15="Yes",Lookup_Lists!$D$326,IF('[1]#REF'!$I$15="No",Lookup_Lists!$D$327,"N/A"))</f>
        <v>#REF!</v>
      </c>
      <c r="AR15" s="65" t="str">
        <f>IF(NOT(ISNUMBER('[1]#REF'!$BQ$15)),"N/A",MAX(0,ROUND(100-'[1]#REF'!$BQ$15/Lookup_Lists!$D$328*100,0)))</f>
        <v>N/A</v>
      </c>
      <c r="AS15" s="65" t="e">
        <f>IF(NOT(AND(ISTEXT('[1]#REF'!$BV$15),'[1]#REF'!$BV$15&lt;&gt;"N/A")),"N/A",'[1]#REF'!$BV$15)</f>
        <v>#REF!</v>
      </c>
      <c r="AT15" s="63" t="str">
        <f ca="1">IF((IF(ISNUMBER(Matching_Engine!$AO$15),Lookup_Lists!$D$322,0)+IF(ISNUMBER(Matching_Engine!$AP$15),Lookup_Lists!$D$323,0)+IF(ISNUMBER(Matching_Engine!$AQ$15),Lookup_Lists!$D$324,0)+IF(ISNUMBER(Matching_Engine!$AR$15),Lookup_Lists!$D$325,0))=0,"N/A",ROUND((IF(ISNUMBER(Matching_Engine!$AO$15),Matching_Engine!$AO$15*Lookup_Lists!$D$322,0)+IF(ISNUMBER(Matching_Engine!$AP$15),Matching_Engine!$AP$15*Lookup_Lists!$D$323,0)+IF(ISNUMBER(Matching_Engine!$AQ$15),Matching_Engine!$AQ$15*Lookup_Lists!$D$324,0)+IF(ISNUMBER(Matching_Engine!$AR$15),Matching_Engine!$AR$15*Lookup_Lists!$D$325,0))/(IF(ISNUMBER(Matching_Engine!$AO$15),Lookup_Lists!$D$322,0)+IF(ISNUMBER(Matching_Engine!$AP$15),Lookup_Lists!$D$323,0)+IF(ISNUMBER(Matching_Engine!$AQ$15),Lookup_Lists!$D$324,0)+IF(ISNUMBER(Matching_Engine!$AR$15),Lookup_Lists!$D$325,0)),0))</f>
        <v>N/A</v>
      </c>
      <c r="AU15" s="42">
        <f>IF(ISNUMBER(Matching_Engine!$AT$15),1,0)</f>
        <v>1</v>
      </c>
      <c r="AV15" s="42" t="str">
        <f>IF(NOT(ISNUMBER(Matching_Engine!$AT$15)),"Not Screened",IF(Matching_Engine!$AT$15&gt;=Lookup_Lists!$D$329,"Low Risk",IF(Matching_Engine!$AT$15&gt;=Lookup_Lists!$D$330,"Moderate Risk",IF(Matching_Engine!$AT$15&gt;=Lookup_Lists!$D$331,"Elevated Risk","High Risk"))))</f>
        <v>Low Risk</v>
      </c>
      <c r="AW15" s="42" t="e">
        <f ca="1">IF(NOT(ISNUMBER(Matching_Engine!$AT$15)),"No integrity signal: no audience-analysis row for this account.","Integrity screen only — no content-risk reading exists (comments_analysis: 0 rows). "&amp;IF(ISNUMBER(Matching_Engine!$AO$15),"Authenticity "&amp;Matching_Engine!$AO$15&amp;". ","Authenticity N/A. ")&amp;IF(ISNUMBER(Matching_Engine!$AP$15),"Follower quality "&amp;Matching_Engine!$AP$15&amp;". ","Follower quality N/A. ")&amp;IF('[1]#REF'!$I$15="Yes","Platform-verified.","Not platform-verified."))</f>
        <v>#REF!</v>
      </c>
      <c r="AX15" s="65">
        <f>Matching_Engine!$N$15*Lookup_Lists!$D$104+Matching_Engine!$T$15*Lookup_Lists!$D$105+Matching_Engine!$Z$15*Lookup_Lists!$D$106+Matching_Engine!$AF$15*Lookup_Lists!$D$107+Matching_Engine!$AN$15*Lookup_Lists!$D$108+Matching_Engine!$AU$15*Lookup_Lists!$D$109</f>
        <v>7210</v>
      </c>
      <c r="AY15" s="74" t="e">
        <f ca="1">IF(Matching_Engine!$AX$15=0,"N/A",ROUND((IF(Matching_Engine!$N$15=1,Matching_Engine!$M$15*Lookup_Lists!$D$104,0)+IF(Matching_Engine!$T$15=1,Matching_Engine!$S$15*Lookup_Lists!$D$105,0)+IF(Matching_Engine!$Z$15=1,Matching_Engine!$Y$15*Lookup_Lists!$D$106,0)+IF(Matching_Engine!$AF$15=1,Matching_Engine!$AE$15*Lookup_Lists!$D$107,0)+IF(Matching_Engine!$AN$15=1,Matching_Engine!$AM$15*Lookup_Lists!$D$108,0)+IF(Matching_Engine!$AU$15=1,Matching_Engine!$AT$15*Lookup_Lists!$D$109,0))/Matching_Engine!$AX$15,0))</f>
        <v>#VALUE!</v>
      </c>
      <c r="AZ15" s="42" t="str">
        <f ca="1">IF(NOT(ISNUMBER(Matching_Engine!$AY$15)),"Not Scored",IF(Matching_Engine!$AY$15&gt;=Lookup_Lists!$D$152,"Excellent Match",IF(Matching_Engine!$AY$15&gt;=Lookup_Lists!$D$153,"Strong Match",IF(Matching_Engine!$AY$15&gt;=Lookup_Lists!$D$154,"Good Match",IF(Matching_Engine!$AY$15&gt;=Lookup_Lists!$D$155,"Moderate Match","Low Match")))))</f>
        <v>Good Match</v>
      </c>
      <c r="BA15" s="65" t="e">
        <f>'[1]#REF'!$BW$15</f>
        <v>#REF!</v>
      </c>
      <c r="BB15" s="42" t="e">
        <f>'[1]#REF'!$BX$15</f>
        <v>#REF!</v>
      </c>
      <c r="BC15" s="65">
        <f ca="1">IF(NOT(ISNUMBER(Matching_Engine!$AY$15)),-1,Matching_Engine!$AY$15*1000+15)</f>
        <v>74015</v>
      </c>
      <c r="BD15" s="42" t="e">
        <f>IF(AND(ISTEXT('[1]#REF'!$S$15),'[1]#REF'!$S$15&lt;&gt;"N/A"),'[1]#REF'!$S$15,"")&amp;" | "&amp;IF(AND(ISTEXT('[1]#REF'!$T$15),'[1]#REF'!$T$15&lt;&gt;"N/A"),'[1]#REF'!$T$15,"")&amp;" | "&amp;IF(AND(ISTEXT('[1]#REF'!$N$15),'[1]#REF'!$N$15&lt;&gt;"N/A"),'[1]#REF'!$N$15,"")&amp;" | "&amp;IF(AND(ISTEXT('[1]#REF'!$K$15),'[1]#REF'!$K$15&lt;&gt;"N/A"),'[1]#REF'!$K$15,"")&amp;" | "&amp;IF(AND(ISTEXT('[1]#REF'!$J$15),'[1]#REF'!$J$15&lt;&gt;"N/A"),'[1]#REF'!$J$15,"")</f>
        <v>#REF!</v>
      </c>
      <c r="BE15" s="42" t="e">
        <f>IF(AND(ISTEXT('[1]#REF'!$T$15),'[1]#REF'!$T$15&lt;&gt;"N/A"),'[1]#REF'!$T$15,"")&amp;" | "&amp;IF(AND(ISTEXT('[1]#REF'!$N$15),'[1]#REF'!$N$15&lt;&gt;"N/A"),'[1]#REF'!$N$15,"")&amp;" | "&amp;IF(AND(ISTEXT('[1]#REF'!$O$15),'[1]#REF'!$O$15&lt;&gt;"N/A"),'[1]#REF'!$O$15,"")&amp;" | "&amp;IF(AND(ISTEXT('[1]#REF'!$S$15),'[1]#REF'!$S$15&lt;&gt;"N/A"),'[1]#REF'!$S$15,"")</f>
        <v>#REF!</v>
      </c>
      <c r="BF15" s="42" t="e">
        <f>IF(AND(ISTEXT('[1]#REF'!$U$15),'[1]#REF'!$U$15&lt;&gt;"N/A"),'[1]#REF'!$U$15,"")</f>
        <v>#REF!</v>
      </c>
      <c r="BG15" s="42" t="str">
        <f>Matching_Engine!$A$15&amp;"|"&amp;Matching_Engine!$C$15</f>
        <v>BRAND-A|KOL-10</v>
      </c>
    </row>
    <row r="16" spans="1:59">
      <c r="A16" s="64" t="s">
        <v>2527</v>
      </c>
      <c r="B16" s="42" t="str">
        <f>Brand_Profile!$E$6</f>
        <v>BRAND-B</v>
      </c>
      <c r="C16" s="42" t="e">
        <f>'[1]#REF'!$A$16</f>
        <v>#REF!</v>
      </c>
      <c r="D16" s="42" t="e">
        <f>'[1]#REF'!$C$16</f>
        <v>#REF!</v>
      </c>
      <c r="E16" s="42" t="e">
        <f>'[1]#REF'!$D$16</f>
        <v>#REF!</v>
      </c>
      <c r="F16" s="42" t="e">
        <f>'[1]#REF'!$E$16</f>
        <v>#REF!</v>
      </c>
      <c r="G16" s="42" t="e">
        <f>'[1]#REF'!$K$16</f>
        <v>#REF!</v>
      </c>
      <c r="H16" s="72" t="e">
        <f>'[1]#REF'!$G$16</f>
        <v>#REF!</v>
      </c>
      <c r="I16" s="73" t="e">
        <f>'[1]#REF'!$BG$16</f>
        <v>#REF!</v>
      </c>
      <c r="J16" s="65" t="e">
        <f>IF(NOT(AND(ISTEXT('[1]#REF'!$K$16),'[1]#REF'!$K$16&lt;&gt;"N/A")),Lookup_Lists!$D$150,IF(Brand_Profile!$E$7='[1]#REF'!$K$16,100,IFERROR(INDEX(Lookup_Lists!$B$349:$J$357,MATCH(Brand_Profile!$E$7,Lookup_Lists!$A$349:$A$357,0),MATCH('[1]#REF'!$K$16,Lookup_Lists!$B$348:$J$348,0)),Lookup_Lists!$D$151)))</f>
        <v>#REF!</v>
      </c>
      <c r="K16" s="65" t="e">
        <f>IF(LEN(TRIM(SUBSTITUTE(Matching_Engine!$BD$16,"|","")))=0,"N/A",IF(Brand_Profile!$E$47=0,Lookup_Lists!$D$150,ROUND((IF(Brand_Profile!$E$41="",0,IF(ISNUMBER(SEARCH(Brand_Profile!$E$41,Matching_Engine!$BD$16)),1,0))+IF(Brand_Profile!$E$42="",0,IF(ISNUMBER(SEARCH(Brand_Profile!$E$42,Matching_Engine!$BD$16)),1,0))+IF(Brand_Profile!$E$43="",0,IF(ISNUMBER(SEARCH(Brand_Profile!$E$43,Matching_Engine!$BD$16)),1,0))+IF(Brand_Profile!$E$44="",0,IF(ISNUMBER(SEARCH(Brand_Profile!$E$44,Matching_Engine!$BD$16)),1,0))+IF(Brand_Profile!$E$45="",0,IF(ISNUMBER(SEARCH(Brand_Profile!$E$45,Matching_Engine!$BD$16)),1,0))+IF(Brand_Profile!$E$46="",0,IF(ISNUMBER(SEARCH(Brand_Profile!$E$46,Matching_Engine!$BD$16)),1,0)))/Brand_Profile!$E$47*100,0)))</f>
        <v>#VALUE!</v>
      </c>
      <c r="L16" s="65" t="e">
        <f>IF(NOT(AND(ISTEXT('[1]#REF'!$U$16),'[1]#REF'!$U$16&lt;&gt;"N/A")),"N/A",IF(Brand_Profile!$E$53=0,Lookup_Lists!$D$150,ROUND((IF(Brand_Profile!$E$48="",0,IF(ISNUMBER(SEARCH(Brand_Profile!$E$48,Matching_Engine!$BF$16)),1,0))+IF(Brand_Profile!$E$49="",0,IF(ISNUMBER(SEARCH(Brand_Profile!$E$49,Matching_Engine!$BF$16)),1,0))+IF(Brand_Profile!$E$50="",0,IF(ISNUMBER(SEARCH(Brand_Profile!$E$50,Matching_Engine!$BF$16)),1,0))+IF(Brand_Profile!$E$51="",0,IF(ISNUMBER(SEARCH(Brand_Profile!$E$51,Matching_Engine!$BF$16)),1,0))+IF(Brand_Profile!$E$52="",0,IF(ISNUMBER(SEARCH(Brand_Profile!$E$52,Matching_Engine!$BF$16)),1,0)))/Brand_Profile!$E$53*100,0)))</f>
        <v>#REF!</v>
      </c>
      <c r="M16" s="63" t="str">
        <f>IF((IF(ISNUMBER(Matching_Engine!$J$16),Lookup_Lists!$D$332,0)+IF(ISNUMBER(Matching_Engine!$K$16),Lookup_Lists!$D$333,0)+IF(ISNUMBER(Matching_Engine!$L$16),Lookup_Lists!$D$334,0))=0,"N/A",ROUND((IF(ISNUMBER(Matching_Engine!$J$16),Matching_Engine!$J$16*Lookup_Lists!$D$332,0)+IF(ISNUMBER(Matching_Engine!$K$16),Matching_Engine!$K$16*Lookup_Lists!$D$333,0)+IF(ISNUMBER(Matching_Engine!$L$16),Matching_Engine!$L$16*Lookup_Lists!$D$334,0))/(IF(ISNUMBER(Matching_Engine!$J$16),Lookup_Lists!$D$332,0)+IF(ISNUMBER(Matching_Engine!$K$16),Lookup_Lists!$D$333,0)+IF(ISNUMBER(Matching_Engine!$L$16),Lookup_Lists!$D$334,0)),0))</f>
        <v>N/A</v>
      </c>
      <c r="N16" s="42">
        <f>IF(ISNUMBER(Matching_Engine!$M$16),1,0)</f>
        <v>1</v>
      </c>
      <c r="O16" s="65" t="str">
        <f ca="1">IF(NOT(ISNUMBER(IFERROR(INDEX('[1]#REF'!$V$16:'[1]#REF'!$Z$16,1,MATCH(Brand_Profile!$E$11,Lookup_Lists!$F$6:$F$10,0)),""))),"N/A",MIN(100,ROUND((IFERROR(INDEX('[1]#REF'!$V$16:'[1]#REF'!$Z$16,1,MATCH(Brand_Profile!$E$11,Lookup_Lists!$F$6:$F$10,0)),"")+0.5*IF(ISNUMBER(IFERROR(INDEX('[1]#REF'!$V$16:'[1]#REF'!$Z$16,1,MATCH(Brand_Profile!$E$12,Lookup_Lists!$F$6:$F$10,0)),"")),IFERROR(INDEX('[1]#REF'!$V$16:'[1]#REF'!$Z$16,1,MATCH(Brand_Profile!$E$12,Lookup_Lists!$F$6:$F$10,0)),""),0))/Lookup_Lists!$D$142*100,0)))</f>
        <v>N/A</v>
      </c>
      <c r="P16" s="65" t="str">
        <f>IF(Brand_Profile!$E$13="Any",100,IF(NOT(ISNUMBER('[1]#REF'!$AA$16)),"N/A",IF(Brand_Profile!$E$13="Female",MIN(100,ROUND('[1]#REF'!$AA$16/Lookup_Lists!$D$143*100,0)),IF(Brand_Profile!$E$13="Male",MIN(100,ROUND(IF(ISNUMBER('[1]#REF'!$AB$16),'[1]#REF'!$AB$16,100-'[1]#REF'!$AA$16)/Lookup_Lists!$D$143*100,0)),MAX(0,ROUND(100-ABS('[1]#REF'!$AA$16-50)*2,0))))))</f>
        <v>N/A</v>
      </c>
      <c r="Q16" s="65" t="str">
        <f>IF((IF(ISNUMBER(IF(NOT(ISNUMBER('[1]#REF'!$AE$16)),"N/A",IF('[1]#REF'!$AD$16&lt;&gt;Brand_Profile!$E$14,Lookup_Lists!$D$151,MIN(100,ROUND('[1]#REF'!$AE$16/Lookup_Lists!$D$316*100,0))))),Lookup_Lists!$D$118,0)+IF(ISNUMBER(IF(NOT(ISNUMBER('[1]#REF'!$AM$16)),"N/A",MIN(100,ROUND((IF('[1]#REF'!$AG$16=Brand_Profile!$E$15,IF(ISNUMBER('[1]#REF'!$AH$16),'[1]#REF'!$AH$16,0),0)+IF('[1]#REF'!$AI$16=Brand_Profile!$E$15,IF(ISNUMBER('[1]#REF'!$AJ$16),'[1]#REF'!$AJ$16,0),0)+IF('[1]#REF'!$AK$16=Brand_Profile!$E$15,IF(ISNUMBER('[1]#REF'!$AL$16),'[1]#REF'!$AL$16,0),0))/Lookup_Lists!$D$317*100,0)))),Lookup_Lists!$D$120,0))=0,"N/A",ROUND((IF(ISNUMBER(IF(NOT(ISNUMBER('[1]#REF'!$AE$16)),"N/A",IF('[1]#REF'!$AD$16&lt;&gt;Brand_Profile!$E$14,Lookup_Lists!$D$151,MIN(100,ROUND('[1]#REF'!$AE$16/Lookup_Lists!$D$316*100,0))))),IF(NOT(ISNUMBER('[1]#REF'!$AE$16)),"N/A",IF('[1]#REF'!$AD$16&lt;&gt;Brand_Profile!$E$14,Lookup_Lists!$D$151,MIN(100,ROUND('[1]#REF'!$AE$16/Lookup_Lists!$D$316*100,0))))*Lookup_Lists!$D$118,0)+IF(ISNUMBER(IF(NOT(ISNUMBER('[1]#REF'!$AM$16)),"N/A",MIN(100,ROUND((IF('[1]#REF'!$AG$16=Brand_Profile!$E$15,IF(ISNUMBER('[1]#REF'!$AH$16),'[1]#REF'!$AH$16,0),0)+IF('[1]#REF'!$AI$16=Brand_Profile!$E$15,IF(ISNUMBER('[1]#REF'!$AJ$16),'[1]#REF'!$AJ$16,0),0)+IF('[1]#REF'!$AK$16=Brand_Profile!$E$15,IF(ISNUMBER('[1]#REF'!$AL$16),'[1]#REF'!$AL$16,0),0))/Lookup_Lists!$D$317*100,0)))),IF(NOT(ISNUMBER('[1]#REF'!$AM$16)),"N/A",MIN(100,ROUND((IF('[1]#REF'!$AG$16=Brand_Profile!$E$15,IF(ISNUMBER('[1]#REF'!$AH$16),'[1]#REF'!$AH$16,0),0)+IF('[1]#REF'!$AI$16=Brand_Profile!$E$15,IF(ISNUMBER('[1]#REF'!$AJ$16),'[1]#REF'!$AJ$16,0),0)+IF('[1]#REF'!$AK$16=Brand_Profile!$E$15,IF(ISNUMBER('[1]#REF'!$AL$16),'[1]#REF'!$AL$16,0),0))/Lookup_Lists!$D$317*100,0)))*Lookup_Lists!$D$120,0))/(IF(ISNUMBER(IF(NOT(ISNUMBER('[1]#REF'!$AE$16)),"N/A",IF('[1]#REF'!$AD$16&lt;&gt;Brand_Profile!$E$14,Lookup_Lists!$D$151,MIN(100,ROUND('[1]#REF'!$AE$16/Lookup_Lists!$D$316*100,0))))),Lookup_Lists!$D$118,0)+IF(ISNUMBER(IF(NOT(ISNUMBER('[1]#REF'!$AM$16)),"N/A",MIN(100,ROUND((IF('[1]#REF'!$AG$16=Brand_Profile!$E$15,IF(ISNUMBER('[1]#REF'!$AH$16),'[1]#REF'!$AH$16,0),0)+IF('[1]#REF'!$AI$16=Brand_Profile!$E$15,IF(ISNUMBER('[1]#REF'!$AJ$16),'[1]#REF'!$AJ$16,0),0)+IF('[1]#REF'!$AK$16=Brand_Profile!$E$15,IF(ISNUMBER('[1]#REF'!$AL$16),'[1]#REF'!$AL$16,0),0))/Lookup_Lists!$D$317*100,0)))),Lookup_Lists!$D$120,0)),0))</f>
        <v>N/A</v>
      </c>
      <c r="R16" s="65" t="str">
        <f>IF(NOT(ISNUMBER('[1]#REF'!$AN$16)),"N/A",MIN(100,ROUND((IF(ISNUMBER('[1]#REF'!$AO$16),'[1]#REF'!$AO$16*Brand_Profile!$E$17,0)+IF(ISNUMBER('[1]#REF'!$AP$16),'[1]#REF'!$AP$16*Brand_Profile!$E$18,0)+IF(ISNUMBER('[1]#REF'!$AQ$16),'[1]#REF'!$AQ$16*Brand_Profile!$E$19,0)+IF(ISNUMBER('[1]#REF'!$AR$16),'[1]#REF'!$AR$16*Brand_Profile!$E$20,0)+IF(ISNUMBER('[1]#REF'!$AS$16),'[1]#REF'!$AS$16*Brand_Profile!$E$21,0)+IF(ISNUMBER('[1]#REF'!$AT$16),'[1]#REF'!$AT$16*Brand_Profile!$E$22,0)+IF(ISNUMBER('[1]#REF'!$AU$16),'[1]#REF'!$AU$16*Brand_Profile!$E$23,0)+IF(ISNUMBER('[1]#REF'!$AV$16),'[1]#REF'!$AV$16*Brand_Profile!$E$24,0)+IF(ISNUMBER('[1]#REF'!$AW$16),'[1]#REF'!$AW$16*Brand_Profile!$E$25,0)+IF(ISNUMBER('[1]#REF'!$AX$16),'[1]#REF'!$AX$16*Brand_Profile!$E$26,0)+IF(ISNUMBER('[1]#REF'!$AY$16),'[1]#REF'!$AY$16*Brand_Profile!$E$27,0)+IF(ISNUMBER('[1]#REF'!$AZ$16),'[1]#REF'!$AZ$16*Brand_Profile!$E$28,0)+IF(ISNUMBER('[1]#REF'!$BA$16),'[1]#REF'!$BA$16*Brand_Profile!$E$29,0)+IF(ISNUMBER('[1]#REF'!$BB$16),'[1]#REF'!$BB$16*Brand_Profile!$E$30,0)+IF(ISNUMBER('[1]#REF'!$BC$16),'[1]#REF'!$BC$16*Brand_Profile!$E$31,0)+IF(ISNUMBER('[1]#REF'!$BD$16),'[1]#REF'!$BD$16*Brand_Profile!$E$32,0)+IF(ISNUMBER('[1]#REF'!$BE$16),'[1]#REF'!$BE$16*Brand_Profile!$E$33,0)+IF(ISNUMBER('[1]#REF'!$BF$16),'[1]#REF'!$BF$16*Brand_Profile!$E$34,0))/Lookup_Lists!$D$318*100,0)))</f>
        <v>N/A</v>
      </c>
      <c r="S16" s="63">
        <f ca="1">IF((IF(ISNUMBER(Matching_Engine!$O$16),Lookup_Lists!$D$113,0)+IF(ISNUMBER(Matching_Engine!$P$16),Lookup_Lists!$D$114,0)+IF(ISNUMBER(Matching_Engine!$Q$16),Lookup_Lists!$D$115,0)+IF(ISNUMBER(Matching_Engine!$R$16),Lookup_Lists!$D$116,0))=0,"N/A",ROUND((IF(ISNUMBER(Matching_Engine!$O$16),Matching_Engine!$O$16*Lookup_Lists!$D$113,0)+IF(ISNUMBER(Matching_Engine!$P$16),Matching_Engine!$P$16*Lookup_Lists!$D$114,0)+IF(ISNUMBER(Matching_Engine!$Q$16),Matching_Engine!$Q$16*Lookup_Lists!$D$115,0)+IF(ISNUMBER(Matching_Engine!$R$16),Matching_Engine!$R$16*Lookup_Lists!$D$116,0))/(IF(ISNUMBER(Matching_Engine!$O$16),Lookup_Lists!$D$113,0)+IF(ISNUMBER(Matching_Engine!$P$16),Lookup_Lists!$D$114,0)+IF(ISNUMBER(Matching_Engine!$Q$16),Lookup_Lists!$D$115,0)+IF(ISNUMBER(Matching_Engine!$R$16),Lookup_Lists!$D$116,0)),0))</f>
        <v>70</v>
      </c>
      <c r="T16" s="42">
        <f ca="1">IF(ISNUMBER(Matching_Engine!$S$16),1,0)</f>
        <v>1</v>
      </c>
      <c r="U16" s="65" t="e">
        <f>IF(NOT(AND(ISTEXT('[1]#REF'!$M$16),'[1]#REF'!$M$16&lt;&gt;"N/A")),Lookup_Lists!$D$150,IF(Brand_Profile!$E$7='[1]#REF'!$M$16,100,IFERROR(INDEX(Lookup_Lists!$B$349:$J$357,MATCH(Brand_Profile!$E$7,Lookup_Lists!$A$349:$A$357,0),MATCH('[1]#REF'!$M$16,Lookup_Lists!$B$348:$J$348,0)),Lookup_Lists!$D$151)))</f>
        <v>#REF!</v>
      </c>
      <c r="V16" s="65" t="e">
        <f>IF(NOT(AND(ISTEXT('[1]#REF'!$P$16),'[1]#REF'!$P$16&lt;&gt;"N/A")),"N/A",IFERROR(INDEX(Lookup_Lists!$B$349:$J$357,MATCH(Brand_Profile!$E$7,Lookup_Lists!$A$349:$A$357,0),MATCH('[1]#REF'!$P$16,Lookup_Lists!$B$348:$J$348,0)),Lookup_Lists!$D$151))</f>
        <v>#REF!</v>
      </c>
      <c r="W16" s="65" t="e">
        <f>IF(LEN(TRIM(SUBSTITUTE(Matching_Engine!$BE$16,"|","")))=0,"N/A",IF(Brand_Profile!$E$60=0,Lookup_Lists!$D$150,ROUND((IF(Brand_Profile!$E$54="",0,IF(ISNUMBER(SEARCH(Brand_Profile!$E$54,Matching_Engine!$BE$16)),1,0))+IF(Brand_Profile!$E$55="",0,IF(ISNUMBER(SEARCH(Brand_Profile!$E$55,Matching_Engine!$BE$16)),1,0))+IF(Brand_Profile!$E$56="",0,IF(ISNUMBER(SEARCH(Brand_Profile!$E$56,Matching_Engine!$BE$16)),1,0))+IF(Brand_Profile!$E$57="",0,IF(ISNUMBER(SEARCH(Brand_Profile!$E$57,Matching_Engine!$BE$16)),1,0))+IF(Brand_Profile!$E$58="",0,IF(ISNUMBER(SEARCH(Brand_Profile!$E$58,Matching_Engine!$BE$16)),1,0))+IF(Brand_Profile!$E$59="",0,IF(ISNUMBER(SEARCH(Brand_Profile!$E$59,Matching_Engine!$BE$16)),1,0)))/Brand_Profile!$E$60*100,0)))</f>
        <v>#VALUE!</v>
      </c>
      <c r="X16" s="65" t="e">
        <f>IF(NOT(AND(ISTEXT('[1]#REF'!$Q$16),'[1]#REF'!$Q$16&lt;&gt;"N/A")),"N/A",Lookup_Lists!$D$150)</f>
        <v>#REF!</v>
      </c>
      <c r="Y16" s="63">
        <f>IF((IF(ISNUMBER(Matching_Engine!$U$16),Lookup_Lists!$D$335,0)+IF(ISNUMBER(Matching_Engine!$V$16),Lookup_Lists!$D$122,0)+IF(ISNUMBER(Matching_Engine!$W$16),Lookup_Lists!$D$336,0)+IF(ISNUMBER(Matching_Engine!$X$16),Lookup_Lists!$D$124,0))=0,"N/A",ROUND((IF(ISNUMBER(Matching_Engine!$U$16),Matching_Engine!$U$16*Lookup_Lists!$D$335,0)+IF(ISNUMBER(Matching_Engine!$V$16),Matching_Engine!$V$16*Lookup_Lists!$D$122,0)+IF(ISNUMBER(Matching_Engine!$W$16),Matching_Engine!$W$16*Lookup_Lists!$D$336,0)+IF(ISNUMBER(Matching_Engine!$X$16),Matching_Engine!$X$16*Lookup_Lists!$D$124,0))/(IF(ISNUMBER(Matching_Engine!$U$16),Lookup_Lists!$D$335,0)+IF(ISNUMBER(Matching_Engine!$V$16),Lookup_Lists!$D$122,0)+IF(ISNUMBER(Matching_Engine!$W$16),Lookup_Lists!$D$336,0)+IF(ISNUMBER(Matching_Engine!$X$16),Lookup_Lists!$D$124,0)),0))</f>
        <v>13</v>
      </c>
      <c r="Z16" s="42">
        <f>IF(ISNUMBER(Matching_Engine!$Y$16),1,0)</f>
        <v>1</v>
      </c>
      <c r="AA16" s="65" t="e">
        <f>IF(NOT(AND(ISTEXT('[1]#REF'!$Q$16),'[1]#REF'!$Q$16&lt;&gt;"N/A")),"N/A",Lookup_Lists!$D$150)</f>
        <v>#REF!</v>
      </c>
      <c r="AB16" s="65" t="e">
        <f>IF(NOT(AND(ISTEXT('[1]#REF'!$Q$16),'[1]#REF'!$Q$16&lt;&gt;"N/A")),"N/A",Lookup_Lists!$D$150)</f>
        <v>#REF!</v>
      </c>
      <c r="AC16" s="65" t="str">
        <f t="shared" si="0"/>
        <v>N/A</v>
      </c>
      <c r="AD16" s="65" t="e">
        <f>IF(NOT(AND(ISTEXT('[1]#REF'!$Q$16),'[1]#REF'!$Q$16&lt;&gt;"N/A")),"N/A",Lookup_Lists!$D$150)</f>
        <v>#REF!</v>
      </c>
      <c r="AE16" s="63">
        <f>IF((IF(ISNUMBER(Matching_Engine!$AA$16),Lookup_Lists!$D$125,0)+IF(ISNUMBER(Matching_Engine!$AB$16),Lookup_Lists!$D$126,0)+IF(ISNUMBER(Matching_Engine!$AC$16),Lookup_Lists!$D$127,0)+IF(ISNUMBER(Matching_Engine!$AD$16),Lookup_Lists!$D$128,0))=0,"N/A",ROUND((IF(ISNUMBER(Matching_Engine!$AA$16),Matching_Engine!$AA$16*Lookup_Lists!$D$125,0)+IF(ISNUMBER(Matching_Engine!$AB$16),Matching_Engine!$AB$16*Lookup_Lists!$D$126,0)+IF(ISNUMBER(Matching_Engine!$AC$16),Matching_Engine!$AC$16*Lookup_Lists!$D$127,0)+IF(ISNUMBER(Matching_Engine!$AD$16),Matching_Engine!$AD$16*Lookup_Lists!$D$128,0))/(IF(ISNUMBER(Matching_Engine!$AA$16),Lookup_Lists!$D$125,0)+IF(ISNUMBER(Matching_Engine!$AB$16),Lookup_Lists!$D$126,0)+IF(ISNUMBER(Matching_Engine!$AC$16),Lookup_Lists!$D$127,0)+IF(ISNUMBER(Matching_Engine!$AD$16),Lookup_Lists!$D$128,0)),0))</f>
        <v>61</v>
      </c>
      <c r="AF16" s="42">
        <f>IF(ISNUMBER(Matching_Engine!$AE$16),1,0)</f>
        <v>1</v>
      </c>
      <c r="AG16" s="65" t="str">
        <f>IF(NOT(ISNUMBER('[1]#REF'!$BG$16)),"N/A",MIN(100,ROUND('[1]#REF'!$BG$16/IFERROR(INDEX(Lookup_Lists!$B$340:$B$344,MATCH('[1]#REF'!$H$16,Lookup_Lists!$A$340:$A$344,0)),Lookup_Lists!$D$141)*100,0)))</f>
        <v>N/A</v>
      </c>
      <c r="AH16" s="65" t="str">
        <f>IF(NOT(ISNUMBER('[1]#REF'!$BS$16)),"N/A",MIN(100,MAX(0,'[1]#REF'!$BS$16)))</f>
        <v>N/A</v>
      </c>
      <c r="AI16" s="65" t="e">
        <f>IF(OR(NOT(ISNUMBER('[1]#REF'!$BM$16)),NOT(ISNUMBER('[1]#REF'!$BN$16)),'[1]#REF'!$BN$16&lt;Lookup_Lists!$D$320),"N/A",MIN(100,ROUND('[1]#REF'!$BM$16/Lookup_Lists!$D$319*100,0)))</f>
        <v>#REF!</v>
      </c>
      <c r="AJ16" s="65" t="str">
        <f>IF(NOT(ISNUMBER('[1]#REF'!$BR$16)),"N/A",'[1]#REF'!$BR$16)</f>
        <v>N/A</v>
      </c>
      <c r="AK16" s="65" t="str">
        <f>IF(NOT(ISNUMBER('[1]#REF'!$BK$16)),"N/A",MIN(100,ROUND('[1]#REF'!$BK$16/Lookup_Lists!$D$321*100,0)))</f>
        <v>N/A</v>
      </c>
      <c r="AL16" s="65" t="str">
        <f>IF(NOT(ISNUMBER('[1]#REF'!$BP$16)),"N/A",MIN(100,MAX(0,ROUND(('[1]#REF'!$BP$16+2)/(Lookup_Lists!$D$145+2)*100,0))))</f>
        <v>N/A</v>
      </c>
      <c r="AM16" s="63">
        <f>IF((IF(ISNUMBER(Matching_Engine!$AG$16),Lookup_Lists!$D$129,0)+IF(ISNUMBER(Matching_Engine!$AH$16),Lookup_Lists!$D$130,0)+IF(ISNUMBER(Matching_Engine!$AI$16),Lookup_Lists!$D$131,0)+IF(ISNUMBER(Matching_Engine!$AJ$16),Lookup_Lists!$D$132,0)+IF(ISNUMBER(Matching_Engine!$AK$16),Lookup_Lists!$D$133,0)+IF(ISNUMBER(Matching_Engine!$AL$16),Lookup_Lists!$D$134,0))=0,"N/A",ROUND((IF(ISNUMBER(Matching_Engine!$AG$16),Matching_Engine!$AG$16*Lookup_Lists!$D$129,0)+IF(ISNUMBER(Matching_Engine!$AH$16),Matching_Engine!$AH$16*Lookup_Lists!$D$130,0)+IF(ISNUMBER(Matching_Engine!$AI$16),Matching_Engine!$AI$16*Lookup_Lists!$D$131,0)+IF(ISNUMBER(Matching_Engine!$AJ$16),Matching_Engine!$AJ$16*Lookup_Lists!$D$132,0)+IF(ISNUMBER(Matching_Engine!$AK$16),Matching_Engine!$AK$16*Lookup_Lists!$D$133,0)+IF(ISNUMBER(Matching_Engine!$AL$16),Matching_Engine!$AL$16*Lookup_Lists!$D$134,0))/(IF(ISNUMBER(Matching_Engine!$AG$16),Lookup_Lists!$D$129,0)+IF(ISNUMBER(Matching_Engine!$AH$16),Lookup_Lists!$D$130,0)+IF(ISNUMBER(Matching_Engine!$AI$16),Lookup_Lists!$D$131,0)+IF(ISNUMBER(Matching_Engine!$AJ$16),Lookup_Lists!$D$132,0)+IF(ISNUMBER(Matching_Engine!$AK$16),Lookup_Lists!$D$133,0)+IF(ISNUMBER(Matching_Engine!$AL$16),Lookup_Lists!$D$134,0)),0))</f>
        <v>58</v>
      </c>
      <c r="AN16" s="42">
        <f>IF(ISNUMBER(Matching_Engine!$AM$16),1,0)</f>
        <v>0</v>
      </c>
      <c r="AO16" s="65" t="str">
        <f>IF(NOT(ISNUMBER('[1]#REF'!$BT$16)),"N/A",MIN(100,MAX(0,'[1]#REF'!$BT$16)))</f>
        <v>N/A</v>
      </c>
      <c r="AP16" s="65" t="str">
        <f>IF(NOT(ISNUMBER('[1]#REF'!$BU$16)),"N/A",MIN(100,MAX(0,'[1]#REF'!$BU$16)))</f>
        <v>N/A</v>
      </c>
      <c r="AQ16" s="65" t="e">
        <f>IF('[1]#REF'!$I$16="Yes",Lookup_Lists!$D$326,IF('[1]#REF'!$I$16="No",Lookup_Lists!$D$327,"N/A"))</f>
        <v>#REF!</v>
      </c>
      <c r="AR16" s="65" t="str">
        <f>IF(NOT(ISNUMBER('[1]#REF'!$BQ$16)),"N/A",MAX(0,ROUND(100-'[1]#REF'!$BQ$16/Lookup_Lists!$D$328*100,0)))</f>
        <v>N/A</v>
      </c>
      <c r="AS16" s="65" t="e">
        <f>IF(NOT(AND(ISTEXT('[1]#REF'!$BV$16),'[1]#REF'!$BV$16&lt;&gt;"N/A")),"N/A",'[1]#REF'!$BV$16)</f>
        <v>#REF!</v>
      </c>
      <c r="AT16" s="63" t="str">
        <f ca="1">IF((IF(ISNUMBER(Matching_Engine!$AO$16),Lookup_Lists!$D$322,0)+IF(ISNUMBER(Matching_Engine!$AP$16),Lookup_Lists!$D$323,0)+IF(ISNUMBER(Matching_Engine!$AQ$16),Lookup_Lists!$D$324,0)+IF(ISNUMBER(Matching_Engine!$AR$16),Lookup_Lists!$D$325,0))=0,"N/A",ROUND((IF(ISNUMBER(Matching_Engine!$AO$16),Matching_Engine!$AO$16*Lookup_Lists!$D$322,0)+IF(ISNUMBER(Matching_Engine!$AP$16),Matching_Engine!$AP$16*Lookup_Lists!$D$323,0)+IF(ISNUMBER(Matching_Engine!$AQ$16),Matching_Engine!$AQ$16*Lookup_Lists!$D$324,0)+IF(ISNUMBER(Matching_Engine!$AR$16),Matching_Engine!$AR$16*Lookup_Lists!$D$325,0))/(IF(ISNUMBER(Matching_Engine!$AO$16),Lookup_Lists!$D$322,0)+IF(ISNUMBER(Matching_Engine!$AP$16),Lookup_Lists!$D$323,0)+IF(ISNUMBER(Matching_Engine!$AQ$16),Lookup_Lists!$D$324,0)+IF(ISNUMBER(Matching_Engine!$AR$16),Lookup_Lists!$D$325,0)),0))</f>
        <v>N/A</v>
      </c>
      <c r="AU16" s="42">
        <f>IF(ISNUMBER(Matching_Engine!$AT$16),1,0)</f>
        <v>1</v>
      </c>
      <c r="AV16" s="42" t="str">
        <f>IF(NOT(ISNUMBER(Matching_Engine!$AT$16)),"Not Screened",IF(Matching_Engine!$AT$16&gt;=Lookup_Lists!$D$329,"Low Risk",IF(Matching_Engine!$AT$16&gt;=Lookup_Lists!$D$330,"Moderate Risk",IF(Matching_Engine!$AT$16&gt;=Lookup_Lists!$D$331,"Elevated Risk","High Risk"))))</f>
        <v>Low Risk</v>
      </c>
      <c r="AW16" s="42" t="e">
        <f ca="1">IF(NOT(ISNUMBER(Matching_Engine!$AT$16)),"No integrity signal: no audience-analysis row for this account.","Integrity screen only — no content-risk reading exists (comments_analysis: 0 rows). "&amp;IF(ISNUMBER(Matching_Engine!$AO$16),"Authenticity "&amp;Matching_Engine!$AO$16&amp;". ","Authenticity N/A. ")&amp;IF(ISNUMBER(Matching_Engine!$AP$16),"Follower quality "&amp;Matching_Engine!$AP$16&amp;". ","Follower quality N/A. ")&amp;IF('[1]#REF'!$I$16="Yes","Platform-verified.","Not platform-verified."))</f>
        <v>#REF!</v>
      </c>
      <c r="AX16" s="65">
        <f>Matching_Engine!$N$16*Lookup_Lists!$D$104+Matching_Engine!$T$16*Lookup_Lists!$D$105+Matching_Engine!$Z$16*Lookup_Lists!$D$106+Matching_Engine!$AF$16*Lookup_Lists!$D$107+Matching_Engine!$AN$16*Lookup_Lists!$D$108+Matching_Engine!$AU$16*Lookup_Lists!$D$109</f>
        <v>4179.5</v>
      </c>
      <c r="AY16" s="74" t="e">
        <f ca="1">IF(Matching_Engine!$AX$16=0,"N/A",ROUND((IF(Matching_Engine!$N$16=1,Matching_Engine!$M$16*Lookup_Lists!$D$104,0)+IF(Matching_Engine!$T$16=1,Matching_Engine!$S$16*Lookup_Lists!$D$105,0)+IF(Matching_Engine!$Z$16=1,Matching_Engine!$Y$16*Lookup_Lists!$D$106,0)+IF(Matching_Engine!$AF$16=1,Matching_Engine!$AE$16*Lookup_Lists!$D$107,0)+IF(Matching_Engine!$AN$16=1,Matching_Engine!$AM$16*Lookup_Lists!$D$108,0)+IF(Matching_Engine!$AU$16=1,Matching_Engine!$AT$16*Lookup_Lists!$D$109,0))/Matching_Engine!$AX$16,0))</f>
        <v>#VALUE!</v>
      </c>
      <c r="AZ16" s="42" t="str">
        <f ca="1">IF(NOT(ISNUMBER(Matching_Engine!$AY$16)),"Not Scored",IF(Matching_Engine!$AY$16&gt;=Lookup_Lists!$D$152,"Excellent Match",IF(Matching_Engine!$AY$16&gt;=Lookup_Lists!$D$153,"Strong Match",IF(Matching_Engine!$AY$16&gt;=Lookup_Lists!$D$154,"Good Match",IF(Matching_Engine!$AY$16&gt;=Lookup_Lists!$D$155,"Moderate Match","Low Match")))))</f>
        <v>Not Scored</v>
      </c>
      <c r="BA16" s="65" t="e">
        <f>'[1]#REF'!$BW$16</f>
        <v>#REF!</v>
      </c>
      <c r="BB16" s="42" t="e">
        <f>'[1]#REF'!$BX$16</f>
        <v>#REF!</v>
      </c>
      <c r="BC16" s="65">
        <f ca="1">IF(NOT(ISNUMBER(Matching_Engine!$AY$16)),-1,Matching_Engine!$AY$16*1000+14)</f>
        <v>-1</v>
      </c>
      <c r="BD16" s="42" t="e">
        <f>IF(AND(ISTEXT('[1]#REF'!$S$16),'[1]#REF'!$S$16&lt;&gt;"N/A"),'[1]#REF'!$S$16,"")&amp;" | "&amp;IF(AND(ISTEXT('[1]#REF'!$T$16),'[1]#REF'!$T$16&lt;&gt;"N/A"),'[1]#REF'!$T$16,"")&amp;" | "&amp;IF(AND(ISTEXT('[1]#REF'!$N$16),'[1]#REF'!$N$16&lt;&gt;"N/A"),'[1]#REF'!$N$16,"")&amp;" | "&amp;IF(AND(ISTEXT('[1]#REF'!$K$16),'[1]#REF'!$K$16&lt;&gt;"N/A"),'[1]#REF'!$K$16,"")&amp;" | "&amp;IF(AND(ISTEXT('[1]#REF'!$J$16),'[1]#REF'!$J$16&lt;&gt;"N/A"),'[1]#REF'!$J$16,"")</f>
        <v>#REF!</v>
      </c>
      <c r="BE16" s="42" t="e">
        <f>IF(AND(ISTEXT('[1]#REF'!$T$16),'[1]#REF'!$T$16&lt;&gt;"N/A"),'[1]#REF'!$T$16,"")&amp;" | "&amp;IF(AND(ISTEXT('[1]#REF'!$N$16),'[1]#REF'!$N$16&lt;&gt;"N/A"),'[1]#REF'!$N$16,"")&amp;" | "&amp;IF(AND(ISTEXT('[1]#REF'!$O$16),'[1]#REF'!$O$16&lt;&gt;"N/A"),'[1]#REF'!$O$16,"")&amp;" | "&amp;IF(AND(ISTEXT('[1]#REF'!$S$16),'[1]#REF'!$S$16&lt;&gt;"N/A"),'[1]#REF'!$S$16,"")</f>
        <v>#REF!</v>
      </c>
      <c r="BF16" s="42" t="e">
        <f>IF(AND(ISTEXT('[1]#REF'!$U$16),'[1]#REF'!$U$16&lt;&gt;"N/A"),'[1]#REF'!$U$16,"")</f>
        <v>#REF!</v>
      </c>
      <c r="BG16" s="42" t="str">
        <f>Matching_Engine!$A$16&amp;"|"&amp;Matching_Engine!$C$16</f>
        <v>BRAND-A|KOL-11</v>
      </c>
    </row>
    <row r="17" spans="1:59">
      <c r="A17" s="64" t="s">
        <v>2527</v>
      </c>
      <c r="B17" s="42" t="str">
        <f>Brand_Profile!$E$6</f>
        <v>BRAND-B</v>
      </c>
      <c r="C17" s="42" t="e">
        <f>'[1]#REF'!$A$17</f>
        <v>#REF!</v>
      </c>
      <c r="D17" s="42" t="e">
        <f>'[1]#REF'!$C$17</f>
        <v>#REF!</v>
      </c>
      <c r="E17" s="42" t="e">
        <f>'[1]#REF'!$D$17</f>
        <v>#REF!</v>
      </c>
      <c r="F17" s="42" t="e">
        <f>'[1]#REF'!$E$17</f>
        <v>#REF!</v>
      </c>
      <c r="G17" s="42" t="e">
        <f>'[1]#REF'!$K$17</f>
        <v>#REF!</v>
      </c>
      <c r="H17" s="72" t="e">
        <f>'[1]#REF'!$G$17</f>
        <v>#REF!</v>
      </c>
      <c r="I17" s="73" t="e">
        <f>'[1]#REF'!$BG$17</f>
        <v>#REF!</v>
      </c>
      <c r="J17" s="65" t="e">
        <f>IF(NOT(AND(ISTEXT('[1]#REF'!$K$17),'[1]#REF'!$K$17&lt;&gt;"N/A")),Lookup_Lists!$D$150,IF(Brand_Profile!$E$7='[1]#REF'!$K$17,100,IFERROR(INDEX(Lookup_Lists!$B$349:$J$357,MATCH(Brand_Profile!$E$7,Lookup_Lists!$A$349:$A$357,0),MATCH('[1]#REF'!$K$17,Lookup_Lists!$B$348:$J$348,0)),Lookup_Lists!$D$151)))</f>
        <v>#REF!</v>
      </c>
      <c r="K17" s="65" t="e">
        <f>IF(LEN(TRIM(SUBSTITUTE(Matching_Engine!$BD$17,"|","")))=0,"N/A",IF(Brand_Profile!$E$47=0,Lookup_Lists!$D$150,ROUND((IF(Brand_Profile!$E$41="",0,IF(ISNUMBER(SEARCH(Brand_Profile!$E$41,Matching_Engine!$BD$17)),1,0))+IF(Brand_Profile!$E$42="",0,IF(ISNUMBER(SEARCH(Brand_Profile!$E$42,Matching_Engine!$BD$17)),1,0))+IF(Brand_Profile!$E$43="",0,IF(ISNUMBER(SEARCH(Brand_Profile!$E$43,Matching_Engine!$BD$17)),1,0))+IF(Brand_Profile!$E$44="",0,IF(ISNUMBER(SEARCH(Brand_Profile!$E$44,Matching_Engine!$BD$17)),1,0))+IF(Brand_Profile!$E$45="",0,IF(ISNUMBER(SEARCH(Brand_Profile!$E$45,Matching_Engine!$BD$17)),1,0))+IF(Brand_Profile!$E$46="",0,IF(ISNUMBER(SEARCH(Brand_Profile!$E$46,Matching_Engine!$BD$17)),1,0)))/Brand_Profile!$E$47*100,0)))</f>
        <v>#VALUE!</v>
      </c>
      <c r="L17" s="65" t="e">
        <f>IF(NOT(AND(ISTEXT('[1]#REF'!$U$17),'[1]#REF'!$U$17&lt;&gt;"N/A")),"N/A",IF(Brand_Profile!$E$53=0,Lookup_Lists!$D$150,ROUND((IF(Brand_Profile!$E$48="",0,IF(ISNUMBER(SEARCH(Brand_Profile!$E$48,Matching_Engine!$BF$17)),1,0))+IF(Brand_Profile!$E$49="",0,IF(ISNUMBER(SEARCH(Brand_Profile!$E$49,Matching_Engine!$BF$17)),1,0))+IF(Brand_Profile!$E$50="",0,IF(ISNUMBER(SEARCH(Brand_Profile!$E$50,Matching_Engine!$BF$17)),1,0))+IF(Brand_Profile!$E$51="",0,IF(ISNUMBER(SEARCH(Brand_Profile!$E$51,Matching_Engine!$BF$17)),1,0))+IF(Brand_Profile!$E$52="",0,IF(ISNUMBER(SEARCH(Brand_Profile!$E$52,Matching_Engine!$BF$17)),1,0)))/Brand_Profile!$E$53*100,0)))</f>
        <v>#REF!</v>
      </c>
      <c r="M17" s="63" t="str">
        <f>IF((IF(ISNUMBER(Matching_Engine!$J$17),Lookup_Lists!$D$332,0)+IF(ISNUMBER(Matching_Engine!$K$17),Lookup_Lists!$D$333,0)+IF(ISNUMBER(Matching_Engine!$L$17),Lookup_Lists!$D$334,0))=0,"N/A",ROUND((IF(ISNUMBER(Matching_Engine!$J$17),Matching_Engine!$J$17*Lookup_Lists!$D$332,0)+IF(ISNUMBER(Matching_Engine!$K$17),Matching_Engine!$K$17*Lookup_Lists!$D$333,0)+IF(ISNUMBER(Matching_Engine!$L$17),Matching_Engine!$L$17*Lookup_Lists!$D$334,0))/(IF(ISNUMBER(Matching_Engine!$J$17),Lookup_Lists!$D$332,0)+IF(ISNUMBER(Matching_Engine!$K$17),Lookup_Lists!$D$333,0)+IF(ISNUMBER(Matching_Engine!$L$17),Lookup_Lists!$D$334,0)),0))</f>
        <v>N/A</v>
      </c>
      <c r="N17" s="42">
        <f>IF(ISNUMBER(Matching_Engine!$M$17),1,0)</f>
        <v>1</v>
      </c>
      <c r="O17" s="65" t="str">
        <f ca="1">IF(NOT(ISNUMBER(IFERROR(INDEX('[1]#REF'!$V$17:'[1]#REF'!$Z$17,1,MATCH(Brand_Profile!$E$11,Lookup_Lists!$F$6:$F$10,0)),""))),"N/A",MIN(100,ROUND((IFERROR(INDEX('[1]#REF'!$V$17:'[1]#REF'!$Z$17,1,MATCH(Brand_Profile!$E$11,Lookup_Lists!$F$6:$F$10,0)),"")+0.5*IF(ISNUMBER(IFERROR(INDEX('[1]#REF'!$V$17:'[1]#REF'!$Z$17,1,MATCH(Brand_Profile!$E$12,Lookup_Lists!$F$6:$F$10,0)),"")),IFERROR(INDEX('[1]#REF'!$V$17:'[1]#REF'!$Z$17,1,MATCH(Brand_Profile!$E$12,Lookup_Lists!$F$6:$F$10,0)),""),0))/Lookup_Lists!$D$142*100,0)))</f>
        <v>N/A</v>
      </c>
      <c r="P17" s="65" t="str">
        <f>IF(Brand_Profile!$E$13="Any",100,IF(NOT(ISNUMBER('[1]#REF'!$AA$17)),"N/A",IF(Brand_Profile!$E$13="Female",MIN(100,ROUND('[1]#REF'!$AA$17/Lookup_Lists!$D$143*100,0)),IF(Brand_Profile!$E$13="Male",MIN(100,ROUND(IF(ISNUMBER('[1]#REF'!$AB$17),'[1]#REF'!$AB$17,100-'[1]#REF'!$AA$17)/Lookup_Lists!$D$143*100,0)),MAX(0,ROUND(100-ABS('[1]#REF'!$AA$17-50)*2,0))))))</f>
        <v>N/A</v>
      </c>
      <c r="Q17" s="65" t="str">
        <f>IF((IF(ISNUMBER(IF(NOT(ISNUMBER('[1]#REF'!$AE$17)),"N/A",IF('[1]#REF'!$AD$17&lt;&gt;Brand_Profile!$E$14,Lookup_Lists!$D$151,MIN(100,ROUND('[1]#REF'!$AE$17/Lookup_Lists!$D$316*100,0))))),Lookup_Lists!$D$118,0)+IF(ISNUMBER(IF(NOT(ISNUMBER('[1]#REF'!$AM$17)),"N/A",MIN(100,ROUND((IF('[1]#REF'!$AG$17=Brand_Profile!$E$15,IF(ISNUMBER('[1]#REF'!$AH$17),'[1]#REF'!$AH$17,0),0)+IF('[1]#REF'!$AI$17=Brand_Profile!$E$15,IF(ISNUMBER('[1]#REF'!$AJ$17),'[1]#REF'!$AJ$17,0),0)+IF('[1]#REF'!$AK$17=Brand_Profile!$E$15,IF(ISNUMBER('[1]#REF'!$AL$17),'[1]#REF'!$AL$17,0),0))/Lookup_Lists!$D$317*100,0)))),Lookup_Lists!$D$120,0))=0,"N/A",ROUND((IF(ISNUMBER(IF(NOT(ISNUMBER('[1]#REF'!$AE$17)),"N/A",IF('[1]#REF'!$AD$17&lt;&gt;Brand_Profile!$E$14,Lookup_Lists!$D$151,MIN(100,ROUND('[1]#REF'!$AE$17/Lookup_Lists!$D$316*100,0))))),IF(NOT(ISNUMBER('[1]#REF'!$AE$17)),"N/A",IF('[1]#REF'!$AD$17&lt;&gt;Brand_Profile!$E$14,Lookup_Lists!$D$151,MIN(100,ROUND('[1]#REF'!$AE$17/Lookup_Lists!$D$316*100,0))))*Lookup_Lists!$D$118,0)+IF(ISNUMBER(IF(NOT(ISNUMBER('[1]#REF'!$AM$17)),"N/A",MIN(100,ROUND((IF('[1]#REF'!$AG$17=Brand_Profile!$E$15,IF(ISNUMBER('[1]#REF'!$AH$17),'[1]#REF'!$AH$17,0),0)+IF('[1]#REF'!$AI$17=Brand_Profile!$E$15,IF(ISNUMBER('[1]#REF'!$AJ$17),'[1]#REF'!$AJ$17,0),0)+IF('[1]#REF'!$AK$17=Brand_Profile!$E$15,IF(ISNUMBER('[1]#REF'!$AL$17),'[1]#REF'!$AL$17,0),0))/Lookup_Lists!$D$317*100,0)))),IF(NOT(ISNUMBER('[1]#REF'!$AM$17)),"N/A",MIN(100,ROUND((IF('[1]#REF'!$AG$17=Brand_Profile!$E$15,IF(ISNUMBER('[1]#REF'!$AH$17),'[1]#REF'!$AH$17,0),0)+IF('[1]#REF'!$AI$17=Brand_Profile!$E$15,IF(ISNUMBER('[1]#REF'!$AJ$17),'[1]#REF'!$AJ$17,0),0)+IF('[1]#REF'!$AK$17=Brand_Profile!$E$15,IF(ISNUMBER('[1]#REF'!$AL$17),'[1]#REF'!$AL$17,0),0))/Lookup_Lists!$D$317*100,0)))*Lookup_Lists!$D$120,0))/(IF(ISNUMBER(IF(NOT(ISNUMBER('[1]#REF'!$AE$17)),"N/A",IF('[1]#REF'!$AD$17&lt;&gt;Brand_Profile!$E$14,Lookup_Lists!$D$151,MIN(100,ROUND('[1]#REF'!$AE$17/Lookup_Lists!$D$316*100,0))))),Lookup_Lists!$D$118,0)+IF(ISNUMBER(IF(NOT(ISNUMBER('[1]#REF'!$AM$17)),"N/A",MIN(100,ROUND((IF('[1]#REF'!$AG$17=Brand_Profile!$E$15,IF(ISNUMBER('[1]#REF'!$AH$17),'[1]#REF'!$AH$17,0),0)+IF('[1]#REF'!$AI$17=Brand_Profile!$E$15,IF(ISNUMBER('[1]#REF'!$AJ$17),'[1]#REF'!$AJ$17,0),0)+IF('[1]#REF'!$AK$17=Brand_Profile!$E$15,IF(ISNUMBER('[1]#REF'!$AL$17),'[1]#REF'!$AL$17,0),0))/Lookup_Lists!$D$317*100,0)))),Lookup_Lists!$D$120,0)),0))</f>
        <v>N/A</v>
      </c>
      <c r="R17" s="65" t="str">
        <f>IF(NOT(ISNUMBER('[1]#REF'!$AN$17)),"N/A",MIN(100,ROUND((IF(ISNUMBER('[1]#REF'!$AO$17),'[1]#REF'!$AO$17*Brand_Profile!$E$17,0)+IF(ISNUMBER('[1]#REF'!$AP$17),'[1]#REF'!$AP$17*Brand_Profile!$E$18,0)+IF(ISNUMBER('[1]#REF'!$AQ$17),'[1]#REF'!$AQ$17*Brand_Profile!$E$19,0)+IF(ISNUMBER('[1]#REF'!$AR$17),'[1]#REF'!$AR$17*Brand_Profile!$E$20,0)+IF(ISNUMBER('[1]#REF'!$AS$17),'[1]#REF'!$AS$17*Brand_Profile!$E$21,0)+IF(ISNUMBER('[1]#REF'!$AT$17),'[1]#REF'!$AT$17*Brand_Profile!$E$22,0)+IF(ISNUMBER('[1]#REF'!$AU$17),'[1]#REF'!$AU$17*Brand_Profile!$E$23,0)+IF(ISNUMBER('[1]#REF'!$AV$17),'[1]#REF'!$AV$17*Brand_Profile!$E$24,0)+IF(ISNUMBER('[1]#REF'!$AW$17),'[1]#REF'!$AW$17*Brand_Profile!$E$25,0)+IF(ISNUMBER('[1]#REF'!$AX$17),'[1]#REF'!$AX$17*Brand_Profile!$E$26,0)+IF(ISNUMBER('[1]#REF'!$AY$17),'[1]#REF'!$AY$17*Brand_Profile!$E$27,0)+IF(ISNUMBER('[1]#REF'!$AZ$17),'[1]#REF'!$AZ$17*Brand_Profile!$E$28,0)+IF(ISNUMBER('[1]#REF'!$BA$17),'[1]#REF'!$BA$17*Brand_Profile!$E$29,0)+IF(ISNUMBER('[1]#REF'!$BB$17),'[1]#REF'!$BB$17*Brand_Profile!$E$30,0)+IF(ISNUMBER('[1]#REF'!$BC$17),'[1]#REF'!$BC$17*Brand_Profile!$E$31,0)+IF(ISNUMBER('[1]#REF'!$BD$17),'[1]#REF'!$BD$17*Brand_Profile!$E$32,0)+IF(ISNUMBER('[1]#REF'!$BE$17),'[1]#REF'!$BE$17*Brand_Profile!$E$33,0)+IF(ISNUMBER('[1]#REF'!$BF$17),'[1]#REF'!$BF$17*Brand_Profile!$E$34,0))/Lookup_Lists!$D$318*100,0)))</f>
        <v>N/A</v>
      </c>
      <c r="S17" s="63">
        <f ca="1">IF((IF(ISNUMBER(Matching_Engine!$O$17),Lookup_Lists!$D$113,0)+IF(ISNUMBER(Matching_Engine!$P$17),Lookup_Lists!$D$114,0)+IF(ISNUMBER(Matching_Engine!$Q$17),Lookup_Lists!$D$115,0)+IF(ISNUMBER(Matching_Engine!$R$17),Lookup_Lists!$D$116,0))=0,"N/A",ROUND((IF(ISNUMBER(Matching_Engine!$O$17),Matching_Engine!$O$17*Lookup_Lists!$D$113,0)+IF(ISNUMBER(Matching_Engine!$P$17),Matching_Engine!$P$17*Lookup_Lists!$D$114,0)+IF(ISNUMBER(Matching_Engine!$Q$17),Matching_Engine!$Q$17*Lookup_Lists!$D$115,0)+IF(ISNUMBER(Matching_Engine!$R$17),Matching_Engine!$R$17*Lookup_Lists!$D$116,0))/(IF(ISNUMBER(Matching_Engine!$O$17),Lookup_Lists!$D$113,0)+IF(ISNUMBER(Matching_Engine!$P$17),Lookup_Lists!$D$114,0)+IF(ISNUMBER(Matching_Engine!$Q$17),Lookup_Lists!$D$115,0)+IF(ISNUMBER(Matching_Engine!$R$17),Lookup_Lists!$D$116,0)),0))</f>
        <v>60</v>
      </c>
      <c r="T17" s="42">
        <f ca="1">IF(ISNUMBER(Matching_Engine!$S$17),1,0)</f>
        <v>1</v>
      </c>
      <c r="U17" s="65" t="e">
        <f>IF(NOT(AND(ISTEXT('[1]#REF'!$M$17),'[1]#REF'!$M$17&lt;&gt;"N/A")),Lookup_Lists!$D$150,IF(Brand_Profile!$E$7='[1]#REF'!$M$17,100,IFERROR(INDEX(Lookup_Lists!$B$349:$J$357,MATCH(Brand_Profile!$E$7,Lookup_Lists!$A$349:$A$357,0),MATCH('[1]#REF'!$M$17,Lookup_Lists!$B$348:$J$348,0)),Lookup_Lists!$D$151)))</f>
        <v>#REF!</v>
      </c>
      <c r="V17" s="65" t="e">
        <f>IF(NOT(AND(ISTEXT('[1]#REF'!$P$17),'[1]#REF'!$P$17&lt;&gt;"N/A")),"N/A",IFERROR(INDEX(Lookup_Lists!$B$349:$J$357,MATCH(Brand_Profile!$E$7,Lookup_Lists!$A$349:$A$357,0),MATCH('[1]#REF'!$P$17,Lookup_Lists!$B$348:$J$348,0)),Lookup_Lists!$D$151))</f>
        <v>#REF!</v>
      </c>
      <c r="W17" s="65" t="e">
        <f>IF(LEN(TRIM(SUBSTITUTE(Matching_Engine!$BE$17,"|","")))=0,"N/A",IF(Brand_Profile!$E$60=0,Lookup_Lists!$D$150,ROUND((IF(Brand_Profile!$E$54="",0,IF(ISNUMBER(SEARCH(Brand_Profile!$E$54,Matching_Engine!$BE$17)),1,0))+IF(Brand_Profile!$E$55="",0,IF(ISNUMBER(SEARCH(Brand_Profile!$E$55,Matching_Engine!$BE$17)),1,0))+IF(Brand_Profile!$E$56="",0,IF(ISNUMBER(SEARCH(Brand_Profile!$E$56,Matching_Engine!$BE$17)),1,0))+IF(Brand_Profile!$E$57="",0,IF(ISNUMBER(SEARCH(Brand_Profile!$E$57,Matching_Engine!$BE$17)),1,0))+IF(Brand_Profile!$E$58="",0,IF(ISNUMBER(SEARCH(Brand_Profile!$E$58,Matching_Engine!$BE$17)),1,0))+IF(Brand_Profile!$E$59="",0,IF(ISNUMBER(SEARCH(Brand_Profile!$E$59,Matching_Engine!$BE$17)),1,0)))/Brand_Profile!$E$60*100,0)))</f>
        <v>#VALUE!</v>
      </c>
      <c r="X17" s="65" t="e">
        <f>IF(NOT(AND(ISTEXT('[1]#REF'!$Q$17),'[1]#REF'!$Q$17&lt;&gt;"N/A")),"N/A",Lookup_Lists!$D$150)</f>
        <v>#REF!</v>
      </c>
      <c r="Y17" s="63">
        <f>IF((IF(ISNUMBER(Matching_Engine!$U$17),Lookup_Lists!$D$335,0)+IF(ISNUMBER(Matching_Engine!$V$17),Lookup_Lists!$D$122,0)+IF(ISNUMBER(Matching_Engine!$W$17),Lookup_Lists!$D$336,0)+IF(ISNUMBER(Matching_Engine!$X$17),Lookup_Lists!$D$124,0))=0,"N/A",ROUND((IF(ISNUMBER(Matching_Engine!$U$17),Matching_Engine!$U$17*Lookup_Lists!$D$335,0)+IF(ISNUMBER(Matching_Engine!$V$17),Matching_Engine!$V$17*Lookup_Lists!$D$122,0)+IF(ISNUMBER(Matching_Engine!$W$17),Matching_Engine!$W$17*Lookup_Lists!$D$336,0)+IF(ISNUMBER(Matching_Engine!$X$17),Matching_Engine!$X$17*Lookup_Lists!$D$124,0))/(IF(ISNUMBER(Matching_Engine!$U$17),Lookup_Lists!$D$335,0)+IF(ISNUMBER(Matching_Engine!$V$17),Lookup_Lists!$D$122,0)+IF(ISNUMBER(Matching_Engine!$W$17),Lookup_Lists!$D$336,0)+IF(ISNUMBER(Matching_Engine!$X$17),Lookup_Lists!$D$124,0)),0))</f>
        <v>13</v>
      </c>
      <c r="Z17" s="42">
        <f>IF(ISNUMBER(Matching_Engine!$Y$17),1,0)</f>
        <v>1</v>
      </c>
      <c r="AA17" s="65" t="e">
        <f>IF(NOT(AND(ISTEXT('[1]#REF'!$Q$17),'[1]#REF'!$Q$17&lt;&gt;"N/A")),"N/A",Lookup_Lists!$D$150)</f>
        <v>#REF!</v>
      </c>
      <c r="AB17" s="65" t="e">
        <f>IF(NOT(AND(ISTEXT('[1]#REF'!$Q$17),'[1]#REF'!$Q$17&lt;&gt;"N/A")),"N/A",Lookup_Lists!$D$150)</f>
        <v>#REF!</v>
      </c>
      <c r="AC17" s="65" t="str">
        <f t="shared" si="0"/>
        <v>N/A</v>
      </c>
      <c r="AD17" s="65" t="e">
        <f>IF(NOT(AND(ISTEXT('[1]#REF'!$Q$17),'[1]#REF'!$Q$17&lt;&gt;"N/A")),"N/A",Lookup_Lists!$D$150)</f>
        <v>#REF!</v>
      </c>
      <c r="AE17" s="63">
        <f>IF((IF(ISNUMBER(Matching_Engine!$AA$17),Lookup_Lists!$D$125,0)+IF(ISNUMBER(Matching_Engine!$AB$17),Lookup_Lists!$D$126,0)+IF(ISNUMBER(Matching_Engine!$AC$17),Lookup_Lists!$D$127,0)+IF(ISNUMBER(Matching_Engine!$AD$17),Lookup_Lists!$D$128,0))=0,"N/A",ROUND((IF(ISNUMBER(Matching_Engine!$AA$17),Matching_Engine!$AA$17*Lookup_Lists!$D$125,0)+IF(ISNUMBER(Matching_Engine!$AB$17),Matching_Engine!$AB$17*Lookup_Lists!$D$126,0)+IF(ISNUMBER(Matching_Engine!$AC$17),Matching_Engine!$AC$17*Lookup_Lists!$D$127,0)+IF(ISNUMBER(Matching_Engine!$AD$17),Matching_Engine!$AD$17*Lookup_Lists!$D$128,0))/(IF(ISNUMBER(Matching_Engine!$AA$17),Lookup_Lists!$D$125,0)+IF(ISNUMBER(Matching_Engine!$AB$17),Lookup_Lists!$D$126,0)+IF(ISNUMBER(Matching_Engine!$AC$17),Lookup_Lists!$D$127,0)+IF(ISNUMBER(Matching_Engine!$AD$17),Lookup_Lists!$D$128,0)),0))</f>
        <v>63</v>
      </c>
      <c r="AF17" s="42">
        <f>IF(ISNUMBER(Matching_Engine!$AE$17),1,0)</f>
        <v>1</v>
      </c>
      <c r="AG17" s="65" t="str">
        <f>IF(NOT(ISNUMBER('[1]#REF'!$BG$17)),"N/A",MIN(100,ROUND('[1]#REF'!$BG$17/IFERROR(INDEX(Lookup_Lists!$B$340:$B$344,MATCH('[1]#REF'!$H$17,Lookup_Lists!$A$340:$A$344,0)),Lookup_Lists!$D$141)*100,0)))</f>
        <v>N/A</v>
      </c>
      <c r="AH17" s="65" t="str">
        <f>IF(NOT(ISNUMBER('[1]#REF'!$BS$17)),"N/A",MIN(100,MAX(0,'[1]#REF'!$BS$17)))</f>
        <v>N/A</v>
      </c>
      <c r="AI17" s="65" t="e">
        <f>IF(OR(NOT(ISNUMBER('[1]#REF'!$BM$17)),NOT(ISNUMBER('[1]#REF'!$BN$17)),'[1]#REF'!$BN$17&lt;Lookup_Lists!$D$320),"N/A",MIN(100,ROUND('[1]#REF'!$BM$17/Lookup_Lists!$D$319*100,0)))</f>
        <v>#REF!</v>
      </c>
      <c r="AJ17" s="65" t="str">
        <f>IF(NOT(ISNUMBER('[1]#REF'!$BR$17)),"N/A",'[1]#REF'!$BR$17)</f>
        <v>N/A</v>
      </c>
      <c r="AK17" s="65" t="str">
        <f>IF(NOT(ISNUMBER('[1]#REF'!$BK$17)),"N/A",MIN(100,ROUND('[1]#REF'!$BK$17/Lookup_Lists!$D$321*100,0)))</f>
        <v>N/A</v>
      </c>
      <c r="AL17" s="65" t="str">
        <f>IF(NOT(ISNUMBER('[1]#REF'!$BP$17)),"N/A",MIN(100,MAX(0,ROUND(('[1]#REF'!$BP$17+2)/(Lookup_Lists!$D$145+2)*100,0))))</f>
        <v>N/A</v>
      </c>
      <c r="AM17" s="63">
        <f>IF((IF(ISNUMBER(Matching_Engine!$AG$17),Lookup_Lists!$D$129,0)+IF(ISNUMBER(Matching_Engine!$AH$17),Lookup_Lists!$D$130,0)+IF(ISNUMBER(Matching_Engine!$AI$17),Lookup_Lists!$D$131,0)+IF(ISNUMBER(Matching_Engine!$AJ$17),Lookup_Lists!$D$132,0)+IF(ISNUMBER(Matching_Engine!$AK$17),Lookup_Lists!$D$133,0)+IF(ISNUMBER(Matching_Engine!$AL$17),Lookup_Lists!$D$134,0))=0,"N/A",ROUND((IF(ISNUMBER(Matching_Engine!$AG$17),Matching_Engine!$AG$17*Lookup_Lists!$D$129,0)+IF(ISNUMBER(Matching_Engine!$AH$17),Matching_Engine!$AH$17*Lookup_Lists!$D$130,0)+IF(ISNUMBER(Matching_Engine!$AI$17),Matching_Engine!$AI$17*Lookup_Lists!$D$131,0)+IF(ISNUMBER(Matching_Engine!$AJ$17),Matching_Engine!$AJ$17*Lookup_Lists!$D$132,0)+IF(ISNUMBER(Matching_Engine!$AK$17),Matching_Engine!$AK$17*Lookup_Lists!$D$133,0)+IF(ISNUMBER(Matching_Engine!$AL$17),Matching_Engine!$AL$17*Lookup_Lists!$D$134,0))/(IF(ISNUMBER(Matching_Engine!$AG$17),Lookup_Lists!$D$129,0)+IF(ISNUMBER(Matching_Engine!$AH$17),Lookup_Lists!$D$130,0)+IF(ISNUMBER(Matching_Engine!$AI$17),Lookup_Lists!$D$131,0)+IF(ISNUMBER(Matching_Engine!$AJ$17),Lookup_Lists!$D$132,0)+IF(ISNUMBER(Matching_Engine!$AK$17),Lookup_Lists!$D$133,0)+IF(ISNUMBER(Matching_Engine!$AL$17),Lookup_Lists!$D$134,0)),0))</f>
        <v>80</v>
      </c>
      <c r="AN17" s="42">
        <f>IF(ISNUMBER(Matching_Engine!$AM$17),1,0)</f>
        <v>0</v>
      </c>
      <c r="AO17" s="65" t="str">
        <f>IF(NOT(ISNUMBER('[1]#REF'!$BT$17)),"N/A",MIN(100,MAX(0,'[1]#REF'!$BT$17)))</f>
        <v>N/A</v>
      </c>
      <c r="AP17" s="65" t="str">
        <f>IF(NOT(ISNUMBER('[1]#REF'!$BU$17)),"N/A",MIN(100,MAX(0,'[1]#REF'!$BU$17)))</f>
        <v>N/A</v>
      </c>
      <c r="AQ17" s="65" t="e">
        <f>IF('[1]#REF'!$I$17="Yes",Lookup_Lists!$D$326,IF('[1]#REF'!$I$17="No",Lookup_Lists!$D$327,"N/A"))</f>
        <v>#REF!</v>
      </c>
      <c r="AR17" s="65" t="str">
        <f>IF(NOT(ISNUMBER('[1]#REF'!$BQ$17)),"N/A",MAX(0,ROUND(100-'[1]#REF'!$BQ$17/Lookup_Lists!$D$328*100,0)))</f>
        <v>N/A</v>
      </c>
      <c r="AS17" s="65" t="e">
        <f>IF(NOT(AND(ISTEXT('[1]#REF'!$BV$17),'[1]#REF'!$BV$17&lt;&gt;"N/A")),"N/A",'[1]#REF'!$BV$17)</f>
        <v>#REF!</v>
      </c>
      <c r="AT17" s="63" t="str">
        <f ca="1">IF((IF(ISNUMBER(Matching_Engine!$AO$17),Lookup_Lists!$D$322,0)+IF(ISNUMBER(Matching_Engine!$AP$17),Lookup_Lists!$D$323,0)+IF(ISNUMBER(Matching_Engine!$AQ$17),Lookup_Lists!$D$324,0)+IF(ISNUMBER(Matching_Engine!$AR$17),Lookup_Lists!$D$325,0))=0,"N/A",ROUND((IF(ISNUMBER(Matching_Engine!$AO$17),Matching_Engine!$AO$17*Lookup_Lists!$D$322,0)+IF(ISNUMBER(Matching_Engine!$AP$17),Matching_Engine!$AP$17*Lookup_Lists!$D$323,0)+IF(ISNUMBER(Matching_Engine!$AQ$17),Matching_Engine!$AQ$17*Lookup_Lists!$D$324,0)+IF(ISNUMBER(Matching_Engine!$AR$17),Matching_Engine!$AR$17*Lookup_Lists!$D$325,0))/(IF(ISNUMBER(Matching_Engine!$AO$17),Lookup_Lists!$D$322,0)+IF(ISNUMBER(Matching_Engine!$AP$17),Lookup_Lists!$D$323,0)+IF(ISNUMBER(Matching_Engine!$AQ$17),Lookup_Lists!$D$324,0)+IF(ISNUMBER(Matching_Engine!$AR$17),Lookup_Lists!$D$325,0)),0))</f>
        <v>N/A</v>
      </c>
      <c r="AU17" s="42">
        <f>IF(ISNUMBER(Matching_Engine!$AT$17),1,0)</f>
        <v>1</v>
      </c>
      <c r="AV17" s="42" t="str">
        <f>IF(NOT(ISNUMBER(Matching_Engine!$AT$17)),"Not Screened",IF(Matching_Engine!$AT$17&gt;=Lookup_Lists!$D$329,"Low Risk",IF(Matching_Engine!$AT$17&gt;=Lookup_Lists!$D$330,"Moderate Risk",IF(Matching_Engine!$AT$17&gt;=Lookup_Lists!$D$331,"Elevated Risk","High Risk"))))</f>
        <v>Low Risk</v>
      </c>
      <c r="AW17" s="42" t="e">
        <f ca="1">IF(NOT(ISNUMBER(Matching_Engine!$AT$17)),"No integrity signal: no audience-analysis row for this account.","Integrity screen only — no content-risk reading exists (comments_analysis: 0 rows). "&amp;IF(ISNUMBER(Matching_Engine!$AO$17),"Authenticity "&amp;Matching_Engine!$AO$17&amp;". ","Authenticity N/A. ")&amp;IF(ISNUMBER(Matching_Engine!$AP$17),"Follower quality "&amp;Matching_Engine!$AP$17&amp;". ","Follower quality N/A. ")&amp;IF('[1]#REF'!$I$17="Yes","Platform-verified.","Not platform-verified."))</f>
        <v>#REF!</v>
      </c>
      <c r="AX17" s="65">
        <f>Matching_Engine!$N$17*Lookup_Lists!$D$104+Matching_Engine!$T$17*Lookup_Lists!$D$105+Matching_Engine!$Z$17*Lookup_Lists!$D$106+Matching_Engine!$AF$17*Lookup_Lists!$D$107+Matching_Engine!$AN$17*Lookup_Lists!$D$108+Matching_Engine!$AU$17*Lookup_Lists!$D$109</f>
        <v>4510</v>
      </c>
      <c r="AY17" s="74" t="e">
        <f ca="1">IF(Matching_Engine!$AX$17=0,"N/A",ROUND((IF(Matching_Engine!$N$17=1,Matching_Engine!$M$17*Lookup_Lists!$D$104,0)+IF(Matching_Engine!$T$17=1,Matching_Engine!$S$17*Lookup_Lists!$D$105,0)+IF(Matching_Engine!$Z$17=1,Matching_Engine!$Y$17*Lookup_Lists!$D$106,0)+IF(Matching_Engine!$AF$17=1,Matching_Engine!$AE$17*Lookup_Lists!$D$107,0)+IF(Matching_Engine!$AN$17=1,Matching_Engine!$AM$17*Lookup_Lists!$D$108,0)+IF(Matching_Engine!$AU$17=1,Matching_Engine!$AT$17*Lookup_Lists!$D$109,0))/Matching_Engine!$AX$17,0))</f>
        <v>#VALUE!</v>
      </c>
      <c r="AZ17" s="42" t="str">
        <f ca="1">IF(NOT(ISNUMBER(Matching_Engine!$AY$17)),"Not Scored",IF(Matching_Engine!$AY$17&gt;=Lookup_Lists!$D$152,"Excellent Match",IF(Matching_Engine!$AY$17&gt;=Lookup_Lists!$D$153,"Strong Match",IF(Matching_Engine!$AY$17&gt;=Lookup_Lists!$D$154,"Good Match",IF(Matching_Engine!$AY$17&gt;=Lookup_Lists!$D$155,"Moderate Match","Low Match")))))</f>
        <v>Low Match</v>
      </c>
      <c r="BA17" s="65" t="e">
        <f>'[1]#REF'!$BW$17</f>
        <v>#REF!</v>
      </c>
      <c r="BB17" s="42" t="e">
        <f>'[1]#REF'!$BX$17</f>
        <v>#REF!</v>
      </c>
      <c r="BC17" s="65">
        <f ca="1">IF(NOT(ISNUMBER(Matching_Engine!$AY$17)),-1,Matching_Engine!$AY$17*1000+13)</f>
        <v>48013</v>
      </c>
      <c r="BD17" s="42" t="e">
        <f>IF(AND(ISTEXT('[1]#REF'!$S$17),'[1]#REF'!$S$17&lt;&gt;"N/A"),'[1]#REF'!$S$17,"")&amp;" | "&amp;IF(AND(ISTEXT('[1]#REF'!$T$17),'[1]#REF'!$T$17&lt;&gt;"N/A"),'[1]#REF'!$T$17,"")&amp;" | "&amp;IF(AND(ISTEXT('[1]#REF'!$N$17),'[1]#REF'!$N$17&lt;&gt;"N/A"),'[1]#REF'!$N$17,"")&amp;" | "&amp;IF(AND(ISTEXT('[1]#REF'!$K$17),'[1]#REF'!$K$17&lt;&gt;"N/A"),'[1]#REF'!$K$17,"")&amp;" | "&amp;IF(AND(ISTEXT('[1]#REF'!$J$17),'[1]#REF'!$J$17&lt;&gt;"N/A"),'[1]#REF'!$J$17,"")</f>
        <v>#REF!</v>
      </c>
      <c r="BE17" s="42" t="e">
        <f>IF(AND(ISTEXT('[1]#REF'!$T$17),'[1]#REF'!$T$17&lt;&gt;"N/A"),'[1]#REF'!$T$17,"")&amp;" | "&amp;IF(AND(ISTEXT('[1]#REF'!$N$17),'[1]#REF'!$N$17&lt;&gt;"N/A"),'[1]#REF'!$N$17,"")&amp;" | "&amp;IF(AND(ISTEXT('[1]#REF'!$O$17),'[1]#REF'!$O$17&lt;&gt;"N/A"),'[1]#REF'!$O$17,"")&amp;" | "&amp;IF(AND(ISTEXT('[1]#REF'!$S$17),'[1]#REF'!$S$17&lt;&gt;"N/A"),'[1]#REF'!$S$17,"")</f>
        <v>#REF!</v>
      </c>
      <c r="BF17" s="42" t="e">
        <f>IF(AND(ISTEXT('[1]#REF'!$U$17),'[1]#REF'!$U$17&lt;&gt;"N/A"),'[1]#REF'!$U$17,"")</f>
        <v>#REF!</v>
      </c>
      <c r="BG17" s="42" t="str">
        <f>Matching_Engine!$A$17&amp;"|"&amp;Matching_Engine!$C$17</f>
        <v>BRAND-A|KOL-12</v>
      </c>
    </row>
    <row r="18" spans="1:59">
      <c r="A18" s="64" t="s">
        <v>2527</v>
      </c>
      <c r="B18" s="42" t="str">
        <f>Brand_Profile!$E$6</f>
        <v>BRAND-B</v>
      </c>
      <c r="C18" s="42" t="e">
        <f>'[1]#REF'!$A$18</f>
        <v>#REF!</v>
      </c>
      <c r="D18" s="42" t="e">
        <f>'[1]#REF'!$C$18</f>
        <v>#REF!</v>
      </c>
      <c r="E18" s="42" t="e">
        <f>'[1]#REF'!$D$18</f>
        <v>#REF!</v>
      </c>
      <c r="F18" s="42" t="e">
        <f>'[1]#REF'!$E$18</f>
        <v>#REF!</v>
      </c>
      <c r="G18" s="42" t="e">
        <f>'[1]#REF'!$K$18</f>
        <v>#REF!</v>
      </c>
      <c r="H18" s="72" t="e">
        <f>'[1]#REF'!$G$18</f>
        <v>#REF!</v>
      </c>
      <c r="I18" s="73" t="e">
        <f>'[1]#REF'!$BG$18</f>
        <v>#REF!</v>
      </c>
      <c r="J18" s="65" t="e">
        <f>IF(NOT(AND(ISTEXT('[1]#REF'!$K$18),'[1]#REF'!$K$18&lt;&gt;"N/A")),Lookup_Lists!$D$150,IF(Brand_Profile!$E$7='[1]#REF'!$K$18,100,IFERROR(INDEX(Lookup_Lists!$B$349:$J$357,MATCH(Brand_Profile!$E$7,Lookup_Lists!$A$349:$A$357,0),MATCH('[1]#REF'!$K$18,Lookup_Lists!$B$348:$J$348,0)),Lookup_Lists!$D$151)))</f>
        <v>#REF!</v>
      </c>
      <c r="K18" s="65" t="e">
        <f>IF(LEN(TRIM(SUBSTITUTE(Matching_Engine!$BD$18,"|","")))=0,"N/A",IF(Brand_Profile!$E$47=0,Lookup_Lists!$D$150,ROUND((IF(Brand_Profile!$E$41="",0,IF(ISNUMBER(SEARCH(Brand_Profile!$E$41,Matching_Engine!$BD$18)),1,0))+IF(Brand_Profile!$E$42="",0,IF(ISNUMBER(SEARCH(Brand_Profile!$E$42,Matching_Engine!$BD$18)),1,0))+IF(Brand_Profile!$E$43="",0,IF(ISNUMBER(SEARCH(Brand_Profile!$E$43,Matching_Engine!$BD$18)),1,0))+IF(Brand_Profile!$E$44="",0,IF(ISNUMBER(SEARCH(Brand_Profile!$E$44,Matching_Engine!$BD$18)),1,0))+IF(Brand_Profile!$E$45="",0,IF(ISNUMBER(SEARCH(Brand_Profile!$E$45,Matching_Engine!$BD$18)),1,0))+IF(Brand_Profile!$E$46="",0,IF(ISNUMBER(SEARCH(Brand_Profile!$E$46,Matching_Engine!$BD$18)),1,0)))/Brand_Profile!$E$47*100,0)))</f>
        <v>#VALUE!</v>
      </c>
      <c r="L18" s="65" t="e">
        <f>IF(NOT(AND(ISTEXT('[1]#REF'!$U$18),'[1]#REF'!$U$18&lt;&gt;"N/A")),"N/A",IF(Brand_Profile!$E$53=0,Lookup_Lists!$D$150,ROUND((IF(Brand_Profile!$E$48="",0,IF(ISNUMBER(SEARCH(Brand_Profile!$E$48,Matching_Engine!$BF$18)),1,0))+IF(Brand_Profile!$E$49="",0,IF(ISNUMBER(SEARCH(Brand_Profile!$E$49,Matching_Engine!$BF$18)),1,0))+IF(Brand_Profile!$E$50="",0,IF(ISNUMBER(SEARCH(Brand_Profile!$E$50,Matching_Engine!$BF$18)),1,0))+IF(Brand_Profile!$E$51="",0,IF(ISNUMBER(SEARCH(Brand_Profile!$E$51,Matching_Engine!$BF$18)),1,0))+IF(Brand_Profile!$E$52="",0,IF(ISNUMBER(SEARCH(Brand_Profile!$E$52,Matching_Engine!$BF$18)),1,0)))/Brand_Profile!$E$53*100,0)))</f>
        <v>#REF!</v>
      </c>
      <c r="M18" s="63" t="str">
        <f>IF((IF(ISNUMBER(Matching_Engine!$J$18),Lookup_Lists!$D$332,0)+IF(ISNUMBER(Matching_Engine!$K$18),Lookup_Lists!$D$333,0)+IF(ISNUMBER(Matching_Engine!$L$18),Lookup_Lists!$D$334,0))=0,"N/A",ROUND((IF(ISNUMBER(Matching_Engine!$J$18),Matching_Engine!$J$18*Lookup_Lists!$D$332,0)+IF(ISNUMBER(Matching_Engine!$K$18),Matching_Engine!$K$18*Lookup_Lists!$D$333,0)+IF(ISNUMBER(Matching_Engine!$L$18),Matching_Engine!$L$18*Lookup_Lists!$D$334,0))/(IF(ISNUMBER(Matching_Engine!$J$18),Lookup_Lists!$D$332,0)+IF(ISNUMBER(Matching_Engine!$K$18),Lookup_Lists!$D$333,0)+IF(ISNUMBER(Matching_Engine!$L$18),Lookup_Lists!$D$334,0)),0))</f>
        <v>N/A</v>
      </c>
      <c r="N18" s="42">
        <f>IF(ISNUMBER(Matching_Engine!$M$18),1,0)</f>
        <v>1</v>
      </c>
      <c r="O18" s="65" t="str">
        <f ca="1">IF(NOT(ISNUMBER(IFERROR(INDEX('[1]#REF'!$V$18:'[1]#REF'!$Z$18,1,MATCH(Brand_Profile!$E$11,Lookup_Lists!$F$6:$F$10,0)),""))),"N/A",MIN(100,ROUND((IFERROR(INDEX('[1]#REF'!$V$18:'[1]#REF'!$Z$18,1,MATCH(Brand_Profile!$E$11,Lookup_Lists!$F$6:$F$10,0)),"")+0.5*IF(ISNUMBER(IFERROR(INDEX('[1]#REF'!$V$18:'[1]#REF'!$Z$18,1,MATCH(Brand_Profile!$E$12,Lookup_Lists!$F$6:$F$10,0)),"")),IFERROR(INDEX('[1]#REF'!$V$18:'[1]#REF'!$Z$18,1,MATCH(Brand_Profile!$E$12,Lookup_Lists!$F$6:$F$10,0)),""),0))/Lookup_Lists!$D$142*100,0)))</f>
        <v>N/A</v>
      </c>
      <c r="P18" s="65" t="str">
        <f>IF(Brand_Profile!$E$13="Any",100,IF(NOT(ISNUMBER('[1]#REF'!$AA$18)),"N/A",IF(Brand_Profile!$E$13="Female",MIN(100,ROUND('[1]#REF'!$AA$18/Lookup_Lists!$D$143*100,0)),IF(Brand_Profile!$E$13="Male",MIN(100,ROUND(IF(ISNUMBER('[1]#REF'!$AB$18),'[1]#REF'!$AB$18,100-'[1]#REF'!$AA$18)/Lookup_Lists!$D$143*100,0)),MAX(0,ROUND(100-ABS('[1]#REF'!$AA$18-50)*2,0))))))</f>
        <v>N/A</v>
      </c>
      <c r="Q18" s="65" t="str">
        <f>IF((IF(ISNUMBER(IF(NOT(ISNUMBER('[1]#REF'!$AE$18)),"N/A",IF('[1]#REF'!$AD$18&lt;&gt;Brand_Profile!$E$14,Lookup_Lists!$D$151,MIN(100,ROUND('[1]#REF'!$AE$18/Lookup_Lists!$D$316*100,0))))),Lookup_Lists!$D$118,0)+IF(ISNUMBER(IF(NOT(ISNUMBER('[1]#REF'!$AM$18)),"N/A",MIN(100,ROUND((IF('[1]#REF'!$AG$18=Brand_Profile!$E$15,IF(ISNUMBER('[1]#REF'!$AH$18),'[1]#REF'!$AH$18,0),0)+IF('[1]#REF'!$AI$18=Brand_Profile!$E$15,IF(ISNUMBER('[1]#REF'!$AJ$18),'[1]#REF'!$AJ$18,0),0)+IF('[1]#REF'!$AK$18=Brand_Profile!$E$15,IF(ISNUMBER('[1]#REF'!$AL$18),'[1]#REF'!$AL$18,0),0))/Lookup_Lists!$D$317*100,0)))),Lookup_Lists!$D$120,0))=0,"N/A",ROUND((IF(ISNUMBER(IF(NOT(ISNUMBER('[1]#REF'!$AE$18)),"N/A",IF('[1]#REF'!$AD$18&lt;&gt;Brand_Profile!$E$14,Lookup_Lists!$D$151,MIN(100,ROUND('[1]#REF'!$AE$18/Lookup_Lists!$D$316*100,0))))),IF(NOT(ISNUMBER('[1]#REF'!$AE$18)),"N/A",IF('[1]#REF'!$AD$18&lt;&gt;Brand_Profile!$E$14,Lookup_Lists!$D$151,MIN(100,ROUND('[1]#REF'!$AE$18/Lookup_Lists!$D$316*100,0))))*Lookup_Lists!$D$118,0)+IF(ISNUMBER(IF(NOT(ISNUMBER('[1]#REF'!$AM$18)),"N/A",MIN(100,ROUND((IF('[1]#REF'!$AG$18=Brand_Profile!$E$15,IF(ISNUMBER('[1]#REF'!$AH$18),'[1]#REF'!$AH$18,0),0)+IF('[1]#REF'!$AI$18=Brand_Profile!$E$15,IF(ISNUMBER('[1]#REF'!$AJ$18),'[1]#REF'!$AJ$18,0),0)+IF('[1]#REF'!$AK$18=Brand_Profile!$E$15,IF(ISNUMBER('[1]#REF'!$AL$18),'[1]#REF'!$AL$18,0),0))/Lookup_Lists!$D$317*100,0)))),IF(NOT(ISNUMBER('[1]#REF'!$AM$18)),"N/A",MIN(100,ROUND((IF('[1]#REF'!$AG$18=Brand_Profile!$E$15,IF(ISNUMBER('[1]#REF'!$AH$18),'[1]#REF'!$AH$18,0),0)+IF('[1]#REF'!$AI$18=Brand_Profile!$E$15,IF(ISNUMBER('[1]#REF'!$AJ$18),'[1]#REF'!$AJ$18,0),0)+IF('[1]#REF'!$AK$18=Brand_Profile!$E$15,IF(ISNUMBER('[1]#REF'!$AL$18),'[1]#REF'!$AL$18,0),0))/Lookup_Lists!$D$317*100,0)))*Lookup_Lists!$D$120,0))/(IF(ISNUMBER(IF(NOT(ISNUMBER('[1]#REF'!$AE$18)),"N/A",IF('[1]#REF'!$AD$18&lt;&gt;Brand_Profile!$E$14,Lookup_Lists!$D$151,MIN(100,ROUND('[1]#REF'!$AE$18/Lookup_Lists!$D$316*100,0))))),Lookup_Lists!$D$118,0)+IF(ISNUMBER(IF(NOT(ISNUMBER('[1]#REF'!$AM$18)),"N/A",MIN(100,ROUND((IF('[1]#REF'!$AG$18=Brand_Profile!$E$15,IF(ISNUMBER('[1]#REF'!$AH$18),'[1]#REF'!$AH$18,0),0)+IF('[1]#REF'!$AI$18=Brand_Profile!$E$15,IF(ISNUMBER('[1]#REF'!$AJ$18),'[1]#REF'!$AJ$18,0),0)+IF('[1]#REF'!$AK$18=Brand_Profile!$E$15,IF(ISNUMBER('[1]#REF'!$AL$18),'[1]#REF'!$AL$18,0),0))/Lookup_Lists!$D$317*100,0)))),Lookup_Lists!$D$120,0)),0))</f>
        <v>N/A</v>
      </c>
      <c r="R18" s="65" t="str">
        <f>IF(NOT(ISNUMBER('[1]#REF'!$AN$18)),"N/A",MIN(100,ROUND((IF(ISNUMBER('[1]#REF'!$AO$18),'[1]#REF'!$AO$18*Brand_Profile!$E$17,0)+IF(ISNUMBER('[1]#REF'!$AP$18),'[1]#REF'!$AP$18*Brand_Profile!$E$18,0)+IF(ISNUMBER('[1]#REF'!$AQ$18),'[1]#REF'!$AQ$18*Brand_Profile!$E$19,0)+IF(ISNUMBER('[1]#REF'!$AR$18),'[1]#REF'!$AR$18*Brand_Profile!$E$20,0)+IF(ISNUMBER('[1]#REF'!$AS$18),'[1]#REF'!$AS$18*Brand_Profile!$E$21,0)+IF(ISNUMBER('[1]#REF'!$AT$18),'[1]#REF'!$AT$18*Brand_Profile!$E$22,0)+IF(ISNUMBER('[1]#REF'!$AU$18),'[1]#REF'!$AU$18*Brand_Profile!$E$23,0)+IF(ISNUMBER('[1]#REF'!$AV$18),'[1]#REF'!$AV$18*Brand_Profile!$E$24,0)+IF(ISNUMBER('[1]#REF'!$AW$18),'[1]#REF'!$AW$18*Brand_Profile!$E$25,0)+IF(ISNUMBER('[1]#REF'!$AX$18),'[1]#REF'!$AX$18*Brand_Profile!$E$26,0)+IF(ISNUMBER('[1]#REF'!$AY$18),'[1]#REF'!$AY$18*Brand_Profile!$E$27,0)+IF(ISNUMBER('[1]#REF'!$AZ$18),'[1]#REF'!$AZ$18*Brand_Profile!$E$28,0)+IF(ISNUMBER('[1]#REF'!$BA$18),'[1]#REF'!$BA$18*Brand_Profile!$E$29,0)+IF(ISNUMBER('[1]#REF'!$BB$18),'[1]#REF'!$BB$18*Brand_Profile!$E$30,0)+IF(ISNUMBER('[1]#REF'!$BC$18),'[1]#REF'!$BC$18*Brand_Profile!$E$31,0)+IF(ISNUMBER('[1]#REF'!$BD$18),'[1]#REF'!$BD$18*Brand_Profile!$E$32,0)+IF(ISNUMBER('[1]#REF'!$BE$18),'[1]#REF'!$BE$18*Brand_Profile!$E$33,0)+IF(ISNUMBER('[1]#REF'!$BF$18),'[1]#REF'!$BF$18*Brand_Profile!$E$34,0))/Lookup_Lists!$D$318*100,0)))</f>
        <v>N/A</v>
      </c>
      <c r="S18" s="63">
        <f ca="1">IF((IF(ISNUMBER(Matching_Engine!$O$18),Lookup_Lists!$D$113,0)+IF(ISNUMBER(Matching_Engine!$P$18),Lookup_Lists!$D$114,0)+IF(ISNUMBER(Matching_Engine!$Q$18),Lookup_Lists!$D$115,0)+IF(ISNUMBER(Matching_Engine!$R$18),Lookup_Lists!$D$116,0))=0,"N/A",ROUND((IF(ISNUMBER(Matching_Engine!$O$18),Matching_Engine!$O$18*Lookup_Lists!$D$113,0)+IF(ISNUMBER(Matching_Engine!$P$18),Matching_Engine!$P$18*Lookup_Lists!$D$114,0)+IF(ISNUMBER(Matching_Engine!$Q$18),Matching_Engine!$Q$18*Lookup_Lists!$D$115,0)+IF(ISNUMBER(Matching_Engine!$R$18),Matching_Engine!$R$18*Lookup_Lists!$D$116,0))/(IF(ISNUMBER(Matching_Engine!$O$18),Lookup_Lists!$D$113,0)+IF(ISNUMBER(Matching_Engine!$P$18),Lookup_Lists!$D$114,0)+IF(ISNUMBER(Matching_Engine!$Q$18),Lookup_Lists!$D$115,0)+IF(ISNUMBER(Matching_Engine!$R$18),Lookup_Lists!$D$116,0)),0))</f>
        <v>70</v>
      </c>
      <c r="T18" s="42">
        <f ca="1">IF(ISNUMBER(Matching_Engine!$S$18),1,0)</f>
        <v>1</v>
      </c>
      <c r="U18" s="65" t="e">
        <f>IF(NOT(AND(ISTEXT('[1]#REF'!$M$18),'[1]#REF'!$M$18&lt;&gt;"N/A")),Lookup_Lists!$D$150,IF(Brand_Profile!$E$7='[1]#REF'!$M$18,100,IFERROR(INDEX(Lookup_Lists!$B$349:$J$357,MATCH(Brand_Profile!$E$7,Lookup_Lists!$A$349:$A$357,0),MATCH('[1]#REF'!$M$18,Lookup_Lists!$B$348:$J$348,0)),Lookup_Lists!$D$151)))</f>
        <v>#REF!</v>
      </c>
      <c r="V18" s="65" t="e">
        <f>IF(NOT(AND(ISTEXT('[1]#REF'!$P$18),'[1]#REF'!$P$18&lt;&gt;"N/A")),"N/A",IFERROR(INDEX(Lookup_Lists!$B$349:$J$357,MATCH(Brand_Profile!$E$7,Lookup_Lists!$A$349:$A$357,0),MATCH('[1]#REF'!$P$18,Lookup_Lists!$B$348:$J$348,0)),Lookup_Lists!$D$151))</f>
        <v>#REF!</v>
      </c>
      <c r="W18" s="65" t="e">
        <f>IF(LEN(TRIM(SUBSTITUTE(Matching_Engine!$BE$18,"|","")))=0,"N/A",IF(Brand_Profile!$E$60=0,Lookup_Lists!$D$150,ROUND((IF(Brand_Profile!$E$54="",0,IF(ISNUMBER(SEARCH(Brand_Profile!$E$54,Matching_Engine!$BE$18)),1,0))+IF(Brand_Profile!$E$55="",0,IF(ISNUMBER(SEARCH(Brand_Profile!$E$55,Matching_Engine!$BE$18)),1,0))+IF(Brand_Profile!$E$56="",0,IF(ISNUMBER(SEARCH(Brand_Profile!$E$56,Matching_Engine!$BE$18)),1,0))+IF(Brand_Profile!$E$57="",0,IF(ISNUMBER(SEARCH(Brand_Profile!$E$57,Matching_Engine!$BE$18)),1,0))+IF(Brand_Profile!$E$58="",0,IF(ISNUMBER(SEARCH(Brand_Profile!$E$58,Matching_Engine!$BE$18)),1,0))+IF(Brand_Profile!$E$59="",0,IF(ISNUMBER(SEARCH(Brand_Profile!$E$59,Matching_Engine!$BE$18)),1,0)))/Brand_Profile!$E$60*100,0)))</f>
        <v>#VALUE!</v>
      </c>
      <c r="X18" s="65" t="e">
        <f>IF(NOT(AND(ISTEXT('[1]#REF'!$Q$18),'[1]#REF'!$Q$18&lt;&gt;"N/A")),"N/A",Lookup_Lists!$D$150)</f>
        <v>#REF!</v>
      </c>
      <c r="Y18" s="63">
        <f>IF((IF(ISNUMBER(Matching_Engine!$U$18),Lookup_Lists!$D$335,0)+IF(ISNUMBER(Matching_Engine!$V$18),Lookup_Lists!$D$122,0)+IF(ISNUMBER(Matching_Engine!$W$18),Lookup_Lists!$D$336,0)+IF(ISNUMBER(Matching_Engine!$X$18),Lookup_Lists!$D$124,0))=0,"N/A",ROUND((IF(ISNUMBER(Matching_Engine!$U$18),Matching_Engine!$U$18*Lookup_Lists!$D$335,0)+IF(ISNUMBER(Matching_Engine!$V$18),Matching_Engine!$V$18*Lookup_Lists!$D$122,0)+IF(ISNUMBER(Matching_Engine!$W$18),Matching_Engine!$W$18*Lookup_Lists!$D$336,0)+IF(ISNUMBER(Matching_Engine!$X$18),Matching_Engine!$X$18*Lookup_Lists!$D$124,0))/(IF(ISNUMBER(Matching_Engine!$U$18),Lookup_Lists!$D$335,0)+IF(ISNUMBER(Matching_Engine!$V$18),Lookup_Lists!$D$122,0)+IF(ISNUMBER(Matching_Engine!$W$18),Lookup_Lists!$D$336,0)+IF(ISNUMBER(Matching_Engine!$X$18),Lookup_Lists!$D$124,0)),0))</f>
        <v>10</v>
      </c>
      <c r="Z18" s="42">
        <f>IF(ISNUMBER(Matching_Engine!$Y$18),1,0)</f>
        <v>1</v>
      </c>
      <c r="AA18" s="65" t="e">
        <f>IF(NOT(AND(ISTEXT('[1]#REF'!$Q$18),'[1]#REF'!$Q$18&lt;&gt;"N/A")),"N/A",Lookup_Lists!$D$150)</f>
        <v>#REF!</v>
      </c>
      <c r="AB18" s="65" t="e">
        <f>IF(NOT(AND(ISTEXT('[1]#REF'!$Q$18),'[1]#REF'!$Q$18&lt;&gt;"N/A")),"N/A",Lookup_Lists!$D$150)</f>
        <v>#REF!</v>
      </c>
      <c r="AC18" s="65" t="str">
        <f t="shared" si="0"/>
        <v>N/A</v>
      </c>
      <c r="AD18" s="65" t="e">
        <f>IF(NOT(AND(ISTEXT('[1]#REF'!$Q$18),'[1]#REF'!$Q$18&lt;&gt;"N/A")),"N/A",Lookup_Lists!$D$150)</f>
        <v>#REF!</v>
      </c>
      <c r="AE18" s="63">
        <f>IF((IF(ISNUMBER(Matching_Engine!$AA$18),Lookup_Lists!$D$125,0)+IF(ISNUMBER(Matching_Engine!$AB$18),Lookup_Lists!$D$126,0)+IF(ISNUMBER(Matching_Engine!$AC$18),Lookup_Lists!$D$127,0)+IF(ISNUMBER(Matching_Engine!$AD$18),Lookup_Lists!$D$128,0))=0,"N/A",ROUND((IF(ISNUMBER(Matching_Engine!$AA$18),Matching_Engine!$AA$18*Lookup_Lists!$D$125,0)+IF(ISNUMBER(Matching_Engine!$AB$18),Matching_Engine!$AB$18*Lookup_Lists!$D$126,0)+IF(ISNUMBER(Matching_Engine!$AC$18),Matching_Engine!$AC$18*Lookup_Lists!$D$127,0)+IF(ISNUMBER(Matching_Engine!$AD$18),Matching_Engine!$AD$18*Lookup_Lists!$D$128,0))/(IF(ISNUMBER(Matching_Engine!$AA$18),Lookup_Lists!$D$125,0)+IF(ISNUMBER(Matching_Engine!$AB$18),Lookup_Lists!$D$126,0)+IF(ISNUMBER(Matching_Engine!$AC$18),Lookup_Lists!$D$127,0)+IF(ISNUMBER(Matching_Engine!$AD$18),Lookup_Lists!$D$128,0)),0))</f>
        <v>41</v>
      </c>
      <c r="AF18" s="42">
        <f>IF(ISNUMBER(Matching_Engine!$AE$18),1,0)</f>
        <v>1</v>
      </c>
      <c r="AG18" s="65" t="str">
        <f>IF(NOT(ISNUMBER('[1]#REF'!$BG$18)),"N/A",MIN(100,ROUND('[1]#REF'!$BG$18/IFERROR(INDEX(Lookup_Lists!$B$340:$B$344,MATCH('[1]#REF'!$H$18,Lookup_Lists!$A$340:$A$344,0)),Lookup_Lists!$D$141)*100,0)))</f>
        <v>N/A</v>
      </c>
      <c r="AH18" s="65" t="str">
        <f>IF(NOT(ISNUMBER('[1]#REF'!$BS$18)),"N/A",MIN(100,MAX(0,'[1]#REF'!$BS$18)))</f>
        <v>N/A</v>
      </c>
      <c r="AI18" s="65" t="e">
        <f>IF(OR(NOT(ISNUMBER('[1]#REF'!$BM$18)),NOT(ISNUMBER('[1]#REF'!$BN$18)),'[1]#REF'!$BN$18&lt;Lookup_Lists!$D$320),"N/A",MIN(100,ROUND('[1]#REF'!$BM$18/Lookup_Lists!$D$319*100,0)))</f>
        <v>#REF!</v>
      </c>
      <c r="AJ18" s="65" t="str">
        <f>IF(NOT(ISNUMBER('[1]#REF'!$BR$18)),"N/A",'[1]#REF'!$BR$18)</f>
        <v>N/A</v>
      </c>
      <c r="AK18" s="65" t="str">
        <f>IF(NOT(ISNUMBER('[1]#REF'!$BK$18)),"N/A",MIN(100,ROUND('[1]#REF'!$BK$18/Lookup_Lists!$D$321*100,0)))</f>
        <v>N/A</v>
      </c>
      <c r="AL18" s="65" t="str">
        <f>IF(NOT(ISNUMBER('[1]#REF'!$BP$18)),"N/A",MIN(100,MAX(0,ROUND(('[1]#REF'!$BP$18+2)/(Lookup_Lists!$D$145+2)*100,0))))</f>
        <v>N/A</v>
      </c>
      <c r="AM18" s="63">
        <f>IF((IF(ISNUMBER(Matching_Engine!$AG$18),Lookup_Lists!$D$129,0)+IF(ISNUMBER(Matching_Engine!$AH$18),Lookup_Lists!$D$130,0)+IF(ISNUMBER(Matching_Engine!$AI$18),Lookup_Lists!$D$131,0)+IF(ISNUMBER(Matching_Engine!$AJ$18),Lookup_Lists!$D$132,0)+IF(ISNUMBER(Matching_Engine!$AK$18),Lookup_Lists!$D$133,0)+IF(ISNUMBER(Matching_Engine!$AL$18),Lookup_Lists!$D$134,0))=0,"N/A",ROUND((IF(ISNUMBER(Matching_Engine!$AG$18),Matching_Engine!$AG$18*Lookup_Lists!$D$129,0)+IF(ISNUMBER(Matching_Engine!$AH$18),Matching_Engine!$AH$18*Lookup_Lists!$D$130,0)+IF(ISNUMBER(Matching_Engine!$AI$18),Matching_Engine!$AI$18*Lookup_Lists!$D$131,0)+IF(ISNUMBER(Matching_Engine!$AJ$18),Matching_Engine!$AJ$18*Lookup_Lists!$D$132,0)+IF(ISNUMBER(Matching_Engine!$AK$18),Matching_Engine!$AK$18*Lookup_Lists!$D$133,0)+IF(ISNUMBER(Matching_Engine!$AL$18),Matching_Engine!$AL$18*Lookup_Lists!$D$134,0))/(IF(ISNUMBER(Matching_Engine!$AG$18),Lookup_Lists!$D$129,0)+IF(ISNUMBER(Matching_Engine!$AH$18),Lookup_Lists!$D$130,0)+IF(ISNUMBER(Matching_Engine!$AI$18),Lookup_Lists!$D$131,0)+IF(ISNUMBER(Matching_Engine!$AJ$18),Lookup_Lists!$D$132,0)+IF(ISNUMBER(Matching_Engine!$AK$18),Lookup_Lists!$D$133,0)+IF(ISNUMBER(Matching_Engine!$AL$18),Lookup_Lists!$D$134,0)),0))</f>
        <v>70</v>
      </c>
      <c r="AN18" s="42">
        <f>IF(ISNUMBER(Matching_Engine!$AM$18),1,0)</f>
        <v>0</v>
      </c>
      <c r="AO18" s="65" t="str">
        <f>IF(NOT(ISNUMBER('[1]#REF'!$BT$18)),"N/A",MIN(100,MAX(0,'[1]#REF'!$BT$18)))</f>
        <v>N/A</v>
      </c>
      <c r="AP18" s="65" t="str">
        <f>IF(NOT(ISNUMBER('[1]#REF'!$BU$18)),"N/A",MIN(100,MAX(0,'[1]#REF'!$BU$18)))</f>
        <v>N/A</v>
      </c>
      <c r="AQ18" s="65" t="e">
        <f>IF('[1]#REF'!$I$18="Yes",Lookup_Lists!$D$326,IF('[1]#REF'!$I$18="No",Lookup_Lists!$D$327,"N/A"))</f>
        <v>#REF!</v>
      </c>
      <c r="AR18" s="65" t="str">
        <f>IF(NOT(ISNUMBER('[1]#REF'!$BQ$18)),"N/A",MAX(0,ROUND(100-'[1]#REF'!$BQ$18/Lookup_Lists!$D$328*100,0)))</f>
        <v>N/A</v>
      </c>
      <c r="AS18" s="65" t="e">
        <f>IF(NOT(AND(ISTEXT('[1]#REF'!$BV$18),'[1]#REF'!$BV$18&lt;&gt;"N/A")),"N/A",'[1]#REF'!$BV$18)</f>
        <v>#REF!</v>
      </c>
      <c r="AT18" s="63" t="str">
        <f ca="1">IF((IF(ISNUMBER(Matching_Engine!$AO$18),Lookup_Lists!$D$322,0)+IF(ISNUMBER(Matching_Engine!$AP$18),Lookup_Lists!$D$323,0)+IF(ISNUMBER(Matching_Engine!$AQ$18),Lookup_Lists!$D$324,0)+IF(ISNUMBER(Matching_Engine!$AR$18),Lookup_Lists!$D$325,0))=0,"N/A",ROUND((IF(ISNUMBER(Matching_Engine!$AO$18),Matching_Engine!$AO$18*Lookup_Lists!$D$322,0)+IF(ISNUMBER(Matching_Engine!$AP$18),Matching_Engine!$AP$18*Lookup_Lists!$D$323,0)+IF(ISNUMBER(Matching_Engine!$AQ$18),Matching_Engine!$AQ$18*Lookup_Lists!$D$324,0)+IF(ISNUMBER(Matching_Engine!$AR$18),Matching_Engine!$AR$18*Lookup_Lists!$D$325,0))/(IF(ISNUMBER(Matching_Engine!$AO$18),Lookup_Lists!$D$322,0)+IF(ISNUMBER(Matching_Engine!$AP$18),Lookup_Lists!$D$323,0)+IF(ISNUMBER(Matching_Engine!$AQ$18),Lookup_Lists!$D$324,0)+IF(ISNUMBER(Matching_Engine!$AR$18),Lookup_Lists!$D$325,0)),0))</f>
        <v>N/A</v>
      </c>
      <c r="AU18" s="42">
        <f>IF(ISNUMBER(Matching_Engine!$AT$18),1,0)</f>
        <v>1</v>
      </c>
      <c r="AV18" s="42" t="str">
        <f>IF(NOT(ISNUMBER(Matching_Engine!$AT$18)),"Not Screened",IF(Matching_Engine!$AT$18&gt;=Lookup_Lists!$D$329,"Low Risk",IF(Matching_Engine!$AT$18&gt;=Lookup_Lists!$D$330,"Moderate Risk",IF(Matching_Engine!$AT$18&gt;=Lookup_Lists!$D$331,"Elevated Risk","High Risk"))))</f>
        <v>Low Risk</v>
      </c>
      <c r="AW18" s="42" t="e">
        <f ca="1">IF(NOT(ISNUMBER(Matching_Engine!$AT$18)),"No integrity signal: no audience-analysis row for this account.","Integrity screen only — no content-risk reading exists (comments_analysis: 0 rows). "&amp;IF(ISNUMBER(Matching_Engine!$AO$18),"Authenticity "&amp;Matching_Engine!$AO$18&amp;". ","Authenticity N/A. ")&amp;IF(ISNUMBER(Matching_Engine!$AP$18),"Follower quality "&amp;Matching_Engine!$AP$18&amp;". ","Follower quality N/A. ")&amp;IF('[1]#REF'!$I$18="Yes","Platform-verified.","Not platform-verified."))</f>
        <v>#REF!</v>
      </c>
      <c r="AX18" s="65">
        <f>Matching_Engine!$N$18*Lookup_Lists!$D$104+Matching_Engine!$T$18*Lookup_Lists!$D$105+Matching_Engine!$Z$18*Lookup_Lists!$D$106+Matching_Engine!$AF$18*Lookup_Lists!$D$107+Matching_Engine!$AN$18*Lookup_Lists!$D$108+Matching_Engine!$AU$18*Lookup_Lists!$D$109</f>
        <v>3040</v>
      </c>
      <c r="AY18" s="74" t="e">
        <f ca="1">IF(Matching_Engine!$AX$18=0,"N/A",ROUND((IF(Matching_Engine!$N$18=1,Matching_Engine!$M$18*Lookup_Lists!$D$104,0)+IF(Matching_Engine!$T$18=1,Matching_Engine!$S$18*Lookup_Lists!$D$105,0)+IF(Matching_Engine!$Z$18=1,Matching_Engine!$Y$18*Lookup_Lists!$D$106,0)+IF(Matching_Engine!$AF$18=1,Matching_Engine!$AE$18*Lookup_Lists!$D$107,0)+IF(Matching_Engine!$AN$18=1,Matching_Engine!$AM$18*Lookup_Lists!$D$108,0)+IF(Matching_Engine!$AU$18=1,Matching_Engine!$AT$18*Lookup_Lists!$D$109,0))/Matching_Engine!$AX$18,0))</f>
        <v>#VALUE!</v>
      </c>
      <c r="AZ18" s="42" t="str">
        <f ca="1">IF(NOT(ISNUMBER(Matching_Engine!$AY$18)),"Not Scored",IF(Matching_Engine!$AY$18&gt;=Lookup_Lists!$D$152,"Excellent Match",IF(Matching_Engine!$AY$18&gt;=Lookup_Lists!$D$153,"Strong Match",IF(Matching_Engine!$AY$18&gt;=Lookup_Lists!$D$154,"Good Match",IF(Matching_Engine!$AY$18&gt;=Lookup_Lists!$D$155,"Moderate Match","Low Match")))))</f>
        <v>Low Match</v>
      </c>
      <c r="BA18" s="65" t="e">
        <f>'[1]#REF'!$BW$18</f>
        <v>#REF!</v>
      </c>
      <c r="BB18" s="42" t="e">
        <f>'[1]#REF'!$BX$18</f>
        <v>#REF!</v>
      </c>
      <c r="BC18" s="65">
        <f ca="1">IF(NOT(ISNUMBER(Matching_Engine!$AY$18)),-1,Matching_Engine!$AY$18*1000+12)</f>
        <v>45012</v>
      </c>
      <c r="BD18" s="42" t="e">
        <f>IF(AND(ISTEXT('[1]#REF'!$S$18),'[1]#REF'!$S$18&lt;&gt;"N/A"),'[1]#REF'!$S$18,"")&amp;" | "&amp;IF(AND(ISTEXT('[1]#REF'!$T$18),'[1]#REF'!$T$18&lt;&gt;"N/A"),'[1]#REF'!$T$18,"")&amp;" | "&amp;IF(AND(ISTEXT('[1]#REF'!$N$18),'[1]#REF'!$N$18&lt;&gt;"N/A"),'[1]#REF'!$N$18,"")&amp;" | "&amp;IF(AND(ISTEXT('[1]#REF'!$K$18),'[1]#REF'!$K$18&lt;&gt;"N/A"),'[1]#REF'!$K$18,"")&amp;" | "&amp;IF(AND(ISTEXT('[1]#REF'!$J$18),'[1]#REF'!$J$18&lt;&gt;"N/A"),'[1]#REF'!$J$18,"")</f>
        <v>#REF!</v>
      </c>
      <c r="BE18" s="42" t="e">
        <f>IF(AND(ISTEXT('[1]#REF'!$T$18),'[1]#REF'!$T$18&lt;&gt;"N/A"),'[1]#REF'!$T$18,"")&amp;" | "&amp;IF(AND(ISTEXT('[1]#REF'!$N$18),'[1]#REF'!$N$18&lt;&gt;"N/A"),'[1]#REF'!$N$18,"")&amp;" | "&amp;IF(AND(ISTEXT('[1]#REF'!$O$18),'[1]#REF'!$O$18&lt;&gt;"N/A"),'[1]#REF'!$O$18,"")&amp;" | "&amp;IF(AND(ISTEXT('[1]#REF'!$S$18),'[1]#REF'!$S$18&lt;&gt;"N/A"),'[1]#REF'!$S$18,"")</f>
        <v>#REF!</v>
      </c>
      <c r="BF18" s="42" t="e">
        <f>IF(AND(ISTEXT('[1]#REF'!$U$18),'[1]#REF'!$U$18&lt;&gt;"N/A"),'[1]#REF'!$U$18,"")</f>
        <v>#REF!</v>
      </c>
      <c r="BG18" s="42" t="str">
        <f>Matching_Engine!$A$18&amp;"|"&amp;Matching_Engine!$C$18</f>
        <v>BRAND-A|KOL-13</v>
      </c>
    </row>
    <row r="19" spans="1:59">
      <c r="A19" s="64" t="s">
        <v>2527</v>
      </c>
      <c r="B19" s="42" t="str">
        <f>Brand_Profile!$E$6</f>
        <v>BRAND-B</v>
      </c>
      <c r="C19" s="42" t="e">
        <f>'[1]#REF'!$A$19</f>
        <v>#REF!</v>
      </c>
      <c r="D19" s="42" t="e">
        <f>'[1]#REF'!$C$19</f>
        <v>#REF!</v>
      </c>
      <c r="E19" s="42" t="e">
        <f>'[1]#REF'!$D$19</f>
        <v>#REF!</v>
      </c>
      <c r="F19" s="42" t="e">
        <f>'[1]#REF'!$E$19</f>
        <v>#REF!</v>
      </c>
      <c r="G19" s="42" t="e">
        <f>'[1]#REF'!$K$19</f>
        <v>#REF!</v>
      </c>
      <c r="H19" s="72" t="e">
        <f>'[1]#REF'!$G$19</f>
        <v>#REF!</v>
      </c>
      <c r="I19" s="73" t="e">
        <f>'[1]#REF'!$BG$19</f>
        <v>#REF!</v>
      </c>
      <c r="J19" s="65" t="e">
        <f>IF(NOT(AND(ISTEXT('[1]#REF'!$K$19),'[1]#REF'!$K$19&lt;&gt;"N/A")),Lookup_Lists!$D$150,IF(Brand_Profile!$E$7='[1]#REF'!$K$19,100,IFERROR(INDEX(Lookup_Lists!$B$349:$J$357,MATCH(Brand_Profile!$E$7,Lookup_Lists!$A$349:$A$357,0),MATCH('[1]#REF'!$K$19,Lookup_Lists!$B$348:$J$348,0)),Lookup_Lists!$D$151)))</f>
        <v>#REF!</v>
      </c>
      <c r="K19" s="65" t="e">
        <f>IF(LEN(TRIM(SUBSTITUTE(Matching_Engine!$BD$19,"|","")))=0,"N/A",IF(Brand_Profile!$E$47=0,Lookup_Lists!$D$150,ROUND((IF(Brand_Profile!$E$41="",0,IF(ISNUMBER(SEARCH(Brand_Profile!$E$41,Matching_Engine!$BD$19)),1,0))+IF(Brand_Profile!$E$42="",0,IF(ISNUMBER(SEARCH(Brand_Profile!$E$42,Matching_Engine!$BD$19)),1,0))+IF(Brand_Profile!$E$43="",0,IF(ISNUMBER(SEARCH(Brand_Profile!$E$43,Matching_Engine!$BD$19)),1,0))+IF(Brand_Profile!$E$44="",0,IF(ISNUMBER(SEARCH(Brand_Profile!$E$44,Matching_Engine!$BD$19)),1,0))+IF(Brand_Profile!$E$45="",0,IF(ISNUMBER(SEARCH(Brand_Profile!$E$45,Matching_Engine!$BD$19)),1,0))+IF(Brand_Profile!$E$46="",0,IF(ISNUMBER(SEARCH(Brand_Profile!$E$46,Matching_Engine!$BD$19)),1,0)))/Brand_Profile!$E$47*100,0)))</f>
        <v>#VALUE!</v>
      </c>
      <c r="L19" s="65" t="e">
        <f>IF(NOT(AND(ISTEXT('[1]#REF'!$U$19),'[1]#REF'!$U$19&lt;&gt;"N/A")),"N/A",IF(Brand_Profile!$E$53=0,Lookup_Lists!$D$150,ROUND((IF(Brand_Profile!$E$48="",0,IF(ISNUMBER(SEARCH(Brand_Profile!$E$48,Matching_Engine!$BF$19)),1,0))+IF(Brand_Profile!$E$49="",0,IF(ISNUMBER(SEARCH(Brand_Profile!$E$49,Matching_Engine!$BF$19)),1,0))+IF(Brand_Profile!$E$50="",0,IF(ISNUMBER(SEARCH(Brand_Profile!$E$50,Matching_Engine!$BF$19)),1,0))+IF(Brand_Profile!$E$51="",0,IF(ISNUMBER(SEARCH(Brand_Profile!$E$51,Matching_Engine!$BF$19)),1,0))+IF(Brand_Profile!$E$52="",0,IF(ISNUMBER(SEARCH(Brand_Profile!$E$52,Matching_Engine!$BF$19)),1,0)))/Brand_Profile!$E$53*100,0)))</f>
        <v>#REF!</v>
      </c>
      <c r="M19" s="63" t="str">
        <f>IF((IF(ISNUMBER(Matching_Engine!$J$19),Lookup_Lists!$D$332,0)+IF(ISNUMBER(Matching_Engine!$K$19),Lookup_Lists!$D$333,0)+IF(ISNUMBER(Matching_Engine!$L$19),Lookup_Lists!$D$334,0))=0,"N/A",ROUND((IF(ISNUMBER(Matching_Engine!$J$19),Matching_Engine!$J$19*Lookup_Lists!$D$332,0)+IF(ISNUMBER(Matching_Engine!$K$19),Matching_Engine!$K$19*Lookup_Lists!$D$333,0)+IF(ISNUMBER(Matching_Engine!$L$19),Matching_Engine!$L$19*Lookup_Lists!$D$334,0))/(IF(ISNUMBER(Matching_Engine!$J$19),Lookup_Lists!$D$332,0)+IF(ISNUMBER(Matching_Engine!$K$19),Lookup_Lists!$D$333,0)+IF(ISNUMBER(Matching_Engine!$L$19),Lookup_Lists!$D$334,0)),0))</f>
        <v>N/A</v>
      </c>
      <c r="N19" s="42">
        <f>IF(ISNUMBER(Matching_Engine!$M$19),1,0)</f>
        <v>1</v>
      </c>
      <c r="O19" s="65" t="str">
        <f ca="1">IF(NOT(ISNUMBER(IFERROR(INDEX('[1]#REF'!$V$19:'[1]#REF'!$Z$19,1,MATCH(Brand_Profile!$E$11,Lookup_Lists!$F$6:$F$10,0)),""))),"N/A",MIN(100,ROUND((IFERROR(INDEX('[1]#REF'!$V$19:'[1]#REF'!$Z$19,1,MATCH(Brand_Profile!$E$11,Lookup_Lists!$F$6:$F$10,0)),"")+0.5*IF(ISNUMBER(IFERROR(INDEX('[1]#REF'!$V$19:'[1]#REF'!$Z$19,1,MATCH(Brand_Profile!$E$12,Lookup_Lists!$F$6:$F$10,0)),"")),IFERROR(INDEX('[1]#REF'!$V$19:'[1]#REF'!$Z$19,1,MATCH(Brand_Profile!$E$12,Lookup_Lists!$F$6:$F$10,0)),""),0))/Lookup_Lists!$D$142*100,0)))</f>
        <v>N/A</v>
      </c>
      <c r="P19" s="65" t="str">
        <f>IF(Brand_Profile!$E$13="Any",100,IF(NOT(ISNUMBER('[1]#REF'!$AA$19)),"N/A",IF(Brand_Profile!$E$13="Female",MIN(100,ROUND('[1]#REF'!$AA$19/Lookup_Lists!$D$143*100,0)),IF(Brand_Profile!$E$13="Male",MIN(100,ROUND(IF(ISNUMBER('[1]#REF'!$AB$19),'[1]#REF'!$AB$19,100-'[1]#REF'!$AA$19)/Lookup_Lists!$D$143*100,0)),MAX(0,ROUND(100-ABS('[1]#REF'!$AA$19-50)*2,0))))))</f>
        <v>N/A</v>
      </c>
      <c r="Q19" s="65" t="str">
        <f>IF((IF(ISNUMBER(IF(NOT(ISNUMBER('[1]#REF'!$AE$19)),"N/A",IF('[1]#REF'!$AD$19&lt;&gt;Brand_Profile!$E$14,Lookup_Lists!$D$151,MIN(100,ROUND('[1]#REF'!$AE$19/Lookup_Lists!$D$316*100,0))))),Lookup_Lists!$D$118,0)+IF(ISNUMBER(IF(NOT(ISNUMBER('[1]#REF'!$AM$19)),"N/A",MIN(100,ROUND((IF('[1]#REF'!$AG$19=Brand_Profile!$E$15,IF(ISNUMBER('[1]#REF'!$AH$19),'[1]#REF'!$AH$19,0),0)+IF('[1]#REF'!$AI$19=Brand_Profile!$E$15,IF(ISNUMBER('[1]#REF'!$AJ$19),'[1]#REF'!$AJ$19,0),0)+IF('[1]#REF'!$AK$19=Brand_Profile!$E$15,IF(ISNUMBER('[1]#REF'!$AL$19),'[1]#REF'!$AL$19,0),0))/Lookup_Lists!$D$317*100,0)))),Lookup_Lists!$D$120,0))=0,"N/A",ROUND((IF(ISNUMBER(IF(NOT(ISNUMBER('[1]#REF'!$AE$19)),"N/A",IF('[1]#REF'!$AD$19&lt;&gt;Brand_Profile!$E$14,Lookup_Lists!$D$151,MIN(100,ROUND('[1]#REF'!$AE$19/Lookup_Lists!$D$316*100,0))))),IF(NOT(ISNUMBER('[1]#REF'!$AE$19)),"N/A",IF('[1]#REF'!$AD$19&lt;&gt;Brand_Profile!$E$14,Lookup_Lists!$D$151,MIN(100,ROUND('[1]#REF'!$AE$19/Lookup_Lists!$D$316*100,0))))*Lookup_Lists!$D$118,0)+IF(ISNUMBER(IF(NOT(ISNUMBER('[1]#REF'!$AM$19)),"N/A",MIN(100,ROUND((IF('[1]#REF'!$AG$19=Brand_Profile!$E$15,IF(ISNUMBER('[1]#REF'!$AH$19),'[1]#REF'!$AH$19,0),0)+IF('[1]#REF'!$AI$19=Brand_Profile!$E$15,IF(ISNUMBER('[1]#REF'!$AJ$19),'[1]#REF'!$AJ$19,0),0)+IF('[1]#REF'!$AK$19=Brand_Profile!$E$15,IF(ISNUMBER('[1]#REF'!$AL$19),'[1]#REF'!$AL$19,0),0))/Lookup_Lists!$D$317*100,0)))),IF(NOT(ISNUMBER('[1]#REF'!$AM$19)),"N/A",MIN(100,ROUND((IF('[1]#REF'!$AG$19=Brand_Profile!$E$15,IF(ISNUMBER('[1]#REF'!$AH$19),'[1]#REF'!$AH$19,0),0)+IF('[1]#REF'!$AI$19=Brand_Profile!$E$15,IF(ISNUMBER('[1]#REF'!$AJ$19),'[1]#REF'!$AJ$19,0),0)+IF('[1]#REF'!$AK$19=Brand_Profile!$E$15,IF(ISNUMBER('[1]#REF'!$AL$19),'[1]#REF'!$AL$19,0),0))/Lookup_Lists!$D$317*100,0)))*Lookup_Lists!$D$120,0))/(IF(ISNUMBER(IF(NOT(ISNUMBER('[1]#REF'!$AE$19)),"N/A",IF('[1]#REF'!$AD$19&lt;&gt;Brand_Profile!$E$14,Lookup_Lists!$D$151,MIN(100,ROUND('[1]#REF'!$AE$19/Lookup_Lists!$D$316*100,0))))),Lookup_Lists!$D$118,0)+IF(ISNUMBER(IF(NOT(ISNUMBER('[1]#REF'!$AM$19)),"N/A",MIN(100,ROUND((IF('[1]#REF'!$AG$19=Brand_Profile!$E$15,IF(ISNUMBER('[1]#REF'!$AH$19),'[1]#REF'!$AH$19,0),0)+IF('[1]#REF'!$AI$19=Brand_Profile!$E$15,IF(ISNUMBER('[1]#REF'!$AJ$19),'[1]#REF'!$AJ$19,0),0)+IF('[1]#REF'!$AK$19=Brand_Profile!$E$15,IF(ISNUMBER('[1]#REF'!$AL$19),'[1]#REF'!$AL$19,0),0))/Lookup_Lists!$D$317*100,0)))),Lookup_Lists!$D$120,0)),0))</f>
        <v>N/A</v>
      </c>
      <c r="R19" s="65" t="str">
        <f>IF(NOT(ISNUMBER('[1]#REF'!$AN$19)),"N/A",MIN(100,ROUND((IF(ISNUMBER('[1]#REF'!$AO$19),'[1]#REF'!$AO$19*Brand_Profile!$E$17,0)+IF(ISNUMBER('[1]#REF'!$AP$19),'[1]#REF'!$AP$19*Brand_Profile!$E$18,0)+IF(ISNUMBER('[1]#REF'!$AQ$19),'[1]#REF'!$AQ$19*Brand_Profile!$E$19,0)+IF(ISNUMBER('[1]#REF'!$AR$19),'[1]#REF'!$AR$19*Brand_Profile!$E$20,0)+IF(ISNUMBER('[1]#REF'!$AS$19),'[1]#REF'!$AS$19*Brand_Profile!$E$21,0)+IF(ISNUMBER('[1]#REF'!$AT$19),'[1]#REF'!$AT$19*Brand_Profile!$E$22,0)+IF(ISNUMBER('[1]#REF'!$AU$19),'[1]#REF'!$AU$19*Brand_Profile!$E$23,0)+IF(ISNUMBER('[1]#REF'!$AV$19),'[1]#REF'!$AV$19*Brand_Profile!$E$24,0)+IF(ISNUMBER('[1]#REF'!$AW$19),'[1]#REF'!$AW$19*Brand_Profile!$E$25,0)+IF(ISNUMBER('[1]#REF'!$AX$19),'[1]#REF'!$AX$19*Brand_Profile!$E$26,0)+IF(ISNUMBER('[1]#REF'!$AY$19),'[1]#REF'!$AY$19*Brand_Profile!$E$27,0)+IF(ISNUMBER('[1]#REF'!$AZ$19),'[1]#REF'!$AZ$19*Brand_Profile!$E$28,0)+IF(ISNUMBER('[1]#REF'!$BA$19),'[1]#REF'!$BA$19*Brand_Profile!$E$29,0)+IF(ISNUMBER('[1]#REF'!$BB$19),'[1]#REF'!$BB$19*Brand_Profile!$E$30,0)+IF(ISNUMBER('[1]#REF'!$BC$19),'[1]#REF'!$BC$19*Brand_Profile!$E$31,0)+IF(ISNUMBER('[1]#REF'!$BD$19),'[1]#REF'!$BD$19*Brand_Profile!$E$32,0)+IF(ISNUMBER('[1]#REF'!$BE$19),'[1]#REF'!$BE$19*Brand_Profile!$E$33,0)+IF(ISNUMBER('[1]#REF'!$BF$19),'[1]#REF'!$BF$19*Brand_Profile!$E$34,0))/Lookup_Lists!$D$318*100,0)))</f>
        <v>N/A</v>
      </c>
      <c r="S19" s="63">
        <f ca="1">IF((IF(ISNUMBER(Matching_Engine!$O$19),Lookup_Lists!$D$113,0)+IF(ISNUMBER(Matching_Engine!$P$19),Lookup_Lists!$D$114,0)+IF(ISNUMBER(Matching_Engine!$Q$19),Lookup_Lists!$D$115,0)+IF(ISNUMBER(Matching_Engine!$R$19),Lookup_Lists!$D$116,0))=0,"N/A",ROUND((IF(ISNUMBER(Matching_Engine!$O$19),Matching_Engine!$O$19*Lookup_Lists!$D$113,0)+IF(ISNUMBER(Matching_Engine!$P$19),Matching_Engine!$P$19*Lookup_Lists!$D$114,0)+IF(ISNUMBER(Matching_Engine!$Q$19),Matching_Engine!$Q$19*Lookup_Lists!$D$115,0)+IF(ISNUMBER(Matching_Engine!$R$19),Matching_Engine!$R$19*Lookup_Lists!$D$116,0))/(IF(ISNUMBER(Matching_Engine!$O$19),Lookup_Lists!$D$113,0)+IF(ISNUMBER(Matching_Engine!$P$19),Lookup_Lists!$D$114,0)+IF(ISNUMBER(Matching_Engine!$Q$19),Lookup_Lists!$D$115,0)+IF(ISNUMBER(Matching_Engine!$R$19),Lookup_Lists!$D$116,0)),0))</f>
        <v>60</v>
      </c>
      <c r="T19" s="42">
        <f ca="1">IF(ISNUMBER(Matching_Engine!$S$19),1,0)</f>
        <v>1</v>
      </c>
      <c r="U19" s="65" t="e">
        <f>IF(NOT(AND(ISTEXT('[1]#REF'!$M$19),'[1]#REF'!$M$19&lt;&gt;"N/A")),Lookup_Lists!$D$150,IF(Brand_Profile!$E$7='[1]#REF'!$M$19,100,IFERROR(INDEX(Lookup_Lists!$B$349:$J$357,MATCH(Brand_Profile!$E$7,Lookup_Lists!$A$349:$A$357,0),MATCH('[1]#REF'!$M$19,Lookup_Lists!$B$348:$J$348,0)),Lookup_Lists!$D$151)))</f>
        <v>#REF!</v>
      </c>
      <c r="V19" s="65" t="e">
        <f>IF(NOT(AND(ISTEXT('[1]#REF'!$P$19),'[1]#REF'!$P$19&lt;&gt;"N/A")),"N/A",IFERROR(INDEX(Lookup_Lists!$B$349:$J$357,MATCH(Brand_Profile!$E$7,Lookup_Lists!$A$349:$A$357,0),MATCH('[1]#REF'!$P$19,Lookup_Lists!$B$348:$J$348,0)),Lookup_Lists!$D$151))</f>
        <v>#REF!</v>
      </c>
      <c r="W19" s="65" t="e">
        <f>IF(LEN(TRIM(SUBSTITUTE(Matching_Engine!$BE$19,"|","")))=0,"N/A",IF(Brand_Profile!$E$60=0,Lookup_Lists!$D$150,ROUND((IF(Brand_Profile!$E$54="",0,IF(ISNUMBER(SEARCH(Brand_Profile!$E$54,Matching_Engine!$BE$19)),1,0))+IF(Brand_Profile!$E$55="",0,IF(ISNUMBER(SEARCH(Brand_Profile!$E$55,Matching_Engine!$BE$19)),1,0))+IF(Brand_Profile!$E$56="",0,IF(ISNUMBER(SEARCH(Brand_Profile!$E$56,Matching_Engine!$BE$19)),1,0))+IF(Brand_Profile!$E$57="",0,IF(ISNUMBER(SEARCH(Brand_Profile!$E$57,Matching_Engine!$BE$19)),1,0))+IF(Brand_Profile!$E$58="",0,IF(ISNUMBER(SEARCH(Brand_Profile!$E$58,Matching_Engine!$BE$19)),1,0))+IF(Brand_Profile!$E$59="",0,IF(ISNUMBER(SEARCH(Brand_Profile!$E$59,Matching_Engine!$BE$19)),1,0)))/Brand_Profile!$E$60*100,0)))</f>
        <v>#VALUE!</v>
      </c>
      <c r="X19" s="65" t="e">
        <f>IF(NOT(AND(ISTEXT('[1]#REF'!$Q$19),'[1]#REF'!$Q$19&lt;&gt;"N/A")),"N/A",Lookup_Lists!$D$150)</f>
        <v>#REF!</v>
      </c>
      <c r="Y19" s="63">
        <f>IF((IF(ISNUMBER(Matching_Engine!$U$19),Lookup_Lists!$D$335,0)+IF(ISNUMBER(Matching_Engine!$V$19),Lookup_Lists!$D$122,0)+IF(ISNUMBER(Matching_Engine!$W$19),Lookup_Lists!$D$336,0)+IF(ISNUMBER(Matching_Engine!$X$19),Lookup_Lists!$D$124,0))=0,"N/A",ROUND((IF(ISNUMBER(Matching_Engine!$U$19),Matching_Engine!$U$19*Lookup_Lists!$D$335,0)+IF(ISNUMBER(Matching_Engine!$V$19),Matching_Engine!$V$19*Lookup_Lists!$D$122,0)+IF(ISNUMBER(Matching_Engine!$W$19),Matching_Engine!$W$19*Lookup_Lists!$D$336,0)+IF(ISNUMBER(Matching_Engine!$X$19),Matching_Engine!$X$19*Lookup_Lists!$D$124,0))/(IF(ISNUMBER(Matching_Engine!$U$19),Lookup_Lists!$D$335,0)+IF(ISNUMBER(Matching_Engine!$V$19),Lookup_Lists!$D$122,0)+IF(ISNUMBER(Matching_Engine!$W$19),Lookup_Lists!$D$336,0)+IF(ISNUMBER(Matching_Engine!$X$19),Lookup_Lists!$D$124,0)),0))</f>
        <v>10</v>
      </c>
      <c r="Z19" s="42">
        <f>IF(ISNUMBER(Matching_Engine!$Y$19),1,0)</f>
        <v>1</v>
      </c>
      <c r="AA19" s="65" t="e">
        <f>IF(NOT(AND(ISTEXT('[1]#REF'!$Q$19),'[1]#REF'!$Q$19&lt;&gt;"N/A")),"N/A",Lookup_Lists!$D$150)</f>
        <v>#REF!</v>
      </c>
      <c r="AB19" s="65" t="e">
        <f>IF(NOT(AND(ISTEXT('[1]#REF'!$Q$19),'[1]#REF'!$Q$19&lt;&gt;"N/A")),"N/A",Lookup_Lists!$D$150)</f>
        <v>#REF!</v>
      </c>
      <c r="AC19" s="65" t="str">
        <f t="shared" si="0"/>
        <v>N/A</v>
      </c>
      <c r="AD19" s="65" t="e">
        <f>IF(NOT(AND(ISTEXT('[1]#REF'!$Q$19),'[1]#REF'!$Q$19&lt;&gt;"N/A")),"N/A",Lookup_Lists!$D$150)</f>
        <v>#REF!</v>
      </c>
      <c r="AE19" s="63">
        <f>IF((IF(ISNUMBER(Matching_Engine!$AA$19),Lookup_Lists!$D$125,0)+IF(ISNUMBER(Matching_Engine!$AB$19),Lookup_Lists!$D$126,0)+IF(ISNUMBER(Matching_Engine!$AC$19),Lookup_Lists!$D$127,0)+IF(ISNUMBER(Matching_Engine!$AD$19),Lookup_Lists!$D$128,0))=0,"N/A",ROUND((IF(ISNUMBER(Matching_Engine!$AA$19),Matching_Engine!$AA$19*Lookup_Lists!$D$125,0)+IF(ISNUMBER(Matching_Engine!$AB$19),Matching_Engine!$AB$19*Lookup_Lists!$D$126,0)+IF(ISNUMBER(Matching_Engine!$AC$19),Matching_Engine!$AC$19*Lookup_Lists!$D$127,0)+IF(ISNUMBER(Matching_Engine!$AD$19),Matching_Engine!$AD$19*Lookup_Lists!$D$128,0))/(IF(ISNUMBER(Matching_Engine!$AA$19),Lookup_Lists!$D$125,0)+IF(ISNUMBER(Matching_Engine!$AB$19),Lookup_Lists!$D$126,0)+IF(ISNUMBER(Matching_Engine!$AC$19),Lookup_Lists!$D$127,0)+IF(ISNUMBER(Matching_Engine!$AD$19),Lookup_Lists!$D$128,0)),0))</f>
        <v>49</v>
      </c>
      <c r="AF19" s="42">
        <f>IF(ISNUMBER(Matching_Engine!$AE$19),1,0)</f>
        <v>1</v>
      </c>
      <c r="AG19" s="65" t="str">
        <f>IF(NOT(ISNUMBER('[1]#REF'!$BG$19)),"N/A",MIN(100,ROUND('[1]#REF'!$BG$19/IFERROR(INDEX(Lookup_Lists!$B$340:$B$344,MATCH('[1]#REF'!$H$19,Lookup_Lists!$A$340:$A$344,0)),Lookup_Lists!$D$141)*100,0)))</f>
        <v>N/A</v>
      </c>
      <c r="AH19" s="65" t="str">
        <f>IF(NOT(ISNUMBER('[1]#REF'!$BS$19)),"N/A",MIN(100,MAX(0,'[1]#REF'!$BS$19)))</f>
        <v>N/A</v>
      </c>
      <c r="AI19" s="65" t="e">
        <f>IF(OR(NOT(ISNUMBER('[1]#REF'!$BM$19)),NOT(ISNUMBER('[1]#REF'!$BN$19)),'[1]#REF'!$BN$19&lt;Lookup_Lists!$D$320),"N/A",MIN(100,ROUND('[1]#REF'!$BM$19/Lookup_Lists!$D$319*100,0)))</f>
        <v>#REF!</v>
      </c>
      <c r="AJ19" s="65" t="str">
        <f>IF(NOT(ISNUMBER('[1]#REF'!$BR$19)),"N/A",'[1]#REF'!$BR$19)</f>
        <v>N/A</v>
      </c>
      <c r="AK19" s="65" t="str">
        <f>IF(NOT(ISNUMBER('[1]#REF'!$BK$19)),"N/A",MIN(100,ROUND('[1]#REF'!$BK$19/Lookup_Lists!$D$321*100,0)))</f>
        <v>N/A</v>
      </c>
      <c r="AL19" s="65" t="str">
        <f>IF(NOT(ISNUMBER('[1]#REF'!$BP$19)),"N/A",MIN(100,MAX(0,ROUND(('[1]#REF'!$BP$19+2)/(Lookup_Lists!$D$145+2)*100,0))))</f>
        <v>N/A</v>
      </c>
      <c r="AM19" s="63">
        <f>IF((IF(ISNUMBER(Matching_Engine!$AG$19),Lookup_Lists!$D$129,0)+IF(ISNUMBER(Matching_Engine!$AH$19),Lookup_Lists!$D$130,0)+IF(ISNUMBER(Matching_Engine!$AI$19),Lookup_Lists!$D$131,0)+IF(ISNUMBER(Matching_Engine!$AJ$19),Lookup_Lists!$D$132,0)+IF(ISNUMBER(Matching_Engine!$AK$19),Lookup_Lists!$D$133,0)+IF(ISNUMBER(Matching_Engine!$AL$19),Lookup_Lists!$D$134,0))=0,"N/A",ROUND((IF(ISNUMBER(Matching_Engine!$AG$19),Matching_Engine!$AG$19*Lookup_Lists!$D$129,0)+IF(ISNUMBER(Matching_Engine!$AH$19),Matching_Engine!$AH$19*Lookup_Lists!$D$130,0)+IF(ISNUMBER(Matching_Engine!$AI$19),Matching_Engine!$AI$19*Lookup_Lists!$D$131,0)+IF(ISNUMBER(Matching_Engine!$AJ$19),Matching_Engine!$AJ$19*Lookup_Lists!$D$132,0)+IF(ISNUMBER(Matching_Engine!$AK$19),Matching_Engine!$AK$19*Lookup_Lists!$D$133,0)+IF(ISNUMBER(Matching_Engine!$AL$19),Matching_Engine!$AL$19*Lookup_Lists!$D$134,0))/(IF(ISNUMBER(Matching_Engine!$AG$19),Lookup_Lists!$D$129,0)+IF(ISNUMBER(Matching_Engine!$AH$19),Lookup_Lists!$D$130,0)+IF(ISNUMBER(Matching_Engine!$AI$19),Lookup_Lists!$D$131,0)+IF(ISNUMBER(Matching_Engine!$AJ$19),Lookup_Lists!$D$132,0)+IF(ISNUMBER(Matching_Engine!$AK$19),Lookup_Lists!$D$133,0)+IF(ISNUMBER(Matching_Engine!$AL$19),Lookup_Lists!$D$134,0)),0))</f>
        <v>70</v>
      </c>
      <c r="AN19" s="42">
        <f>IF(ISNUMBER(Matching_Engine!$AM$19),1,0)</f>
        <v>0</v>
      </c>
      <c r="AO19" s="65" t="str">
        <f>IF(NOT(ISNUMBER('[1]#REF'!$BT$19)),"N/A",MIN(100,MAX(0,'[1]#REF'!$BT$19)))</f>
        <v>N/A</v>
      </c>
      <c r="AP19" s="65" t="str">
        <f>IF(NOT(ISNUMBER('[1]#REF'!$BU$19)),"N/A",MIN(100,MAX(0,'[1]#REF'!$BU$19)))</f>
        <v>N/A</v>
      </c>
      <c r="AQ19" s="65" t="e">
        <f>IF('[1]#REF'!$I$19="Yes",Lookup_Lists!$D$326,IF('[1]#REF'!$I$19="No",Lookup_Lists!$D$327,"N/A"))</f>
        <v>#REF!</v>
      </c>
      <c r="AR19" s="65" t="str">
        <f>IF(NOT(ISNUMBER('[1]#REF'!$BQ$19)),"N/A",MAX(0,ROUND(100-'[1]#REF'!$BQ$19/Lookup_Lists!$D$328*100,0)))</f>
        <v>N/A</v>
      </c>
      <c r="AS19" s="65" t="e">
        <f>IF(NOT(AND(ISTEXT('[1]#REF'!$BV$19),'[1]#REF'!$BV$19&lt;&gt;"N/A")),"N/A",'[1]#REF'!$BV$19)</f>
        <v>#REF!</v>
      </c>
      <c r="AT19" s="63" t="str">
        <f ca="1">IF((IF(ISNUMBER(Matching_Engine!$AO$19),Lookup_Lists!$D$322,0)+IF(ISNUMBER(Matching_Engine!$AP$19),Lookup_Lists!$D$323,0)+IF(ISNUMBER(Matching_Engine!$AQ$19),Lookup_Lists!$D$324,0)+IF(ISNUMBER(Matching_Engine!$AR$19),Lookup_Lists!$D$325,0))=0,"N/A",ROUND((IF(ISNUMBER(Matching_Engine!$AO$19),Matching_Engine!$AO$19*Lookup_Lists!$D$322,0)+IF(ISNUMBER(Matching_Engine!$AP$19),Matching_Engine!$AP$19*Lookup_Lists!$D$323,0)+IF(ISNUMBER(Matching_Engine!$AQ$19),Matching_Engine!$AQ$19*Lookup_Lists!$D$324,0)+IF(ISNUMBER(Matching_Engine!$AR$19),Matching_Engine!$AR$19*Lookup_Lists!$D$325,0))/(IF(ISNUMBER(Matching_Engine!$AO$19),Lookup_Lists!$D$322,0)+IF(ISNUMBER(Matching_Engine!$AP$19),Lookup_Lists!$D$323,0)+IF(ISNUMBER(Matching_Engine!$AQ$19),Lookup_Lists!$D$324,0)+IF(ISNUMBER(Matching_Engine!$AR$19),Lookup_Lists!$D$325,0)),0))</f>
        <v>N/A</v>
      </c>
      <c r="AU19" s="42">
        <f>IF(ISNUMBER(Matching_Engine!$AT$19),1,0)</f>
        <v>1</v>
      </c>
      <c r="AV19" s="42" t="str">
        <f>IF(NOT(ISNUMBER(Matching_Engine!$AT$19)),"Not Screened",IF(Matching_Engine!$AT$19&gt;=Lookup_Lists!$D$329,"Low Risk",IF(Matching_Engine!$AT$19&gt;=Lookup_Lists!$D$330,"Moderate Risk",IF(Matching_Engine!$AT$19&gt;=Lookup_Lists!$D$331,"Elevated Risk","High Risk"))))</f>
        <v>Low Risk</v>
      </c>
      <c r="AW19" s="42" t="e">
        <f ca="1">IF(NOT(ISNUMBER(Matching_Engine!$AT$19)),"No integrity signal: no audience-analysis row for this account.","Integrity screen only — no content-risk reading exists (comments_analysis: 0 rows). "&amp;IF(ISNUMBER(Matching_Engine!$AO$19),"Authenticity "&amp;Matching_Engine!$AO$19&amp;". ","Authenticity N/A. ")&amp;IF(ISNUMBER(Matching_Engine!$AP$19),"Follower quality "&amp;Matching_Engine!$AP$19&amp;". ","Follower quality N/A. ")&amp;IF('[1]#REF'!$I$19="Yes","Platform-verified.","Not platform-verified."))</f>
        <v>#REF!</v>
      </c>
      <c r="AX19" s="65">
        <f>Matching_Engine!$N$19*Lookup_Lists!$D$104+Matching_Engine!$T$19*Lookup_Lists!$D$105+Matching_Engine!$Z$19*Lookup_Lists!$D$106+Matching_Engine!$AF$19*Lookup_Lists!$D$107+Matching_Engine!$AN$19*Lookup_Lists!$D$108+Matching_Engine!$AU$19*Lookup_Lists!$D$109</f>
        <v>3519.5</v>
      </c>
      <c r="AY19" s="74" t="e">
        <f ca="1">IF(Matching_Engine!$AX$19=0,"N/A",ROUND((IF(Matching_Engine!$N$19=1,Matching_Engine!$M$19*Lookup_Lists!$D$104,0)+IF(Matching_Engine!$T$19=1,Matching_Engine!$S$19*Lookup_Lists!$D$105,0)+IF(Matching_Engine!$Z$19=1,Matching_Engine!$Y$19*Lookup_Lists!$D$106,0)+IF(Matching_Engine!$AF$19=1,Matching_Engine!$AE$19*Lookup_Lists!$D$107,0)+IF(Matching_Engine!$AN$19=1,Matching_Engine!$AM$19*Lookup_Lists!$D$108,0)+IF(Matching_Engine!$AU$19=1,Matching_Engine!$AT$19*Lookup_Lists!$D$109,0))/Matching_Engine!$AX$19,0))</f>
        <v>#VALUE!</v>
      </c>
      <c r="AZ19" s="42" t="str">
        <f ca="1">IF(NOT(ISNUMBER(Matching_Engine!$AY$19)),"Not Scored",IF(Matching_Engine!$AY$19&gt;=Lookup_Lists!$D$152,"Excellent Match",IF(Matching_Engine!$AY$19&gt;=Lookup_Lists!$D$153,"Strong Match",IF(Matching_Engine!$AY$19&gt;=Lookup_Lists!$D$154,"Good Match",IF(Matching_Engine!$AY$19&gt;=Lookup_Lists!$D$155,"Moderate Match","Low Match")))))</f>
        <v>Not Scored</v>
      </c>
      <c r="BA19" s="65" t="e">
        <f>'[1]#REF'!$BW$19</f>
        <v>#REF!</v>
      </c>
      <c r="BB19" s="42" t="e">
        <f>'[1]#REF'!$BX$19</f>
        <v>#REF!</v>
      </c>
      <c r="BC19" s="65">
        <f ca="1">IF(NOT(ISNUMBER(Matching_Engine!$AY$19)),-1,Matching_Engine!$AY$19*1000+11)</f>
        <v>-1</v>
      </c>
      <c r="BD19" s="42" t="e">
        <f>IF(AND(ISTEXT('[1]#REF'!$S$19),'[1]#REF'!$S$19&lt;&gt;"N/A"),'[1]#REF'!$S$19,"")&amp;" | "&amp;IF(AND(ISTEXT('[1]#REF'!$T$19),'[1]#REF'!$T$19&lt;&gt;"N/A"),'[1]#REF'!$T$19,"")&amp;" | "&amp;IF(AND(ISTEXT('[1]#REF'!$N$19),'[1]#REF'!$N$19&lt;&gt;"N/A"),'[1]#REF'!$N$19,"")&amp;" | "&amp;IF(AND(ISTEXT('[1]#REF'!$K$19),'[1]#REF'!$K$19&lt;&gt;"N/A"),'[1]#REF'!$K$19,"")&amp;" | "&amp;IF(AND(ISTEXT('[1]#REF'!$J$19),'[1]#REF'!$J$19&lt;&gt;"N/A"),'[1]#REF'!$J$19,"")</f>
        <v>#REF!</v>
      </c>
      <c r="BE19" s="42" t="e">
        <f>IF(AND(ISTEXT('[1]#REF'!$T$19),'[1]#REF'!$T$19&lt;&gt;"N/A"),'[1]#REF'!$T$19,"")&amp;" | "&amp;IF(AND(ISTEXT('[1]#REF'!$N$19),'[1]#REF'!$N$19&lt;&gt;"N/A"),'[1]#REF'!$N$19,"")&amp;" | "&amp;IF(AND(ISTEXT('[1]#REF'!$O$19),'[1]#REF'!$O$19&lt;&gt;"N/A"),'[1]#REF'!$O$19,"")&amp;" | "&amp;IF(AND(ISTEXT('[1]#REF'!$S$19),'[1]#REF'!$S$19&lt;&gt;"N/A"),'[1]#REF'!$S$19,"")</f>
        <v>#REF!</v>
      </c>
      <c r="BF19" s="42" t="e">
        <f>IF(AND(ISTEXT('[1]#REF'!$U$19),'[1]#REF'!$U$19&lt;&gt;"N/A"),'[1]#REF'!$U$19,"")</f>
        <v>#REF!</v>
      </c>
      <c r="BG19" s="42" t="str">
        <f>Matching_Engine!$A$19&amp;"|"&amp;Matching_Engine!$C$19</f>
        <v>BRAND-A|KOL-14</v>
      </c>
    </row>
    <row r="20" spans="1:59">
      <c r="A20" s="64" t="s">
        <v>2527</v>
      </c>
      <c r="B20" s="42" t="str">
        <f>Brand_Profile!$E$6</f>
        <v>BRAND-B</v>
      </c>
      <c r="C20" s="42" t="e">
        <f>'[1]#REF'!$A$20</f>
        <v>#REF!</v>
      </c>
      <c r="D20" s="42" t="e">
        <f>'[1]#REF'!$C$20</f>
        <v>#REF!</v>
      </c>
      <c r="E20" s="42" t="e">
        <f>'[1]#REF'!$D$20</f>
        <v>#REF!</v>
      </c>
      <c r="F20" s="42" t="e">
        <f>'[1]#REF'!$E$20</f>
        <v>#REF!</v>
      </c>
      <c r="G20" s="42" t="e">
        <f>'[1]#REF'!$K$20</f>
        <v>#REF!</v>
      </c>
      <c r="H20" s="72" t="e">
        <f>'[1]#REF'!$G$20</f>
        <v>#REF!</v>
      </c>
      <c r="I20" s="73" t="e">
        <f>'[1]#REF'!$BG$20</f>
        <v>#REF!</v>
      </c>
      <c r="J20" s="65" t="e">
        <f>IF(NOT(AND(ISTEXT('[1]#REF'!$K$20),'[1]#REF'!$K$20&lt;&gt;"N/A")),Lookup_Lists!$D$150,IF(Brand_Profile!$E$7='[1]#REF'!$K$20,100,IFERROR(INDEX(Lookup_Lists!$B$349:$J$357,MATCH(Brand_Profile!$E$7,Lookup_Lists!$A$349:$A$357,0),MATCH('[1]#REF'!$K$20,Lookup_Lists!$B$348:$J$348,0)),Lookup_Lists!$D$151)))</f>
        <v>#REF!</v>
      </c>
      <c r="K20" s="65" t="e">
        <f>IF(LEN(TRIM(SUBSTITUTE(Matching_Engine!$BD$20,"|","")))=0,"N/A",IF(Brand_Profile!$E$47=0,Lookup_Lists!$D$150,ROUND((IF(Brand_Profile!$E$41="",0,IF(ISNUMBER(SEARCH(Brand_Profile!$E$41,Matching_Engine!$BD$20)),1,0))+IF(Brand_Profile!$E$42="",0,IF(ISNUMBER(SEARCH(Brand_Profile!$E$42,Matching_Engine!$BD$20)),1,0))+IF(Brand_Profile!$E$43="",0,IF(ISNUMBER(SEARCH(Brand_Profile!$E$43,Matching_Engine!$BD$20)),1,0))+IF(Brand_Profile!$E$44="",0,IF(ISNUMBER(SEARCH(Brand_Profile!$E$44,Matching_Engine!$BD$20)),1,0))+IF(Brand_Profile!$E$45="",0,IF(ISNUMBER(SEARCH(Brand_Profile!$E$45,Matching_Engine!$BD$20)),1,0))+IF(Brand_Profile!$E$46="",0,IF(ISNUMBER(SEARCH(Brand_Profile!$E$46,Matching_Engine!$BD$20)),1,0)))/Brand_Profile!$E$47*100,0)))</f>
        <v>#VALUE!</v>
      </c>
      <c r="L20" s="65" t="e">
        <f>IF(NOT(AND(ISTEXT('[1]#REF'!$U$20),'[1]#REF'!$U$20&lt;&gt;"N/A")),"N/A",IF(Brand_Profile!$E$53=0,Lookup_Lists!$D$150,ROUND((IF(Brand_Profile!$E$48="",0,IF(ISNUMBER(SEARCH(Brand_Profile!$E$48,Matching_Engine!$BF$20)),1,0))+IF(Brand_Profile!$E$49="",0,IF(ISNUMBER(SEARCH(Brand_Profile!$E$49,Matching_Engine!$BF$20)),1,0))+IF(Brand_Profile!$E$50="",0,IF(ISNUMBER(SEARCH(Brand_Profile!$E$50,Matching_Engine!$BF$20)),1,0))+IF(Brand_Profile!$E$51="",0,IF(ISNUMBER(SEARCH(Brand_Profile!$E$51,Matching_Engine!$BF$20)),1,0))+IF(Brand_Profile!$E$52="",0,IF(ISNUMBER(SEARCH(Brand_Profile!$E$52,Matching_Engine!$BF$20)),1,0)))/Brand_Profile!$E$53*100,0)))</f>
        <v>#REF!</v>
      </c>
      <c r="M20" s="63" t="str">
        <f>IF((IF(ISNUMBER(Matching_Engine!$J$20),Lookup_Lists!$D$332,0)+IF(ISNUMBER(Matching_Engine!$K$20),Lookup_Lists!$D$333,0)+IF(ISNUMBER(Matching_Engine!$L$20),Lookup_Lists!$D$334,0))=0,"N/A",ROUND((IF(ISNUMBER(Matching_Engine!$J$20),Matching_Engine!$J$20*Lookup_Lists!$D$332,0)+IF(ISNUMBER(Matching_Engine!$K$20),Matching_Engine!$K$20*Lookup_Lists!$D$333,0)+IF(ISNUMBER(Matching_Engine!$L$20),Matching_Engine!$L$20*Lookup_Lists!$D$334,0))/(IF(ISNUMBER(Matching_Engine!$J$20),Lookup_Lists!$D$332,0)+IF(ISNUMBER(Matching_Engine!$K$20),Lookup_Lists!$D$333,0)+IF(ISNUMBER(Matching_Engine!$L$20),Lookup_Lists!$D$334,0)),0))</f>
        <v>N/A</v>
      </c>
      <c r="N20" s="42">
        <f>IF(ISNUMBER(Matching_Engine!$M$20),1,0)</f>
        <v>1</v>
      </c>
      <c r="O20" s="65" t="str">
        <f ca="1">IF(NOT(ISNUMBER(IFERROR(INDEX('[1]#REF'!$V$20:'[1]#REF'!$Z$20,1,MATCH(Brand_Profile!$E$11,Lookup_Lists!$F$6:$F$10,0)),""))),"N/A",MIN(100,ROUND((IFERROR(INDEX('[1]#REF'!$V$20:'[1]#REF'!$Z$20,1,MATCH(Brand_Profile!$E$11,Lookup_Lists!$F$6:$F$10,0)),"")+0.5*IF(ISNUMBER(IFERROR(INDEX('[1]#REF'!$V$20:'[1]#REF'!$Z$20,1,MATCH(Brand_Profile!$E$12,Lookup_Lists!$F$6:$F$10,0)),"")),IFERROR(INDEX('[1]#REF'!$V$20:'[1]#REF'!$Z$20,1,MATCH(Brand_Profile!$E$12,Lookup_Lists!$F$6:$F$10,0)),""),0))/Lookup_Lists!$D$142*100,0)))</f>
        <v>N/A</v>
      </c>
      <c r="P20" s="65" t="str">
        <f>IF(Brand_Profile!$E$13="Any",100,IF(NOT(ISNUMBER('[1]#REF'!$AA$20)),"N/A",IF(Brand_Profile!$E$13="Female",MIN(100,ROUND('[1]#REF'!$AA$20/Lookup_Lists!$D$143*100,0)),IF(Brand_Profile!$E$13="Male",MIN(100,ROUND(IF(ISNUMBER('[1]#REF'!$AB$20),'[1]#REF'!$AB$20,100-'[1]#REF'!$AA$20)/Lookup_Lists!$D$143*100,0)),MAX(0,ROUND(100-ABS('[1]#REF'!$AA$20-50)*2,0))))))</f>
        <v>N/A</v>
      </c>
      <c r="Q20" s="65" t="str">
        <f>IF((IF(ISNUMBER(IF(NOT(ISNUMBER('[1]#REF'!$AE$20)),"N/A",IF('[1]#REF'!$AD$20&lt;&gt;Brand_Profile!$E$14,Lookup_Lists!$D$151,MIN(100,ROUND('[1]#REF'!$AE$20/Lookup_Lists!$D$316*100,0))))),Lookup_Lists!$D$118,0)+IF(ISNUMBER(IF(NOT(ISNUMBER('[1]#REF'!$AM$20)),"N/A",MIN(100,ROUND((IF('[1]#REF'!$AG$20=Brand_Profile!$E$15,IF(ISNUMBER('[1]#REF'!$AH$20),'[1]#REF'!$AH$20,0),0)+IF('[1]#REF'!$AI$20=Brand_Profile!$E$15,IF(ISNUMBER('[1]#REF'!$AJ$20),'[1]#REF'!$AJ$20,0),0)+IF('[1]#REF'!$AK$20=Brand_Profile!$E$15,IF(ISNUMBER('[1]#REF'!$AL$20),'[1]#REF'!$AL$20,0),0))/Lookup_Lists!$D$317*100,0)))),Lookup_Lists!$D$120,0))=0,"N/A",ROUND((IF(ISNUMBER(IF(NOT(ISNUMBER('[1]#REF'!$AE$20)),"N/A",IF('[1]#REF'!$AD$20&lt;&gt;Brand_Profile!$E$14,Lookup_Lists!$D$151,MIN(100,ROUND('[1]#REF'!$AE$20/Lookup_Lists!$D$316*100,0))))),IF(NOT(ISNUMBER('[1]#REF'!$AE$20)),"N/A",IF('[1]#REF'!$AD$20&lt;&gt;Brand_Profile!$E$14,Lookup_Lists!$D$151,MIN(100,ROUND('[1]#REF'!$AE$20/Lookup_Lists!$D$316*100,0))))*Lookup_Lists!$D$118,0)+IF(ISNUMBER(IF(NOT(ISNUMBER('[1]#REF'!$AM$20)),"N/A",MIN(100,ROUND((IF('[1]#REF'!$AG$20=Brand_Profile!$E$15,IF(ISNUMBER('[1]#REF'!$AH$20),'[1]#REF'!$AH$20,0),0)+IF('[1]#REF'!$AI$20=Brand_Profile!$E$15,IF(ISNUMBER('[1]#REF'!$AJ$20),'[1]#REF'!$AJ$20,0),0)+IF('[1]#REF'!$AK$20=Brand_Profile!$E$15,IF(ISNUMBER('[1]#REF'!$AL$20),'[1]#REF'!$AL$20,0),0))/Lookup_Lists!$D$317*100,0)))),IF(NOT(ISNUMBER('[1]#REF'!$AM$20)),"N/A",MIN(100,ROUND((IF('[1]#REF'!$AG$20=Brand_Profile!$E$15,IF(ISNUMBER('[1]#REF'!$AH$20),'[1]#REF'!$AH$20,0),0)+IF('[1]#REF'!$AI$20=Brand_Profile!$E$15,IF(ISNUMBER('[1]#REF'!$AJ$20),'[1]#REF'!$AJ$20,0),0)+IF('[1]#REF'!$AK$20=Brand_Profile!$E$15,IF(ISNUMBER('[1]#REF'!$AL$20),'[1]#REF'!$AL$20,0),0))/Lookup_Lists!$D$317*100,0)))*Lookup_Lists!$D$120,0))/(IF(ISNUMBER(IF(NOT(ISNUMBER('[1]#REF'!$AE$20)),"N/A",IF('[1]#REF'!$AD$20&lt;&gt;Brand_Profile!$E$14,Lookup_Lists!$D$151,MIN(100,ROUND('[1]#REF'!$AE$20/Lookup_Lists!$D$316*100,0))))),Lookup_Lists!$D$118,0)+IF(ISNUMBER(IF(NOT(ISNUMBER('[1]#REF'!$AM$20)),"N/A",MIN(100,ROUND((IF('[1]#REF'!$AG$20=Brand_Profile!$E$15,IF(ISNUMBER('[1]#REF'!$AH$20),'[1]#REF'!$AH$20,0),0)+IF('[1]#REF'!$AI$20=Brand_Profile!$E$15,IF(ISNUMBER('[1]#REF'!$AJ$20),'[1]#REF'!$AJ$20,0),0)+IF('[1]#REF'!$AK$20=Brand_Profile!$E$15,IF(ISNUMBER('[1]#REF'!$AL$20),'[1]#REF'!$AL$20,0),0))/Lookup_Lists!$D$317*100,0)))),Lookup_Lists!$D$120,0)),0))</f>
        <v>N/A</v>
      </c>
      <c r="R20" s="65" t="str">
        <f>IF(NOT(ISNUMBER('[1]#REF'!$AN$20)),"N/A",MIN(100,ROUND((IF(ISNUMBER('[1]#REF'!$AO$20),'[1]#REF'!$AO$20*Brand_Profile!$E$17,0)+IF(ISNUMBER('[1]#REF'!$AP$20),'[1]#REF'!$AP$20*Brand_Profile!$E$18,0)+IF(ISNUMBER('[1]#REF'!$AQ$20),'[1]#REF'!$AQ$20*Brand_Profile!$E$19,0)+IF(ISNUMBER('[1]#REF'!$AR$20),'[1]#REF'!$AR$20*Brand_Profile!$E$20,0)+IF(ISNUMBER('[1]#REF'!$AS$20),'[1]#REF'!$AS$20*Brand_Profile!$E$21,0)+IF(ISNUMBER('[1]#REF'!$AT$20),'[1]#REF'!$AT$20*Brand_Profile!$E$22,0)+IF(ISNUMBER('[1]#REF'!$AU$20),'[1]#REF'!$AU$20*Brand_Profile!$E$23,0)+IF(ISNUMBER('[1]#REF'!$AV$20),'[1]#REF'!$AV$20*Brand_Profile!$E$24,0)+IF(ISNUMBER('[1]#REF'!$AW$20),'[1]#REF'!$AW$20*Brand_Profile!$E$25,0)+IF(ISNUMBER('[1]#REF'!$AX$20),'[1]#REF'!$AX$20*Brand_Profile!$E$26,0)+IF(ISNUMBER('[1]#REF'!$AY$20),'[1]#REF'!$AY$20*Brand_Profile!$E$27,0)+IF(ISNUMBER('[1]#REF'!$AZ$20),'[1]#REF'!$AZ$20*Brand_Profile!$E$28,0)+IF(ISNUMBER('[1]#REF'!$BA$20),'[1]#REF'!$BA$20*Brand_Profile!$E$29,0)+IF(ISNUMBER('[1]#REF'!$BB$20),'[1]#REF'!$BB$20*Brand_Profile!$E$30,0)+IF(ISNUMBER('[1]#REF'!$BC$20),'[1]#REF'!$BC$20*Brand_Profile!$E$31,0)+IF(ISNUMBER('[1]#REF'!$BD$20),'[1]#REF'!$BD$20*Brand_Profile!$E$32,0)+IF(ISNUMBER('[1]#REF'!$BE$20),'[1]#REF'!$BE$20*Brand_Profile!$E$33,0)+IF(ISNUMBER('[1]#REF'!$BF$20),'[1]#REF'!$BF$20*Brand_Profile!$E$34,0))/Lookup_Lists!$D$318*100,0)))</f>
        <v>N/A</v>
      </c>
      <c r="S20" s="63">
        <f ca="1">IF((IF(ISNUMBER(Matching_Engine!$O$20),Lookup_Lists!$D$113,0)+IF(ISNUMBER(Matching_Engine!$P$20),Lookup_Lists!$D$114,0)+IF(ISNUMBER(Matching_Engine!$Q$20),Lookup_Lists!$D$115,0)+IF(ISNUMBER(Matching_Engine!$R$20),Lookup_Lists!$D$116,0))=0,"N/A",ROUND((IF(ISNUMBER(Matching_Engine!$O$20),Matching_Engine!$O$20*Lookup_Lists!$D$113,0)+IF(ISNUMBER(Matching_Engine!$P$20),Matching_Engine!$P$20*Lookup_Lists!$D$114,0)+IF(ISNUMBER(Matching_Engine!$Q$20),Matching_Engine!$Q$20*Lookup_Lists!$D$115,0)+IF(ISNUMBER(Matching_Engine!$R$20),Matching_Engine!$R$20*Lookup_Lists!$D$116,0))/(IF(ISNUMBER(Matching_Engine!$O$20),Lookup_Lists!$D$113,0)+IF(ISNUMBER(Matching_Engine!$P$20),Lookup_Lists!$D$114,0)+IF(ISNUMBER(Matching_Engine!$Q$20),Lookup_Lists!$D$115,0)+IF(ISNUMBER(Matching_Engine!$R$20),Lookup_Lists!$D$116,0)),0))</f>
        <v>70</v>
      </c>
      <c r="T20" s="42">
        <f ca="1">IF(ISNUMBER(Matching_Engine!$S$20),1,0)</f>
        <v>1</v>
      </c>
      <c r="U20" s="65" t="e">
        <f>IF(NOT(AND(ISTEXT('[1]#REF'!$M$20),'[1]#REF'!$M$20&lt;&gt;"N/A")),Lookup_Lists!$D$150,IF(Brand_Profile!$E$7='[1]#REF'!$M$20,100,IFERROR(INDEX(Lookup_Lists!$B$349:$J$357,MATCH(Brand_Profile!$E$7,Lookup_Lists!$A$349:$A$357,0),MATCH('[1]#REF'!$M$20,Lookup_Lists!$B$348:$J$348,0)),Lookup_Lists!$D$151)))</f>
        <v>#REF!</v>
      </c>
      <c r="V20" s="65" t="e">
        <f>IF(NOT(AND(ISTEXT('[1]#REF'!$P$20),'[1]#REF'!$P$20&lt;&gt;"N/A")),"N/A",IFERROR(INDEX(Lookup_Lists!$B$349:$J$357,MATCH(Brand_Profile!$E$7,Lookup_Lists!$A$349:$A$357,0),MATCH('[1]#REF'!$P$20,Lookup_Lists!$B$348:$J$348,0)),Lookup_Lists!$D$151))</f>
        <v>#REF!</v>
      </c>
      <c r="W20" s="65" t="e">
        <f>IF(LEN(TRIM(SUBSTITUTE(Matching_Engine!$BE$20,"|","")))=0,"N/A",IF(Brand_Profile!$E$60=0,Lookup_Lists!$D$150,ROUND((IF(Brand_Profile!$E$54="",0,IF(ISNUMBER(SEARCH(Brand_Profile!$E$54,Matching_Engine!$BE$20)),1,0))+IF(Brand_Profile!$E$55="",0,IF(ISNUMBER(SEARCH(Brand_Profile!$E$55,Matching_Engine!$BE$20)),1,0))+IF(Brand_Profile!$E$56="",0,IF(ISNUMBER(SEARCH(Brand_Profile!$E$56,Matching_Engine!$BE$20)),1,0))+IF(Brand_Profile!$E$57="",0,IF(ISNUMBER(SEARCH(Brand_Profile!$E$57,Matching_Engine!$BE$20)),1,0))+IF(Brand_Profile!$E$58="",0,IF(ISNUMBER(SEARCH(Brand_Profile!$E$58,Matching_Engine!$BE$20)),1,0))+IF(Brand_Profile!$E$59="",0,IF(ISNUMBER(SEARCH(Brand_Profile!$E$59,Matching_Engine!$BE$20)),1,0)))/Brand_Profile!$E$60*100,0)))</f>
        <v>#VALUE!</v>
      </c>
      <c r="X20" s="65" t="e">
        <f>IF(NOT(AND(ISTEXT('[1]#REF'!$Q$20),'[1]#REF'!$Q$20&lt;&gt;"N/A")),"N/A",Lookup_Lists!$D$150)</f>
        <v>#REF!</v>
      </c>
      <c r="Y20" s="63">
        <f>IF((IF(ISNUMBER(Matching_Engine!$U$20),Lookup_Lists!$D$335,0)+IF(ISNUMBER(Matching_Engine!$V$20),Lookup_Lists!$D$122,0)+IF(ISNUMBER(Matching_Engine!$W$20),Lookup_Lists!$D$336,0)+IF(ISNUMBER(Matching_Engine!$X$20),Lookup_Lists!$D$124,0))=0,"N/A",ROUND((IF(ISNUMBER(Matching_Engine!$U$20),Matching_Engine!$U$20*Lookup_Lists!$D$335,0)+IF(ISNUMBER(Matching_Engine!$V$20),Matching_Engine!$V$20*Lookup_Lists!$D$122,0)+IF(ISNUMBER(Matching_Engine!$W$20),Matching_Engine!$W$20*Lookup_Lists!$D$336,0)+IF(ISNUMBER(Matching_Engine!$X$20),Matching_Engine!$X$20*Lookup_Lists!$D$124,0))/(IF(ISNUMBER(Matching_Engine!$U$20),Lookup_Lists!$D$335,0)+IF(ISNUMBER(Matching_Engine!$V$20),Lookup_Lists!$D$122,0)+IF(ISNUMBER(Matching_Engine!$W$20),Lookup_Lists!$D$336,0)+IF(ISNUMBER(Matching_Engine!$X$20),Lookup_Lists!$D$124,0)),0))</f>
        <v>13</v>
      </c>
      <c r="Z20" s="42">
        <f>IF(ISNUMBER(Matching_Engine!$Y$20),1,0)</f>
        <v>1</v>
      </c>
      <c r="AA20" s="65" t="e">
        <f>IF(NOT(AND(ISTEXT('[1]#REF'!$Q$20),'[1]#REF'!$Q$20&lt;&gt;"N/A")),"N/A",Lookup_Lists!$D$150)</f>
        <v>#REF!</v>
      </c>
      <c r="AB20" s="65" t="e">
        <f>IF(NOT(AND(ISTEXT('[1]#REF'!$Q$20),'[1]#REF'!$Q$20&lt;&gt;"N/A")),"N/A",Lookup_Lists!$D$150)</f>
        <v>#REF!</v>
      </c>
      <c r="AC20" s="65" t="str">
        <f t="shared" si="0"/>
        <v>N/A</v>
      </c>
      <c r="AD20" s="65" t="e">
        <f>IF(NOT(AND(ISTEXT('[1]#REF'!$Q$20),'[1]#REF'!$Q$20&lt;&gt;"N/A")),"N/A",Lookup_Lists!$D$150)</f>
        <v>#REF!</v>
      </c>
      <c r="AE20" s="63">
        <f>IF((IF(ISNUMBER(Matching_Engine!$AA$20),Lookup_Lists!$D$125,0)+IF(ISNUMBER(Matching_Engine!$AB$20),Lookup_Lists!$D$126,0)+IF(ISNUMBER(Matching_Engine!$AC$20),Lookup_Lists!$D$127,0)+IF(ISNUMBER(Matching_Engine!$AD$20),Lookup_Lists!$D$128,0))=0,"N/A",ROUND((IF(ISNUMBER(Matching_Engine!$AA$20),Matching_Engine!$AA$20*Lookup_Lists!$D$125,0)+IF(ISNUMBER(Matching_Engine!$AB$20),Matching_Engine!$AB$20*Lookup_Lists!$D$126,0)+IF(ISNUMBER(Matching_Engine!$AC$20),Matching_Engine!$AC$20*Lookup_Lists!$D$127,0)+IF(ISNUMBER(Matching_Engine!$AD$20),Matching_Engine!$AD$20*Lookup_Lists!$D$128,0))/(IF(ISNUMBER(Matching_Engine!$AA$20),Lookup_Lists!$D$125,0)+IF(ISNUMBER(Matching_Engine!$AB$20),Lookup_Lists!$D$126,0)+IF(ISNUMBER(Matching_Engine!$AC$20),Lookup_Lists!$D$127,0)+IF(ISNUMBER(Matching_Engine!$AD$20),Lookup_Lists!$D$128,0)),0))</f>
        <v>37</v>
      </c>
      <c r="AF20" s="42">
        <f>IF(ISNUMBER(Matching_Engine!$AE$20),1,0)</f>
        <v>1</v>
      </c>
      <c r="AG20" s="65" t="str">
        <f>IF(NOT(ISNUMBER('[1]#REF'!$BG$20)),"N/A",MIN(100,ROUND('[1]#REF'!$BG$20/IFERROR(INDEX(Lookup_Lists!$B$340:$B$344,MATCH('[1]#REF'!$H$20,Lookup_Lists!$A$340:$A$344,0)),Lookup_Lists!$D$141)*100,0)))</f>
        <v>N/A</v>
      </c>
      <c r="AH20" s="65" t="str">
        <f>IF(NOT(ISNUMBER('[1]#REF'!$BS$20)),"N/A",MIN(100,MAX(0,'[1]#REF'!$BS$20)))</f>
        <v>N/A</v>
      </c>
      <c r="AI20" s="65" t="e">
        <f>IF(OR(NOT(ISNUMBER('[1]#REF'!$BM$20)),NOT(ISNUMBER('[1]#REF'!$BN$20)),'[1]#REF'!$BN$20&lt;Lookup_Lists!$D$320),"N/A",MIN(100,ROUND('[1]#REF'!$BM$20/Lookup_Lists!$D$319*100,0)))</f>
        <v>#REF!</v>
      </c>
      <c r="AJ20" s="65" t="str">
        <f>IF(NOT(ISNUMBER('[1]#REF'!$BR$20)),"N/A",'[1]#REF'!$BR$20)</f>
        <v>N/A</v>
      </c>
      <c r="AK20" s="65" t="str">
        <f>IF(NOT(ISNUMBER('[1]#REF'!$BK$20)),"N/A",MIN(100,ROUND('[1]#REF'!$BK$20/Lookup_Lists!$D$321*100,0)))</f>
        <v>N/A</v>
      </c>
      <c r="AL20" s="65" t="str">
        <f>IF(NOT(ISNUMBER('[1]#REF'!$BP$20)),"N/A",MIN(100,MAX(0,ROUND(('[1]#REF'!$BP$20+2)/(Lookup_Lists!$D$145+2)*100,0))))</f>
        <v>N/A</v>
      </c>
      <c r="AM20" s="63">
        <f>IF((IF(ISNUMBER(Matching_Engine!$AG$20),Lookup_Lists!$D$129,0)+IF(ISNUMBER(Matching_Engine!$AH$20),Lookup_Lists!$D$130,0)+IF(ISNUMBER(Matching_Engine!$AI$20),Lookup_Lists!$D$131,0)+IF(ISNUMBER(Matching_Engine!$AJ$20),Lookup_Lists!$D$132,0)+IF(ISNUMBER(Matching_Engine!$AK$20),Lookup_Lists!$D$133,0)+IF(ISNUMBER(Matching_Engine!$AL$20),Lookup_Lists!$D$134,0))=0,"N/A",ROUND((IF(ISNUMBER(Matching_Engine!$AG$20),Matching_Engine!$AG$20*Lookup_Lists!$D$129,0)+IF(ISNUMBER(Matching_Engine!$AH$20),Matching_Engine!$AH$20*Lookup_Lists!$D$130,0)+IF(ISNUMBER(Matching_Engine!$AI$20),Matching_Engine!$AI$20*Lookup_Lists!$D$131,0)+IF(ISNUMBER(Matching_Engine!$AJ$20),Matching_Engine!$AJ$20*Lookup_Lists!$D$132,0)+IF(ISNUMBER(Matching_Engine!$AK$20),Matching_Engine!$AK$20*Lookup_Lists!$D$133,0)+IF(ISNUMBER(Matching_Engine!$AL$20),Matching_Engine!$AL$20*Lookup_Lists!$D$134,0))/(IF(ISNUMBER(Matching_Engine!$AG$20),Lookup_Lists!$D$129,0)+IF(ISNUMBER(Matching_Engine!$AH$20),Lookup_Lists!$D$130,0)+IF(ISNUMBER(Matching_Engine!$AI$20),Lookup_Lists!$D$131,0)+IF(ISNUMBER(Matching_Engine!$AJ$20),Lookup_Lists!$D$132,0)+IF(ISNUMBER(Matching_Engine!$AK$20),Lookup_Lists!$D$133,0)+IF(ISNUMBER(Matching_Engine!$AL$20),Lookup_Lists!$D$134,0)),0))</f>
        <v>55</v>
      </c>
      <c r="AN20" s="42">
        <f>IF(ISNUMBER(Matching_Engine!$AM$20),1,0)</f>
        <v>0</v>
      </c>
      <c r="AO20" s="65" t="str">
        <f>IF(NOT(ISNUMBER('[1]#REF'!$BT$20)),"N/A",MIN(100,MAX(0,'[1]#REF'!$BT$20)))</f>
        <v>N/A</v>
      </c>
      <c r="AP20" s="65" t="str">
        <f>IF(NOT(ISNUMBER('[1]#REF'!$BU$20)),"N/A",MIN(100,MAX(0,'[1]#REF'!$BU$20)))</f>
        <v>N/A</v>
      </c>
      <c r="AQ20" s="65" t="e">
        <f>IF('[1]#REF'!$I$20="Yes",Lookup_Lists!$D$326,IF('[1]#REF'!$I$20="No",Lookup_Lists!$D$327,"N/A"))</f>
        <v>#REF!</v>
      </c>
      <c r="AR20" s="65" t="str">
        <f>IF(NOT(ISNUMBER('[1]#REF'!$BQ$20)),"N/A",MAX(0,ROUND(100-'[1]#REF'!$BQ$20/Lookup_Lists!$D$328*100,0)))</f>
        <v>N/A</v>
      </c>
      <c r="AS20" s="65" t="e">
        <f>IF(NOT(AND(ISTEXT('[1]#REF'!$BV$20),'[1]#REF'!$BV$20&lt;&gt;"N/A")),"N/A",'[1]#REF'!$BV$20)</f>
        <v>#REF!</v>
      </c>
      <c r="AT20" s="63" t="str">
        <f ca="1">IF((IF(ISNUMBER(Matching_Engine!$AO$20),Lookup_Lists!$D$322,0)+IF(ISNUMBER(Matching_Engine!$AP$20),Lookup_Lists!$D$323,0)+IF(ISNUMBER(Matching_Engine!$AQ$20),Lookup_Lists!$D$324,0)+IF(ISNUMBER(Matching_Engine!$AR$20),Lookup_Lists!$D$325,0))=0,"N/A",ROUND((IF(ISNUMBER(Matching_Engine!$AO$20),Matching_Engine!$AO$20*Lookup_Lists!$D$322,0)+IF(ISNUMBER(Matching_Engine!$AP$20),Matching_Engine!$AP$20*Lookup_Lists!$D$323,0)+IF(ISNUMBER(Matching_Engine!$AQ$20),Matching_Engine!$AQ$20*Lookup_Lists!$D$324,0)+IF(ISNUMBER(Matching_Engine!$AR$20),Matching_Engine!$AR$20*Lookup_Lists!$D$325,0))/(IF(ISNUMBER(Matching_Engine!$AO$20),Lookup_Lists!$D$322,0)+IF(ISNUMBER(Matching_Engine!$AP$20),Lookup_Lists!$D$323,0)+IF(ISNUMBER(Matching_Engine!$AQ$20),Lookup_Lists!$D$324,0)+IF(ISNUMBER(Matching_Engine!$AR$20),Lookup_Lists!$D$325,0)),0))</f>
        <v>N/A</v>
      </c>
      <c r="AU20" s="42">
        <f>IF(ISNUMBER(Matching_Engine!$AT$20),1,0)</f>
        <v>1</v>
      </c>
      <c r="AV20" s="42" t="str">
        <f>IF(NOT(ISNUMBER(Matching_Engine!$AT$20)),"Not Screened",IF(Matching_Engine!$AT$20&gt;=Lookup_Lists!$D$329,"Low Risk",IF(Matching_Engine!$AT$20&gt;=Lookup_Lists!$D$330,"Moderate Risk",IF(Matching_Engine!$AT$20&gt;=Lookup_Lists!$D$331,"Elevated Risk","High Risk"))))</f>
        <v>Low Risk</v>
      </c>
      <c r="AW20" s="42" t="e">
        <f ca="1">IF(NOT(ISNUMBER(Matching_Engine!$AT$20)),"No integrity signal: no audience-analysis row for this account.","Integrity screen only — no content-risk reading exists (comments_analysis: 0 rows). "&amp;IF(ISNUMBER(Matching_Engine!$AO$20),"Authenticity "&amp;Matching_Engine!$AO$20&amp;". ","Authenticity N/A. ")&amp;IF(ISNUMBER(Matching_Engine!$AP$20),"Follower quality "&amp;Matching_Engine!$AP$20&amp;". ","Follower quality N/A. ")&amp;IF('[1]#REF'!$I$20="Yes","Platform-verified.","Not platform-verified."))</f>
        <v>#REF!</v>
      </c>
      <c r="AX20" s="65">
        <f>Matching_Engine!$N$20*Lookup_Lists!$D$104+Matching_Engine!$T$20*Lookup_Lists!$D$105+Matching_Engine!$Z$20*Lookup_Lists!$D$106+Matching_Engine!$AF$20*Lookup_Lists!$D$107+Matching_Engine!$AN$20*Lookup_Lists!$D$108+Matching_Engine!$AU$20*Lookup_Lists!$D$109</f>
        <v>3980</v>
      </c>
      <c r="AY20" s="74" t="e">
        <f ca="1">IF(Matching_Engine!$AX$20=0,"N/A",ROUND((IF(Matching_Engine!$N$20=1,Matching_Engine!$M$20*Lookup_Lists!$D$104,0)+IF(Matching_Engine!$T$20=1,Matching_Engine!$S$20*Lookup_Lists!$D$105,0)+IF(Matching_Engine!$Z$20=1,Matching_Engine!$Y$20*Lookup_Lists!$D$106,0)+IF(Matching_Engine!$AF$20=1,Matching_Engine!$AE$20*Lookup_Lists!$D$107,0)+IF(Matching_Engine!$AN$20=1,Matching_Engine!$AM$20*Lookup_Lists!$D$108,0)+IF(Matching_Engine!$AU$20=1,Matching_Engine!$AT$20*Lookup_Lists!$D$109,0))/Matching_Engine!$AX$20,0))</f>
        <v>#VALUE!</v>
      </c>
      <c r="AZ20" s="42" t="str">
        <f ca="1">IF(NOT(ISNUMBER(Matching_Engine!$AY$20)),"Not Scored",IF(Matching_Engine!$AY$20&gt;=Lookup_Lists!$D$152,"Excellent Match",IF(Matching_Engine!$AY$20&gt;=Lookup_Lists!$D$153,"Strong Match",IF(Matching_Engine!$AY$20&gt;=Lookup_Lists!$D$154,"Good Match",IF(Matching_Engine!$AY$20&gt;=Lookup_Lists!$D$155,"Moderate Match","Low Match")))))</f>
        <v>Low Match</v>
      </c>
      <c r="BA20" s="65" t="e">
        <f>'[1]#REF'!$BW$20</f>
        <v>#REF!</v>
      </c>
      <c r="BB20" s="42" t="e">
        <f>'[1]#REF'!$BX$20</f>
        <v>#REF!</v>
      </c>
      <c r="BC20" s="65">
        <f ca="1">IF(NOT(ISNUMBER(Matching_Engine!$AY$20)),-1,Matching_Engine!$AY$20*1000+10)</f>
        <v>48010</v>
      </c>
      <c r="BD20" s="42" t="e">
        <f>IF(AND(ISTEXT('[1]#REF'!$S$20),'[1]#REF'!$S$20&lt;&gt;"N/A"),'[1]#REF'!$S$20,"")&amp;" | "&amp;IF(AND(ISTEXT('[1]#REF'!$T$20),'[1]#REF'!$T$20&lt;&gt;"N/A"),'[1]#REF'!$T$20,"")&amp;" | "&amp;IF(AND(ISTEXT('[1]#REF'!$N$20),'[1]#REF'!$N$20&lt;&gt;"N/A"),'[1]#REF'!$N$20,"")&amp;" | "&amp;IF(AND(ISTEXT('[1]#REF'!$K$20),'[1]#REF'!$K$20&lt;&gt;"N/A"),'[1]#REF'!$K$20,"")&amp;" | "&amp;IF(AND(ISTEXT('[1]#REF'!$J$20),'[1]#REF'!$J$20&lt;&gt;"N/A"),'[1]#REF'!$J$20,"")</f>
        <v>#REF!</v>
      </c>
      <c r="BE20" s="42" t="e">
        <f>IF(AND(ISTEXT('[1]#REF'!$T$20),'[1]#REF'!$T$20&lt;&gt;"N/A"),'[1]#REF'!$T$20,"")&amp;" | "&amp;IF(AND(ISTEXT('[1]#REF'!$N$20),'[1]#REF'!$N$20&lt;&gt;"N/A"),'[1]#REF'!$N$20,"")&amp;" | "&amp;IF(AND(ISTEXT('[1]#REF'!$O$20),'[1]#REF'!$O$20&lt;&gt;"N/A"),'[1]#REF'!$O$20,"")&amp;" | "&amp;IF(AND(ISTEXT('[1]#REF'!$S$20),'[1]#REF'!$S$20&lt;&gt;"N/A"),'[1]#REF'!$S$20,"")</f>
        <v>#REF!</v>
      </c>
      <c r="BF20" s="42" t="e">
        <f>IF(AND(ISTEXT('[1]#REF'!$U$20),'[1]#REF'!$U$20&lt;&gt;"N/A"),'[1]#REF'!$U$20,"")</f>
        <v>#REF!</v>
      </c>
      <c r="BG20" s="42" t="str">
        <f>Matching_Engine!$A$20&amp;"|"&amp;Matching_Engine!$C$20</f>
        <v>BRAND-A|KOL-15</v>
      </c>
    </row>
    <row r="21" spans="1:59">
      <c r="A21" s="64" t="s">
        <v>2527</v>
      </c>
      <c r="B21" s="42" t="str">
        <f>Brand_Profile!$E$6</f>
        <v>BRAND-B</v>
      </c>
      <c r="C21" s="42" t="e">
        <f>'[1]#REF'!$A$21</f>
        <v>#REF!</v>
      </c>
      <c r="D21" s="42" t="e">
        <f>'[1]#REF'!$C$21</f>
        <v>#REF!</v>
      </c>
      <c r="E21" s="42" t="e">
        <f>'[1]#REF'!$D$21</f>
        <v>#REF!</v>
      </c>
      <c r="F21" s="42" t="e">
        <f>'[1]#REF'!$E$21</f>
        <v>#REF!</v>
      </c>
      <c r="G21" s="42" t="e">
        <f>'[1]#REF'!$K$21</f>
        <v>#REF!</v>
      </c>
      <c r="H21" s="72" t="e">
        <f>'[1]#REF'!$G$21</f>
        <v>#REF!</v>
      </c>
      <c r="I21" s="73" t="e">
        <f>'[1]#REF'!$BG$21</f>
        <v>#REF!</v>
      </c>
      <c r="J21" s="65" t="e">
        <f>IF(NOT(AND(ISTEXT('[1]#REF'!$K$21),'[1]#REF'!$K$21&lt;&gt;"N/A")),Lookup_Lists!$D$150,IF(Brand_Profile!$E$7='[1]#REF'!$K$21,100,IFERROR(INDEX(Lookup_Lists!$B$349:$J$357,MATCH(Brand_Profile!$E$7,Lookup_Lists!$A$349:$A$357,0),MATCH('[1]#REF'!$K$21,Lookup_Lists!$B$348:$J$348,0)),Lookup_Lists!$D$151)))</f>
        <v>#REF!</v>
      </c>
      <c r="K21" s="65" t="e">
        <f>IF(LEN(TRIM(SUBSTITUTE(Matching_Engine!$BD$21,"|","")))=0,"N/A",IF(Brand_Profile!$E$47=0,Lookup_Lists!$D$150,ROUND((IF(Brand_Profile!$E$41="",0,IF(ISNUMBER(SEARCH(Brand_Profile!$E$41,Matching_Engine!$BD$21)),1,0))+IF(Brand_Profile!$E$42="",0,IF(ISNUMBER(SEARCH(Brand_Profile!$E$42,Matching_Engine!$BD$21)),1,0))+IF(Brand_Profile!$E$43="",0,IF(ISNUMBER(SEARCH(Brand_Profile!$E$43,Matching_Engine!$BD$21)),1,0))+IF(Brand_Profile!$E$44="",0,IF(ISNUMBER(SEARCH(Brand_Profile!$E$44,Matching_Engine!$BD$21)),1,0))+IF(Brand_Profile!$E$45="",0,IF(ISNUMBER(SEARCH(Brand_Profile!$E$45,Matching_Engine!$BD$21)),1,0))+IF(Brand_Profile!$E$46="",0,IF(ISNUMBER(SEARCH(Brand_Profile!$E$46,Matching_Engine!$BD$21)),1,0)))/Brand_Profile!$E$47*100,0)))</f>
        <v>#VALUE!</v>
      </c>
      <c r="L21" s="65" t="e">
        <f>IF(NOT(AND(ISTEXT('[1]#REF'!$U$21),'[1]#REF'!$U$21&lt;&gt;"N/A")),"N/A",IF(Brand_Profile!$E$53=0,Lookup_Lists!$D$150,ROUND((IF(Brand_Profile!$E$48="",0,IF(ISNUMBER(SEARCH(Brand_Profile!$E$48,Matching_Engine!$BF$21)),1,0))+IF(Brand_Profile!$E$49="",0,IF(ISNUMBER(SEARCH(Brand_Profile!$E$49,Matching_Engine!$BF$21)),1,0))+IF(Brand_Profile!$E$50="",0,IF(ISNUMBER(SEARCH(Brand_Profile!$E$50,Matching_Engine!$BF$21)),1,0))+IF(Brand_Profile!$E$51="",0,IF(ISNUMBER(SEARCH(Brand_Profile!$E$51,Matching_Engine!$BF$21)),1,0))+IF(Brand_Profile!$E$52="",0,IF(ISNUMBER(SEARCH(Brand_Profile!$E$52,Matching_Engine!$BF$21)),1,0)))/Brand_Profile!$E$53*100,0)))</f>
        <v>#REF!</v>
      </c>
      <c r="M21" s="63" t="str">
        <f>IF((IF(ISNUMBER(Matching_Engine!$J$21),Lookup_Lists!$D$332,0)+IF(ISNUMBER(Matching_Engine!$K$21),Lookup_Lists!$D$333,0)+IF(ISNUMBER(Matching_Engine!$L$21),Lookup_Lists!$D$334,0))=0,"N/A",ROUND((IF(ISNUMBER(Matching_Engine!$J$21),Matching_Engine!$J$21*Lookup_Lists!$D$332,0)+IF(ISNUMBER(Matching_Engine!$K$21),Matching_Engine!$K$21*Lookup_Lists!$D$333,0)+IF(ISNUMBER(Matching_Engine!$L$21),Matching_Engine!$L$21*Lookup_Lists!$D$334,0))/(IF(ISNUMBER(Matching_Engine!$J$21),Lookup_Lists!$D$332,0)+IF(ISNUMBER(Matching_Engine!$K$21),Lookup_Lists!$D$333,0)+IF(ISNUMBER(Matching_Engine!$L$21),Lookup_Lists!$D$334,0)),0))</f>
        <v>N/A</v>
      </c>
      <c r="N21" s="42">
        <f>IF(ISNUMBER(Matching_Engine!$M$21),1,0)</f>
        <v>1</v>
      </c>
      <c r="O21" s="65" t="str">
        <f ca="1">IF(NOT(ISNUMBER(IFERROR(INDEX('[1]#REF'!$V$21:'[1]#REF'!$Z$21,1,MATCH(Brand_Profile!$E$11,Lookup_Lists!$F$6:$F$10,0)),""))),"N/A",MIN(100,ROUND((IFERROR(INDEX('[1]#REF'!$V$21:'[1]#REF'!$Z$21,1,MATCH(Brand_Profile!$E$11,Lookup_Lists!$F$6:$F$10,0)),"")+0.5*IF(ISNUMBER(IFERROR(INDEX('[1]#REF'!$V$21:'[1]#REF'!$Z$21,1,MATCH(Brand_Profile!$E$12,Lookup_Lists!$F$6:$F$10,0)),"")),IFERROR(INDEX('[1]#REF'!$V$21:'[1]#REF'!$Z$21,1,MATCH(Brand_Profile!$E$12,Lookup_Lists!$F$6:$F$10,0)),""),0))/Lookup_Lists!$D$142*100,0)))</f>
        <v>N/A</v>
      </c>
      <c r="P21" s="65" t="str">
        <f>IF(Brand_Profile!$E$13="Any",100,IF(NOT(ISNUMBER('[1]#REF'!$AA$21)),"N/A",IF(Brand_Profile!$E$13="Female",MIN(100,ROUND('[1]#REF'!$AA$21/Lookup_Lists!$D$143*100,0)),IF(Brand_Profile!$E$13="Male",MIN(100,ROUND(IF(ISNUMBER('[1]#REF'!$AB$21),'[1]#REF'!$AB$21,100-'[1]#REF'!$AA$21)/Lookup_Lists!$D$143*100,0)),MAX(0,ROUND(100-ABS('[1]#REF'!$AA$21-50)*2,0))))))</f>
        <v>N/A</v>
      </c>
      <c r="Q21" s="65" t="str">
        <f>IF((IF(ISNUMBER(IF(NOT(ISNUMBER('[1]#REF'!$AE$21)),"N/A",IF('[1]#REF'!$AD$21&lt;&gt;Brand_Profile!$E$14,Lookup_Lists!$D$151,MIN(100,ROUND('[1]#REF'!$AE$21/Lookup_Lists!$D$316*100,0))))),Lookup_Lists!$D$118,0)+IF(ISNUMBER(IF(NOT(ISNUMBER('[1]#REF'!$AM$21)),"N/A",MIN(100,ROUND((IF('[1]#REF'!$AG$21=Brand_Profile!$E$15,IF(ISNUMBER('[1]#REF'!$AH$21),'[1]#REF'!$AH$21,0),0)+IF('[1]#REF'!$AI$21=Brand_Profile!$E$15,IF(ISNUMBER('[1]#REF'!$AJ$21),'[1]#REF'!$AJ$21,0),0)+IF('[1]#REF'!$AK$21=Brand_Profile!$E$15,IF(ISNUMBER('[1]#REF'!$AL$21),'[1]#REF'!$AL$21,0),0))/Lookup_Lists!$D$317*100,0)))),Lookup_Lists!$D$120,0))=0,"N/A",ROUND((IF(ISNUMBER(IF(NOT(ISNUMBER('[1]#REF'!$AE$21)),"N/A",IF('[1]#REF'!$AD$21&lt;&gt;Brand_Profile!$E$14,Lookup_Lists!$D$151,MIN(100,ROUND('[1]#REF'!$AE$21/Lookup_Lists!$D$316*100,0))))),IF(NOT(ISNUMBER('[1]#REF'!$AE$21)),"N/A",IF('[1]#REF'!$AD$21&lt;&gt;Brand_Profile!$E$14,Lookup_Lists!$D$151,MIN(100,ROUND('[1]#REF'!$AE$21/Lookup_Lists!$D$316*100,0))))*Lookup_Lists!$D$118,0)+IF(ISNUMBER(IF(NOT(ISNUMBER('[1]#REF'!$AM$21)),"N/A",MIN(100,ROUND((IF('[1]#REF'!$AG$21=Brand_Profile!$E$15,IF(ISNUMBER('[1]#REF'!$AH$21),'[1]#REF'!$AH$21,0),0)+IF('[1]#REF'!$AI$21=Brand_Profile!$E$15,IF(ISNUMBER('[1]#REF'!$AJ$21),'[1]#REF'!$AJ$21,0),0)+IF('[1]#REF'!$AK$21=Brand_Profile!$E$15,IF(ISNUMBER('[1]#REF'!$AL$21),'[1]#REF'!$AL$21,0),0))/Lookup_Lists!$D$317*100,0)))),IF(NOT(ISNUMBER('[1]#REF'!$AM$21)),"N/A",MIN(100,ROUND((IF('[1]#REF'!$AG$21=Brand_Profile!$E$15,IF(ISNUMBER('[1]#REF'!$AH$21),'[1]#REF'!$AH$21,0),0)+IF('[1]#REF'!$AI$21=Brand_Profile!$E$15,IF(ISNUMBER('[1]#REF'!$AJ$21),'[1]#REF'!$AJ$21,0),0)+IF('[1]#REF'!$AK$21=Brand_Profile!$E$15,IF(ISNUMBER('[1]#REF'!$AL$21),'[1]#REF'!$AL$21,0),0))/Lookup_Lists!$D$317*100,0)))*Lookup_Lists!$D$120,0))/(IF(ISNUMBER(IF(NOT(ISNUMBER('[1]#REF'!$AE$21)),"N/A",IF('[1]#REF'!$AD$21&lt;&gt;Brand_Profile!$E$14,Lookup_Lists!$D$151,MIN(100,ROUND('[1]#REF'!$AE$21/Lookup_Lists!$D$316*100,0))))),Lookup_Lists!$D$118,0)+IF(ISNUMBER(IF(NOT(ISNUMBER('[1]#REF'!$AM$21)),"N/A",MIN(100,ROUND((IF('[1]#REF'!$AG$21=Brand_Profile!$E$15,IF(ISNUMBER('[1]#REF'!$AH$21),'[1]#REF'!$AH$21,0),0)+IF('[1]#REF'!$AI$21=Brand_Profile!$E$15,IF(ISNUMBER('[1]#REF'!$AJ$21),'[1]#REF'!$AJ$21,0),0)+IF('[1]#REF'!$AK$21=Brand_Profile!$E$15,IF(ISNUMBER('[1]#REF'!$AL$21),'[1]#REF'!$AL$21,0),0))/Lookup_Lists!$D$317*100,0)))),Lookup_Lists!$D$120,0)),0))</f>
        <v>N/A</v>
      </c>
      <c r="R21" s="65" t="str">
        <f>IF(NOT(ISNUMBER('[1]#REF'!$AN$21)),"N/A",MIN(100,ROUND((IF(ISNUMBER('[1]#REF'!$AO$21),'[1]#REF'!$AO$21*Brand_Profile!$E$17,0)+IF(ISNUMBER('[1]#REF'!$AP$21),'[1]#REF'!$AP$21*Brand_Profile!$E$18,0)+IF(ISNUMBER('[1]#REF'!$AQ$21),'[1]#REF'!$AQ$21*Brand_Profile!$E$19,0)+IF(ISNUMBER('[1]#REF'!$AR$21),'[1]#REF'!$AR$21*Brand_Profile!$E$20,0)+IF(ISNUMBER('[1]#REF'!$AS$21),'[1]#REF'!$AS$21*Brand_Profile!$E$21,0)+IF(ISNUMBER('[1]#REF'!$AT$21),'[1]#REF'!$AT$21*Brand_Profile!$E$22,0)+IF(ISNUMBER('[1]#REF'!$AU$21),'[1]#REF'!$AU$21*Brand_Profile!$E$23,0)+IF(ISNUMBER('[1]#REF'!$AV$21),'[1]#REF'!$AV$21*Brand_Profile!$E$24,0)+IF(ISNUMBER('[1]#REF'!$AW$21),'[1]#REF'!$AW$21*Brand_Profile!$E$25,0)+IF(ISNUMBER('[1]#REF'!$AX$21),'[1]#REF'!$AX$21*Brand_Profile!$E$26,0)+IF(ISNUMBER('[1]#REF'!$AY$21),'[1]#REF'!$AY$21*Brand_Profile!$E$27,0)+IF(ISNUMBER('[1]#REF'!$AZ$21),'[1]#REF'!$AZ$21*Brand_Profile!$E$28,0)+IF(ISNUMBER('[1]#REF'!$BA$21),'[1]#REF'!$BA$21*Brand_Profile!$E$29,0)+IF(ISNUMBER('[1]#REF'!$BB$21),'[1]#REF'!$BB$21*Brand_Profile!$E$30,0)+IF(ISNUMBER('[1]#REF'!$BC$21),'[1]#REF'!$BC$21*Brand_Profile!$E$31,0)+IF(ISNUMBER('[1]#REF'!$BD$21),'[1]#REF'!$BD$21*Brand_Profile!$E$32,0)+IF(ISNUMBER('[1]#REF'!$BE$21),'[1]#REF'!$BE$21*Brand_Profile!$E$33,0)+IF(ISNUMBER('[1]#REF'!$BF$21),'[1]#REF'!$BF$21*Brand_Profile!$E$34,0))/Lookup_Lists!$D$318*100,0)))</f>
        <v>N/A</v>
      </c>
      <c r="S21" s="63">
        <f ca="1">IF((IF(ISNUMBER(Matching_Engine!$O$21),Lookup_Lists!$D$113,0)+IF(ISNUMBER(Matching_Engine!$P$21),Lookup_Lists!$D$114,0)+IF(ISNUMBER(Matching_Engine!$Q$21),Lookup_Lists!$D$115,0)+IF(ISNUMBER(Matching_Engine!$R$21),Lookup_Lists!$D$116,0))=0,"N/A",ROUND((IF(ISNUMBER(Matching_Engine!$O$21),Matching_Engine!$O$21*Lookup_Lists!$D$113,0)+IF(ISNUMBER(Matching_Engine!$P$21),Matching_Engine!$P$21*Lookup_Lists!$D$114,0)+IF(ISNUMBER(Matching_Engine!$Q$21),Matching_Engine!$Q$21*Lookup_Lists!$D$115,0)+IF(ISNUMBER(Matching_Engine!$R$21),Matching_Engine!$R$21*Lookup_Lists!$D$116,0))/(IF(ISNUMBER(Matching_Engine!$O$21),Lookup_Lists!$D$113,0)+IF(ISNUMBER(Matching_Engine!$P$21),Lookup_Lists!$D$114,0)+IF(ISNUMBER(Matching_Engine!$Q$21),Lookup_Lists!$D$115,0)+IF(ISNUMBER(Matching_Engine!$R$21),Lookup_Lists!$D$116,0)),0))</f>
        <v>84</v>
      </c>
      <c r="T21" s="42">
        <f ca="1">IF(ISNUMBER(Matching_Engine!$S$21),1,0)</f>
        <v>1</v>
      </c>
      <c r="U21" s="65" t="e">
        <f>IF(NOT(AND(ISTEXT('[1]#REF'!$M$21),'[1]#REF'!$M$21&lt;&gt;"N/A")),Lookup_Lists!$D$150,IF(Brand_Profile!$E$7='[1]#REF'!$M$21,100,IFERROR(INDEX(Lookup_Lists!$B$349:$J$357,MATCH(Brand_Profile!$E$7,Lookup_Lists!$A$349:$A$357,0),MATCH('[1]#REF'!$M$21,Lookup_Lists!$B$348:$J$348,0)),Lookup_Lists!$D$151)))</f>
        <v>#REF!</v>
      </c>
      <c r="V21" s="65" t="e">
        <f>IF(NOT(AND(ISTEXT('[1]#REF'!$P$21),'[1]#REF'!$P$21&lt;&gt;"N/A")),"N/A",IFERROR(INDEX(Lookup_Lists!$B$349:$J$357,MATCH(Brand_Profile!$E$7,Lookup_Lists!$A$349:$A$357,0),MATCH('[1]#REF'!$P$21,Lookup_Lists!$B$348:$J$348,0)),Lookup_Lists!$D$151))</f>
        <v>#REF!</v>
      </c>
      <c r="W21" s="65" t="e">
        <f>IF(LEN(TRIM(SUBSTITUTE(Matching_Engine!$BE$21,"|","")))=0,"N/A",IF(Brand_Profile!$E$60=0,Lookup_Lists!$D$150,ROUND((IF(Brand_Profile!$E$54="",0,IF(ISNUMBER(SEARCH(Brand_Profile!$E$54,Matching_Engine!$BE$21)),1,0))+IF(Brand_Profile!$E$55="",0,IF(ISNUMBER(SEARCH(Brand_Profile!$E$55,Matching_Engine!$BE$21)),1,0))+IF(Brand_Profile!$E$56="",0,IF(ISNUMBER(SEARCH(Brand_Profile!$E$56,Matching_Engine!$BE$21)),1,0))+IF(Brand_Profile!$E$57="",0,IF(ISNUMBER(SEARCH(Brand_Profile!$E$57,Matching_Engine!$BE$21)),1,0))+IF(Brand_Profile!$E$58="",0,IF(ISNUMBER(SEARCH(Brand_Profile!$E$58,Matching_Engine!$BE$21)),1,0))+IF(Brand_Profile!$E$59="",0,IF(ISNUMBER(SEARCH(Brand_Profile!$E$59,Matching_Engine!$BE$21)),1,0)))/Brand_Profile!$E$60*100,0)))</f>
        <v>#VALUE!</v>
      </c>
      <c r="X21" s="65" t="e">
        <f>IF(NOT(AND(ISTEXT('[1]#REF'!$Q$21),'[1]#REF'!$Q$21&lt;&gt;"N/A")),"N/A",Lookup_Lists!$D$150)</f>
        <v>#REF!</v>
      </c>
      <c r="Y21" s="63">
        <f>IF((IF(ISNUMBER(Matching_Engine!$U$21),Lookup_Lists!$D$335,0)+IF(ISNUMBER(Matching_Engine!$V$21),Lookup_Lists!$D$122,0)+IF(ISNUMBER(Matching_Engine!$W$21),Lookup_Lists!$D$336,0)+IF(ISNUMBER(Matching_Engine!$X$21),Lookup_Lists!$D$124,0))=0,"N/A",ROUND((IF(ISNUMBER(Matching_Engine!$U$21),Matching_Engine!$U$21*Lookup_Lists!$D$335,0)+IF(ISNUMBER(Matching_Engine!$V$21),Matching_Engine!$V$21*Lookup_Lists!$D$122,0)+IF(ISNUMBER(Matching_Engine!$W$21),Matching_Engine!$W$21*Lookup_Lists!$D$336,0)+IF(ISNUMBER(Matching_Engine!$X$21),Matching_Engine!$X$21*Lookup_Lists!$D$124,0))/(IF(ISNUMBER(Matching_Engine!$U$21),Lookup_Lists!$D$335,0)+IF(ISNUMBER(Matching_Engine!$V$21),Lookup_Lists!$D$122,0)+IF(ISNUMBER(Matching_Engine!$W$21),Lookup_Lists!$D$336,0)+IF(ISNUMBER(Matching_Engine!$X$21),Lookup_Lists!$D$124,0)),0))</f>
        <v>65</v>
      </c>
      <c r="Z21" s="42">
        <f>IF(ISNUMBER(Matching_Engine!$Y$21),1,0)</f>
        <v>1</v>
      </c>
      <c r="AA21" s="65" t="e">
        <f>IF(NOT(AND(ISTEXT('[1]#REF'!$Q$21),'[1]#REF'!$Q$21&lt;&gt;"N/A")),"N/A",Lookup_Lists!$D$150)</f>
        <v>#REF!</v>
      </c>
      <c r="AB21" s="65" t="e">
        <f>IF(NOT(AND(ISTEXT('[1]#REF'!$Q$21),'[1]#REF'!$Q$21&lt;&gt;"N/A")),"N/A",Lookup_Lists!$D$150)</f>
        <v>#REF!</v>
      </c>
      <c r="AC21" s="65" t="str">
        <f t="shared" si="0"/>
        <v>N/A</v>
      </c>
      <c r="AD21" s="65" t="e">
        <f>IF(NOT(AND(ISTEXT('[1]#REF'!$Q$21),'[1]#REF'!$Q$21&lt;&gt;"N/A")),"N/A",Lookup_Lists!$D$150)</f>
        <v>#REF!</v>
      </c>
      <c r="AE21" s="63">
        <f>IF((IF(ISNUMBER(Matching_Engine!$AA$21),Lookup_Lists!$D$125,0)+IF(ISNUMBER(Matching_Engine!$AB$21),Lookup_Lists!$D$126,0)+IF(ISNUMBER(Matching_Engine!$AC$21),Lookup_Lists!$D$127,0)+IF(ISNUMBER(Matching_Engine!$AD$21),Lookup_Lists!$D$128,0))=0,"N/A",ROUND((IF(ISNUMBER(Matching_Engine!$AA$21),Matching_Engine!$AA$21*Lookup_Lists!$D$125,0)+IF(ISNUMBER(Matching_Engine!$AB$21),Matching_Engine!$AB$21*Lookup_Lists!$D$126,0)+IF(ISNUMBER(Matching_Engine!$AC$21),Matching_Engine!$AC$21*Lookup_Lists!$D$127,0)+IF(ISNUMBER(Matching_Engine!$AD$21),Matching_Engine!$AD$21*Lookup_Lists!$D$128,0))/(IF(ISNUMBER(Matching_Engine!$AA$21),Lookup_Lists!$D$125,0)+IF(ISNUMBER(Matching_Engine!$AB$21),Lookup_Lists!$D$126,0)+IF(ISNUMBER(Matching_Engine!$AC$21),Lookup_Lists!$D$127,0)+IF(ISNUMBER(Matching_Engine!$AD$21),Lookup_Lists!$D$128,0)),0))</f>
        <v>59</v>
      </c>
      <c r="AF21" s="42">
        <f>IF(ISNUMBER(Matching_Engine!$AE$21),1,0)</f>
        <v>1</v>
      </c>
      <c r="AG21" s="65" t="str">
        <f>IF(NOT(ISNUMBER('[1]#REF'!$BG$21)),"N/A",MIN(100,ROUND('[1]#REF'!$BG$21/IFERROR(INDEX(Lookup_Lists!$B$340:$B$344,MATCH('[1]#REF'!$H$21,Lookup_Lists!$A$340:$A$344,0)),Lookup_Lists!$D$141)*100,0)))</f>
        <v>N/A</v>
      </c>
      <c r="AH21" s="65" t="str">
        <f>IF(NOT(ISNUMBER('[1]#REF'!$BS$21)),"N/A",MIN(100,MAX(0,'[1]#REF'!$BS$21)))</f>
        <v>N/A</v>
      </c>
      <c r="AI21" s="65" t="e">
        <f>IF(OR(NOT(ISNUMBER('[1]#REF'!$BM$21)),NOT(ISNUMBER('[1]#REF'!$BN$21)),'[1]#REF'!$BN$21&lt;Lookup_Lists!$D$320),"N/A",MIN(100,ROUND('[1]#REF'!$BM$21/Lookup_Lists!$D$319*100,0)))</f>
        <v>#REF!</v>
      </c>
      <c r="AJ21" s="65" t="str">
        <f>IF(NOT(ISNUMBER('[1]#REF'!$BR$21)),"N/A",'[1]#REF'!$BR$21)</f>
        <v>N/A</v>
      </c>
      <c r="AK21" s="65" t="str">
        <f>IF(NOT(ISNUMBER('[1]#REF'!$BK$21)),"N/A",MIN(100,ROUND('[1]#REF'!$BK$21/Lookup_Lists!$D$321*100,0)))</f>
        <v>N/A</v>
      </c>
      <c r="AL21" s="65" t="str">
        <f>IF(NOT(ISNUMBER('[1]#REF'!$BP$21)),"N/A",MIN(100,MAX(0,ROUND(('[1]#REF'!$BP$21+2)/(Lookup_Lists!$D$145+2)*100,0))))</f>
        <v>N/A</v>
      </c>
      <c r="AM21" s="63">
        <f>IF((IF(ISNUMBER(Matching_Engine!$AG$21),Lookup_Lists!$D$129,0)+IF(ISNUMBER(Matching_Engine!$AH$21),Lookup_Lists!$D$130,0)+IF(ISNUMBER(Matching_Engine!$AI$21),Lookup_Lists!$D$131,0)+IF(ISNUMBER(Matching_Engine!$AJ$21),Lookup_Lists!$D$132,0)+IF(ISNUMBER(Matching_Engine!$AK$21),Lookup_Lists!$D$133,0)+IF(ISNUMBER(Matching_Engine!$AL$21),Lookup_Lists!$D$134,0))=0,"N/A",ROUND((IF(ISNUMBER(Matching_Engine!$AG$21),Matching_Engine!$AG$21*Lookup_Lists!$D$129,0)+IF(ISNUMBER(Matching_Engine!$AH$21),Matching_Engine!$AH$21*Lookup_Lists!$D$130,0)+IF(ISNUMBER(Matching_Engine!$AI$21),Matching_Engine!$AI$21*Lookup_Lists!$D$131,0)+IF(ISNUMBER(Matching_Engine!$AJ$21),Matching_Engine!$AJ$21*Lookup_Lists!$D$132,0)+IF(ISNUMBER(Matching_Engine!$AK$21),Matching_Engine!$AK$21*Lookup_Lists!$D$133,0)+IF(ISNUMBER(Matching_Engine!$AL$21),Matching_Engine!$AL$21*Lookup_Lists!$D$134,0))/(IF(ISNUMBER(Matching_Engine!$AG$21),Lookup_Lists!$D$129,0)+IF(ISNUMBER(Matching_Engine!$AH$21),Lookup_Lists!$D$130,0)+IF(ISNUMBER(Matching_Engine!$AI$21),Lookup_Lists!$D$131,0)+IF(ISNUMBER(Matching_Engine!$AJ$21),Lookup_Lists!$D$132,0)+IF(ISNUMBER(Matching_Engine!$AK$21),Lookup_Lists!$D$133,0)+IF(ISNUMBER(Matching_Engine!$AL$21),Lookup_Lists!$D$134,0)),0))</f>
        <v>65</v>
      </c>
      <c r="AN21" s="42">
        <f>IF(ISNUMBER(Matching_Engine!$AM$21),1,0)</f>
        <v>0</v>
      </c>
      <c r="AO21" s="65" t="str">
        <f>IF(NOT(ISNUMBER('[1]#REF'!$BT$21)),"N/A",MIN(100,MAX(0,'[1]#REF'!$BT$21)))</f>
        <v>N/A</v>
      </c>
      <c r="AP21" s="65" t="str">
        <f>IF(NOT(ISNUMBER('[1]#REF'!$BU$21)),"N/A",MIN(100,MAX(0,'[1]#REF'!$BU$21)))</f>
        <v>N/A</v>
      </c>
      <c r="AQ21" s="65" t="e">
        <f>IF('[1]#REF'!$I$21="Yes",Lookup_Lists!$D$326,IF('[1]#REF'!$I$21="No",Lookup_Lists!$D$327,"N/A"))</f>
        <v>#REF!</v>
      </c>
      <c r="AR21" s="65" t="str">
        <f>IF(NOT(ISNUMBER('[1]#REF'!$BQ$21)),"N/A",MAX(0,ROUND(100-'[1]#REF'!$BQ$21/Lookup_Lists!$D$328*100,0)))</f>
        <v>N/A</v>
      </c>
      <c r="AS21" s="65" t="e">
        <f>IF(NOT(AND(ISTEXT('[1]#REF'!$BV$21),'[1]#REF'!$BV$21&lt;&gt;"N/A")),"N/A",'[1]#REF'!$BV$21)</f>
        <v>#REF!</v>
      </c>
      <c r="AT21" s="63" t="str">
        <f ca="1">IF((IF(ISNUMBER(Matching_Engine!$AO$21),Lookup_Lists!$D$322,0)+IF(ISNUMBER(Matching_Engine!$AP$21),Lookup_Lists!$D$323,0)+IF(ISNUMBER(Matching_Engine!$AQ$21),Lookup_Lists!$D$324,0)+IF(ISNUMBER(Matching_Engine!$AR$21),Lookup_Lists!$D$325,0))=0,"N/A",ROUND((IF(ISNUMBER(Matching_Engine!$AO$21),Matching_Engine!$AO$21*Lookup_Lists!$D$322,0)+IF(ISNUMBER(Matching_Engine!$AP$21),Matching_Engine!$AP$21*Lookup_Lists!$D$323,0)+IF(ISNUMBER(Matching_Engine!$AQ$21),Matching_Engine!$AQ$21*Lookup_Lists!$D$324,0)+IF(ISNUMBER(Matching_Engine!$AR$21),Matching_Engine!$AR$21*Lookup_Lists!$D$325,0))/(IF(ISNUMBER(Matching_Engine!$AO$21),Lookup_Lists!$D$322,0)+IF(ISNUMBER(Matching_Engine!$AP$21),Lookup_Lists!$D$323,0)+IF(ISNUMBER(Matching_Engine!$AQ$21),Lookup_Lists!$D$324,0)+IF(ISNUMBER(Matching_Engine!$AR$21),Lookup_Lists!$D$325,0)),0))</f>
        <v>N/A</v>
      </c>
      <c r="AU21" s="42">
        <f>IF(ISNUMBER(Matching_Engine!$AT$21),1,0)</f>
        <v>1</v>
      </c>
      <c r="AV21" s="42" t="str">
        <f>IF(NOT(ISNUMBER(Matching_Engine!$AT$21)),"Not Screened",IF(Matching_Engine!$AT$21&gt;=Lookup_Lists!$D$329,"Low Risk",IF(Matching_Engine!$AT$21&gt;=Lookup_Lists!$D$330,"Moderate Risk",IF(Matching_Engine!$AT$21&gt;=Lookup_Lists!$D$331,"Elevated Risk","High Risk"))))</f>
        <v>Low Risk</v>
      </c>
      <c r="AW21" s="42" t="e">
        <f ca="1">IF(NOT(ISNUMBER(Matching_Engine!$AT$21)),"No integrity signal: no audience-analysis row for this account.","Integrity screen only — no content-risk reading exists (comments_analysis: 0 rows). "&amp;IF(ISNUMBER(Matching_Engine!$AO$21),"Authenticity "&amp;Matching_Engine!$AO$21&amp;". ","Authenticity N/A. ")&amp;IF(ISNUMBER(Matching_Engine!$AP$21),"Follower quality "&amp;Matching_Engine!$AP$21&amp;". ","Follower quality N/A. ")&amp;IF('[1]#REF'!$I$21="Yes","Platform-verified.","Not platform-verified."))</f>
        <v>#REF!</v>
      </c>
      <c r="AX21" s="65">
        <f>Matching_Engine!$N$21*Lookup_Lists!$D$104+Matching_Engine!$T$21*Lookup_Lists!$D$105+Matching_Engine!$Z$21*Lookup_Lists!$D$106+Matching_Engine!$AF$21*Lookup_Lists!$D$107+Matching_Engine!$AN$21*Lookup_Lists!$D$108+Matching_Engine!$AU$21*Lookup_Lists!$D$109</f>
        <v>5029.5</v>
      </c>
      <c r="AY21" s="74" t="e">
        <f ca="1">IF(Matching_Engine!$AX$21=0,"N/A",ROUND((IF(Matching_Engine!$N$21=1,Matching_Engine!$M$21*Lookup_Lists!$D$104,0)+IF(Matching_Engine!$T$21=1,Matching_Engine!$S$21*Lookup_Lists!$D$105,0)+IF(Matching_Engine!$Z$21=1,Matching_Engine!$Y$21*Lookup_Lists!$D$106,0)+IF(Matching_Engine!$AF$21=1,Matching_Engine!$AE$21*Lookup_Lists!$D$107,0)+IF(Matching_Engine!$AN$21=1,Matching_Engine!$AM$21*Lookup_Lists!$D$108,0)+IF(Matching_Engine!$AU$21=1,Matching_Engine!$AT$21*Lookup_Lists!$D$109,0))/Matching_Engine!$AX$21,0))</f>
        <v>#VALUE!</v>
      </c>
      <c r="AZ21" s="42" t="str">
        <f ca="1">IF(NOT(ISNUMBER(Matching_Engine!$AY$21)),"Not Scored",IF(Matching_Engine!$AY$21&gt;=Lookup_Lists!$D$152,"Excellent Match",IF(Matching_Engine!$AY$21&gt;=Lookup_Lists!$D$153,"Strong Match",IF(Matching_Engine!$AY$21&gt;=Lookup_Lists!$D$154,"Good Match",IF(Matching_Engine!$AY$21&gt;=Lookup_Lists!$D$155,"Moderate Match","Low Match")))))</f>
        <v>Moderate Match</v>
      </c>
      <c r="BA21" s="65" t="e">
        <f>'[1]#REF'!$BW$21</f>
        <v>#REF!</v>
      </c>
      <c r="BB21" s="42" t="e">
        <f>'[1]#REF'!$BX$21</f>
        <v>#REF!</v>
      </c>
      <c r="BC21" s="65">
        <f ca="1">IF(NOT(ISNUMBER(Matching_Engine!$AY$21)),-1,Matching_Engine!$AY$21*1000+9)</f>
        <v>67009</v>
      </c>
      <c r="BD21" s="42" t="e">
        <f>IF(AND(ISTEXT('[1]#REF'!$S$21),'[1]#REF'!$S$21&lt;&gt;"N/A"),'[1]#REF'!$S$21,"")&amp;" | "&amp;IF(AND(ISTEXT('[1]#REF'!$T$21),'[1]#REF'!$T$21&lt;&gt;"N/A"),'[1]#REF'!$T$21,"")&amp;" | "&amp;IF(AND(ISTEXT('[1]#REF'!$N$21),'[1]#REF'!$N$21&lt;&gt;"N/A"),'[1]#REF'!$N$21,"")&amp;" | "&amp;IF(AND(ISTEXT('[1]#REF'!$K$21),'[1]#REF'!$K$21&lt;&gt;"N/A"),'[1]#REF'!$K$21,"")&amp;" | "&amp;IF(AND(ISTEXT('[1]#REF'!$J$21),'[1]#REF'!$J$21&lt;&gt;"N/A"),'[1]#REF'!$J$21,"")</f>
        <v>#REF!</v>
      </c>
      <c r="BE21" s="42" t="e">
        <f>IF(AND(ISTEXT('[1]#REF'!$T$21),'[1]#REF'!$T$21&lt;&gt;"N/A"),'[1]#REF'!$T$21,"")&amp;" | "&amp;IF(AND(ISTEXT('[1]#REF'!$N$21),'[1]#REF'!$N$21&lt;&gt;"N/A"),'[1]#REF'!$N$21,"")&amp;" | "&amp;IF(AND(ISTEXT('[1]#REF'!$O$21),'[1]#REF'!$O$21&lt;&gt;"N/A"),'[1]#REF'!$O$21,"")&amp;" | "&amp;IF(AND(ISTEXT('[1]#REF'!$S$21),'[1]#REF'!$S$21&lt;&gt;"N/A"),'[1]#REF'!$S$21,"")</f>
        <v>#REF!</v>
      </c>
      <c r="BF21" s="42" t="e">
        <f>IF(AND(ISTEXT('[1]#REF'!$U$21),'[1]#REF'!$U$21&lt;&gt;"N/A"),'[1]#REF'!$U$21,"")</f>
        <v>#REF!</v>
      </c>
      <c r="BG21" s="42" t="str">
        <f>Matching_Engine!$A$21&amp;"|"&amp;Matching_Engine!$C$21</f>
        <v>BRAND-A|KOL-16</v>
      </c>
    </row>
    <row r="22" spans="1:59">
      <c r="A22" s="64" t="s">
        <v>2527</v>
      </c>
      <c r="B22" s="42" t="str">
        <f>Brand_Profile!$E$6</f>
        <v>BRAND-B</v>
      </c>
      <c r="C22" s="42" t="e">
        <f>'[1]#REF'!$A$22</f>
        <v>#REF!</v>
      </c>
      <c r="D22" s="42" t="e">
        <f>'[1]#REF'!$C$22</f>
        <v>#REF!</v>
      </c>
      <c r="E22" s="42" t="e">
        <f>'[1]#REF'!$D$22</f>
        <v>#REF!</v>
      </c>
      <c r="F22" s="42" t="e">
        <f>'[1]#REF'!$E$22</f>
        <v>#REF!</v>
      </c>
      <c r="G22" s="42" t="e">
        <f>'[1]#REF'!$K$22</f>
        <v>#REF!</v>
      </c>
      <c r="H22" s="72" t="e">
        <f>'[1]#REF'!$G$22</f>
        <v>#REF!</v>
      </c>
      <c r="I22" s="73" t="e">
        <f>'[1]#REF'!$BG$22</f>
        <v>#REF!</v>
      </c>
      <c r="J22" s="65" t="e">
        <f>IF(NOT(AND(ISTEXT('[1]#REF'!$K$22),'[1]#REF'!$K$22&lt;&gt;"N/A")),Lookup_Lists!$D$150,IF(Brand_Profile!$E$7='[1]#REF'!$K$22,100,IFERROR(INDEX(Lookup_Lists!$B$349:$J$357,MATCH(Brand_Profile!$E$7,Lookup_Lists!$A$349:$A$357,0),MATCH('[1]#REF'!$K$22,Lookup_Lists!$B$348:$J$348,0)),Lookup_Lists!$D$151)))</f>
        <v>#REF!</v>
      </c>
      <c r="K22" s="65" t="e">
        <f>IF(LEN(TRIM(SUBSTITUTE(Matching_Engine!$BD$22,"|","")))=0,"N/A",IF(Brand_Profile!$E$47=0,Lookup_Lists!$D$150,ROUND((IF(Brand_Profile!$E$41="",0,IF(ISNUMBER(SEARCH(Brand_Profile!$E$41,Matching_Engine!$BD$22)),1,0))+IF(Brand_Profile!$E$42="",0,IF(ISNUMBER(SEARCH(Brand_Profile!$E$42,Matching_Engine!$BD$22)),1,0))+IF(Brand_Profile!$E$43="",0,IF(ISNUMBER(SEARCH(Brand_Profile!$E$43,Matching_Engine!$BD$22)),1,0))+IF(Brand_Profile!$E$44="",0,IF(ISNUMBER(SEARCH(Brand_Profile!$E$44,Matching_Engine!$BD$22)),1,0))+IF(Brand_Profile!$E$45="",0,IF(ISNUMBER(SEARCH(Brand_Profile!$E$45,Matching_Engine!$BD$22)),1,0))+IF(Brand_Profile!$E$46="",0,IF(ISNUMBER(SEARCH(Brand_Profile!$E$46,Matching_Engine!$BD$22)),1,0)))/Brand_Profile!$E$47*100,0)))</f>
        <v>#VALUE!</v>
      </c>
      <c r="L22" s="65" t="e">
        <f>IF(NOT(AND(ISTEXT('[1]#REF'!$U$22),'[1]#REF'!$U$22&lt;&gt;"N/A")),"N/A",IF(Brand_Profile!$E$53=0,Lookup_Lists!$D$150,ROUND((IF(Brand_Profile!$E$48="",0,IF(ISNUMBER(SEARCH(Brand_Profile!$E$48,Matching_Engine!$BF$22)),1,0))+IF(Brand_Profile!$E$49="",0,IF(ISNUMBER(SEARCH(Brand_Profile!$E$49,Matching_Engine!$BF$22)),1,0))+IF(Brand_Profile!$E$50="",0,IF(ISNUMBER(SEARCH(Brand_Profile!$E$50,Matching_Engine!$BF$22)),1,0))+IF(Brand_Profile!$E$51="",0,IF(ISNUMBER(SEARCH(Brand_Profile!$E$51,Matching_Engine!$BF$22)),1,0))+IF(Brand_Profile!$E$52="",0,IF(ISNUMBER(SEARCH(Brand_Profile!$E$52,Matching_Engine!$BF$22)),1,0)))/Brand_Profile!$E$53*100,0)))</f>
        <v>#REF!</v>
      </c>
      <c r="M22" s="63" t="str">
        <f>IF((IF(ISNUMBER(Matching_Engine!$J$22),Lookup_Lists!$D$332,0)+IF(ISNUMBER(Matching_Engine!$K$22),Lookup_Lists!$D$333,0)+IF(ISNUMBER(Matching_Engine!$L$22),Lookup_Lists!$D$334,0))=0,"N/A",ROUND((IF(ISNUMBER(Matching_Engine!$J$22),Matching_Engine!$J$22*Lookup_Lists!$D$332,0)+IF(ISNUMBER(Matching_Engine!$K$22),Matching_Engine!$K$22*Lookup_Lists!$D$333,0)+IF(ISNUMBER(Matching_Engine!$L$22),Matching_Engine!$L$22*Lookup_Lists!$D$334,0))/(IF(ISNUMBER(Matching_Engine!$J$22),Lookup_Lists!$D$332,0)+IF(ISNUMBER(Matching_Engine!$K$22),Lookup_Lists!$D$333,0)+IF(ISNUMBER(Matching_Engine!$L$22),Lookup_Lists!$D$334,0)),0))</f>
        <v>N/A</v>
      </c>
      <c r="N22" s="42">
        <f>IF(ISNUMBER(Matching_Engine!$M$22),1,0)</f>
        <v>1</v>
      </c>
      <c r="O22" s="65" t="str">
        <f ca="1">IF(NOT(ISNUMBER(IFERROR(INDEX('[1]#REF'!$V$22:'[1]#REF'!$Z$22,1,MATCH(Brand_Profile!$E$11,Lookup_Lists!$F$6:$F$10,0)),""))),"N/A",MIN(100,ROUND((IFERROR(INDEX('[1]#REF'!$V$22:'[1]#REF'!$Z$22,1,MATCH(Brand_Profile!$E$11,Lookup_Lists!$F$6:$F$10,0)),"")+0.5*IF(ISNUMBER(IFERROR(INDEX('[1]#REF'!$V$22:'[1]#REF'!$Z$22,1,MATCH(Brand_Profile!$E$12,Lookup_Lists!$F$6:$F$10,0)),"")),IFERROR(INDEX('[1]#REF'!$V$22:'[1]#REF'!$Z$22,1,MATCH(Brand_Profile!$E$12,Lookup_Lists!$F$6:$F$10,0)),""),0))/Lookup_Lists!$D$142*100,0)))</f>
        <v>N/A</v>
      </c>
      <c r="P22" s="65" t="str">
        <f>IF(Brand_Profile!$E$13="Any",100,IF(NOT(ISNUMBER('[1]#REF'!$AA$22)),"N/A",IF(Brand_Profile!$E$13="Female",MIN(100,ROUND('[1]#REF'!$AA$22/Lookup_Lists!$D$143*100,0)),IF(Brand_Profile!$E$13="Male",MIN(100,ROUND(IF(ISNUMBER('[1]#REF'!$AB$22),'[1]#REF'!$AB$22,100-'[1]#REF'!$AA$22)/Lookup_Lists!$D$143*100,0)),MAX(0,ROUND(100-ABS('[1]#REF'!$AA$22-50)*2,0))))))</f>
        <v>N/A</v>
      </c>
      <c r="Q22" s="65" t="str">
        <f>IF((IF(ISNUMBER(IF(NOT(ISNUMBER('[1]#REF'!$AE$22)),"N/A",IF('[1]#REF'!$AD$22&lt;&gt;Brand_Profile!$E$14,Lookup_Lists!$D$151,MIN(100,ROUND('[1]#REF'!$AE$22/Lookup_Lists!$D$316*100,0))))),Lookup_Lists!$D$118,0)+IF(ISNUMBER(IF(NOT(ISNUMBER('[1]#REF'!$AM$22)),"N/A",MIN(100,ROUND((IF('[1]#REF'!$AG$22=Brand_Profile!$E$15,IF(ISNUMBER('[1]#REF'!$AH$22),'[1]#REF'!$AH$22,0),0)+IF('[1]#REF'!$AI$22=Brand_Profile!$E$15,IF(ISNUMBER('[1]#REF'!$AJ$22),'[1]#REF'!$AJ$22,0),0)+IF('[1]#REF'!$AK$22=Brand_Profile!$E$15,IF(ISNUMBER('[1]#REF'!$AL$22),'[1]#REF'!$AL$22,0),0))/Lookup_Lists!$D$317*100,0)))),Lookup_Lists!$D$120,0))=0,"N/A",ROUND((IF(ISNUMBER(IF(NOT(ISNUMBER('[1]#REF'!$AE$22)),"N/A",IF('[1]#REF'!$AD$22&lt;&gt;Brand_Profile!$E$14,Lookup_Lists!$D$151,MIN(100,ROUND('[1]#REF'!$AE$22/Lookup_Lists!$D$316*100,0))))),IF(NOT(ISNUMBER('[1]#REF'!$AE$22)),"N/A",IF('[1]#REF'!$AD$22&lt;&gt;Brand_Profile!$E$14,Lookup_Lists!$D$151,MIN(100,ROUND('[1]#REF'!$AE$22/Lookup_Lists!$D$316*100,0))))*Lookup_Lists!$D$118,0)+IF(ISNUMBER(IF(NOT(ISNUMBER('[1]#REF'!$AM$22)),"N/A",MIN(100,ROUND((IF('[1]#REF'!$AG$22=Brand_Profile!$E$15,IF(ISNUMBER('[1]#REF'!$AH$22),'[1]#REF'!$AH$22,0),0)+IF('[1]#REF'!$AI$22=Brand_Profile!$E$15,IF(ISNUMBER('[1]#REF'!$AJ$22),'[1]#REF'!$AJ$22,0),0)+IF('[1]#REF'!$AK$22=Brand_Profile!$E$15,IF(ISNUMBER('[1]#REF'!$AL$22),'[1]#REF'!$AL$22,0),0))/Lookup_Lists!$D$317*100,0)))),IF(NOT(ISNUMBER('[1]#REF'!$AM$22)),"N/A",MIN(100,ROUND((IF('[1]#REF'!$AG$22=Brand_Profile!$E$15,IF(ISNUMBER('[1]#REF'!$AH$22),'[1]#REF'!$AH$22,0),0)+IF('[1]#REF'!$AI$22=Brand_Profile!$E$15,IF(ISNUMBER('[1]#REF'!$AJ$22),'[1]#REF'!$AJ$22,0),0)+IF('[1]#REF'!$AK$22=Brand_Profile!$E$15,IF(ISNUMBER('[1]#REF'!$AL$22),'[1]#REF'!$AL$22,0),0))/Lookup_Lists!$D$317*100,0)))*Lookup_Lists!$D$120,0))/(IF(ISNUMBER(IF(NOT(ISNUMBER('[1]#REF'!$AE$22)),"N/A",IF('[1]#REF'!$AD$22&lt;&gt;Brand_Profile!$E$14,Lookup_Lists!$D$151,MIN(100,ROUND('[1]#REF'!$AE$22/Lookup_Lists!$D$316*100,0))))),Lookup_Lists!$D$118,0)+IF(ISNUMBER(IF(NOT(ISNUMBER('[1]#REF'!$AM$22)),"N/A",MIN(100,ROUND((IF('[1]#REF'!$AG$22=Brand_Profile!$E$15,IF(ISNUMBER('[1]#REF'!$AH$22),'[1]#REF'!$AH$22,0),0)+IF('[1]#REF'!$AI$22=Brand_Profile!$E$15,IF(ISNUMBER('[1]#REF'!$AJ$22),'[1]#REF'!$AJ$22,0),0)+IF('[1]#REF'!$AK$22=Brand_Profile!$E$15,IF(ISNUMBER('[1]#REF'!$AL$22),'[1]#REF'!$AL$22,0),0))/Lookup_Lists!$D$317*100,0)))),Lookup_Lists!$D$120,0)),0))</f>
        <v>N/A</v>
      </c>
      <c r="R22" s="65" t="str">
        <f>IF(NOT(ISNUMBER('[1]#REF'!$AN$22)),"N/A",MIN(100,ROUND((IF(ISNUMBER('[1]#REF'!$AO$22),'[1]#REF'!$AO$22*Brand_Profile!$E$17,0)+IF(ISNUMBER('[1]#REF'!$AP$22),'[1]#REF'!$AP$22*Brand_Profile!$E$18,0)+IF(ISNUMBER('[1]#REF'!$AQ$22),'[1]#REF'!$AQ$22*Brand_Profile!$E$19,0)+IF(ISNUMBER('[1]#REF'!$AR$22),'[1]#REF'!$AR$22*Brand_Profile!$E$20,0)+IF(ISNUMBER('[1]#REF'!$AS$22),'[1]#REF'!$AS$22*Brand_Profile!$E$21,0)+IF(ISNUMBER('[1]#REF'!$AT$22),'[1]#REF'!$AT$22*Brand_Profile!$E$22,0)+IF(ISNUMBER('[1]#REF'!$AU$22),'[1]#REF'!$AU$22*Brand_Profile!$E$23,0)+IF(ISNUMBER('[1]#REF'!$AV$22),'[1]#REF'!$AV$22*Brand_Profile!$E$24,0)+IF(ISNUMBER('[1]#REF'!$AW$22),'[1]#REF'!$AW$22*Brand_Profile!$E$25,0)+IF(ISNUMBER('[1]#REF'!$AX$22),'[1]#REF'!$AX$22*Brand_Profile!$E$26,0)+IF(ISNUMBER('[1]#REF'!$AY$22),'[1]#REF'!$AY$22*Brand_Profile!$E$27,0)+IF(ISNUMBER('[1]#REF'!$AZ$22),'[1]#REF'!$AZ$22*Brand_Profile!$E$28,0)+IF(ISNUMBER('[1]#REF'!$BA$22),'[1]#REF'!$BA$22*Brand_Profile!$E$29,0)+IF(ISNUMBER('[1]#REF'!$BB$22),'[1]#REF'!$BB$22*Brand_Profile!$E$30,0)+IF(ISNUMBER('[1]#REF'!$BC$22),'[1]#REF'!$BC$22*Brand_Profile!$E$31,0)+IF(ISNUMBER('[1]#REF'!$BD$22),'[1]#REF'!$BD$22*Brand_Profile!$E$32,0)+IF(ISNUMBER('[1]#REF'!$BE$22),'[1]#REF'!$BE$22*Brand_Profile!$E$33,0)+IF(ISNUMBER('[1]#REF'!$BF$22),'[1]#REF'!$BF$22*Brand_Profile!$E$34,0))/Lookup_Lists!$D$318*100,0)))</f>
        <v>N/A</v>
      </c>
      <c r="S22" s="63">
        <f ca="1">IF((IF(ISNUMBER(Matching_Engine!$O$22),Lookup_Lists!$D$113,0)+IF(ISNUMBER(Matching_Engine!$P$22),Lookup_Lists!$D$114,0)+IF(ISNUMBER(Matching_Engine!$Q$22),Lookup_Lists!$D$115,0)+IF(ISNUMBER(Matching_Engine!$R$22),Lookup_Lists!$D$116,0))=0,"N/A",ROUND((IF(ISNUMBER(Matching_Engine!$O$22),Matching_Engine!$O$22*Lookup_Lists!$D$113,0)+IF(ISNUMBER(Matching_Engine!$P$22),Matching_Engine!$P$22*Lookup_Lists!$D$114,0)+IF(ISNUMBER(Matching_Engine!$Q$22),Matching_Engine!$Q$22*Lookup_Lists!$D$115,0)+IF(ISNUMBER(Matching_Engine!$R$22),Matching_Engine!$R$22*Lookup_Lists!$D$116,0))/(IF(ISNUMBER(Matching_Engine!$O$22),Lookup_Lists!$D$113,0)+IF(ISNUMBER(Matching_Engine!$P$22),Lookup_Lists!$D$114,0)+IF(ISNUMBER(Matching_Engine!$Q$22),Lookup_Lists!$D$115,0)+IF(ISNUMBER(Matching_Engine!$R$22),Lookup_Lists!$D$116,0)),0))</f>
        <v>60</v>
      </c>
      <c r="T22" s="42">
        <f ca="1">IF(ISNUMBER(Matching_Engine!$S$22),1,0)</f>
        <v>1</v>
      </c>
      <c r="U22" s="65" t="e">
        <f>IF(NOT(AND(ISTEXT('[1]#REF'!$M$22),'[1]#REF'!$M$22&lt;&gt;"N/A")),Lookup_Lists!$D$150,IF(Brand_Profile!$E$7='[1]#REF'!$M$22,100,IFERROR(INDEX(Lookup_Lists!$B$349:$J$357,MATCH(Brand_Profile!$E$7,Lookup_Lists!$A$349:$A$357,0),MATCH('[1]#REF'!$M$22,Lookup_Lists!$B$348:$J$348,0)),Lookup_Lists!$D$151)))</f>
        <v>#REF!</v>
      </c>
      <c r="V22" s="65" t="e">
        <f>IF(NOT(AND(ISTEXT('[1]#REF'!$P$22),'[1]#REF'!$P$22&lt;&gt;"N/A")),"N/A",IFERROR(INDEX(Lookup_Lists!$B$349:$J$357,MATCH(Brand_Profile!$E$7,Lookup_Lists!$A$349:$A$357,0),MATCH('[1]#REF'!$P$22,Lookup_Lists!$B$348:$J$348,0)),Lookup_Lists!$D$151))</f>
        <v>#REF!</v>
      </c>
      <c r="W22" s="65" t="e">
        <f>IF(LEN(TRIM(SUBSTITUTE(Matching_Engine!$BE$22,"|","")))=0,"N/A",IF(Brand_Profile!$E$60=0,Lookup_Lists!$D$150,ROUND((IF(Brand_Profile!$E$54="",0,IF(ISNUMBER(SEARCH(Brand_Profile!$E$54,Matching_Engine!$BE$22)),1,0))+IF(Brand_Profile!$E$55="",0,IF(ISNUMBER(SEARCH(Brand_Profile!$E$55,Matching_Engine!$BE$22)),1,0))+IF(Brand_Profile!$E$56="",0,IF(ISNUMBER(SEARCH(Brand_Profile!$E$56,Matching_Engine!$BE$22)),1,0))+IF(Brand_Profile!$E$57="",0,IF(ISNUMBER(SEARCH(Brand_Profile!$E$57,Matching_Engine!$BE$22)),1,0))+IF(Brand_Profile!$E$58="",0,IF(ISNUMBER(SEARCH(Brand_Profile!$E$58,Matching_Engine!$BE$22)),1,0))+IF(Brand_Profile!$E$59="",0,IF(ISNUMBER(SEARCH(Brand_Profile!$E$59,Matching_Engine!$BE$22)),1,0)))/Brand_Profile!$E$60*100,0)))</f>
        <v>#VALUE!</v>
      </c>
      <c r="X22" s="65" t="e">
        <f>IF(NOT(AND(ISTEXT('[1]#REF'!$Q$22),'[1]#REF'!$Q$22&lt;&gt;"N/A")),"N/A",Lookup_Lists!$D$150)</f>
        <v>#REF!</v>
      </c>
      <c r="Y22" s="63">
        <f>IF((IF(ISNUMBER(Matching_Engine!$U$22),Lookup_Lists!$D$335,0)+IF(ISNUMBER(Matching_Engine!$V$22),Lookup_Lists!$D$122,0)+IF(ISNUMBER(Matching_Engine!$W$22),Lookup_Lists!$D$336,0)+IF(ISNUMBER(Matching_Engine!$X$22),Lookup_Lists!$D$124,0))=0,"N/A",ROUND((IF(ISNUMBER(Matching_Engine!$U$22),Matching_Engine!$U$22*Lookup_Lists!$D$335,0)+IF(ISNUMBER(Matching_Engine!$V$22),Matching_Engine!$V$22*Lookup_Lists!$D$122,0)+IF(ISNUMBER(Matching_Engine!$W$22),Matching_Engine!$W$22*Lookup_Lists!$D$336,0)+IF(ISNUMBER(Matching_Engine!$X$22),Matching_Engine!$X$22*Lookup_Lists!$D$124,0))/(IF(ISNUMBER(Matching_Engine!$U$22),Lookup_Lists!$D$335,0)+IF(ISNUMBER(Matching_Engine!$V$22),Lookup_Lists!$D$122,0)+IF(ISNUMBER(Matching_Engine!$W$22),Lookup_Lists!$D$336,0)+IF(ISNUMBER(Matching_Engine!$X$22),Lookup_Lists!$D$124,0)),0))</f>
        <v>10</v>
      </c>
      <c r="Z22" s="42">
        <f>IF(ISNUMBER(Matching_Engine!$Y$22),1,0)</f>
        <v>1</v>
      </c>
      <c r="AA22" s="65" t="e">
        <f>IF(NOT(AND(ISTEXT('[1]#REF'!$Q$22),'[1]#REF'!$Q$22&lt;&gt;"N/A")),"N/A",Lookup_Lists!$D$150)</f>
        <v>#REF!</v>
      </c>
      <c r="AB22" s="65" t="e">
        <f>IF(NOT(AND(ISTEXT('[1]#REF'!$Q$22),'[1]#REF'!$Q$22&lt;&gt;"N/A")),"N/A",Lookup_Lists!$D$150)</f>
        <v>#REF!</v>
      </c>
      <c r="AC22" s="65" t="str">
        <f t="shared" si="0"/>
        <v>N/A</v>
      </c>
      <c r="AD22" s="65" t="e">
        <f>IF(NOT(AND(ISTEXT('[1]#REF'!$Q$22),'[1]#REF'!$Q$22&lt;&gt;"N/A")),"N/A",Lookup_Lists!$D$150)</f>
        <v>#REF!</v>
      </c>
      <c r="AE22" s="63">
        <f>IF((IF(ISNUMBER(Matching_Engine!$AA$22),Lookup_Lists!$D$125,0)+IF(ISNUMBER(Matching_Engine!$AB$22),Lookup_Lists!$D$126,0)+IF(ISNUMBER(Matching_Engine!$AC$22),Lookup_Lists!$D$127,0)+IF(ISNUMBER(Matching_Engine!$AD$22),Lookup_Lists!$D$128,0))=0,"N/A",ROUND((IF(ISNUMBER(Matching_Engine!$AA$22),Matching_Engine!$AA$22*Lookup_Lists!$D$125,0)+IF(ISNUMBER(Matching_Engine!$AB$22),Matching_Engine!$AB$22*Lookup_Lists!$D$126,0)+IF(ISNUMBER(Matching_Engine!$AC$22),Matching_Engine!$AC$22*Lookup_Lists!$D$127,0)+IF(ISNUMBER(Matching_Engine!$AD$22),Matching_Engine!$AD$22*Lookup_Lists!$D$128,0))/(IF(ISNUMBER(Matching_Engine!$AA$22),Lookup_Lists!$D$125,0)+IF(ISNUMBER(Matching_Engine!$AB$22),Lookup_Lists!$D$126,0)+IF(ISNUMBER(Matching_Engine!$AC$22),Lookup_Lists!$D$127,0)+IF(ISNUMBER(Matching_Engine!$AD$22),Lookup_Lists!$D$128,0)),0))</f>
        <v>40</v>
      </c>
      <c r="AF22" s="42">
        <f>IF(ISNUMBER(Matching_Engine!$AE$22),1,0)</f>
        <v>1</v>
      </c>
      <c r="AG22" s="65" t="str">
        <f>IF(NOT(ISNUMBER('[1]#REF'!$BG$22)),"N/A",MIN(100,ROUND('[1]#REF'!$BG$22/IFERROR(INDEX(Lookup_Lists!$B$340:$B$344,MATCH('[1]#REF'!$H$22,Lookup_Lists!$A$340:$A$344,0)),Lookup_Lists!$D$141)*100,0)))</f>
        <v>N/A</v>
      </c>
      <c r="AH22" s="65" t="str">
        <f>IF(NOT(ISNUMBER('[1]#REF'!$BS$22)),"N/A",MIN(100,MAX(0,'[1]#REF'!$BS$22)))</f>
        <v>N/A</v>
      </c>
      <c r="AI22" s="65" t="e">
        <f>IF(OR(NOT(ISNUMBER('[1]#REF'!$BM$22)),NOT(ISNUMBER('[1]#REF'!$BN$22)),'[1]#REF'!$BN$22&lt;Lookup_Lists!$D$320),"N/A",MIN(100,ROUND('[1]#REF'!$BM$22/Lookup_Lists!$D$319*100,0)))</f>
        <v>#REF!</v>
      </c>
      <c r="AJ22" s="65" t="str">
        <f>IF(NOT(ISNUMBER('[1]#REF'!$BR$22)),"N/A",'[1]#REF'!$BR$22)</f>
        <v>N/A</v>
      </c>
      <c r="AK22" s="65" t="str">
        <f>IF(NOT(ISNUMBER('[1]#REF'!$BK$22)),"N/A",MIN(100,ROUND('[1]#REF'!$BK$22/Lookup_Lists!$D$321*100,0)))</f>
        <v>N/A</v>
      </c>
      <c r="AL22" s="65" t="str">
        <f>IF(NOT(ISNUMBER('[1]#REF'!$BP$22)),"N/A",MIN(100,MAX(0,ROUND(('[1]#REF'!$BP$22+2)/(Lookup_Lists!$D$145+2)*100,0))))</f>
        <v>N/A</v>
      </c>
      <c r="AM22" s="63">
        <f>IF((IF(ISNUMBER(Matching_Engine!$AG$22),Lookup_Lists!$D$129,0)+IF(ISNUMBER(Matching_Engine!$AH$22),Lookup_Lists!$D$130,0)+IF(ISNUMBER(Matching_Engine!$AI$22),Lookup_Lists!$D$131,0)+IF(ISNUMBER(Matching_Engine!$AJ$22),Lookup_Lists!$D$132,0)+IF(ISNUMBER(Matching_Engine!$AK$22),Lookup_Lists!$D$133,0)+IF(ISNUMBER(Matching_Engine!$AL$22),Lookup_Lists!$D$134,0))=0,"N/A",ROUND((IF(ISNUMBER(Matching_Engine!$AG$22),Matching_Engine!$AG$22*Lookup_Lists!$D$129,0)+IF(ISNUMBER(Matching_Engine!$AH$22),Matching_Engine!$AH$22*Lookup_Lists!$D$130,0)+IF(ISNUMBER(Matching_Engine!$AI$22),Matching_Engine!$AI$22*Lookup_Lists!$D$131,0)+IF(ISNUMBER(Matching_Engine!$AJ$22),Matching_Engine!$AJ$22*Lookup_Lists!$D$132,0)+IF(ISNUMBER(Matching_Engine!$AK$22),Matching_Engine!$AK$22*Lookup_Lists!$D$133,0)+IF(ISNUMBER(Matching_Engine!$AL$22),Matching_Engine!$AL$22*Lookup_Lists!$D$134,0))/(IF(ISNUMBER(Matching_Engine!$AG$22),Lookup_Lists!$D$129,0)+IF(ISNUMBER(Matching_Engine!$AH$22),Lookup_Lists!$D$130,0)+IF(ISNUMBER(Matching_Engine!$AI$22),Lookup_Lists!$D$131,0)+IF(ISNUMBER(Matching_Engine!$AJ$22),Lookup_Lists!$D$132,0)+IF(ISNUMBER(Matching_Engine!$AK$22),Lookup_Lists!$D$133,0)+IF(ISNUMBER(Matching_Engine!$AL$22),Lookup_Lists!$D$134,0)),0))</f>
        <v>62</v>
      </c>
      <c r="AN22" s="42">
        <f>IF(ISNUMBER(Matching_Engine!$AM$22),1,0)</f>
        <v>0</v>
      </c>
      <c r="AO22" s="65" t="str">
        <f>IF(NOT(ISNUMBER('[1]#REF'!$BT$22)),"N/A",MIN(100,MAX(0,'[1]#REF'!$BT$22)))</f>
        <v>N/A</v>
      </c>
      <c r="AP22" s="65" t="str">
        <f>IF(NOT(ISNUMBER('[1]#REF'!$BU$22)),"N/A",MIN(100,MAX(0,'[1]#REF'!$BU$22)))</f>
        <v>N/A</v>
      </c>
      <c r="AQ22" s="65" t="e">
        <f>IF('[1]#REF'!$I$22="Yes",Lookup_Lists!$D$326,IF('[1]#REF'!$I$22="No",Lookup_Lists!$D$327,"N/A"))</f>
        <v>#REF!</v>
      </c>
      <c r="AR22" s="65" t="str">
        <f>IF(NOT(ISNUMBER('[1]#REF'!$BQ$22)),"N/A",MAX(0,ROUND(100-'[1]#REF'!$BQ$22/Lookup_Lists!$D$328*100,0)))</f>
        <v>N/A</v>
      </c>
      <c r="AS22" s="65" t="e">
        <f>IF(NOT(AND(ISTEXT('[1]#REF'!$BV$22),'[1]#REF'!$BV$22&lt;&gt;"N/A")),"N/A",'[1]#REF'!$BV$22)</f>
        <v>#REF!</v>
      </c>
      <c r="AT22" s="63" t="str">
        <f ca="1">IF((IF(ISNUMBER(Matching_Engine!$AO$22),Lookup_Lists!$D$322,0)+IF(ISNUMBER(Matching_Engine!$AP$22),Lookup_Lists!$D$323,0)+IF(ISNUMBER(Matching_Engine!$AQ$22),Lookup_Lists!$D$324,0)+IF(ISNUMBER(Matching_Engine!$AR$22),Lookup_Lists!$D$325,0))=0,"N/A",ROUND((IF(ISNUMBER(Matching_Engine!$AO$22),Matching_Engine!$AO$22*Lookup_Lists!$D$322,0)+IF(ISNUMBER(Matching_Engine!$AP$22),Matching_Engine!$AP$22*Lookup_Lists!$D$323,0)+IF(ISNUMBER(Matching_Engine!$AQ$22),Matching_Engine!$AQ$22*Lookup_Lists!$D$324,0)+IF(ISNUMBER(Matching_Engine!$AR$22),Matching_Engine!$AR$22*Lookup_Lists!$D$325,0))/(IF(ISNUMBER(Matching_Engine!$AO$22),Lookup_Lists!$D$322,0)+IF(ISNUMBER(Matching_Engine!$AP$22),Lookup_Lists!$D$323,0)+IF(ISNUMBER(Matching_Engine!$AQ$22),Lookup_Lists!$D$324,0)+IF(ISNUMBER(Matching_Engine!$AR$22),Lookup_Lists!$D$325,0)),0))</f>
        <v>N/A</v>
      </c>
      <c r="AU22" s="42">
        <f>IF(ISNUMBER(Matching_Engine!$AT$22),1,0)</f>
        <v>1</v>
      </c>
      <c r="AV22" s="42" t="str">
        <f>IF(NOT(ISNUMBER(Matching_Engine!$AT$22)),"Not Screened",IF(Matching_Engine!$AT$22&gt;=Lookup_Lists!$D$329,"Low Risk",IF(Matching_Engine!$AT$22&gt;=Lookup_Lists!$D$330,"Moderate Risk",IF(Matching_Engine!$AT$22&gt;=Lookup_Lists!$D$331,"Elevated Risk","High Risk"))))</f>
        <v>Low Risk</v>
      </c>
      <c r="AW22" s="42" t="e">
        <f ca="1">IF(NOT(ISNUMBER(Matching_Engine!$AT$22)),"No integrity signal: no audience-analysis row for this account.","Integrity screen only — no content-risk reading exists (comments_analysis: 0 rows). "&amp;IF(ISNUMBER(Matching_Engine!$AO$22),"Authenticity "&amp;Matching_Engine!$AO$22&amp;". ","Authenticity N/A. ")&amp;IF(ISNUMBER(Matching_Engine!$AP$22),"Follower quality "&amp;Matching_Engine!$AP$22&amp;". ","Follower quality N/A. ")&amp;IF('[1]#REF'!$I$22="Yes","Platform-verified.","Not platform-verified."))</f>
        <v>#REF!</v>
      </c>
      <c r="AX22" s="65">
        <f>Matching_Engine!$N$22*Lookup_Lists!$D$104+Matching_Engine!$T$22*Lookup_Lists!$D$105+Matching_Engine!$Z$22*Lookup_Lists!$D$106+Matching_Engine!$AF$22*Lookup_Lists!$D$107+Matching_Engine!$AN$22*Lookup_Lists!$D$108+Matching_Engine!$AU$22*Lookup_Lists!$D$109</f>
        <v>3240</v>
      </c>
      <c r="AY22" s="74" t="e">
        <f ca="1">IF(Matching_Engine!$AX$22=0,"N/A",ROUND((IF(Matching_Engine!$N$22=1,Matching_Engine!$M$22*Lookup_Lists!$D$104,0)+IF(Matching_Engine!$T$22=1,Matching_Engine!$S$22*Lookup_Lists!$D$105,0)+IF(Matching_Engine!$Z$22=1,Matching_Engine!$Y$22*Lookup_Lists!$D$106,0)+IF(Matching_Engine!$AF$22=1,Matching_Engine!$AE$22*Lookup_Lists!$D$107,0)+IF(Matching_Engine!$AN$22=1,Matching_Engine!$AM$22*Lookup_Lists!$D$108,0)+IF(Matching_Engine!$AU$22=1,Matching_Engine!$AT$22*Lookup_Lists!$D$109,0))/Matching_Engine!$AX$22,0))</f>
        <v>#VALUE!</v>
      </c>
      <c r="AZ22" s="42" t="str">
        <f ca="1">IF(NOT(ISNUMBER(Matching_Engine!$AY$22)),"Not Scored",IF(Matching_Engine!$AY$22&gt;=Lookup_Lists!$D$152,"Excellent Match",IF(Matching_Engine!$AY$22&gt;=Lookup_Lists!$D$153,"Strong Match",IF(Matching_Engine!$AY$22&gt;=Lookup_Lists!$D$154,"Good Match",IF(Matching_Engine!$AY$22&gt;=Lookup_Lists!$D$155,"Moderate Match","Low Match")))))</f>
        <v>Low Match</v>
      </c>
      <c r="BA22" s="65" t="e">
        <f>'[1]#REF'!$BW$22</f>
        <v>#REF!</v>
      </c>
      <c r="BB22" s="42" t="e">
        <f>'[1]#REF'!$BX$22</f>
        <v>#REF!</v>
      </c>
      <c r="BC22" s="65">
        <f ca="1">IF(NOT(ISNUMBER(Matching_Engine!$AY$22)),-1,Matching_Engine!$AY$22*1000+8)</f>
        <v>42008</v>
      </c>
      <c r="BD22" s="42" t="e">
        <f>IF(AND(ISTEXT('[1]#REF'!$S$22),'[1]#REF'!$S$22&lt;&gt;"N/A"),'[1]#REF'!$S$22,"")&amp;" | "&amp;IF(AND(ISTEXT('[1]#REF'!$T$22),'[1]#REF'!$T$22&lt;&gt;"N/A"),'[1]#REF'!$T$22,"")&amp;" | "&amp;IF(AND(ISTEXT('[1]#REF'!$N$22),'[1]#REF'!$N$22&lt;&gt;"N/A"),'[1]#REF'!$N$22,"")&amp;" | "&amp;IF(AND(ISTEXT('[1]#REF'!$K$22),'[1]#REF'!$K$22&lt;&gt;"N/A"),'[1]#REF'!$K$22,"")&amp;" | "&amp;IF(AND(ISTEXT('[1]#REF'!$J$22),'[1]#REF'!$J$22&lt;&gt;"N/A"),'[1]#REF'!$J$22,"")</f>
        <v>#REF!</v>
      </c>
      <c r="BE22" s="42" t="e">
        <f>IF(AND(ISTEXT('[1]#REF'!$T$22),'[1]#REF'!$T$22&lt;&gt;"N/A"),'[1]#REF'!$T$22,"")&amp;" | "&amp;IF(AND(ISTEXT('[1]#REF'!$N$22),'[1]#REF'!$N$22&lt;&gt;"N/A"),'[1]#REF'!$N$22,"")&amp;" | "&amp;IF(AND(ISTEXT('[1]#REF'!$O$22),'[1]#REF'!$O$22&lt;&gt;"N/A"),'[1]#REF'!$O$22,"")&amp;" | "&amp;IF(AND(ISTEXT('[1]#REF'!$S$22),'[1]#REF'!$S$22&lt;&gt;"N/A"),'[1]#REF'!$S$22,"")</f>
        <v>#REF!</v>
      </c>
      <c r="BF22" s="42" t="e">
        <f>IF(AND(ISTEXT('[1]#REF'!$U$22),'[1]#REF'!$U$22&lt;&gt;"N/A"),'[1]#REF'!$U$22,"")</f>
        <v>#REF!</v>
      </c>
      <c r="BG22" s="42" t="str">
        <f>Matching_Engine!$A$22&amp;"|"&amp;Matching_Engine!$C$22</f>
        <v>BRAND-A|KOL-17</v>
      </c>
    </row>
    <row r="23" spans="1:59">
      <c r="A23" s="64" t="s">
        <v>2527</v>
      </c>
      <c r="B23" s="42" t="str">
        <f>Brand_Profile!$E$6</f>
        <v>BRAND-B</v>
      </c>
      <c r="C23" s="42" t="e">
        <f>'[1]#REF'!$A$23</f>
        <v>#REF!</v>
      </c>
      <c r="D23" s="42" t="e">
        <f>'[1]#REF'!$C$23</f>
        <v>#REF!</v>
      </c>
      <c r="E23" s="42" t="e">
        <f>'[1]#REF'!$D$23</f>
        <v>#REF!</v>
      </c>
      <c r="F23" s="42" t="e">
        <f>'[1]#REF'!$E$23</f>
        <v>#REF!</v>
      </c>
      <c r="G23" s="42" t="e">
        <f>'[1]#REF'!$K$23</f>
        <v>#REF!</v>
      </c>
      <c r="H23" s="72" t="e">
        <f>'[1]#REF'!$G$23</f>
        <v>#REF!</v>
      </c>
      <c r="I23" s="73" t="e">
        <f>'[1]#REF'!$BG$23</f>
        <v>#REF!</v>
      </c>
      <c r="J23" s="65" t="e">
        <f>IF(NOT(AND(ISTEXT('[1]#REF'!$K$23),'[1]#REF'!$K$23&lt;&gt;"N/A")),Lookup_Lists!$D$150,IF(Brand_Profile!$E$7='[1]#REF'!$K$23,100,IFERROR(INDEX(Lookup_Lists!$B$349:$J$357,MATCH(Brand_Profile!$E$7,Lookup_Lists!$A$349:$A$357,0),MATCH('[1]#REF'!$K$23,Lookup_Lists!$B$348:$J$348,0)),Lookup_Lists!$D$151)))</f>
        <v>#REF!</v>
      </c>
      <c r="K23" s="65" t="e">
        <f>IF(LEN(TRIM(SUBSTITUTE(Matching_Engine!$BD$23,"|","")))=0,"N/A",IF(Brand_Profile!$E$47=0,Lookup_Lists!$D$150,ROUND((IF(Brand_Profile!$E$41="",0,IF(ISNUMBER(SEARCH(Brand_Profile!$E$41,Matching_Engine!$BD$23)),1,0))+IF(Brand_Profile!$E$42="",0,IF(ISNUMBER(SEARCH(Brand_Profile!$E$42,Matching_Engine!$BD$23)),1,0))+IF(Brand_Profile!$E$43="",0,IF(ISNUMBER(SEARCH(Brand_Profile!$E$43,Matching_Engine!$BD$23)),1,0))+IF(Brand_Profile!$E$44="",0,IF(ISNUMBER(SEARCH(Brand_Profile!$E$44,Matching_Engine!$BD$23)),1,0))+IF(Brand_Profile!$E$45="",0,IF(ISNUMBER(SEARCH(Brand_Profile!$E$45,Matching_Engine!$BD$23)),1,0))+IF(Brand_Profile!$E$46="",0,IF(ISNUMBER(SEARCH(Brand_Profile!$E$46,Matching_Engine!$BD$23)),1,0)))/Brand_Profile!$E$47*100,0)))</f>
        <v>#VALUE!</v>
      </c>
      <c r="L23" s="65" t="e">
        <f>IF(NOT(AND(ISTEXT('[1]#REF'!$U$23),'[1]#REF'!$U$23&lt;&gt;"N/A")),"N/A",IF(Brand_Profile!$E$53=0,Lookup_Lists!$D$150,ROUND((IF(Brand_Profile!$E$48="",0,IF(ISNUMBER(SEARCH(Brand_Profile!$E$48,Matching_Engine!$BF$23)),1,0))+IF(Brand_Profile!$E$49="",0,IF(ISNUMBER(SEARCH(Brand_Profile!$E$49,Matching_Engine!$BF$23)),1,0))+IF(Brand_Profile!$E$50="",0,IF(ISNUMBER(SEARCH(Brand_Profile!$E$50,Matching_Engine!$BF$23)),1,0))+IF(Brand_Profile!$E$51="",0,IF(ISNUMBER(SEARCH(Brand_Profile!$E$51,Matching_Engine!$BF$23)),1,0))+IF(Brand_Profile!$E$52="",0,IF(ISNUMBER(SEARCH(Brand_Profile!$E$52,Matching_Engine!$BF$23)),1,0)))/Brand_Profile!$E$53*100,0)))</f>
        <v>#REF!</v>
      </c>
      <c r="M23" s="63" t="str">
        <f>IF((IF(ISNUMBER(Matching_Engine!$J$23),Lookup_Lists!$D$332,0)+IF(ISNUMBER(Matching_Engine!$K$23),Lookup_Lists!$D$333,0)+IF(ISNUMBER(Matching_Engine!$L$23),Lookup_Lists!$D$334,0))=0,"N/A",ROUND((IF(ISNUMBER(Matching_Engine!$J$23),Matching_Engine!$J$23*Lookup_Lists!$D$332,0)+IF(ISNUMBER(Matching_Engine!$K$23),Matching_Engine!$K$23*Lookup_Lists!$D$333,0)+IF(ISNUMBER(Matching_Engine!$L$23),Matching_Engine!$L$23*Lookup_Lists!$D$334,0))/(IF(ISNUMBER(Matching_Engine!$J$23),Lookup_Lists!$D$332,0)+IF(ISNUMBER(Matching_Engine!$K$23),Lookup_Lists!$D$333,0)+IF(ISNUMBER(Matching_Engine!$L$23),Lookup_Lists!$D$334,0)),0))</f>
        <v>N/A</v>
      </c>
      <c r="N23" s="42">
        <f>IF(ISNUMBER(Matching_Engine!$M$23),1,0)</f>
        <v>1</v>
      </c>
      <c r="O23" s="65" t="str">
        <f ca="1">IF(NOT(ISNUMBER(IFERROR(INDEX('[1]#REF'!$V$23:'[1]#REF'!$Z$23,1,MATCH(Brand_Profile!$E$11,Lookup_Lists!$F$6:$F$10,0)),""))),"N/A",MIN(100,ROUND((IFERROR(INDEX('[1]#REF'!$V$23:'[1]#REF'!$Z$23,1,MATCH(Brand_Profile!$E$11,Lookup_Lists!$F$6:$F$10,0)),"")+0.5*IF(ISNUMBER(IFERROR(INDEX('[1]#REF'!$V$23:'[1]#REF'!$Z$23,1,MATCH(Brand_Profile!$E$12,Lookup_Lists!$F$6:$F$10,0)),"")),IFERROR(INDEX('[1]#REF'!$V$23:'[1]#REF'!$Z$23,1,MATCH(Brand_Profile!$E$12,Lookup_Lists!$F$6:$F$10,0)),""),0))/Lookup_Lists!$D$142*100,0)))</f>
        <v>N/A</v>
      </c>
      <c r="P23" s="65" t="str">
        <f>IF(Brand_Profile!$E$13="Any",100,IF(NOT(ISNUMBER('[1]#REF'!$AA$23)),"N/A",IF(Brand_Profile!$E$13="Female",MIN(100,ROUND('[1]#REF'!$AA$23/Lookup_Lists!$D$143*100,0)),IF(Brand_Profile!$E$13="Male",MIN(100,ROUND(IF(ISNUMBER('[1]#REF'!$AB$23),'[1]#REF'!$AB$23,100-'[1]#REF'!$AA$23)/Lookup_Lists!$D$143*100,0)),MAX(0,ROUND(100-ABS('[1]#REF'!$AA$23-50)*2,0))))))</f>
        <v>N/A</v>
      </c>
      <c r="Q23" s="65" t="str">
        <f>IF((IF(ISNUMBER(IF(NOT(ISNUMBER('[1]#REF'!$AE$23)),"N/A",IF('[1]#REF'!$AD$23&lt;&gt;Brand_Profile!$E$14,Lookup_Lists!$D$151,MIN(100,ROUND('[1]#REF'!$AE$23/Lookup_Lists!$D$316*100,0))))),Lookup_Lists!$D$118,0)+IF(ISNUMBER(IF(NOT(ISNUMBER('[1]#REF'!$AM$23)),"N/A",MIN(100,ROUND((IF('[1]#REF'!$AG$23=Brand_Profile!$E$15,IF(ISNUMBER('[1]#REF'!$AH$23),'[1]#REF'!$AH$23,0),0)+IF('[1]#REF'!$AI$23=Brand_Profile!$E$15,IF(ISNUMBER('[1]#REF'!$AJ$23),'[1]#REF'!$AJ$23,0),0)+IF('[1]#REF'!$AK$23=Brand_Profile!$E$15,IF(ISNUMBER('[1]#REF'!$AL$23),'[1]#REF'!$AL$23,0),0))/Lookup_Lists!$D$317*100,0)))),Lookup_Lists!$D$120,0))=0,"N/A",ROUND((IF(ISNUMBER(IF(NOT(ISNUMBER('[1]#REF'!$AE$23)),"N/A",IF('[1]#REF'!$AD$23&lt;&gt;Brand_Profile!$E$14,Lookup_Lists!$D$151,MIN(100,ROUND('[1]#REF'!$AE$23/Lookup_Lists!$D$316*100,0))))),IF(NOT(ISNUMBER('[1]#REF'!$AE$23)),"N/A",IF('[1]#REF'!$AD$23&lt;&gt;Brand_Profile!$E$14,Lookup_Lists!$D$151,MIN(100,ROUND('[1]#REF'!$AE$23/Lookup_Lists!$D$316*100,0))))*Lookup_Lists!$D$118,0)+IF(ISNUMBER(IF(NOT(ISNUMBER('[1]#REF'!$AM$23)),"N/A",MIN(100,ROUND((IF('[1]#REF'!$AG$23=Brand_Profile!$E$15,IF(ISNUMBER('[1]#REF'!$AH$23),'[1]#REF'!$AH$23,0),0)+IF('[1]#REF'!$AI$23=Brand_Profile!$E$15,IF(ISNUMBER('[1]#REF'!$AJ$23),'[1]#REF'!$AJ$23,0),0)+IF('[1]#REF'!$AK$23=Brand_Profile!$E$15,IF(ISNUMBER('[1]#REF'!$AL$23),'[1]#REF'!$AL$23,0),0))/Lookup_Lists!$D$317*100,0)))),IF(NOT(ISNUMBER('[1]#REF'!$AM$23)),"N/A",MIN(100,ROUND((IF('[1]#REF'!$AG$23=Brand_Profile!$E$15,IF(ISNUMBER('[1]#REF'!$AH$23),'[1]#REF'!$AH$23,0),0)+IF('[1]#REF'!$AI$23=Brand_Profile!$E$15,IF(ISNUMBER('[1]#REF'!$AJ$23),'[1]#REF'!$AJ$23,0),0)+IF('[1]#REF'!$AK$23=Brand_Profile!$E$15,IF(ISNUMBER('[1]#REF'!$AL$23),'[1]#REF'!$AL$23,0),0))/Lookup_Lists!$D$317*100,0)))*Lookup_Lists!$D$120,0))/(IF(ISNUMBER(IF(NOT(ISNUMBER('[1]#REF'!$AE$23)),"N/A",IF('[1]#REF'!$AD$23&lt;&gt;Brand_Profile!$E$14,Lookup_Lists!$D$151,MIN(100,ROUND('[1]#REF'!$AE$23/Lookup_Lists!$D$316*100,0))))),Lookup_Lists!$D$118,0)+IF(ISNUMBER(IF(NOT(ISNUMBER('[1]#REF'!$AM$23)),"N/A",MIN(100,ROUND((IF('[1]#REF'!$AG$23=Brand_Profile!$E$15,IF(ISNUMBER('[1]#REF'!$AH$23),'[1]#REF'!$AH$23,0),0)+IF('[1]#REF'!$AI$23=Brand_Profile!$E$15,IF(ISNUMBER('[1]#REF'!$AJ$23),'[1]#REF'!$AJ$23,0),0)+IF('[1]#REF'!$AK$23=Brand_Profile!$E$15,IF(ISNUMBER('[1]#REF'!$AL$23),'[1]#REF'!$AL$23,0),0))/Lookup_Lists!$D$317*100,0)))),Lookup_Lists!$D$120,0)),0))</f>
        <v>N/A</v>
      </c>
      <c r="R23" s="65" t="str">
        <f>IF(NOT(ISNUMBER('[1]#REF'!$AN$23)),"N/A",MIN(100,ROUND((IF(ISNUMBER('[1]#REF'!$AO$23),'[1]#REF'!$AO$23*Brand_Profile!$E$17,0)+IF(ISNUMBER('[1]#REF'!$AP$23),'[1]#REF'!$AP$23*Brand_Profile!$E$18,0)+IF(ISNUMBER('[1]#REF'!$AQ$23),'[1]#REF'!$AQ$23*Brand_Profile!$E$19,0)+IF(ISNUMBER('[1]#REF'!$AR$23),'[1]#REF'!$AR$23*Brand_Profile!$E$20,0)+IF(ISNUMBER('[1]#REF'!$AS$23),'[1]#REF'!$AS$23*Brand_Profile!$E$21,0)+IF(ISNUMBER('[1]#REF'!$AT$23),'[1]#REF'!$AT$23*Brand_Profile!$E$22,0)+IF(ISNUMBER('[1]#REF'!$AU$23),'[1]#REF'!$AU$23*Brand_Profile!$E$23,0)+IF(ISNUMBER('[1]#REF'!$AV$23),'[1]#REF'!$AV$23*Brand_Profile!$E$24,0)+IF(ISNUMBER('[1]#REF'!$AW$23),'[1]#REF'!$AW$23*Brand_Profile!$E$25,0)+IF(ISNUMBER('[1]#REF'!$AX$23),'[1]#REF'!$AX$23*Brand_Profile!$E$26,0)+IF(ISNUMBER('[1]#REF'!$AY$23),'[1]#REF'!$AY$23*Brand_Profile!$E$27,0)+IF(ISNUMBER('[1]#REF'!$AZ$23),'[1]#REF'!$AZ$23*Brand_Profile!$E$28,0)+IF(ISNUMBER('[1]#REF'!$BA$23),'[1]#REF'!$BA$23*Brand_Profile!$E$29,0)+IF(ISNUMBER('[1]#REF'!$BB$23),'[1]#REF'!$BB$23*Brand_Profile!$E$30,0)+IF(ISNUMBER('[1]#REF'!$BC$23),'[1]#REF'!$BC$23*Brand_Profile!$E$31,0)+IF(ISNUMBER('[1]#REF'!$BD$23),'[1]#REF'!$BD$23*Brand_Profile!$E$32,0)+IF(ISNUMBER('[1]#REF'!$BE$23),'[1]#REF'!$BE$23*Brand_Profile!$E$33,0)+IF(ISNUMBER('[1]#REF'!$BF$23),'[1]#REF'!$BF$23*Brand_Profile!$E$34,0))/Lookup_Lists!$D$318*100,0)))</f>
        <v>N/A</v>
      </c>
      <c r="S23" s="63">
        <f ca="1">IF((IF(ISNUMBER(Matching_Engine!$O$23),Lookup_Lists!$D$113,0)+IF(ISNUMBER(Matching_Engine!$P$23),Lookup_Lists!$D$114,0)+IF(ISNUMBER(Matching_Engine!$Q$23),Lookup_Lists!$D$115,0)+IF(ISNUMBER(Matching_Engine!$R$23),Lookup_Lists!$D$116,0))=0,"N/A",ROUND((IF(ISNUMBER(Matching_Engine!$O$23),Matching_Engine!$O$23*Lookup_Lists!$D$113,0)+IF(ISNUMBER(Matching_Engine!$P$23),Matching_Engine!$P$23*Lookup_Lists!$D$114,0)+IF(ISNUMBER(Matching_Engine!$Q$23),Matching_Engine!$Q$23*Lookup_Lists!$D$115,0)+IF(ISNUMBER(Matching_Engine!$R$23),Matching_Engine!$R$23*Lookup_Lists!$D$116,0))/(IF(ISNUMBER(Matching_Engine!$O$23),Lookup_Lists!$D$113,0)+IF(ISNUMBER(Matching_Engine!$P$23),Lookup_Lists!$D$114,0)+IF(ISNUMBER(Matching_Engine!$Q$23),Lookup_Lists!$D$115,0)+IF(ISNUMBER(Matching_Engine!$R$23),Lookup_Lists!$D$116,0)),0))</f>
        <v>66</v>
      </c>
      <c r="T23" s="42">
        <f ca="1">IF(ISNUMBER(Matching_Engine!$S$23),1,0)</f>
        <v>1</v>
      </c>
      <c r="U23" s="65" t="e">
        <f>IF(NOT(AND(ISTEXT('[1]#REF'!$M$23),'[1]#REF'!$M$23&lt;&gt;"N/A")),Lookup_Lists!$D$150,IF(Brand_Profile!$E$7='[1]#REF'!$M$23,100,IFERROR(INDEX(Lookup_Lists!$B$349:$J$357,MATCH(Brand_Profile!$E$7,Lookup_Lists!$A$349:$A$357,0),MATCH('[1]#REF'!$M$23,Lookup_Lists!$B$348:$J$348,0)),Lookup_Lists!$D$151)))</f>
        <v>#REF!</v>
      </c>
      <c r="V23" s="65" t="e">
        <f>IF(NOT(AND(ISTEXT('[1]#REF'!$P$23),'[1]#REF'!$P$23&lt;&gt;"N/A")),"N/A",IFERROR(INDEX(Lookup_Lists!$B$349:$J$357,MATCH(Brand_Profile!$E$7,Lookup_Lists!$A$349:$A$357,0),MATCH('[1]#REF'!$P$23,Lookup_Lists!$B$348:$J$348,0)),Lookup_Lists!$D$151))</f>
        <v>#REF!</v>
      </c>
      <c r="W23" s="65" t="e">
        <f>IF(LEN(TRIM(SUBSTITUTE(Matching_Engine!$BE$23,"|","")))=0,"N/A",IF(Brand_Profile!$E$60=0,Lookup_Lists!$D$150,ROUND((IF(Brand_Profile!$E$54="",0,IF(ISNUMBER(SEARCH(Brand_Profile!$E$54,Matching_Engine!$BE$23)),1,0))+IF(Brand_Profile!$E$55="",0,IF(ISNUMBER(SEARCH(Brand_Profile!$E$55,Matching_Engine!$BE$23)),1,0))+IF(Brand_Profile!$E$56="",0,IF(ISNUMBER(SEARCH(Brand_Profile!$E$56,Matching_Engine!$BE$23)),1,0))+IF(Brand_Profile!$E$57="",0,IF(ISNUMBER(SEARCH(Brand_Profile!$E$57,Matching_Engine!$BE$23)),1,0))+IF(Brand_Profile!$E$58="",0,IF(ISNUMBER(SEARCH(Brand_Profile!$E$58,Matching_Engine!$BE$23)),1,0))+IF(Brand_Profile!$E$59="",0,IF(ISNUMBER(SEARCH(Brand_Profile!$E$59,Matching_Engine!$BE$23)),1,0)))/Brand_Profile!$E$60*100,0)))</f>
        <v>#VALUE!</v>
      </c>
      <c r="X23" s="65" t="e">
        <f>IF(NOT(AND(ISTEXT('[1]#REF'!$Q$23),'[1]#REF'!$Q$23&lt;&gt;"N/A")),"N/A",Lookup_Lists!$D$150)</f>
        <v>#REF!</v>
      </c>
      <c r="Y23" s="63">
        <f>IF((IF(ISNUMBER(Matching_Engine!$U$23),Lookup_Lists!$D$335,0)+IF(ISNUMBER(Matching_Engine!$V$23),Lookup_Lists!$D$122,0)+IF(ISNUMBER(Matching_Engine!$W$23),Lookup_Lists!$D$336,0)+IF(ISNUMBER(Matching_Engine!$X$23),Lookup_Lists!$D$124,0))=0,"N/A",ROUND((IF(ISNUMBER(Matching_Engine!$U$23),Matching_Engine!$U$23*Lookup_Lists!$D$335,0)+IF(ISNUMBER(Matching_Engine!$V$23),Matching_Engine!$V$23*Lookup_Lists!$D$122,0)+IF(ISNUMBER(Matching_Engine!$W$23),Matching_Engine!$W$23*Lookup_Lists!$D$336,0)+IF(ISNUMBER(Matching_Engine!$X$23),Matching_Engine!$X$23*Lookup_Lists!$D$124,0))/(IF(ISNUMBER(Matching_Engine!$U$23),Lookup_Lists!$D$335,0)+IF(ISNUMBER(Matching_Engine!$V$23),Lookup_Lists!$D$122,0)+IF(ISNUMBER(Matching_Engine!$W$23),Lookup_Lists!$D$336,0)+IF(ISNUMBER(Matching_Engine!$X$23),Lookup_Lists!$D$124,0)),0))</f>
        <v>23</v>
      </c>
      <c r="Z23" s="42">
        <f>IF(ISNUMBER(Matching_Engine!$Y$23),1,0)</f>
        <v>1</v>
      </c>
      <c r="AA23" s="65" t="e">
        <f>IF(NOT(AND(ISTEXT('[1]#REF'!$Q$23),'[1]#REF'!$Q$23&lt;&gt;"N/A")),"N/A",Lookup_Lists!$D$150)</f>
        <v>#REF!</v>
      </c>
      <c r="AB23" s="65" t="e">
        <f>IF(NOT(AND(ISTEXT('[1]#REF'!$Q$23),'[1]#REF'!$Q$23&lt;&gt;"N/A")),"N/A",Lookup_Lists!$D$150)</f>
        <v>#REF!</v>
      </c>
      <c r="AC23" s="65" t="str">
        <f t="shared" si="0"/>
        <v>N/A</v>
      </c>
      <c r="AD23" s="65" t="e">
        <f>IF(NOT(AND(ISTEXT('[1]#REF'!$Q$23),'[1]#REF'!$Q$23&lt;&gt;"N/A")),"N/A",Lookup_Lists!$D$150)</f>
        <v>#REF!</v>
      </c>
      <c r="AE23" s="63">
        <f>IF((IF(ISNUMBER(Matching_Engine!$AA$23),Lookup_Lists!$D$125,0)+IF(ISNUMBER(Matching_Engine!$AB$23),Lookup_Lists!$D$126,0)+IF(ISNUMBER(Matching_Engine!$AC$23),Lookup_Lists!$D$127,0)+IF(ISNUMBER(Matching_Engine!$AD$23),Lookup_Lists!$D$128,0))=0,"N/A",ROUND((IF(ISNUMBER(Matching_Engine!$AA$23),Matching_Engine!$AA$23*Lookup_Lists!$D$125,0)+IF(ISNUMBER(Matching_Engine!$AB$23),Matching_Engine!$AB$23*Lookup_Lists!$D$126,0)+IF(ISNUMBER(Matching_Engine!$AC$23),Matching_Engine!$AC$23*Lookup_Lists!$D$127,0)+IF(ISNUMBER(Matching_Engine!$AD$23),Matching_Engine!$AD$23*Lookup_Lists!$D$128,0))/(IF(ISNUMBER(Matching_Engine!$AA$23),Lookup_Lists!$D$125,0)+IF(ISNUMBER(Matching_Engine!$AB$23),Lookup_Lists!$D$126,0)+IF(ISNUMBER(Matching_Engine!$AC$23),Lookup_Lists!$D$127,0)+IF(ISNUMBER(Matching_Engine!$AD$23),Lookup_Lists!$D$128,0)),0))</f>
        <v>36</v>
      </c>
      <c r="AF23" s="42">
        <f>IF(ISNUMBER(Matching_Engine!$AE$23),1,0)</f>
        <v>1</v>
      </c>
      <c r="AG23" s="65" t="str">
        <f>IF(NOT(ISNUMBER('[1]#REF'!$BG$23)),"N/A",MIN(100,ROUND('[1]#REF'!$BG$23/IFERROR(INDEX(Lookup_Lists!$B$340:$B$344,MATCH('[1]#REF'!$H$23,Lookup_Lists!$A$340:$A$344,0)),Lookup_Lists!$D$141)*100,0)))</f>
        <v>N/A</v>
      </c>
      <c r="AH23" s="65" t="str">
        <f>IF(NOT(ISNUMBER('[1]#REF'!$BS$23)),"N/A",MIN(100,MAX(0,'[1]#REF'!$BS$23)))</f>
        <v>N/A</v>
      </c>
      <c r="AI23" s="65" t="e">
        <f>IF(OR(NOT(ISNUMBER('[1]#REF'!$BM$23)),NOT(ISNUMBER('[1]#REF'!$BN$23)),'[1]#REF'!$BN$23&lt;Lookup_Lists!$D$320),"N/A",MIN(100,ROUND('[1]#REF'!$BM$23/Lookup_Lists!$D$319*100,0)))</f>
        <v>#REF!</v>
      </c>
      <c r="AJ23" s="65" t="str">
        <f>IF(NOT(ISNUMBER('[1]#REF'!$BR$23)),"N/A",'[1]#REF'!$BR$23)</f>
        <v>N/A</v>
      </c>
      <c r="AK23" s="65" t="str">
        <f>IF(NOT(ISNUMBER('[1]#REF'!$BK$23)),"N/A",MIN(100,ROUND('[1]#REF'!$BK$23/Lookup_Lists!$D$321*100,0)))</f>
        <v>N/A</v>
      </c>
      <c r="AL23" s="65" t="str">
        <f>IF(NOT(ISNUMBER('[1]#REF'!$BP$23)),"N/A",MIN(100,MAX(0,ROUND(('[1]#REF'!$BP$23+2)/(Lookup_Lists!$D$145+2)*100,0))))</f>
        <v>N/A</v>
      </c>
      <c r="AM23" s="63">
        <f>IF((IF(ISNUMBER(Matching_Engine!$AG$23),Lookup_Lists!$D$129,0)+IF(ISNUMBER(Matching_Engine!$AH$23),Lookup_Lists!$D$130,0)+IF(ISNUMBER(Matching_Engine!$AI$23),Lookup_Lists!$D$131,0)+IF(ISNUMBER(Matching_Engine!$AJ$23),Lookup_Lists!$D$132,0)+IF(ISNUMBER(Matching_Engine!$AK$23),Lookup_Lists!$D$133,0)+IF(ISNUMBER(Matching_Engine!$AL$23),Lookup_Lists!$D$134,0))=0,"N/A",ROUND((IF(ISNUMBER(Matching_Engine!$AG$23),Matching_Engine!$AG$23*Lookup_Lists!$D$129,0)+IF(ISNUMBER(Matching_Engine!$AH$23),Matching_Engine!$AH$23*Lookup_Lists!$D$130,0)+IF(ISNUMBER(Matching_Engine!$AI$23),Matching_Engine!$AI$23*Lookup_Lists!$D$131,0)+IF(ISNUMBER(Matching_Engine!$AJ$23),Matching_Engine!$AJ$23*Lookup_Lists!$D$132,0)+IF(ISNUMBER(Matching_Engine!$AK$23),Matching_Engine!$AK$23*Lookup_Lists!$D$133,0)+IF(ISNUMBER(Matching_Engine!$AL$23),Matching_Engine!$AL$23*Lookup_Lists!$D$134,0))/(IF(ISNUMBER(Matching_Engine!$AG$23),Lookup_Lists!$D$129,0)+IF(ISNUMBER(Matching_Engine!$AH$23),Lookup_Lists!$D$130,0)+IF(ISNUMBER(Matching_Engine!$AI$23),Lookup_Lists!$D$131,0)+IF(ISNUMBER(Matching_Engine!$AJ$23),Lookup_Lists!$D$132,0)+IF(ISNUMBER(Matching_Engine!$AK$23),Lookup_Lists!$D$133,0)+IF(ISNUMBER(Matching_Engine!$AL$23),Lookup_Lists!$D$134,0)),0))</f>
        <v>73</v>
      </c>
      <c r="AN23" s="42">
        <f>IF(ISNUMBER(Matching_Engine!$AM$23),1,0)</f>
        <v>0</v>
      </c>
      <c r="AO23" s="65" t="str">
        <f>IF(NOT(ISNUMBER('[1]#REF'!$BT$23)),"N/A",MIN(100,MAX(0,'[1]#REF'!$BT$23)))</f>
        <v>N/A</v>
      </c>
      <c r="AP23" s="65" t="str">
        <f>IF(NOT(ISNUMBER('[1]#REF'!$BU$23)),"N/A",MIN(100,MAX(0,'[1]#REF'!$BU$23)))</f>
        <v>N/A</v>
      </c>
      <c r="AQ23" s="65" t="e">
        <f>IF('[1]#REF'!$I$23="Yes",Lookup_Lists!$D$326,IF('[1]#REF'!$I$23="No",Lookup_Lists!$D$327,"N/A"))</f>
        <v>#REF!</v>
      </c>
      <c r="AR23" s="65" t="str">
        <f>IF(NOT(ISNUMBER('[1]#REF'!$BQ$23)),"N/A",MAX(0,ROUND(100-'[1]#REF'!$BQ$23/Lookup_Lists!$D$328*100,0)))</f>
        <v>N/A</v>
      </c>
      <c r="AS23" s="65" t="e">
        <f>IF(NOT(AND(ISTEXT('[1]#REF'!$BV$23),'[1]#REF'!$BV$23&lt;&gt;"N/A")),"N/A",'[1]#REF'!$BV$23)</f>
        <v>#REF!</v>
      </c>
      <c r="AT23" s="63" t="str">
        <f ca="1">IF((IF(ISNUMBER(Matching_Engine!$AO$23),Lookup_Lists!$D$322,0)+IF(ISNUMBER(Matching_Engine!$AP$23),Lookup_Lists!$D$323,0)+IF(ISNUMBER(Matching_Engine!$AQ$23),Lookup_Lists!$D$324,0)+IF(ISNUMBER(Matching_Engine!$AR$23),Lookup_Lists!$D$325,0))=0,"N/A",ROUND((IF(ISNUMBER(Matching_Engine!$AO$23),Matching_Engine!$AO$23*Lookup_Lists!$D$322,0)+IF(ISNUMBER(Matching_Engine!$AP$23),Matching_Engine!$AP$23*Lookup_Lists!$D$323,0)+IF(ISNUMBER(Matching_Engine!$AQ$23),Matching_Engine!$AQ$23*Lookup_Lists!$D$324,0)+IF(ISNUMBER(Matching_Engine!$AR$23),Matching_Engine!$AR$23*Lookup_Lists!$D$325,0))/(IF(ISNUMBER(Matching_Engine!$AO$23),Lookup_Lists!$D$322,0)+IF(ISNUMBER(Matching_Engine!$AP$23),Lookup_Lists!$D$323,0)+IF(ISNUMBER(Matching_Engine!$AQ$23),Lookup_Lists!$D$324,0)+IF(ISNUMBER(Matching_Engine!$AR$23),Lookup_Lists!$D$325,0)),0))</f>
        <v>N/A</v>
      </c>
      <c r="AU23" s="42">
        <f>IF(ISNUMBER(Matching_Engine!$AT$23),1,0)</f>
        <v>1</v>
      </c>
      <c r="AV23" s="42" t="str">
        <f>IF(NOT(ISNUMBER(Matching_Engine!$AT$23)),"Not Screened",IF(Matching_Engine!$AT$23&gt;=Lookup_Lists!$D$329,"Low Risk",IF(Matching_Engine!$AT$23&gt;=Lookup_Lists!$D$330,"Moderate Risk",IF(Matching_Engine!$AT$23&gt;=Lookup_Lists!$D$331,"Elevated Risk","High Risk"))))</f>
        <v>Low Risk</v>
      </c>
      <c r="AW23" s="42" t="e">
        <f ca="1">IF(NOT(ISNUMBER(Matching_Engine!$AT$23)),"No integrity signal: no audience-analysis row for this account.","Integrity screen only — no content-risk reading exists (comments_analysis: 0 rows). "&amp;IF(ISNUMBER(Matching_Engine!$AO$23),"Authenticity "&amp;Matching_Engine!$AO$23&amp;". ","Authenticity N/A. ")&amp;IF(ISNUMBER(Matching_Engine!$AP$23),"Follower quality "&amp;Matching_Engine!$AP$23&amp;". ","Follower quality N/A. ")&amp;IF('[1]#REF'!$I$23="Yes","Platform-verified.","Not platform-verified."))</f>
        <v>#REF!</v>
      </c>
      <c r="AX23" s="65">
        <f>Matching_Engine!$N$23*Lookup_Lists!$D$104+Matching_Engine!$T$23*Lookup_Lists!$D$105+Matching_Engine!$Z$23*Lookup_Lists!$D$106+Matching_Engine!$AF$23*Lookup_Lists!$D$107+Matching_Engine!$AN$23*Lookup_Lists!$D$108+Matching_Engine!$AU$23*Lookup_Lists!$D$109</f>
        <v>3740</v>
      </c>
      <c r="AY23" s="74" t="e">
        <f ca="1">IF(Matching_Engine!$AX$23=0,"N/A",ROUND((IF(Matching_Engine!$N$23=1,Matching_Engine!$M$23*Lookup_Lists!$D$104,0)+IF(Matching_Engine!$T$23=1,Matching_Engine!$S$23*Lookup_Lists!$D$105,0)+IF(Matching_Engine!$Z$23=1,Matching_Engine!$Y$23*Lookup_Lists!$D$106,0)+IF(Matching_Engine!$AF$23=1,Matching_Engine!$AE$23*Lookup_Lists!$D$107,0)+IF(Matching_Engine!$AN$23=1,Matching_Engine!$AM$23*Lookup_Lists!$D$108,0)+IF(Matching_Engine!$AU$23=1,Matching_Engine!$AT$23*Lookup_Lists!$D$109,0))/Matching_Engine!$AX$23,0))</f>
        <v>#VALUE!</v>
      </c>
      <c r="AZ23" s="42" t="str">
        <f ca="1">IF(NOT(ISNUMBER(Matching_Engine!$AY$23)),"Not Scored",IF(Matching_Engine!$AY$23&gt;=Lookup_Lists!$D$152,"Excellent Match",IF(Matching_Engine!$AY$23&gt;=Lookup_Lists!$D$153,"Strong Match",IF(Matching_Engine!$AY$23&gt;=Lookup_Lists!$D$154,"Good Match",IF(Matching_Engine!$AY$23&gt;=Lookup_Lists!$D$155,"Moderate Match","Low Match")))))</f>
        <v>Low Match</v>
      </c>
      <c r="BA23" s="65" t="e">
        <f>'[1]#REF'!$BW$23</f>
        <v>#REF!</v>
      </c>
      <c r="BB23" s="42" t="e">
        <f>'[1]#REF'!$BX$23</f>
        <v>#REF!</v>
      </c>
      <c r="BC23" s="65">
        <f ca="1">IF(NOT(ISNUMBER(Matching_Engine!$AY$23)),-1,Matching_Engine!$AY$23*1000+7)</f>
        <v>48007</v>
      </c>
      <c r="BD23" s="42" t="e">
        <f>IF(AND(ISTEXT('[1]#REF'!$S$23),'[1]#REF'!$S$23&lt;&gt;"N/A"),'[1]#REF'!$S$23,"")&amp;" | "&amp;IF(AND(ISTEXT('[1]#REF'!$T$23),'[1]#REF'!$T$23&lt;&gt;"N/A"),'[1]#REF'!$T$23,"")&amp;" | "&amp;IF(AND(ISTEXT('[1]#REF'!$N$23),'[1]#REF'!$N$23&lt;&gt;"N/A"),'[1]#REF'!$N$23,"")&amp;" | "&amp;IF(AND(ISTEXT('[1]#REF'!$K$23),'[1]#REF'!$K$23&lt;&gt;"N/A"),'[1]#REF'!$K$23,"")&amp;" | "&amp;IF(AND(ISTEXT('[1]#REF'!$J$23),'[1]#REF'!$J$23&lt;&gt;"N/A"),'[1]#REF'!$J$23,"")</f>
        <v>#REF!</v>
      </c>
      <c r="BE23" s="42" t="e">
        <f>IF(AND(ISTEXT('[1]#REF'!$T$23),'[1]#REF'!$T$23&lt;&gt;"N/A"),'[1]#REF'!$T$23,"")&amp;" | "&amp;IF(AND(ISTEXT('[1]#REF'!$N$23),'[1]#REF'!$N$23&lt;&gt;"N/A"),'[1]#REF'!$N$23,"")&amp;" | "&amp;IF(AND(ISTEXT('[1]#REF'!$O$23),'[1]#REF'!$O$23&lt;&gt;"N/A"),'[1]#REF'!$O$23,"")&amp;" | "&amp;IF(AND(ISTEXT('[1]#REF'!$S$23),'[1]#REF'!$S$23&lt;&gt;"N/A"),'[1]#REF'!$S$23,"")</f>
        <v>#REF!</v>
      </c>
      <c r="BF23" s="42" t="e">
        <f>IF(AND(ISTEXT('[1]#REF'!$U$23),'[1]#REF'!$U$23&lt;&gt;"N/A"),'[1]#REF'!$U$23,"")</f>
        <v>#REF!</v>
      </c>
      <c r="BG23" s="42" t="str">
        <f>Matching_Engine!$A$23&amp;"|"&amp;Matching_Engine!$C$23</f>
        <v>BRAND-A|KOL-18</v>
      </c>
    </row>
    <row r="24" spans="1:59">
      <c r="A24" s="64" t="s">
        <v>2527</v>
      </c>
      <c r="B24" s="42" t="str">
        <f>Brand_Profile!$E$6</f>
        <v>BRAND-B</v>
      </c>
      <c r="C24" s="42" t="e">
        <f>'[1]#REF'!$A$24</f>
        <v>#REF!</v>
      </c>
      <c r="D24" s="42" t="e">
        <f>'[1]#REF'!$C$24</f>
        <v>#REF!</v>
      </c>
      <c r="E24" s="42" t="e">
        <f>'[1]#REF'!$D$24</f>
        <v>#REF!</v>
      </c>
      <c r="F24" s="42" t="e">
        <f>'[1]#REF'!$E$24</f>
        <v>#REF!</v>
      </c>
      <c r="G24" s="42" t="e">
        <f>'[1]#REF'!$K$24</f>
        <v>#REF!</v>
      </c>
      <c r="H24" s="72" t="e">
        <f>'[1]#REF'!$G$24</f>
        <v>#REF!</v>
      </c>
      <c r="I24" s="73" t="e">
        <f>'[1]#REF'!$BG$24</f>
        <v>#REF!</v>
      </c>
      <c r="J24" s="65" t="e">
        <f>IF(NOT(AND(ISTEXT('[1]#REF'!$K$24),'[1]#REF'!$K$24&lt;&gt;"N/A")),Lookup_Lists!$D$150,IF(Brand_Profile!$E$7='[1]#REF'!$K$24,100,IFERROR(INDEX(Lookup_Lists!$B$349:$J$357,MATCH(Brand_Profile!$E$7,Lookup_Lists!$A$349:$A$357,0),MATCH('[1]#REF'!$K$24,Lookup_Lists!$B$348:$J$348,0)),Lookup_Lists!$D$151)))</f>
        <v>#REF!</v>
      </c>
      <c r="K24" s="65" t="e">
        <f>IF(LEN(TRIM(SUBSTITUTE(Matching_Engine!$BD$24,"|","")))=0,"N/A",IF(Brand_Profile!$E$47=0,Lookup_Lists!$D$150,ROUND((IF(Brand_Profile!$E$41="",0,IF(ISNUMBER(SEARCH(Brand_Profile!$E$41,Matching_Engine!$BD$24)),1,0))+IF(Brand_Profile!$E$42="",0,IF(ISNUMBER(SEARCH(Brand_Profile!$E$42,Matching_Engine!$BD$24)),1,0))+IF(Brand_Profile!$E$43="",0,IF(ISNUMBER(SEARCH(Brand_Profile!$E$43,Matching_Engine!$BD$24)),1,0))+IF(Brand_Profile!$E$44="",0,IF(ISNUMBER(SEARCH(Brand_Profile!$E$44,Matching_Engine!$BD$24)),1,0))+IF(Brand_Profile!$E$45="",0,IF(ISNUMBER(SEARCH(Brand_Profile!$E$45,Matching_Engine!$BD$24)),1,0))+IF(Brand_Profile!$E$46="",0,IF(ISNUMBER(SEARCH(Brand_Profile!$E$46,Matching_Engine!$BD$24)),1,0)))/Brand_Profile!$E$47*100,0)))</f>
        <v>#VALUE!</v>
      </c>
      <c r="L24" s="65" t="e">
        <f>IF(NOT(AND(ISTEXT('[1]#REF'!$U$24),'[1]#REF'!$U$24&lt;&gt;"N/A")),"N/A",IF(Brand_Profile!$E$53=0,Lookup_Lists!$D$150,ROUND((IF(Brand_Profile!$E$48="",0,IF(ISNUMBER(SEARCH(Brand_Profile!$E$48,Matching_Engine!$BF$24)),1,0))+IF(Brand_Profile!$E$49="",0,IF(ISNUMBER(SEARCH(Brand_Profile!$E$49,Matching_Engine!$BF$24)),1,0))+IF(Brand_Profile!$E$50="",0,IF(ISNUMBER(SEARCH(Brand_Profile!$E$50,Matching_Engine!$BF$24)),1,0))+IF(Brand_Profile!$E$51="",0,IF(ISNUMBER(SEARCH(Brand_Profile!$E$51,Matching_Engine!$BF$24)),1,0))+IF(Brand_Profile!$E$52="",0,IF(ISNUMBER(SEARCH(Brand_Profile!$E$52,Matching_Engine!$BF$24)),1,0)))/Brand_Profile!$E$53*100,0)))</f>
        <v>#REF!</v>
      </c>
      <c r="M24" s="63" t="str">
        <f>IF((IF(ISNUMBER(Matching_Engine!$J$24),Lookup_Lists!$D$332,0)+IF(ISNUMBER(Matching_Engine!$K$24),Lookup_Lists!$D$333,0)+IF(ISNUMBER(Matching_Engine!$L$24),Lookup_Lists!$D$334,0))=0,"N/A",ROUND((IF(ISNUMBER(Matching_Engine!$J$24),Matching_Engine!$J$24*Lookup_Lists!$D$332,0)+IF(ISNUMBER(Matching_Engine!$K$24),Matching_Engine!$K$24*Lookup_Lists!$D$333,0)+IF(ISNUMBER(Matching_Engine!$L$24),Matching_Engine!$L$24*Lookup_Lists!$D$334,0))/(IF(ISNUMBER(Matching_Engine!$J$24),Lookup_Lists!$D$332,0)+IF(ISNUMBER(Matching_Engine!$K$24),Lookup_Lists!$D$333,0)+IF(ISNUMBER(Matching_Engine!$L$24),Lookup_Lists!$D$334,0)),0))</f>
        <v>N/A</v>
      </c>
      <c r="N24" s="42">
        <f>IF(ISNUMBER(Matching_Engine!$M$24),1,0)</f>
        <v>1</v>
      </c>
      <c r="O24" s="65" t="str">
        <f ca="1">IF(NOT(ISNUMBER(IFERROR(INDEX('[1]#REF'!$V$24:'[1]#REF'!$Z$24,1,MATCH(Brand_Profile!$E$11,Lookup_Lists!$F$6:$F$10,0)),""))),"N/A",MIN(100,ROUND((IFERROR(INDEX('[1]#REF'!$V$24:'[1]#REF'!$Z$24,1,MATCH(Brand_Profile!$E$11,Lookup_Lists!$F$6:$F$10,0)),"")+0.5*IF(ISNUMBER(IFERROR(INDEX('[1]#REF'!$V$24:'[1]#REF'!$Z$24,1,MATCH(Brand_Profile!$E$12,Lookup_Lists!$F$6:$F$10,0)),"")),IFERROR(INDEX('[1]#REF'!$V$24:'[1]#REF'!$Z$24,1,MATCH(Brand_Profile!$E$12,Lookup_Lists!$F$6:$F$10,0)),""),0))/Lookup_Lists!$D$142*100,0)))</f>
        <v>N/A</v>
      </c>
      <c r="P24" s="65" t="str">
        <f>IF(Brand_Profile!$E$13="Any",100,IF(NOT(ISNUMBER('[1]#REF'!$AA$24)),"N/A",IF(Brand_Profile!$E$13="Female",MIN(100,ROUND('[1]#REF'!$AA$24/Lookup_Lists!$D$143*100,0)),IF(Brand_Profile!$E$13="Male",MIN(100,ROUND(IF(ISNUMBER('[1]#REF'!$AB$24),'[1]#REF'!$AB$24,100-'[1]#REF'!$AA$24)/Lookup_Lists!$D$143*100,0)),MAX(0,ROUND(100-ABS('[1]#REF'!$AA$24-50)*2,0))))))</f>
        <v>N/A</v>
      </c>
      <c r="Q24" s="65" t="str">
        <f>IF((IF(ISNUMBER(IF(NOT(ISNUMBER('[1]#REF'!$AE$24)),"N/A",IF('[1]#REF'!$AD$24&lt;&gt;Brand_Profile!$E$14,Lookup_Lists!$D$151,MIN(100,ROUND('[1]#REF'!$AE$24/Lookup_Lists!$D$316*100,0))))),Lookup_Lists!$D$118,0)+IF(ISNUMBER(IF(NOT(ISNUMBER('[1]#REF'!$AM$24)),"N/A",MIN(100,ROUND((IF('[1]#REF'!$AG$24=Brand_Profile!$E$15,IF(ISNUMBER('[1]#REF'!$AH$24),'[1]#REF'!$AH$24,0),0)+IF('[1]#REF'!$AI$24=Brand_Profile!$E$15,IF(ISNUMBER('[1]#REF'!$AJ$24),'[1]#REF'!$AJ$24,0),0)+IF('[1]#REF'!$AK$24=Brand_Profile!$E$15,IF(ISNUMBER('[1]#REF'!$AL$24),'[1]#REF'!$AL$24,0),0))/Lookup_Lists!$D$317*100,0)))),Lookup_Lists!$D$120,0))=0,"N/A",ROUND((IF(ISNUMBER(IF(NOT(ISNUMBER('[1]#REF'!$AE$24)),"N/A",IF('[1]#REF'!$AD$24&lt;&gt;Brand_Profile!$E$14,Lookup_Lists!$D$151,MIN(100,ROUND('[1]#REF'!$AE$24/Lookup_Lists!$D$316*100,0))))),IF(NOT(ISNUMBER('[1]#REF'!$AE$24)),"N/A",IF('[1]#REF'!$AD$24&lt;&gt;Brand_Profile!$E$14,Lookup_Lists!$D$151,MIN(100,ROUND('[1]#REF'!$AE$24/Lookup_Lists!$D$316*100,0))))*Lookup_Lists!$D$118,0)+IF(ISNUMBER(IF(NOT(ISNUMBER('[1]#REF'!$AM$24)),"N/A",MIN(100,ROUND((IF('[1]#REF'!$AG$24=Brand_Profile!$E$15,IF(ISNUMBER('[1]#REF'!$AH$24),'[1]#REF'!$AH$24,0),0)+IF('[1]#REF'!$AI$24=Brand_Profile!$E$15,IF(ISNUMBER('[1]#REF'!$AJ$24),'[1]#REF'!$AJ$24,0),0)+IF('[1]#REF'!$AK$24=Brand_Profile!$E$15,IF(ISNUMBER('[1]#REF'!$AL$24),'[1]#REF'!$AL$24,0),0))/Lookup_Lists!$D$317*100,0)))),IF(NOT(ISNUMBER('[1]#REF'!$AM$24)),"N/A",MIN(100,ROUND((IF('[1]#REF'!$AG$24=Brand_Profile!$E$15,IF(ISNUMBER('[1]#REF'!$AH$24),'[1]#REF'!$AH$24,0),0)+IF('[1]#REF'!$AI$24=Brand_Profile!$E$15,IF(ISNUMBER('[1]#REF'!$AJ$24),'[1]#REF'!$AJ$24,0),0)+IF('[1]#REF'!$AK$24=Brand_Profile!$E$15,IF(ISNUMBER('[1]#REF'!$AL$24),'[1]#REF'!$AL$24,0),0))/Lookup_Lists!$D$317*100,0)))*Lookup_Lists!$D$120,0))/(IF(ISNUMBER(IF(NOT(ISNUMBER('[1]#REF'!$AE$24)),"N/A",IF('[1]#REF'!$AD$24&lt;&gt;Brand_Profile!$E$14,Lookup_Lists!$D$151,MIN(100,ROUND('[1]#REF'!$AE$24/Lookup_Lists!$D$316*100,0))))),Lookup_Lists!$D$118,0)+IF(ISNUMBER(IF(NOT(ISNUMBER('[1]#REF'!$AM$24)),"N/A",MIN(100,ROUND((IF('[1]#REF'!$AG$24=Brand_Profile!$E$15,IF(ISNUMBER('[1]#REF'!$AH$24),'[1]#REF'!$AH$24,0),0)+IF('[1]#REF'!$AI$24=Brand_Profile!$E$15,IF(ISNUMBER('[1]#REF'!$AJ$24),'[1]#REF'!$AJ$24,0),0)+IF('[1]#REF'!$AK$24=Brand_Profile!$E$15,IF(ISNUMBER('[1]#REF'!$AL$24),'[1]#REF'!$AL$24,0),0))/Lookup_Lists!$D$317*100,0)))),Lookup_Lists!$D$120,0)),0))</f>
        <v>N/A</v>
      </c>
      <c r="R24" s="65" t="str">
        <f>IF(NOT(ISNUMBER('[1]#REF'!$AN$24)),"N/A",MIN(100,ROUND((IF(ISNUMBER('[1]#REF'!$AO$24),'[1]#REF'!$AO$24*Brand_Profile!$E$17,0)+IF(ISNUMBER('[1]#REF'!$AP$24),'[1]#REF'!$AP$24*Brand_Profile!$E$18,0)+IF(ISNUMBER('[1]#REF'!$AQ$24),'[1]#REF'!$AQ$24*Brand_Profile!$E$19,0)+IF(ISNUMBER('[1]#REF'!$AR$24),'[1]#REF'!$AR$24*Brand_Profile!$E$20,0)+IF(ISNUMBER('[1]#REF'!$AS$24),'[1]#REF'!$AS$24*Brand_Profile!$E$21,0)+IF(ISNUMBER('[1]#REF'!$AT$24),'[1]#REF'!$AT$24*Brand_Profile!$E$22,0)+IF(ISNUMBER('[1]#REF'!$AU$24),'[1]#REF'!$AU$24*Brand_Profile!$E$23,0)+IF(ISNUMBER('[1]#REF'!$AV$24),'[1]#REF'!$AV$24*Brand_Profile!$E$24,0)+IF(ISNUMBER('[1]#REF'!$AW$24),'[1]#REF'!$AW$24*Brand_Profile!$E$25,0)+IF(ISNUMBER('[1]#REF'!$AX$24),'[1]#REF'!$AX$24*Brand_Profile!$E$26,0)+IF(ISNUMBER('[1]#REF'!$AY$24),'[1]#REF'!$AY$24*Brand_Profile!$E$27,0)+IF(ISNUMBER('[1]#REF'!$AZ$24),'[1]#REF'!$AZ$24*Brand_Profile!$E$28,0)+IF(ISNUMBER('[1]#REF'!$BA$24),'[1]#REF'!$BA$24*Brand_Profile!$E$29,0)+IF(ISNUMBER('[1]#REF'!$BB$24),'[1]#REF'!$BB$24*Brand_Profile!$E$30,0)+IF(ISNUMBER('[1]#REF'!$BC$24),'[1]#REF'!$BC$24*Brand_Profile!$E$31,0)+IF(ISNUMBER('[1]#REF'!$BD$24),'[1]#REF'!$BD$24*Brand_Profile!$E$32,0)+IF(ISNUMBER('[1]#REF'!$BE$24),'[1]#REF'!$BE$24*Brand_Profile!$E$33,0)+IF(ISNUMBER('[1]#REF'!$BF$24),'[1]#REF'!$BF$24*Brand_Profile!$E$34,0))/Lookup_Lists!$D$318*100,0)))</f>
        <v>N/A</v>
      </c>
      <c r="S24" s="63">
        <f ca="1">IF((IF(ISNUMBER(Matching_Engine!$O$24),Lookup_Lists!$D$113,0)+IF(ISNUMBER(Matching_Engine!$P$24),Lookup_Lists!$D$114,0)+IF(ISNUMBER(Matching_Engine!$Q$24),Lookup_Lists!$D$115,0)+IF(ISNUMBER(Matching_Engine!$R$24),Lookup_Lists!$D$116,0))=0,"N/A",ROUND((IF(ISNUMBER(Matching_Engine!$O$24),Matching_Engine!$O$24*Lookup_Lists!$D$113,0)+IF(ISNUMBER(Matching_Engine!$P$24),Matching_Engine!$P$24*Lookup_Lists!$D$114,0)+IF(ISNUMBER(Matching_Engine!$Q$24),Matching_Engine!$Q$24*Lookup_Lists!$D$115,0)+IF(ISNUMBER(Matching_Engine!$R$24),Matching_Engine!$R$24*Lookup_Lists!$D$116,0))/(IF(ISNUMBER(Matching_Engine!$O$24),Lookup_Lists!$D$113,0)+IF(ISNUMBER(Matching_Engine!$P$24),Lookup_Lists!$D$114,0)+IF(ISNUMBER(Matching_Engine!$Q$24),Lookup_Lists!$D$115,0)+IF(ISNUMBER(Matching_Engine!$R$24),Lookup_Lists!$D$116,0)),0))</f>
        <v>60</v>
      </c>
      <c r="T24" s="42">
        <f ca="1">IF(ISNUMBER(Matching_Engine!$S$24),1,0)</f>
        <v>1</v>
      </c>
      <c r="U24" s="65" t="e">
        <f>IF(NOT(AND(ISTEXT('[1]#REF'!$M$24),'[1]#REF'!$M$24&lt;&gt;"N/A")),Lookup_Lists!$D$150,IF(Brand_Profile!$E$7='[1]#REF'!$M$24,100,IFERROR(INDEX(Lookup_Lists!$B$349:$J$357,MATCH(Brand_Profile!$E$7,Lookup_Lists!$A$349:$A$357,0),MATCH('[1]#REF'!$M$24,Lookup_Lists!$B$348:$J$348,0)),Lookup_Lists!$D$151)))</f>
        <v>#REF!</v>
      </c>
      <c r="V24" s="65" t="e">
        <f>IF(NOT(AND(ISTEXT('[1]#REF'!$P$24),'[1]#REF'!$P$24&lt;&gt;"N/A")),"N/A",IFERROR(INDEX(Lookup_Lists!$B$349:$J$357,MATCH(Brand_Profile!$E$7,Lookup_Lists!$A$349:$A$357,0),MATCH('[1]#REF'!$P$24,Lookup_Lists!$B$348:$J$348,0)),Lookup_Lists!$D$151))</f>
        <v>#REF!</v>
      </c>
      <c r="W24" s="65" t="e">
        <f>IF(LEN(TRIM(SUBSTITUTE(Matching_Engine!$BE$24,"|","")))=0,"N/A",IF(Brand_Profile!$E$60=0,Lookup_Lists!$D$150,ROUND((IF(Brand_Profile!$E$54="",0,IF(ISNUMBER(SEARCH(Brand_Profile!$E$54,Matching_Engine!$BE$24)),1,0))+IF(Brand_Profile!$E$55="",0,IF(ISNUMBER(SEARCH(Brand_Profile!$E$55,Matching_Engine!$BE$24)),1,0))+IF(Brand_Profile!$E$56="",0,IF(ISNUMBER(SEARCH(Brand_Profile!$E$56,Matching_Engine!$BE$24)),1,0))+IF(Brand_Profile!$E$57="",0,IF(ISNUMBER(SEARCH(Brand_Profile!$E$57,Matching_Engine!$BE$24)),1,0))+IF(Brand_Profile!$E$58="",0,IF(ISNUMBER(SEARCH(Brand_Profile!$E$58,Matching_Engine!$BE$24)),1,0))+IF(Brand_Profile!$E$59="",0,IF(ISNUMBER(SEARCH(Brand_Profile!$E$59,Matching_Engine!$BE$24)),1,0)))/Brand_Profile!$E$60*100,0)))</f>
        <v>#VALUE!</v>
      </c>
      <c r="X24" s="65" t="e">
        <f>IF(NOT(AND(ISTEXT('[1]#REF'!$Q$24),'[1]#REF'!$Q$24&lt;&gt;"N/A")),"N/A",Lookup_Lists!$D$150)</f>
        <v>#REF!</v>
      </c>
      <c r="Y24" s="63">
        <f>IF((IF(ISNUMBER(Matching_Engine!$U$24),Lookup_Lists!$D$335,0)+IF(ISNUMBER(Matching_Engine!$V$24),Lookup_Lists!$D$122,0)+IF(ISNUMBER(Matching_Engine!$W$24),Lookup_Lists!$D$336,0)+IF(ISNUMBER(Matching_Engine!$X$24),Lookup_Lists!$D$124,0))=0,"N/A",ROUND((IF(ISNUMBER(Matching_Engine!$U$24),Matching_Engine!$U$24*Lookup_Lists!$D$335,0)+IF(ISNUMBER(Matching_Engine!$V$24),Matching_Engine!$V$24*Lookup_Lists!$D$122,0)+IF(ISNUMBER(Matching_Engine!$W$24),Matching_Engine!$W$24*Lookup_Lists!$D$336,0)+IF(ISNUMBER(Matching_Engine!$X$24),Matching_Engine!$X$24*Lookup_Lists!$D$124,0))/(IF(ISNUMBER(Matching_Engine!$U$24),Lookup_Lists!$D$335,0)+IF(ISNUMBER(Matching_Engine!$V$24),Lookup_Lists!$D$122,0)+IF(ISNUMBER(Matching_Engine!$W$24),Lookup_Lists!$D$336,0)+IF(ISNUMBER(Matching_Engine!$X$24),Lookup_Lists!$D$124,0)),0))</f>
        <v>10</v>
      </c>
      <c r="Z24" s="42">
        <f>IF(ISNUMBER(Matching_Engine!$Y$24),1,0)</f>
        <v>1</v>
      </c>
      <c r="AA24" s="65" t="e">
        <f>IF(NOT(AND(ISTEXT('[1]#REF'!$Q$24),'[1]#REF'!$Q$24&lt;&gt;"N/A")),"N/A",Lookup_Lists!$D$150)</f>
        <v>#REF!</v>
      </c>
      <c r="AB24" s="65" t="e">
        <f>IF(NOT(AND(ISTEXT('[1]#REF'!$Q$24),'[1]#REF'!$Q$24&lt;&gt;"N/A")),"N/A",Lookup_Lists!$D$150)</f>
        <v>#REF!</v>
      </c>
      <c r="AC24" s="65" t="str">
        <f t="shared" si="0"/>
        <v>N/A</v>
      </c>
      <c r="AD24" s="65" t="e">
        <f>IF(NOT(AND(ISTEXT('[1]#REF'!$Q$24),'[1]#REF'!$Q$24&lt;&gt;"N/A")),"N/A",Lookup_Lists!$D$150)</f>
        <v>#REF!</v>
      </c>
      <c r="AE24" s="63">
        <f>IF((IF(ISNUMBER(Matching_Engine!$AA$24),Lookup_Lists!$D$125,0)+IF(ISNUMBER(Matching_Engine!$AB$24),Lookup_Lists!$D$126,0)+IF(ISNUMBER(Matching_Engine!$AC$24),Lookup_Lists!$D$127,0)+IF(ISNUMBER(Matching_Engine!$AD$24),Lookup_Lists!$D$128,0))=0,"N/A",ROUND((IF(ISNUMBER(Matching_Engine!$AA$24),Matching_Engine!$AA$24*Lookup_Lists!$D$125,0)+IF(ISNUMBER(Matching_Engine!$AB$24),Matching_Engine!$AB$24*Lookup_Lists!$D$126,0)+IF(ISNUMBER(Matching_Engine!$AC$24),Matching_Engine!$AC$24*Lookup_Lists!$D$127,0)+IF(ISNUMBER(Matching_Engine!$AD$24),Matching_Engine!$AD$24*Lookup_Lists!$D$128,0))/(IF(ISNUMBER(Matching_Engine!$AA$24),Lookup_Lists!$D$125,0)+IF(ISNUMBER(Matching_Engine!$AB$24),Lookup_Lists!$D$126,0)+IF(ISNUMBER(Matching_Engine!$AC$24),Lookup_Lists!$D$127,0)+IF(ISNUMBER(Matching_Engine!$AD$24),Lookup_Lists!$D$128,0)),0))</f>
        <v>46</v>
      </c>
      <c r="AF24" s="42">
        <f>IF(ISNUMBER(Matching_Engine!$AE$24),1,0)</f>
        <v>1</v>
      </c>
      <c r="AG24" s="65" t="str">
        <f>IF(NOT(ISNUMBER('[1]#REF'!$BG$24)),"N/A",MIN(100,ROUND('[1]#REF'!$BG$24/IFERROR(INDEX(Lookup_Lists!$B$340:$B$344,MATCH('[1]#REF'!$H$24,Lookup_Lists!$A$340:$A$344,0)),Lookup_Lists!$D$141)*100,0)))</f>
        <v>N/A</v>
      </c>
      <c r="AH24" s="65" t="str">
        <f>IF(NOT(ISNUMBER('[1]#REF'!$BS$24)),"N/A",MIN(100,MAX(0,'[1]#REF'!$BS$24)))</f>
        <v>N/A</v>
      </c>
      <c r="AI24" s="65" t="e">
        <f>IF(OR(NOT(ISNUMBER('[1]#REF'!$BM$24)),NOT(ISNUMBER('[1]#REF'!$BN$24)),'[1]#REF'!$BN$24&lt;Lookup_Lists!$D$320),"N/A",MIN(100,ROUND('[1]#REF'!$BM$24/Lookup_Lists!$D$319*100,0)))</f>
        <v>#REF!</v>
      </c>
      <c r="AJ24" s="65" t="str">
        <f>IF(NOT(ISNUMBER('[1]#REF'!$BR$24)),"N/A",'[1]#REF'!$BR$24)</f>
        <v>N/A</v>
      </c>
      <c r="AK24" s="65" t="str">
        <f>IF(NOT(ISNUMBER('[1]#REF'!$BK$24)),"N/A",MIN(100,ROUND('[1]#REF'!$BK$24/Lookup_Lists!$D$321*100,0)))</f>
        <v>N/A</v>
      </c>
      <c r="AL24" s="65" t="str">
        <f>IF(NOT(ISNUMBER('[1]#REF'!$BP$24)),"N/A",MIN(100,MAX(0,ROUND(('[1]#REF'!$BP$24+2)/(Lookup_Lists!$D$145+2)*100,0))))</f>
        <v>N/A</v>
      </c>
      <c r="AM24" s="63">
        <f>IF((IF(ISNUMBER(Matching_Engine!$AG$24),Lookup_Lists!$D$129,0)+IF(ISNUMBER(Matching_Engine!$AH$24),Lookup_Lists!$D$130,0)+IF(ISNUMBER(Matching_Engine!$AI$24),Lookup_Lists!$D$131,0)+IF(ISNUMBER(Matching_Engine!$AJ$24),Lookup_Lists!$D$132,0)+IF(ISNUMBER(Matching_Engine!$AK$24),Lookup_Lists!$D$133,0)+IF(ISNUMBER(Matching_Engine!$AL$24),Lookup_Lists!$D$134,0))=0,"N/A",ROUND((IF(ISNUMBER(Matching_Engine!$AG$24),Matching_Engine!$AG$24*Lookup_Lists!$D$129,0)+IF(ISNUMBER(Matching_Engine!$AH$24),Matching_Engine!$AH$24*Lookup_Lists!$D$130,0)+IF(ISNUMBER(Matching_Engine!$AI$24),Matching_Engine!$AI$24*Lookup_Lists!$D$131,0)+IF(ISNUMBER(Matching_Engine!$AJ$24),Matching_Engine!$AJ$24*Lookup_Lists!$D$132,0)+IF(ISNUMBER(Matching_Engine!$AK$24),Matching_Engine!$AK$24*Lookup_Lists!$D$133,0)+IF(ISNUMBER(Matching_Engine!$AL$24),Matching_Engine!$AL$24*Lookup_Lists!$D$134,0))/(IF(ISNUMBER(Matching_Engine!$AG$24),Lookup_Lists!$D$129,0)+IF(ISNUMBER(Matching_Engine!$AH$24),Lookup_Lists!$D$130,0)+IF(ISNUMBER(Matching_Engine!$AI$24),Lookup_Lists!$D$131,0)+IF(ISNUMBER(Matching_Engine!$AJ$24),Lookup_Lists!$D$132,0)+IF(ISNUMBER(Matching_Engine!$AK$24),Lookup_Lists!$D$133,0)+IF(ISNUMBER(Matching_Engine!$AL$24),Lookup_Lists!$D$134,0)),0))</f>
        <v>53</v>
      </c>
      <c r="AN24" s="42">
        <f>IF(ISNUMBER(Matching_Engine!$AM$24),1,0)</f>
        <v>0</v>
      </c>
      <c r="AO24" s="65" t="str">
        <f>IF(NOT(ISNUMBER('[1]#REF'!$BT$24)),"N/A",MIN(100,MAX(0,'[1]#REF'!$BT$24)))</f>
        <v>N/A</v>
      </c>
      <c r="AP24" s="65" t="str">
        <f>IF(NOT(ISNUMBER('[1]#REF'!$BU$24)),"N/A",MIN(100,MAX(0,'[1]#REF'!$BU$24)))</f>
        <v>N/A</v>
      </c>
      <c r="AQ24" s="65" t="e">
        <f>IF('[1]#REF'!$I$24="Yes",Lookup_Lists!$D$326,IF('[1]#REF'!$I$24="No",Lookup_Lists!$D$327,"N/A"))</f>
        <v>#REF!</v>
      </c>
      <c r="AR24" s="65" t="str">
        <f>IF(NOT(ISNUMBER('[1]#REF'!$BQ$24)),"N/A",MAX(0,ROUND(100-'[1]#REF'!$BQ$24/Lookup_Lists!$D$328*100,0)))</f>
        <v>N/A</v>
      </c>
      <c r="AS24" s="65" t="e">
        <f>IF(NOT(AND(ISTEXT('[1]#REF'!$BV$24),'[1]#REF'!$BV$24&lt;&gt;"N/A")),"N/A",'[1]#REF'!$BV$24)</f>
        <v>#REF!</v>
      </c>
      <c r="AT24" s="63" t="str">
        <f ca="1">IF((IF(ISNUMBER(Matching_Engine!$AO$24),Lookup_Lists!$D$322,0)+IF(ISNUMBER(Matching_Engine!$AP$24),Lookup_Lists!$D$323,0)+IF(ISNUMBER(Matching_Engine!$AQ$24),Lookup_Lists!$D$324,0)+IF(ISNUMBER(Matching_Engine!$AR$24),Lookup_Lists!$D$325,0))=0,"N/A",ROUND((IF(ISNUMBER(Matching_Engine!$AO$24),Matching_Engine!$AO$24*Lookup_Lists!$D$322,0)+IF(ISNUMBER(Matching_Engine!$AP$24),Matching_Engine!$AP$24*Lookup_Lists!$D$323,0)+IF(ISNUMBER(Matching_Engine!$AQ$24),Matching_Engine!$AQ$24*Lookup_Lists!$D$324,0)+IF(ISNUMBER(Matching_Engine!$AR$24),Matching_Engine!$AR$24*Lookup_Lists!$D$325,0))/(IF(ISNUMBER(Matching_Engine!$AO$24),Lookup_Lists!$D$322,0)+IF(ISNUMBER(Matching_Engine!$AP$24),Lookup_Lists!$D$323,0)+IF(ISNUMBER(Matching_Engine!$AQ$24),Lookup_Lists!$D$324,0)+IF(ISNUMBER(Matching_Engine!$AR$24),Lookup_Lists!$D$325,0)),0))</f>
        <v>N/A</v>
      </c>
      <c r="AU24" s="42">
        <f>IF(ISNUMBER(Matching_Engine!$AT$24),1,0)</f>
        <v>1</v>
      </c>
      <c r="AV24" s="42" t="str">
        <f>IF(NOT(ISNUMBER(Matching_Engine!$AT$24)),"Not Screened",IF(Matching_Engine!$AT$24&gt;=Lookup_Lists!$D$329,"Low Risk",IF(Matching_Engine!$AT$24&gt;=Lookup_Lists!$D$330,"Moderate Risk",IF(Matching_Engine!$AT$24&gt;=Lookup_Lists!$D$331,"Elevated Risk","High Risk"))))</f>
        <v>Low Risk</v>
      </c>
      <c r="AW24" s="42" t="e">
        <f ca="1">IF(NOT(ISNUMBER(Matching_Engine!$AT$24)),"No integrity signal: no audience-analysis row for this account.","Integrity screen only — no content-risk reading exists (comments_analysis: 0 rows). "&amp;IF(ISNUMBER(Matching_Engine!$AO$24),"Authenticity "&amp;Matching_Engine!$AO$24&amp;". ","Authenticity N/A. ")&amp;IF(ISNUMBER(Matching_Engine!$AP$24),"Follower quality "&amp;Matching_Engine!$AP$24&amp;". ","Follower quality N/A. ")&amp;IF('[1]#REF'!$I$24="Yes","Platform-verified.","Not platform-verified."))</f>
        <v>#REF!</v>
      </c>
      <c r="AX24" s="65">
        <f>Matching_Engine!$N$24*Lookup_Lists!$D$104+Matching_Engine!$T$24*Lookup_Lists!$D$105+Matching_Engine!$Z$24*Lookup_Lists!$D$106+Matching_Engine!$AF$24*Lookup_Lists!$D$107+Matching_Engine!$AN$24*Lookup_Lists!$D$108+Matching_Engine!$AU$24*Lookup_Lists!$D$109</f>
        <v>3260</v>
      </c>
      <c r="AY24" s="74" t="e">
        <f ca="1">IF(Matching_Engine!$AX$24=0,"N/A",ROUND((IF(Matching_Engine!$N$24=1,Matching_Engine!$M$24*Lookup_Lists!$D$104,0)+IF(Matching_Engine!$T$24=1,Matching_Engine!$S$24*Lookup_Lists!$D$105,0)+IF(Matching_Engine!$Z$24=1,Matching_Engine!$Y$24*Lookup_Lists!$D$106,0)+IF(Matching_Engine!$AF$24=1,Matching_Engine!$AE$24*Lookup_Lists!$D$107,0)+IF(Matching_Engine!$AN$24=1,Matching_Engine!$AM$24*Lookup_Lists!$D$108,0)+IF(Matching_Engine!$AU$24=1,Matching_Engine!$AT$24*Lookup_Lists!$D$109,0))/Matching_Engine!$AX$24,0))</f>
        <v>#VALUE!</v>
      </c>
      <c r="AZ24" s="42" t="str">
        <f ca="1">IF(NOT(ISNUMBER(Matching_Engine!$AY$24)),"Not Scored",IF(Matching_Engine!$AY$24&gt;=Lookup_Lists!$D$152,"Excellent Match",IF(Matching_Engine!$AY$24&gt;=Lookup_Lists!$D$153,"Strong Match",IF(Matching_Engine!$AY$24&gt;=Lookup_Lists!$D$154,"Good Match",IF(Matching_Engine!$AY$24&gt;=Lookup_Lists!$D$155,"Moderate Match","Low Match")))))</f>
        <v>Low Match</v>
      </c>
      <c r="BA24" s="65" t="e">
        <f>'[1]#REF'!$BW$24</f>
        <v>#REF!</v>
      </c>
      <c r="BB24" s="42" t="e">
        <f>'[1]#REF'!$BX$24</f>
        <v>#REF!</v>
      </c>
      <c r="BC24" s="65">
        <f ca="1">IF(NOT(ISNUMBER(Matching_Engine!$AY$24)),-1,Matching_Engine!$AY$24*1000+6)</f>
        <v>41006</v>
      </c>
      <c r="BD24" s="42" t="e">
        <f>IF(AND(ISTEXT('[1]#REF'!$S$24),'[1]#REF'!$S$24&lt;&gt;"N/A"),'[1]#REF'!$S$24,"")&amp;" | "&amp;IF(AND(ISTEXT('[1]#REF'!$T$24),'[1]#REF'!$T$24&lt;&gt;"N/A"),'[1]#REF'!$T$24,"")&amp;" | "&amp;IF(AND(ISTEXT('[1]#REF'!$N$24),'[1]#REF'!$N$24&lt;&gt;"N/A"),'[1]#REF'!$N$24,"")&amp;" | "&amp;IF(AND(ISTEXT('[1]#REF'!$K$24),'[1]#REF'!$K$24&lt;&gt;"N/A"),'[1]#REF'!$K$24,"")&amp;" | "&amp;IF(AND(ISTEXT('[1]#REF'!$J$24),'[1]#REF'!$J$24&lt;&gt;"N/A"),'[1]#REF'!$J$24,"")</f>
        <v>#REF!</v>
      </c>
      <c r="BE24" s="42" t="e">
        <f>IF(AND(ISTEXT('[1]#REF'!$T$24),'[1]#REF'!$T$24&lt;&gt;"N/A"),'[1]#REF'!$T$24,"")&amp;" | "&amp;IF(AND(ISTEXT('[1]#REF'!$N$24),'[1]#REF'!$N$24&lt;&gt;"N/A"),'[1]#REF'!$N$24,"")&amp;" | "&amp;IF(AND(ISTEXT('[1]#REF'!$O$24),'[1]#REF'!$O$24&lt;&gt;"N/A"),'[1]#REF'!$O$24,"")&amp;" | "&amp;IF(AND(ISTEXT('[1]#REF'!$S$24),'[1]#REF'!$S$24&lt;&gt;"N/A"),'[1]#REF'!$S$24,"")</f>
        <v>#REF!</v>
      </c>
      <c r="BF24" s="42" t="e">
        <f>IF(AND(ISTEXT('[1]#REF'!$U$24),'[1]#REF'!$U$24&lt;&gt;"N/A"),'[1]#REF'!$U$24,"")</f>
        <v>#REF!</v>
      </c>
      <c r="BG24" s="42" t="str">
        <f>Matching_Engine!$A$24&amp;"|"&amp;Matching_Engine!$C$24</f>
        <v>BRAND-A|KOL-19</v>
      </c>
    </row>
    <row r="25" spans="1:59">
      <c r="A25" s="64" t="s">
        <v>2527</v>
      </c>
      <c r="B25" s="42" t="str">
        <f>Brand_Profile!$E$6</f>
        <v>BRAND-B</v>
      </c>
      <c r="C25" s="42" t="e">
        <f>'[1]#REF'!$A$25</f>
        <v>#REF!</v>
      </c>
      <c r="D25" s="42" t="e">
        <f>'[1]#REF'!$C$25</f>
        <v>#REF!</v>
      </c>
      <c r="E25" s="42" t="e">
        <f>'[1]#REF'!$D$25</f>
        <v>#REF!</v>
      </c>
      <c r="F25" s="42" t="e">
        <f>'[1]#REF'!$E$25</f>
        <v>#REF!</v>
      </c>
      <c r="G25" s="42" t="e">
        <f>'[1]#REF'!$K$25</f>
        <v>#REF!</v>
      </c>
      <c r="H25" s="72" t="e">
        <f>'[1]#REF'!$G$25</f>
        <v>#REF!</v>
      </c>
      <c r="I25" s="73" t="e">
        <f>'[1]#REF'!$BG$25</f>
        <v>#REF!</v>
      </c>
      <c r="J25" s="65" t="e">
        <f>IF(NOT(AND(ISTEXT('[1]#REF'!$K$25),'[1]#REF'!$K$25&lt;&gt;"N/A")),Lookup_Lists!$D$150,IF(Brand_Profile!$E$7='[1]#REF'!$K$25,100,IFERROR(INDEX(Lookup_Lists!$B$349:$J$357,MATCH(Brand_Profile!$E$7,Lookup_Lists!$A$349:$A$357,0),MATCH('[1]#REF'!$K$25,Lookup_Lists!$B$348:$J$348,0)),Lookup_Lists!$D$151)))</f>
        <v>#REF!</v>
      </c>
      <c r="K25" s="65" t="e">
        <f>IF(LEN(TRIM(SUBSTITUTE(Matching_Engine!$BD$25,"|","")))=0,"N/A",IF(Brand_Profile!$E$47=0,Lookup_Lists!$D$150,ROUND((IF(Brand_Profile!$E$41="",0,IF(ISNUMBER(SEARCH(Brand_Profile!$E$41,Matching_Engine!$BD$25)),1,0))+IF(Brand_Profile!$E$42="",0,IF(ISNUMBER(SEARCH(Brand_Profile!$E$42,Matching_Engine!$BD$25)),1,0))+IF(Brand_Profile!$E$43="",0,IF(ISNUMBER(SEARCH(Brand_Profile!$E$43,Matching_Engine!$BD$25)),1,0))+IF(Brand_Profile!$E$44="",0,IF(ISNUMBER(SEARCH(Brand_Profile!$E$44,Matching_Engine!$BD$25)),1,0))+IF(Brand_Profile!$E$45="",0,IF(ISNUMBER(SEARCH(Brand_Profile!$E$45,Matching_Engine!$BD$25)),1,0))+IF(Brand_Profile!$E$46="",0,IF(ISNUMBER(SEARCH(Brand_Profile!$E$46,Matching_Engine!$BD$25)),1,0)))/Brand_Profile!$E$47*100,0)))</f>
        <v>#VALUE!</v>
      </c>
      <c r="L25" s="65" t="e">
        <f>IF(NOT(AND(ISTEXT('[1]#REF'!$U$25),'[1]#REF'!$U$25&lt;&gt;"N/A")),"N/A",IF(Brand_Profile!$E$53=0,Lookup_Lists!$D$150,ROUND((IF(Brand_Profile!$E$48="",0,IF(ISNUMBER(SEARCH(Brand_Profile!$E$48,Matching_Engine!$BF$25)),1,0))+IF(Brand_Profile!$E$49="",0,IF(ISNUMBER(SEARCH(Brand_Profile!$E$49,Matching_Engine!$BF$25)),1,0))+IF(Brand_Profile!$E$50="",0,IF(ISNUMBER(SEARCH(Brand_Profile!$E$50,Matching_Engine!$BF$25)),1,0))+IF(Brand_Profile!$E$51="",0,IF(ISNUMBER(SEARCH(Brand_Profile!$E$51,Matching_Engine!$BF$25)),1,0))+IF(Brand_Profile!$E$52="",0,IF(ISNUMBER(SEARCH(Brand_Profile!$E$52,Matching_Engine!$BF$25)),1,0)))/Brand_Profile!$E$53*100,0)))</f>
        <v>#REF!</v>
      </c>
      <c r="M25" s="63" t="str">
        <f>IF((IF(ISNUMBER(Matching_Engine!$J$25),Lookup_Lists!$D$332,0)+IF(ISNUMBER(Matching_Engine!$K$25),Lookup_Lists!$D$333,0)+IF(ISNUMBER(Matching_Engine!$L$25),Lookup_Lists!$D$334,0))=0,"N/A",ROUND((IF(ISNUMBER(Matching_Engine!$J$25),Matching_Engine!$J$25*Lookup_Lists!$D$332,0)+IF(ISNUMBER(Matching_Engine!$K$25),Matching_Engine!$K$25*Lookup_Lists!$D$333,0)+IF(ISNUMBER(Matching_Engine!$L$25),Matching_Engine!$L$25*Lookup_Lists!$D$334,0))/(IF(ISNUMBER(Matching_Engine!$J$25),Lookup_Lists!$D$332,0)+IF(ISNUMBER(Matching_Engine!$K$25),Lookup_Lists!$D$333,0)+IF(ISNUMBER(Matching_Engine!$L$25),Lookup_Lists!$D$334,0)),0))</f>
        <v>N/A</v>
      </c>
      <c r="N25" s="42">
        <f>IF(ISNUMBER(Matching_Engine!$M$25),1,0)</f>
        <v>1</v>
      </c>
      <c r="O25" s="65" t="str">
        <f ca="1">IF(NOT(ISNUMBER(IFERROR(INDEX('[1]#REF'!$V$25:'[1]#REF'!$Z$25,1,MATCH(Brand_Profile!$E$11,Lookup_Lists!$F$6:$F$10,0)),""))),"N/A",MIN(100,ROUND((IFERROR(INDEX('[1]#REF'!$V$25:'[1]#REF'!$Z$25,1,MATCH(Brand_Profile!$E$11,Lookup_Lists!$F$6:$F$10,0)),"")+0.5*IF(ISNUMBER(IFERROR(INDEX('[1]#REF'!$V$25:'[1]#REF'!$Z$25,1,MATCH(Brand_Profile!$E$12,Lookup_Lists!$F$6:$F$10,0)),"")),IFERROR(INDEX('[1]#REF'!$V$25:'[1]#REF'!$Z$25,1,MATCH(Brand_Profile!$E$12,Lookup_Lists!$F$6:$F$10,0)),""),0))/Lookup_Lists!$D$142*100,0)))</f>
        <v>N/A</v>
      </c>
      <c r="P25" s="65" t="str">
        <f>IF(Brand_Profile!$E$13="Any",100,IF(NOT(ISNUMBER('[1]#REF'!$AA$25)),"N/A",IF(Brand_Profile!$E$13="Female",MIN(100,ROUND('[1]#REF'!$AA$25/Lookup_Lists!$D$143*100,0)),IF(Brand_Profile!$E$13="Male",MIN(100,ROUND(IF(ISNUMBER('[1]#REF'!$AB$25),'[1]#REF'!$AB$25,100-'[1]#REF'!$AA$25)/Lookup_Lists!$D$143*100,0)),MAX(0,ROUND(100-ABS('[1]#REF'!$AA$25-50)*2,0))))))</f>
        <v>N/A</v>
      </c>
      <c r="Q25" s="65" t="str">
        <f>IF((IF(ISNUMBER(IF(NOT(ISNUMBER('[1]#REF'!$AE$25)),"N/A",IF('[1]#REF'!$AD$25&lt;&gt;Brand_Profile!$E$14,Lookup_Lists!$D$151,MIN(100,ROUND('[1]#REF'!$AE$25/Lookup_Lists!$D$316*100,0))))),Lookup_Lists!$D$118,0)+IF(ISNUMBER(IF(NOT(ISNUMBER('[1]#REF'!$AM$25)),"N/A",MIN(100,ROUND((IF('[1]#REF'!$AG$25=Brand_Profile!$E$15,IF(ISNUMBER('[1]#REF'!$AH$25),'[1]#REF'!$AH$25,0),0)+IF('[1]#REF'!$AI$25=Brand_Profile!$E$15,IF(ISNUMBER('[1]#REF'!$AJ$25),'[1]#REF'!$AJ$25,0),0)+IF('[1]#REF'!$AK$25=Brand_Profile!$E$15,IF(ISNUMBER('[1]#REF'!$AL$25),'[1]#REF'!$AL$25,0),0))/Lookup_Lists!$D$317*100,0)))),Lookup_Lists!$D$120,0))=0,"N/A",ROUND((IF(ISNUMBER(IF(NOT(ISNUMBER('[1]#REF'!$AE$25)),"N/A",IF('[1]#REF'!$AD$25&lt;&gt;Brand_Profile!$E$14,Lookup_Lists!$D$151,MIN(100,ROUND('[1]#REF'!$AE$25/Lookup_Lists!$D$316*100,0))))),IF(NOT(ISNUMBER('[1]#REF'!$AE$25)),"N/A",IF('[1]#REF'!$AD$25&lt;&gt;Brand_Profile!$E$14,Lookup_Lists!$D$151,MIN(100,ROUND('[1]#REF'!$AE$25/Lookup_Lists!$D$316*100,0))))*Lookup_Lists!$D$118,0)+IF(ISNUMBER(IF(NOT(ISNUMBER('[1]#REF'!$AM$25)),"N/A",MIN(100,ROUND((IF('[1]#REF'!$AG$25=Brand_Profile!$E$15,IF(ISNUMBER('[1]#REF'!$AH$25),'[1]#REF'!$AH$25,0),0)+IF('[1]#REF'!$AI$25=Brand_Profile!$E$15,IF(ISNUMBER('[1]#REF'!$AJ$25),'[1]#REF'!$AJ$25,0),0)+IF('[1]#REF'!$AK$25=Brand_Profile!$E$15,IF(ISNUMBER('[1]#REF'!$AL$25),'[1]#REF'!$AL$25,0),0))/Lookup_Lists!$D$317*100,0)))),IF(NOT(ISNUMBER('[1]#REF'!$AM$25)),"N/A",MIN(100,ROUND((IF('[1]#REF'!$AG$25=Brand_Profile!$E$15,IF(ISNUMBER('[1]#REF'!$AH$25),'[1]#REF'!$AH$25,0),0)+IF('[1]#REF'!$AI$25=Brand_Profile!$E$15,IF(ISNUMBER('[1]#REF'!$AJ$25),'[1]#REF'!$AJ$25,0),0)+IF('[1]#REF'!$AK$25=Brand_Profile!$E$15,IF(ISNUMBER('[1]#REF'!$AL$25),'[1]#REF'!$AL$25,0),0))/Lookup_Lists!$D$317*100,0)))*Lookup_Lists!$D$120,0))/(IF(ISNUMBER(IF(NOT(ISNUMBER('[1]#REF'!$AE$25)),"N/A",IF('[1]#REF'!$AD$25&lt;&gt;Brand_Profile!$E$14,Lookup_Lists!$D$151,MIN(100,ROUND('[1]#REF'!$AE$25/Lookup_Lists!$D$316*100,0))))),Lookup_Lists!$D$118,0)+IF(ISNUMBER(IF(NOT(ISNUMBER('[1]#REF'!$AM$25)),"N/A",MIN(100,ROUND((IF('[1]#REF'!$AG$25=Brand_Profile!$E$15,IF(ISNUMBER('[1]#REF'!$AH$25),'[1]#REF'!$AH$25,0),0)+IF('[1]#REF'!$AI$25=Brand_Profile!$E$15,IF(ISNUMBER('[1]#REF'!$AJ$25),'[1]#REF'!$AJ$25,0),0)+IF('[1]#REF'!$AK$25=Brand_Profile!$E$15,IF(ISNUMBER('[1]#REF'!$AL$25),'[1]#REF'!$AL$25,0),0))/Lookup_Lists!$D$317*100,0)))),Lookup_Lists!$D$120,0)),0))</f>
        <v>N/A</v>
      </c>
      <c r="R25" s="65" t="str">
        <f>IF(NOT(ISNUMBER('[1]#REF'!$AN$25)),"N/A",MIN(100,ROUND((IF(ISNUMBER('[1]#REF'!$AO$25),'[1]#REF'!$AO$25*Brand_Profile!$E$17,0)+IF(ISNUMBER('[1]#REF'!$AP$25),'[1]#REF'!$AP$25*Brand_Profile!$E$18,0)+IF(ISNUMBER('[1]#REF'!$AQ$25),'[1]#REF'!$AQ$25*Brand_Profile!$E$19,0)+IF(ISNUMBER('[1]#REF'!$AR$25),'[1]#REF'!$AR$25*Brand_Profile!$E$20,0)+IF(ISNUMBER('[1]#REF'!$AS$25),'[1]#REF'!$AS$25*Brand_Profile!$E$21,0)+IF(ISNUMBER('[1]#REF'!$AT$25),'[1]#REF'!$AT$25*Brand_Profile!$E$22,0)+IF(ISNUMBER('[1]#REF'!$AU$25),'[1]#REF'!$AU$25*Brand_Profile!$E$23,0)+IF(ISNUMBER('[1]#REF'!$AV$25),'[1]#REF'!$AV$25*Brand_Profile!$E$24,0)+IF(ISNUMBER('[1]#REF'!$AW$25),'[1]#REF'!$AW$25*Brand_Profile!$E$25,0)+IF(ISNUMBER('[1]#REF'!$AX$25),'[1]#REF'!$AX$25*Brand_Profile!$E$26,0)+IF(ISNUMBER('[1]#REF'!$AY$25),'[1]#REF'!$AY$25*Brand_Profile!$E$27,0)+IF(ISNUMBER('[1]#REF'!$AZ$25),'[1]#REF'!$AZ$25*Brand_Profile!$E$28,0)+IF(ISNUMBER('[1]#REF'!$BA$25),'[1]#REF'!$BA$25*Brand_Profile!$E$29,0)+IF(ISNUMBER('[1]#REF'!$BB$25),'[1]#REF'!$BB$25*Brand_Profile!$E$30,0)+IF(ISNUMBER('[1]#REF'!$BC$25),'[1]#REF'!$BC$25*Brand_Profile!$E$31,0)+IF(ISNUMBER('[1]#REF'!$BD$25),'[1]#REF'!$BD$25*Brand_Profile!$E$32,0)+IF(ISNUMBER('[1]#REF'!$BE$25),'[1]#REF'!$BE$25*Brand_Profile!$E$33,0)+IF(ISNUMBER('[1]#REF'!$BF$25),'[1]#REF'!$BF$25*Brand_Profile!$E$34,0))/Lookup_Lists!$D$318*100,0)))</f>
        <v>N/A</v>
      </c>
      <c r="S25" s="63">
        <f ca="1">IF((IF(ISNUMBER(Matching_Engine!$O$25),Lookup_Lists!$D$113,0)+IF(ISNUMBER(Matching_Engine!$P$25),Lookup_Lists!$D$114,0)+IF(ISNUMBER(Matching_Engine!$Q$25),Lookup_Lists!$D$115,0)+IF(ISNUMBER(Matching_Engine!$R$25),Lookup_Lists!$D$116,0))=0,"N/A",ROUND((IF(ISNUMBER(Matching_Engine!$O$25),Matching_Engine!$O$25*Lookup_Lists!$D$113,0)+IF(ISNUMBER(Matching_Engine!$P$25),Matching_Engine!$P$25*Lookup_Lists!$D$114,0)+IF(ISNUMBER(Matching_Engine!$Q$25),Matching_Engine!$Q$25*Lookup_Lists!$D$115,0)+IF(ISNUMBER(Matching_Engine!$R$25),Matching_Engine!$R$25*Lookup_Lists!$D$116,0))/(IF(ISNUMBER(Matching_Engine!$O$25),Lookup_Lists!$D$113,0)+IF(ISNUMBER(Matching_Engine!$P$25),Lookup_Lists!$D$114,0)+IF(ISNUMBER(Matching_Engine!$Q$25),Lookup_Lists!$D$115,0)+IF(ISNUMBER(Matching_Engine!$R$25),Lookup_Lists!$D$116,0)),0))</f>
        <v>65</v>
      </c>
      <c r="T25" s="42">
        <f ca="1">IF(ISNUMBER(Matching_Engine!$S$25),1,0)</f>
        <v>1</v>
      </c>
      <c r="U25" s="65" t="e">
        <f>IF(NOT(AND(ISTEXT('[1]#REF'!$M$25),'[1]#REF'!$M$25&lt;&gt;"N/A")),Lookup_Lists!$D$150,IF(Brand_Profile!$E$7='[1]#REF'!$M$25,100,IFERROR(INDEX(Lookup_Lists!$B$349:$J$357,MATCH(Brand_Profile!$E$7,Lookup_Lists!$A$349:$A$357,0),MATCH('[1]#REF'!$M$25,Lookup_Lists!$B$348:$J$348,0)),Lookup_Lists!$D$151)))</f>
        <v>#REF!</v>
      </c>
      <c r="V25" s="65" t="e">
        <f>IF(NOT(AND(ISTEXT('[1]#REF'!$P$25),'[1]#REF'!$P$25&lt;&gt;"N/A")),"N/A",IFERROR(INDEX(Lookup_Lists!$B$349:$J$357,MATCH(Brand_Profile!$E$7,Lookup_Lists!$A$349:$A$357,0),MATCH('[1]#REF'!$P$25,Lookup_Lists!$B$348:$J$348,0)),Lookup_Lists!$D$151))</f>
        <v>#REF!</v>
      </c>
      <c r="W25" s="65" t="e">
        <f>IF(LEN(TRIM(SUBSTITUTE(Matching_Engine!$BE$25,"|","")))=0,"N/A",IF(Brand_Profile!$E$60=0,Lookup_Lists!$D$150,ROUND((IF(Brand_Profile!$E$54="",0,IF(ISNUMBER(SEARCH(Brand_Profile!$E$54,Matching_Engine!$BE$25)),1,0))+IF(Brand_Profile!$E$55="",0,IF(ISNUMBER(SEARCH(Brand_Profile!$E$55,Matching_Engine!$BE$25)),1,0))+IF(Brand_Profile!$E$56="",0,IF(ISNUMBER(SEARCH(Brand_Profile!$E$56,Matching_Engine!$BE$25)),1,0))+IF(Brand_Profile!$E$57="",0,IF(ISNUMBER(SEARCH(Brand_Profile!$E$57,Matching_Engine!$BE$25)),1,0))+IF(Brand_Profile!$E$58="",0,IF(ISNUMBER(SEARCH(Brand_Profile!$E$58,Matching_Engine!$BE$25)),1,0))+IF(Brand_Profile!$E$59="",0,IF(ISNUMBER(SEARCH(Brand_Profile!$E$59,Matching_Engine!$BE$25)),1,0)))/Brand_Profile!$E$60*100,0)))</f>
        <v>#VALUE!</v>
      </c>
      <c r="X25" s="65" t="e">
        <f>IF(NOT(AND(ISTEXT('[1]#REF'!$Q$25),'[1]#REF'!$Q$25&lt;&gt;"N/A")),"N/A",Lookup_Lists!$D$150)</f>
        <v>#REF!</v>
      </c>
      <c r="Y25" s="63">
        <f>IF((IF(ISNUMBER(Matching_Engine!$U$25),Lookup_Lists!$D$335,0)+IF(ISNUMBER(Matching_Engine!$V$25),Lookup_Lists!$D$122,0)+IF(ISNUMBER(Matching_Engine!$W$25),Lookup_Lists!$D$336,0)+IF(ISNUMBER(Matching_Engine!$X$25),Lookup_Lists!$D$124,0))=0,"N/A",ROUND((IF(ISNUMBER(Matching_Engine!$U$25),Matching_Engine!$U$25*Lookup_Lists!$D$335,0)+IF(ISNUMBER(Matching_Engine!$V$25),Matching_Engine!$V$25*Lookup_Lists!$D$122,0)+IF(ISNUMBER(Matching_Engine!$W$25),Matching_Engine!$W$25*Lookup_Lists!$D$336,0)+IF(ISNUMBER(Matching_Engine!$X$25),Matching_Engine!$X$25*Lookup_Lists!$D$124,0))/(IF(ISNUMBER(Matching_Engine!$U$25),Lookup_Lists!$D$335,0)+IF(ISNUMBER(Matching_Engine!$V$25),Lookup_Lists!$D$122,0)+IF(ISNUMBER(Matching_Engine!$W$25),Lookup_Lists!$D$336,0)+IF(ISNUMBER(Matching_Engine!$X$25),Lookup_Lists!$D$124,0)),0))</f>
        <v>23</v>
      </c>
      <c r="Z25" s="42">
        <f>IF(ISNUMBER(Matching_Engine!$Y$25),1,0)</f>
        <v>1</v>
      </c>
      <c r="AA25" s="65" t="e">
        <f>IF(NOT(AND(ISTEXT('[1]#REF'!$Q$25),'[1]#REF'!$Q$25&lt;&gt;"N/A")),"N/A",Lookup_Lists!$D$150)</f>
        <v>#REF!</v>
      </c>
      <c r="AB25" s="65" t="e">
        <f>IF(NOT(AND(ISTEXT('[1]#REF'!$Q$25),'[1]#REF'!$Q$25&lt;&gt;"N/A")),"N/A",Lookup_Lists!$D$150)</f>
        <v>#REF!</v>
      </c>
      <c r="AC25" s="65" t="str">
        <f t="shared" si="0"/>
        <v>N/A</v>
      </c>
      <c r="AD25" s="65" t="e">
        <f>IF(NOT(AND(ISTEXT('[1]#REF'!$Q$25),'[1]#REF'!$Q$25&lt;&gt;"N/A")),"N/A",Lookup_Lists!$D$150)</f>
        <v>#REF!</v>
      </c>
      <c r="AE25" s="63">
        <f>IF((IF(ISNUMBER(Matching_Engine!$AA$25),Lookup_Lists!$D$125,0)+IF(ISNUMBER(Matching_Engine!$AB$25),Lookup_Lists!$D$126,0)+IF(ISNUMBER(Matching_Engine!$AC$25),Lookup_Lists!$D$127,0)+IF(ISNUMBER(Matching_Engine!$AD$25),Lookup_Lists!$D$128,0))=0,"N/A",ROUND((IF(ISNUMBER(Matching_Engine!$AA$25),Matching_Engine!$AA$25*Lookup_Lists!$D$125,0)+IF(ISNUMBER(Matching_Engine!$AB$25),Matching_Engine!$AB$25*Lookup_Lists!$D$126,0)+IF(ISNUMBER(Matching_Engine!$AC$25),Matching_Engine!$AC$25*Lookup_Lists!$D$127,0)+IF(ISNUMBER(Matching_Engine!$AD$25),Matching_Engine!$AD$25*Lookup_Lists!$D$128,0))/(IF(ISNUMBER(Matching_Engine!$AA$25),Lookup_Lists!$D$125,0)+IF(ISNUMBER(Matching_Engine!$AB$25),Lookup_Lists!$D$126,0)+IF(ISNUMBER(Matching_Engine!$AC$25),Lookup_Lists!$D$127,0)+IF(ISNUMBER(Matching_Engine!$AD$25),Lookup_Lists!$D$128,0)),0))</f>
        <v>30</v>
      </c>
      <c r="AF25" s="42">
        <f>IF(ISNUMBER(Matching_Engine!$AE$25),1,0)</f>
        <v>1</v>
      </c>
      <c r="AG25" s="65" t="str">
        <f>IF(NOT(ISNUMBER('[1]#REF'!$BG$25)),"N/A",MIN(100,ROUND('[1]#REF'!$BG$25/IFERROR(INDEX(Lookup_Lists!$B$340:$B$344,MATCH('[1]#REF'!$H$25,Lookup_Lists!$A$340:$A$344,0)),Lookup_Lists!$D$141)*100,0)))</f>
        <v>N/A</v>
      </c>
      <c r="AH25" s="65" t="str">
        <f>IF(NOT(ISNUMBER('[1]#REF'!$BS$25)),"N/A",MIN(100,MAX(0,'[1]#REF'!$BS$25)))</f>
        <v>N/A</v>
      </c>
      <c r="AI25" s="65" t="e">
        <f>IF(OR(NOT(ISNUMBER('[1]#REF'!$BM$25)),NOT(ISNUMBER('[1]#REF'!$BN$25)),'[1]#REF'!$BN$25&lt;Lookup_Lists!$D$320),"N/A",MIN(100,ROUND('[1]#REF'!$BM$25/Lookup_Lists!$D$319*100,0)))</f>
        <v>#REF!</v>
      </c>
      <c r="AJ25" s="65" t="str">
        <f>IF(NOT(ISNUMBER('[1]#REF'!$BR$25)),"N/A",'[1]#REF'!$BR$25)</f>
        <v>N/A</v>
      </c>
      <c r="AK25" s="65" t="str">
        <f>IF(NOT(ISNUMBER('[1]#REF'!$BK$25)),"N/A",MIN(100,ROUND('[1]#REF'!$BK$25/Lookup_Lists!$D$321*100,0)))</f>
        <v>N/A</v>
      </c>
      <c r="AL25" s="65" t="str">
        <f>IF(NOT(ISNUMBER('[1]#REF'!$BP$25)),"N/A",MIN(100,MAX(0,ROUND(('[1]#REF'!$BP$25+2)/(Lookup_Lists!$D$145+2)*100,0))))</f>
        <v>N/A</v>
      </c>
      <c r="AM25" s="63">
        <f>IF((IF(ISNUMBER(Matching_Engine!$AG$25),Lookup_Lists!$D$129,0)+IF(ISNUMBER(Matching_Engine!$AH$25),Lookup_Lists!$D$130,0)+IF(ISNUMBER(Matching_Engine!$AI$25),Lookup_Lists!$D$131,0)+IF(ISNUMBER(Matching_Engine!$AJ$25),Lookup_Lists!$D$132,0)+IF(ISNUMBER(Matching_Engine!$AK$25),Lookup_Lists!$D$133,0)+IF(ISNUMBER(Matching_Engine!$AL$25),Lookup_Lists!$D$134,0))=0,"N/A",ROUND((IF(ISNUMBER(Matching_Engine!$AG$25),Matching_Engine!$AG$25*Lookup_Lists!$D$129,0)+IF(ISNUMBER(Matching_Engine!$AH$25),Matching_Engine!$AH$25*Lookup_Lists!$D$130,0)+IF(ISNUMBER(Matching_Engine!$AI$25),Matching_Engine!$AI$25*Lookup_Lists!$D$131,0)+IF(ISNUMBER(Matching_Engine!$AJ$25),Matching_Engine!$AJ$25*Lookup_Lists!$D$132,0)+IF(ISNUMBER(Matching_Engine!$AK$25),Matching_Engine!$AK$25*Lookup_Lists!$D$133,0)+IF(ISNUMBER(Matching_Engine!$AL$25),Matching_Engine!$AL$25*Lookup_Lists!$D$134,0))/(IF(ISNUMBER(Matching_Engine!$AG$25),Lookup_Lists!$D$129,0)+IF(ISNUMBER(Matching_Engine!$AH$25),Lookup_Lists!$D$130,0)+IF(ISNUMBER(Matching_Engine!$AI$25),Lookup_Lists!$D$131,0)+IF(ISNUMBER(Matching_Engine!$AJ$25),Lookup_Lists!$D$132,0)+IF(ISNUMBER(Matching_Engine!$AK$25),Lookup_Lists!$D$133,0)+IF(ISNUMBER(Matching_Engine!$AL$25),Lookup_Lists!$D$134,0)),0))</f>
        <v>61</v>
      </c>
      <c r="AN25" s="42">
        <f>IF(ISNUMBER(Matching_Engine!$AM$25),1,0)</f>
        <v>0</v>
      </c>
      <c r="AO25" s="65" t="str">
        <f>IF(NOT(ISNUMBER('[1]#REF'!$BT$25)),"N/A",MIN(100,MAX(0,'[1]#REF'!$BT$25)))</f>
        <v>N/A</v>
      </c>
      <c r="AP25" s="65" t="str">
        <f>IF(NOT(ISNUMBER('[1]#REF'!$BU$25)),"N/A",MIN(100,MAX(0,'[1]#REF'!$BU$25)))</f>
        <v>N/A</v>
      </c>
      <c r="AQ25" s="65" t="e">
        <f>IF('[1]#REF'!$I$25="Yes",Lookup_Lists!$D$326,IF('[1]#REF'!$I$25="No",Lookup_Lists!$D$327,"N/A"))</f>
        <v>#REF!</v>
      </c>
      <c r="AR25" s="65" t="str">
        <f>IF(NOT(ISNUMBER('[1]#REF'!$BQ$25)),"N/A",MAX(0,ROUND(100-'[1]#REF'!$BQ$25/Lookup_Lists!$D$328*100,0)))</f>
        <v>N/A</v>
      </c>
      <c r="AS25" s="65" t="e">
        <f>IF(NOT(AND(ISTEXT('[1]#REF'!$BV$25),'[1]#REF'!$BV$25&lt;&gt;"N/A")),"N/A",'[1]#REF'!$BV$25)</f>
        <v>#REF!</v>
      </c>
      <c r="AT25" s="63" t="str">
        <f ca="1">IF((IF(ISNUMBER(Matching_Engine!$AO$25),Lookup_Lists!$D$322,0)+IF(ISNUMBER(Matching_Engine!$AP$25),Lookup_Lists!$D$323,0)+IF(ISNUMBER(Matching_Engine!$AQ$25),Lookup_Lists!$D$324,0)+IF(ISNUMBER(Matching_Engine!$AR$25),Lookup_Lists!$D$325,0))=0,"N/A",ROUND((IF(ISNUMBER(Matching_Engine!$AO$25),Matching_Engine!$AO$25*Lookup_Lists!$D$322,0)+IF(ISNUMBER(Matching_Engine!$AP$25),Matching_Engine!$AP$25*Lookup_Lists!$D$323,0)+IF(ISNUMBER(Matching_Engine!$AQ$25),Matching_Engine!$AQ$25*Lookup_Lists!$D$324,0)+IF(ISNUMBER(Matching_Engine!$AR$25),Matching_Engine!$AR$25*Lookup_Lists!$D$325,0))/(IF(ISNUMBER(Matching_Engine!$AO$25),Lookup_Lists!$D$322,0)+IF(ISNUMBER(Matching_Engine!$AP$25),Lookup_Lists!$D$323,0)+IF(ISNUMBER(Matching_Engine!$AQ$25),Lookup_Lists!$D$324,0)+IF(ISNUMBER(Matching_Engine!$AR$25),Lookup_Lists!$D$325,0)),0))</f>
        <v>N/A</v>
      </c>
      <c r="AU25" s="42">
        <f>IF(ISNUMBER(Matching_Engine!$AT$25),1,0)</f>
        <v>1</v>
      </c>
      <c r="AV25" s="42" t="str">
        <f>IF(NOT(ISNUMBER(Matching_Engine!$AT$25)),"Not Screened",IF(Matching_Engine!$AT$25&gt;=Lookup_Lists!$D$329,"Low Risk",IF(Matching_Engine!$AT$25&gt;=Lookup_Lists!$D$330,"Moderate Risk",IF(Matching_Engine!$AT$25&gt;=Lookup_Lists!$D$331,"Elevated Risk","High Risk"))))</f>
        <v>Low Risk</v>
      </c>
      <c r="AW25" s="42" t="e">
        <f ca="1">IF(NOT(ISNUMBER(Matching_Engine!$AT$25)),"No integrity signal: no audience-analysis row for this account.","Integrity screen only — no content-risk reading exists (comments_analysis: 0 rows). "&amp;IF(ISNUMBER(Matching_Engine!$AO$25),"Authenticity "&amp;Matching_Engine!$AO$25&amp;". ","Authenticity N/A. ")&amp;IF(ISNUMBER(Matching_Engine!$AP$25),"Follower quality "&amp;Matching_Engine!$AP$25&amp;". ","Follower quality N/A. ")&amp;IF('[1]#REF'!$I$25="Yes","Platform-verified.","Not platform-verified."))</f>
        <v>#REF!</v>
      </c>
      <c r="AX25" s="65">
        <f>Matching_Engine!$N$25*Lookup_Lists!$D$104+Matching_Engine!$T$25*Lookup_Lists!$D$105+Matching_Engine!$Z$25*Lookup_Lists!$D$106+Matching_Engine!$AF$25*Lookup_Lists!$D$107+Matching_Engine!$AN$25*Lookup_Lists!$D$108+Matching_Engine!$AU$25*Lookup_Lists!$D$109</f>
        <v>2950</v>
      </c>
      <c r="AY25" s="74" t="e">
        <f ca="1">IF(Matching_Engine!$AX$25=0,"N/A",ROUND((IF(Matching_Engine!$N$25=1,Matching_Engine!$M$25*Lookup_Lists!$D$104,0)+IF(Matching_Engine!$T$25=1,Matching_Engine!$S$25*Lookup_Lists!$D$105,0)+IF(Matching_Engine!$Z$25=1,Matching_Engine!$Y$25*Lookup_Lists!$D$106,0)+IF(Matching_Engine!$AF$25=1,Matching_Engine!$AE$25*Lookup_Lists!$D$107,0)+IF(Matching_Engine!$AN$25=1,Matching_Engine!$AM$25*Lookup_Lists!$D$108,0)+IF(Matching_Engine!$AU$25=1,Matching_Engine!$AT$25*Lookup_Lists!$D$109,0))/Matching_Engine!$AX$25,0))</f>
        <v>#VALUE!</v>
      </c>
      <c r="AZ25" s="42" t="str">
        <f ca="1">IF(NOT(ISNUMBER(Matching_Engine!$AY$25)),"Not Scored",IF(Matching_Engine!$AY$25&gt;=Lookup_Lists!$D$152,"Excellent Match",IF(Matching_Engine!$AY$25&gt;=Lookup_Lists!$D$153,"Strong Match",IF(Matching_Engine!$AY$25&gt;=Lookup_Lists!$D$154,"Good Match",IF(Matching_Engine!$AY$25&gt;=Lookup_Lists!$D$155,"Moderate Match","Low Match")))))</f>
        <v>Low Match</v>
      </c>
      <c r="BA25" s="65" t="e">
        <f>'[1]#REF'!$BW$25</f>
        <v>#REF!</v>
      </c>
      <c r="BB25" s="42" t="e">
        <f>'[1]#REF'!$BX$25</f>
        <v>#REF!</v>
      </c>
      <c r="BC25" s="65">
        <f ca="1">IF(NOT(ISNUMBER(Matching_Engine!$AY$25)),-1,Matching_Engine!$AY$25*1000+5)</f>
        <v>45005</v>
      </c>
      <c r="BD25" s="42" t="e">
        <f>IF(AND(ISTEXT('[1]#REF'!$S$25),'[1]#REF'!$S$25&lt;&gt;"N/A"),'[1]#REF'!$S$25,"")&amp;" | "&amp;IF(AND(ISTEXT('[1]#REF'!$T$25),'[1]#REF'!$T$25&lt;&gt;"N/A"),'[1]#REF'!$T$25,"")&amp;" | "&amp;IF(AND(ISTEXT('[1]#REF'!$N$25),'[1]#REF'!$N$25&lt;&gt;"N/A"),'[1]#REF'!$N$25,"")&amp;" | "&amp;IF(AND(ISTEXT('[1]#REF'!$K$25),'[1]#REF'!$K$25&lt;&gt;"N/A"),'[1]#REF'!$K$25,"")&amp;" | "&amp;IF(AND(ISTEXT('[1]#REF'!$J$25),'[1]#REF'!$J$25&lt;&gt;"N/A"),'[1]#REF'!$J$25,"")</f>
        <v>#REF!</v>
      </c>
      <c r="BE25" s="42" t="e">
        <f>IF(AND(ISTEXT('[1]#REF'!$T$25),'[1]#REF'!$T$25&lt;&gt;"N/A"),'[1]#REF'!$T$25,"")&amp;" | "&amp;IF(AND(ISTEXT('[1]#REF'!$N$25),'[1]#REF'!$N$25&lt;&gt;"N/A"),'[1]#REF'!$N$25,"")&amp;" | "&amp;IF(AND(ISTEXT('[1]#REF'!$O$25),'[1]#REF'!$O$25&lt;&gt;"N/A"),'[1]#REF'!$O$25,"")&amp;" | "&amp;IF(AND(ISTEXT('[1]#REF'!$S$25),'[1]#REF'!$S$25&lt;&gt;"N/A"),'[1]#REF'!$S$25,"")</f>
        <v>#REF!</v>
      </c>
      <c r="BF25" s="42" t="e">
        <f>IF(AND(ISTEXT('[1]#REF'!$U$25),'[1]#REF'!$U$25&lt;&gt;"N/A"),'[1]#REF'!$U$25,"")</f>
        <v>#REF!</v>
      </c>
      <c r="BG25" s="42" t="str">
        <f>Matching_Engine!$A$25&amp;"|"&amp;Matching_Engine!$C$25</f>
        <v>BRAND-A|KOL-20</v>
      </c>
    </row>
    <row r="26" spans="1:59">
      <c r="A26" s="64" t="s">
        <v>2527</v>
      </c>
      <c r="B26" s="42" t="str">
        <f>Brand_Profile!$E$6</f>
        <v>BRAND-B</v>
      </c>
      <c r="C26" s="42" t="e">
        <f>'[1]#REF'!$A$26</f>
        <v>#REF!</v>
      </c>
      <c r="D26" s="42" t="e">
        <f>'[1]#REF'!$C$26</f>
        <v>#REF!</v>
      </c>
      <c r="E26" s="42" t="e">
        <f>'[1]#REF'!$D$26</f>
        <v>#REF!</v>
      </c>
      <c r="F26" s="42" t="e">
        <f>'[1]#REF'!$E$26</f>
        <v>#REF!</v>
      </c>
      <c r="G26" s="42" t="e">
        <f>'[1]#REF'!$K$26</f>
        <v>#REF!</v>
      </c>
      <c r="H26" s="72" t="e">
        <f>'[1]#REF'!$G$26</f>
        <v>#REF!</v>
      </c>
      <c r="I26" s="73" t="e">
        <f>'[1]#REF'!$BG$26</f>
        <v>#REF!</v>
      </c>
      <c r="J26" s="65" t="e">
        <f>IF(NOT(AND(ISTEXT('[1]#REF'!$K$26),'[1]#REF'!$K$26&lt;&gt;"N/A")),Lookup_Lists!$D$150,IF(Brand_Profile!$E$7='[1]#REF'!$K$26,100,IFERROR(INDEX(Lookup_Lists!$B$349:$J$357,MATCH(Brand_Profile!$E$7,Lookup_Lists!$A$349:$A$357,0),MATCH('[1]#REF'!$K$26,Lookup_Lists!$B$348:$J$348,0)),Lookup_Lists!$D$151)))</f>
        <v>#REF!</v>
      </c>
      <c r="K26" s="65" t="e">
        <f>IF(LEN(TRIM(SUBSTITUTE(Matching_Engine!$BD$26,"|","")))=0,"N/A",IF(Brand_Profile!$E$47=0,Lookup_Lists!$D$150,ROUND((IF(Brand_Profile!$E$41="",0,IF(ISNUMBER(SEARCH(Brand_Profile!$E$41,Matching_Engine!$BD$26)),1,0))+IF(Brand_Profile!$E$42="",0,IF(ISNUMBER(SEARCH(Brand_Profile!$E$42,Matching_Engine!$BD$26)),1,0))+IF(Brand_Profile!$E$43="",0,IF(ISNUMBER(SEARCH(Brand_Profile!$E$43,Matching_Engine!$BD$26)),1,0))+IF(Brand_Profile!$E$44="",0,IF(ISNUMBER(SEARCH(Brand_Profile!$E$44,Matching_Engine!$BD$26)),1,0))+IF(Brand_Profile!$E$45="",0,IF(ISNUMBER(SEARCH(Brand_Profile!$E$45,Matching_Engine!$BD$26)),1,0))+IF(Brand_Profile!$E$46="",0,IF(ISNUMBER(SEARCH(Brand_Profile!$E$46,Matching_Engine!$BD$26)),1,0)))/Brand_Profile!$E$47*100,0)))</f>
        <v>#VALUE!</v>
      </c>
      <c r="L26" s="65" t="e">
        <f>IF(NOT(AND(ISTEXT('[1]#REF'!$U$26),'[1]#REF'!$U$26&lt;&gt;"N/A")),"N/A",IF(Brand_Profile!$E$53=0,Lookup_Lists!$D$150,ROUND((IF(Brand_Profile!$E$48="",0,IF(ISNUMBER(SEARCH(Brand_Profile!$E$48,Matching_Engine!$BF$26)),1,0))+IF(Brand_Profile!$E$49="",0,IF(ISNUMBER(SEARCH(Brand_Profile!$E$49,Matching_Engine!$BF$26)),1,0))+IF(Brand_Profile!$E$50="",0,IF(ISNUMBER(SEARCH(Brand_Profile!$E$50,Matching_Engine!$BF$26)),1,0))+IF(Brand_Profile!$E$51="",0,IF(ISNUMBER(SEARCH(Brand_Profile!$E$51,Matching_Engine!$BF$26)),1,0))+IF(Brand_Profile!$E$52="",0,IF(ISNUMBER(SEARCH(Brand_Profile!$E$52,Matching_Engine!$BF$26)),1,0)))/Brand_Profile!$E$53*100,0)))</f>
        <v>#REF!</v>
      </c>
      <c r="M26" s="63" t="str">
        <f>IF((IF(ISNUMBER(Matching_Engine!$J$26),Lookup_Lists!$D$332,0)+IF(ISNUMBER(Matching_Engine!$K$26),Lookup_Lists!$D$333,0)+IF(ISNUMBER(Matching_Engine!$L$26),Lookup_Lists!$D$334,0))=0,"N/A",ROUND((IF(ISNUMBER(Matching_Engine!$J$26),Matching_Engine!$J$26*Lookup_Lists!$D$332,0)+IF(ISNUMBER(Matching_Engine!$K$26),Matching_Engine!$K$26*Lookup_Lists!$D$333,0)+IF(ISNUMBER(Matching_Engine!$L$26),Matching_Engine!$L$26*Lookup_Lists!$D$334,0))/(IF(ISNUMBER(Matching_Engine!$J$26),Lookup_Lists!$D$332,0)+IF(ISNUMBER(Matching_Engine!$K$26),Lookup_Lists!$D$333,0)+IF(ISNUMBER(Matching_Engine!$L$26),Lookup_Lists!$D$334,0)),0))</f>
        <v>N/A</v>
      </c>
      <c r="N26" s="42">
        <f>IF(ISNUMBER(Matching_Engine!$M$26),1,0)</f>
        <v>1</v>
      </c>
      <c r="O26" s="65" t="str">
        <f ca="1">IF(NOT(ISNUMBER(IFERROR(INDEX('[1]#REF'!$V$26:'[1]#REF'!$Z$26,1,MATCH(Brand_Profile!$E$11,Lookup_Lists!$F$6:$F$10,0)),""))),"N/A",MIN(100,ROUND((IFERROR(INDEX('[1]#REF'!$V$26:'[1]#REF'!$Z$26,1,MATCH(Brand_Profile!$E$11,Lookup_Lists!$F$6:$F$10,0)),"")+0.5*IF(ISNUMBER(IFERROR(INDEX('[1]#REF'!$V$26:'[1]#REF'!$Z$26,1,MATCH(Brand_Profile!$E$12,Lookup_Lists!$F$6:$F$10,0)),"")),IFERROR(INDEX('[1]#REF'!$V$26:'[1]#REF'!$Z$26,1,MATCH(Brand_Profile!$E$12,Lookup_Lists!$F$6:$F$10,0)),""),0))/Lookup_Lists!$D$142*100,0)))</f>
        <v>N/A</v>
      </c>
      <c r="P26" s="65" t="str">
        <f>IF(Brand_Profile!$E$13="Any",100,IF(NOT(ISNUMBER('[1]#REF'!$AA$26)),"N/A",IF(Brand_Profile!$E$13="Female",MIN(100,ROUND('[1]#REF'!$AA$26/Lookup_Lists!$D$143*100,0)),IF(Brand_Profile!$E$13="Male",MIN(100,ROUND(IF(ISNUMBER('[1]#REF'!$AB$26),'[1]#REF'!$AB$26,100-'[1]#REF'!$AA$26)/Lookup_Lists!$D$143*100,0)),MAX(0,ROUND(100-ABS('[1]#REF'!$AA$26-50)*2,0))))))</f>
        <v>N/A</v>
      </c>
      <c r="Q26" s="65" t="str">
        <f>IF((IF(ISNUMBER(IF(NOT(ISNUMBER('[1]#REF'!$AE$26)),"N/A",IF('[1]#REF'!$AD$26&lt;&gt;Brand_Profile!$E$14,Lookup_Lists!$D$151,MIN(100,ROUND('[1]#REF'!$AE$26/Lookup_Lists!$D$316*100,0))))),Lookup_Lists!$D$118,0)+IF(ISNUMBER(IF(NOT(ISNUMBER('[1]#REF'!$AM$26)),"N/A",MIN(100,ROUND((IF('[1]#REF'!$AG$26=Brand_Profile!$E$15,IF(ISNUMBER('[1]#REF'!$AH$26),'[1]#REF'!$AH$26,0),0)+IF('[1]#REF'!$AI$26=Brand_Profile!$E$15,IF(ISNUMBER('[1]#REF'!$AJ$26),'[1]#REF'!$AJ$26,0),0)+IF('[1]#REF'!$AK$26=Brand_Profile!$E$15,IF(ISNUMBER('[1]#REF'!$AL$26),'[1]#REF'!$AL$26,0),0))/Lookup_Lists!$D$317*100,0)))),Lookup_Lists!$D$120,0))=0,"N/A",ROUND((IF(ISNUMBER(IF(NOT(ISNUMBER('[1]#REF'!$AE$26)),"N/A",IF('[1]#REF'!$AD$26&lt;&gt;Brand_Profile!$E$14,Lookup_Lists!$D$151,MIN(100,ROUND('[1]#REF'!$AE$26/Lookup_Lists!$D$316*100,0))))),IF(NOT(ISNUMBER('[1]#REF'!$AE$26)),"N/A",IF('[1]#REF'!$AD$26&lt;&gt;Brand_Profile!$E$14,Lookup_Lists!$D$151,MIN(100,ROUND('[1]#REF'!$AE$26/Lookup_Lists!$D$316*100,0))))*Lookup_Lists!$D$118,0)+IF(ISNUMBER(IF(NOT(ISNUMBER('[1]#REF'!$AM$26)),"N/A",MIN(100,ROUND((IF('[1]#REF'!$AG$26=Brand_Profile!$E$15,IF(ISNUMBER('[1]#REF'!$AH$26),'[1]#REF'!$AH$26,0),0)+IF('[1]#REF'!$AI$26=Brand_Profile!$E$15,IF(ISNUMBER('[1]#REF'!$AJ$26),'[1]#REF'!$AJ$26,0),0)+IF('[1]#REF'!$AK$26=Brand_Profile!$E$15,IF(ISNUMBER('[1]#REF'!$AL$26),'[1]#REF'!$AL$26,0),0))/Lookup_Lists!$D$317*100,0)))),IF(NOT(ISNUMBER('[1]#REF'!$AM$26)),"N/A",MIN(100,ROUND((IF('[1]#REF'!$AG$26=Brand_Profile!$E$15,IF(ISNUMBER('[1]#REF'!$AH$26),'[1]#REF'!$AH$26,0),0)+IF('[1]#REF'!$AI$26=Brand_Profile!$E$15,IF(ISNUMBER('[1]#REF'!$AJ$26),'[1]#REF'!$AJ$26,0),0)+IF('[1]#REF'!$AK$26=Brand_Profile!$E$15,IF(ISNUMBER('[1]#REF'!$AL$26),'[1]#REF'!$AL$26,0),0))/Lookup_Lists!$D$317*100,0)))*Lookup_Lists!$D$120,0))/(IF(ISNUMBER(IF(NOT(ISNUMBER('[1]#REF'!$AE$26)),"N/A",IF('[1]#REF'!$AD$26&lt;&gt;Brand_Profile!$E$14,Lookup_Lists!$D$151,MIN(100,ROUND('[1]#REF'!$AE$26/Lookup_Lists!$D$316*100,0))))),Lookup_Lists!$D$118,0)+IF(ISNUMBER(IF(NOT(ISNUMBER('[1]#REF'!$AM$26)),"N/A",MIN(100,ROUND((IF('[1]#REF'!$AG$26=Brand_Profile!$E$15,IF(ISNUMBER('[1]#REF'!$AH$26),'[1]#REF'!$AH$26,0),0)+IF('[1]#REF'!$AI$26=Brand_Profile!$E$15,IF(ISNUMBER('[1]#REF'!$AJ$26),'[1]#REF'!$AJ$26,0),0)+IF('[1]#REF'!$AK$26=Brand_Profile!$E$15,IF(ISNUMBER('[1]#REF'!$AL$26),'[1]#REF'!$AL$26,0),0))/Lookup_Lists!$D$317*100,0)))),Lookup_Lists!$D$120,0)),0))</f>
        <v>N/A</v>
      </c>
      <c r="R26" s="65" t="str">
        <f>IF(NOT(ISNUMBER('[1]#REF'!$AN$26)),"N/A",MIN(100,ROUND((IF(ISNUMBER('[1]#REF'!$AO$26),'[1]#REF'!$AO$26*Brand_Profile!$E$17,0)+IF(ISNUMBER('[1]#REF'!$AP$26),'[1]#REF'!$AP$26*Brand_Profile!$E$18,0)+IF(ISNUMBER('[1]#REF'!$AQ$26),'[1]#REF'!$AQ$26*Brand_Profile!$E$19,0)+IF(ISNUMBER('[1]#REF'!$AR$26),'[1]#REF'!$AR$26*Brand_Profile!$E$20,0)+IF(ISNUMBER('[1]#REF'!$AS$26),'[1]#REF'!$AS$26*Brand_Profile!$E$21,0)+IF(ISNUMBER('[1]#REF'!$AT$26),'[1]#REF'!$AT$26*Brand_Profile!$E$22,0)+IF(ISNUMBER('[1]#REF'!$AU$26),'[1]#REF'!$AU$26*Brand_Profile!$E$23,0)+IF(ISNUMBER('[1]#REF'!$AV$26),'[1]#REF'!$AV$26*Brand_Profile!$E$24,0)+IF(ISNUMBER('[1]#REF'!$AW$26),'[1]#REF'!$AW$26*Brand_Profile!$E$25,0)+IF(ISNUMBER('[1]#REF'!$AX$26),'[1]#REF'!$AX$26*Brand_Profile!$E$26,0)+IF(ISNUMBER('[1]#REF'!$AY$26),'[1]#REF'!$AY$26*Brand_Profile!$E$27,0)+IF(ISNUMBER('[1]#REF'!$AZ$26),'[1]#REF'!$AZ$26*Brand_Profile!$E$28,0)+IF(ISNUMBER('[1]#REF'!$BA$26),'[1]#REF'!$BA$26*Brand_Profile!$E$29,0)+IF(ISNUMBER('[1]#REF'!$BB$26),'[1]#REF'!$BB$26*Brand_Profile!$E$30,0)+IF(ISNUMBER('[1]#REF'!$BC$26),'[1]#REF'!$BC$26*Brand_Profile!$E$31,0)+IF(ISNUMBER('[1]#REF'!$BD$26),'[1]#REF'!$BD$26*Brand_Profile!$E$32,0)+IF(ISNUMBER('[1]#REF'!$BE$26),'[1]#REF'!$BE$26*Brand_Profile!$E$33,0)+IF(ISNUMBER('[1]#REF'!$BF$26),'[1]#REF'!$BF$26*Brand_Profile!$E$34,0))/Lookup_Lists!$D$318*100,0)))</f>
        <v>N/A</v>
      </c>
      <c r="S26" s="63">
        <f ca="1">IF((IF(ISNUMBER(Matching_Engine!$O$26),Lookup_Lists!$D$113,0)+IF(ISNUMBER(Matching_Engine!$P$26),Lookup_Lists!$D$114,0)+IF(ISNUMBER(Matching_Engine!$Q$26),Lookup_Lists!$D$115,0)+IF(ISNUMBER(Matching_Engine!$R$26),Lookup_Lists!$D$116,0))=0,"N/A",ROUND((IF(ISNUMBER(Matching_Engine!$O$26),Matching_Engine!$O$26*Lookup_Lists!$D$113,0)+IF(ISNUMBER(Matching_Engine!$P$26),Matching_Engine!$P$26*Lookup_Lists!$D$114,0)+IF(ISNUMBER(Matching_Engine!$Q$26),Matching_Engine!$Q$26*Lookup_Lists!$D$115,0)+IF(ISNUMBER(Matching_Engine!$R$26),Matching_Engine!$R$26*Lookup_Lists!$D$116,0))/(IF(ISNUMBER(Matching_Engine!$O$26),Lookup_Lists!$D$113,0)+IF(ISNUMBER(Matching_Engine!$P$26),Lookup_Lists!$D$114,0)+IF(ISNUMBER(Matching_Engine!$Q$26),Lookup_Lists!$D$115,0)+IF(ISNUMBER(Matching_Engine!$R$26),Lookup_Lists!$D$116,0)),0))</f>
        <v>60</v>
      </c>
      <c r="T26" s="42">
        <f ca="1">IF(ISNUMBER(Matching_Engine!$S$26),1,0)</f>
        <v>1</v>
      </c>
      <c r="U26" s="65" t="e">
        <f>IF(NOT(AND(ISTEXT('[1]#REF'!$M$26),'[1]#REF'!$M$26&lt;&gt;"N/A")),Lookup_Lists!$D$150,IF(Brand_Profile!$E$7='[1]#REF'!$M$26,100,IFERROR(INDEX(Lookup_Lists!$B$349:$J$357,MATCH(Brand_Profile!$E$7,Lookup_Lists!$A$349:$A$357,0),MATCH('[1]#REF'!$M$26,Lookup_Lists!$B$348:$J$348,0)),Lookup_Lists!$D$151)))</f>
        <v>#REF!</v>
      </c>
      <c r="V26" s="65" t="e">
        <f>IF(NOT(AND(ISTEXT('[1]#REF'!$P$26),'[1]#REF'!$P$26&lt;&gt;"N/A")),"N/A",IFERROR(INDEX(Lookup_Lists!$B$349:$J$357,MATCH(Brand_Profile!$E$7,Lookup_Lists!$A$349:$A$357,0),MATCH('[1]#REF'!$P$26,Lookup_Lists!$B$348:$J$348,0)),Lookup_Lists!$D$151))</f>
        <v>#REF!</v>
      </c>
      <c r="W26" s="65" t="e">
        <f>IF(LEN(TRIM(SUBSTITUTE(Matching_Engine!$BE$26,"|","")))=0,"N/A",IF(Brand_Profile!$E$60=0,Lookup_Lists!$D$150,ROUND((IF(Brand_Profile!$E$54="",0,IF(ISNUMBER(SEARCH(Brand_Profile!$E$54,Matching_Engine!$BE$26)),1,0))+IF(Brand_Profile!$E$55="",0,IF(ISNUMBER(SEARCH(Brand_Profile!$E$55,Matching_Engine!$BE$26)),1,0))+IF(Brand_Profile!$E$56="",0,IF(ISNUMBER(SEARCH(Brand_Profile!$E$56,Matching_Engine!$BE$26)),1,0))+IF(Brand_Profile!$E$57="",0,IF(ISNUMBER(SEARCH(Brand_Profile!$E$57,Matching_Engine!$BE$26)),1,0))+IF(Brand_Profile!$E$58="",0,IF(ISNUMBER(SEARCH(Brand_Profile!$E$58,Matching_Engine!$BE$26)),1,0))+IF(Brand_Profile!$E$59="",0,IF(ISNUMBER(SEARCH(Brand_Profile!$E$59,Matching_Engine!$BE$26)),1,0)))/Brand_Profile!$E$60*100,0)))</f>
        <v>#VALUE!</v>
      </c>
      <c r="X26" s="65" t="e">
        <f>IF(NOT(AND(ISTEXT('[1]#REF'!$Q$26),'[1]#REF'!$Q$26&lt;&gt;"N/A")),"N/A",Lookup_Lists!$D$150)</f>
        <v>#REF!</v>
      </c>
      <c r="Y26" s="63">
        <f>IF((IF(ISNUMBER(Matching_Engine!$U$26),Lookup_Lists!$D$335,0)+IF(ISNUMBER(Matching_Engine!$V$26),Lookup_Lists!$D$122,0)+IF(ISNUMBER(Matching_Engine!$W$26),Lookup_Lists!$D$336,0)+IF(ISNUMBER(Matching_Engine!$X$26),Lookup_Lists!$D$124,0))=0,"N/A",ROUND((IF(ISNUMBER(Matching_Engine!$U$26),Matching_Engine!$U$26*Lookup_Lists!$D$335,0)+IF(ISNUMBER(Matching_Engine!$V$26),Matching_Engine!$V$26*Lookup_Lists!$D$122,0)+IF(ISNUMBER(Matching_Engine!$W$26),Matching_Engine!$W$26*Lookup_Lists!$D$336,0)+IF(ISNUMBER(Matching_Engine!$X$26),Matching_Engine!$X$26*Lookup_Lists!$D$124,0))/(IF(ISNUMBER(Matching_Engine!$U$26),Lookup_Lists!$D$335,0)+IF(ISNUMBER(Matching_Engine!$V$26),Lookup_Lists!$D$122,0)+IF(ISNUMBER(Matching_Engine!$W$26),Lookup_Lists!$D$336,0)+IF(ISNUMBER(Matching_Engine!$X$26),Lookup_Lists!$D$124,0)),0))</f>
        <v>13</v>
      </c>
      <c r="Z26" s="42">
        <f>IF(ISNUMBER(Matching_Engine!$Y$26),1,0)</f>
        <v>1</v>
      </c>
      <c r="AA26" s="65" t="e">
        <f>IF(NOT(AND(ISTEXT('[1]#REF'!$Q$26),'[1]#REF'!$Q$26&lt;&gt;"N/A")),"N/A",Lookup_Lists!$D$150)</f>
        <v>#REF!</v>
      </c>
      <c r="AB26" s="65" t="e">
        <f>IF(NOT(AND(ISTEXT('[1]#REF'!$Q$26),'[1]#REF'!$Q$26&lt;&gt;"N/A")),"N/A",Lookup_Lists!$D$150)</f>
        <v>#REF!</v>
      </c>
      <c r="AC26" s="65" t="str">
        <f t="shared" si="0"/>
        <v>N/A</v>
      </c>
      <c r="AD26" s="65" t="e">
        <f>IF(NOT(AND(ISTEXT('[1]#REF'!$Q$26),'[1]#REF'!$Q$26&lt;&gt;"N/A")),"N/A",Lookup_Lists!$D$150)</f>
        <v>#REF!</v>
      </c>
      <c r="AE26" s="63">
        <f>IF((IF(ISNUMBER(Matching_Engine!$AA$26),Lookup_Lists!$D$125,0)+IF(ISNUMBER(Matching_Engine!$AB$26),Lookup_Lists!$D$126,0)+IF(ISNUMBER(Matching_Engine!$AC$26),Lookup_Lists!$D$127,0)+IF(ISNUMBER(Matching_Engine!$AD$26),Lookup_Lists!$D$128,0))=0,"N/A",ROUND((IF(ISNUMBER(Matching_Engine!$AA$26),Matching_Engine!$AA$26*Lookup_Lists!$D$125,0)+IF(ISNUMBER(Matching_Engine!$AB$26),Matching_Engine!$AB$26*Lookup_Lists!$D$126,0)+IF(ISNUMBER(Matching_Engine!$AC$26),Matching_Engine!$AC$26*Lookup_Lists!$D$127,0)+IF(ISNUMBER(Matching_Engine!$AD$26),Matching_Engine!$AD$26*Lookup_Lists!$D$128,0))/(IF(ISNUMBER(Matching_Engine!$AA$26),Lookup_Lists!$D$125,0)+IF(ISNUMBER(Matching_Engine!$AB$26),Lookup_Lists!$D$126,0)+IF(ISNUMBER(Matching_Engine!$AC$26),Lookup_Lists!$D$127,0)+IF(ISNUMBER(Matching_Engine!$AD$26),Lookup_Lists!$D$128,0)),0))</f>
        <v>28</v>
      </c>
      <c r="AF26" s="42">
        <f>IF(ISNUMBER(Matching_Engine!$AE$26),1,0)</f>
        <v>1</v>
      </c>
      <c r="AG26" s="65" t="str">
        <f>IF(NOT(ISNUMBER('[1]#REF'!$BG$26)),"N/A",MIN(100,ROUND('[1]#REF'!$BG$26/IFERROR(INDEX(Lookup_Lists!$B$340:$B$344,MATCH('[1]#REF'!$H$26,Lookup_Lists!$A$340:$A$344,0)),Lookup_Lists!$D$141)*100,0)))</f>
        <v>N/A</v>
      </c>
      <c r="AH26" s="65" t="str">
        <f>IF(NOT(ISNUMBER('[1]#REF'!$BS$26)),"N/A",MIN(100,MAX(0,'[1]#REF'!$BS$26)))</f>
        <v>N/A</v>
      </c>
      <c r="AI26" s="65" t="e">
        <f>IF(OR(NOT(ISNUMBER('[1]#REF'!$BM$26)),NOT(ISNUMBER('[1]#REF'!$BN$26)),'[1]#REF'!$BN$26&lt;Lookup_Lists!$D$320),"N/A",MIN(100,ROUND('[1]#REF'!$BM$26/Lookup_Lists!$D$319*100,0)))</f>
        <v>#REF!</v>
      </c>
      <c r="AJ26" s="65" t="str">
        <f>IF(NOT(ISNUMBER('[1]#REF'!$BR$26)),"N/A",'[1]#REF'!$BR$26)</f>
        <v>N/A</v>
      </c>
      <c r="AK26" s="65" t="str">
        <f>IF(NOT(ISNUMBER('[1]#REF'!$BK$26)),"N/A",MIN(100,ROUND('[1]#REF'!$BK$26/Lookup_Lists!$D$321*100,0)))</f>
        <v>N/A</v>
      </c>
      <c r="AL26" s="65" t="str">
        <f>IF(NOT(ISNUMBER('[1]#REF'!$BP$26)),"N/A",MIN(100,MAX(0,ROUND(('[1]#REF'!$BP$26+2)/(Lookup_Lists!$D$145+2)*100,0))))</f>
        <v>N/A</v>
      </c>
      <c r="AM26" s="63">
        <f>IF((IF(ISNUMBER(Matching_Engine!$AG$26),Lookup_Lists!$D$129,0)+IF(ISNUMBER(Matching_Engine!$AH$26),Lookup_Lists!$D$130,0)+IF(ISNUMBER(Matching_Engine!$AI$26),Lookup_Lists!$D$131,0)+IF(ISNUMBER(Matching_Engine!$AJ$26),Lookup_Lists!$D$132,0)+IF(ISNUMBER(Matching_Engine!$AK$26),Lookup_Lists!$D$133,0)+IF(ISNUMBER(Matching_Engine!$AL$26),Lookup_Lists!$D$134,0))=0,"N/A",ROUND((IF(ISNUMBER(Matching_Engine!$AG$26),Matching_Engine!$AG$26*Lookup_Lists!$D$129,0)+IF(ISNUMBER(Matching_Engine!$AH$26),Matching_Engine!$AH$26*Lookup_Lists!$D$130,0)+IF(ISNUMBER(Matching_Engine!$AI$26),Matching_Engine!$AI$26*Lookup_Lists!$D$131,0)+IF(ISNUMBER(Matching_Engine!$AJ$26),Matching_Engine!$AJ$26*Lookup_Lists!$D$132,0)+IF(ISNUMBER(Matching_Engine!$AK$26),Matching_Engine!$AK$26*Lookup_Lists!$D$133,0)+IF(ISNUMBER(Matching_Engine!$AL$26),Matching_Engine!$AL$26*Lookup_Lists!$D$134,0))/(IF(ISNUMBER(Matching_Engine!$AG$26),Lookup_Lists!$D$129,0)+IF(ISNUMBER(Matching_Engine!$AH$26),Lookup_Lists!$D$130,0)+IF(ISNUMBER(Matching_Engine!$AI$26),Lookup_Lists!$D$131,0)+IF(ISNUMBER(Matching_Engine!$AJ$26),Lookup_Lists!$D$132,0)+IF(ISNUMBER(Matching_Engine!$AK$26),Lookup_Lists!$D$133,0)+IF(ISNUMBER(Matching_Engine!$AL$26),Lookup_Lists!$D$134,0)),0))</f>
        <v>65</v>
      </c>
      <c r="AN26" s="42">
        <f>IF(ISNUMBER(Matching_Engine!$AM$26),1,0)</f>
        <v>0</v>
      </c>
      <c r="AO26" s="65" t="str">
        <f>IF(NOT(ISNUMBER('[1]#REF'!$BT$26)),"N/A",MIN(100,MAX(0,'[1]#REF'!$BT$26)))</f>
        <v>N/A</v>
      </c>
      <c r="AP26" s="65" t="str">
        <f>IF(NOT(ISNUMBER('[1]#REF'!$BU$26)),"N/A",MIN(100,MAX(0,'[1]#REF'!$BU$26)))</f>
        <v>N/A</v>
      </c>
      <c r="AQ26" s="65" t="e">
        <f>IF('[1]#REF'!$I$26="Yes",Lookup_Lists!$D$326,IF('[1]#REF'!$I$26="No",Lookup_Lists!$D$327,"N/A"))</f>
        <v>#REF!</v>
      </c>
      <c r="AR26" s="65" t="str">
        <f>IF(NOT(ISNUMBER('[1]#REF'!$BQ$26)),"N/A",MAX(0,ROUND(100-'[1]#REF'!$BQ$26/Lookup_Lists!$D$328*100,0)))</f>
        <v>N/A</v>
      </c>
      <c r="AS26" s="65" t="e">
        <f>IF(NOT(AND(ISTEXT('[1]#REF'!$BV$26),'[1]#REF'!$BV$26&lt;&gt;"N/A")),"N/A",'[1]#REF'!$BV$26)</f>
        <v>#REF!</v>
      </c>
      <c r="AT26" s="63" t="str">
        <f ca="1">IF((IF(ISNUMBER(Matching_Engine!$AO$26),Lookup_Lists!$D$322,0)+IF(ISNUMBER(Matching_Engine!$AP$26),Lookup_Lists!$D$323,0)+IF(ISNUMBER(Matching_Engine!$AQ$26),Lookup_Lists!$D$324,0)+IF(ISNUMBER(Matching_Engine!$AR$26),Lookup_Lists!$D$325,0))=0,"N/A",ROUND((IF(ISNUMBER(Matching_Engine!$AO$26),Matching_Engine!$AO$26*Lookup_Lists!$D$322,0)+IF(ISNUMBER(Matching_Engine!$AP$26),Matching_Engine!$AP$26*Lookup_Lists!$D$323,0)+IF(ISNUMBER(Matching_Engine!$AQ$26),Matching_Engine!$AQ$26*Lookup_Lists!$D$324,0)+IF(ISNUMBER(Matching_Engine!$AR$26),Matching_Engine!$AR$26*Lookup_Lists!$D$325,0))/(IF(ISNUMBER(Matching_Engine!$AO$26),Lookup_Lists!$D$322,0)+IF(ISNUMBER(Matching_Engine!$AP$26),Lookup_Lists!$D$323,0)+IF(ISNUMBER(Matching_Engine!$AQ$26),Lookup_Lists!$D$324,0)+IF(ISNUMBER(Matching_Engine!$AR$26),Lookup_Lists!$D$325,0)),0))</f>
        <v>N/A</v>
      </c>
      <c r="AU26" s="42">
        <f>IF(ISNUMBER(Matching_Engine!$AT$26),1,0)</f>
        <v>1</v>
      </c>
      <c r="AV26" s="42" t="str">
        <f>IF(NOT(ISNUMBER(Matching_Engine!$AT$26)),"Not Screened",IF(Matching_Engine!$AT$26&gt;=Lookup_Lists!$D$329,"Low Risk",IF(Matching_Engine!$AT$26&gt;=Lookup_Lists!$D$330,"Moderate Risk",IF(Matching_Engine!$AT$26&gt;=Lookup_Lists!$D$331,"Elevated Risk","High Risk"))))</f>
        <v>Low Risk</v>
      </c>
      <c r="AW26" s="42" t="e">
        <f ca="1">IF(NOT(ISNUMBER(Matching_Engine!$AT$26)),"No integrity signal: no audience-analysis row for this account.","Integrity screen only — no content-risk reading exists (comments_analysis: 0 rows). "&amp;IF(ISNUMBER(Matching_Engine!$AO$26),"Authenticity "&amp;Matching_Engine!$AO$26&amp;". ","Authenticity N/A. ")&amp;IF(ISNUMBER(Matching_Engine!$AP$26),"Follower quality "&amp;Matching_Engine!$AP$26&amp;". ","Follower quality N/A. ")&amp;IF('[1]#REF'!$I$26="Yes","Platform-verified.","Not platform-verified."))</f>
        <v>#REF!</v>
      </c>
      <c r="AX26" s="65">
        <f>Matching_Engine!$N$26*Lookup_Lists!$D$104+Matching_Engine!$T$26*Lookup_Lists!$D$105+Matching_Engine!$Z$26*Lookup_Lists!$D$106+Matching_Engine!$AF$26*Lookup_Lists!$D$107+Matching_Engine!$AN$26*Lookup_Lists!$D$108+Matching_Engine!$AU$26*Lookup_Lists!$D$109</f>
        <v>3428.5</v>
      </c>
      <c r="AY26" s="74" t="e">
        <f ca="1">IF(Matching_Engine!$AX$26=0,"N/A",ROUND((IF(Matching_Engine!$N$26=1,Matching_Engine!$M$26*Lookup_Lists!$D$104,0)+IF(Matching_Engine!$T$26=1,Matching_Engine!$S$26*Lookup_Lists!$D$105,0)+IF(Matching_Engine!$Z$26=1,Matching_Engine!$Y$26*Lookup_Lists!$D$106,0)+IF(Matching_Engine!$AF$26=1,Matching_Engine!$AE$26*Lookup_Lists!$D$107,0)+IF(Matching_Engine!$AN$26=1,Matching_Engine!$AM$26*Lookup_Lists!$D$108,0)+IF(Matching_Engine!$AU$26=1,Matching_Engine!$AT$26*Lookup_Lists!$D$109,0))/Matching_Engine!$AX$26,0))</f>
        <v>#VALUE!</v>
      </c>
      <c r="AZ26" s="42" t="str">
        <f ca="1">IF(NOT(ISNUMBER(Matching_Engine!$AY$26)),"Not Scored",IF(Matching_Engine!$AY$26&gt;=Lookup_Lists!$D$152,"Excellent Match",IF(Matching_Engine!$AY$26&gt;=Lookup_Lists!$D$153,"Strong Match",IF(Matching_Engine!$AY$26&gt;=Lookup_Lists!$D$154,"Good Match",IF(Matching_Engine!$AY$26&gt;=Lookup_Lists!$D$155,"Moderate Match","Low Match")))))</f>
        <v>Not Scored</v>
      </c>
      <c r="BA26" s="65" t="e">
        <f>'[1]#REF'!$BW$26</f>
        <v>#REF!</v>
      </c>
      <c r="BB26" s="42" t="e">
        <f>'[1]#REF'!$BX$26</f>
        <v>#REF!</v>
      </c>
      <c r="BC26" s="65">
        <f ca="1">IF(NOT(ISNUMBER(Matching_Engine!$AY$26)),-1,Matching_Engine!$AY$26*1000+4)</f>
        <v>-1</v>
      </c>
      <c r="BD26" s="42" t="e">
        <f>IF(AND(ISTEXT('[1]#REF'!$S$26),'[1]#REF'!$S$26&lt;&gt;"N/A"),'[1]#REF'!$S$26,"")&amp;" | "&amp;IF(AND(ISTEXT('[1]#REF'!$T$26),'[1]#REF'!$T$26&lt;&gt;"N/A"),'[1]#REF'!$T$26,"")&amp;" | "&amp;IF(AND(ISTEXT('[1]#REF'!$N$26),'[1]#REF'!$N$26&lt;&gt;"N/A"),'[1]#REF'!$N$26,"")&amp;" | "&amp;IF(AND(ISTEXT('[1]#REF'!$K$26),'[1]#REF'!$K$26&lt;&gt;"N/A"),'[1]#REF'!$K$26,"")&amp;" | "&amp;IF(AND(ISTEXT('[1]#REF'!$J$26),'[1]#REF'!$J$26&lt;&gt;"N/A"),'[1]#REF'!$J$26,"")</f>
        <v>#REF!</v>
      </c>
      <c r="BE26" s="42" t="e">
        <f>IF(AND(ISTEXT('[1]#REF'!$T$26),'[1]#REF'!$T$26&lt;&gt;"N/A"),'[1]#REF'!$T$26,"")&amp;" | "&amp;IF(AND(ISTEXT('[1]#REF'!$N$26),'[1]#REF'!$N$26&lt;&gt;"N/A"),'[1]#REF'!$N$26,"")&amp;" | "&amp;IF(AND(ISTEXT('[1]#REF'!$O$26),'[1]#REF'!$O$26&lt;&gt;"N/A"),'[1]#REF'!$O$26,"")&amp;" | "&amp;IF(AND(ISTEXT('[1]#REF'!$S$26),'[1]#REF'!$S$26&lt;&gt;"N/A"),'[1]#REF'!$S$26,"")</f>
        <v>#REF!</v>
      </c>
      <c r="BF26" s="42" t="e">
        <f>IF(AND(ISTEXT('[1]#REF'!$U$26),'[1]#REF'!$U$26&lt;&gt;"N/A"),'[1]#REF'!$U$26,"")</f>
        <v>#REF!</v>
      </c>
      <c r="BG26" s="42" t="str">
        <f>Matching_Engine!$A$26&amp;"|"&amp;Matching_Engine!$C$26</f>
        <v>BRAND-A|KOL-21</v>
      </c>
    </row>
    <row r="27" spans="1:59">
      <c r="A27" s="64" t="s">
        <v>2527</v>
      </c>
      <c r="B27" s="42" t="str">
        <f>Brand_Profile!$E$6</f>
        <v>BRAND-B</v>
      </c>
      <c r="C27" s="42" t="e">
        <f>'[1]#REF'!$A$27</f>
        <v>#REF!</v>
      </c>
      <c r="D27" s="42" t="e">
        <f>'[1]#REF'!$C$27</f>
        <v>#REF!</v>
      </c>
      <c r="E27" s="42" t="e">
        <f>'[1]#REF'!$D$27</f>
        <v>#REF!</v>
      </c>
      <c r="F27" s="42" t="e">
        <f>'[1]#REF'!$E$27</f>
        <v>#REF!</v>
      </c>
      <c r="G27" s="42" t="e">
        <f>'[1]#REF'!$K$27</f>
        <v>#REF!</v>
      </c>
      <c r="H27" s="72" t="e">
        <f>'[1]#REF'!$G$27</f>
        <v>#REF!</v>
      </c>
      <c r="I27" s="73" t="e">
        <f>'[1]#REF'!$BG$27</f>
        <v>#REF!</v>
      </c>
      <c r="J27" s="65" t="e">
        <f>IF(NOT(AND(ISTEXT('[1]#REF'!$K$27),'[1]#REF'!$K$27&lt;&gt;"N/A")),Lookup_Lists!$D$150,IF(Brand_Profile!$E$7='[1]#REF'!$K$27,100,IFERROR(INDEX(Lookup_Lists!$B$349:$J$357,MATCH(Brand_Profile!$E$7,Lookup_Lists!$A$349:$A$357,0),MATCH('[1]#REF'!$K$27,Lookup_Lists!$B$348:$J$348,0)),Lookup_Lists!$D$151)))</f>
        <v>#REF!</v>
      </c>
      <c r="K27" s="65" t="e">
        <f>IF(LEN(TRIM(SUBSTITUTE(Matching_Engine!$BD$27,"|","")))=0,"N/A",IF(Brand_Profile!$E$47=0,Lookup_Lists!$D$150,ROUND((IF(Brand_Profile!$E$41="",0,IF(ISNUMBER(SEARCH(Brand_Profile!$E$41,Matching_Engine!$BD$27)),1,0))+IF(Brand_Profile!$E$42="",0,IF(ISNUMBER(SEARCH(Brand_Profile!$E$42,Matching_Engine!$BD$27)),1,0))+IF(Brand_Profile!$E$43="",0,IF(ISNUMBER(SEARCH(Brand_Profile!$E$43,Matching_Engine!$BD$27)),1,0))+IF(Brand_Profile!$E$44="",0,IF(ISNUMBER(SEARCH(Brand_Profile!$E$44,Matching_Engine!$BD$27)),1,0))+IF(Brand_Profile!$E$45="",0,IF(ISNUMBER(SEARCH(Brand_Profile!$E$45,Matching_Engine!$BD$27)),1,0))+IF(Brand_Profile!$E$46="",0,IF(ISNUMBER(SEARCH(Brand_Profile!$E$46,Matching_Engine!$BD$27)),1,0)))/Brand_Profile!$E$47*100,0)))</f>
        <v>#VALUE!</v>
      </c>
      <c r="L27" s="65" t="e">
        <f>IF(NOT(AND(ISTEXT('[1]#REF'!$U$27),'[1]#REF'!$U$27&lt;&gt;"N/A")),"N/A",IF(Brand_Profile!$E$53=0,Lookup_Lists!$D$150,ROUND((IF(Brand_Profile!$E$48="",0,IF(ISNUMBER(SEARCH(Brand_Profile!$E$48,Matching_Engine!$BF$27)),1,0))+IF(Brand_Profile!$E$49="",0,IF(ISNUMBER(SEARCH(Brand_Profile!$E$49,Matching_Engine!$BF$27)),1,0))+IF(Brand_Profile!$E$50="",0,IF(ISNUMBER(SEARCH(Brand_Profile!$E$50,Matching_Engine!$BF$27)),1,0))+IF(Brand_Profile!$E$51="",0,IF(ISNUMBER(SEARCH(Brand_Profile!$E$51,Matching_Engine!$BF$27)),1,0))+IF(Brand_Profile!$E$52="",0,IF(ISNUMBER(SEARCH(Brand_Profile!$E$52,Matching_Engine!$BF$27)),1,0)))/Brand_Profile!$E$53*100,0)))</f>
        <v>#REF!</v>
      </c>
      <c r="M27" s="63" t="str">
        <f>IF((IF(ISNUMBER(Matching_Engine!$J$27),Lookup_Lists!$D$332,0)+IF(ISNUMBER(Matching_Engine!$K$27),Lookup_Lists!$D$333,0)+IF(ISNUMBER(Matching_Engine!$L$27),Lookup_Lists!$D$334,0))=0,"N/A",ROUND((IF(ISNUMBER(Matching_Engine!$J$27),Matching_Engine!$J$27*Lookup_Lists!$D$332,0)+IF(ISNUMBER(Matching_Engine!$K$27),Matching_Engine!$K$27*Lookup_Lists!$D$333,0)+IF(ISNUMBER(Matching_Engine!$L$27),Matching_Engine!$L$27*Lookup_Lists!$D$334,0))/(IF(ISNUMBER(Matching_Engine!$J$27),Lookup_Lists!$D$332,0)+IF(ISNUMBER(Matching_Engine!$K$27),Lookup_Lists!$D$333,0)+IF(ISNUMBER(Matching_Engine!$L$27),Lookup_Lists!$D$334,0)),0))</f>
        <v>N/A</v>
      </c>
      <c r="N27" s="42">
        <f>IF(ISNUMBER(Matching_Engine!$M$27),1,0)</f>
        <v>1</v>
      </c>
      <c r="O27" s="65" t="str">
        <f ca="1">IF(NOT(ISNUMBER(IFERROR(INDEX('[1]#REF'!$V$27:'[1]#REF'!$Z$27,1,MATCH(Brand_Profile!$E$11,Lookup_Lists!$F$6:$F$10,0)),""))),"N/A",MIN(100,ROUND((IFERROR(INDEX('[1]#REF'!$V$27:'[1]#REF'!$Z$27,1,MATCH(Brand_Profile!$E$11,Lookup_Lists!$F$6:$F$10,0)),"")+0.5*IF(ISNUMBER(IFERROR(INDEX('[1]#REF'!$V$27:'[1]#REF'!$Z$27,1,MATCH(Brand_Profile!$E$12,Lookup_Lists!$F$6:$F$10,0)),"")),IFERROR(INDEX('[1]#REF'!$V$27:'[1]#REF'!$Z$27,1,MATCH(Brand_Profile!$E$12,Lookup_Lists!$F$6:$F$10,0)),""),0))/Lookup_Lists!$D$142*100,0)))</f>
        <v>N/A</v>
      </c>
      <c r="P27" s="65" t="str">
        <f>IF(Brand_Profile!$E$13="Any",100,IF(NOT(ISNUMBER('[1]#REF'!$AA$27)),"N/A",IF(Brand_Profile!$E$13="Female",MIN(100,ROUND('[1]#REF'!$AA$27/Lookup_Lists!$D$143*100,0)),IF(Brand_Profile!$E$13="Male",MIN(100,ROUND(IF(ISNUMBER('[1]#REF'!$AB$27),'[1]#REF'!$AB$27,100-'[1]#REF'!$AA$27)/Lookup_Lists!$D$143*100,0)),MAX(0,ROUND(100-ABS('[1]#REF'!$AA$27-50)*2,0))))))</f>
        <v>N/A</v>
      </c>
      <c r="Q27" s="65" t="str">
        <f>IF((IF(ISNUMBER(IF(NOT(ISNUMBER('[1]#REF'!$AE$27)),"N/A",IF('[1]#REF'!$AD$27&lt;&gt;Brand_Profile!$E$14,Lookup_Lists!$D$151,MIN(100,ROUND('[1]#REF'!$AE$27/Lookup_Lists!$D$316*100,0))))),Lookup_Lists!$D$118,0)+IF(ISNUMBER(IF(NOT(ISNUMBER('[1]#REF'!$AM$27)),"N/A",MIN(100,ROUND((IF('[1]#REF'!$AG$27=Brand_Profile!$E$15,IF(ISNUMBER('[1]#REF'!$AH$27),'[1]#REF'!$AH$27,0),0)+IF('[1]#REF'!$AI$27=Brand_Profile!$E$15,IF(ISNUMBER('[1]#REF'!$AJ$27),'[1]#REF'!$AJ$27,0),0)+IF('[1]#REF'!$AK$27=Brand_Profile!$E$15,IF(ISNUMBER('[1]#REF'!$AL$27),'[1]#REF'!$AL$27,0),0))/Lookup_Lists!$D$317*100,0)))),Lookup_Lists!$D$120,0))=0,"N/A",ROUND((IF(ISNUMBER(IF(NOT(ISNUMBER('[1]#REF'!$AE$27)),"N/A",IF('[1]#REF'!$AD$27&lt;&gt;Brand_Profile!$E$14,Lookup_Lists!$D$151,MIN(100,ROUND('[1]#REF'!$AE$27/Lookup_Lists!$D$316*100,0))))),IF(NOT(ISNUMBER('[1]#REF'!$AE$27)),"N/A",IF('[1]#REF'!$AD$27&lt;&gt;Brand_Profile!$E$14,Lookup_Lists!$D$151,MIN(100,ROUND('[1]#REF'!$AE$27/Lookup_Lists!$D$316*100,0))))*Lookup_Lists!$D$118,0)+IF(ISNUMBER(IF(NOT(ISNUMBER('[1]#REF'!$AM$27)),"N/A",MIN(100,ROUND((IF('[1]#REF'!$AG$27=Brand_Profile!$E$15,IF(ISNUMBER('[1]#REF'!$AH$27),'[1]#REF'!$AH$27,0),0)+IF('[1]#REF'!$AI$27=Brand_Profile!$E$15,IF(ISNUMBER('[1]#REF'!$AJ$27),'[1]#REF'!$AJ$27,0),0)+IF('[1]#REF'!$AK$27=Brand_Profile!$E$15,IF(ISNUMBER('[1]#REF'!$AL$27),'[1]#REF'!$AL$27,0),0))/Lookup_Lists!$D$317*100,0)))),IF(NOT(ISNUMBER('[1]#REF'!$AM$27)),"N/A",MIN(100,ROUND((IF('[1]#REF'!$AG$27=Brand_Profile!$E$15,IF(ISNUMBER('[1]#REF'!$AH$27),'[1]#REF'!$AH$27,0),0)+IF('[1]#REF'!$AI$27=Brand_Profile!$E$15,IF(ISNUMBER('[1]#REF'!$AJ$27),'[1]#REF'!$AJ$27,0),0)+IF('[1]#REF'!$AK$27=Brand_Profile!$E$15,IF(ISNUMBER('[1]#REF'!$AL$27),'[1]#REF'!$AL$27,0),0))/Lookup_Lists!$D$317*100,0)))*Lookup_Lists!$D$120,0))/(IF(ISNUMBER(IF(NOT(ISNUMBER('[1]#REF'!$AE$27)),"N/A",IF('[1]#REF'!$AD$27&lt;&gt;Brand_Profile!$E$14,Lookup_Lists!$D$151,MIN(100,ROUND('[1]#REF'!$AE$27/Lookup_Lists!$D$316*100,0))))),Lookup_Lists!$D$118,0)+IF(ISNUMBER(IF(NOT(ISNUMBER('[1]#REF'!$AM$27)),"N/A",MIN(100,ROUND((IF('[1]#REF'!$AG$27=Brand_Profile!$E$15,IF(ISNUMBER('[1]#REF'!$AH$27),'[1]#REF'!$AH$27,0),0)+IF('[1]#REF'!$AI$27=Brand_Profile!$E$15,IF(ISNUMBER('[1]#REF'!$AJ$27),'[1]#REF'!$AJ$27,0),0)+IF('[1]#REF'!$AK$27=Brand_Profile!$E$15,IF(ISNUMBER('[1]#REF'!$AL$27),'[1]#REF'!$AL$27,0),0))/Lookup_Lists!$D$317*100,0)))),Lookup_Lists!$D$120,0)),0))</f>
        <v>N/A</v>
      </c>
      <c r="R27" s="65" t="str">
        <f>IF(NOT(ISNUMBER('[1]#REF'!$AN$27)),"N/A",MIN(100,ROUND((IF(ISNUMBER('[1]#REF'!$AO$27),'[1]#REF'!$AO$27*Brand_Profile!$E$17,0)+IF(ISNUMBER('[1]#REF'!$AP$27),'[1]#REF'!$AP$27*Brand_Profile!$E$18,0)+IF(ISNUMBER('[1]#REF'!$AQ$27),'[1]#REF'!$AQ$27*Brand_Profile!$E$19,0)+IF(ISNUMBER('[1]#REF'!$AR$27),'[1]#REF'!$AR$27*Brand_Profile!$E$20,0)+IF(ISNUMBER('[1]#REF'!$AS$27),'[1]#REF'!$AS$27*Brand_Profile!$E$21,0)+IF(ISNUMBER('[1]#REF'!$AT$27),'[1]#REF'!$AT$27*Brand_Profile!$E$22,0)+IF(ISNUMBER('[1]#REF'!$AU$27),'[1]#REF'!$AU$27*Brand_Profile!$E$23,0)+IF(ISNUMBER('[1]#REF'!$AV$27),'[1]#REF'!$AV$27*Brand_Profile!$E$24,0)+IF(ISNUMBER('[1]#REF'!$AW$27),'[1]#REF'!$AW$27*Brand_Profile!$E$25,0)+IF(ISNUMBER('[1]#REF'!$AX$27),'[1]#REF'!$AX$27*Brand_Profile!$E$26,0)+IF(ISNUMBER('[1]#REF'!$AY$27),'[1]#REF'!$AY$27*Brand_Profile!$E$27,0)+IF(ISNUMBER('[1]#REF'!$AZ$27),'[1]#REF'!$AZ$27*Brand_Profile!$E$28,0)+IF(ISNUMBER('[1]#REF'!$BA$27),'[1]#REF'!$BA$27*Brand_Profile!$E$29,0)+IF(ISNUMBER('[1]#REF'!$BB$27),'[1]#REF'!$BB$27*Brand_Profile!$E$30,0)+IF(ISNUMBER('[1]#REF'!$BC$27),'[1]#REF'!$BC$27*Brand_Profile!$E$31,0)+IF(ISNUMBER('[1]#REF'!$BD$27),'[1]#REF'!$BD$27*Brand_Profile!$E$32,0)+IF(ISNUMBER('[1]#REF'!$BE$27),'[1]#REF'!$BE$27*Brand_Profile!$E$33,0)+IF(ISNUMBER('[1]#REF'!$BF$27),'[1]#REF'!$BF$27*Brand_Profile!$E$34,0))/Lookup_Lists!$D$318*100,0)))</f>
        <v>N/A</v>
      </c>
      <c r="S27" s="63">
        <f ca="1">IF((IF(ISNUMBER(Matching_Engine!$O$27),Lookup_Lists!$D$113,0)+IF(ISNUMBER(Matching_Engine!$P$27),Lookup_Lists!$D$114,0)+IF(ISNUMBER(Matching_Engine!$Q$27),Lookup_Lists!$D$115,0)+IF(ISNUMBER(Matching_Engine!$R$27),Lookup_Lists!$D$116,0))=0,"N/A",ROUND((IF(ISNUMBER(Matching_Engine!$O$27),Matching_Engine!$O$27*Lookup_Lists!$D$113,0)+IF(ISNUMBER(Matching_Engine!$P$27),Matching_Engine!$P$27*Lookup_Lists!$D$114,0)+IF(ISNUMBER(Matching_Engine!$Q$27),Matching_Engine!$Q$27*Lookup_Lists!$D$115,0)+IF(ISNUMBER(Matching_Engine!$R$27),Matching_Engine!$R$27*Lookup_Lists!$D$116,0))/(IF(ISNUMBER(Matching_Engine!$O$27),Lookup_Lists!$D$113,0)+IF(ISNUMBER(Matching_Engine!$P$27),Lookup_Lists!$D$114,0)+IF(ISNUMBER(Matching_Engine!$Q$27),Lookup_Lists!$D$115,0)+IF(ISNUMBER(Matching_Engine!$R$27),Lookup_Lists!$D$116,0)),0))</f>
        <v>66</v>
      </c>
      <c r="T27" s="42">
        <f ca="1">IF(ISNUMBER(Matching_Engine!$S$27),1,0)</f>
        <v>1</v>
      </c>
      <c r="U27" s="65" t="e">
        <f>IF(NOT(AND(ISTEXT('[1]#REF'!$M$27),'[1]#REF'!$M$27&lt;&gt;"N/A")),Lookup_Lists!$D$150,IF(Brand_Profile!$E$7='[1]#REF'!$M$27,100,IFERROR(INDEX(Lookup_Lists!$B$349:$J$357,MATCH(Brand_Profile!$E$7,Lookup_Lists!$A$349:$A$357,0),MATCH('[1]#REF'!$M$27,Lookup_Lists!$B$348:$J$348,0)),Lookup_Lists!$D$151)))</f>
        <v>#REF!</v>
      </c>
      <c r="V27" s="65" t="e">
        <f>IF(NOT(AND(ISTEXT('[1]#REF'!$P$27),'[1]#REF'!$P$27&lt;&gt;"N/A")),"N/A",IFERROR(INDEX(Lookup_Lists!$B$349:$J$357,MATCH(Brand_Profile!$E$7,Lookup_Lists!$A$349:$A$357,0),MATCH('[1]#REF'!$P$27,Lookup_Lists!$B$348:$J$348,0)),Lookup_Lists!$D$151))</f>
        <v>#REF!</v>
      </c>
      <c r="W27" s="65" t="e">
        <f>IF(LEN(TRIM(SUBSTITUTE(Matching_Engine!$BE$27,"|","")))=0,"N/A",IF(Brand_Profile!$E$60=0,Lookup_Lists!$D$150,ROUND((IF(Brand_Profile!$E$54="",0,IF(ISNUMBER(SEARCH(Brand_Profile!$E$54,Matching_Engine!$BE$27)),1,0))+IF(Brand_Profile!$E$55="",0,IF(ISNUMBER(SEARCH(Brand_Profile!$E$55,Matching_Engine!$BE$27)),1,0))+IF(Brand_Profile!$E$56="",0,IF(ISNUMBER(SEARCH(Brand_Profile!$E$56,Matching_Engine!$BE$27)),1,0))+IF(Brand_Profile!$E$57="",0,IF(ISNUMBER(SEARCH(Brand_Profile!$E$57,Matching_Engine!$BE$27)),1,0))+IF(Brand_Profile!$E$58="",0,IF(ISNUMBER(SEARCH(Brand_Profile!$E$58,Matching_Engine!$BE$27)),1,0))+IF(Brand_Profile!$E$59="",0,IF(ISNUMBER(SEARCH(Brand_Profile!$E$59,Matching_Engine!$BE$27)),1,0)))/Brand_Profile!$E$60*100,0)))</f>
        <v>#VALUE!</v>
      </c>
      <c r="X27" s="65" t="e">
        <f>IF(NOT(AND(ISTEXT('[1]#REF'!$Q$27),'[1]#REF'!$Q$27&lt;&gt;"N/A")),"N/A",Lookup_Lists!$D$150)</f>
        <v>#REF!</v>
      </c>
      <c r="Y27" s="63">
        <f>IF((IF(ISNUMBER(Matching_Engine!$U$27),Lookup_Lists!$D$335,0)+IF(ISNUMBER(Matching_Engine!$V$27),Lookup_Lists!$D$122,0)+IF(ISNUMBER(Matching_Engine!$W$27),Lookup_Lists!$D$336,0)+IF(ISNUMBER(Matching_Engine!$X$27),Lookup_Lists!$D$124,0))=0,"N/A",ROUND((IF(ISNUMBER(Matching_Engine!$U$27),Matching_Engine!$U$27*Lookup_Lists!$D$335,0)+IF(ISNUMBER(Matching_Engine!$V$27),Matching_Engine!$V$27*Lookup_Lists!$D$122,0)+IF(ISNUMBER(Matching_Engine!$W$27),Matching_Engine!$W$27*Lookup_Lists!$D$336,0)+IF(ISNUMBER(Matching_Engine!$X$27),Matching_Engine!$X$27*Lookup_Lists!$D$124,0))/(IF(ISNUMBER(Matching_Engine!$U$27),Lookup_Lists!$D$335,0)+IF(ISNUMBER(Matching_Engine!$V$27),Lookup_Lists!$D$122,0)+IF(ISNUMBER(Matching_Engine!$W$27),Lookup_Lists!$D$336,0)+IF(ISNUMBER(Matching_Engine!$X$27),Lookup_Lists!$D$124,0)),0))</f>
        <v>13</v>
      </c>
      <c r="Z27" s="42">
        <f>IF(ISNUMBER(Matching_Engine!$Y$27),1,0)</f>
        <v>1</v>
      </c>
      <c r="AA27" s="65" t="e">
        <f>IF(NOT(AND(ISTEXT('[1]#REF'!$Q$27),'[1]#REF'!$Q$27&lt;&gt;"N/A")),"N/A",Lookup_Lists!$D$150)</f>
        <v>#REF!</v>
      </c>
      <c r="AB27" s="65" t="e">
        <f>IF(NOT(AND(ISTEXT('[1]#REF'!$Q$27),'[1]#REF'!$Q$27&lt;&gt;"N/A")),"N/A",Lookup_Lists!$D$150)</f>
        <v>#REF!</v>
      </c>
      <c r="AC27" s="65" t="str">
        <f t="shared" si="0"/>
        <v>N/A</v>
      </c>
      <c r="AD27" s="65" t="e">
        <f>IF(NOT(AND(ISTEXT('[1]#REF'!$Q$27),'[1]#REF'!$Q$27&lt;&gt;"N/A")),"N/A",Lookup_Lists!$D$150)</f>
        <v>#REF!</v>
      </c>
      <c r="AE27" s="63">
        <f>IF((IF(ISNUMBER(Matching_Engine!$AA$27),Lookup_Lists!$D$125,0)+IF(ISNUMBER(Matching_Engine!$AB$27),Lookup_Lists!$D$126,0)+IF(ISNUMBER(Matching_Engine!$AC$27),Lookup_Lists!$D$127,0)+IF(ISNUMBER(Matching_Engine!$AD$27),Lookup_Lists!$D$128,0))=0,"N/A",ROUND((IF(ISNUMBER(Matching_Engine!$AA$27),Matching_Engine!$AA$27*Lookup_Lists!$D$125,0)+IF(ISNUMBER(Matching_Engine!$AB$27),Matching_Engine!$AB$27*Lookup_Lists!$D$126,0)+IF(ISNUMBER(Matching_Engine!$AC$27),Matching_Engine!$AC$27*Lookup_Lists!$D$127,0)+IF(ISNUMBER(Matching_Engine!$AD$27),Matching_Engine!$AD$27*Lookup_Lists!$D$128,0))/(IF(ISNUMBER(Matching_Engine!$AA$27),Lookup_Lists!$D$125,0)+IF(ISNUMBER(Matching_Engine!$AB$27),Lookup_Lists!$D$126,0)+IF(ISNUMBER(Matching_Engine!$AC$27),Lookup_Lists!$D$127,0)+IF(ISNUMBER(Matching_Engine!$AD$27),Lookup_Lists!$D$128,0)),0))</f>
        <v>34</v>
      </c>
      <c r="AF27" s="42">
        <f>IF(ISNUMBER(Matching_Engine!$AE$27),1,0)</f>
        <v>1</v>
      </c>
      <c r="AG27" s="65" t="str">
        <f>IF(NOT(ISNUMBER('[1]#REF'!$BG$27)),"N/A",MIN(100,ROUND('[1]#REF'!$BG$27/IFERROR(INDEX(Lookup_Lists!$B$340:$B$344,MATCH('[1]#REF'!$H$27,Lookup_Lists!$A$340:$A$344,0)),Lookup_Lists!$D$141)*100,0)))</f>
        <v>N/A</v>
      </c>
      <c r="AH27" s="65" t="str">
        <f>IF(NOT(ISNUMBER('[1]#REF'!$BS$27)),"N/A",MIN(100,MAX(0,'[1]#REF'!$BS$27)))</f>
        <v>N/A</v>
      </c>
      <c r="AI27" s="65" t="e">
        <f>IF(OR(NOT(ISNUMBER('[1]#REF'!$BM$27)),NOT(ISNUMBER('[1]#REF'!$BN$27)),'[1]#REF'!$BN$27&lt;Lookup_Lists!$D$320),"N/A",MIN(100,ROUND('[1]#REF'!$BM$27/Lookup_Lists!$D$319*100,0)))</f>
        <v>#REF!</v>
      </c>
      <c r="AJ27" s="65" t="str">
        <f>IF(NOT(ISNUMBER('[1]#REF'!$BR$27)),"N/A",'[1]#REF'!$BR$27)</f>
        <v>N/A</v>
      </c>
      <c r="AK27" s="65" t="str">
        <f>IF(NOT(ISNUMBER('[1]#REF'!$BK$27)),"N/A",MIN(100,ROUND('[1]#REF'!$BK$27/Lookup_Lists!$D$321*100,0)))</f>
        <v>N/A</v>
      </c>
      <c r="AL27" s="65" t="str">
        <f>IF(NOT(ISNUMBER('[1]#REF'!$BP$27)),"N/A",MIN(100,MAX(0,ROUND(('[1]#REF'!$BP$27+2)/(Lookup_Lists!$D$145+2)*100,0))))</f>
        <v>N/A</v>
      </c>
      <c r="AM27" s="63">
        <f>IF((IF(ISNUMBER(Matching_Engine!$AG$27),Lookup_Lists!$D$129,0)+IF(ISNUMBER(Matching_Engine!$AH$27),Lookup_Lists!$D$130,0)+IF(ISNUMBER(Matching_Engine!$AI$27),Lookup_Lists!$D$131,0)+IF(ISNUMBER(Matching_Engine!$AJ$27),Lookup_Lists!$D$132,0)+IF(ISNUMBER(Matching_Engine!$AK$27),Lookup_Lists!$D$133,0)+IF(ISNUMBER(Matching_Engine!$AL$27),Lookup_Lists!$D$134,0))=0,"N/A",ROUND((IF(ISNUMBER(Matching_Engine!$AG$27),Matching_Engine!$AG$27*Lookup_Lists!$D$129,0)+IF(ISNUMBER(Matching_Engine!$AH$27),Matching_Engine!$AH$27*Lookup_Lists!$D$130,0)+IF(ISNUMBER(Matching_Engine!$AI$27),Matching_Engine!$AI$27*Lookup_Lists!$D$131,0)+IF(ISNUMBER(Matching_Engine!$AJ$27),Matching_Engine!$AJ$27*Lookup_Lists!$D$132,0)+IF(ISNUMBER(Matching_Engine!$AK$27),Matching_Engine!$AK$27*Lookup_Lists!$D$133,0)+IF(ISNUMBER(Matching_Engine!$AL$27),Matching_Engine!$AL$27*Lookup_Lists!$D$134,0))/(IF(ISNUMBER(Matching_Engine!$AG$27),Lookup_Lists!$D$129,0)+IF(ISNUMBER(Matching_Engine!$AH$27),Lookup_Lists!$D$130,0)+IF(ISNUMBER(Matching_Engine!$AI$27),Lookup_Lists!$D$131,0)+IF(ISNUMBER(Matching_Engine!$AJ$27),Lookup_Lists!$D$132,0)+IF(ISNUMBER(Matching_Engine!$AK$27),Lookup_Lists!$D$133,0)+IF(ISNUMBER(Matching_Engine!$AL$27),Lookup_Lists!$D$134,0)),0))</f>
        <v>59</v>
      </c>
      <c r="AN27" s="42">
        <f>IF(ISNUMBER(Matching_Engine!$AM$27),1,0)</f>
        <v>0</v>
      </c>
      <c r="AO27" s="65" t="str">
        <f>IF(NOT(ISNUMBER('[1]#REF'!$BT$27)),"N/A",MIN(100,MAX(0,'[1]#REF'!$BT$27)))</f>
        <v>N/A</v>
      </c>
      <c r="AP27" s="65" t="str">
        <f>IF(NOT(ISNUMBER('[1]#REF'!$BU$27)),"N/A",MIN(100,MAX(0,'[1]#REF'!$BU$27)))</f>
        <v>N/A</v>
      </c>
      <c r="AQ27" s="65" t="e">
        <f>IF('[1]#REF'!$I$27="Yes",Lookup_Lists!$D$326,IF('[1]#REF'!$I$27="No",Lookup_Lists!$D$327,"N/A"))</f>
        <v>#REF!</v>
      </c>
      <c r="AR27" s="65" t="str">
        <f>IF(NOT(ISNUMBER('[1]#REF'!$BQ$27)),"N/A",MAX(0,ROUND(100-'[1]#REF'!$BQ$27/Lookup_Lists!$D$328*100,0)))</f>
        <v>N/A</v>
      </c>
      <c r="AS27" s="65" t="e">
        <f>IF(NOT(AND(ISTEXT('[1]#REF'!$BV$27),'[1]#REF'!$BV$27&lt;&gt;"N/A")),"N/A",'[1]#REF'!$BV$27)</f>
        <v>#REF!</v>
      </c>
      <c r="AT27" s="63" t="str">
        <f ca="1">IF((IF(ISNUMBER(Matching_Engine!$AO$27),Lookup_Lists!$D$322,0)+IF(ISNUMBER(Matching_Engine!$AP$27),Lookup_Lists!$D$323,0)+IF(ISNUMBER(Matching_Engine!$AQ$27),Lookup_Lists!$D$324,0)+IF(ISNUMBER(Matching_Engine!$AR$27),Lookup_Lists!$D$325,0))=0,"N/A",ROUND((IF(ISNUMBER(Matching_Engine!$AO$27),Matching_Engine!$AO$27*Lookup_Lists!$D$322,0)+IF(ISNUMBER(Matching_Engine!$AP$27),Matching_Engine!$AP$27*Lookup_Lists!$D$323,0)+IF(ISNUMBER(Matching_Engine!$AQ$27),Matching_Engine!$AQ$27*Lookup_Lists!$D$324,0)+IF(ISNUMBER(Matching_Engine!$AR$27),Matching_Engine!$AR$27*Lookup_Lists!$D$325,0))/(IF(ISNUMBER(Matching_Engine!$AO$27),Lookup_Lists!$D$322,0)+IF(ISNUMBER(Matching_Engine!$AP$27),Lookup_Lists!$D$323,0)+IF(ISNUMBER(Matching_Engine!$AQ$27),Lookup_Lists!$D$324,0)+IF(ISNUMBER(Matching_Engine!$AR$27),Lookup_Lists!$D$325,0)),0))</f>
        <v>N/A</v>
      </c>
      <c r="AU27" s="42">
        <f>IF(ISNUMBER(Matching_Engine!$AT$27),1,0)</f>
        <v>1</v>
      </c>
      <c r="AV27" s="42" t="str">
        <f>IF(NOT(ISNUMBER(Matching_Engine!$AT$27)),"Not Screened",IF(Matching_Engine!$AT$27&gt;=Lookup_Lists!$D$329,"Low Risk",IF(Matching_Engine!$AT$27&gt;=Lookup_Lists!$D$330,"Moderate Risk",IF(Matching_Engine!$AT$27&gt;=Lookup_Lists!$D$331,"Elevated Risk","High Risk"))))</f>
        <v>Low Risk</v>
      </c>
      <c r="AW27" s="42" t="e">
        <f ca="1">IF(NOT(ISNUMBER(Matching_Engine!$AT$27)),"No integrity signal: no audience-analysis row for this account.","Integrity screen only — no content-risk reading exists (comments_analysis: 0 rows). "&amp;IF(ISNUMBER(Matching_Engine!$AO$27),"Authenticity "&amp;Matching_Engine!$AO$27&amp;". ","Authenticity N/A. ")&amp;IF(ISNUMBER(Matching_Engine!$AP$27),"Follower quality "&amp;Matching_Engine!$AP$27&amp;". ","Follower quality N/A. ")&amp;IF('[1]#REF'!$I$27="Yes","Platform-verified.","Not platform-verified."))</f>
        <v>#REF!</v>
      </c>
      <c r="AX27" s="65">
        <f>Matching_Engine!$N$27*Lookup_Lists!$D$104+Matching_Engine!$T$27*Lookup_Lists!$D$105+Matching_Engine!$Z$27*Lookup_Lists!$D$106+Matching_Engine!$AF$27*Lookup_Lists!$D$107+Matching_Engine!$AN$27*Lookup_Lists!$D$108+Matching_Engine!$AU$27*Lookup_Lists!$D$109</f>
        <v>3906</v>
      </c>
      <c r="AY27" s="74" t="e">
        <f ca="1">IF(Matching_Engine!$AX$27=0,"N/A",ROUND((IF(Matching_Engine!$N$27=1,Matching_Engine!$M$27*Lookup_Lists!$D$104,0)+IF(Matching_Engine!$T$27=1,Matching_Engine!$S$27*Lookup_Lists!$D$105,0)+IF(Matching_Engine!$Z$27=1,Matching_Engine!$Y$27*Lookup_Lists!$D$106,0)+IF(Matching_Engine!$AF$27=1,Matching_Engine!$AE$27*Lookup_Lists!$D$107,0)+IF(Matching_Engine!$AN$27=1,Matching_Engine!$AM$27*Lookup_Lists!$D$108,0)+IF(Matching_Engine!$AU$27=1,Matching_Engine!$AT$27*Lookup_Lists!$D$109,0))/Matching_Engine!$AX$27,0))</f>
        <v>#VALUE!</v>
      </c>
      <c r="AZ27" s="42" t="str">
        <f ca="1">IF(NOT(ISNUMBER(Matching_Engine!$AY$27)),"Not Scored",IF(Matching_Engine!$AY$27&gt;=Lookup_Lists!$D$152,"Excellent Match",IF(Matching_Engine!$AY$27&gt;=Lookup_Lists!$D$153,"Strong Match",IF(Matching_Engine!$AY$27&gt;=Lookup_Lists!$D$154,"Good Match",IF(Matching_Engine!$AY$27&gt;=Lookup_Lists!$D$155,"Moderate Match","Low Match")))))</f>
        <v>Not Scored</v>
      </c>
      <c r="BA27" s="65" t="e">
        <f>'[1]#REF'!$BW$27</f>
        <v>#REF!</v>
      </c>
      <c r="BB27" s="42" t="e">
        <f>'[1]#REF'!$BX$27</f>
        <v>#REF!</v>
      </c>
      <c r="BC27" s="65">
        <f ca="1">IF(NOT(ISNUMBER(Matching_Engine!$AY$27)),-1,Matching_Engine!$AY$27*1000+3)</f>
        <v>-1</v>
      </c>
      <c r="BD27" s="42" t="e">
        <f>IF(AND(ISTEXT('[1]#REF'!$S$27),'[1]#REF'!$S$27&lt;&gt;"N/A"),'[1]#REF'!$S$27,"")&amp;" | "&amp;IF(AND(ISTEXT('[1]#REF'!$T$27),'[1]#REF'!$T$27&lt;&gt;"N/A"),'[1]#REF'!$T$27,"")&amp;" | "&amp;IF(AND(ISTEXT('[1]#REF'!$N$27),'[1]#REF'!$N$27&lt;&gt;"N/A"),'[1]#REF'!$N$27,"")&amp;" | "&amp;IF(AND(ISTEXT('[1]#REF'!$K$27),'[1]#REF'!$K$27&lt;&gt;"N/A"),'[1]#REF'!$K$27,"")&amp;" | "&amp;IF(AND(ISTEXT('[1]#REF'!$J$27),'[1]#REF'!$J$27&lt;&gt;"N/A"),'[1]#REF'!$J$27,"")</f>
        <v>#REF!</v>
      </c>
      <c r="BE27" s="42" t="e">
        <f>IF(AND(ISTEXT('[1]#REF'!$T$27),'[1]#REF'!$T$27&lt;&gt;"N/A"),'[1]#REF'!$T$27,"")&amp;" | "&amp;IF(AND(ISTEXT('[1]#REF'!$N$27),'[1]#REF'!$N$27&lt;&gt;"N/A"),'[1]#REF'!$N$27,"")&amp;" | "&amp;IF(AND(ISTEXT('[1]#REF'!$O$27),'[1]#REF'!$O$27&lt;&gt;"N/A"),'[1]#REF'!$O$27,"")&amp;" | "&amp;IF(AND(ISTEXT('[1]#REF'!$S$27),'[1]#REF'!$S$27&lt;&gt;"N/A"),'[1]#REF'!$S$27,"")</f>
        <v>#REF!</v>
      </c>
      <c r="BF27" s="42" t="e">
        <f>IF(AND(ISTEXT('[1]#REF'!$U$27),'[1]#REF'!$U$27&lt;&gt;"N/A"),'[1]#REF'!$U$27,"")</f>
        <v>#REF!</v>
      </c>
      <c r="BG27" s="42" t="str">
        <f>Matching_Engine!$A$27&amp;"|"&amp;Matching_Engine!$C$27</f>
        <v>BRAND-A|KOL-22</v>
      </c>
    </row>
    <row r="28" spans="1:59">
      <c r="A28" s="64" t="s">
        <v>2527</v>
      </c>
      <c r="B28" s="42" t="str">
        <f>Brand_Profile!$E$6</f>
        <v>BRAND-B</v>
      </c>
      <c r="C28" s="42" t="e">
        <f>'[1]#REF'!$A$28</f>
        <v>#REF!</v>
      </c>
      <c r="D28" s="42" t="e">
        <f>'[1]#REF'!$C$28</f>
        <v>#REF!</v>
      </c>
      <c r="E28" s="42" t="e">
        <f>'[1]#REF'!$D$28</f>
        <v>#REF!</v>
      </c>
      <c r="F28" s="42" t="e">
        <f>'[1]#REF'!$E$28</f>
        <v>#REF!</v>
      </c>
      <c r="G28" s="42" t="e">
        <f>'[1]#REF'!$K$28</f>
        <v>#REF!</v>
      </c>
      <c r="H28" s="72" t="e">
        <f>'[1]#REF'!$G$28</f>
        <v>#REF!</v>
      </c>
      <c r="I28" s="73" t="e">
        <f>'[1]#REF'!$BG$28</f>
        <v>#REF!</v>
      </c>
      <c r="J28" s="65" t="e">
        <f>IF(NOT(AND(ISTEXT('[1]#REF'!$K$28),'[1]#REF'!$K$28&lt;&gt;"N/A")),Lookup_Lists!$D$150,IF(Brand_Profile!$E$7='[1]#REF'!$K$28,100,IFERROR(INDEX(Lookup_Lists!$B$349:$J$357,MATCH(Brand_Profile!$E$7,Lookup_Lists!$A$349:$A$357,0),MATCH('[1]#REF'!$K$28,Lookup_Lists!$B$348:$J$348,0)),Lookup_Lists!$D$151)))</f>
        <v>#REF!</v>
      </c>
      <c r="K28" s="65" t="e">
        <f>IF(LEN(TRIM(SUBSTITUTE(Matching_Engine!$BD$28,"|","")))=0,"N/A",IF(Brand_Profile!$E$47=0,Lookup_Lists!$D$150,ROUND((IF(Brand_Profile!$E$41="",0,IF(ISNUMBER(SEARCH(Brand_Profile!$E$41,Matching_Engine!$BD$28)),1,0))+IF(Brand_Profile!$E$42="",0,IF(ISNUMBER(SEARCH(Brand_Profile!$E$42,Matching_Engine!$BD$28)),1,0))+IF(Brand_Profile!$E$43="",0,IF(ISNUMBER(SEARCH(Brand_Profile!$E$43,Matching_Engine!$BD$28)),1,0))+IF(Brand_Profile!$E$44="",0,IF(ISNUMBER(SEARCH(Brand_Profile!$E$44,Matching_Engine!$BD$28)),1,0))+IF(Brand_Profile!$E$45="",0,IF(ISNUMBER(SEARCH(Brand_Profile!$E$45,Matching_Engine!$BD$28)),1,0))+IF(Brand_Profile!$E$46="",0,IF(ISNUMBER(SEARCH(Brand_Profile!$E$46,Matching_Engine!$BD$28)),1,0)))/Brand_Profile!$E$47*100,0)))</f>
        <v>#VALUE!</v>
      </c>
      <c r="L28" s="65" t="e">
        <f>IF(NOT(AND(ISTEXT('[1]#REF'!$U$28),'[1]#REF'!$U$28&lt;&gt;"N/A")),"N/A",IF(Brand_Profile!$E$53=0,Lookup_Lists!$D$150,ROUND((IF(Brand_Profile!$E$48="",0,IF(ISNUMBER(SEARCH(Brand_Profile!$E$48,Matching_Engine!$BF$28)),1,0))+IF(Brand_Profile!$E$49="",0,IF(ISNUMBER(SEARCH(Brand_Profile!$E$49,Matching_Engine!$BF$28)),1,0))+IF(Brand_Profile!$E$50="",0,IF(ISNUMBER(SEARCH(Brand_Profile!$E$50,Matching_Engine!$BF$28)),1,0))+IF(Brand_Profile!$E$51="",0,IF(ISNUMBER(SEARCH(Brand_Profile!$E$51,Matching_Engine!$BF$28)),1,0))+IF(Brand_Profile!$E$52="",0,IF(ISNUMBER(SEARCH(Brand_Profile!$E$52,Matching_Engine!$BF$28)),1,0)))/Brand_Profile!$E$53*100,0)))</f>
        <v>#REF!</v>
      </c>
      <c r="M28" s="63" t="str">
        <f>IF((IF(ISNUMBER(Matching_Engine!$J$28),Lookup_Lists!$D$332,0)+IF(ISNUMBER(Matching_Engine!$K$28),Lookup_Lists!$D$333,0)+IF(ISNUMBER(Matching_Engine!$L$28),Lookup_Lists!$D$334,0))=0,"N/A",ROUND((IF(ISNUMBER(Matching_Engine!$J$28),Matching_Engine!$J$28*Lookup_Lists!$D$332,0)+IF(ISNUMBER(Matching_Engine!$K$28),Matching_Engine!$K$28*Lookup_Lists!$D$333,0)+IF(ISNUMBER(Matching_Engine!$L$28),Matching_Engine!$L$28*Lookup_Lists!$D$334,0))/(IF(ISNUMBER(Matching_Engine!$J$28),Lookup_Lists!$D$332,0)+IF(ISNUMBER(Matching_Engine!$K$28),Lookup_Lists!$D$333,0)+IF(ISNUMBER(Matching_Engine!$L$28),Lookup_Lists!$D$334,0)),0))</f>
        <v>N/A</v>
      </c>
      <c r="N28" s="42">
        <f>IF(ISNUMBER(Matching_Engine!$M$28),1,0)</f>
        <v>1</v>
      </c>
      <c r="O28" s="65" t="str">
        <f ca="1">IF(NOT(ISNUMBER(IFERROR(INDEX('[1]#REF'!$V$28:'[1]#REF'!$Z$28,1,MATCH(Brand_Profile!$E$11,Lookup_Lists!$F$6:$F$10,0)),""))),"N/A",MIN(100,ROUND((IFERROR(INDEX('[1]#REF'!$V$28:'[1]#REF'!$Z$28,1,MATCH(Brand_Profile!$E$11,Lookup_Lists!$F$6:$F$10,0)),"")+0.5*IF(ISNUMBER(IFERROR(INDEX('[1]#REF'!$V$28:'[1]#REF'!$Z$28,1,MATCH(Brand_Profile!$E$12,Lookup_Lists!$F$6:$F$10,0)),"")),IFERROR(INDEX('[1]#REF'!$V$28:'[1]#REF'!$Z$28,1,MATCH(Brand_Profile!$E$12,Lookup_Lists!$F$6:$F$10,0)),""),0))/Lookup_Lists!$D$142*100,0)))</f>
        <v>N/A</v>
      </c>
      <c r="P28" s="65" t="str">
        <f>IF(Brand_Profile!$E$13="Any",100,IF(NOT(ISNUMBER('[1]#REF'!$AA$28)),"N/A",IF(Brand_Profile!$E$13="Female",MIN(100,ROUND('[1]#REF'!$AA$28/Lookup_Lists!$D$143*100,0)),IF(Brand_Profile!$E$13="Male",MIN(100,ROUND(IF(ISNUMBER('[1]#REF'!$AB$28),'[1]#REF'!$AB$28,100-'[1]#REF'!$AA$28)/Lookup_Lists!$D$143*100,0)),MAX(0,ROUND(100-ABS('[1]#REF'!$AA$28-50)*2,0))))))</f>
        <v>N/A</v>
      </c>
      <c r="Q28" s="65" t="str">
        <f>IF((IF(ISNUMBER(IF(NOT(ISNUMBER('[1]#REF'!$AE$28)),"N/A",IF('[1]#REF'!$AD$28&lt;&gt;Brand_Profile!$E$14,Lookup_Lists!$D$151,MIN(100,ROUND('[1]#REF'!$AE$28/Lookup_Lists!$D$316*100,0))))),Lookup_Lists!$D$118,0)+IF(ISNUMBER(IF(NOT(ISNUMBER('[1]#REF'!$AM$28)),"N/A",MIN(100,ROUND((IF('[1]#REF'!$AG$28=Brand_Profile!$E$15,IF(ISNUMBER('[1]#REF'!$AH$28),'[1]#REF'!$AH$28,0),0)+IF('[1]#REF'!$AI$28=Brand_Profile!$E$15,IF(ISNUMBER('[1]#REF'!$AJ$28),'[1]#REF'!$AJ$28,0),0)+IF('[1]#REF'!$AK$28=Brand_Profile!$E$15,IF(ISNUMBER('[1]#REF'!$AL$28),'[1]#REF'!$AL$28,0),0))/Lookup_Lists!$D$317*100,0)))),Lookup_Lists!$D$120,0))=0,"N/A",ROUND((IF(ISNUMBER(IF(NOT(ISNUMBER('[1]#REF'!$AE$28)),"N/A",IF('[1]#REF'!$AD$28&lt;&gt;Brand_Profile!$E$14,Lookup_Lists!$D$151,MIN(100,ROUND('[1]#REF'!$AE$28/Lookup_Lists!$D$316*100,0))))),IF(NOT(ISNUMBER('[1]#REF'!$AE$28)),"N/A",IF('[1]#REF'!$AD$28&lt;&gt;Brand_Profile!$E$14,Lookup_Lists!$D$151,MIN(100,ROUND('[1]#REF'!$AE$28/Lookup_Lists!$D$316*100,0))))*Lookup_Lists!$D$118,0)+IF(ISNUMBER(IF(NOT(ISNUMBER('[1]#REF'!$AM$28)),"N/A",MIN(100,ROUND((IF('[1]#REF'!$AG$28=Brand_Profile!$E$15,IF(ISNUMBER('[1]#REF'!$AH$28),'[1]#REF'!$AH$28,0),0)+IF('[1]#REF'!$AI$28=Brand_Profile!$E$15,IF(ISNUMBER('[1]#REF'!$AJ$28),'[1]#REF'!$AJ$28,0),0)+IF('[1]#REF'!$AK$28=Brand_Profile!$E$15,IF(ISNUMBER('[1]#REF'!$AL$28),'[1]#REF'!$AL$28,0),0))/Lookup_Lists!$D$317*100,0)))),IF(NOT(ISNUMBER('[1]#REF'!$AM$28)),"N/A",MIN(100,ROUND((IF('[1]#REF'!$AG$28=Brand_Profile!$E$15,IF(ISNUMBER('[1]#REF'!$AH$28),'[1]#REF'!$AH$28,0),0)+IF('[1]#REF'!$AI$28=Brand_Profile!$E$15,IF(ISNUMBER('[1]#REF'!$AJ$28),'[1]#REF'!$AJ$28,0),0)+IF('[1]#REF'!$AK$28=Brand_Profile!$E$15,IF(ISNUMBER('[1]#REF'!$AL$28),'[1]#REF'!$AL$28,0),0))/Lookup_Lists!$D$317*100,0)))*Lookup_Lists!$D$120,0))/(IF(ISNUMBER(IF(NOT(ISNUMBER('[1]#REF'!$AE$28)),"N/A",IF('[1]#REF'!$AD$28&lt;&gt;Brand_Profile!$E$14,Lookup_Lists!$D$151,MIN(100,ROUND('[1]#REF'!$AE$28/Lookup_Lists!$D$316*100,0))))),Lookup_Lists!$D$118,0)+IF(ISNUMBER(IF(NOT(ISNUMBER('[1]#REF'!$AM$28)),"N/A",MIN(100,ROUND((IF('[1]#REF'!$AG$28=Brand_Profile!$E$15,IF(ISNUMBER('[1]#REF'!$AH$28),'[1]#REF'!$AH$28,0),0)+IF('[1]#REF'!$AI$28=Brand_Profile!$E$15,IF(ISNUMBER('[1]#REF'!$AJ$28),'[1]#REF'!$AJ$28,0),0)+IF('[1]#REF'!$AK$28=Brand_Profile!$E$15,IF(ISNUMBER('[1]#REF'!$AL$28),'[1]#REF'!$AL$28,0),0))/Lookup_Lists!$D$317*100,0)))),Lookup_Lists!$D$120,0)),0))</f>
        <v>N/A</v>
      </c>
      <c r="R28" s="65" t="str">
        <f>IF(NOT(ISNUMBER('[1]#REF'!$AN$28)),"N/A",MIN(100,ROUND((IF(ISNUMBER('[1]#REF'!$AO$28),'[1]#REF'!$AO$28*Brand_Profile!$E$17,0)+IF(ISNUMBER('[1]#REF'!$AP$28),'[1]#REF'!$AP$28*Brand_Profile!$E$18,0)+IF(ISNUMBER('[1]#REF'!$AQ$28),'[1]#REF'!$AQ$28*Brand_Profile!$E$19,0)+IF(ISNUMBER('[1]#REF'!$AR$28),'[1]#REF'!$AR$28*Brand_Profile!$E$20,0)+IF(ISNUMBER('[1]#REF'!$AS$28),'[1]#REF'!$AS$28*Brand_Profile!$E$21,0)+IF(ISNUMBER('[1]#REF'!$AT$28),'[1]#REF'!$AT$28*Brand_Profile!$E$22,0)+IF(ISNUMBER('[1]#REF'!$AU$28),'[1]#REF'!$AU$28*Brand_Profile!$E$23,0)+IF(ISNUMBER('[1]#REF'!$AV$28),'[1]#REF'!$AV$28*Brand_Profile!$E$24,0)+IF(ISNUMBER('[1]#REF'!$AW$28),'[1]#REF'!$AW$28*Brand_Profile!$E$25,0)+IF(ISNUMBER('[1]#REF'!$AX$28),'[1]#REF'!$AX$28*Brand_Profile!$E$26,0)+IF(ISNUMBER('[1]#REF'!$AY$28),'[1]#REF'!$AY$28*Brand_Profile!$E$27,0)+IF(ISNUMBER('[1]#REF'!$AZ$28),'[1]#REF'!$AZ$28*Brand_Profile!$E$28,0)+IF(ISNUMBER('[1]#REF'!$BA$28),'[1]#REF'!$BA$28*Brand_Profile!$E$29,0)+IF(ISNUMBER('[1]#REF'!$BB$28),'[1]#REF'!$BB$28*Brand_Profile!$E$30,0)+IF(ISNUMBER('[1]#REF'!$BC$28),'[1]#REF'!$BC$28*Brand_Profile!$E$31,0)+IF(ISNUMBER('[1]#REF'!$BD$28),'[1]#REF'!$BD$28*Brand_Profile!$E$32,0)+IF(ISNUMBER('[1]#REF'!$BE$28),'[1]#REF'!$BE$28*Brand_Profile!$E$33,0)+IF(ISNUMBER('[1]#REF'!$BF$28),'[1]#REF'!$BF$28*Brand_Profile!$E$34,0))/Lookup_Lists!$D$318*100,0)))</f>
        <v>N/A</v>
      </c>
      <c r="S28" s="63">
        <f ca="1">IF((IF(ISNUMBER(Matching_Engine!$O$28),Lookup_Lists!$D$113,0)+IF(ISNUMBER(Matching_Engine!$P$28),Lookup_Lists!$D$114,0)+IF(ISNUMBER(Matching_Engine!$Q$28),Lookup_Lists!$D$115,0)+IF(ISNUMBER(Matching_Engine!$R$28),Lookup_Lists!$D$116,0))=0,"N/A",ROUND((IF(ISNUMBER(Matching_Engine!$O$28),Matching_Engine!$O$28*Lookup_Lists!$D$113,0)+IF(ISNUMBER(Matching_Engine!$P$28),Matching_Engine!$P$28*Lookup_Lists!$D$114,0)+IF(ISNUMBER(Matching_Engine!$Q$28),Matching_Engine!$Q$28*Lookup_Lists!$D$115,0)+IF(ISNUMBER(Matching_Engine!$R$28),Matching_Engine!$R$28*Lookup_Lists!$D$116,0))/(IF(ISNUMBER(Matching_Engine!$O$28),Lookup_Lists!$D$113,0)+IF(ISNUMBER(Matching_Engine!$P$28),Lookup_Lists!$D$114,0)+IF(ISNUMBER(Matching_Engine!$Q$28),Lookup_Lists!$D$115,0)+IF(ISNUMBER(Matching_Engine!$R$28),Lookup_Lists!$D$116,0)),0))</f>
        <v>66</v>
      </c>
      <c r="T28" s="42">
        <f ca="1">IF(ISNUMBER(Matching_Engine!$S$28),1,0)</f>
        <v>1</v>
      </c>
      <c r="U28" s="65" t="e">
        <f>IF(NOT(AND(ISTEXT('[1]#REF'!$M$28),'[1]#REF'!$M$28&lt;&gt;"N/A")),Lookup_Lists!$D$150,IF(Brand_Profile!$E$7='[1]#REF'!$M$28,100,IFERROR(INDEX(Lookup_Lists!$B$349:$J$357,MATCH(Brand_Profile!$E$7,Lookup_Lists!$A$349:$A$357,0),MATCH('[1]#REF'!$M$28,Lookup_Lists!$B$348:$J$348,0)),Lookup_Lists!$D$151)))</f>
        <v>#REF!</v>
      </c>
      <c r="V28" s="65" t="e">
        <f>IF(NOT(AND(ISTEXT('[1]#REF'!$P$28),'[1]#REF'!$P$28&lt;&gt;"N/A")),"N/A",IFERROR(INDEX(Lookup_Lists!$B$349:$J$357,MATCH(Brand_Profile!$E$7,Lookup_Lists!$A$349:$A$357,0),MATCH('[1]#REF'!$P$28,Lookup_Lists!$B$348:$J$348,0)),Lookup_Lists!$D$151))</f>
        <v>#REF!</v>
      </c>
      <c r="W28" s="65" t="e">
        <f>IF(LEN(TRIM(SUBSTITUTE(Matching_Engine!$BE$28,"|","")))=0,"N/A",IF(Brand_Profile!$E$60=0,Lookup_Lists!$D$150,ROUND((IF(Brand_Profile!$E$54="",0,IF(ISNUMBER(SEARCH(Brand_Profile!$E$54,Matching_Engine!$BE$28)),1,0))+IF(Brand_Profile!$E$55="",0,IF(ISNUMBER(SEARCH(Brand_Profile!$E$55,Matching_Engine!$BE$28)),1,0))+IF(Brand_Profile!$E$56="",0,IF(ISNUMBER(SEARCH(Brand_Profile!$E$56,Matching_Engine!$BE$28)),1,0))+IF(Brand_Profile!$E$57="",0,IF(ISNUMBER(SEARCH(Brand_Profile!$E$57,Matching_Engine!$BE$28)),1,0))+IF(Brand_Profile!$E$58="",0,IF(ISNUMBER(SEARCH(Brand_Profile!$E$58,Matching_Engine!$BE$28)),1,0))+IF(Brand_Profile!$E$59="",0,IF(ISNUMBER(SEARCH(Brand_Profile!$E$59,Matching_Engine!$BE$28)),1,0)))/Brand_Profile!$E$60*100,0)))</f>
        <v>#VALUE!</v>
      </c>
      <c r="X28" s="65" t="e">
        <f>IF(NOT(AND(ISTEXT('[1]#REF'!$Q$28),'[1]#REF'!$Q$28&lt;&gt;"N/A")),"N/A",Lookup_Lists!$D$150)</f>
        <v>#REF!</v>
      </c>
      <c r="Y28" s="63">
        <f>IF((IF(ISNUMBER(Matching_Engine!$U$28),Lookup_Lists!$D$335,0)+IF(ISNUMBER(Matching_Engine!$V$28),Lookup_Lists!$D$122,0)+IF(ISNUMBER(Matching_Engine!$W$28),Lookup_Lists!$D$336,0)+IF(ISNUMBER(Matching_Engine!$X$28),Lookup_Lists!$D$124,0))=0,"N/A",ROUND((IF(ISNUMBER(Matching_Engine!$U$28),Matching_Engine!$U$28*Lookup_Lists!$D$335,0)+IF(ISNUMBER(Matching_Engine!$V$28),Matching_Engine!$V$28*Lookup_Lists!$D$122,0)+IF(ISNUMBER(Matching_Engine!$W$28),Matching_Engine!$W$28*Lookup_Lists!$D$336,0)+IF(ISNUMBER(Matching_Engine!$X$28),Matching_Engine!$X$28*Lookup_Lists!$D$124,0))/(IF(ISNUMBER(Matching_Engine!$U$28),Lookup_Lists!$D$335,0)+IF(ISNUMBER(Matching_Engine!$V$28),Lookup_Lists!$D$122,0)+IF(ISNUMBER(Matching_Engine!$W$28),Lookup_Lists!$D$336,0)+IF(ISNUMBER(Matching_Engine!$X$28),Lookup_Lists!$D$124,0)),0))</f>
        <v>35</v>
      </c>
      <c r="Z28" s="42">
        <f>IF(ISNUMBER(Matching_Engine!$Y$28),1,0)</f>
        <v>1</v>
      </c>
      <c r="AA28" s="65" t="e">
        <f>IF(NOT(AND(ISTEXT('[1]#REF'!$Q$28),'[1]#REF'!$Q$28&lt;&gt;"N/A")),"N/A",Lookup_Lists!$D$150)</f>
        <v>#REF!</v>
      </c>
      <c r="AB28" s="65" t="e">
        <f>IF(NOT(AND(ISTEXT('[1]#REF'!$Q$28),'[1]#REF'!$Q$28&lt;&gt;"N/A")),"N/A",Lookup_Lists!$D$150)</f>
        <v>#REF!</v>
      </c>
      <c r="AC28" s="65" t="str">
        <f t="shared" si="0"/>
        <v>N/A</v>
      </c>
      <c r="AD28" s="65" t="e">
        <f>IF(NOT(AND(ISTEXT('[1]#REF'!$Q$28),'[1]#REF'!$Q$28&lt;&gt;"N/A")),"N/A",Lookup_Lists!$D$150)</f>
        <v>#REF!</v>
      </c>
      <c r="AE28" s="63">
        <f>IF((IF(ISNUMBER(Matching_Engine!$AA$28),Lookup_Lists!$D$125,0)+IF(ISNUMBER(Matching_Engine!$AB$28),Lookup_Lists!$D$126,0)+IF(ISNUMBER(Matching_Engine!$AC$28),Lookup_Lists!$D$127,0)+IF(ISNUMBER(Matching_Engine!$AD$28),Lookup_Lists!$D$128,0))=0,"N/A",ROUND((IF(ISNUMBER(Matching_Engine!$AA$28),Matching_Engine!$AA$28*Lookup_Lists!$D$125,0)+IF(ISNUMBER(Matching_Engine!$AB$28),Matching_Engine!$AB$28*Lookup_Lists!$D$126,0)+IF(ISNUMBER(Matching_Engine!$AC$28),Matching_Engine!$AC$28*Lookup_Lists!$D$127,0)+IF(ISNUMBER(Matching_Engine!$AD$28),Matching_Engine!$AD$28*Lookup_Lists!$D$128,0))/(IF(ISNUMBER(Matching_Engine!$AA$28),Lookup_Lists!$D$125,0)+IF(ISNUMBER(Matching_Engine!$AB$28),Lookup_Lists!$D$126,0)+IF(ISNUMBER(Matching_Engine!$AC$28),Lookup_Lists!$D$127,0)+IF(ISNUMBER(Matching_Engine!$AD$28),Lookup_Lists!$D$128,0)),0))</f>
        <v>41</v>
      </c>
      <c r="AF28" s="42">
        <f>IF(ISNUMBER(Matching_Engine!$AE$28),1,0)</f>
        <v>1</v>
      </c>
      <c r="AG28" s="65" t="str">
        <f>IF(NOT(ISNUMBER('[1]#REF'!$BG$28)),"N/A",MIN(100,ROUND('[1]#REF'!$BG$28/IFERROR(INDEX(Lookup_Lists!$B$340:$B$344,MATCH('[1]#REF'!$H$28,Lookup_Lists!$A$340:$A$344,0)),Lookup_Lists!$D$141)*100,0)))</f>
        <v>N/A</v>
      </c>
      <c r="AH28" s="65" t="str">
        <f>IF(NOT(ISNUMBER('[1]#REF'!$BS$28)),"N/A",MIN(100,MAX(0,'[1]#REF'!$BS$28)))</f>
        <v>N/A</v>
      </c>
      <c r="AI28" s="65" t="e">
        <f>IF(OR(NOT(ISNUMBER('[1]#REF'!$BM$28)),NOT(ISNUMBER('[1]#REF'!$BN$28)),'[1]#REF'!$BN$28&lt;Lookup_Lists!$D$320),"N/A",MIN(100,ROUND('[1]#REF'!$BM$28/Lookup_Lists!$D$319*100,0)))</f>
        <v>#REF!</v>
      </c>
      <c r="AJ28" s="65" t="str">
        <f>IF(NOT(ISNUMBER('[1]#REF'!$BR$28)),"N/A",'[1]#REF'!$BR$28)</f>
        <v>N/A</v>
      </c>
      <c r="AK28" s="65" t="str">
        <f>IF(NOT(ISNUMBER('[1]#REF'!$BK$28)),"N/A",MIN(100,ROUND('[1]#REF'!$BK$28/Lookup_Lists!$D$321*100,0)))</f>
        <v>N/A</v>
      </c>
      <c r="AL28" s="65" t="str">
        <f>IF(NOT(ISNUMBER('[1]#REF'!$BP$28)),"N/A",MIN(100,MAX(0,ROUND(('[1]#REF'!$BP$28+2)/(Lookup_Lists!$D$145+2)*100,0))))</f>
        <v>N/A</v>
      </c>
      <c r="AM28" s="63">
        <f>IF((IF(ISNUMBER(Matching_Engine!$AG$28),Lookup_Lists!$D$129,0)+IF(ISNUMBER(Matching_Engine!$AH$28),Lookup_Lists!$D$130,0)+IF(ISNUMBER(Matching_Engine!$AI$28),Lookup_Lists!$D$131,0)+IF(ISNUMBER(Matching_Engine!$AJ$28),Lookup_Lists!$D$132,0)+IF(ISNUMBER(Matching_Engine!$AK$28),Lookup_Lists!$D$133,0)+IF(ISNUMBER(Matching_Engine!$AL$28),Lookup_Lists!$D$134,0))=0,"N/A",ROUND((IF(ISNUMBER(Matching_Engine!$AG$28),Matching_Engine!$AG$28*Lookup_Lists!$D$129,0)+IF(ISNUMBER(Matching_Engine!$AH$28),Matching_Engine!$AH$28*Lookup_Lists!$D$130,0)+IF(ISNUMBER(Matching_Engine!$AI$28),Matching_Engine!$AI$28*Lookup_Lists!$D$131,0)+IF(ISNUMBER(Matching_Engine!$AJ$28),Matching_Engine!$AJ$28*Lookup_Lists!$D$132,0)+IF(ISNUMBER(Matching_Engine!$AK$28),Matching_Engine!$AK$28*Lookup_Lists!$D$133,0)+IF(ISNUMBER(Matching_Engine!$AL$28),Matching_Engine!$AL$28*Lookup_Lists!$D$134,0))/(IF(ISNUMBER(Matching_Engine!$AG$28),Lookup_Lists!$D$129,0)+IF(ISNUMBER(Matching_Engine!$AH$28),Lookup_Lists!$D$130,0)+IF(ISNUMBER(Matching_Engine!$AI$28),Lookup_Lists!$D$131,0)+IF(ISNUMBER(Matching_Engine!$AJ$28),Lookup_Lists!$D$132,0)+IF(ISNUMBER(Matching_Engine!$AK$28),Lookup_Lists!$D$133,0)+IF(ISNUMBER(Matching_Engine!$AL$28),Lookup_Lists!$D$134,0)),0))</f>
        <v>66</v>
      </c>
      <c r="AN28" s="42">
        <f>IF(ISNUMBER(Matching_Engine!$AM$28),1,0)</f>
        <v>0</v>
      </c>
      <c r="AO28" s="65" t="str">
        <f>IF(NOT(ISNUMBER('[1]#REF'!$BT$28)),"N/A",MIN(100,MAX(0,'[1]#REF'!$BT$28)))</f>
        <v>N/A</v>
      </c>
      <c r="AP28" s="65" t="str">
        <f>IF(NOT(ISNUMBER('[1]#REF'!$BU$28)),"N/A",MIN(100,MAX(0,'[1]#REF'!$BU$28)))</f>
        <v>N/A</v>
      </c>
      <c r="AQ28" s="65" t="e">
        <f>IF('[1]#REF'!$I$28="Yes",Lookup_Lists!$D$326,IF('[1]#REF'!$I$28="No",Lookup_Lists!$D$327,"N/A"))</f>
        <v>#REF!</v>
      </c>
      <c r="AR28" s="65" t="str">
        <f>IF(NOT(ISNUMBER('[1]#REF'!$BQ$28)),"N/A",MAX(0,ROUND(100-'[1]#REF'!$BQ$28/Lookup_Lists!$D$328*100,0)))</f>
        <v>N/A</v>
      </c>
      <c r="AS28" s="65" t="e">
        <f>IF(NOT(AND(ISTEXT('[1]#REF'!$BV$28),'[1]#REF'!$BV$28&lt;&gt;"N/A")),"N/A",'[1]#REF'!$BV$28)</f>
        <v>#REF!</v>
      </c>
      <c r="AT28" s="63" t="str">
        <f ca="1">IF((IF(ISNUMBER(Matching_Engine!$AO$28),Lookup_Lists!$D$322,0)+IF(ISNUMBER(Matching_Engine!$AP$28),Lookup_Lists!$D$323,0)+IF(ISNUMBER(Matching_Engine!$AQ$28),Lookup_Lists!$D$324,0)+IF(ISNUMBER(Matching_Engine!$AR$28),Lookup_Lists!$D$325,0))=0,"N/A",ROUND((IF(ISNUMBER(Matching_Engine!$AO$28),Matching_Engine!$AO$28*Lookup_Lists!$D$322,0)+IF(ISNUMBER(Matching_Engine!$AP$28),Matching_Engine!$AP$28*Lookup_Lists!$D$323,0)+IF(ISNUMBER(Matching_Engine!$AQ$28),Matching_Engine!$AQ$28*Lookup_Lists!$D$324,0)+IF(ISNUMBER(Matching_Engine!$AR$28),Matching_Engine!$AR$28*Lookup_Lists!$D$325,0))/(IF(ISNUMBER(Matching_Engine!$AO$28),Lookup_Lists!$D$322,0)+IF(ISNUMBER(Matching_Engine!$AP$28),Lookup_Lists!$D$323,0)+IF(ISNUMBER(Matching_Engine!$AQ$28),Lookup_Lists!$D$324,0)+IF(ISNUMBER(Matching_Engine!$AR$28),Lookup_Lists!$D$325,0)),0))</f>
        <v>N/A</v>
      </c>
      <c r="AU28" s="42">
        <f>IF(ISNUMBER(Matching_Engine!$AT$28),1,0)</f>
        <v>1</v>
      </c>
      <c r="AV28" s="42" t="str">
        <f>IF(NOT(ISNUMBER(Matching_Engine!$AT$28)),"Not Screened",IF(Matching_Engine!$AT$28&gt;=Lookup_Lists!$D$329,"Low Risk",IF(Matching_Engine!$AT$28&gt;=Lookup_Lists!$D$330,"Moderate Risk",IF(Matching_Engine!$AT$28&gt;=Lookup_Lists!$D$331,"Elevated Risk","High Risk"))))</f>
        <v>Low Risk</v>
      </c>
      <c r="AW28" s="42" t="e">
        <f ca="1">IF(NOT(ISNUMBER(Matching_Engine!$AT$28)),"No integrity signal: no audience-analysis row for this account.","Integrity screen only — no content-risk reading exists (comments_analysis: 0 rows). "&amp;IF(ISNUMBER(Matching_Engine!$AO$28),"Authenticity "&amp;Matching_Engine!$AO$28&amp;". ","Authenticity N/A. ")&amp;IF(ISNUMBER(Matching_Engine!$AP$28),"Follower quality "&amp;Matching_Engine!$AP$28&amp;". ","Follower quality N/A. ")&amp;IF('[1]#REF'!$I$28="Yes","Platform-verified.","Not platform-verified."))</f>
        <v>#REF!</v>
      </c>
      <c r="AX28" s="65">
        <f>Matching_Engine!$N$28*Lookup_Lists!$D$104+Matching_Engine!$T$28*Lookup_Lists!$D$105+Matching_Engine!$Z$28*Lookup_Lists!$D$106+Matching_Engine!$AF$28*Lookup_Lists!$D$107+Matching_Engine!$AN$28*Lookup_Lists!$D$108+Matching_Engine!$AU$28*Lookup_Lists!$D$109</f>
        <v>5860</v>
      </c>
      <c r="AY28" s="74" t="e">
        <f ca="1">IF(Matching_Engine!$AX$28=0,"N/A",ROUND((IF(Matching_Engine!$N$28=1,Matching_Engine!$M$28*Lookup_Lists!$D$104,0)+IF(Matching_Engine!$T$28=1,Matching_Engine!$S$28*Lookup_Lists!$D$105,0)+IF(Matching_Engine!$Z$28=1,Matching_Engine!$Y$28*Lookup_Lists!$D$106,0)+IF(Matching_Engine!$AF$28=1,Matching_Engine!$AE$28*Lookup_Lists!$D$107,0)+IF(Matching_Engine!$AN$28=1,Matching_Engine!$AM$28*Lookup_Lists!$D$108,0)+IF(Matching_Engine!$AU$28=1,Matching_Engine!$AT$28*Lookup_Lists!$D$109,0))/Matching_Engine!$AX$28,0))</f>
        <v>#VALUE!</v>
      </c>
      <c r="AZ28" s="42" t="str">
        <f ca="1">IF(NOT(ISNUMBER(Matching_Engine!$AY$28)),"Not Scored",IF(Matching_Engine!$AY$28&gt;=Lookup_Lists!$D$152,"Excellent Match",IF(Matching_Engine!$AY$28&gt;=Lookup_Lists!$D$153,"Strong Match",IF(Matching_Engine!$AY$28&gt;=Lookup_Lists!$D$154,"Good Match",IF(Matching_Engine!$AY$28&gt;=Lookup_Lists!$D$155,"Moderate Match","Low Match")))))</f>
        <v>Low Match</v>
      </c>
      <c r="BA28" s="65" t="e">
        <f>'[1]#REF'!$BW$28</f>
        <v>#REF!</v>
      </c>
      <c r="BB28" s="42" t="e">
        <f>'[1]#REF'!$BX$28</f>
        <v>#REF!</v>
      </c>
      <c r="BC28" s="65">
        <f ca="1">IF(NOT(ISNUMBER(Matching_Engine!$AY$28)),-1,Matching_Engine!$AY$28*1000+2)</f>
        <v>57002</v>
      </c>
      <c r="BD28" s="42" t="e">
        <f>IF(AND(ISTEXT('[1]#REF'!$S$28),'[1]#REF'!$S$28&lt;&gt;"N/A"),'[1]#REF'!$S$28,"")&amp;" | "&amp;IF(AND(ISTEXT('[1]#REF'!$T$28),'[1]#REF'!$T$28&lt;&gt;"N/A"),'[1]#REF'!$T$28,"")&amp;" | "&amp;IF(AND(ISTEXT('[1]#REF'!$N$28),'[1]#REF'!$N$28&lt;&gt;"N/A"),'[1]#REF'!$N$28,"")&amp;" | "&amp;IF(AND(ISTEXT('[1]#REF'!$K$28),'[1]#REF'!$K$28&lt;&gt;"N/A"),'[1]#REF'!$K$28,"")&amp;" | "&amp;IF(AND(ISTEXT('[1]#REF'!$J$28),'[1]#REF'!$J$28&lt;&gt;"N/A"),'[1]#REF'!$J$28,"")</f>
        <v>#REF!</v>
      </c>
      <c r="BE28" s="42" t="e">
        <f>IF(AND(ISTEXT('[1]#REF'!$T$28),'[1]#REF'!$T$28&lt;&gt;"N/A"),'[1]#REF'!$T$28,"")&amp;" | "&amp;IF(AND(ISTEXT('[1]#REF'!$N$28),'[1]#REF'!$N$28&lt;&gt;"N/A"),'[1]#REF'!$N$28,"")&amp;" | "&amp;IF(AND(ISTEXT('[1]#REF'!$O$28),'[1]#REF'!$O$28&lt;&gt;"N/A"),'[1]#REF'!$O$28,"")&amp;" | "&amp;IF(AND(ISTEXT('[1]#REF'!$S$28),'[1]#REF'!$S$28&lt;&gt;"N/A"),'[1]#REF'!$S$28,"")</f>
        <v>#REF!</v>
      </c>
      <c r="BF28" s="42" t="e">
        <f>IF(AND(ISTEXT('[1]#REF'!$U$28),'[1]#REF'!$U$28&lt;&gt;"N/A"),'[1]#REF'!$U$28,"")</f>
        <v>#REF!</v>
      </c>
      <c r="BG28" s="42" t="str">
        <f>Matching_Engine!$A$28&amp;"|"&amp;Matching_Engine!$C$28</f>
        <v>BRAND-A|KOL-23</v>
      </c>
    </row>
    <row r="29" spans="1:59">
      <c r="A29" s="64" t="s">
        <v>2527</v>
      </c>
      <c r="B29" s="42" t="str">
        <f>Brand_Profile!$E$6</f>
        <v>BRAND-B</v>
      </c>
      <c r="C29" s="42" t="e">
        <f>'[1]#REF'!$A$29</f>
        <v>#REF!</v>
      </c>
      <c r="D29" s="42" t="e">
        <f>'[1]#REF'!$C$29</f>
        <v>#REF!</v>
      </c>
      <c r="E29" s="42" t="e">
        <f>'[1]#REF'!$D$29</f>
        <v>#REF!</v>
      </c>
      <c r="F29" s="42" t="e">
        <f>'[1]#REF'!$E$29</f>
        <v>#REF!</v>
      </c>
      <c r="G29" s="42" t="e">
        <f>'[1]#REF'!$K$29</f>
        <v>#REF!</v>
      </c>
      <c r="H29" s="72" t="e">
        <f>'[1]#REF'!$G$29</f>
        <v>#REF!</v>
      </c>
      <c r="I29" s="73" t="e">
        <f>'[1]#REF'!$BG$29</f>
        <v>#REF!</v>
      </c>
      <c r="J29" s="65" t="e">
        <f>IF(NOT(AND(ISTEXT('[1]#REF'!$K$29),'[1]#REF'!$K$29&lt;&gt;"N/A")),Lookup_Lists!$D$150,IF(Brand_Profile!$E$7='[1]#REF'!$K$29,100,IFERROR(INDEX(Lookup_Lists!$B$349:$J$357,MATCH(Brand_Profile!$E$7,Lookup_Lists!$A$349:$A$357,0),MATCH('[1]#REF'!$K$29,Lookup_Lists!$B$348:$J$348,0)),Lookup_Lists!$D$151)))</f>
        <v>#REF!</v>
      </c>
      <c r="K29" s="65" t="e">
        <f>IF(LEN(TRIM(SUBSTITUTE(Matching_Engine!$BD$29,"|","")))=0,"N/A",IF(Brand_Profile!$E$47=0,Lookup_Lists!$D$150,ROUND((IF(Brand_Profile!$E$41="",0,IF(ISNUMBER(SEARCH(Brand_Profile!$E$41,Matching_Engine!$BD$29)),1,0))+IF(Brand_Profile!$E$42="",0,IF(ISNUMBER(SEARCH(Brand_Profile!$E$42,Matching_Engine!$BD$29)),1,0))+IF(Brand_Profile!$E$43="",0,IF(ISNUMBER(SEARCH(Brand_Profile!$E$43,Matching_Engine!$BD$29)),1,0))+IF(Brand_Profile!$E$44="",0,IF(ISNUMBER(SEARCH(Brand_Profile!$E$44,Matching_Engine!$BD$29)),1,0))+IF(Brand_Profile!$E$45="",0,IF(ISNUMBER(SEARCH(Brand_Profile!$E$45,Matching_Engine!$BD$29)),1,0))+IF(Brand_Profile!$E$46="",0,IF(ISNUMBER(SEARCH(Brand_Profile!$E$46,Matching_Engine!$BD$29)),1,0)))/Brand_Profile!$E$47*100,0)))</f>
        <v>#VALUE!</v>
      </c>
      <c r="L29" s="65" t="e">
        <f>IF(NOT(AND(ISTEXT('[1]#REF'!$U$29),'[1]#REF'!$U$29&lt;&gt;"N/A")),"N/A",IF(Brand_Profile!$E$53=0,Lookup_Lists!$D$150,ROUND((IF(Brand_Profile!$E$48="",0,IF(ISNUMBER(SEARCH(Brand_Profile!$E$48,Matching_Engine!$BF$29)),1,0))+IF(Brand_Profile!$E$49="",0,IF(ISNUMBER(SEARCH(Brand_Profile!$E$49,Matching_Engine!$BF$29)),1,0))+IF(Brand_Profile!$E$50="",0,IF(ISNUMBER(SEARCH(Brand_Profile!$E$50,Matching_Engine!$BF$29)),1,0))+IF(Brand_Profile!$E$51="",0,IF(ISNUMBER(SEARCH(Brand_Profile!$E$51,Matching_Engine!$BF$29)),1,0))+IF(Brand_Profile!$E$52="",0,IF(ISNUMBER(SEARCH(Brand_Profile!$E$52,Matching_Engine!$BF$29)),1,0)))/Brand_Profile!$E$53*100,0)))</f>
        <v>#REF!</v>
      </c>
      <c r="M29" s="63" t="str">
        <f>IF((IF(ISNUMBER(Matching_Engine!$J$29),Lookup_Lists!$D$332,0)+IF(ISNUMBER(Matching_Engine!$K$29),Lookup_Lists!$D$333,0)+IF(ISNUMBER(Matching_Engine!$L$29),Lookup_Lists!$D$334,0))=0,"N/A",ROUND((IF(ISNUMBER(Matching_Engine!$J$29),Matching_Engine!$J$29*Lookup_Lists!$D$332,0)+IF(ISNUMBER(Matching_Engine!$K$29),Matching_Engine!$K$29*Lookup_Lists!$D$333,0)+IF(ISNUMBER(Matching_Engine!$L$29),Matching_Engine!$L$29*Lookup_Lists!$D$334,0))/(IF(ISNUMBER(Matching_Engine!$J$29),Lookup_Lists!$D$332,0)+IF(ISNUMBER(Matching_Engine!$K$29),Lookup_Lists!$D$333,0)+IF(ISNUMBER(Matching_Engine!$L$29),Lookup_Lists!$D$334,0)),0))</f>
        <v>N/A</v>
      </c>
      <c r="N29" s="42">
        <f>IF(ISNUMBER(Matching_Engine!$M$29),1,0)</f>
        <v>1</v>
      </c>
      <c r="O29" s="65" t="str">
        <f ca="1">IF(NOT(ISNUMBER(IFERROR(INDEX('[1]#REF'!$V$29:'[1]#REF'!$Z$29,1,MATCH(Brand_Profile!$E$11,Lookup_Lists!$F$6:$F$10,0)),""))),"N/A",MIN(100,ROUND((IFERROR(INDEX('[1]#REF'!$V$29:'[1]#REF'!$Z$29,1,MATCH(Brand_Profile!$E$11,Lookup_Lists!$F$6:$F$10,0)),"")+0.5*IF(ISNUMBER(IFERROR(INDEX('[1]#REF'!$V$29:'[1]#REF'!$Z$29,1,MATCH(Brand_Profile!$E$12,Lookup_Lists!$F$6:$F$10,0)),"")),IFERROR(INDEX('[1]#REF'!$V$29:'[1]#REF'!$Z$29,1,MATCH(Brand_Profile!$E$12,Lookup_Lists!$F$6:$F$10,0)),""),0))/Lookup_Lists!$D$142*100,0)))</f>
        <v>N/A</v>
      </c>
      <c r="P29" s="65" t="str">
        <f>IF(Brand_Profile!$E$13="Any",100,IF(NOT(ISNUMBER('[1]#REF'!$AA$29)),"N/A",IF(Brand_Profile!$E$13="Female",MIN(100,ROUND('[1]#REF'!$AA$29/Lookup_Lists!$D$143*100,0)),IF(Brand_Profile!$E$13="Male",MIN(100,ROUND(IF(ISNUMBER('[1]#REF'!$AB$29),'[1]#REF'!$AB$29,100-'[1]#REF'!$AA$29)/Lookup_Lists!$D$143*100,0)),MAX(0,ROUND(100-ABS('[1]#REF'!$AA$29-50)*2,0))))))</f>
        <v>N/A</v>
      </c>
      <c r="Q29" s="65" t="str">
        <f>IF((IF(ISNUMBER(IF(NOT(ISNUMBER('[1]#REF'!$AE$29)),"N/A",IF('[1]#REF'!$AD$29&lt;&gt;Brand_Profile!$E$14,Lookup_Lists!$D$151,MIN(100,ROUND('[1]#REF'!$AE$29/Lookup_Lists!$D$316*100,0))))),Lookup_Lists!$D$118,0)+IF(ISNUMBER(IF(NOT(ISNUMBER('[1]#REF'!$AM$29)),"N/A",MIN(100,ROUND((IF('[1]#REF'!$AG$29=Brand_Profile!$E$15,IF(ISNUMBER('[1]#REF'!$AH$29),'[1]#REF'!$AH$29,0),0)+IF('[1]#REF'!$AI$29=Brand_Profile!$E$15,IF(ISNUMBER('[1]#REF'!$AJ$29),'[1]#REF'!$AJ$29,0),0)+IF('[1]#REF'!$AK$29=Brand_Profile!$E$15,IF(ISNUMBER('[1]#REF'!$AL$29),'[1]#REF'!$AL$29,0),0))/Lookup_Lists!$D$317*100,0)))),Lookup_Lists!$D$120,0))=0,"N/A",ROUND((IF(ISNUMBER(IF(NOT(ISNUMBER('[1]#REF'!$AE$29)),"N/A",IF('[1]#REF'!$AD$29&lt;&gt;Brand_Profile!$E$14,Lookup_Lists!$D$151,MIN(100,ROUND('[1]#REF'!$AE$29/Lookup_Lists!$D$316*100,0))))),IF(NOT(ISNUMBER('[1]#REF'!$AE$29)),"N/A",IF('[1]#REF'!$AD$29&lt;&gt;Brand_Profile!$E$14,Lookup_Lists!$D$151,MIN(100,ROUND('[1]#REF'!$AE$29/Lookup_Lists!$D$316*100,0))))*Lookup_Lists!$D$118,0)+IF(ISNUMBER(IF(NOT(ISNUMBER('[1]#REF'!$AM$29)),"N/A",MIN(100,ROUND((IF('[1]#REF'!$AG$29=Brand_Profile!$E$15,IF(ISNUMBER('[1]#REF'!$AH$29),'[1]#REF'!$AH$29,0),0)+IF('[1]#REF'!$AI$29=Brand_Profile!$E$15,IF(ISNUMBER('[1]#REF'!$AJ$29),'[1]#REF'!$AJ$29,0),0)+IF('[1]#REF'!$AK$29=Brand_Profile!$E$15,IF(ISNUMBER('[1]#REF'!$AL$29),'[1]#REF'!$AL$29,0),0))/Lookup_Lists!$D$317*100,0)))),IF(NOT(ISNUMBER('[1]#REF'!$AM$29)),"N/A",MIN(100,ROUND((IF('[1]#REF'!$AG$29=Brand_Profile!$E$15,IF(ISNUMBER('[1]#REF'!$AH$29),'[1]#REF'!$AH$29,0),0)+IF('[1]#REF'!$AI$29=Brand_Profile!$E$15,IF(ISNUMBER('[1]#REF'!$AJ$29),'[1]#REF'!$AJ$29,0),0)+IF('[1]#REF'!$AK$29=Brand_Profile!$E$15,IF(ISNUMBER('[1]#REF'!$AL$29),'[1]#REF'!$AL$29,0),0))/Lookup_Lists!$D$317*100,0)))*Lookup_Lists!$D$120,0))/(IF(ISNUMBER(IF(NOT(ISNUMBER('[1]#REF'!$AE$29)),"N/A",IF('[1]#REF'!$AD$29&lt;&gt;Brand_Profile!$E$14,Lookup_Lists!$D$151,MIN(100,ROUND('[1]#REF'!$AE$29/Lookup_Lists!$D$316*100,0))))),Lookup_Lists!$D$118,0)+IF(ISNUMBER(IF(NOT(ISNUMBER('[1]#REF'!$AM$29)),"N/A",MIN(100,ROUND((IF('[1]#REF'!$AG$29=Brand_Profile!$E$15,IF(ISNUMBER('[1]#REF'!$AH$29),'[1]#REF'!$AH$29,0),0)+IF('[1]#REF'!$AI$29=Brand_Profile!$E$15,IF(ISNUMBER('[1]#REF'!$AJ$29),'[1]#REF'!$AJ$29,0),0)+IF('[1]#REF'!$AK$29=Brand_Profile!$E$15,IF(ISNUMBER('[1]#REF'!$AL$29),'[1]#REF'!$AL$29,0),0))/Lookup_Lists!$D$317*100,0)))),Lookup_Lists!$D$120,0)),0))</f>
        <v>N/A</v>
      </c>
      <c r="R29" s="65" t="str">
        <f>IF(NOT(ISNUMBER('[1]#REF'!$AN$29)),"N/A",MIN(100,ROUND((IF(ISNUMBER('[1]#REF'!$AO$29),'[1]#REF'!$AO$29*Brand_Profile!$E$17,0)+IF(ISNUMBER('[1]#REF'!$AP$29),'[1]#REF'!$AP$29*Brand_Profile!$E$18,0)+IF(ISNUMBER('[1]#REF'!$AQ$29),'[1]#REF'!$AQ$29*Brand_Profile!$E$19,0)+IF(ISNUMBER('[1]#REF'!$AR$29),'[1]#REF'!$AR$29*Brand_Profile!$E$20,0)+IF(ISNUMBER('[1]#REF'!$AS$29),'[1]#REF'!$AS$29*Brand_Profile!$E$21,0)+IF(ISNUMBER('[1]#REF'!$AT$29),'[1]#REF'!$AT$29*Brand_Profile!$E$22,0)+IF(ISNUMBER('[1]#REF'!$AU$29),'[1]#REF'!$AU$29*Brand_Profile!$E$23,0)+IF(ISNUMBER('[1]#REF'!$AV$29),'[1]#REF'!$AV$29*Brand_Profile!$E$24,0)+IF(ISNUMBER('[1]#REF'!$AW$29),'[1]#REF'!$AW$29*Brand_Profile!$E$25,0)+IF(ISNUMBER('[1]#REF'!$AX$29),'[1]#REF'!$AX$29*Brand_Profile!$E$26,0)+IF(ISNUMBER('[1]#REF'!$AY$29),'[1]#REF'!$AY$29*Brand_Profile!$E$27,0)+IF(ISNUMBER('[1]#REF'!$AZ$29),'[1]#REF'!$AZ$29*Brand_Profile!$E$28,0)+IF(ISNUMBER('[1]#REF'!$BA$29),'[1]#REF'!$BA$29*Brand_Profile!$E$29,0)+IF(ISNUMBER('[1]#REF'!$BB$29),'[1]#REF'!$BB$29*Brand_Profile!$E$30,0)+IF(ISNUMBER('[1]#REF'!$BC$29),'[1]#REF'!$BC$29*Brand_Profile!$E$31,0)+IF(ISNUMBER('[1]#REF'!$BD$29),'[1]#REF'!$BD$29*Brand_Profile!$E$32,0)+IF(ISNUMBER('[1]#REF'!$BE$29),'[1]#REF'!$BE$29*Brand_Profile!$E$33,0)+IF(ISNUMBER('[1]#REF'!$BF$29),'[1]#REF'!$BF$29*Brand_Profile!$E$34,0))/Lookup_Lists!$D$318*100,0)))</f>
        <v>N/A</v>
      </c>
      <c r="S29" s="63">
        <f ca="1">IF((IF(ISNUMBER(Matching_Engine!$O$29),Lookup_Lists!$D$113,0)+IF(ISNUMBER(Matching_Engine!$P$29),Lookup_Lists!$D$114,0)+IF(ISNUMBER(Matching_Engine!$Q$29),Lookup_Lists!$D$115,0)+IF(ISNUMBER(Matching_Engine!$R$29),Lookup_Lists!$D$116,0))=0,"N/A",ROUND((IF(ISNUMBER(Matching_Engine!$O$29),Matching_Engine!$O$29*Lookup_Lists!$D$113,0)+IF(ISNUMBER(Matching_Engine!$P$29),Matching_Engine!$P$29*Lookup_Lists!$D$114,0)+IF(ISNUMBER(Matching_Engine!$Q$29),Matching_Engine!$Q$29*Lookup_Lists!$D$115,0)+IF(ISNUMBER(Matching_Engine!$R$29),Matching_Engine!$R$29*Lookup_Lists!$D$116,0))/(IF(ISNUMBER(Matching_Engine!$O$29),Lookup_Lists!$D$113,0)+IF(ISNUMBER(Matching_Engine!$P$29),Lookup_Lists!$D$114,0)+IF(ISNUMBER(Matching_Engine!$Q$29),Lookup_Lists!$D$115,0)+IF(ISNUMBER(Matching_Engine!$R$29),Lookup_Lists!$D$116,0)),0))</f>
        <v>74</v>
      </c>
      <c r="T29" s="42">
        <f ca="1">IF(ISNUMBER(Matching_Engine!$S$29),1,0)</f>
        <v>1</v>
      </c>
      <c r="U29" s="65" t="e">
        <f>IF(NOT(AND(ISTEXT('[1]#REF'!$M$29),'[1]#REF'!$M$29&lt;&gt;"N/A")),Lookup_Lists!$D$150,IF(Brand_Profile!$E$7='[1]#REF'!$M$29,100,IFERROR(INDEX(Lookup_Lists!$B$349:$J$357,MATCH(Brand_Profile!$E$7,Lookup_Lists!$A$349:$A$357,0),MATCH('[1]#REF'!$M$29,Lookup_Lists!$B$348:$J$348,0)),Lookup_Lists!$D$151)))</f>
        <v>#REF!</v>
      </c>
      <c r="V29" s="65" t="e">
        <f>IF(NOT(AND(ISTEXT('[1]#REF'!$P$29),'[1]#REF'!$P$29&lt;&gt;"N/A")),"N/A",IFERROR(INDEX(Lookup_Lists!$B$349:$J$357,MATCH(Brand_Profile!$E$7,Lookup_Lists!$A$349:$A$357,0),MATCH('[1]#REF'!$P$29,Lookup_Lists!$B$348:$J$348,0)),Lookup_Lists!$D$151))</f>
        <v>#REF!</v>
      </c>
      <c r="W29" s="65" t="e">
        <f>IF(LEN(TRIM(SUBSTITUTE(Matching_Engine!$BE$29,"|","")))=0,"N/A",IF(Brand_Profile!$E$60=0,Lookup_Lists!$D$150,ROUND((IF(Brand_Profile!$E$54="",0,IF(ISNUMBER(SEARCH(Brand_Profile!$E$54,Matching_Engine!$BE$29)),1,0))+IF(Brand_Profile!$E$55="",0,IF(ISNUMBER(SEARCH(Brand_Profile!$E$55,Matching_Engine!$BE$29)),1,0))+IF(Brand_Profile!$E$56="",0,IF(ISNUMBER(SEARCH(Brand_Profile!$E$56,Matching_Engine!$BE$29)),1,0))+IF(Brand_Profile!$E$57="",0,IF(ISNUMBER(SEARCH(Brand_Profile!$E$57,Matching_Engine!$BE$29)),1,0))+IF(Brand_Profile!$E$58="",0,IF(ISNUMBER(SEARCH(Brand_Profile!$E$58,Matching_Engine!$BE$29)),1,0))+IF(Brand_Profile!$E$59="",0,IF(ISNUMBER(SEARCH(Brand_Profile!$E$59,Matching_Engine!$BE$29)),1,0)))/Brand_Profile!$E$60*100,0)))</f>
        <v>#VALUE!</v>
      </c>
      <c r="X29" s="65" t="e">
        <f>IF(NOT(AND(ISTEXT('[1]#REF'!$Q$29),'[1]#REF'!$Q$29&lt;&gt;"N/A")),"N/A",Lookup_Lists!$D$150)</f>
        <v>#REF!</v>
      </c>
      <c r="Y29" s="63">
        <f>IF((IF(ISNUMBER(Matching_Engine!$U$29),Lookup_Lists!$D$335,0)+IF(ISNUMBER(Matching_Engine!$V$29),Lookup_Lists!$D$122,0)+IF(ISNUMBER(Matching_Engine!$W$29),Lookup_Lists!$D$336,0)+IF(ISNUMBER(Matching_Engine!$X$29),Lookup_Lists!$D$124,0))=0,"N/A",ROUND((IF(ISNUMBER(Matching_Engine!$U$29),Matching_Engine!$U$29*Lookup_Lists!$D$335,0)+IF(ISNUMBER(Matching_Engine!$V$29),Matching_Engine!$V$29*Lookup_Lists!$D$122,0)+IF(ISNUMBER(Matching_Engine!$W$29),Matching_Engine!$W$29*Lookup_Lists!$D$336,0)+IF(ISNUMBER(Matching_Engine!$X$29),Matching_Engine!$X$29*Lookup_Lists!$D$124,0))/(IF(ISNUMBER(Matching_Engine!$U$29),Lookup_Lists!$D$335,0)+IF(ISNUMBER(Matching_Engine!$V$29),Lookup_Lists!$D$122,0)+IF(ISNUMBER(Matching_Engine!$W$29),Lookup_Lists!$D$336,0)+IF(ISNUMBER(Matching_Engine!$X$29),Lookup_Lists!$D$124,0)),0))</f>
        <v>51</v>
      </c>
      <c r="Z29" s="42">
        <f>IF(ISNUMBER(Matching_Engine!$Y$29),1,0)</f>
        <v>1</v>
      </c>
      <c r="AA29" s="65" t="e">
        <f>IF(NOT(AND(ISTEXT('[1]#REF'!$Q$29),'[1]#REF'!$Q$29&lt;&gt;"N/A")),"N/A",Lookup_Lists!$D$150)</f>
        <v>#REF!</v>
      </c>
      <c r="AB29" s="65" t="e">
        <f>IF(NOT(AND(ISTEXT('[1]#REF'!$Q$29),'[1]#REF'!$Q$29&lt;&gt;"N/A")),"N/A",Lookup_Lists!$D$150)</f>
        <v>#REF!</v>
      </c>
      <c r="AC29" s="65" t="str">
        <f t="shared" si="0"/>
        <v>N/A</v>
      </c>
      <c r="AD29" s="65" t="e">
        <f>IF(NOT(AND(ISTEXT('[1]#REF'!$Q$29),'[1]#REF'!$Q$29&lt;&gt;"N/A")),"N/A",Lookup_Lists!$D$150)</f>
        <v>#REF!</v>
      </c>
      <c r="AE29" s="63">
        <f>IF((IF(ISNUMBER(Matching_Engine!$AA$29),Lookup_Lists!$D$125,0)+IF(ISNUMBER(Matching_Engine!$AB$29),Lookup_Lists!$D$126,0)+IF(ISNUMBER(Matching_Engine!$AC$29),Lookup_Lists!$D$127,0)+IF(ISNUMBER(Matching_Engine!$AD$29),Lookup_Lists!$D$128,0))=0,"N/A",ROUND((IF(ISNUMBER(Matching_Engine!$AA$29),Matching_Engine!$AA$29*Lookup_Lists!$D$125,0)+IF(ISNUMBER(Matching_Engine!$AB$29),Matching_Engine!$AB$29*Lookup_Lists!$D$126,0)+IF(ISNUMBER(Matching_Engine!$AC$29),Matching_Engine!$AC$29*Lookup_Lists!$D$127,0)+IF(ISNUMBER(Matching_Engine!$AD$29),Matching_Engine!$AD$29*Lookup_Lists!$D$128,0))/(IF(ISNUMBER(Matching_Engine!$AA$29),Lookup_Lists!$D$125,0)+IF(ISNUMBER(Matching_Engine!$AB$29),Lookup_Lists!$D$126,0)+IF(ISNUMBER(Matching_Engine!$AC$29),Lookup_Lists!$D$127,0)+IF(ISNUMBER(Matching_Engine!$AD$29),Lookup_Lists!$D$128,0)),0))</f>
        <v>64</v>
      </c>
      <c r="AF29" s="42">
        <f>IF(ISNUMBER(Matching_Engine!$AE$29),1,0)</f>
        <v>1</v>
      </c>
      <c r="AG29" s="65" t="str">
        <f>IF(NOT(ISNUMBER('[1]#REF'!$BG$29)),"N/A",MIN(100,ROUND('[1]#REF'!$BG$29/IFERROR(INDEX(Lookup_Lists!$B$340:$B$344,MATCH('[1]#REF'!$H$29,Lookup_Lists!$A$340:$A$344,0)),Lookup_Lists!$D$141)*100,0)))</f>
        <v>N/A</v>
      </c>
      <c r="AH29" s="65" t="str">
        <f>IF(NOT(ISNUMBER('[1]#REF'!$BS$29)),"N/A",MIN(100,MAX(0,'[1]#REF'!$BS$29)))</f>
        <v>N/A</v>
      </c>
      <c r="AI29" s="65" t="e">
        <f>IF(OR(NOT(ISNUMBER('[1]#REF'!$BM$29)),NOT(ISNUMBER('[1]#REF'!$BN$29)),'[1]#REF'!$BN$29&lt;Lookup_Lists!$D$320),"N/A",MIN(100,ROUND('[1]#REF'!$BM$29/Lookup_Lists!$D$319*100,0)))</f>
        <v>#REF!</v>
      </c>
      <c r="AJ29" s="65" t="str">
        <f>IF(NOT(ISNUMBER('[1]#REF'!$BR$29)),"N/A",'[1]#REF'!$BR$29)</f>
        <v>N/A</v>
      </c>
      <c r="AK29" s="65" t="str">
        <f>IF(NOT(ISNUMBER('[1]#REF'!$BK$29)),"N/A",MIN(100,ROUND('[1]#REF'!$BK$29/Lookup_Lists!$D$321*100,0)))</f>
        <v>N/A</v>
      </c>
      <c r="AL29" s="65" t="str">
        <f>IF(NOT(ISNUMBER('[1]#REF'!$BP$29)),"N/A",MIN(100,MAX(0,ROUND(('[1]#REF'!$BP$29+2)/(Lookup_Lists!$D$145+2)*100,0))))</f>
        <v>N/A</v>
      </c>
      <c r="AM29" s="63">
        <f>IF((IF(ISNUMBER(Matching_Engine!$AG$29),Lookup_Lists!$D$129,0)+IF(ISNUMBER(Matching_Engine!$AH$29),Lookup_Lists!$D$130,0)+IF(ISNUMBER(Matching_Engine!$AI$29),Lookup_Lists!$D$131,0)+IF(ISNUMBER(Matching_Engine!$AJ$29),Lookup_Lists!$D$132,0)+IF(ISNUMBER(Matching_Engine!$AK$29),Lookup_Lists!$D$133,0)+IF(ISNUMBER(Matching_Engine!$AL$29),Lookup_Lists!$D$134,0))=0,"N/A",ROUND((IF(ISNUMBER(Matching_Engine!$AG$29),Matching_Engine!$AG$29*Lookup_Lists!$D$129,0)+IF(ISNUMBER(Matching_Engine!$AH$29),Matching_Engine!$AH$29*Lookup_Lists!$D$130,0)+IF(ISNUMBER(Matching_Engine!$AI$29),Matching_Engine!$AI$29*Lookup_Lists!$D$131,0)+IF(ISNUMBER(Matching_Engine!$AJ$29),Matching_Engine!$AJ$29*Lookup_Lists!$D$132,0)+IF(ISNUMBER(Matching_Engine!$AK$29),Matching_Engine!$AK$29*Lookup_Lists!$D$133,0)+IF(ISNUMBER(Matching_Engine!$AL$29),Matching_Engine!$AL$29*Lookup_Lists!$D$134,0))/(IF(ISNUMBER(Matching_Engine!$AG$29),Lookup_Lists!$D$129,0)+IF(ISNUMBER(Matching_Engine!$AH$29),Lookup_Lists!$D$130,0)+IF(ISNUMBER(Matching_Engine!$AI$29),Lookup_Lists!$D$131,0)+IF(ISNUMBER(Matching_Engine!$AJ$29),Lookup_Lists!$D$132,0)+IF(ISNUMBER(Matching_Engine!$AK$29),Lookup_Lists!$D$133,0)+IF(ISNUMBER(Matching_Engine!$AL$29),Lookup_Lists!$D$134,0)),0))</f>
        <v>60</v>
      </c>
      <c r="AN29" s="42">
        <f>IF(ISNUMBER(Matching_Engine!$AM$29),1,0)</f>
        <v>0</v>
      </c>
      <c r="AO29" s="65" t="str">
        <f>IF(NOT(ISNUMBER('[1]#REF'!$BT$29)),"N/A",MIN(100,MAX(0,'[1]#REF'!$BT$29)))</f>
        <v>N/A</v>
      </c>
      <c r="AP29" s="65" t="str">
        <f>IF(NOT(ISNUMBER('[1]#REF'!$BU$29)),"N/A",MIN(100,MAX(0,'[1]#REF'!$BU$29)))</f>
        <v>N/A</v>
      </c>
      <c r="AQ29" s="65" t="e">
        <f>IF('[1]#REF'!$I$29="Yes",Lookup_Lists!$D$326,IF('[1]#REF'!$I$29="No",Lookup_Lists!$D$327,"N/A"))</f>
        <v>#REF!</v>
      </c>
      <c r="AR29" s="65" t="str">
        <f>IF(NOT(ISNUMBER('[1]#REF'!$BQ$29)),"N/A",MAX(0,ROUND(100-'[1]#REF'!$BQ$29/Lookup_Lists!$D$328*100,0)))</f>
        <v>N/A</v>
      </c>
      <c r="AS29" s="65" t="e">
        <f>IF(NOT(AND(ISTEXT('[1]#REF'!$BV$29),'[1]#REF'!$BV$29&lt;&gt;"N/A")),"N/A",'[1]#REF'!$BV$29)</f>
        <v>#REF!</v>
      </c>
      <c r="AT29" s="63" t="str">
        <f ca="1">IF((IF(ISNUMBER(Matching_Engine!$AO$29),Lookup_Lists!$D$322,0)+IF(ISNUMBER(Matching_Engine!$AP$29),Lookup_Lists!$D$323,0)+IF(ISNUMBER(Matching_Engine!$AQ$29),Lookup_Lists!$D$324,0)+IF(ISNUMBER(Matching_Engine!$AR$29),Lookup_Lists!$D$325,0))=0,"N/A",ROUND((IF(ISNUMBER(Matching_Engine!$AO$29),Matching_Engine!$AO$29*Lookup_Lists!$D$322,0)+IF(ISNUMBER(Matching_Engine!$AP$29),Matching_Engine!$AP$29*Lookup_Lists!$D$323,0)+IF(ISNUMBER(Matching_Engine!$AQ$29),Matching_Engine!$AQ$29*Lookup_Lists!$D$324,0)+IF(ISNUMBER(Matching_Engine!$AR$29),Matching_Engine!$AR$29*Lookup_Lists!$D$325,0))/(IF(ISNUMBER(Matching_Engine!$AO$29),Lookup_Lists!$D$322,0)+IF(ISNUMBER(Matching_Engine!$AP$29),Lookup_Lists!$D$323,0)+IF(ISNUMBER(Matching_Engine!$AQ$29),Lookup_Lists!$D$324,0)+IF(ISNUMBER(Matching_Engine!$AR$29),Lookup_Lists!$D$325,0)),0))</f>
        <v>N/A</v>
      </c>
      <c r="AU29" s="42">
        <f>IF(ISNUMBER(Matching_Engine!$AT$29),1,0)</f>
        <v>1</v>
      </c>
      <c r="AV29" s="42" t="str">
        <f>IF(NOT(ISNUMBER(Matching_Engine!$AT$29)),"Not Screened",IF(Matching_Engine!$AT$29&gt;=Lookup_Lists!$D$329,"Low Risk",IF(Matching_Engine!$AT$29&gt;=Lookup_Lists!$D$330,"Moderate Risk",IF(Matching_Engine!$AT$29&gt;=Lookup_Lists!$D$331,"Elevated Risk","High Risk"))))</f>
        <v>Low Risk</v>
      </c>
      <c r="AW29" s="42" t="e">
        <f ca="1">IF(NOT(ISNUMBER(Matching_Engine!$AT$29)),"No integrity signal: no audience-analysis row for this account.","Integrity screen only — no content-risk reading exists (comments_analysis: 0 rows). "&amp;IF(ISNUMBER(Matching_Engine!$AO$29),"Authenticity "&amp;Matching_Engine!$AO$29&amp;". ","Authenticity N/A. ")&amp;IF(ISNUMBER(Matching_Engine!$AP$29),"Follower quality "&amp;Matching_Engine!$AP$29&amp;". ","Follower quality N/A. ")&amp;IF('[1]#REF'!$I$29="Yes","Platform-verified.","Not platform-verified."))</f>
        <v>#REF!</v>
      </c>
      <c r="AX29" s="65">
        <f>Matching_Engine!$N$29*Lookup_Lists!$D$104+Matching_Engine!$T$29*Lookup_Lists!$D$105+Matching_Engine!$Z$29*Lookup_Lists!$D$106+Matching_Engine!$AF$29*Lookup_Lists!$D$107+Matching_Engine!$AN$29*Lookup_Lists!$D$108+Matching_Engine!$AU$29*Lookup_Lists!$D$109</f>
        <v>6370</v>
      </c>
      <c r="AY29" s="74" t="e">
        <f ca="1">IF(Matching_Engine!$AX$29=0,"N/A",ROUND((IF(Matching_Engine!$N$29=1,Matching_Engine!$M$29*Lookup_Lists!$D$104,0)+IF(Matching_Engine!$T$29=1,Matching_Engine!$S$29*Lookup_Lists!$D$105,0)+IF(Matching_Engine!$Z$29=1,Matching_Engine!$Y$29*Lookup_Lists!$D$106,0)+IF(Matching_Engine!$AF$29=1,Matching_Engine!$AE$29*Lookup_Lists!$D$107,0)+IF(Matching_Engine!$AN$29=1,Matching_Engine!$AM$29*Lookup_Lists!$D$108,0)+IF(Matching_Engine!$AU$29=1,Matching_Engine!$AT$29*Lookup_Lists!$D$109,0))/Matching_Engine!$AX$29,0))</f>
        <v>#VALUE!</v>
      </c>
      <c r="AZ29" s="42" t="str">
        <f ca="1">IF(NOT(ISNUMBER(Matching_Engine!$AY$29)),"Not Scored",IF(Matching_Engine!$AY$29&gt;=Lookup_Lists!$D$152,"Excellent Match",IF(Matching_Engine!$AY$29&gt;=Lookup_Lists!$D$153,"Strong Match",IF(Matching_Engine!$AY$29&gt;=Lookup_Lists!$D$154,"Good Match",IF(Matching_Engine!$AY$29&gt;=Lookup_Lists!$D$155,"Moderate Match","Low Match")))))</f>
        <v>Moderate Match</v>
      </c>
      <c r="BA29" s="65" t="e">
        <f>'[1]#REF'!$BW$29</f>
        <v>#REF!</v>
      </c>
      <c r="BB29" s="42" t="e">
        <f>'[1]#REF'!$BX$29</f>
        <v>#REF!</v>
      </c>
      <c r="BC29" s="65">
        <f ca="1">IF(NOT(ISNUMBER(Matching_Engine!$AY$29)),-1,Matching_Engine!$AY$29*1000+1)</f>
        <v>66001</v>
      </c>
      <c r="BD29" s="42" t="e">
        <f>IF(AND(ISTEXT('[1]#REF'!$S$29),'[1]#REF'!$S$29&lt;&gt;"N/A"),'[1]#REF'!$S$29,"")&amp;" | "&amp;IF(AND(ISTEXT('[1]#REF'!$T$29),'[1]#REF'!$T$29&lt;&gt;"N/A"),'[1]#REF'!$T$29,"")&amp;" | "&amp;IF(AND(ISTEXT('[1]#REF'!$N$29),'[1]#REF'!$N$29&lt;&gt;"N/A"),'[1]#REF'!$N$29,"")&amp;" | "&amp;IF(AND(ISTEXT('[1]#REF'!$K$29),'[1]#REF'!$K$29&lt;&gt;"N/A"),'[1]#REF'!$K$29,"")&amp;" | "&amp;IF(AND(ISTEXT('[1]#REF'!$J$29),'[1]#REF'!$J$29&lt;&gt;"N/A"),'[1]#REF'!$J$29,"")</f>
        <v>#REF!</v>
      </c>
      <c r="BE29" s="42" t="e">
        <f>IF(AND(ISTEXT('[1]#REF'!$T$29),'[1]#REF'!$T$29&lt;&gt;"N/A"),'[1]#REF'!$T$29,"")&amp;" | "&amp;IF(AND(ISTEXT('[1]#REF'!$N$29),'[1]#REF'!$N$29&lt;&gt;"N/A"),'[1]#REF'!$N$29,"")&amp;" | "&amp;IF(AND(ISTEXT('[1]#REF'!$O$29),'[1]#REF'!$O$29&lt;&gt;"N/A"),'[1]#REF'!$O$29,"")&amp;" | "&amp;IF(AND(ISTEXT('[1]#REF'!$S$29),'[1]#REF'!$S$29&lt;&gt;"N/A"),'[1]#REF'!$S$29,"")</f>
        <v>#REF!</v>
      </c>
      <c r="BF29" s="42" t="e">
        <f>IF(AND(ISTEXT('[1]#REF'!$U$29),'[1]#REF'!$U$29&lt;&gt;"N/A"),'[1]#REF'!$U$29,"")</f>
        <v>#REF!</v>
      </c>
      <c r="BG29" s="42" t="str">
        <f>Matching_Engine!$A$29&amp;"|"&amp;Matching_Engine!$C$29</f>
        <v>BRAND-A|KOL-24</v>
      </c>
    </row>
    <row r="30" spans="1:59">
      <c r="A30" s="64" t="s">
        <v>2528</v>
      </c>
      <c r="B30" s="42" t="str">
        <f>Brand_Profile!$F$6</f>
        <v>BRAND-C</v>
      </c>
      <c r="C30" s="42" t="e">
        <f>'[1]#REF'!$A$6</f>
        <v>#REF!</v>
      </c>
      <c r="D30" s="42" t="e">
        <f>'[1]#REF'!$C$6</f>
        <v>#REF!</v>
      </c>
      <c r="E30" s="42" t="e">
        <f>'[1]#REF'!$D$6</f>
        <v>#REF!</v>
      </c>
      <c r="F30" s="42" t="e">
        <f>'[1]#REF'!$E$6</f>
        <v>#REF!</v>
      </c>
      <c r="G30" s="42" t="e">
        <f>'[1]#REF'!$K$6</f>
        <v>#REF!</v>
      </c>
      <c r="H30" s="72" t="e">
        <f>'[1]#REF'!$G$6</f>
        <v>#REF!</v>
      </c>
      <c r="I30" s="73" t="e">
        <f>'[1]#REF'!$BG$6</f>
        <v>#REF!</v>
      </c>
      <c r="J30" s="65" t="e">
        <f>IF(NOT(AND(ISTEXT('[1]#REF'!$K$6),'[1]#REF'!$K$6&lt;&gt;"N/A")),Lookup_Lists!$D$150,IF(Brand_Profile!$F$7='[1]#REF'!$K$6,100,IFERROR(INDEX(Lookup_Lists!$B$349:$J$357,MATCH(Brand_Profile!$F$7,Lookup_Lists!$A$349:$A$357,0),MATCH('[1]#REF'!$K$6,Lookup_Lists!$B$348:$J$348,0)),Lookup_Lists!$D$151)))</f>
        <v>#REF!</v>
      </c>
      <c r="K30" s="65" t="e">
        <f>IF(LEN(TRIM(SUBSTITUTE(Matching_Engine!$BD$30,"|","")))=0,"N/A",IF(Brand_Profile!$F$47=0,Lookup_Lists!$D$150,ROUND((IF(Brand_Profile!$F$41="",0,IF(ISNUMBER(SEARCH(Brand_Profile!$F$41,Matching_Engine!$BD$30)),1,0))+IF(Brand_Profile!$F$42="",0,IF(ISNUMBER(SEARCH(Brand_Profile!$F$42,Matching_Engine!$BD$30)),1,0))+IF(Brand_Profile!$F$43="",0,IF(ISNUMBER(SEARCH(Brand_Profile!$F$43,Matching_Engine!$BD$30)),1,0))+IF(Brand_Profile!$F$44="",0,IF(ISNUMBER(SEARCH(Brand_Profile!$F$44,Matching_Engine!$BD$30)),1,0))+IF(Brand_Profile!$F$45="",0,IF(ISNUMBER(SEARCH(Brand_Profile!$F$45,Matching_Engine!$BD$30)),1,0))+IF(Brand_Profile!$F$46="",0,IF(ISNUMBER(SEARCH(Brand_Profile!$F$46,Matching_Engine!$BD$30)),1,0)))/Brand_Profile!$F$47*100,0)))</f>
        <v>#VALUE!</v>
      </c>
      <c r="L30" s="65" t="e">
        <f>IF(NOT(AND(ISTEXT('[1]#REF'!$U$6),'[1]#REF'!$U$6&lt;&gt;"N/A")),"N/A",IF(Brand_Profile!$F$53=0,Lookup_Lists!$D$150,ROUND((IF(Brand_Profile!$F$48="",0,IF(ISNUMBER(SEARCH(Brand_Profile!$F$48,Matching_Engine!$BF$30)),1,0))+IF(Brand_Profile!$F$49="",0,IF(ISNUMBER(SEARCH(Brand_Profile!$F$49,Matching_Engine!$BF$30)),1,0))+IF(Brand_Profile!$F$50="",0,IF(ISNUMBER(SEARCH(Brand_Profile!$F$50,Matching_Engine!$BF$30)),1,0))+IF(Brand_Profile!$F$51="",0,IF(ISNUMBER(SEARCH(Brand_Profile!$F$51,Matching_Engine!$BF$30)),1,0))+IF(Brand_Profile!$F$52="",0,IF(ISNUMBER(SEARCH(Brand_Profile!$F$52,Matching_Engine!$BF$30)),1,0)))/Brand_Profile!$F$53*100,0)))</f>
        <v>#REF!</v>
      </c>
      <c r="M30" s="63" t="str">
        <f>IF((IF(ISNUMBER(Matching_Engine!$J$30),Lookup_Lists!$D$332,0)+IF(ISNUMBER(Matching_Engine!$K$30),Lookup_Lists!$D$333,0)+IF(ISNUMBER(Matching_Engine!$L$30),Lookup_Lists!$D$334,0))=0,"N/A",ROUND((IF(ISNUMBER(Matching_Engine!$J$30),Matching_Engine!$J$30*Lookup_Lists!$D$332,0)+IF(ISNUMBER(Matching_Engine!$K$30),Matching_Engine!$K$30*Lookup_Lists!$D$333,0)+IF(ISNUMBER(Matching_Engine!$L$30),Matching_Engine!$L$30*Lookup_Lists!$D$334,0))/(IF(ISNUMBER(Matching_Engine!$J$30),Lookup_Lists!$D$332,0)+IF(ISNUMBER(Matching_Engine!$K$30),Lookup_Lists!$D$333,0)+IF(ISNUMBER(Matching_Engine!$L$30),Lookup_Lists!$D$334,0)),0))</f>
        <v>N/A</v>
      </c>
      <c r="N30" s="42">
        <f>IF(ISNUMBER(Matching_Engine!$M$30),1,0)</f>
        <v>1</v>
      </c>
      <c r="O30" s="65" t="str">
        <f ca="1">IF(NOT(ISNUMBER(IFERROR(INDEX('[1]#REF'!$V$6:'[1]#REF'!$Z$6,1,MATCH(Brand_Profile!$F$11,Lookup_Lists!$F$6:$F$10,0)),""))),"N/A",MIN(100,ROUND((IFERROR(INDEX('[1]#REF'!$V$6:'[1]#REF'!$Z$6,1,MATCH(Brand_Profile!$F$11,Lookup_Lists!$F$6:$F$10,0)),"")+0.5*IF(ISNUMBER(IFERROR(INDEX('[1]#REF'!$V$6:'[1]#REF'!$Z$6,1,MATCH(Brand_Profile!$F$12,Lookup_Lists!$F$6:$F$10,0)),"")),IFERROR(INDEX('[1]#REF'!$V$6:'[1]#REF'!$Z$6,1,MATCH(Brand_Profile!$F$12,Lookup_Lists!$F$6:$F$10,0)),""),0))/Lookup_Lists!$D$142*100,0)))</f>
        <v>N/A</v>
      </c>
      <c r="P30" s="65" t="str">
        <f>IF(Brand_Profile!$F$13="Any",100,IF(NOT(ISNUMBER('[1]#REF'!$AA$6)),"N/A",IF(Brand_Profile!$F$13="Female",MIN(100,ROUND('[1]#REF'!$AA$6/Lookup_Lists!$D$143*100,0)),IF(Brand_Profile!$F$13="Male",MIN(100,ROUND(IF(ISNUMBER('[1]#REF'!$AB$6),'[1]#REF'!$AB$6,100-'[1]#REF'!$AA$6)/Lookup_Lists!$D$143*100,0)),MAX(0,ROUND(100-ABS('[1]#REF'!$AA$6-50)*2,0))))))</f>
        <v>N/A</v>
      </c>
      <c r="Q30" s="65" t="str">
        <f>IF((IF(ISNUMBER(IF(NOT(ISNUMBER('[1]#REF'!$AE$6)),"N/A",IF('[1]#REF'!$AD$6&lt;&gt;Brand_Profile!$F$14,Lookup_Lists!$D$151,MIN(100,ROUND('[1]#REF'!$AE$6/Lookup_Lists!$D$316*100,0))))),Lookup_Lists!$D$118,0)+IF(ISNUMBER(IF(NOT(ISNUMBER('[1]#REF'!$AM$6)),"N/A",MIN(100,ROUND((IF('[1]#REF'!$AG$6=Brand_Profile!$F$15,IF(ISNUMBER('[1]#REF'!$AH$6),'[1]#REF'!$AH$6,0),0)+IF('[1]#REF'!$AI$6=Brand_Profile!$F$15,IF(ISNUMBER('[1]#REF'!$AJ$6),'[1]#REF'!$AJ$6,0),0)+IF('[1]#REF'!$AK$6=Brand_Profile!$F$15,IF(ISNUMBER('[1]#REF'!$AL$6),'[1]#REF'!$AL$6,0),0))/Lookup_Lists!$D$317*100,0)))),Lookup_Lists!$D$120,0))=0,"N/A",ROUND((IF(ISNUMBER(IF(NOT(ISNUMBER('[1]#REF'!$AE$6)),"N/A",IF('[1]#REF'!$AD$6&lt;&gt;Brand_Profile!$F$14,Lookup_Lists!$D$151,MIN(100,ROUND('[1]#REF'!$AE$6/Lookup_Lists!$D$316*100,0))))),IF(NOT(ISNUMBER('[1]#REF'!$AE$6)),"N/A",IF('[1]#REF'!$AD$6&lt;&gt;Brand_Profile!$F$14,Lookup_Lists!$D$151,MIN(100,ROUND('[1]#REF'!$AE$6/Lookup_Lists!$D$316*100,0))))*Lookup_Lists!$D$118,0)+IF(ISNUMBER(IF(NOT(ISNUMBER('[1]#REF'!$AM$6)),"N/A",MIN(100,ROUND((IF('[1]#REF'!$AG$6=Brand_Profile!$F$15,IF(ISNUMBER('[1]#REF'!$AH$6),'[1]#REF'!$AH$6,0),0)+IF('[1]#REF'!$AI$6=Brand_Profile!$F$15,IF(ISNUMBER('[1]#REF'!$AJ$6),'[1]#REF'!$AJ$6,0),0)+IF('[1]#REF'!$AK$6=Brand_Profile!$F$15,IF(ISNUMBER('[1]#REF'!$AL$6),'[1]#REF'!$AL$6,0),0))/Lookup_Lists!$D$317*100,0)))),IF(NOT(ISNUMBER('[1]#REF'!$AM$6)),"N/A",MIN(100,ROUND((IF('[1]#REF'!$AG$6=Brand_Profile!$F$15,IF(ISNUMBER('[1]#REF'!$AH$6),'[1]#REF'!$AH$6,0),0)+IF('[1]#REF'!$AI$6=Brand_Profile!$F$15,IF(ISNUMBER('[1]#REF'!$AJ$6),'[1]#REF'!$AJ$6,0),0)+IF('[1]#REF'!$AK$6=Brand_Profile!$F$15,IF(ISNUMBER('[1]#REF'!$AL$6),'[1]#REF'!$AL$6,0),0))/Lookup_Lists!$D$317*100,0)))*Lookup_Lists!$D$120,0))/(IF(ISNUMBER(IF(NOT(ISNUMBER('[1]#REF'!$AE$6)),"N/A",IF('[1]#REF'!$AD$6&lt;&gt;Brand_Profile!$F$14,Lookup_Lists!$D$151,MIN(100,ROUND('[1]#REF'!$AE$6/Lookup_Lists!$D$316*100,0))))),Lookup_Lists!$D$118,0)+IF(ISNUMBER(IF(NOT(ISNUMBER('[1]#REF'!$AM$6)),"N/A",MIN(100,ROUND((IF('[1]#REF'!$AG$6=Brand_Profile!$F$15,IF(ISNUMBER('[1]#REF'!$AH$6),'[1]#REF'!$AH$6,0),0)+IF('[1]#REF'!$AI$6=Brand_Profile!$F$15,IF(ISNUMBER('[1]#REF'!$AJ$6),'[1]#REF'!$AJ$6,0),0)+IF('[1]#REF'!$AK$6=Brand_Profile!$F$15,IF(ISNUMBER('[1]#REF'!$AL$6),'[1]#REF'!$AL$6,0),0))/Lookup_Lists!$D$317*100,0)))),Lookup_Lists!$D$120,0)),0))</f>
        <v>N/A</v>
      </c>
      <c r="R30" s="65" t="str">
        <f>IF(NOT(ISNUMBER('[1]#REF'!$AN$6)),"N/A",MIN(100,ROUND((IF(ISNUMBER('[1]#REF'!$AO$6),'[1]#REF'!$AO$6*Brand_Profile!$F$17,0)+IF(ISNUMBER('[1]#REF'!$AP$6),'[1]#REF'!$AP$6*Brand_Profile!$F$18,0)+IF(ISNUMBER('[1]#REF'!$AQ$6),'[1]#REF'!$AQ$6*Brand_Profile!$F$19,0)+IF(ISNUMBER('[1]#REF'!$AR$6),'[1]#REF'!$AR$6*Brand_Profile!$F$20,0)+IF(ISNUMBER('[1]#REF'!$AS$6),'[1]#REF'!$AS$6*Brand_Profile!$F$21,0)+IF(ISNUMBER('[1]#REF'!$AT$6),'[1]#REF'!$AT$6*Brand_Profile!$F$22,0)+IF(ISNUMBER('[1]#REF'!$AU$6),'[1]#REF'!$AU$6*Brand_Profile!$F$23,0)+IF(ISNUMBER('[1]#REF'!$AV$6),'[1]#REF'!$AV$6*Brand_Profile!$F$24,0)+IF(ISNUMBER('[1]#REF'!$AW$6),'[1]#REF'!$AW$6*Brand_Profile!$F$25,0)+IF(ISNUMBER('[1]#REF'!$AX$6),'[1]#REF'!$AX$6*Brand_Profile!$F$26,0)+IF(ISNUMBER('[1]#REF'!$AY$6),'[1]#REF'!$AY$6*Brand_Profile!$F$27,0)+IF(ISNUMBER('[1]#REF'!$AZ$6),'[1]#REF'!$AZ$6*Brand_Profile!$F$28,0)+IF(ISNUMBER('[1]#REF'!$BA$6),'[1]#REF'!$BA$6*Brand_Profile!$F$29,0)+IF(ISNUMBER('[1]#REF'!$BB$6),'[1]#REF'!$BB$6*Brand_Profile!$F$30,0)+IF(ISNUMBER('[1]#REF'!$BC$6),'[1]#REF'!$BC$6*Brand_Profile!$F$31,0)+IF(ISNUMBER('[1]#REF'!$BD$6),'[1]#REF'!$BD$6*Brand_Profile!$F$32,0)+IF(ISNUMBER('[1]#REF'!$BE$6),'[1]#REF'!$BE$6*Brand_Profile!$F$33,0)+IF(ISNUMBER('[1]#REF'!$BF$6),'[1]#REF'!$BF$6*Brand_Profile!$F$34,0))/Lookup_Lists!$D$318*100,0)))</f>
        <v>N/A</v>
      </c>
      <c r="S30" s="63">
        <f ca="1">IF((IF(ISNUMBER(Matching_Engine!$O$30),Lookup_Lists!$D$113,0)+IF(ISNUMBER(Matching_Engine!$P$30),Lookup_Lists!$D$114,0)+IF(ISNUMBER(Matching_Engine!$Q$30),Lookup_Lists!$D$115,0)+IF(ISNUMBER(Matching_Engine!$R$30),Lookup_Lists!$D$116,0))=0,"N/A",ROUND((IF(ISNUMBER(Matching_Engine!$O$30),Matching_Engine!$O$30*Lookup_Lists!$D$113,0)+IF(ISNUMBER(Matching_Engine!$P$30),Matching_Engine!$P$30*Lookup_Lists!$D$114,0)+IF(ISNUMBER(Matching_Engine!$Q$30),Matching_Engine!$Q$30*Lookup_Lists!$D$115,0)+IF(ISNUMBER(Matching_Engine!$R$30),Matching_Engine!$R$30*Lookup_Lists!$D$116,0))/(IF(ISNUMBER(Matching_Engine!$O$30),Lookup_Lists!$D$113,0)+IF(ISNUMBER(Matching_Engine!$P$30),Lookup_Lists!$D$114,0)+IF(ISNUMBER(Matching_Engine!$Q$30),Lookup_Lists!$D$115,0)+IF(ISNUMBER(Matching_Engine!$R$30),Lookup_Lists!$D$116,0)),0))</f>
        <v>66</v>
      </c>
      <c r="T30" s="42">
        <f ca="1">IF(ISNUMBER(Matching_Engine!$S$30),1,0)</f>
        <v>1</v>
      </c>
      <c r="U30" s="65" t="e">
        <f>IF(NOT(AND(ISTEXT('[1]#REF'!$M$6),'[1]#REF'!$M$6&lt;&gt;"N/A")),Lookup_Lists!$D$150,IF(Brand_Profile!$F$7='[1]#REF'!$M$6,100,IFERROR(INDEX(Lookup_Lists!$B$349:$J$357,MATCH(Brand_Profile!$F$7,Lookup_Lists!$A$349:$A$357,0),MATCH('[1]#REF'!$M$6,Lookup_Lists!$B$348:$J$348,0)),Lookup_Lists!$D$151)))</f>
        <v>#REF!</v>
      </c>
      <c r="V30" s="65" t="e">
        <f>IF(NOT(AND(ISTEXT('[1]#REF'!$P$6),'[1]#REF'!$P$6&lt;&gt;"N/A")),"N/A",IFERROR(INDEX(Lookup_Lists!$B$349:$J$357,MATCH(Brand_Profile!$F$7,Lookup_Lists!$A$349:$A$357,0),MATCH('[1]#REF'!$P$6,Lookup_Lists!$B$348:$J$348,0)),Lookup_Lists!$D$151))</f>
        <v>#REF!</v>
      </c>
      <c r="W30" s="65" t="e">
        <f>IF(LEN(TRIM(SUBSTITUTE(Matching_Engine!$BE$30,"|","")))=0,"N/A",IF(Brand_Profile!$F$60=0,Lookup_Lists!$D$150,ROUND((IF(Brand_Profile!$F$54="",0,IF(ISNUMBER(SEARCH(Brand_Profile!$F$54,Matching_Engine!$BE$30)),1,0))+IF(Brand_Profile!$F$55="",0,IF(ISNUMBER(SEARCH(Brand_Profile!$F$55,Matching_Engine!$BE$30)),1,0))+IF(Brand_Profile!$F$56="",0,IF(ISNUMBER(SEARCH(Brand_Profile!$F$56,Matching_Engine!$BE$30)),1,0))+IF(Brand_Profile!$F$57="",0,IF(ISNUMBER(SEARCH(Brand_Profile!$F$57,Matching_Engine!$BE$30)),1,0))+IF(Brand_Profile!$F$58="",0,IF(ISNUMBER(SEARCH(Brand_Profile!$F$58,Matching_Engine!$BE$30)),1,0))+IF(Brand_Profile!$F$59="",0,IF(ISNUMBER(SEARCH(Brand_Profile!$F$59,Matching_Engine!$BE$30)),1,0)))/Brand_Profile!$F$60*100,0)))</f>
        <v>#VALUE!</v>
      </c>
      <c r="X30" s="65" t="e">
        <f>IF(NOT(AND(ISTEXT('[1]#REF'!$Q$6),'[1]#REF'!$Q$6&lt;&gt;"N/A")),"N/A",Lookup_Lists!$D$150)</f>
        <v>#REF!</v>
      </c>
      <c r="Y30" s="63">
        <f>IF((IF(ISNUMBER(Matching_Engine!$U$30),Lookup_Lists!$D$335,0)+IF(ISNUMBER(Matching_Engine!$V$30),Lookup_Lists!$D$122,0)+IF(ISNUMBER(Matching_Engine!$W$30),Lookup_Lists!$D$336,0)+IF(ISNUMBER(Matching_Engine!$X$30),Lookup_Lists!$D$124,0))=0,"N/A",ROUND((IF(ISNUMBER(Matching_Engine!$U$30),Matching_Engine!$U$30*Lookup_Lists!$D$335,0)+IF(ISNUMBER(Matching_Engine!$V$30),Matching_Engine!$V$30*Lookup_Lists!$D$122,0)+IF(ISNUMBER(Matching_Engine!$W$30),Matching_Engine!$W$30*Lookup_Lists!$D$336,0)+IF(ISNUMBER(Matching_Engine!$X$30),Matching_Engine!$X$30*Lookup_Lists!$D$124,0))/(IF(ISNUMBER(Matching_Engine!$U$30),Lookup_Lists!$D$335,0)+IF(ISNUMBER(Matching_Engine!$V$30),Lookup_Lists!$D$122,0)+IF(ISNUMBER(Matching_Engine!$W$30),Lookup_Lists!$D$336,0)+IF(ISNUMBER(Matching_Engine!$X$30),Lookup_Lists!$D$124,0)),0))</f>
        <v>35</v>
      </c>
      <c r="Z30" s="42">
        <f>IF(ISNUMBER(Matching_Engine!$Y$30),1,0)</f>
        <v>1</v>
      </c>
      <c r="AA30" s="65" t="e">
        <f>IF(NOT(AND(ISTEXT('[1]#REF'!$Q$6),'[1]#REF'!$Q$6&lt;&gt;"N/A")),"N/A",Lookup_Lists!$D$150)</f>
        <v>#REF!</v>
      </c>
      <c r="AB30" s="65" t="e">
        <f>IF(NOT(AND(ISTEXT('[1]#REF'!$Q$6),'[1]#REF'!$Q$6&lt;&gt;"N/A")),"N/A",Lookup_Lists!$D$150)</f>
        <v>#REF!</v>
      </c>
      <c r="AC30" s="65" t="str">
        <f t="shared" si="0"/>
        <v>N/A</v>
      </c>
      <c r="AD30" s="65" t="e">
        <f>IF(NOT(AND(ISTEXT('[1]#REF'!$Q$6),'[1]#REF'!$Q$6&lt;&gt;"N/A")),"N/A",Lookup_Lists!$D$150)</f>
        <v>#REF!</v>
      </c>
      <c r="AE30" s="63">
        <f>IF((IF(ISNUMBER(Matching_Engine!$AA$30),Lookup_Lists!$D$125,0)+IF(ISNUMBER(Matching_Engine!$AB$30),Lookup_Lists!$D$126,0)+IF(ISNUMBER(Matching_Engine!$AC$30),Lookup_Lists!$D$127,0)+IF(ISNUMBER(Matching_Engine!$AD$30),Lookup_Lists!$D$128,0))=0,"N/A",ROUND((IF(ISNUMBER(Matching_Engine!$AA$30),Matching_Engine!$AA$30*Lookup_Lists!$D$125,0)+IF(ISNUMBER(Matching_Engine!$AB$30),Matching_Engine!$AB$30*Lookup_Lists!$D$126,0)+IF(ISNUMBER(Matching_Engine!$AC$30),Matching_Engine!$AC$30*Lookup_Lists!$D$127,0)+IF(ISNUMBER(Matching_Engine!$AD$30),Matching_Engine!$AD$30*Lookup_Lists!$D$128,0))/(IF(ISNUMBER(Matching_Engine!$AA$30),Lookup_Lists!$D$125,0)+IF(ISNUMBER(Matching_Engine!$AB$30),Lookup_Lists!$D$126,0)+IF(ISNUMBER(Matching_Engine!$AC$30),Lookup_Lists!$D$127,0)+IF(ISNUMBER(Matching_Engine!$AD$30),Lookup_Lists!$D$128,0)),0))</f>
        <v>34</v>
      </c>
      <c r="AF30" s="42">
        <f>IF(ISNUMBER(Matching_Engine!$AE$30),1,0)</f>
        <v>1</v>
      </c>
      <c r="AG30" s="65" t="str">
        <f>IF(NOT(ISNUMBER('[1]#REF'!$BG$6)),"N/A",MIN(100,ROUND('[1]#REF'!$BG$6/IFERROR(INDEX(Lookup_Lists!$B$340:$B$344,MATCH('[1]#REF'!$H$6,Lookup_Lists!$A$340:$A$344,0)),Lookup_Lists!$D$141)*100,0)))</f>
        <v>N/A</v>
      </c>
      <c r="AH30" s="65" t="str">
        <f>IF(NOT(ISNUMBER('[1]#REF'!$BS$6)),"N/A",MIN(100,MAX(0,'[1]#REF'!$BS$6)))</f>
        <v>N/A</v>
      </c>
      <c r="AI30" s="65" t="e">
        <f>IF(OR(NOT(ISNUMBER('[1]#REF'!$BM$6)),NOT(ISNUMBER('[1]#REF'!$BN$6)),'[1]#REF'!$BN$6&lt;Lookup_Lists!$D$320),"N/A",MIN(100,ROUND('[1]#REF'!$BM$6/Lookup_Lists!$D$319*100,0)))</f>
        <v>#REF!</v>
      </c>
      <c r="AJ30" s="65" t="str">
        <f>IF(NOT(ISNUMBER('[1]#REF'!$BR$6)),"N/A",'[1]#REF'!$BR$6)</f>
        <v>N/A</v>
      </c>
      <c r="AK30" s="65" t="str">
        <f>IF(NOT(ISNUMBER('[1]#REF'!$BK$6)),"N/A",MIN(100,ROUND('[1]#REF'!$BK$6/Lookup_Lists!$D$321*100,0)))</f>
        <v>N/A</v>
      </c>
      <c r="AL30" s="65" t="str">
        <f>IF(NOT(ISNUMBER('[1]#REF'!$BP$6)),"N/A",MIN(100,MAX(0,ROUND(('[1]#REF'!$BP$6+2)/(Lookup_Lists!$D$145+2)*100,0))))</f>
        <v>N/A</v>
      </c>
      <c r="AM30" s="63">
        <f>IF((IF(ISNUMBER(Matching_Engine!$AG$30),Lookup_Lists!$D$129,0)+IF(ISNUMBER(Matching_Engine!$AH$30),Lookup_Lists!$D$130,0)+IF(ISNUMBER(Matching_Engine!$AI$30),Lookup_Lists!$D$131,0)+IF(ISNUMBER(Matching_Engine!$AJ$30),Lookup_Lists!$D$132,0)+IF(ISNUMBER(Matching_Engine!$AK$30),Lookup_Lists!$D$133,0)+IF(ISNUMBER(Matching_Engine!$AL$30),Lookup_Lists!$D$134,0))=0,"N/A",ROUND((IF(ISNUMBER(Matching_Engine!$AG$30),Matching_Engine!$AG$30*Lookup_Lists!$D$129,0)+IF(ISNUMBER(Matching_Engine!$AH$30),Matching_Engine!$AH$30*Lookup_Lists!$D$130,0)+IF(ISNUMBER(Matching_Engine!$AI$30),Matching_Engine!$AI$30*Lookup_Lists!$D$131,0)+IF(ISNUMBER(Matching_Engine!$AJ$30),Matching_Engine!$AJ$30*Lookup_Lists!$D$132,0)+IF(ISNUMBER(Matching_Engine!$AK$30),Matching_Engine!$AK$30*Lookup_Lists!$D$133,0)+IF(ISNUMBER(Matching_Engine!$AL$30),Matching_Engine!$AL$30*Lookup_Lists!$D$134,0))/(IF(ISNUMBER(Matching_Engine!$AG$30),Lookup_Lists!$D$129,0)+IF(ISNUMBER(Matching_Engine!$AH$30),Lookup_Lists!$D$130,0)+IF(ISNUMBER(Matching_Engine!$AI$30),Lookup_Lists!$D$131,0)+IF(ISNUMBER(Matching_Engine!$AJ$30),Lookup_Lists!$D$132,0)+IF(ISNUMBER(Matching_Engine!$AK$30),Lookup_Lists!$D$133,0)+IF(ISNUMBER(Matching_Engine!$AL$30),Lookup_Lists!$D$134,0)),0))</f>
        <v>76</v>
      </c>
      <c r="AN30" s="42">
        <f>IF(ISNUMBER(Matching_Engine!$AM$30),1,0)</f>
        <v>0</v>
      </c>
      <c r="AO30" s="65" t="str">
        <f>IF(NOT(ISNUMBER('[1]#REF'!$BT$6)),"N/A",MIN(100,MAX(0,'[1]#REF'!$BT$6)))</f>
        <v>N/A</v>
      </c>
      <c r="AP30" s="65" t="str">
        <f>IF(NOT(ISNUMBER('[1]#REF'!$BU$6)),"N/A",MIN(100,MAX(0,'[1]#REF'!$BU$6)))</f>
        <v>N/A</v>
      </c>
      <c r="AQ30" s="65" t="e">
        <f>IF('[1]#REF'!$I$6="Yes",Lookup_Lists!$D$326,IF('[1]#REF'!$I$6="No",Lookup_Lists!$D$327,"N/A"))</f>
        <v>#REF!</v>
      </c>
      <c r="AR30" s="65" t="str">
        <f>IF(NOT(ISNUMBER('[1]#REF'!$BQ$6)),"N/A",MAX(0,ROUND(100-'[1]#REF'!$BQ$6/Lookup_Lists!$D$328*100,0)))</f>
        <v>N/A</v>
      </c>
      <c r="AS30" s="65" t="e">
        <f>IF(NOT(AND(ISTEXT('[1]#REF'!$BV$6),'[1]#REF'!$BV$6&lt;&gt;"N/A")),"N/A",'[1]#REF'!$BV$6)</f>
        <v>#REF!</v>
      </c>
      <c r="AT30" s="63" t="str">
        <f ca="1">IF((IF(ISNUMBER(Matching_Engine!$AO$30),Lookup_Lists!$D$322,0)+IF(ISNUMBER(Matching_Engine!$AP$30),Lookup_Lists!$D$323,0)+IF(ISNUMBER(Matching_Engine!$AQ$30),Lookup_Lists!$D$324,0)+IF(ISNUMBER(Matching_Engine!$AR$30),Lookup_Lists!$D$325,0))=0,"N/A",ROUND((IF(ISNUMBER(Matching_Engine!$AO$30),Matching_Engine!$AO$30*Lookup_Lists!$D$322,0)+IF(ISNUMBER(Matching_Engine!$AP$30),Matching_Engine!$AP$30*Lookup_Lists!$D$323,0)+IF(ISNUMBER(Matching_Engine!$AQ$30),Matching_Engine!$AQ$30*Lookup_Lists!$D$324,0)+IF(ISNUMBER(Matching_Engine!$AR$30),Matching_Engine!$AR$30*Lookup_Lists!$D$325,0))/(IF(ISNUMBER(Matching_Engine!$AO$30),Lookup_Lists!$D$322,0)+IF(ISNUMBER(Matching_Engine!$AP$30),Lookup_Lists!$D$323,0)+IF(ISNUMBER(Matching_Engine!$AQ$30),Lookup_Lists!$D$324,0)+IF(ISNUMBER(Matching_Engine!$AR$30),Lookup_Lists!$D$325,0)),0))</f>
        <v>N/A</v>
      </c>
      <c r="AU30" s="42">
        <f>IF(ISNUMBER(Matching_Engine!$AT$30),1,0)</f>
        <v>1</v>
      </c>
      <c r="AV30" s="42" t="str">
        <f>IF(NOT(ISNUMBER(Matching_Engine!$AT$30)),"Not Screened",IF(Matching_Engine!$AT$30&gt;=Lookup_Lists!$D$329,"Low Risk",IF(Matching_Engine!$AT$30&gt;=Lookup_Lists!$D$330,"Moderate Risk",IF(Matching_Engine!$AT$30&gt;=Lookup_Lists!$D$331,"Elevated Risk","High Risk"))))</f>
        <v>Low Risk</v>
      </c>
      <c r="AW30" s="42" t="e">
        <f ca="1">IF(NOT(ISNUMBER(Matching_Engine!$AT$30)),"No integrity signal: no audience-analysis row for this account.","Integrity screen only — no content-risk reading exists (comments_analysis: 0 rows). "&amp;IF(ISNUMBER(Matching_Engine!$AO$30),"Authenticity "&amp;Matching_Engine!$AO$30&amp;". ","Authenticity N/A. ")&amp;IF(ISNUMBER(Matching_Engine!$AP$30),"Follower quality "&amp;Matching_Engine!$AP$30&amp;". ","Follower quality N/A. ")&amp;IF('[1]#REF'!$I$6="Yes","Platform-verified.","Not platform-verified."))</f>
        <v>#REF!</v>
      </c>
      <c r="AX30" s="65">
        <f>Matching_Engine!$N$30*Lookup_Lists!$D$104+Matching_Engine!$T$30*Lookup_Lists!$D$105+Matching_Engine!$Z$30*Lookup_Lists!$D$106+Matching_Engine!$AF$30*Lookup_Lists!$D$107+Matching_Engine!$AN$30*Lookup_Lists!$D$108+Matching_Engine!$AU$30*Lookup_Lists!$D$109</f>
        <v>5809.5</v>
      </c>
      <c r="AY30" s="74" t="e">
        <f ca="1">IF(Matching_Engine!$AX$30=0,"N/A",ROUND((IF(Matching_Engine!$N$30=1,Matching_Engine!$M$30*Lookup_Lists!$D$104,0)+IF(Matching_Engine!$T$30=1,Matching_Engine!$S$30*Lookup_Lists!$D$105,0)+IF(Matching_Engine!$Z$30=1,Matching_Engine!$Y$30*Lookup_Lists!$D$106,0)+IF(Matching_Engine!$AF$30=1,Matching_Engine!$AE$30*Lookup_Lists!$D$107,0)+IF(Matching_Engine!$AN$30=1,Matching_Engine!$AM$30*Lookup_Lists!$D$108,0)+IF(Matching_Engine!$AU$30=1,Matching_Engine!$AT$30*Lookup_Lists!$D$109,0))/Matching_Engine!$AX$30,0))</f>
        <v>#VALUE!</v>
      </c>
      <c r="AZ30" s="42" t="str">
        <f ca="1">IF(NOT(ISNUMBER(Matching_Engine!$AY$30)),"Not Scored",IF(Matching_Engine!$AY$30&gt;=Lookup_Lists!$D$152,"Excellent Match",IF(Matching_Engine!$AY$30&gt;=Lookup_Lists!$D$153,"Strong Match",IF(Matching_Engine!$AY$30&gt;=Lookup_Lists!$D$154,"Good Match",IF(Matching_Engine!$AY$30&gt;=Lookup_Lists!$D$155,"Moderate Match","Low Match")))))</f>
        <v>Low Match</v>
      </c>
      <c r="BA30" s="65" t="e">
        <f>'[1]#REF'!$BW$6</f>
        <v>#REF!</v>
      </c>
      <c r="BB30" s="42" t="e">
        <f>'[1]#REF'!$BX$6</f>
        <v>#REF!</v>
      </c>
      <c r="BC30" s="65">
        <f ca="1">IF(NOT(ISNUMBER(Matching_Engine!$AY$30)),-1,Matching_Engine!$AY$30*1000+24)</f>
        <v>54024</v>
      </c>
      <c r="BD30" s="42" t="e">
        <f>IF(AND(ISTEXT('[1]#REF'!$S$6),'[1]#REF'!$S$6&lt;&gt;"N/A"),'[1]#REF'!$S$6,"")&amp;" | "&amp;IF(AND(ISTEXT('[1]#REF'!$T$6),'[1]#REF'!$T$6&lt;&gt;"N/A"),'[1]#REF'!$T$6,"")&amp;" | "&amp;IF(AND(ISTEXT('[1]#REF'!$N$6),'[1]#REF'!$N$6&lt;&gt;"N/A"),'[1]#REF'!$N$6,"")&amp;" | "&amp;IF(AND(ISTEXT('[1]#REF'!$K$6),'[1]#REF'!$K$6&lt;&gt;"N/A"),'[1]#REF'!$K$6,"")&amp;" | "&amp;IF(AND(ISTEXT('[1]#REF'!$J$6),'[1]#REF'!$J$6&lt;&gt;"N/A"),'[1]#REF'!$J$6,"")</f>
        <v>#REF!</v>
      </c>
      <c r="BE30" s="42" t="e">
        <f>IF(AND(ISTEXT('[1]#REF'!$T$6),'[1]#REF'!$T$6&lt;&gt;"N/A"),'[1]#REF'!$T$6,"")&amp;" | "&amp;IF(AND(ISTEXT('[1]#REF'!$N$6),'[1]#REF'!$N$6&lt;&gt;"N/A"),'[1]#REF'!$N$6,"")&amp;" | "&amp;IF(AND(ISTEXT('[1]#REF'!$O$6),'[1]#REF'!$O$6&lt;&gt;"N/A"),'[1]#REF'!$O$6,"")&amp;" | "&amp;IF(AND(ISTEXT('[1]#REF'!$S$6),'[1]#REF'!$S$6&lt;&gt;"N/A"),'[1]#REF'!$S$6,"")</f>
        <v>#REF!</v>
      </c>
      <c r="BF30" s="42" t="e">
        <f>IF(AND(ISTEXT('[1]#REF'!$U$6),'[1]#REF'!$U$6&lt;&gt;"N/A"),'[1]#REF'!$U$6,"")</f>
        <v>#REF!</v>
      </c>
      <c r="BG30" s="42" t="str">
        <f>Matching_Engine!$A$30&amp;"|"&amp;Matching_Engine!$C$30</f>
        <v>BRAND-A|KOL-25</v>
      </c>
    </row>
    <row r="31" spans="1:59">
      <c r="A31" s="64" t="s">
        <v>2528</v>
      </c>
      <c r="B31" s="42" t="str">
        <f>Brand_Profile!$F$6</f>
        <v>BRAND-C</v>
      </c>
      <c r="C31" s="42" t="e">
        <f>'[1]#REF'!$A$7</f>
        <v>#REF!</v>
      </c>
      <c r="D31" s="42" t="e">
        <f>'[1]#REF'!$C$7</f>
        <v>#REF!</v>
      </c>
      <c r="E31" s="42" t="e">
        <f>'[1]#REF'!$D$7</f>
        <v>#REF!</v>
      </c>
      <c r="F31" s="42" t="e">
        <f>'[1]#REF'!$E$7</f>
        <v>#REF!</v>
      </c>
      <c r="G31" s="42" t="e">
        <f>'[1]#REF'!$K$7</f>
        <v>#REF!</v>
      </c>
      <c r="H31" s="72" t="e">
        <f>'[1]#REF'!$G$7</f>
        <v>#REF!</v>
      </c>
      <c r="I31" s="73" t="e">
        <f>'[1]#REF'!$BG$7</f>
        <v>#REF!</v>
      </c>
      <c r="J31" s="65" t="e">
        <f>IF(NOT(AND(ISTEXT('[1]#REF'!$K$7),'[1]#REF'!$K$7&lt;&gt;"N/A")),Lookup_Lists!$D$150,IF(Brand_Profile!$F$7='[1]#REF'!$K$7,100,IFERROR(INDEX(Lookup_Lists!$B$349:$J$357,MATCH(Brand_Profile!$F$7,Lookup_Lists!$A$349:$A$357,0),MATCH('[1]#REF'!$K$7,Lookup_Lists!$B$348:$J$348,0)),Lookup_Lists!$D$151)))</f>
        <v>#REF!</v>
      </c>
      <c r="K31" s="65" t="e">
        <f>IF(LEN(TRIM(SUBSTITUTE(Matching_Engine!$BD$31,"|","")))=0,"N/A",IF(Brand_Profile!$F$47=0,Lookup_Lists!$D$150,ROUND((IF(Brand_Profile!$F$41="",0,IF(ISNUMBER(SEARCH(Brand_Profile!$F$41,Matching_Engine!$BD$31)),1,0))+IF(Brand_Profile!$F$42="",0,IF(ISNUMBER(SEARCH(Brand_Profile!$F$42,Matching_Engine!$BD$31)),1,0))+IF(Brand_Profile!$F$43="",0,IF(ISNUMBER(SEARCH(Brand_Profile!$F$43,Matching_Engine!$BD$31)),1,0))+IF(Brand_Profile!$F$44="",0,IF(ISNUMBER(SEARCH(Brand_Profile!$F$44,Matching_Engine!$BD$31)),1,0))+IF(Brand_Profile!$F$45="",0,IF(ISNUMBER(SEARCH(Brand_Profile!$F$45,Matching_Engine!$BD$31)),1,0))+IF(Brand_Profile!$F$46="",0,IF(ISNUMBER(SEARCH(Brand_Profile!$F$46,Matching_Engine!$BD$31)),1,0)))/Brand_Profile!$F$47*100,0)))</f>
        <v>#VALUE!</v>
      </c>
      <c r="L31" s="65" t="e">
        <f>IF(NOT(AND(ISTEXT('[1]#REF'!$U$7),'[1]#REF'!$U$7&lt;&gt;"N/A")),"N/A",IF(Brand_Profile!$F$53=0,Lookup_Lists!$D$150,ROUND((IF(Brand_Profile!$F$48="",0,IF(ISNUMBER(SEARCH(Brand_Profile!$F$48,Matching_Engine!$BF$31)),1,0))+IF(Brand_Profile!$F$49="",0,IF(ISNUMBER(SEARCH(Brand_Profile!$F$49,Matching_Engine!$BF$31)),1,0))+IF(Brand_Profile!$F$50="",0,IF(ISNUMBER(SEARCH(Brand_Profile!$F$50,Matching_Engine!$BF$31)),1,0))+IF(Brand_Profile!$F$51="",0,IF(ISNUMBER(SEARCH(Brand_Profile!$F$51,Matching_Engine!$BF$31)),1,0))+IF(Brand_Profile!$F$52="",0,IF(ISNUMBER(SEARCH(Brand_Profile!$F$52,Matching_Engine!$BF$31)),1,0)))/Brand_Profile!$F$53*100,0)))</f>
        <v>#REF!</v>
      </c>
      <c r="M31" s="63" t="str">
        <f>IF((IF(ISNUMBER(Matching_Engine!$J$31),Lookup_Lists!$D$332,0)+IF(ISNUMBER(Matching_Engine!$K$31),Lookup_Lists!$D$333,0)+IF(ISNUMBER(Matching_Engine!$L$31),Lookup_Lists!$D$334,0))=0,"N/A",ROUND((IF(ISNUMBER(Matching_Engine!$J$31),Matching_Engine!$J$31*Lookup_Lists!$D$332,0)+IF(ISNUMBER(Matching_Engine!$K$31),Matching_Engine!$K$31*Lookup_Lists!$D$333,0)+IF(ISNUMBER(Matching_Engine!$L$31),Matching_Engine!$L$31*Lookup_Lists!$D$334,0))/(IF(ISNUMBER(Matching_Engine!$J$31),Lookup_Lists!$D$332,0)+IF(ISNUMBER(Matching_Engine!$K$31),Lookup_Lists!$D$333,0)+IF(ISNUMBER(Matching_Engine!$L$31),Lookup_Lists!$D$334,0)),0))</f>
        <v>N/A</v>
      </c>
      <c r="N31" s="42">
        <f>IF(ISNUMBER(Matching_Engine!$M$31),1,0)</f>
        <v>1</v>
      </c>
      <c r="O31" s="65" t="str">
        <f ca="1">IF(NOT(ISNUMBER(IFERROR(INDEX('[1]#REF'!$V$7:'[1]#REF'!$Z$7,1,MATCH(Brand_Profile!$F$11,Lookup_Lists!$F$6:$F$10,0)),""))),"N/A",MIN(100,ROUND((IFERROR(INDEX('[1]#REF'!$V$7:'[1]#REF'!$Z$7,1,MATCH(Brand_Profile!$F$11,Lookup_Lists!$F$6:$F$10,0)),"")+0.5*IF(ISNUMBER(IFERROR(INDEX('[1]#REF'!$V$7:'[1]#REF'!$Z$7,1,MATCH(Brand_Profile!$F$12,Lookup_Lists!$F$6:$F$10,0)),"")),IFERROR(INDEX('[1]#REF'!$V$7:'[1]#REF'!$Z$7,1,MATCH(Brand_Profile!$F$12,Lookup_Lists!$F$6:$F$10,0)),""),0))/Lookup_Lists!$D$142*100,0)))</f>
        <v>N/A</v>
      </c>
      <c r="P31" s="65" t="str">
        <f>IF(Brand_Profile!$F$13="Any",100,IF(NOT(ISNUMBER('[1]#REF'!$AA$7)),"N/A",IF(Brand_Profile!$F$13="Female",MIN(100,ROUND('[1]#REF'!$AA$7/Lookup_Lists!$D$143*100,0)),IF(Brand_Profile!$F$13="Male",MIN(100,ROUND(IF(ISNUMBER('[1]#REF'!$AB$7),'[1]#REF'!$AB$7,100-'[1]#REF'!$AA$7)/Lookup_Lists!$D$143*100,0)),MAX(0,ROUND(100-ABS('[1]#REF'!$AA$7-50)*2,0))))))</f>
        <v>N/A</v>
      </c>
      <c r="Q31" s="65" t="str">
        <f>IF((IF(ISNUMBER(IF(NOT(ISNUMBER('[1]#REF'!$AE$7)),"N/A",IF('[1]#REF'!$AD$7&lt;&gt;Brand_Profile!$F$14,Lookup_Lists!$D$151,MIN(100,ROUND('[1]#REF'!$AE$7/Lookup_Lists!$D$316*100,0))))),Lookup_Lists!$D$118,0)+IF(ISNUMBER(IF(NOT(ISNUMBER('[1]#REF'!$AM$7)),"N/A",MIN(100,ROUND((IF('[1]#REF'!$AG$7=Brand_Profile!$F$15,IF(ISNUMBER('[1]#REF'!$AH$7),'[1]#REF'!$AH$7,0),0)+IF('[1]#REF'!$AI$7=Brand_Profile!$F$15,IF(ISNUMBER('[1]#REF'!$AJ$7),'[1]#REF'!$AJ$7,0),0)+IF('[1]#REF'!$AK$7=Brand_Profile!$F$15,IF(ISNUMBER('[1]#REF'!$AL$7),'[1]#REF'!$AL$7,0),0))/Lookup_Lists!$D$317*100,0)))),Lookup_Lists!$D$120,0))=0,"N/A",ROUND((IF(ISNUMBER(IF(NOT(ISNUMBER('[1]#REF'!$AE$7)),"N/A",IF('[1]#REF'!$AD$7&lt;&gt;Brand_Profile!$F$14,Lookup_Lists!$D$151,MIN(100,ROUND('[1]#REF'!$AE$7/Lookup_Lists!$D$316*100,0))))),IF(NOT(ISNUMBER('[1]#REF'!$AE$7)),"N/A",IF('[1]#REF'!$AD$7&lt;&gt;Brand_Profile!$F$14,Lookup_Lists!$D$151,MIN(100,ROUND('[1]#REF'!$AE$7/Lookup_Lists!$D$316*100,0))))*Lookup_Lists!$D$118,0)+IF(ISNUMBER(IF(NOT(ISNUMBER('[1]#REF'!$AM$7)),"N/A",MIN(100,ROUND((IF('[1]#REF'!$AG$7=Brand_Profile!$F$15,IF(ISNUMBER('[1]#REF'!$AH$7),'[1]#REF'!$AH$7,0),0)+IF('[1]#REF'!$AI$7=Brand_Profile!$F$15,IF(ISNUMBER('[1]#REF'!$AJ$7),'[1]#REF'!$AJ$7,0),0)+IF('[1]#REF'!$AK$7=Brand_Profile!$F$15,IF(ISNUMBER('[1]#REF'!$AL$7),'[1]#REF'!$AL$7,0),0))/Lookup_Lists!$D$317*100,0)))),IF(NOT(ISNUMBER('[1]#REF'!$AM$7)),"N/A",MIN(100,ROUND((IF('[1]#REF'!$AG$7=Brand_Profile!$F$15,IF(ISNUMBER('[1]#REF'!$AH$7),'[1]#REF'!$AH$7,0),0)+IF('[1]#REF'!$AI$7=Brand_Profile!$F$15,IF(ISNUMBER('[1]#REF'!$AJ$7),'[1]#REF'!$AJ$7,0),0)+IF('[1]#REF'!$AK$7=Brand_Profile!$F$15,IF(ISNUMBER('[1]#REF'!$AL$7),'[1]#REF'!$AL$7,0),0))/Lookup_Lists!$D$317*100,0)))*Lookup_Lists!$D$120,0))/(IF(ISNUMBER(IF(NOT(ISNUMBER('[1]#REF'!$AE$7)),"N/A",IF('[1]#REF'!$AD$7&lt;&gt;Brand_Profile!$F$14,Lookup_Lists!$D$151,MIN(100,ROUND('[1]#REF'!$AE$7/Lookup_Lists!$D$316*100,0))))),Lookup_Lists!$D$118,0)+IF(ISNUMBER(IF(NOT(ISNUMBER('[1]#REF'!$AM$7)),"N/A",MIN(100,ROUND((IF('[1]#REF'!$AG$7=Brand_Profile!$F$15,IF(ISNUMBER('[1]#REF'!$AH$7),'[1]#REF'!$AH$7,0),0)+IF('[1]#REF'!$AI$7=Brand_Profile!$F$15,IF(ISNUMBER('[1]#REF'!$AJ$7),'[1]#REF'!$AJ$7,0),0)+IF('[1]#REF'!$AK$7=Brand_Profile!$F$15,IF(ISNUMBER('[1]#REF'!$AL$7),'[1]#REF'!$AL$7,0),0))/Lookup_Lists!$D$317*100,0)))),Lookup_Lists!$D$120,0)),0))</f>
        <v>N/A</v>
      </c>
      <c r="R31" s="65" t="str">
        <f>IF(NOT(ISNUMBER('[1]#REF'!$AN$7)),"N/A",MIN(100,ROUND((IF(ISNUMBER('[1]#REF'!$AO$7),'[1]#REF'!$AO$7*Brand_Profile!$F$17,0)+IF(ISNUMBER('[1]#REF'!$AP$7),'[1]#REF'!$AP$7*Brand_Profile!$F$18,0)+IF(ISNUMBER('[1]#REF'!$AQ$7),'[1]#REF'!$AQ$7*Brand_Profile!$F$19,0)+IF(ISNUMBER('[1]#REF'!$AR$7),'[1]#REF'!$AR$7*Brand_Profile!$F$20,0)+IF(ISNUMBER('[1]#REF'!$AS$7),'[1]#REF'!$AS$7*Brand_Profile!$F$21,0)+IF(ISNUMBER('[1]#REF'!$AT$7),'[1]#REF'!$AT$7*Brand_Profile!$F$22,0)+IF(ISNUMBER('[1]#REF'!$AU$7),'[1]#REF'!$AU$7*Brand_Profile!$F$23,0)+IF(ISNUMBER('[1]#REF'!$AV$7),'[1]#REF'!$AV$7*Brand_Profile!$F$24,0)+IF(ISNUMBER('[1]#REF'!$AW$7),'[1]#REF'!$AW$7*Brand_Profile!$F$25,0)+IF(ISNUMBER('[1]#REF'!$AX$7),'[1]#REF'!$AX$7*Brand_Profile!$F$26,0)+IF(ISNUMBER('[1]#REF'!$AY$7),'[1]#REF'!$AY$7*Brand_Profile!$F$27,0)+IF(ISNUMBER('[1]#REF'!$AZ$7),'[1]#REF'!$AZ$7*Brand_Profile!$F$28,0)+IF(ISNUMBER('[1]#REF'!$BA$7),'[1]#REF'!$BA$7*Brand_Profile!$F$29,0)+IF(ISNUMBER('[1]#REF'!$BB$7),'[1]#REF'!$BB$7*Brand_Profile!$F$30,0)+IF(ISNUMBER('[1]#REF'!$BC$7),'[1]#REF'!$BC$7*Brand_Profile!$F$31,0)+IF(ISNUMBER('[1]#REF'!$BD$7),'[1]#REF'!$BD$7*Brand_Profile!$F$32,0)+IF(ISNUMBER('[1]#REF'!$BE$7),'[1]#REF'!$BE$7*Brand_Profile!$F$33,0)+IF(ISNUMBER('[1]#REF'!$BF$7),'[1]#REF'!$BF$7*Brand_Profile!$F$34,0))/Lookup_Lists!$D$318*100,0)))</f>
        <v>N/A</v>
      </c>
      <c r="S31" s="63">
        <f ca="1">IF((IF(ISNUMBER(Matching_Engine!$O$31),Lookup_Lists!$D$113,0)+IF(ISNUMBER(Matching_Engine!$P$31),Lookup_Lists!$D$114,0)+IF(ISNUMBER(Matching_Engine!$Q$31),Lookup_Lists!$D$115,0)+IF(ISNUMBER(Matching_Engine!$R$31),Lookup_Lists!$D$116,0))=0,"N/A",ROUND((IF(ISNUMBER(Matching_Engine!$O$31),Matching_Engine!$O$31*Lookup_Lists!$D$113,0)+IF(ISNUMBER(Matching_Engine!$P$31),Matching_Engine!$P$31*Lookup_Lists!$D$114,0)+IF(ISNUMBER(Matching_Engine!$Q$31),Matching_Engine!$Q$31*Lookup_Lists!$D$115,0)+IF(ISNUMBER(Matching_Engine!$R$31),Matching_Engine!$R$31*Lookup_Lists!$D$116,0))/(IF(ISNUMBER(Matching_Engine!$O$31),Lookup_Lists!$D$113,0)+IF(ISNUMBER(Matching_Engine!$P$31),Lookup_Lists!$D$114,0)+IF(ISNUMBER(Matching_Engine!$Q$31),Lookup_Lists!$D$115,0)+IF(ISNUMBER(Matching_Engine!$R$31),Lookup_Lists!$D$116,0)),0))</f>
        <v>88</v>
      </c>
      <c r="T31" s="42">
        <f ca="1">IF(ISNUMBER(Matching_Engine!$S$31),1,0)</f>
        <v>1</v>
      </c>
      <c r="U31" s="65" t="e">
        <f>IF(NOT(AND(ISTEXT('[1]#REF'!$M$7),'[1]#REF'!$M$7&lt;&gt;"N/A")),Lookup_Lists!$D$150,IF(Brand_Profile!$F$7='[1]#REF'!$M$7,100,IFERROR(INDEX(Lookup_Lists!$B$349:$J$357,MATCH(Brand_Profile!$F$7,Lookup_Lists!$A$349:$A$357,0),MATCH('[1]#REF'!$M$7,Lookup_Lists!$B$348:$J$348,0)),Lookup_Lists!$D$151)))</f>
        <v>#REF!</v>
      </c>
      <c r="V31" s="65" t="e">
        <f>IF(NOT(AND(ISTEXT('[1]#REF'!$P$7),'[1]#REF'!$P$7&lt;&gt;"N/A")),"N/A",IFERROR(INDEX(Lookup_Lists!$B$349:$J$357,MATCH(Brand_Profile!$F$7,Lookup_Lists!$A$349:$A$357,0),MATCH('[1]#REF'!$P$7,Lookup_Lists!$B$348:$J$348,0)),Lookup_Lists!$D$151))</f>
        <v>#REF!</v>
      </c>
      <c r="W31" s="65" t="e">
        <f>IF(LEN(TRIM(SUBSTITUTE(Matching_Engine!$BE$31,"|","")))=0,"N/A",IF(Brand_Profile!$F$60=0,Lookup_Lists!$D$150,ROUND((IF(Brand_Profile!$F$54="",0,IF(ISNUMBER(SEARCH(Brand_Profile!$F$54,Matching_Engine!$BE$31)),1,0))+IF(Brand_Profile!$F$55="",0,IF(ISNUMBER(SEARCH(Brand_Profile!$F$55,Matching_Engine!$BE$31)),1,0))+IF(Brand_Profile!$F$56="",0,IF(ISNUMBER(SEARCH(Brand_Profile!$F$56,Matching_Engine!$BE$31)),1,0))+IF(Brand_Profile!$F$57="",0,IF(ISNUMBER(SEARCH(Brand_Profile!$F$57,Matching_Engine!$BE$31)),1,0))+IF(Brand_Profile!$F$58="",0,IF(ISNUMBER(SEARCH(Brand_Profile!$F$58,Matching_Engine!$BE$31)),1,0))+IF(Brand_Profile!$F$59="",0,IF(ISNUMBER(SEARCH(Brand_Profile!$F$59,Matching_Engine!$BE$31)),1,0)))/Brand_Profile!$F$60*100,0)))</f>
        <v>#VALUE!</v>
      </c>
      <c r="X31" s="65" t="e">
        <f>IF(NOT(AND(ISTEXT('[1]#REF'!$Q$7),'[1]#REF'!$Q$7&lt;&gt;"N/A")),"N/A",Lookup_Lists!$D$150)</f>
        <v>#REF!</v>
      </c>
      <c r="Y31" s="63">
        <f>IF((IF(ISNUMBER(Matching_Engine!$U$31),Lookup_Lists!$D$335,0)+IF(ISNUMBER(Matching_Engine!$V$31),Lookup_Lists!$D$122,0)+IF(ISNUMBER(Matching_Engine!$W$31),Lookup_Lists!$D$336,0)+IF(ISNUMBER(Matching_Engine!$X$31),Lookup_Lists!$D$124,0))=0,"N/A",ROUND((IF(ISNUMBER(Matching_Engine!$U$31),Matching_Engine!$U$31*Lookup_Lists!$D$335,0)+IF(ISNUMBER(Matching_Engine!$V$31),Matching_Engine!$V$31*Lookup_Lists!$D$122,0)+IF(ISNUMBER(Matching_Engine!$W$31),Matching_Engine!$W$31*Lookup_Lists!$D$336,0)+IF(ISNUMBER(Matching_Engine!$X$31),Matching_Engine!$X$31*Lookup_Lists!$D$124,0))/(IF(ISNUMBER(Matching_Engine!$U$31),Lookup_Lists!$D$335,0)+IF(ISNUMBER(Matching_Engine!$V$31),Lookup_Lists!$D$122,0)+IF(ISNUMBER(Matching_Engine!$W$31),Lookup_Lists!$D$336,0)+IF(ISNUMBER(Matching_Engine!$X$31),Lookup_Lists!$D$124,0)),0))</f>
        <v>64</v>
      </c>
      <c r="Z31" s="42">
        <f>IF(ISNUMBER(Matching_Engine!$Y$31),1,0)</f>
        <v>1</v>
      </c>
      <c r="AA31" s="65" t="e">
        <f>IF(NOT(AND(ISTEXT('[1]#REF'!$Q$7),'[1]#REF'!$Q$7&lt;&gt;"N/A")),"N/A",Lookup_Lists!$D$150)</f>
        <v>#REF!</v>
      </c>
      <c r="AB31" s="65" t="e">
        <f>IF(NOT(AND(ISTEXT('[1]#REF'!$Q$7),'[1]#REF'!$Q$7&lt;&gt;"N/A")),"N/A",Lookup_Lists!$D$150)</f>
        <v>#REF!</v>
      </c>
      <c r="AC31" s="65" t="str">
        <f t="shared" si="0"/>
        <v>N/A</v>
      </c>
      <c r="AD31" s="65" t="e">
        <f>IF(NOT(AND(ISTEXT('[1]#REF'!$Q$7),'[1]#REF'!$Q$7&lt;&gt;"N/A")),"N/A",Lookup_Lists!$D$150)</f>
        <v>#REF!</v>
      </c>
      <c r="AE31" s="63">
        <f>IF((IF(ISNUMBER(Matching_Engine!$AA$31),Lookup_Lists!$D$125,0)+IF(ISNUMBER(Matching_Engine!$AB$31),Lookup_Lists!$D$126,0)+IF(ISNUMBER(Matching_Engine!$AC$31),Lookup_Lists!$D$127,0)+IF(ISNUMBER(Matching_Engine!$AD$31),Lookup_Lists!$D$128,0))=0,"N/A",ROUND((IF(ISNUMBER(Matching_Engine!$AA$31),Matching_Engine!$AA$31*Lookup_Lists!$D$125,0)+IF(ISNUMBER(Matching_Engine!$AB$31),Matching_Engine!$AB$31*Lookup_Lists!$D$126,0)+IF(ISNUMBER(Matching_Engine!$AC$31),Matching_Engine!$AC$31*Lookup_Lists!$D$127,0)+IF(ISNUMBER(Matching_Engine!$AD$31),Matching_Engine!$AD$31*Lookup_Lists!$D$128,0))/(IF(ISNUMBER(Matching_Engine!$AA$31),Lookup_Lists!$D$125,0)+IF(ISNUMBER(Matching_Engine!$AB$31),Lookup_Lists!$D$126,0)+IF(ISNUMBER(Matching_Engine!$AC$31),Lookup_Lists!$D$127,0)+IF(ISNUMBER(Matching_Engine!$AD$31),Lookup_Lists!$D$128,0)),0))</f>
        <v>64</v>
      </c>
      <c r="AF31" s="42">
        <f>IF(ISNUMBER(Matching_Engine!$AE$31),1,0)</f>
        <v>1</v>
      </c>
      <c r="AG31" s="65" t="str">
        <f>IF(NOT(ISNUMBER('[1]#REF'!$BG$7)),"N/A",MIN(100,ROUND('[1]#REF'!$BG$7/IFERROR(INDEX(Lookup_Lists!$B$340:$B$344,MATCH('[1]#REF'!$H$7,Lookup_Lists!$A$340:$A$344,0)),Lookup_Lists!$D$141)*100,0)))</f>
        <v>N/A</v>
      </c>
      <c r="AH31" s="65" t="str">
        <f>IF(NOT(ISNUMBER('[1]#REF'!$BS$7)),"N/A",MIN(100,MAX(0,'[1]#REF'!$BS$7)))</f>
        <v>N/A</v>
      </c>
      <c r="AI31" s="65" t="e">
        <f>IF(OR(NOT(ISNUMBER('[1]#REF'!$BM$7)),NOT(ISNUMBER('[1]#REF'!$BN$7)),'[1]#REF'!$BN$7&lt;Lookup_Lists!$D$320),"N/A",MIN(100,ROUND('[1]#REF'!$BM$7/Lookup_Lists!$D$319*100,0)))</f>
        <v>#REF!</v>
      </c>
      <c r="AJ31" s="65" t="str">
        <f>IF(NOT(ISNUMBER('[1]#REF'!$BR$7)),"N/A",'[1]#REF'!$BR$7)</f>
        <v>N/A</v>
      </c>
      <c r="AK31" s="65" t="str">
        <f>IF(NOT(ISNUMBER('[1]#REF'!$BK$7)),"N/A",MIN(100,ROUND('[1]#REF'!$BK$7/Lookup_Lists!$D$321*100,0)))</f>
        <v>N/A</v>
      </c>
      <c r="AL31" s="65" t="str">
        <f>IF(NOT(ISNUMBER('[1]#REF'!$BP$7)),"N/A",MIN(100,MAX(0,ROUND(('[1]#REF'!$BP$7+2)/(Lookup_Lists!$D$145+2)*100,0))))</f>
        <v>N/A</v>
      </c>
      <c r="AM31" s="63">
        <f>IF((IF(ISNUMBER(Matching_Engine!$AG$31),Lookup_Lists!$D$129,0)+IF(ISNUMBER(Matching_Engine!$AH$31),Lookup_Lists!$D$130,0)+IF(ISNUMBER(Matching_Engine!$AI$31),Lookup_Lists!$D$131,0)+IF(ISNUMBER(Matching_Engine!$AJ$31),Lookup_Lists!$D$132,0)+IF(ISNUMBER(Matching_Engine!$AK$31),Lookup_Lists!$D$133,0)+IF(ISNUMBER(Matching_Engine!$AL$31),Lookup_Lists!$D$134,0))=0,"N/A",ROUND((IF(ISNUMBER(Matching_Engine!$AG$31),Matching_Engine!$AG$31*Lookup_Lists!$D$129,0)+IF(ISNUMBER(Matching_Engine!$AH$31),Matching_Engine!$AH$31*Lookup_Lists!$D$130,0)+IF(ISNUMBER(Matching_Engine!$AI$31),Matching_Engine!$AI$31*Lookup_Lists!$D$131,0)+IF(ISNUMBER(Matching_Engine!$AJ$31),Matching_Engine!$AJ$31*Lookup_Lists!$D$132,0)+IF(ISNUMBER(Matching_Engine!$AK$31),Matching_Engine!$AK$31*Lookup_Lists!$D$133,0)+IF(ISNUMBER(Matching_Engine!$AL$31),Matching_Engine!$AL$31*Lookup_Lists!$D$134,0))/(IF(ISNUMBER(Matching_Engine!$AG$31),Lookup_Lists!$D$129,0)+IF(ISNUMBER(Matching_Engine!$AH$31),Lookup_Lists!$D$130,0)+IF(ISNUMBER(Matching_Engine!$AI$31),Lookup_Lists!$D$131,0)+IF(ISNUMBER(Matching_Engine!$AJ$31),Lookup_Lists!$D$132,0)+IF(ISNUMBER(Matching_Engine!$AK$31),Lookup_Lists!$D$133,0)+IF(ISNUMBER(Matching_Engine!$AL$31),Lookup_Lists!$D$134,0)),0))</f>
        <v>51</v>
      </c>
      <c r="AN31" s="42">
        <f>IF(ISNUMBER(Matching_Engine!$AM$31),1,0)</f>
        <v>0</v>
      </c>
      <c r="AO31" s="65" t="str">
        <f>IF(NOT(ISNUMBER('[1]#REF'!$BT$7)),"N/A",MIN(100,MAX(0,'[1]#REF'!$BT$7)))</f>
        <v>N/A</v>
      </c>
      <c r="AP31" s="65" t="str">
        <f>IF(NOT(ISNUMBER('[1]#REF'!$BU$7)),"N/A",MIN(100,MAX(0,'[1]#REF'!$BU$7)))</f>
        <v>N/A</v>
      </c>
      <c r="AQ31" s="65" t="e">
        <f>IF('[1]#REF'!$I$7="Yes",Lookup_Lists!$D$326,IF('[1]#REF'!$I$7="No",Lookup_Lists!$D$327,"N/A"))</f>
        <v>#REF!</v>
      </c>
      <c r="AR31" s="65" t="str">
        <f>IF(NOT(ISNUMBER('[1]#REF'!$BQ$7)),"N/A",MAX(0,ROUND(100-'[1]#REF'!$BQ$7/Lookup_Lists!$D$328*100,0)))</f>
        <v>N/A</v>
      </c>
      <c r="AS31" s="65" t="e">
        <f>IF(NOT(AND(ISTEXT('[1]#REF'!$BV$7),'[1]#REF'!$BV$7&lt;&gt;"N/A")),"N/A",'[1]#REF'!$BV$7)</f>
        <v>#REF!</v>
      </c>
      <c r="AT31" s="63" t="str">
        <f ca="1">IF((IF(ISNUMBER(Matching_Engine!$AO$31),Lookup_Lists!$D$322,0)+IF(ISNUMBER(Matching_Engine!$AP$31),Lookup_Lists!$D$323,0)+IF(ISNUMBER(Matching_Engine!$AQ$31),Lookup_Lists!$D$324,0)+IF(ISNUMBER(Matching_Engine!$AR$31),Lookup_Lists!$D$325,0))=0,"N/A",ROUND((IF(ISNUMBER(Matching_Engine!$AO$31),Matching_Engine!$AO$31*Lookup_Lists!$D$322,0)+IF(ISNUMBER(Matching_Engine!$AP$31),Matching_Engine!$AP$31*Lookup_Lists!$D$323,0)+IF(ISNUMBER(Matching_Engine!$AQ$31),Matching_Engine!$AQ$31*Lookup_Lists!$D$324,0)+IF(ISNUMBER(Matching_Engine!$AR$31),Matching_Engine!$AR$31*Lookup_Lists!$D$325,0))/(IF(ISNUMBER(Matching_Engine!$AO$31),Lookup_Lists!$D$322,0)+IF(ISNUMBER(Matching_Engine!$AP$31),Lookup_Lists!$D$323,0)+IF(ISNUMBER(Matching_Engine!$AQ$31),Lookup_Lists!$D$324,0)+IF(ISNUMBER(Matching_Engine!$AR$31),Lookup_Lists!$D$325,0)),0))</f>
        <v>N/A</v>
      </c>
      <c r="AU31" s="42">
        <f>IF(ISNUMBER(Matching_Engine!$AT$31),1,0)</f>
        <v>1</v>
      </c>
      <c r="AV31" s="42" t="str">
        <f>IF(NOT(ISNUMBER(Matching_Engine!$AT$31)),"Not Screened",IF(Matching_Engine!$AT$31&gt;=Lookup_Lists!$D$329,"Low Risk",IF(Matching_Engine!$AT$31&gt;=Lookup_Lists!$D$330,"Moderate Risk",IF(Matching_Engine!$AT$31&gt;=Lookup_Lists!$D$331,"Elevated Risk","High Risk"))))</f>
        <v>Low Risk</v>
      </c>
      <c r="AW31" s="42" t="e">
        <f ca="1">IF(NOT(ISNUMBER(Matching_Engine!$AT$31)),"No integrity signal: no audience-analysis row for this account.","Integrity screen only — no content-risk reading exists (comments_analysis: 0 rows). "&amp;IF(ISNUMBER(Matching_Engine!$AO$31),"Authenticity "&amp;Matching_Engine!$AO$31&amp;". ","Authenticity N/A. ")&amp;IF(ISNUMBER(Matching_Engine!$AP$31),"Follower quality "&amp;Matching_Engine!$AP$31&amp;". ","Follower quality N/A. ")&amp;IF('[1]#REF'!$I$7="Yes","Platform-verified.","Not platform-verified."))</f>
        <v>#REF!</v>
      </c>
      <c r="AX31" s="65">
        <f>Matching_Engine!$N$31*Lookup_Lists!$D$104+Matching_Engine!$T$31*Lookup_Lists!$D$105+Matching_Engine!$Z$31*Lookup_Lists!$D$106+Matching_Engine!$AF$31*Lookup_Lists!$D$107+Matching_Engine!$AN$31*Lookup_Lists!$D$108+Matching_Engine!$AU$31*Lookup_Lists!$D$109</f>
        <v>6339.5</v>
      </c>
      <c r="AY31" s="74" t="e">
        <f ca="1">IF(Matching_Engine!$AX$31=0,"N/A",ROUND((IF(Matching_Engine!$N$31=1,Matching_Engine!$M$31*Lookup_Lists!$D$104,0)+IF(Matching_Engine!$T$31=1,Matching_Engine!$S$31*Lookup_Lists!$D$105,0)+IF(Matching_Engine!$Z$31=1,Matching_Engine!$Y$31*Lookup_Lists!$D$106,0)+IF(Matching_Engine!$AF$31=1,Matching_Engine!$AE$31*Lookup_Lists!$D$107,0)+IF(Matching_Engine!$AN$31=1,Matching_Engine!$AM$31*Lookup_Lists!$D$108,0)+IF(Matching_Engine!$AU$31=1,Matching_Engine!$AT$31*Lookup_Lists!$D$109,0))/Matching_Engine!$AX$31,0))</f>
        <v>#VALUE!</v>
      </c>
      <c r="AZ31" s="42" t="str">
        <f ca="1">IF(NOT(ISNUMBER(Matching_Engine!$AY$31)),"Not Scored",IF(Matching_Engine!$AY$31&gt;=Lookup_Lists!$D$152,"Excellent Match",IF(Matching_Engine!$AY$31&gt;=Lookup_Lists!$D$153,"Strong Match",IF(Matching_Engine!$AY$31&gt;=Lookup_Lists!$D$154,"Good Match",IF(Matching_Engine!$AY$31&gt;=Lookup_Lists!$D$155,"Moderate Match","Low Match")))))</f>
        <v>Not Scored</v>
      </c>
      <c r="BA31" s="65" t="e">
        <f>'[1]#REF'!$BW$7</f>
        <v>#REF!</v>
      </c>
      <c r="BB31" s="42" t="e">
        <f>'[1]#REF'!$BX$7</f>
        <v>#REF!</v>
      </c>
      <c r="BC31" s="65">
        <f ca="1">IF(NOT(ISNUMBER(Matching_Engine!$AY$31)),-1,Matching_Engine!$AY$31*1000+23)</f>
        <v>-1</v>
      </c>
      <c r="BD31" s="42" t="e">
        <f>IF(AND(ISTEXT('[1]#REF'!$S$7),'[1]#REF'!$S$7&lt;&gt;"N/A"),'[1]#REF'!$S$7,"")&amp;" | "&amp;IF(AND(ISTEXT('[1]#REF'!$T$7),'[1]#REF'!$T$7&lt;&gt;"N/A"),'[1]#REF'!$T$7,"")&amp;" | "&amp;IF(AND(ISTEXT('[1]#REF'!$N$7),'[1]#REF'!$N$7&lt;&gt;"N/A"),'[1]#REF'!$N$7,"")&amp;" | "&amp;IF(AND(ISTEXT('[1]#REF'!$K$7),'[1]#REF'!$K$7&lt;&gt;"N/A"),'[1]#REF'!$K$7,"")&amp;" | "&amp;IF(AND(ISTEXT('[1]#REF'!$J$7),'[1]#REF'!$J$7&lt;&gt;"N/A"),'[1]#REF'!$J$7,"")</f>
        <v>#REF!</v>
      </c>
      <c r="BE31" s="42" t="e">
        <f>IF(AND(ISTEXT('[1]#REF'!$T$7),'[1]#REF'!$T$7&lt;&gt;"N/A"),'[1]#REF'!$T$7,"")&amp;" | "&amp;IF(AND(ISTEXT('[1]#REF'!$N$7),'[1]#REF'!$N$7&lt;&gt;"N/A"),'[1]#REF'!$N$7,"")&amp;" | "&amp;IF(AND(ISTEXT('[1]#REF'!$O$7),'[1]#REF'!$O$7&lt;&gt;"N/A"),'[1]#REF'!$O$7,"")&amp;" | "&amp;IF(AND(ISTEXT('[1]#REF'!$S$7),'[1]#REF'!$S$7&lt;&gt;"N/A"),'[1]#REF'!$S$7,"")</f>
        <v>#REF!</v>
      </c>
      <c r="BF31" s="42" t="e">
        <f>IF(AND(ISTEXT('[1]#REF'!$U$7),'[1]#REF'!$U$7&lt;&gt;"N/A"),'[1]#REF'!$U$7,"")</f>
        <v>#REF!</v>
      </c>
      <c r="BG31" s="42" t="str">
        <f>Matching_Engine!$A$31&amp;"|"&amp;Matching_Engine!$C$31</f>
        <v>BRAND-A|KOL-26</v>
      </c>
    </row>
    <row r="32" spans="1:59">
      <c r="A32" s="64" t="s">
        <v>2528</v>
      </c>
      <c r="B32" s="42" t="str">
        <f>Brand_Profile!$F$6</f>
        <v>BRAND-C</v>
      </c>
      <c r="C32" s="42" t="e">
        <f>'[1]#REF'!$A$8</f>
        <v>#REF!</v>
      </c>
      <c r="D32" s="42" t="e">
        <f>'[1]#REF'!$C$8</f>
        <v>#REF!</v>
      </c>
      <c r="E32" s="42" t="e">
        <f>'[1]#REF'!$D$8</f>
        <v>#REF!</v>
      </c>
      <c r="F32" s="42" t="e">
        <f>'[1]#REF'!$E$8</f>
        <v>#REF!</v>
      </c>
      <c r="G32" s="42" t="e">
        <f>'[1]#REF'!$K$8</f>
        <v>#REF!</v>
      </c>
      <c r="H32" s="72" t="e">
        <f>'[1]#REF'!$G$8</f>
        <v>#REF!</v>
      </c>
      <c r="I32" s="73" t="e">
        <f>'[1]#REF'!$BG$8</f>
        <v>#REF!</v>
      </c>
      <c r="J32" s="65" t="e">
        <f>IF(NOT(AND(ISTEXT('[1]#REF'!$K$8),'[1]#REF'!$K$8&lt;&gt;"N/A")),Lookup_Lists!$D$150,IF(Brand_Profile!$F$7='[1]#REF'!$K$8,100,IFERROR(INDEX(Lookup_Lists!$B$349:$J$357,MATCH(Brand_Profile!$F$7,Lookup_Lists!$A$349:$A$357,0),MATCH('[1]#REF'!$K$8,Lookup_Lists!$B$348:$J$348,0)),Lookup_Lists!$D$151)))</f>
        <v>#REF!</v>
      </c>
      <c r="K32" s="65" t="e">
        <f>IF(LEN(TRIM(SUBSTITUTE(Matching_Engine!$BD$32,"|","")))=0,"N/A",IF(Brand_Profile!$F$47=0,Lookup_Lists!$D$150,ROUND((IF(Brand_Profile!$F$41="",0,IF(ISNUMBER(SEARCH(Brand_Profile!$F$41,Matching_Engine!$BD$32)),1,0))+IF(Brand_Profile!$F$42="",0,IF(ISNUMBER(SEARCH(Brand_Profile!$F$42,Matching_Engine!$BD$32)),1,0))+IF(Brand_Profile!$F$43="",0,IF(ISNUMBER(SEARCH(Brand_Profile!$F$43,Matching_Engine!$BD$32)),1,0))+IF(Brand_Profile!$F$44="",0,IF(ISNUMBER(SEARCH(Brand_Profile!$F$44,Matching_Engine!$BD$32)),1,0))+IF(Brand_Profile!$F$45="",0,IF(ISNUMBER(SEARCH(Brand_Profile!$F$45,Matching_Engine!$BD$32)),1,0))+IF(Brand_Profile!$F$46="",0,IF(ISNUMBER(SEARCH(Brand_Profile!$F$46,Matching_Engine!$BD$32)),1,0)))/Brand_Profile!$F$47*100,0)))</f>
        <v>#VALUE!</v>
      </c>
      <c r="L32" s="65" t="e">
        <f>IF(NOT(AND(ISTEXT('[1]#REF'!$U$8),'[1]#REF'!$U$8&lt;&gt;"N/A")),"N/A",IF(Brand_Profile!$F$53=0,Lookup_Lists!$D$150,ROUND((IF(Brand_Profile!$F$48="",0,IF(ISNUMBER(SEARCH(Brand_Profile!$F$48,Matching_Engine!$BF$32)),1,0))+IF(Brand_Profile!$F$49="",0,IF(ISNUMBER(SEARCH(Brand_Profile!$F$49,Matching_Engine!$BF$32)),1,0))+IF(Brand_Profile!$F$50="",0,IF(ISNUMBER(SEARCH(Brand_Profile!$F$50,Matching_Engine!$BF$32)),1,0))+IF(Brand_Profile!$F$51="",0,IF(ISNUMBER(SEARCH(Brand_Profile!$F$51,Matching_Engine!$BF$32)),1,0))+IF(Brand_Profile!$F$52="",0,IF(ISNUMBER(SEARCH(Brand_Profile!$F$52,Matching_Engine!$BF$32)),1,0)))/Brand_Profile!$F$53*100,0)))</f>
        <v>#REF!</v>
      </c>
      <c r="M32" s="63" t="str">
        <f>IF((IF(ISNUMBER(Matching_Engine!$J$32),Lookup_Lists!$D$332,0)+IF(ISNUMBER(Matching_Engine!$K$32),Lookup_Lists!$D$333,0)+IF(ISNUMBER(Matching_Engine!$L$32),Lookup_Lists!$D$334,0))=0,"N/A",ROUND((IF(ISNUMBER(Matching_Engine!$J$32),Matching_Engine!$J$32*Lookup_Lists!$D$332,0)+IF(ISNUMBER(Matching_Engine!$K$32),Matching_Engine!$K$32*Lookup_Lists!$D$333,0)+IF(ISNUMBER(Matching_Engine!$L$32),Matching_Engine!$L$32*Lookup_Lists!$D$334,0))/(IF(ISNUMBER(Matching_Engine!$J$32),Lookup_Lists!$D$332,0)+IF(ISNUMBER(Matching_Engine!$K$32),Lookup_Lists!$D$333,0)+IF(ISNUMBER(Matching_Engine!$L$32),Lookup_Lists!$D$334,0)),0))</f>
        <v>N/A</v>
      </c>
      <c r="N32" s="42">
        <f>IF(ISNUMBER(Matching_Engine!$M$32),1,0)</f>
        <v>1</v>
      </c>
      <c r="O32" s="65" t="str">
        <f ca="1">IF(NOT(ISNUMBER(IFERROR(INDEX('[1]#REF'!$V$8:'[1]#REF'!$Z$8,1,MATCH(Brand_Profile!$F$11,Lookup_Lists!$F$6:$F$10,0)),""))),"N/A",MIN(100,ROUND((IFERROR(INDEX('[1]#REF'!$V$8:'[1]#REF'!$Z$8,1,MATCH(Brand_Profile!$F$11,Lookup_Lists!$F$6:$F$10,0)),"")+0.5*IF(ISNUMBER(IFERROR(INDEX('[1]#REF'!$V$8:'[1]#REF'!$Z$8,1,MATCH(Brand_Profile!$F$12,Lookup_Lists!$F$6:$F$10,0)),"")),IFERROR(INDEX('[1]#REF'!$V$8:'[1]#REF'!$Z$8,1,MATCH(Brand_Profile!$F$12,Lookup_Lists!$F$6:$F$10,0)),""),0))/Lookup_Lists!$D$142*100,0)))</f>
        <v>N/A</v>
      </c>
      <c r="P32" s="65" t="str">
        <f>IF(Brand_Profile!$F$13="Any",100,IF(NOT(ISNUMBER('[1]#REF'!$AA$8)),"N/A",IF(Brand_Profile!$F$13="Female",MIN(100,ROUND('[1]#REF'!$AA$8/Lookup_Lists!$D$143*100,0)),IF(Brand_Profile!$F$13="Male",MIN(100,ROUND(IF(ISNUMBER('[1]#REF'!$AB$8),'[1]#REF'!$AB$8,100-'[1]#REF'!$AA$8)/Lookup_Lists!$D$143*100,0)),MAX(0,ROUND(100-ABS('[1]#REF'!$AA$8-50)*2,0))))))</f>
        <v>N/A</v>
      </c>
      <c r="Q32" s="65" t="str">
        <f>IF((IF(ISNUMBER(IF(NOT(ISNUMBER('[1]#REF'!$AE$8)),"N/A",IF('[1]#REF'!$AD$8&lt;&gt;Brand_Profile!$F$14,Lookup_Lists!$D$151,MIN(100,ROUND('[1]#REF'!$AE$8/Lookup_Lists!$D$316*100,0))))),Lookup_Lists!$D$118,0)+IF(ISNUMBER(IF(NOT(ISNUMBER('[1]#REF'!$AM$8)),"N/A",MIN(100,ROUND((IF('[1]#REF'!$AG$8=Brand_Profile!$F$15,IF(ISNUMBER('[1]#REF'!$AH$8),'[1]#REF'!$AH$8,0),0)+IF('[1]#REF'!$AI$8=Brand_Profile!$F$15,IF(ISNUMBER('[1]#REF'!$AJ$8),'[1]#REF'!$AJ$8,0),0)+IF('[1]#REF'!$AK$8=Brand_Profile!$F$15,IF(ISNUMBER('[1]#REF'!$AL$8),'[1]#REF'!$AL$8,0),0))/Lookup_Lists!$D$317*100,0)))),Lookup_Lists!$D$120,0))=0,"N/A",ROUND((IF(ISNUMBER(IF(NOT(ISNUMBER('[1]#REF'!$AE$8)),"N/A",IF('[1]#REF'!$AD$8&lt;&gt;Brand_Profile!$F$14,Lookup_Lists!$D$151,MIN(100,ROUND('[1]#REF'!$AE$8/Lookup_Lists!$D$316*100,0))))),IF(NOT(ISNUMBER('[1]#REF'!$AE$8)),"N/A",IF('[1]#REF'!$AD$8&lt;&gt;Brand_Profile!$F$14,Lookup_Lists!$D$151,MIN(100,ROUND('[1]#REF'!$AE$8/Lookup_Lists!$D$316*100,0))))*Lookup_Lists!$D$118,0)+IF(ISNUMBER(IF(NOT(ISNUMBER('[1]#REF'!$AM$8)),"N/A",MIN(100,ROUND((IF('[1]#REF'!$AG$8=Brand_Profile!$F$15,IF(ISNUMBER('[1]#REF'!$AH$8),'[1]#REF'!$AH$8,0),0)+IF('[1]#REF'!$AI$8=Brand_Profile!$F$15,IF(ISNUMBER('[1]#REF'!$AJ$8),'[1]#REF'!$AJ$8,0),0)+IF('[1]#REF'!$AK$8=Brand_Profile!$F$15,IF(ISNUMBER('[1]#REF'!$AL$8),'[1]#REF'!$AL$8,0),0))/Lookup_Lists!$D$317*100,0)))),IF(NOT(ISNUMBER('[1]#REF'!$AM$8)),"N/A",MIN(100,ROUND((IF('[1]#REF'!$AG$8=Brand_Profile!$F$15,IF(ISNUMBER('[1]#REF'!$AH$8),'[1]#REF'!$AH$8,0),0)+IF('[1]#REF'!$AI$8=Brand_Profile!$F$15,IF(ISNUMBER('[1]#REF'!$AJ$8),'[1]#REF'!$AJ$8,0),0)+IF('[1]#REF'!$AK$8=Brand_Profile!$F$15,IF(ISNUMBER('[1]#REF'!$AL$8),'[1]#REF'!$AL$8,0),0))/Lookup_Lists!$D$317*100,0)))*Lookup_Lists!$D$120,0))/(IF(ISNUMBER(IF(NOT(ISNUMBER('[1]#REF'!$AE$8)),"N/A",IF('[1]#REF'!$AD$8&lt;&gt;Brand_Profile!$F$14,Lookup_Lists!$D$151,MIN(100,ROUND('[1]#REF'!$AE$8/Lookup_Lists!$D$316*100,0))))),Lookup_Lists!$D$118,0)+IF(ISNUMBER(IF(NOT(ISNUMBER('[1]#REF'!$AM$8)),"N/A",MIN(100,ROUND((IF('[1]#REF'!$AG$8=Brand_Profile!$F$15,IF(ISNUMBER('[1]#REF'!$AH$8),'[1]#REF'!$AH$8,0),0)+IF('[1]#REF'!$AI$8=Brand_Profile!$F$15,IF(ISNUMBER('[1]#REF'!$AJ$8),'[1]#REF'!$AJ$8,0),0)+IF('[1]#REF'!$AK$8=Brand_Profile!$F$15,IF(ISNUMBER('[1]#REF'!$AL$8),'[1]#REF'!$AL$8,0),0))/Lookup_Lists!$D$317*100,0)))),Lookup_Lists!$D$120,0)),0))</f>
        <v>N/A</v>
      </c>
      <c r="R32" s="65" t="str">
        <f>IF(NOT(ISNUMBER('[1]#REF'!$AN$8)),"N/A",MIN(100,ROUND((IF(ISNUMBER('[1]#REF'!$AO$8),'[1]#REF'!$AO$8*Brand_Profile!$F$17,0)+IF(ISNUMBER('[1]#REF'!$AP$8),'[1]#REF'!$AP$8*Brand_Profile!$F$18,0)+IF(ISNUMBER('[1]#REF'!$AQ$8),'[1]#REF'!$AQ$8*Brand_Profile!$F$19,0)+IF(ISNUMBER('[1]#REF'!$AR$8),'[1]#REF'!$AR$8*Brand_Profile!$F$20,0)+IF(ISNUMBER('[1]#REF'!$AS$8),'[1]#REF'!$AS$8*Brand_Profile!$F$21,0)+IF(ISNUMBER('[1]#REF'!$AT$8),'[1]#REF'!$AT$8*Brand_Profile!$F$22,0)+IF(ISNUMBER('[1]#REF'!$AU$8),'[1]#REF'!$AU$8*Brand_Profile!$F$23,0)+IF(ISNUMBER('[1]#REF'!$AV$8),'[1]#REF'!$AV$8*Brand_Profile!$F$24,0)+IF(ISNUMBER('[1]#REF'!$AW$8),'[1]#REF'!$AW$8*Brand_Profile!$F$25,0)+IF(ISNUMBER('[1]#REF'!$AX$8),'[1]#REF'!$AX$8*Brand_Profile!$F$26,0)+IF(ISNUMBER('[1]#REF'!$AY$8),'[1]#REF'!$AY$8*Brand_Profile!$F$27,0)+IF(ISNUMBER('[1]#REF'!$AZ$8),'[1]#REF'!$AZ$8*Brand_Profile!$F$28,0)+IF(ISNUMBER('[1]#REF'!$BA$8),'[1]#REF'!$BA$8*Brand_Profile!$F$29,0)+IF(ISNUMBER('[1]#REF'!$BB$8),'[1]#REF'!$BB$8*Brand_Profile!$F$30,0)+IF(ISNUMBER('[1]#REF'!$BC$8),'[1]#REF'!$BC$8*Brand_Profile!$F$31,0)+IF(ISNUMBER('[1]#REF'!$BD$8),'[1]#REF'!$BD$8*Brand_Profile!$F$32,0)+IF(ISNUMBER('[1]#REF'!$BE$8),'[1]#REF'!$BE$8*Brand_Profile!$F$33,0)+IF(ISNUMBER('[1]#REF'!$BF$8),'[1]#REF'!$BF$8*Brand_Profile!$F$34,0))/Lookup_Lists!$D$318*100,0)))</f>
        <v>N/A</v>
      </c>
      <c r="S32" s="63">
        <f ca="1">IF((IF(ISNUMBER(Matching_Engine!$O$32),Lookup_Lists!$D$113,0)+IF(ISNUMBER(Matching_Engine!$P$32),Lookup_Lists!$D$114,0)+IF(ISNUMBER(Matching_Engine!$Q$32),Lookup_Lists!$D$115,0)+IF(ISNUMBER(Matching_Engine!$R$32),Lookup_Lists!$D$116,0))=0,"N/A",ROUND((IF(ISNUMBER(Matching_Engine!$O$32),Matching_Engine!$O$32*Lookup_Lists!$D$113,0)+IF(ISNUMBER(Matching_Engine!$P$32),Matching_Engine!$P$32*Lookup_Lists!$D$114,0)+IF(ISNUMBER(Matching_Engine!$Q$32),Matching_Engine!$Q$32*Lookup_Lists!$D$115,0)+IF(ISNUMBER(Matching_Engine!$R$32),Matching_Engine!$R$32*Lookup_Lists!$D$116,0))/(IF(ISNUMBER(Matching_Engine!$O$32),Lookup_Lists!$D$113,0)+IF(ISNUMBER(Matching_Engine!$P$32),Lookup_Lists!$D$114,0)+IF(ISNUMBER(Matching_Engine!$Q$32),Lookup_Lists!$D$115,0)+IF(ISNUMBER(Matching_Engine!$R$32),Lookup_Lists!$D$116,0)),0))</f>
        <v>60</v>
      </c>
      <c r="T32" s="42">
        <f ca="1">IF(ISNUMBER(Matching_Engine!$S$32),1,0)</f>
        <v>1</v>
      </c>
      <c r="U32" s="65" t="e">
        <f>IF(NOT(AND(ISTEXT('[1]#REF'!$M$8),'[1]#REF'!$M$8&lt;&gt;"N/A")),Lookup_Lists!$D$150,IF(Brand_Profile!$F$7='[1]#REF'!$M$8,100,IFERROR(INDEX(Lookup_Lists!$B$349:$J$357,MATCH(Brand_Profile!$F$7,Lookup_Lists!$A$349:$A$357,0),MATCH('[1]#REF'!$M$8,Lookup_Lists!$B$348:$J$348,0)),Lookup_Lists!$D$151)))</f>
        <v>#REF!</v>
      </c>
      <c r="V32" s="65" t="e">
        <f>IF(NOT(AND(ISTEXT('[1]#REF'!$P$8),'[1]#REF'!$P$8&lt;&gt;"N/A")),"N/A",IFERROR(INDEX(Lookup_Lists!$B$349:$J$357,MATCH(Brand_Profile!$F$7,Lookup_Lists!$A$349:$A$357,0),MATCH('[1]#REF'!$P$8,Lookup_Lists!$B$348:$J$348,0)),Lookup_Lists!$D$151))</f>
        <v>#REF!</v>
      </c>
      <c r="W32" s="65" t="e">
        <f>IF(LEN(TRIM(SUBSTITUTE(Matching_Engine!$BE$32,"|","")))=0,"N/A",IF(Brand_Profile!$F$60=0,Lookup_Lists!$D$150,ROUND((IF(Brand_Profile!$F$54="",0,IF(ISNUMBER(SEARCH(Brand_Profile!$F$54,Matching_Engine!$BE$32)),1,0))+IF(Brand_Profile!$F$55="",0,IF(ISNUMBER(SEARCH(Brand_Profile!$F$55,Matching_Engine!$BE$32)),1,0))+IF(Brand_Profile!$F$56="",0,IF(ISNUMBER(SEARCH(Brand_Profile!$F$56,Matching_Engine!$BE$32)),1,0))+IF(Brand_Profile!$F$57="",0,IF(ISNUMBER(SEARCH(Brand_Profile!$F$57,Matching_Engine!$BE$32)),1,0))+IF(Brand_Profile!$F$58="",0,IF(ISNUMBER(SEARCH(Brand_Profile!$F$58,Matching_Engine!$BE$32)),1,0))+IF(Brand_Profile!$F$59="",0,IF(ISNUMBER(SEARCH(Brand_Profile!$F$59,Matching_Engine!$BE$32)),1,0)))/Brand_Profile!$F$60*100,0)))</f>
        <v>#VALUE!</v>
      </c>
      <c r="X32" s="65" t="e">
        <f>IF(NOT(AND(ISTEXT('[1]#REF'!$Q$8),'[1]#REF'!$Q$8&lt;&gt;"N/A")),"N/A",Lookup_Lists!$D$150)</f>
        <v>#REF!</v>
      </c>
      <c r="Y32" s="63">
        <f>IF((IF(ISNUMBER(Matching_Engine!$U$32),Lookup_Lists!$D$335,0)+IF(ISNUMBER(Matching_Engine!$V$32),Lookup_Lists!$D$122,0)+IF(ISNUMBER(Matching_Engine!$W$32),Lookup_Lists!$D$336,0)+IF(ISNUMBER(Matching_Engine!$X$32),Lookup_Lists!$D$124,0))=0,"N/A",ROUND((IF(ISNUMBER(Matching_Engine!$U$32),Matching_Engine!$U$32*Lookup_Lists!$D$335,0)+IF(ISNUMBER(Matching_Engine!$V$32),Matching_Engine!$V$32*Lookup_Lists!$D$122,0)+IF(ISNUMBER(Matching_Engine!$W$32),Matching_Engine!$W$32*Lookup_Lists!$D$336,0)+IF(ISNUMBER(Matching_Engine!$X$32),Matching_Engine!$X$32*Lookup_Lists!$D$124,0))/(IF(ISNUMBER(Matching_Engine!$U$32),Lookup_Lists!$D$335,0)+IF(ISNUMBER(Matching_Engine!$V$32),Lookup_Lists!$D$122,0)+IF(ISNUMBER(Matching_Engine!$W$32),Lookup_Lists!$D$336,0)+IF(ISNUMBER(Matching_Engine!$X$32),Lookup_Lists!$D$124,0)),0))</f>
        <v>10</v>
      </c>
      <c r="Z32" s="42">
        <f>IF(ISNUMBER(Matching_Engine!$Y$32),1,0)</f>
        <v>1</v>
      </c>
      <c r="AA32" s="65" t="e">
        <f>IF(NOT(AND(ISTEXT('[1]#REF'!$Q$8),'[1]#REF'!$Q$8&lt;&gt;"N/A")),"N/A",Lookup_Lists!$D$150)</f>
        <v>#REF!</v>
      </c>
      <c r="AB32" s="65" t="e">
        <f>IF(NOT(AND(ISTEXT('[1]#REF'!$Q$8),'[1]#REF'!$Q$8&lt;&gt;"N/A")),"N/A",Lookup_Lists!$D$150)</f>
        <v>#REF!</v>
      </c>
      <c r="AC32" s="65" t="str">
        <f t="shared" si="0"/>
        <v>N/A</v>
      </c>
      <c r="AD32" s="65" t="e">
        <f>IF(NOT(AND(ISTEXT('[1]#REF'!$Q$8),'[1]#REF'!$Q$8&lt;&gt;"N/A")),"N/A",Lookup_Lists!$D$150)</f>
        <v>#REF!</v>
      </c>
      <c r="AE32" s="63">
        <f>IF((IF(ISNUMBER(Matching_Engine!$AA$32),Lookup_Lists!$D$125,0)+IF(ISNUMBER(Matching_Engine!$AB$32),Lookup_Lists!$D$126,0)+IF(ISNUMBER(Matching_Engine!$AC$32),Lookup_Lists!$D$127,0)+IF(ISNUMBER(Matching_Engine!$AD$32),Lookup_Lists!$D$128,0))=0,"N/A",ROUND((IF(ISNUMBER(Matching_Engine!$AA$32),Matching_Engine!$AA$32*Lookup_Lists!$D$125,0)+IF(ISNUMBER(Matching_Engine!$AB$32),Matching_Engine!$AB$32*Lookup_Lists!$D$126,0)+IF(ISNUMBER(Matching_Engine!$AC$32),Matching_Engine!$AC$32*Lookup_Lists!$D$127,0)+IF(ISNUMBER(Matching_Engine!$AD$32),Matching_Engine!$AD$32*Lookup_Lists!$D$128,0))/(IF(ISNUMBER(Matching_Engine!$AA$32),Lookup_Lists!$D$125,0)+IF(ISNUMBER(Matching_Engine!$AB$32),Lookup_Lists!$D$126,0)+IF(ISNUMBER(Matching_Engine!$AC$32),Lookup_Lists!$D$127,0)+IF(ISNUMBER(Matching_Engine!$AD$32),Lookup_Lists!$D$128,0)),0))</f>
        <v>40</v>
      </c>
      <c r="AF32" s="42">
        <f>IF(ISNUMBER(Matching_Engine!$AE$32),1,0)</f>
        <v>1</v>
      </c>
      <c r="AG32" s="65" t="str">
        <f>IF(NOT(ISNUMBER('[1]#REF'!$BG$8)),"N/A",MIN(100,ROUND('[1]#REF'!$BG$8/IFERROR(INDEX(Lookup_Lists!$B$340:$B$344,MATCH('[1]#REF'!$H$8,Lookup_Lists!$A$340:$A$344,0)),Lookup_Lists!$D$141)*100,0)))</f>
        <v>N/A</v>
      </c>
      <c r="AH32" s="65" t="str">
        <f>IF(NOT(ISNUMBER('[1]#REF'!$BS$8)),"N/A",MIN(100,MAX(0,'[1]#REF'!$BS$8)))</f>
        <v>N/A</v>
      </c>
      <c r="AI32" s="65" t="e">
        <f>IF(OR(NOT(ISNUMBER('[1]#REF'!$BM$8)),NOT(ISNUMBER('[1]#REF'!$BN$8)),'[1]#REF'!$BN$8&lt;Lookup_Lists!$D$320),"N/A",MIN(100,ROUND('[1]#REF'!$BM$8/Lookup_Lists!$D$319*100,0)))</f>
        <v>#REF!</v>
      </c>
      <c r="AJ32" s="65" t="str">
        <f>IF(NOT(ISNUMBER('[1]#REF'!$BR$8)),"N/A",'[1]#REF'!$BR$8)</f>
        <v>N/A</v>
      </c>
      <c r="AK32" s="65" t="str">
        <f>IF(NOT(ISNUMBER('[1]#REF'!$BK$8)),"N/A",MIN(100,ROUND('[1]#REF'!$BK$8/Lookup_Lists!$D$321*100,0)))</f>
        <v>N/A</v>
      </c>
      <c r="AL32" s="65" t="str">
        <f>IF(NOT(ISNUMBER('[1]#REF'!$BP$8)),"N/A",MIN(100,MAX(0,ROUND(('[1]#REF'!$BP$8+2)/(Lookup_Lists!$D$145+2)*100,0))))</f>
        <v>N/A</v>
      </c>
      <c r="AM32" s="63">
        <f>IF((IF(ISNUMBER(Matching_Engine!$AG$32),Lookup_Lists!$D$129,0)+IF(ISNUMBER(Matching_Engine!$AH$32),Lookup_Lists!$D$130,0)+IF(ISNUMBER(Matching_Engine!$AI$32),Lookup_Lists!$D$131,0)+IF(ISNUMBER(Matching_Engine!$AJ$32),Lookup_Lists!$D$132,0)+IF(ISNUMBER(Matching_Engine!$AK$32),Lookup_Lists!$D$133,0)+IF(ISNUMBER(Matching_Engine!$AL$32),Lookup_Lists!$D$134,0))=0,"N/A",ROUND((IF(ISNUMBER(Matching_Engine!$AG$32),Matching_Engine!$AG$32*Lookup_Lists!$D$129,0)+IF(ISNUMBER(Matching_Engine!$AH$32),Matching_Engine!$AH$32*Lookup_Lists!$D$130,0)+IF(ISNUMBER(Matching_Engine!$AI$32),Matching_Engine!$AI$32*Lookup_Lists!$D$131,0)+IF(ISNUMBER(Matching_Engine!$AJ$32),Matching_Engine!$AJ$32*Lookup_Lists!$D$132,0)+IF(ISNUMBER(Matching_Engine!$AK$32),Matching_Engine!$AK$32*Lookup_Lists!$D$133,0)+IF(ISNUMBER(Matching_Engine!$AL$32),Matching_Engine!$AL$32*Lookup_Lists!$D$134,0))/(IF(ISNUMBER(Matching_Engine!$AG$32),Lookup_Lists!$D$129,0)+IF(ISNUMBER(Matching_Engine!$AH$32),Lookup_Lists!$D$130,0)+IF(ISNUMBER(Matching_Engine!$AI$32),Lookup_Lists!$D$131,0)+IF(ISNUMBER(Matching_Engine!$AJ$32),Lookup_Lists!$D$132,0)+IF(ISNUMBER(Matching_Engine!$AK$32),Lookup_Lists!$D$133,0)+IF(ISNUMBER(Matching_Engine!$AL$32),Lookup_Lists!$D$134,0)),0))</f>
        <v>62</v>
      </c>
      <c r="AN32" s="42">
        <f>IF(ISNUMBER(Matching_Engine!$AM$32),1,0)</f>
        <v>0</v>
      </c>
      <c r="AO32" s="65" t="str">
        <f>IF(NOT(ISNUMBER('[1]#REF'!$BT$8)),"N/A",MIN(100,MAX(0,'[1]#REF'!$BT$8)))</f>
        <v>N/A</v>
      </c>
      <c r="AP32" s="65" t="str">
        <f>IF(NOT(ISNUMBER('[1]#REF'!$BU$8)),"N/A",MIN(100,MAX(0,'[1]#REF'!$BU$8)))</f>
        <v>N/A</v>
      </c>
      <c r="AQ32" s="65" t="e">
        <f>IF('[1]#REF'!$I$8="Yes",Lookup_Lists!$D$326,IF('[1]#REF'!$I$8="No",Lookup_Lists!$D$327,"N/A"))</f>
        <v>#REF!</v>
      </c>
      <c r="AR32" s="65" t="str">
        <f>IF(NOT(ISNUMBER('[1]#REF'!$BQ$8)),"N/A",MAX(0,ROUND(100-'[1]#REF'!$BQ$8/Lookup_Lists!$D$328*100,0)))</f>
        <v>N/A</v>
      </c>
      <c r="AS32" s="65" t="e">
        <f>IF(NOT(AND(ISTEXT('[1]#REF'!$BV$8),'[1]#REF'!$BV$8&lt;&gt;"N/A")),"N/A",'[1]#REF'!$BV$8)</f>
        <v>#REF!</v>
      </c>
      <c r="AT32" s="63" t="str">
        <f ca="1">IF((IF(ISNUMBER(Matching_Engine!$AO$32),Lookup_Lists!$D$322,0)+IF(ISNUMBER(Matching_Engine!$AP$32),Lookup_Lists!$D$323,0)+IF(ISNUMBER(Matching_Engine!$AQ$32),Lookup_Lists!$D$324,0)+IF(ISNUMBER(Matching_Engine!$AR$32),Lookup_Lists!$D$325,0))=0,"N/A",ROUND((IF(ISNUMBER(Matching_Engine!$AO$32),Matching_Engine!$AO$32*Lookup_Lists!$D$322,0)+IF(ISNUMBER(Matching_Engine!$AP$32),Matching_Engine!$AP$32*Lookup_Lists!$D$323,0)+IF(ISNUMBER(Matching_Engine!$AQ$32),Matching_Engine!$AQ$32*Lookup_Lists!$D$324,0)+IF(ISNUMBER(Matching_Engine!$AR$32),Matching_Engine!$AR$32*Lookup_Lists!$D$325,0))/(IF(ISNUMBER(Matching_Engine!$AO$32),Lookup_Lists!$D$322,0)+IF(ISNUMBER(Matching_Engine!$AP$32),Lookup_Lists!$D$323,0)+IF(ISNUMBER(Matching_Engine!$AQ$32),Lookup_Lists!$D$324,0)+IF(ISNUMBER(Matching_Engine!$AR$32),Lookup_Lists!$D$325,0)),0))</f>
        <v>N/A</v>
      </c>
      <c r="AU32" s="42">
        <f>IF(ISNUMBER(Matching_Engine!$AT$32),1,0)</f>
        <v>1</v>
      </c>
      <c r="AV32" s="42" t="str">
        <f>IF(NOT(ISNUMBER(Matching_Engine!$AT$32)),"Not Screened",IF(Matching_Engine!$AT$32&gt;=Lookup_Lists!$D$329,"Low Risk",IF(Matching_Engine!$AT$32&gt;=Lookup_Lists!$D$330,"Moderate Risk",IF(Matching_Engine!$AT$32&gt;=Lookup_Lists!$D$331,"Elevated Risk","High Risk"))))</f>
        <v>Low Risk</v>
      </c>
      <c r="AW32" s="42" t="e">
        <f ca="1">IF(NOT(ISNUMBER(Matching_Engine!$AT$32)),"No integrity signal: no audience-analysis row for this account.","Integrity screen only — no content-risk reading exists (comments_analysis: 0 rows). "&amp;IF(ISNUMBER(Matching_Engine!$AO$32),"Authenticity "&amp;Matching_Engine!$AO$32&amp;". ","Authenticity N/A. ")&amp;IF(ISNUMBER(Matching_Engine!$AP$32),"Follower quality "&amp;Matching_Engine!$AP$32&amp;". ","Follower quality N/A. ")&amp;IF('[1]#REF'!$I$8="Yes","Platform-verified.","Not platform-verified."))</f>
        <v>#REF!</v>
      </c>
      <c r="AX32" s="65">
        <f>Matching_Engine!$N$32*Lookup_Lists!$D$104+Matching_Engine!$T$32*Lookup_Lists!$D$105+Matching_Engine!$Z$32*Lookup_Lists!$D$106+Matching_Engine!$AF$32*Lookup_Lists!$D$107+Matching_Engine!$AN$32*Lookup_Lists!$D$108+Matching_Engine!$AU$32*Lookup_Lists!$D$109</f>
        <v>3070</v>
      </c>
      <c r="AY32" s="74" t="e">
        <f ca="1">IF(Matching_Engine!$AX$32=0,"N/A",ROUND((IF(Matching_Engine!$N$32=1,Matching_Engine!$M$32*Lookup_Lists!$D$104,0)+IF(Matching_Engine!$T$32=1,Matching_Engine!$S$32*Lookup_Lists!$D$105,0)+IF(Matching_Engine!$Z$32=1,Matching_Engine!$Y$32*Lookup_Lists!$D$106,0)+IF(Matching_Engine!$AF$32=1,Matching_Engine!$AE$32*Lookup_Lists!$D$107,0)+IF(Matching_Engine!$AN$32=1,Matching_Engine!$AM$32*Lookup_Lists!$D$108,0)+IF(Matching_Engine!$AU$32=1,Matching_Engine!$AT$32*Lookup_Lists!$D$109,0))/Matching_Engine!$AX$32,0))</f>
        <v>#VALUE!</v>
      </c>
      <c r="AZ32" s="42" t="str">
        <f ca="1">IF(NOT(ISNUMBER(Matching_Engine!$AY$32)),"Not Scored",IF(Matching_Engine!$AY$32&gt;=Lookup_Lists!$D$152,"Excellent Match",IF(Matching_Engine!$AY$32&gt;=Lookup_Lists!$D$153,"Strong Match",IF(Matching_Engine!$AY$32&gt;=Lookup_Lists!$D$154,"Good Match",IF(Matching_Engine!$AY$32&gt;=Lookup_Lists!$D$155,"Moderate Match","Low Match")))))</f>
        <v>Low Match</v>
      </c>
      <c r="BA32" s="65" t="e">
        <f>'[1]#REF'!$BW$8</f>
        <v>#REF!</v>
      </c>
      <c r="BB32" s="42" t="e">
        <f>'[1]#REF'!$BX$8</f>
        <v>#REF!</v>
      </c>
      <c r="BC32" s="65">
        <f ca="1">IF(NOT(ISNUMBER(Matching_Engine!$AY$32)),-1,Matching_Engine!$AY$32*1000+22)</f>
        <v>42022</v>
      </c>
      <c r="BD32" s="42" t="e">
        <f>IF(AND(ISTEXT('[1]#REF'!$S$8),'[1]#REF'!$S$8&lt;&gt;"N/A"),'[1]#REF'!$S$8,"")&amp;" | "&amp;IF(AND(ISTEXT('[1]#REF'!$T$8),'[1]#REF'!$T$8&lt;&gt;"N/A"),'[1]#REF'!$T$8,"")&amp;" | "&amp;IF(AND(ISTEXT('[1]#REF'!$N$8),'[1]#REF'!$N$8&lt;&gt;"N/A"),'[1]#REF'!$N$8,"")&amp;" | "&amp;IF(AND(ISTEXT('[1]#REF'!$K$8),'[1]#REF'!$K$8&lt;&gt;"N/A"),'[1]#REF'!$K$8,"")&amp;" | "&amp;IF(AND(ISTEXT('[1]#REF'!$J$8),'[1]#REF'!$J$8&lt;&gt;"N/A"),'[1]#REF'!$J$8,"")</f>
        <v>#REF!</v>
      </c>
      <c r="BE32" s="42" t="e">
        <f>IF(AND(ISTEXT('[1]#REF'!$T$8),'[1]#REF'!$T$8&lt;&gt;"N/A"),'[1]#REF'!$T$8,"")&amp;" | "&amp;IF(AND(ISTEXT('[1]#REF'!$N$8),'[1]#REF'!$N$8&lt;&gt;"N/A"),'[1]#REF'!$N$8,"")&amp;" | "&amp;IF(AND(ISTEXT('[1]#REF'!$O$8),'[1]#REF'!$O$8&lt;&gt;"N/A"),'[1]#REF'!$O$8,"")&amp;" | "&amp;IF(AND(ISTEXT('[1]#REF'!$S$8),'[1]#REF'!$S$8&lt;&gt;"N/A"),'[1]#REF'!$S$8,"")</f>
        <v>#REF!</v>
      </c>
      <c r="BF32" s="42" t="e">
        <f>IF(AND(ISTEXT('[1]#REF'!$U$8),'[1]#REF'!$U$8&lt;&gt;"N/A"),'[1]#REF'!$U$8,"")</f>
        <v>#REF!</v>
      </c>
      <c r="BG32" s="42" t="str">
        <f>Matching_Engine!$A$32&amp;"|"&amp;Matching_Engine!$C$32</f>
        <v>BRAND-A|KOL-27</v>
      </c>
    </row>
    <row r="33" spans="1:59">
      <c r="A33" s="64" t="s">
        <v>2528</v>
      </c>
      <c r="B33" s="42" t="str">
        <f>Brand_Profile!$F$6</f>
        <v>BRAND-C</v>
      </c>
      <c r="C33" s="42" t="e">
        <f>'[1]#REF'!$A$9</f>
        <v>#REF!</v>
      </c>
      <c r="D33" s="42" t="e">
        <f>'[1]#REF'!$C$9</f>
        <v>#REF!</v>
      </c>
      <c r="E33" s="42" t="e">
        <f>'[1]#REF'!$D$9</f>
        <v>#REF!</v>
      </c>
      <c r="F33" s="42" t="e">
        <f>'[1]#REF'!$E$9</f>
        <v>#REF!</v>
      </c>
      <c r="G33" s="42" t="e">
        <f>'[1]#REF'!$K$9</f>
        <v>#REF!</v>
      </c>
      <c r="H33" s="72" t="e">
        <f>'[1]#REF'!$G$9</f>
        <v>#REF!</v>
      </c>
      <c r="I33" s="73" t="e">
        <f>'[1]#REF'!$BG$9</f>
        <v>#REF!</v>
      </c>
      <c r="J33" s="65" t="e">
        <f>IF(NOT(AND(ISTEXT('[1]#REF'!$K$9),'[1]#REF'!$K$9&lt;&gt;"N/A")),Lookup_Lists!$D$150,IF(Brand_Profile!$F$7='[1]#REF'!$K$9,100,IFERROR(INDEX(Lookup_Lists!$B$349:$J$357,MATCH(Brand_Profile!$F$7,Lookup_Lists!$A$349:$A$357,0),MATCH('[1]#REF'!$K$9,Lookup_Lists!$B$348:$J$348,0)),Lookup_Lists!$D$151)))</f>
        <v>#REF!</v>
      </c>
      <c r="K33" s="65" t="e">
        <f>IF(LEN(TRIM(SUBSTITUTE(Matching_Engine!$BD$33,"|","")))=0,"N/A",IF(Brand_Profile!$F$47=0,Lookup_Lists!$D$150,ROUND((IF(Brand_Profile!$F$41="",0,IF(ISNUMBER(SEARCH(Brand_Profile!$F$41,Matching_Engine!$BD$33)),1,0))+IF(Brand_Profile!$F$42="",0,IF(ISNUMBER(SEARCH(Brand_Profile!$F$42,Matching_Engine!$BD$33)),1,0))+IF(Brand_Profile!$F$43="",0,IF(ISNUMBER(SEARCH(Brand_Profile!$F$43,Matching_Engine!$BD$33)),1,0))+IF(Brand_Profile!$F$44="",0,IF(ISNUMBER(SEARCH(Brand_Profile!$F$44,Matching_Engine!$BD$33)),1,0))+IF(Brand_Profile!$F$45="",0,IF(ISNUMBER(SEARCH(Brand_Profile!$F$45,Matching_Engine!$BD$33)),1,0))+IF(Brand_Profile!$F$46="",0,IF(ISNUMBER(SEARCH(Brand_Profile!$F$46,Matching_Engine!$BD$33)),1,0)))/Brand_Profile!$F$47*100,0)))</f>
        <v>#VALUE!</v>
      </c>
      <c r="L33" s="65" t="e">
        <f>IF(NOT(AND(ISTEXT('[1]#REF'!$U$9),'[1]#REF'!$U$9&lt;&gt;"N/A")),"N/A",IF(Brand_Profile!$F$53=0,Lookup_Lists!$D$150,ROUND((IF(Brand_Profile!$F$48="",0,IF(ISNUMBER(SEARCH(Brand_Profile!$F$48,Matching_Engine!$BF$33)),1,0))+IF(Brand_Profile!$F$49="",0,IF(ISNUMBER(SEARCH(Brand_Profile!$F$49,Matching_Engine!$BF$33)),1,0))+IF(Brand_Profile!$F$50="",0,IF(ISNUMBER(SEARCH(Brand_Profile!$F$50,Matching_Engine!$BF$33)),1,0))+IF(Brand_Profile!$F$51="",0,IF(ISNUMBER(SEARCH(Brand_Profile!$F$51,Matching_Engine!$BF$33)),1,0))+IF(Brand_Profile!$F$52="",0,IF(ISNUMBER(SEARCH(Brand_Profile!$F$52,Matching_Engine!$BF$33)),1,0)))/Brand_Profile!$F$53*100,0)))</f>
        <v>#REF!</v>
      </c>
      <c r="M33" s="63" t="str">
        <f>IF((IF(ISNUMBER(Matching_Engine!$J$33),Lookup_Lists!$D$332,0)+IF(ISNUMBER(Matching_Engine!$K$33),Lookup_Lists!$D$333,0)+IF(ISNUMBER(Matching_Engine!$L$33),Lookup_Lists!$D$334,0))=0,"N/A",ROUND((IF(ISNUMBER(Matching_Engine!$J$33),Matching_Engine!$J$33*Lookup_Lists!$D$332,0)+IF(ISNUMBER(Matching_Engine!$K$33),Matching_Engine!$K$33*Lookup_Lists!$D$333,0)+IF(ISNUMBER(Matching_Engine!$L$33),Matching_Engine!$L$33*Lookup_Lists!$D$334,0))/(IF(ISNUMBER(Matching_Engine!$J$33),Lookup_Lists!$D$332,0)+IF(ISNUMBER(Matching_Engine!$K$33),Lookup_Lists!$D$333,0)+IF(ISNUMBER(Matching_Engine!$L$33),Lookup_Lists!$D$334,0)),0))</f>
        <v>N/A</v>
      </c>
      <c r="N33" s="42">
        <f>IF(ISNUMBER(Matching_Engine!$M$33),1,0)</f>
        <v>1</v>
      </c>
      <c r="O33" s="65" t="str">
        <f ca="1">IF(NOT(ISNUMBER(IFERROR(INDEX('[1]#REF'!$V$9:'[1]#REF'!$Z$9,1,MATCH(Brand_Profile!$F$11,Lookup_Lists!$F$6:$F$10,0)),""))),"N/A",MIN(100,ROUND((IFERROR(INDEX('[1]#REF'!$V$9:'[1]#REF'!$Z$9,1,MATCH(Brand_Profile!$F$11,Lookup_Lists!$F$6:$F$10,0)),"")+0.5*IF(ISNUMBER(IFERROR(INDEX('[1]#REF'!$V$9:'[1]#REF'!$Z$9,1,MATCH(Brand_Profile!$F$12,Lookup_Lists!$F$6:$F$10,0)),"")),IFERROR(INDEX('[1]#REF'!$V$9:'[1]#REF'!$Z$9,1,MATCH(Brand_Profile!$F$12,Lookup_Lists!$F$6:$F$10,0)),""),0))/Lookup_Lists!$D$142*100,0)))</f>
        <v>N/A</v>
      </c>
      <c r="P33" s="65" t="str">
        <f>IF(Brand_Profile!$F$13="Any",100,IF(NOT(ISNUMBER('[1]#REF'!$AA$9)),"N/A",IF(Brand_Profile!$F$13="Female",MIN(100,ROUND('[1]#REF'!$AA$9/Lookup_Lists!$D$143*100,0)),IF(Brand_Profile!$F$13="Male",MIN(100,ROUND(IF(ISNUMBER('[1]#REF'!$AB$9),'[1]#REF'!$AB$9,100-'[1]#REF'!$AA$9)/Lookup_Lists!$D$143*100,0)),MAX(0,ROUND(100-ABS('[1]#REF'!$AA$9-50)*2,0))))))</f>
        <v>N/A</v>
      </c>
      <c r="Q33" s="65" t="str">
        <f>IF((IF(ISNUMBER(IF(NOT(ISNUMBER('[1]#REF'!$AE$9)),"N/A",IF('[1]#REF'!$AD$9&lt;&gt;Brand_Profile!$F$14,Lookup_Lists!$D$151,MIN(100,ROUND('[1]#REF'!$AE$9/Lookup_Lists!$D$316*100,0))))),Lookup_Lists!$D$118,0)+IF(ISNUMBER(IF(NOT(ISNUMBER('[1]#REF'!$AM$9)),"N/A",MIN(100,ROUND((IF('[1]#REF'!$AG$9=Brand_Profile!$F$15,IF(ISNUMBER('[1]#REF'!$AH$9),'[1]#REF'!$AH$9,0),0)+IF('[1]#REF'!$AI$9=Brand_Profile!$F$15,IF(ISNUMBER('[1]#REF'!$AJ$9),'[1]#REF'!$AJ$9,0),0)+IF('[1]#REF'!$AK$9=Brand_Profile!$F$15,IF(ISNUMBER('[1]#REF'!$AL$9),'[1]#REF'!$AL$9,0),0))/Lookup_Lists!$D$317*100,0)))),Lookup_Lists!$D$120,0))=0,"N/A",ROUND((IF(ISNUMBER(IF(NOT(ISNUMBER('[1]#REF'!$AE$9)),"N/A",IF('[1]#REF'!$AD$9&lt;&gt;Brand_Profile!$F$14,Lookup_Lists!$D$151,MIN(100,ROUND('[1]#REF'!$AE$9/Lookup_Lists!$D$316*100,0))))),IF(NOT(ISNUMBER('[1]#REF'!$AE$9)),"N/A",IF('[1]#REF'!$AD$9&lt;&gt;Brand_Profile!$F$14,Lookup_Lists!$D$151,MIN(100,ROUND('[1]#REF'!$AE$9/Lookup_Lists!$D$316*100,0))))*Lookup_Lists!$D$118,0)+IF(ISNUMBER(IF(NOT(ISNUMBER('[1]#REF'!$AM$9)),"N/A",MIN(100,ROUND((IF('[1]#REF'!$AG$9=Brand_Profile!$F$15,IF(ISNUMBER('[1]#REF'!$AH$9),'[1]#REF'!$AH$9,0),0)+IF('[1]#REF'!$AI$9=Brand_Profile!$F$15,IF(ISNUMBER('[1]#REF'!$AJ$9),'[1]#REF'!$AJ$9,0),0)+IF('[1]#REF'!$AK$9=Brand_Profile!$F$15,IF(ISNUMBER('[1]#REF'!$AL$9),'[1]#REF'!$AL$9,0),0))/Lookup_Lists!$D$317*100,0)))),IF(NOT(ISNUMBER('[1]#REF'!$AM$9)),"N/A",MIN(100,ROUND((IF('[1]#REF'!$AG$9=Brand_Profile!$F$15,IF(ISNUMBER('[1]#REF'!$AH$9),'[1]#REF'!$AH$9,0),0)+IF('[1]#REF'!$AI$9=Brand_Profile!$F$15,IF(ISNUMBER('[1]#REF'!$AJ$9),'[1]#REF'!$AJ$9,0),0)+IF('[1]#REF'!$AK$9=Brand_Profile!$F$15,IF(ISNUMBER('[1]#REF'!$AL$9),'[1]#REF'!$AL$9,0),0))/Lookup_Lists!$D$317*100,0)))*Lookup_Lists!$D$120,0))/(IF(ISNUMBER(IF(NOT(ISNUMBER('[1]#REF'!$AE$9)),"N/A",IF('[1]#REF'!$AD$9&lt;&gt;Brand_Profile!$F$14,Lookup_Lists!$D$151,MIN(100,ROUND('[1]#REF'!$AE$9/Lookup_Lists!$D$316*100,0))))),Lookup_Lists!$D$118,0)+IF(ISNUMBER(IF(NOT(ISNUMBER('[1]#REF'!$AM$9)),"N/A",MIN(100,ROUND((IF('[1]#REF'!$AG$9=Brand_Profile!$F$15,IF(ISNUMBER('[1]#REF'!$AH$9),'[1]#REF'!$AH$9,0),0)+IF('[1]#REF'!$AI$9=Brand_Profile!$F$15,IF(ISNUMBER('[1]#REF'!$AJ$9),'[1]#REF'!$AJ$9,0),0)+IF('[1]#REF'!$AK$9=Brand_Profile!$F$15,IF(ISNUMBER('[1]#REF'!$AL$9),'[1]#REF'!$AL$9,0),0))/Lookup_Lists!$D$317*100,0)))),Lookup_Lists!$D$120,0)),0))</f>
        <v>N/A</v>
      </c>
      <c r="R33" s="65" t="str">
        <f>IF(NOT(ISNUMBER('[1]#REF'!$AN$9)),"N/A",MIN(100,ROUND((IF(ISNUMBER('[1]#REF'!$AO$9),'[1]#REF'!$AO$9*Brand_Profile!$F$17,0)+IF(ISNUMBER('[1]#REF'!$AP$9),'[1]#REF'!$AP$9*Brand_Profile!$F$18,0)+IF(ISNUMBER('[1]#REF'!$AQ$9),'[1]#REF'!$AQ$9*Brand_Profile!$F$19,0)+IF(ISNUMBER('[1]#REF'!$AR$9),'[1]#REF'!$AR$9*Brand_Profile!$F$20,0)+IF(ISNUMBER('[1]#REF'!$AS$9),'[1]#REF'!$AS$9*Brand_Profile!$F$21,0)+IF(ISNUMBER('[1]#REF'!$AT$9),'[1]#REF'!$AT$9*Brand_Profile!$F$22,0)+IF(ISNUMBER('[1]#REF'!$AU$9),'[1]#REF'!$AU$9*Brand_Profile!$F$23,0)+IF(ISNUMBER('[1]#REF'!$AV$9),'[1]#REF'!$AV$9*Brand_Profile!$F$24,0)+IF(ISNUMBER('[1]#REF'!$AW$9),'[1]#REF'!$AW$9*Brand_Profile!$F$25,0)+IF(ISNUMBER('[1]#REF'!$AX$9),'[1]#REF'!$AX$9*Brand_Profile!$F$26,0)+IF(ISNUMBER('[1]#REF'!$AY$9),'[1]#REF'!$AY$9*Brand_Profile!$F$27,0)+IF(ISNUMBER('[1]#REF'!$AZ$9),'[1]#REF'!$AZ$9*Brand_Profile!$F$28,0)+IF(ISNUMBER('[1]#REF'!$BA$9),'[1]#REF'!$BA$9*Brand_Profile!$F$29,0)+IF(ISNUMBER('[1]#REF'!$BB$9),'[1]#REF'!$BB$9*Brand_Profile!$F$30,0)+IF(ISNUMBER('[1]#REF'!$BC$9),'[1]#REF'!$BC$9*Brand_Profile!$F$31,0)+IF(ISNUMBER('[1]#REF'!$BD$9),'[1]#REF'!$BD$9*Brand_Profile!$F$32,0)+IF(ISNUMBER('[1]#REF'!$BE$9),'[1]#REF'!$BE$9*Brand_Profile!$F$33,0)+IF(ISNUMBER('[1]#REF'!$BF$9),'[1]#REF'!$BF$9*Brand_Profile!$F$34,0))/Lookup_Lists!$D$318*100,0)))</f>
        <v>N/A</v>
      </c>
      <c r="S33" s="63">
        <f ca="1">IF((IF(ISNUMBER(Matching_Engine!$O$33),Lookup_Lists!$D$113,0)+IF(ISNUMBER(Matching_Engine!$P$33),Lookup_Lists!$D$114,0)+IF(ISNUMBER(Matching_Engine!$Q$33),Lookup_Lists!$D$115,0)+IF(ISNUMBER(Matching_Engine!$R$33),Lookup_Lists!$D$116,0))=0,"N/A",ROUND((IF(ISNUMBER(Matching_Engine!$O$33),Matching_Engine!$O$33*Lookup_Lists!$D$113,0)+IF(ISNUMBER(Matching_Engine!$P$33),Matching_Engine!$P$33*Lookup_Lists!$D$114,0)+IF(ISNUMBER(Matching_Engine!$Q$33),Matching_Engine!$Q$33*Lookup_Lists!$D$115,0)+IF(ISNUMBER(Matching_Engine!$R$33),Matching_Engine!$R$33*Lookup_Lists!$D$116,0))/(IF(ISNUMBER(Matching_Engine!$O$33),Lookup_Lists!$D$113,0)+IF(ISNUMBER(Matching_Engine!$P$33),Lookup_Lists!$D$114,0)+IF(ISNUMBER(Matching_Engine!$Q$33),Lookup_Lists!$D$115,0)+IF(ISNUMBER(Matching_Engine!$R$33),Lookup_Lists!$D$116,0)),0))</f>
        <v>76</v>
      </c>
      <c r="T33" s="42">
        <f ca="1">IF(ISNUMBER(Matching_Engine!$S$33),1,0)</f>
        <v>1</v>
      </c>
      <c r="U33" s="65" t="e">
        <f>IF(NOT(AND(ISTEXT('[1]#REF'!$M$9),'[1]#REF'!$M$9&lt;&gt;"N/A")),Lookup_Lists!$D$150,IF(Brand_Profile!$F$7='[1]#REF'!$M$9,100,IFERROR(INDEX(Lookup_Lists!$B$349:$J$357,MATCH(Brand_Profile!$F$7,Lookup_Lists!$A$349:$A$357,0),MATCH('[1]#REF'!$M$9,Lookup_Lists!$B$348:$J$348,0)),Lookup_Lists!$D$151)))</f>
        <v>#REF!</v>
      </c>
      <c r="V33" s="65" t="e">
        <f>IF(NOT(AND(ISTEXT('[1]#REF'!$P$9),'[1]#REF'!$P$9&lt;&gt;"N/A")),"N/A",IFERROR(INDEX(Lookup_Lists!$B$349:$J$357,MATCH(Brand_Profile!$F$7,Lookup_Lists!$A$349:$A$357,0),MATCH('[1]#REF'!$P$9,Lookup_Lists!$B$348:$J$348,0)),Lookup_Lists!$D$151))</f>
        <v>#REF!</v>
      </c>
      <c r="W33" s="65" t="e">
        <f>IF(LEN(TRIM(SUBSTITUTE(Matching_Engine!$BE$33,"|","")))=0,"N/A",IF(Brand_Profile!$F$60=0,Lookup_Lists!$D$150,ROUND((IF(Brand_Profile!$F$54="",0,IF(ISNUMBER(SEARCH(Brand_Profile!$F$54,Matching_Engine!$BE$33)),1,0))+IF(Brand_Profile!$F$55="",0,IF(ISNUMBER(SEARCH(Brand_Profile!$F$55,Matching_Engine!$BE$33)),1,0))+IF(Brand_Profile!$F$56="",0,IF(ISNUMBER(SEARCH(Brand_Profile!$F$56,Matching_Engine!$BE$33)),1,0))+IF(Brand_Profile!$F$57="",0,IF(ISNUMBER(SEARCH(Brand_Profile!$F$57,Matching_Engine!$BE$33)),1,0))+IF(Brand_Profile!$F$58="",0,IF(ISNUMBER(SEARCH(Brand_Profile!$F$58,Matching_Engine!$BE$33)),1,0))+IF(Brand_Profile!$F$59="",0,IF(ISNUMBER(SEARCH(Brand_Profile!$F$59,Matching_Engine!$BE$33)),1,0)))/Brand_Profile!$F$60*100,0)))</f>
        <v>#VALUE!</v>
      </c>
      <c r="X33" s="65" t="e">
        <f>IF(NOT(AND(ISTEXT('[1]#REF'!$Q$9),'[1]#REF'!$Q$9&lt;&gt;"N/A")),"N/A",Lookup_Lists!$D$150)</f>
        <v>#REF!</v>
      </c>
      <c r="Y33" s="63">
        <f>IF((IF(ISNUMBER(Matching_Engine!$U$33),Lookup_Lists!$D$335,0)+IF(ISNUMBER(Matching_Engine!$V$33),Lookup_Lists!$D$122,0)+IF(ISNUMBER(Matching_Engine!$W$33),Lookup_Lists!$D$336,0)+IF(ISNUMBER(Matching_Engine!$X$33),Lookup_Lists!$D$124,0))=0,"N/A",ROUND((IF(ISNUMBER(Matching_Engine!$U$33),Matching_Engine!$U$33*Lookup_Lists!$D$335,0)+IF(ISNUMBER(Matching_Engine!$V$33),Matching_Engine!$V$33*Lookup_Lists!$D$122,0)+IF(ISNUMBER(Matching_Engine!$W$33),Matching_Engine!$W$33*Lookup_Lists!$D$336,0)+IF(ISNUMBER(Matching_Engine!$X$33),Matching_Engine!$X$33*Lookup_Lists!$D$124,0))/(IF(ISNUMBER(Matching_Engine!$U$33),Lookup_Lists!$D$335,0)+IF(ISNUMBER(Matching_Engine!$V$33),Lookup_Lists!$D$122,0)+IF(ISNUMBER(Matching_Engine!$W$33),Lookup_Lists!$D$336,0)+IF(ISNUMBER(Matching_Engine!$X$33),Lookup_Lists!$D$124,0)),0))</f>
        <v>26</v>
      </c>
      <c r="Z33" s="42">
        <f>IF(ISNUMBER(Matching_Engine!$Y$33),1,0)</f>
        <v>1</v>
      </c>
      <c r="AA33" s="65" t="e">
        <f>IF(NOT(AND(ISTEXT('[1]#REF'!$Q$9),'[1]#REF'!$Q$9&lt;&gt;"N/A")),"N/A",Lookup_Lists!$D$150)</f>
        <v>#REF!</v>
      </c>
      <c r="AB33" s="65" t="e">
        <f>IF(NOT(AND(ISTEXT('[1]#REF'!$Q$9),'[1]#REF'!$Q$9&lt;&gt;"N/A")),"N/A",Lookup_Lists!$D$150)</f>
        <v>#REF!</v>
      </c>
      <c r="AC33" s="65" t="str">
        <f t="shared" si="0"/>
        <v>N/A</v>
      </c>
      <c r="AD33" s="65" t="e">
        <f>IF(NOT(AND(ISTEXT('[1]#REF'!$Q$9),'[1]#REF'!$Q$9&lt;&gt;"N/A")),"N/A",Lookup_Lists!$D$150)</f>
        <v>#REF!</v>
      </c>
      <c r="AE33" s="63">
        <f>IF((IF(ISNUMBER(Matching_Engine!$AA$33),Lookup_Lists!$D$125,0)+IF(ISNUMBER(Matching_Engine!$AB$33),Lookup_Lists!$D$126,0)+IF(ISNUMBER(Matching_Engine!$AC$33),Lookup_Lists!$D$127,0)+IF(ISNUMBER(Matching_Engine!$AD$33),Lookup_Lists!$D$128,0))=0,"N/A",ROUND((IF(ISNUMBER(Matching_Engine!$AA$33),Matching_Engine!$AA$33*Lookup_Lists!$D$125,0)+IF(ISNUMBER(Matching_Engine!$AB$33),Matching_Engine!$AB$33*Lookup_Lists!$D$126,0)+IF(ISNUMBER(Matching_Engine!$AC$33),Matching_Engine!$AC$33*Lookup_Lists!$D$127,0)+IF(ISNUMBER(Matching_Engine!$AD$33),Matching_Engine!$AD$33*Lookup_Lists!$D$128,0))/(IF(ISNUMBER(Matching_Engine!$AA$33),Lookup_Lists!$D$125,0)+IF(ISNUMBER(Matching_Engine!$AB$33),Lookup_Lists!$D$126,0)+IF(ISNUMBER(Matching_Engine!$AC$33),Lookup_Lists!$D$127,0)+IF(ISNUMBER(Matching_Engine!$AD$33),Lookup_Lists!$D$128,0)),0))</f>
        <v>61</v>
      </c>
      <c r="AF33" s="42">
        <f>IF(ISNUMBER(Matching_Engine!$AE$33),1,0)</f>
        <v>1</v>
      </c>
      <c r="AG33" s="65" t="str">
        <f>IF(NOT(ISNUMBER('[1]#REF'!$BG$9)),"N/A",MIN(100,ROUND('[1]#REF'!$BG$9/IFERROR(INDEX(Lookup_Lists!$B$340:$B$344,MATCH('[1]#REF'!$H$9,Lookup_Lists!$A$340:$A$344,0)),Lookup_Lists!$D$141)*100,0)))</f>
        <v>N/A</v>
      </c>
      <c r="AH33" s="65" t="str">
        <f>IF(NOT(ISNUMBER('[1]#REF'!$BS$9)),"N/A",MIN(100,MAX(0,'[1]#REF'!$BS$9)))</f>
        <v>N/A</v>
      </c>
      <c r="AI33" s="65" t="e">
        <f>IF(OR(NOT(ISNUMBER('[1]#REF'!$BM$9)),NOT(ISNUMBER('[1]#REF'!$BN$9)),'[1]#REF'!$BN$9&lt;Lookup_Lists!$D$320),"N/A",MIN(100,ROUND('[1]#REF'!$BM$9/Lookup_Lists!$D$319*100,0)))</f>
        <v>#REF!</v>
      </c>
      <c r="AJ33" s="65" t="str">
        <f>IF(NOT(ISNUMBER('[1]#REF'!$BR$9)),"N/A",'[1]#REF'!$BR$9)</f>
        <v>N/A</v>
      </c>
      <c r="AK33" s="65" t="str">
        <f>IF(NOT(ISNUMBER('[1]#REF'!$BK$9)),"N/A",MIN(100,ROUND('[1]#REF'!$BK$9/Lookup_Lists!$D$321*100,0)))</f>
        <v>N/A</v>
      </c>
      <c r="AL33" s="65" t="str">
        <f>IF(NOT(ISNUMBER('[1]#REF'!$BP$9)),"N/A",MIN(100,MAX(0,ROUND(('[1]#REF'!$BP$9+2)/(Lookup_Lists!$D$145+2)*100,0))))</f>
        <v>N/A</v>
      </c>
      <c r="AM33" s="63">
        <f>IF((IF(ISNUMBER(Matching_Engine!$AG$33),Lookup_Lists!$D$129,0)+IF(ISNUMBER(Matching_Engine!$AH$33),Lookup_Lists!$D$130,0)+IF(ISNUMBER(Matching_Engine!$AI$33),Lookup_Lists!$D$131,0)+IF(ISNUMBER(Matching_Engine!$AJ$33),Lookup_Lists!$D$132,0)+IF(ISNUMBER(Matching_Engine!$AK$33),Lookup_Lists!$D$133,0)+IF(ISNUMBER(Matching_Engine!$AL$33),Lookup_Lists!$D$134,0))=0,"N/A",ROUND((IF(ISNUMBER(Matching_Engine!$AG$33),Matching_Engine!$AG$33*Lookup_Lists!$D$129,0)+IF(ISNUMBER(Matching_Engine!$AH$33),Matching_Engine!$AH$33*Lookup_Lists!$D$130,0)+IF(ISNUMBER(Matching_Engine!$AI$33),Matching_Engine!$AI$33*Lookup_Lists!$D$131,0)+IF(ISNUMBER(Matching_Engine!$AJ$33),Matching_Engine!$AJ$33*Lookup_Lists!$D$132,0)+IF(ISNUMBER(Matching_Engine!$AK$33),Matching_Engine!$AK$33*Lookup_Lists!$D$133,0)+IF(ISNUMBER(Matching_Engine!$AL$33),Matching_Engine!$AL$33*Lookup_Lists!$D$134,0))/(IF(ISNUMBER(Matching_Engine!$AG$33),Lookup_Lists!$D$129,0)+IF(ISNUMBER(Matching_Engine!$AH$33),Lookup_Lists!$D$130,0)+IF(ISNUMBER(Matching_Engine!$AI$33),Lookup_Lists!$D$131,0)+IF(ISNUMBER(Matching_Engine!$AJ$33),Lookup_Lists!$D$132,0)+IF(ISNUMBER(Matching_Engine!$AK$33),Lookup_Lists!$D$133,0)+IF(ISNUMBER(Matching_Engine!$AL$33),Lookup_Lists!$D$134,0)),0))</f>
        <v>78</v>
      </c>
      <c r="AN33" s="42">
        <f>IF(ISNUMBER(Matching_Engine!$AM$33),1,0)</f>
        <v>0</v>
      </c>
      <c r="AO33" s="65" t="str">
        <f>IF(NOT(ISNUMBER('[1]#REF'!$BT$9)),"N/A",MIN(100,MAX(0,'[1]#REF'!$BT$9)))</f>
        <v>N/A</v>
      </c>
      <c r="AP33" s="65" t="str">
        <f>IF(NOT(ISNUMBER('[1]#REF'!$BU$9)),"N/A",MIN(100,MAX(0,'[1]#REF'!$BU$9)))</f>
        <v>N/A</v>
      </c>
      <c r="AQ33" s="65" t="e">
        <f>IF('[1]#REF'!$I$9="Yes",Lookup_Lists!$D$326,IF('[1]#REF'!$I$9="No",Lookup_Lists!$D$327,"N/A"))</f>
        <v>#REF!</v>
      </c>
      <c r="AR33" s="65" t="str">
        <f>IF(NOT(ISNUMBER('[1]#REF'!$BQ$9)),"N/A",MAX(0,ROUND(100-'[1]#REF'!$BQ$9/Lookup_Lists!$D$328*100,0)))</f>
        <v>N/A</v>
      </c>
      <c r="AS33" s="65" t="e">
        <f>IF(NOT(AND(ISTEXT('[1]#REF'!$BV$9),'[1]#REF'!$BV$9&lt;&gt;"N/A")),"N/A",'[1]#REF'!$BV$9)</f>
        <v>#REF!</v>
      </c>
      <c r="AT33" s="63" t="str">
        <f ca="1">IF((IF(ISNUMBER(Matching_Engine!$AO$33),Lookup_Lists!$D$322,0)+IF(ISNUMBER(Matching_Engine!$AP$33),Lookup_Lists!$D$323,0)+IF(ISNUMBER(Matching_Engine!$AQ$33),Lookup_Lists!$D$324,0)+IF(ISNUMBER(Matching_Engine!$AR$33),Lookup_Lists!$D$325,0))=0,"N/A",ROUND((IF(ISNUMBER(Matching_Engine!$AO$33),Matching_Engine!$AO$33*Lookup_Lists!$D$322,0)+IF(ISNUMBER(Matching_Engine!$AP$33),Matching_Engine!$AP$33*Lookup_Lists!$D$323,0)+IF(ISNUMBER(Matching_Engine!$AQ$33),Matching_Engine!$AQ$33*Lookup_Lists!$D$324,0)+IF(ISNUMBER(Matching_Engine!$AR$33),Matching_Engine!$AR$33*Lookup_Lists!$D$325,0))/(IF(ISNUMBER(Matching_Engine!$AO$33),Lookup_Lists!$D$322,0)+IF(ISNUMBER(Matching_Engine!$AP$33),Lookup_Lists!$D$323,0)+IF(ISNUMBER(Matching_Engine!$AQ$33),Lookup_Lists!$D$324,0)+IF(ISNUMBER(Matching_Engine!$AR$33),Lookup_Lists!$D$325,0)),0))</f>
        <v>N/A</v>
      </c>
      <c r="AU33" s="42">
        <f>IF(ISNUMBER(Matching_Engine!$AT$33),1,0)</f>
        <v>1</v>
      </c>
      <c r="AV33" s="42" t="str">
        <f>IF(NOT(ISNUMBER(Matching_Engine!$AT$33)),"Not Screened",IF(Matching_Engine!$AT$33&gt;=Lookup_Lists!$D$329,"Low Risk",IF(Matching_Engine!$AT$33&gt;=Lookup_Lists!$D$330,"Moderate Risk",IF(Matching_Engine!$AT$33&gt;=Lookup_Lists!$D$331,"Elevated Risk","High Risk"))))</f>
        <v>Low Risk</v>
      </c>
      <c r="AW33" s="42" t="e">
        <f ca="1">IF(NOT(ISNUMBER(Matching_Engine!$AT$33)),"No integrity signal: no audience-analysis row for this account.","Integrity screen only — no content-risk reading exists (comments_analysis: 0 rows). "&amp;IF(ISNUMBER(Matching_Engine!$AO$33),"Authenticity "&amp;Matching_Engine!$AO$33&amp;". ","Authenticity N/A. ")&amp;IF(ISNUMBER(Matching_Engine!$AP$33),"Follower quality "&amp;Matching_Engine!$AP$33&amp;". ","Follower quality N/A. ")&amp;IF('[1]#REF'!$I$9="Yes","Platform-verified.","Not platform-verified."))</f>
        <v>#REF!</v>
      </c>
      <c r="AX33" s="65">
        <f>Matching_Engine!$N$33*Lookup_Lists!$D$104+Matching_Engine!$T$33*Lookup_Lists!$D$105+Matching_Engine!$Z$33*Lookup_Lists!$D$106+Matching_Engine!$AF$33*Lookup_Lists!$D$107+Matching_Engine!$AN$33*Lookup_Lists!$D$108+Matching_Engine!$AU$33*Lookup_Lists!$D$109</f>
        <v>4590</v>
      </c>
      <c r="AY33" s="74" t="e">
        <f ca="1">IF(Matching_Engine!$AX$33=0,"N/A",ROUND((IF(Matching_Engine!$N$33=1,Matching_Engine!$M$33*Lookup_Lists!$D$104,0)+IF(Matching_Engine!$T$33=1,Matching_Engine!$S$33*Lookup_Lists!$D$105,0)+IF(Matching_Engine!$Z$33=1,Matching_Engine!$Y$33*Lookup_Lists!$D$106,0)+IF(Matching_Engine!$AF$33=1,Matching_Engine!$AE$33*Lookup_Lists!$D$107,0)+IF(Matching_Engine!$AN$33=1,Matching_Engine!$AM$33*Lookup_Lists!$D$108,0)+IF(Matching_Engine!$AU$33=1,Matching_Engine!$AT$33*Lookup_Lists!$D$109,0))/Matching_Engine!$AX$33,0))</f>
        <v>#VALUE!</v>
      </c>
      <c r="AZ33" s="42" t="str">
        <f ca="1">IF(NOT(ISNUMBER(Matching_Engine!$AY$33)),"Not Scored",IF(Matching_Engine!$AY$33&gt;=Lookup_Lists!$D$152,"Excellent Match",IF(Matching_Engine!$AY$33&gt;=Lookup_Lists!$D$153,"Strong Match",IF(Matching_Engine!$AY$33&gt;=Lookup_Lists!$D$154,"Good Match",IF(Matching_Engine!$AY$33&gt;=Lookup_Lists!$D$155,"Moderate Match","Low Match")))))</f>
        <v>Low Match</v>
      </c>
      <c r="BA33" s="65" t="e">
        <f>'[1]#REF'!$BW$9</f>
        <v>#REF!</v>
      </c>
      <c r="BB33" s="42" t="e">
        <f>'[1]#REF'!$BX$9</f>
        <v>#REF!</v>
      </c>
      <c r="BC33" s="65">
        <f ca="1">IF(NOT(ISNUMBER(Matching_Engine!$AY$33)),-1,Matching_Engine!$AY$33*1000+21)</f>
        <v>55021</v>
      </c>
      <c r="BD33" s="42" t="e">
        <f>IF(AND(ISTEXT('[1]#REF'!$S$9),'[1]#REF'!$S$9&lt;&gt;"N/A"),'[1]#REF'!$S$9,"")&amp;" | "&amp;IF(AND(ISTEXT('[1]#REF'!$T$9),'[1]#REF'!$T$9&lt;&gt;"N/A"),'[1]#REF'!$T$9,"")&amp;" | "&amp;IF(AND(ISTEXT('[1]#REF'!$N$9),'[1]#REF'!$N$9&lt;&gt;"N/A"),'[1]#REF'!$N$9,"")&amp;" | "&amp;IF(AND(ISTEXT('[1]#REF'!$K$9),'[1]#REF'!$K$9&lt;&gt;"N/A"),'[1]#REF'!$K$9,"")&amp;" | "&amp;IF(AND(ISTEXT('[1]#REF'!$J$9),'[1]#REF'!$J$9&lt;&gt;"N/A"),'[1]#REF'!$J$9,"")</f>
        <v>#REF!</v>
      </c>
      <c r="BE33" s="42" t="e">
        <f>IF(AND(ISTEXT('[1]#REF'!$T$9),'[1]#REF'!$T$9&lt;&gt;"N/A"),'[1]#REF'!$T$9,"")&amp;" | "&amp;IF(AND(ISTEXT('[1]#REF'!$N$9),'[1]#REF'!$N$9&lt;&gt;"N/A"),'[1]#REF'!$N$9,"")&amp;" | "&amp;IF(AND(ISTEXT('[1]#REF'!$O$9),'[1]#REF'!$O$9&lt;&gt;"N/A"),'[1]#REF'!$O$9,"")&amp;" | "&amp;IF(AND(ISTEXT('[1]#REF'!$S$9),'[1]#REF'!$S$9&lt;&gt;"N/A"),'[1]#REF'!$S$9,"")</f>
        <v>#REF!</v>
      </c>
      <c r="BF33" s="42" t="e">
        <f>IF(AND(ISTEXT('[1]#REF'!$U$9),'[1]#REF'!$U$9&lt;&gt;"N/A"),'[1]#REF'!$U$9,"")</f>
        <v>#REF!</v>
      </c>
      <c r="BG33" s="42" t="str">
        <f>Matching_Engine!$A$33&amp;"|"&amp;Matching_Engine!$C$33</f>
        <v>BRAND-A|KOL-28</v>
      </c>
    </row>
    <row r="34" spans="1:59">
      <c r="A34" s="64" t="s">
        <v>2528</v>
      </c>
      <c r="B34" s="42" t="str">
        <f>Brand_Profile!$F$6</f>
        <v>BRAND-C</v>
      </c>
      <c r="C34" s="42" t="e">
        <f>'[1]#REF'!$A$10</f>
        <v>#REF!</v>
      </c>
      <c r="D34" s="42" t="e">
        <f>'[1]#REF'!$C$10</f>
        <v>#REF!</v>
      </c>
      <c r="E34" s="42" t="e">
        <f>'[1]#REF'!$D$10</f>
        <v>#REF!</v>
      </c>
      <c r="F34" s="42" t="e">
        <f>'[1]#REF'!$E$10</f>
        <v>#REF!</v>
      </c>
      <c r="G34" s="42" t="e">
        <f>'[1]#REF'!$K$10</f>
        <v>#REF!</v>
      </c>
      <c r="H34" s="72" t="e">
        <f>'[1]#REF'!$G$10</f>
        <v>#REF!</v>
      </c>
      <c r="I34" s="73" t="e">
        <f>'[1]#REF'!$BG$10</f>
        <v>#REF!</v>
      </c>
      <c r="J34" s="65" t="e">
        <f>IF(NOT(AND(ISTEXT('[1]#REF'!$K$10),'[1]#REF'!$K$10&lt;&gt;"N/A")),Lookup_Lists!$D$150,IF(Brand_Profile!$F$7='[1]#REF'!$K$10,100,IFERROR(INDEX(Lookup_Lists!$B$349:$J$357,MATCH(Brand_Profile!$F$7,Lookup_Lists!$A$349:$A$357,0),MATCH('[1]#REF'!$K$10,Lookup_Lists!$B$348:$J$348,0)),Lookup_Lists!$D$151)))</f>
        <v>#REF!</v>
      </c>
      <c r="K34" s="65" t="e">
        <f>IF(LEN(TRIM(SUBSTITUTE(Matching_Engine!$BD$34,"|","")))=0,"N/A",IF(Brand_Profile!$F$47=0,Lookup_Lists!$D$150,ROUND((IF(Brand_Profile!$F$41="",0,IF(ISNUMBER(SEARCH(Brand_Profile!$F$41,Matching_Engine!$BD$34)),1,0))+IF(Brand_Profile!$F$42="",0,IF(ISNUMBER(SEARCH(Brand_Profile!$F$42,Matching_Engine!$BD$34)),1,0))+IF(Brand_Profile!$F$43="",0,IF(ISNUMBER(SEARCH(Brand_Profile!$F$43,Matching_Engine!$BD$34)),1,0))+IF(Brand_Profile!$F$44="",0,IF(ISNUMBER(SEARCH(Brand_Profile!$F$44,Matching_Engine!$BD$34)),1,0))+IF(Brand_Profile!$F$45="",0,IF(ISNUMBER(SEARCH(Brand_Profile!$F$45,Matching_Engine!$BD$34)),1,0))+IF(Brand_Profile!$F$46="",0,IF(ISNUMBER(SEARCH(Brand_Profile!$F$46,Matching_Engine!$BD$34)),1,0)))/Brand_Profile!$F$47*100,0)))</f>
        <v>#VALUE!</v>
      </c>
      <c r="L34" s="65" t="e">
        <f>IF(NOT(AND(ISTEXT('[1]#REF'!$U$10),'[1]#REF'!$U$10&lt;&gt;"N/A")),"N/A",IF(Brand_Profile!$F$53=0,Lookup_Lists!$D$150,ROUND((IF(Brand_Profile!$F$48="",0,IF(ISNUMBER(SEARCH(Brand_Profile!$F$48,Matching_Engine!$BF$34)),1,0))+IF(Brand_Profile!$F$49="",0,IF(ISNUMBER(SEARCH(Brand_Profile!$F$49,Matching_Engine!$BF$34)),1,0))+IF(Brand_Profile!$F$50="",0,IF(ISNUMBER(SEARCH(Brand_Profile!$F$50,Matching_Engine!$BF$34)),1,0))+IF(Brand_Profile!$F$51="",0,IF(ISNUMBER(SEARCH(Brand_Profile!$F$51,Matching_Engine!$BF$34)),1,0))+IF(Brand_Profile!$F$52="",0,IF(ISNUMBER(SEARCH(Brand_Profile!$F$52,Matching_Engine!$BF$34)),1,0)))/Brand_Profile!$F$53*100,0)))</f>
        <v>#REF!</v>
      </c>
      <c r="M34" s="63" t="str">
        <f>IF((IF(ISNUMBER(Matching_Engine!$J$34),Lookup_Lists!$D$332,0)+IF(ISNUMBER(Matching_Engine!$K$34),Lookup_Lists!$D$333,0)+IF(ISNUMBER(Matching_Engine!$L$34),Lookup_Lists!$D$334,0))=0,"N/A",ROUND((IF(ISNUMBER(Matching_Engine!$J$34),Matching_Engine!$J$34*Lookup_Lists!$D$332,0)+IF(ISNUMBER(Matching_Engine!$K$34),Matching_Engine!$K$34*Lookup_Lists!$D$333,0)+IF(ISNUMBER(Matching_Engine!$L$34),Matching_Engine!$L$34*Lookup_Lists!$D$334,0))/(IF(ISNUMBER(Matching_Engine!$J$34),Lookup_Lists!$D$332,0)+IF(ISNUMBER(Matching_Engine!$K$34),Lookup_Lists!$D$333,0)+IF(ISNUMBER(Matching_Engine!$L$34),Lookup_Lists!$D$334,0)),0))</f>
        <v>N/A</v>
      </c>
      <c r="N34" s="42">
        <f>IF(ISNUMBER(Matching_Engine!$M$34),1,0)</f>
        <v>1</v>
      </c>
      <c r="O34" s="65" t="str">
        <f ca="1">IF(NOT(ISNUMBER(IFERROR(INDEX('[1]#REF'!$V$10:'[1]#REF'!$Z$10,1,MATCH(Brand_Profile!$F$11,Lookup_Lists!$F$6:$F$10,0)),""))),"N/A",MIN(100,ROUND((IFERROR(INDEX('[1]#REF'!$V$10:'[1]#REF'!$Z$10,1,MATCH(Brand_Profile!$F$11,Lookup_Lists!$F$6:$F$10,0)),"")+0.5*IF(ISNUMBER(IFERROR(INDEX('[1]#REF'!$V$10:'[1]#REF'!$Z$10,1,MATCH(Brand_Profile!$F$12,Lookup_Lists!$F$6:$F$10,0)),"")),IFERROR(INDEX('[1]#REF'!$V$10:'[1]#REF'!$Z$10,1,MATCH(Brand_Profile!$F$12,Lookup_Lists!$F$6:$F$10,0)),""),0))/Lookup_Lists!$D$142*100,0)))</f>
        <v>N/A</v>
      </c>
      <c r="P34" s="65" t="str">
        <f>IF(Brand_Profile!$F$13="Any",100,IF(NOT(ISNUMBER('[1]#REF'!$AA$10)),"N/A",IF(Brand_Profile!$F$13="Female",MIN(100,ROUND('[1]#REF'!$AA$10/Lookup_Lists!$D$143*100,0)),IF(Brand_Profile!$F$13="Male",MIN(100,ROUND(IF(ISNUMBER('[1]#REF'!$AB$10),'[1]#REF'!$AB$10,100-'[1]#REF'!$AA$10)/Lookup_Lists!$D$143*100,0)),MAX(0,ROUND(100-ABS('[1]#REF'!$AA$10-50)*2,0))))))</f>
        <v>N/A</v>
      </c>
      <c r="Q34" s="65" t="str">
        <f>IF((IF(ISNUMBER(IF(NOT(ISNUMBER('[1]#REF'!$AE$10)),"N/A",IF('[1]#REF'!$AD$10&lt;&gt;Brand_Profile!$F$14,Lookup_Lists!$D$151,MIN(100,ROUND('[1]#REF'!$AE$10/Lookup_Lists!$D$316*100,0))))),Lookup_Lists!$D$118,0)+IF(ISNUMBER(IF(NOT(ISNUMBER('[1]#REF'!$AM$10)),"N/A",MIN(100,ROUND((IF('[1]#REF'!$AG$10=Brand_Profile!$F$15,IF(ISNUMBER('[1]#REF'!$AH$10),'[1]#REF'!$AH$10,0),0)+IF('[1]#REF'!$AI$10=Brand_Profile!$F$15,IF(ISNUMBER('[1]#REF'!$AJ$10),'[1]#REF'!$AJ$10,0),0)+IF('[1]#REF'!$AK$10=Brand_Profile!$F$15,IF(ISNUMBER('[1]#REF'!$AL$10),'[1]#REF'!$AL$10,0),0))/Lookup_Lists!$D$317*100,0)))),Lookup_Lists!$D$120,0))=0,"N/A",ROUND((IF(ISNUMBER(IF(NOT(ISNUMBER('[1]#REF'!$AE$10)),"N/A",IF('[1]#REF'!$AD$10&lt;&gt;Brand_Profile!$F$14,Lookup_Lists!$D$151,MIN(100,ROUND('[1]#REF'!$AE$10/Lookup_Lists!$D$316*100,0))))),IF(NOT(ISNUMBER('[1]#REF'!$AE$10)),"N/A",IF('[1]#REF'!$AD$10&lt;&gt;Brand_Profile!$F$14,Lookup_Lists!$D$151,MIN(100,ROUND('[1]#REF'!$AE$10/Lookup_Lists!$D$316*100,0))))*Lookup_Lists!$D$118,0)+IF(ISNUMBER(IF(NOT(ISNUMBER('[1]#REF'!$AM$10)),"N/A",MIN(100,ROUND((IF('[1]#REF'!$AG$10=Brand_Profile!$F$15,IF(ISNUMBER('[1]#REF'!$AH$10),'[1]#REF'!$AH$10,0),0)+IF('[1]#REF'!$AI$10=Brand_Profile!$F$15,IF(ISNUMBER('[1]#REF'!$AJ$10),'[1]#REF'!$AJ$10,0),0)+IF('[1]#REF'!$AK$10=Brand_Profile!$F$15,IF(ISNUMBER('[1]#REF'!$AL$10),'[1]#REF'!$AL$10,0),0))/Lookup_Lists!$D$317*100,0)))),IF(NOT(ISNUMBER('[1]#REF'!$AM$10)),"N/A",MIN(100,ROUND((IF('[1]#REF'!$AG$10=Brand_Profile!$F$15,IF(ISNUMBER('[1]#REF'!$AH$10),'[1]#REF'!$AH$10,0),0)+IF('[1]#REF'!$AI$10=Brand_Profile!$F$15,IF(ISNUMBER('[1]#REF'!$AJ$10),'[1]#REF'!$AJ$10,0),0)+IF('[1]#REF'!$AK$10=Brand_Profile!$F$15,IF(ISNUMBER('[1]#REF'!$AL$10),'[1]#REF'!$AL$10,0),0))/Lookup_Lists!$D$317*100,0)))*Lookup_Lists!$D$120,0))/(IF(ISNUMBER(IF(NOT(ISNUMBER('[1]#REF'!$AE$10)),"N/A",IF('[1]#REF'!$AD$10&lt;&gt;Brand_Profile!$F$14,Lookup_Lists!$D$151,MIN(100,ROUND('[1]#REF'!$AE$10/Lookup_Lists!$D$316*100,0))))),Lookup_Lists!$D$118,0)+IF(ISNUMBER(IF(NOT(ISNUMBER('[1]#REF'!$AM$10)),"N/A",MIN(100,ROUND((IF('[1]#REF'!$AG$10=Brand_Profile!$F$15,IF(ISNUMBER('[1]#REF'!$AH$10),'[1]#REF'!$AH$10,0),0)+IF('[1]#REF'!$AI$10=Brand_Profile!$F$15,IF(ISNUMBER('[1]#REF'!$AJ$10),'[1]#REF'!$AJ$10,0),0)+IF('[1]#REF'!$AK$10=Brand_Profile!$F$15,IF(ISNUMBER('[1]#REF'!$AL$10),'[1]#REF'!$AL$10,0),0))/Lookup_Lists!$D$317*100,0)))),Lookup_Lists!$D$120,0)),0))</f>
        <v>N/A</v>
      </c>
      <c r="R34" s="65" t="str">
        <f>IF(NOT(ISNUMBER('[1]#REF'!$AN$10)),"N/A",MIN(100,ROUND((IF(ISNUMBER('[1]#REF'!$AO$10),'[1]#REF'!$AO$10*Brand_Profile!$F$17,0)+IF(ISNUMBER('[1]#REF'!$AP$10),'[1]#REF'!$AP$10*Brand_Profile!$F$18,0)+IF(ISNUMBER('[1]#REF'!$AQ$10),'[1]#REF'!$AQ$10*Brand_Profile!$F$19,0)+IF(ISNUMBER('[1]#REF'!$AR$10),'[1]#REF'!$AR$10*Brand_Profile!$F$20,0)+IF(ISNUMBER('[1]#REF'!$AS$10),'[1]#REF'!$AS$10*Brand_Profile!$F$21,0)+IF(ISNUMBER('[1]#REF'!$AT$10),'[1]#REF'!$AT$10*Brand_Profile!$F$22,0)+IF(ISNUMBER('[1]#REF'!$AU$10),'[1]#REF'!$AU$10*Brand_Profile!$F$23,0)+IF(ISNUMBER('[1]#REF'!$AV$10),'[1]#REF'!$AV$10*Brand_Profile!$F$24,0)+IF(ISNUMBER('[1]#REF'!$AW$10),'[1]#REF'!$AW$10*Brand_Profile!$F$25,0)+IF(ISNUMBER('[1]#REF'!$AX$10),'[1]#REF'!$AX$10*Brand_Profile!$F$26,0)+IF(ISNUMBER('[1]#REF'!$AY$10),'[1]#REF'!$AY$10*Brand_Profile!$F$27,0)+IF(ISNUMBER('[1]#REF'!$AZ$10),'[1]#REF'!$AZ$10*Brand_Profile!$F$28,0)+IF(ISNUMBER('[1]#REF'!$BA$10),'[1]#REF'!$BA$10*Brand_Profile!$F$29,0)+IF(ISNUMBER('[1]#REF'!$BB$10),'[1]#REF'!$BB$10*Brand_Profile!$F$30,0)+IF(ISNUMBER('[1]#REF'!$BC$10),'[1]#REF'!$BC$10*Brand_Profile!$F$31,0)+IF(ISNUMBER('[1]#REF'!$BD$10),'[1]#REF'!$BD$10*Brand_Profile!$F$32,0)+IF(ISNUMBER('[1]#REF'!$BE$10),'[1]#REF'!$BE$10*Brand_Profile!$F$33,0)+IF(ISNUMBER('[1]#REF'!$BF$10),'[1]#REF'!$BF$10*Brand_Profile!$F$34,0))/Lookup_Lists!$D$318*100,0)))</f>
        <v>N/A</v>
      </c>
      <c r="S34" s="63">
        <f ca="1">IF((IF(ISNUMBER(Matching_Engine!$O$34),Lookup_Lists!$D$113,0)+IF(ISNUMBER(Matching_Engine!$P$34),Lookup_Lists!$D$114,0)+IF(ISNUMBER(Matching_Engine!$Q$34),Lookup_Lists!$D$115,0)+IF(ISNUMBER(Matching_Engine!$R$34),Lookup_Lists!$D$116,0))=0,"N/A",ROUND((IF(ISNUMBER(Matching_Engine!$O$34),Matching_Engine!$O$34*Lookup_Lists!$D$113,0)+IF(ISNUMBER(Matching_Engine!$P$34),Matching_Engine!$P$34*Lookup_Lists!$D$114,0)+IF(ISNUMBER(Matching_Engine!$Q$34),Matching_Engine!$Q$34*Lookup_Lists!$D$115,0)+IF(ISNUMBER(Matching_Engine!$R$34),Matching_Engine!$R$34*Lookup_Lists!$D$116,0))/(IF(ISNUMBER(Matching_Engine!$O$34),Lookup_Lists!$D$113,0)+IF(ISNUMBER(Matching_Engine!$P$34),Lookup_Lists!$D$114,0)+IF(ISNUMBER(Matching_Engine!$Q$34),Lookup_Lists!$D$115,0)+IF(ISNUMBER(Matching_Engine!$R$34),Lookup_Lists!$D$116,0)),0))</f>
        <v>60</v>
      </c>
      <c r="T34" s="42">
        <f ca="1">IF(ISNUMBER(Matching_Engine!$S$34),1,0)</f>
        <v>1</v>
      </c>
      <c r="U34" s="65" t="e">
        <f>IF(NOT(AND(ISTEXT('[1]#REF'!$M$10),'[1]#REF'!$M$10&lt;&gt;"N/A")),Lookup_Lists!$D$150,IF(Brand_Profile!$F$7='[1]#REF'!$M$10,100,IFERROR(INDEX(Lookup_Lists!$B$349:$J$357,MATCH(Brand_Profile!$F$7,Lookup_Lists!$A$349:$A$357,0),MATCH('[1]#REF'!$M$10,Lookup_Lists!$B$348:$J$348,0)),Lookup_Lists!$D$151)))</f>
        <v>#REF!</v>
      </c>
      <c r="V34" s="65" t="e">
        <f>IF(NOT(AND(ISTEXT('[1]#REF'!$P$10),'[1]#REF'!$P$10&lt;&gt;"N/A")),"N/A",IFERROR(INDEX(Lookup_Lists!$B$349:$J$357,MATCH(Brand_Profile!$F$7,Lookup_Lists!$A$349:$A$357,0),MATCH('[1]#REF'!$P$10,Lookup_Lists!$B$348:$J$348,0)),Lookup_Lists!$D$151))</f>
        <v>#REF!</v>
      </c>
      <c r="W34" s="65" t="e">
        <f>IF(LEN(TRIM(SUBSTITUTE(Matching_Engine!$BE$34,"|","")))=0,"N/A",IF(Brand_Profile!$F$60=0,Lookup_Lists!$D$150,ROUND((IF(Brand_Profile!$F$54="",0,IF(ISNUMBER(SEARCH(Brand_Profile!$F$54,Matching_Engine!$BE$34)),1,0))+IF(Brand_Profile!$F$55="",0,IF(ISNUMBER(SEARCH(Brand_Profile!$F$55,Matching_Engine!$BE$34)),1,0))+IF(Brand_Profile!$F$56="",0,IF(ISNUMBER(SEARCH(Brand_Profile!$F$56,Matching_Engine!$BE$34)),1,0))+IF(Brand_Profile!$F$57="",0,IF(ISNUMBER(SEARCH(Brand_Profile!$F$57,Matching_Engine!$BE$34)),1,0))+IF(Brand_Profile!$F$58="",0,IF(ISNUMBER(SEARCH(Brand_Profile!$F$58,Matching_Engine!$BE$34)),1,0))+IF(Brand_Profile!$F$59="",0,IF(ISNUMBER(SEARCH(Brand_Profile!$F$59,Matching_Engine!$BE$34)),1,0)))/Brand_Profile!$F$60*100,0)))</f>
        <v>#VALUE!</v>
      </c>
      <c r="X34" s="65" t="e">
        <f>IF(NOT(AND(ISTEXT('[1]#REF'!$Q$10),'[1]#REF'!$Q$10&lt;&gt;"N/A")),"N/A",Lookup_Lists!$D$150)</f>
        <v>#REF!</v>
      </c>
      <c r="Y34" s="63">
        <f>IF((IF(ISNUMBER(Matching_Engine!$U$34),Lookup_Lists!$D$335,0)+IF(ISNUMBER(Matching_Engine!$V$34),Lookup_Lists!$D$122,0)+IF(ISNUMBER(Matching_Engine!$W$34),Lookup_Lists!$D$336,0)+IF(ISNUMBER(Matching_Engine!$X$34),Lookup_Lists!$D$124,0))=0,"N/A",ROUND((IF(ISNUMBER(Matching_Engine!$U$34),Matching_Engine!$U$34*Lookup_Lists!$D$335,0)+IF(ISNUMBER(Matching_Engine!$V$34),Matching_Engine!$V$34*Lookup_Lists!$D$122,0)+IF(ISNUMBER(Matching_Engine!$W$34),Matching_Engine!$W$34*Lookup_Lists!$D$336,0)+IF(ISNUMBER(Matching_Engine!$X$34),Matching_Engine!$X$34*Lookup_Lists!$D$124,0))/(IF(ISNUMBER(Matching_Engine!$U$34),Lookup_Lists!$D$335,0)+IF(ISNUMBER(Matching_Engine!$V$34),Lookup_Lists!$D$122,0)+IF(ISNUMBER(Matching_Engine!$W$34),Lookup_Lists!$D$336,0)+IF(ISNUMBER(Matching_Engine!$X$34),Lookup_Lists!$D$124,0)),0))</f>
        <v>13</v>
      </c>
      <c r="Z34" s="42">
        <f>IF(ISNUMBER(Matching_Engine!$Y$34),1,0)</f>
        <v>1</v>
      </c>
      <c r="AA34" s="65" t="e">
        <f>IF(NOT(AND(ISTEXT('[1]#REF'!$Q$10),'[1]#REF'!$Q$10&lt;&gt;"N/A")),"N/A",Lookup_Lists!$D$150)</f>
        <v>#REF!</v>
      </c>
      <c r="AB34" s="65" t="e">
        <f>IF(NOT(AND(ISTEXT('[1]#REF'!$Q$10),'[1]#REF'!$Q$10&lt;&gt;"N/A")),"N/A",Lookup_Lists!$D$150)</f>
        <v>#REF!</v>
      </c>
      <c r="AC34" s="65" t="str">
        <f t="shared" si="0"/>
        <v>N/A</v>
      </c>
      <c r="AD34" s="65" t="e">
        <f>IF(NOT(AND(ISTEXT('[1]#REF'!$Q$10),'[1]#REF'!$Q$10&lt;&gt;"N/A")),"N/A",Lookup_Lists!$D$150)</f>
        <v>#REF!</v>
      </c>
      <c r="AE34" s="63">
        <f>IF((IF(ISNUMBER(Matching_Engine!$AA$34),Lookup_Lists!$D$125,0)+IF(ISNUMBER(Matching_Engine!$AB$34),Lookup_Lists!$D$126,0)+IF(ISNUMBER(Matching_Engine!$AC$34),Lookup_Lists!$D$127,0)+IF(ISNUMBER(Matching_Engine!$AD$34),Lookup_Lists!$D$128,0))=0,"N/A",ROUND((IF(ISNUMBER(Matching_Engine!$AA$34),Matching_Engine!$AA$34*Lookup_Lists!$D$125,0)+IF(ISNUMBER(Matching_Engine!$AB$34),Matching_Engine!$AB$34*Lookup_Lists!$D$126,0)+IF(ISNUMBER(Matching_Engine!$AC$34),Matching_Engine!$AC$34*Lookup_Lists!$D$127,0)+IF(ISNUMBER(Matching_Engine!$AD$34),Matching_Engine!$AD$34*Lookup_Lists!$D$128,0))/(IF(ISNUMBER(Matching_Engine!$AA$34),Lookup_Lists!$D$125,0)+IF(ISNUMBER(Matching_Engine!$AB$34),Lookup_Lists!$D$126,0)+IF(ISNUMBER(Matching_Engine!$AC$34),Lookup_Lists!$D$127,0)+IF(ISNUMBER(Matching_Engine!$AD$34),Lookup_Lists!$D$128,0)),0))</f>
        <v>62</v>
      </c>
      <c r="AF34" s="42">
        <f>IF(ISNUMBER(Matching_Engine!$AE$34),1,0)</f>
        <v>1</v>
      </c>
      <c r="AG34" s="65" t="str">
        <f>IF(NOT(ISNUMBER('[1]#REF'!$BG$10)),"N/A",MIN(100,ROUND('[1]#REF'!$BG$10/IFERROR(INDEX(Lookup_Lists!$B$340:$B$344,MATCH('[1]#REF'!$H$10,Lookup_Lists!$A$340:$A$344,0)),Lookup_Lists!$D$141)*100,0)))</f>
        <v>N/A</v>
      </c>
      <c r="AH34" s="65" t="str">
        <f>IF(NOT(ISNUMBER('[1]#REF'!$BS$10)),"N/A",MIN(100,MAX(0,'[1]#REF'!$BS$10)))</f>
        <v>N/A</v>
      </c>
      <c r="AI34" s="65" t="e">
        <f>IF(OR(NOT(ISNUMBER('[1]#REF'!$BM$10)),NOT(ISNUMBER('[1]#REF'!$BN$10)),'[1]#REF'!$BN$10&lt;Lookup_Lists!$D$320),"N/A",MIN(100,ROUND('[1]#REF'!$BM$10/Lookup_Lists!$D$319*100,0)))</f>
        <v>#REF!</v>
      </c>
      <c r="AJ34" s="65" t="str">
        <f>IF(NOT(ISNUMBER('[1]#REF'!$BR$10)),"N/A",'[1]#REF'!$BR$10)</f>
        <v>N/A</v>
      </c>
      <c r="AK34" s="65" t="str">
        <f>IF(NOT(ISNUMBER('[1]#REF'!$BK$10)),"N/A",MIN(100,ROUND('[1]#REF'!$BK$10/Lookup_Lists!$D$321*100,0)))</f>
        <v>N/A</v>
      </c>
      <c r="AL34" s="65" t="str">
        <f>IF(NOT(ISNUMBER('[1]#REF'!$BP$10)),"N/A",MIN(100,MAX(0,ROUND(('[1]#REF'!$BP$10+2)/(Lookup_Lists!$D$145+2)*100,0))))</f>
        <v>N/A</v>
      </c>
      <c r="AM34" s="63">
        <f>IF((IF(ISNUMBER(Matching_Engine!$AG$34),Lookup_Lists!$D$129,0)+IF(ISNUMBER(Matching_Engine!$AH$34),Lookup_Lists!$D$130,0)+IF(ISNUMBER(Matching_Engine!$AI$34),Lookup_Lists!$D$131,0)+IF(ISNUMBER(Matching_Engine!$AJ$34),Lookup_Lists!$D$132,0)+IF(ISNUMBER(Matching_Engine!$AK$34),Lookup_Lists!$D$133,0)+IF(ISNUMBER(Matching_Engine!$AL$34),Lookup_Lists!$D$134,0))=0,"N/A",ROUND((IF(ISNUMBER(Matching_Engine!$AG$34),Matching_Engine!$AG$34*Lookup_Lists!$D$129,0)+IF(ISNUMBER(Matching_Engine!$AH$34),Matching_Engine!$AH$34*Lookup_Lists!$D$130,0)+IF(ISNUMBER(Matching_Engine!$AI$34),Matching_Engine!$AI$34*Lookup_Lists!$D$131,0)+IF(ISNUMBER(Matching_Engine!$AJ$34),Matching_Engine!$AJ$34*Lookup_Lists!$D$132,0)+IF(ISNUMBER(Matching_Engine!$AK$34),Matching_Engine!$AK$34*Lookup_Lists!$D$133,0)+IF(ISNUMBER(Matching_Engine!$AL$34),Matching_Engine!$AL$34*Lookup_Lists!$D$134,0))/(IF(ISNUMBER(Matching_Engine!$AG$34),Lookup_Lists!$D$129,0)+IF(ISNUMBER(Matching_Engine!$AH$34),Lookup_Lists!$D$130,0)+IF(ISNUMBER(Matching_Engine!$AI$34),Lookup_Lists!$D$131,0)+IF(ISNUMBER(Matching_Engine!$AJ$34),Lookup_Lists!$D$132,0)+IF(ISNUMBER(Matching_Engine!$AK$34),Lookup_Lists!$D$133,0)+IF(ISNUMBER(Matching_Engine!$AL$34),Lookup_Lists!$D$134,0)),0))</f>
        <v>66</v>
      </c>
      <c r="AN34" s="42">
        <f>IF(ISNUMBER(Matching_Engine!$AM$34),1,0)</f>
        <v>0</v>
      </c>
      <c r="AO34" s="65" t="str">
        <f>IF(NOT(ISNUMBER('[1]#REF'!$BT$10)),"N/A",MIN(100,MAX(0,'[1]#REF'!$BT$10)))</f>
        <v>N/A</v>
      </c>
      <c r="AP34" s="65" t="str">
        <f>IF(NOT(ISNUMBER('[1]#REF'!$BU$10)),"N/A",MIN(100,MAX(0,'[1]#REF'!$BU$10)))</f>
        <v>N/A</v>
      </c>
      <c r="AQ34" s="65" t="e">
        <f>IF('[1]#REF'!$I$10="Yes",Lookup_Lists!$D$326,IF('[1]#REF'!$I$10="No",Lookup_Lists!$D$327,"N/A"))</f>
        <v>#REF!</v>
      </c>
      <c r="AR34" s="65" t="str">
        <f>IF(NOT(ISNUMBER('[1]#REF'!$BQ$10)),"N/A",MAX(0,ROUND(100-'[1]#REF'!$BQ$10/Lookup_Lists!$D$328*100,0)))</f>
        <v>N/A</v>
      </c>
      <c r="AS34" s="65" t="e">
        <f>IF(NOT(AND(ISTEXT('[1]#REF'!$BV$10),'[1]#REF'!$BV$10&lt;&gt;"N/A")),"N/A",'[1]#REF'!$BV$10)</f>
        <v>#REF!</v>
      </c>
      <c r="AT34" s="63" t="str">
        <f ca="1">IF((IF(ISNUMBER(Matching_Engine!$AO$34),Lookup_Lists!$D$322,0)+IF(ISNUMBER(Matching_Engine!$AP$34),Lookup_Lists!$D$323,0)+IF(ISNUMBER(Matching_Engine!$AQ$34),Lookup_Lists!$D$324,0)+IF(ISNUMBER(Matching_Engine!$AR$34),Lookup_Lists!$D$325,0))=0,"N/A",ROUND((IF(ISNUMBER(Matching_Engine!$AO$34),Matching_Engine!$AO$34*Lookup_Lists!$D$322,0)+IF(ISNUMBER(Matching_Engine!$AP$34),Matching_Engine!$AP$34*Lookup_Lists!$D$323,0)+IF(ISNUMBER(Matching_Engine!$AQ$34),Matching_Engine!$AQ$34*Lookup_Lists!$D$324,0)+IF(ISNUMBER(Matching_Engine!$AR$34),Matching_Engine!$AR$34*Lookup_Lists!$D$325,0))/(IF(ISNUMBER(Matching_Engine!$AO$34),Lookup_Lists!$D$322,0)+IF(ISNUMBER(Matching_Engine!$AP$34),Lookup_Lists!$D$323,0)+IF(ISNUMBER(Matching_Engine!$AQ$34),Lookup_Lists!$D$324,0)+IF(ISNUMBER(Matching_Engine!$AR$34),Lookup_Lists!$D$325,0)),0))</f>
        <v>N/A</v>
      </c>
      <c r="AU34" s="42">
        <f>IF(ISNUMBER(Matching_Engine!$AT$34),1,0)</f>
        <v>1</v>
      </c>
      <c r="AV34" s="42" t="str">
        <f>IF(NOT(ISNUMBER(Matching_Engine!$AT$34)),"Not Screened",IF(Matching_Engine!$AT$34&gt;=Lookup_Lists!$D$329,"Low Risk",IF(Matching_Engine!$AT$34&gt;=Lookup_Lists!$D$330,"Moderate Risk",IF(Matching_Engine!$AT$34&gt;=Lookup_Lists!$D$331,"Elevated Risk","High Risk"))))</f>
        <v>Low Risk</v>
      </c>
      <c r="AW34" s="42" t="e">
        <f ca="1">IF(NOT(ISNUMBER(Matching_Engine!$AT$34)),"No integrity signal: no audience-analysis row for this account.","Integrity screen only — no content-risk reading exists (comments_analysis: 0 rows). "&amp;IF(ISNUMBER(Matching_Engine!$AO$34),"Authenticity "&amp;Matching_Engine!$AO$34&amp;". ","Authenticity N/A. ")&amp;IF(ISNUMBER(Matching_Engine!$AP$34),"Follower quality "&amp;Matching_Engine!$AP$34&amp;". ","Follower quality N/A. ")&amp;IF('[1]#REF'!$I$10="Yes","Platform-verified.","Not platform-verified."))</f>
        <v>#REF!</v>
      </c>
      <c r="AX34" s="65">
        <f>Matching_Engine!$N$34*Lookup_Lists!$D$104+Matching_Engine!$T$34*Lookup_Lists!$D$105+Matching_Engine!$Z$34*Lookup_Lists!$D$106+Matching_Engine!$AF$34*Lookup_Lists!$D$107+Matching_Engine!$AN$34*Lookup_Lists!$D$108+Matching_Engine!$AU$34*Lookup_Lists!$D$109</f>
        <v>4420</v>
      </c>
      <c r="AY34" s="74" t="e">
        <f ca="1">IF(Matching_Engine!$AX$34=0,"N/A",ROUND((IF(Matching_Engine!$N$34=1,Matching_Engine!$M$34*Lookup_Lists!$D$104,0)+IF(Matching_Engine!$T$34=1,Matching_Engine!$S$34*Lookup_Lists!$D$105,0)+IF(Matching_Engine!$Z$34=1,Matching_Engine!$Y$34*Lookup_Lists!$D$106,0)+IF(Matching_Engine!$AF$34=1,Matching_Engine!$AE$34*Lookup_Lists!$D$107,0)+IF(Matching_Engine!$AN$34=1,Matching_Engine!$AM$34*Lookup_Lists!$D$108,0)+IF(Matching_Engine!$AU$34=1,Matching_Engine!$AT$34*Lookup_Lists!$D$109,0))/Matching_Engine!$AX$34,0))</f>
        <v>#VALUE!</v>
      </c>
      <c r="AZ34" s="42" t="str">
        <f ca="1">IF(NOT(ISNUMBER(Matching_Engine!$AY$34)),"Not Scored",IF(Matching_Engine!$AY$34&gt;=Lookup_Lists!$D$152,"Excellent Match",IF(Matching_Engine!$AY$34&gt;=Lookup_Lists!$D$153,"Strong Match",IF(Matching_Engine!$AY$34&gt;=Lookup_Lists!$D$154,"Good Match",IF(Matching_Engine!$AY$34&gt;=Lookup_Lists!$D$155,"Moderate Match","Low Match")))))</f>
        <v>Low Match</v>
      </c>
      <c r="BA34" s="65" t="e">
        <f>'[1]#REF'!$BW$10</f>
        <v>#REF!</v>
      </c>
      <c r="BB34" s="42" t="e">
        <f>'[1]#REF'!$BX$10</f>
        <v>#REF!</v>
      </c>
      <c r="BC34" s="65">
        <f ca="1">IF(NOT(ISNUMBER(Matching_Engine!$AY$34)),-1,Matching_Engine!$AY$34*1000+20)</f>
        <v>47020</v>
      </c>
      <c r="BD34" s="42" t="e">
        <f>IF(AND(ISTEXT('[1]#REF'!$S$10),'[1]#REF'!$S$10&lt;&gt;"N/A"),'[1]#REF'!$S$10,"")&amp;" | "&amp;IF(AND(ISTEXT('[1]#REF'!$T$10),'[1]#REF'!$T$10&lt;&gt;"N/A"),'[1]#REF'!$T$10,"")&amp;" | "&amp;IF(AND(ISTEXT('[1]#REF'!$N$10),'[1]#REF'!$N$10&lt;&gt;"N/A"),'[1]#REF'!$N$10,"")&amp;" | "&amp;IF(AND(ISTEXT('[1]#REF'!$K$10),'[1]#REF'!$K$10&lt;&gt;"N/A"),'[1]#REF'!$K$10,"")&amp;" | "&amp;IF(AND(ISTEXT('[1]#REF'!$J$10),'[1]#REF'!$J$10&lt;&gt;"N/A"),'[1]#REF'!$J$10,"")</f>
        <v>#REF!</v>
      </c>
      <c r="BE34" s="42" t="e">
        <f>IF(AND(ISTEXT('[1]#REF'!$T$10),'[1]#REF'!$T$10&lt;&gt;"N/A"),'[1]#REF'!$T$10,"")&amp;" | "&amp;IF(AND(ISTEXT('[1]#REF'!$N$10),'[1]#REF'!$N$10&lt;&gt;"N/A"),'[1]#REF'!$N$10,"")&amp;" | "&amp;IF(AND(ISTEXT('[1]#REF'!$O$10),'[1]#REF'!$O$10&lt;&gt;"N/A"),'[1]#REF'!$O$10,"")&amp;" | "&amp;IF(AND(ISTEXT('[1]#REF'!$S$10),'[1]#REF'!$S$10&lt;&gt;"N/A"),'[1]#REF'!$S$10,"")</f>
        <v>#REF!</v>
      </c>
      <c r="BF34" s="42" t="e">
        <f>IF(AND(ISTEXT('[1]#REF'!$U$10),'[1]#REF'!$U$10&lt;&gt;"N/A"),'[1]#REF'!$U$10,"")</f>
        <v>#REF!</v>
      </c>
      <c r="BG34" s="42" t="str">
        <f>Matching_Engine!$A$34&amp;"|"&amp;Matching_Engine!$C$34</f>
        <v>BRAND-A|KOL-29</v>
      </c>
    </row>
    <row r="35" spans="1:59">
      <c r="A35" s="64" t="s">
        <v>2528</v>
      </c>
      <c r="B35" s="42" t="str">
        <f>Brand_Profile!$F$6</f>
        <v>BRAND-C</v>
      </c>
      <c r="C35" s="42" t="e">
        <f>'[1]#REF'!$A$11</f>
        <v>#REF!</v>
      </c>
      <c r="D35" s="42" t="e">
        <f>'[1]#REF'!$C$11</f>
        <v>#REF!</v>
      </c>
      <c r="E35" s="42" t="e">
        <f>'[1]#REF'!$D$11</f>
        <v>#REF!</v>
      </c>
      <c r="F35" s="42" t="e">
        <f>'[1]#REF'!$E$11</f>
        <v>#REF!</v>
      </c>
      <c r="G35" s="42" t="e">
        <f>'[1]#REF'!$K$11</f>
        <v>#REF!</v>
      </c>
      <c r="H35" s="72" t="e">
        <f>'[1]#REF'!$G$11</f>
        <v>#REF!</v>
      </c>
      <c r="I35" s="73" t="e">
        <f>'[1]#REF'!$BG$11</f>
        <v>#REF!</v>
      </c>
      <c r="J35" s="65" t="e">
        <f>IF(NOT(AND(ISTEXT('[1]#REF'!$K$11),'[1]#REF'!$K$11&lt;&gt;"N/A")),Lookup_Lists!$D$150,IF(Brand_Profile!$F$7='[1]#REF'!$K$11,100,IFERROR(INDEX(Lookup_Lists!$B$349:$J$357,MATCH(Brand_Profile!$F$7,Lookup_Lists!$A$349:$A$357,0),MATCH('[1]#REF'!$K$11,Lookup_Lists!$B$348:$J$348,0)),Lookup_Lists!$D$151)))</f>
        <v>#REF!</v>
      </c>
      <c r="K35" s="65" t="e">
        <f>IF(LEN(TRIM(SUBSTITUTE(Matching_Engine!$BD$35,"|","")))=0,"N/A",IF(Brand_Profile!$F$47=0,Lookup_Lists!$D$150,ROUND((IF(Brand_Profile!$F$41="",0,IF(ISNUMBER(SEARCH(Brand_Profile!$F$41,Matching_Engine!$BD$35)),1,0))+IF(Brand_Profile!$F$42="",0,IF(ISNUMBER(SEARCH(Brand_Profile!$F$42,Matching_Engine!$BD$35)),1,0))+IF(Brand_Profile!$F$43="",0,IF(ISNUMBER(SEARCH(Brand_Profile!$F$43,Matching_Engine!$BD$35)),1,0))+IF(Brand_Profile!$F$44="",0,IF(ISNUMBER(SEARCH(Brand_Profile!$F$44,Matching_Engine!$BD$35)),1,0))+IF(Brand_Profile!$F$45="",0,IF(ISNUMBER(SEARCH(Brand_Profile!$F$45,Matching_Engine!$BD$35)),1,0))+IF(Brand_Profile!$F$46="",0,IF(ISNUMBER(SEARCH(Brand_Profile!$F$46,Matching_Engine!$BD$35)),1,0)))/Brand_Profile!$F$47*100,0)))</f>
        <v>#VALUE!</v>
      </c>
      <c r="L35" s="65" t="e">
        <f>IF(NOT(AND(ISTEXT('[1]#REF'!$U$11),'[1]#REF'!$U$11&lt;&gt;"N/A")),"N/A",IF(Brand_Profile!$F$53=0,Lookup_Lists!$D$150,ROUND((IF(Brand_Profile!$F$48="",0,IF(ISNUMBER(SEARCH(Brand_Profile!$F$48,Matching_Engine!$BF$35)),1,0))+IF(Brand_Profile!$F$49="",0,IF(ISNUMBER(SEARCH(Brand_Profile!$F$49,Matching_Engine!$BF$35)),1,0))+IF(Brand_Profile!$F$50="",0,IF(ISNUMBER(SEARCH(Brand_Profile!$F$50,Matching_Engine!$BF$35)),1,0))+IF(Brand_Profile!$F$51="",0,IF(ISNUMBER(SEARCH(Brand_Profile!$F$51,Matching_Engine!$BF$35)),1,0))+IF(Brand_Profile!$F$52="",0,IF(ISNUMBER(SEARCH(Brand_Profile!$F$52,Matching_Engine!$BF$35)),1,0)))/Brand_Profile!$F$53*100,0)))</f>
        <v>#REF!</v>
      </c>
      <c r="M35" s="63" t="str">
        <f>IF((IF(ISNUMBER(Matching_Engine!$J$35),Lookup_Lists!$D$332,0)+IF(ISNUMBER(Matching_Engine!$K$35),Lookup_Lists!$D$333,0)+IF(ISNUMBER(Matching_Engine!$L$35),Lookup_Lists!$D$334,0))=0,"N/A",ROUND((IF(ISNUMBER(Matching_Engine!$J$35),Matching_Engine!$J$35*Lookup_Lists!$D$332,0)+IF(ISNUMBER(Matching_Engine!$K$35),Matching_Engine!$K$35*Lookup_Lists!$D$333,0)+IF(ISNUMBER(Matching_Engine!$L$35),Matching_Engine!$L$35*Lookup_Lists!$D$334,0))/(IF(ISNUMBER(Matching_Engine!$J$35),Lookup_Lists!$D$332,0)+IF(ISNUMBER(Matching_Engine!$K$35),Lookup_Lists!$D$333,0)+IF(ISNUMBER(Matching_Engine!$L$35),Lookup_Lists!$D$334,0)),0))</f>
        <v>N/A</v>
      </c>
      <c r="N35" s="42">
        <f>IF(ISNUMBER(Matching_Engine!$M$35),1,0)</f>
        <v>1</v>
      </c>
      <c r="O35" s="65" t="str">
        <f ca="1">IF(NOT(ISNUMBER(IFERROR(INDEX('[1]#REF'!$V$11:'[1]#REF'!$Z$11,1,MATCH(Brand_Profile!$F$11,Lookup_Lists!$F$6:$F$10,0)),""))),"N/A",MIN(100,ROUND((IFERROR(INDEX('[1]#REF'!$V$11:'[1]#REF'!$Z$11,1,MATCH(Brand_Profile!$F$11,Lookup_Lists!$F$6:$F$10,0)),"")+0.5*IF(ISNUMBER(IFERROR(INDEX('[1]#REF'!$V$11:'[1]#REF'!$Z$11,1,MATCH(Brand_Profile!$F$12,Lookup_Lists!$F$6:$F$10,0)),"")),IFERROR(INDEX('[1]#REF'!$V$11:'[1]#REF'!$Z$11,1,MATCH(Brand_Profile!$F$12,Lookup_Lists!$F$6:$F$10,0)),""),0))/Lookup_Lists!$D$142*100,0)))</f>
        <v>N/A</v>
      </c>
      <c r="P35" s="65" t="str">
        <f>IF(Brand_Profile!$F$13="Any",100,IF(NOT(ISNUMBER('[1]#REF'!$AA$11)),"N/A",IF(Brand_Profile!$F$13="Female",MIN(100,ROUND('[1]#REF'!$AA$11/Lookup_Lists!$D$143*100,0)),IF(Brand_Profile!$F$13="Male",MIN(100,ROUND(IF(ISNUMBER('[1]#REF'!$AB$11),'[1]#REF'!$AB$11,100-'[1]#REF'!$AA$11)/Lookup_Lists!$D$143*100,0)),MAX(0,ROUND(100-ABS('[1]#REF'!$AA$11-50)*2,0))))))</f>
        <v>N/A</v>
      </c>
      <c r="Q35" s="65" t="str">
        <f>IF((IF(ISNUMBER(IF(NOT(ISNUMBER('[1]#REF'!$AE$11)),"N/A",IF('[1]#REF'!$AD$11&lt;&gt;Brand_Profile!$F$14,Lookup_Lists!$D$151,MIN(100,ROUND('[1]#REF'!$AE$11/Lookup_Lists!$D$316*100,0))))),Lookup_Lists!$D$118,0)+IF(ISNUMBER(IF(NOT(ISNUMBER('[1]#REF'!$AM$11)),"N/A",MIN(100,ROUND((IF('[1]#REF'!$AG$11=Brand_Profile!$F$15,IF(ISNUMBER('[1]#REF'!$AH$11),'[1]#REF'!$AH$11,0),0)+IF('[1]#REF'!$AI$11=Brand_Profile!$F$15,IF(ISNUMBER('[1]#REF'!$AJ$11),'[1]#REF'!$AJ$11,0),0)+IF('[1]#REF'!$AK$11=Brand_Profile!$F$15,IF(ISNUMBER('[1]#REF'!$AL$11),'[1]#REF'!$AL$11,0),0))/Lookup_Lists!$D$317*100,0)))),Lookup_Lists!$D$120,0))=0,"N/A",ROUND((IF(ISNUMBER(IF(NOT(ISNUMBER('[1]#REF'!$AE$11)),"N/A",IF('[1]#REF'!$AD$11&lt;&gt;Brand_Profile!$F$14,Lookup_Lists!$D$151,MIN(100,ROUND('[1]#REF'!$AE$11/Lookup_Lists!$D$316*100,0))))),IF(NOT(ISNUMBER('[1]#REF'!$AE$11)),"N/A",IF('[1]#REF'!$AD$11&lt;&gt;Brand_Profile!$F$14,Lookup_Lists!$D$151,MIN(100,ROUND('[1]#REF'!$AE$11/Lookup_Lists!$D$316*100,0))))*Lookup_Lists!$D$118,0)+IF(ISNUMBER(IF(NOT(ISNUMBER('[1]#REF'!$AM$11)),"N/A",MIN(100,ROUND((IF('[1]#REF'!$AG$11=Brand_Profile!$F$15,IF(ISNUMBER('[1]#REF'!$AH$11),'[1]#REF'!$AH$11,0),0)+IF('[1]#REF'!$AI$11=Brand_Profile!$F$15,IF(ISNUMBER('[1]#REF'!$AJ$11),'[1]#REF'!$AJ$11,0),0)+IF('[1]#REF'!$AK$11=Brand_Profile!$F$15,IF(ISNUMBER('[1]#REF'!$AL$11),'[1]#REF'!$AL$11,0),0))/Lookup_Lists!$D$317*100,0)))),IF(NOT(ISNUMBER('[1]#REF'!$AM$11)),"N/A",MIN(100,ROUND((IF('[1]#REF'!$AG$11=Brand_Profile!$F$15,IF(ISNUMBER('[1]#REF'!$AH$11),'[1]#REF'!$AH$11,0),0)+IF('[1]#REF'!$AI$11=Brand_Profile!$F$15,IF(ISNUMBER('[1]#REF'!$AJ$11),'[1]#REF'!$AJ$11,0),0)+IF('[1]#REF'!$AK$11=Brand_Profile!$F$15,IF(ISNUMBER('[1]#REF'!$AL$11),'[1]#REF'!$AL$11,0),0))/Lookup_Lists!$D$317*100,0)))*Lookup_Lists!$D$120,0))/(IF(ISNUMBER(IF(NOT(ISNUMBER('[1]#REF'!$AE$11)),"N/A",IF('[1]#REF'!$AD$11&lt;&gt;Brand_Profile!$F$14,Lookup_Lists!$D$151,MIN(100,ROUND('[1]#REF'!$AE$11/Lookup_Lists!$D$316*100,0))))),Lookup_Lists!$D$118,0)+IF(ISNUMBER(IF(NOT(ISNUMBER('[1]#REF'!$AM$11)),"N/A",MIN(100,ROUND((IF('[1]#REF'!$AG$11=Brand_Profile!$F$15,IF(ISNUMBER('[1]#REF'!$AH$11),'[1]#REF'!$AH$11,0),0)+IF('[1]#REF'!$AI$11=Brand_Profile!$F$15,IF(ISNUMBER('[1]#REF'!$AJ$11),'[1]#REF'!$AJ$11,0),0)+IF('[1]#REF'!$AK$11=Brand_Profile!$F$15,IF(ISNUMBER('[1]#REF'!$AL$11),'[1]#REF'!$AL$11,0),0))/Lookup_Lists!$D$317*100,0)))),Lookup_Lists!$D$120,0)),0))</f>
        <v>N/A</v>
      </c>
      <c r="R35" s="65" t="str">
        <f>IF(NOT(ISNUMBER('[1]#REF'!$AN$11)),"N/A",MIN(100,ROUND((IF(ISNUMBER('[1]#REF'!$AO$11),'[1]#REF'!$AO$11*Brand_Profile!$F$17,0)+IF(ISNUMBER('[1]#REF'!$AP$11),'[1]#REF'!$AP$11*Brand_Profile!$F$18,0)+IF(ISNUMBER('[1]#REF'!$AQ$11),'[1]#REF'!$AQ$11*Brand_Profile!$F$19,0)+IF(ISNUMBER('[1]#REF'!$AR$11),'[1]#REF'!$AR$11*Brand_Profile!$F$20,0)+IF(ISNUMBER('[1]#REF'!$AS$11),'[1]#REF'!$AS$11*Brand_Profile!$F$21,0)+IF(ISNUMBER('[1]#REF'!$AT$11),'[1]#REF'!$AT$11*Brand_Profile!$F$22,0)+IF(ISNUMBER('[1]#REF'!$AU$11),'[1]#REF'!$AU$11*Brand_Profile!$F$23,0)+IF(ISNUMBER('[1]#REF'!$AV$11),'[1]#REF'!$AV$11*Brand_Profile!$F$24,0)+IF(ISNUMBER('[1]#REF'!$AW$11),'[1]#REF'!$AW$11*Brand_Profile!$F$25,0)+IF(ISNUMBER('[1]#REF'!$AX$11),'[1]#REF'!$AX$11*Brand_Profile!$F$26,0)+IF(ISNUMBER('[1]#REF'!$AY$11),'[1]#REF'!$AY$11*Brand_Profile!$F$27,0)+IF(ISNUMBER('[1]#REF'!$AZ$11),'[1]#REF'!$AZ$11*Brand_Profile!$F$28,0)+IF(ISNUMBER('[1]#REF'!$BA$11),'[1]#REF'!$BA$11*Brand_Profile!$F$29,0)+IF(ISNUMBER('[1]#REF'!$BB$11),'[1]#REF'!$BB$11*Brand_Profile!$F$30,0)+IF(ISNUMBER('[1]#REF'!$BC$11),'[1]#REF'!$BC$11*Brand_Profile!$F$31,0)+IF(ISNUMBER('[1]#REF'!$BD$11),'[1]#REF'!$BD$11*Brand_Profile!$F$32,0)+IF(ISNUMBER('[1]#REF'!$BE$11),'[1]#REF'!$BE$11*Brand_Profile!$F$33,0)+IF(ISNUMBER('[1]#REF'!$BF$11),'[1]#REF'!$BF$11*Brand_Profile!$F$34,0))/Lookup_Lists!$D$318*100,0)))</f>
        <v>N/A</v>
      </c>
      <c r="S35" s="63">
        <f ca="1">IF((IF(ISNUMBER(Matching_Engine!$O$35),Lookup_Lists!$D$113,0)+IF(ISNUMBER(Matching_Engine!$P$35),Lookup_Lists!$D$114,0)+IF(ISNUMBER(Matching_Engine!$Q$35),Lookup_Lists!$D$115,0)+IF(ISNUMBER(Matching_Engine!$R$35),Lookup_Lists!$D$116,0))=0,"N/A",ROUND((IF(ISNUMBER(Matching_Engine!$O$35),Matching_Engine!$O$35*Lookup_Lists!$D$113,0)+IF(ISNUMBER(Matching_Engine!$P$35),Matching_Engine!$P$35*Lookup_Lists!$D$114,0)+IF(ISNUMBER(Matching_Engine!$Q$35),Matching_Engine!$Q$35*Lookup_Lists!$D$115,0)+IF(ISNUMBER(Matching_Engine!$R$35),Matching_Engine!$R$35*Lookup_Lists!$D$116,0))/(IF(ISNUMBER(Matching_Engine!$O$35),Lookup_Lists!$D$113,0)+IF(ISNUMBER(Matching_Engine!$P$35),Lookup_Lists!$D$114,0)+IF(ISNUMBER(Matching_Engine!$Q$35),Lookup_Lists!$D$115,0)+IF(ISNUMBER(Matching_Engine!$R$35),Lookup_Lists!$D$116,0)),0))</f>
        <v>99</v>
      </c>
      <c r="T35" s="42">
        <f ca="1">IF(ISNUMBER(Matching_Engine!$S$35),1,0)</f>
        <v>1</v>
      </c>
      <c r="U35" s="65" t="e">
        <f>IF(NOT(AND(ISTEXT('[1]#REF'!$M$11),'[1]#REF'!$M$11&lt;&gt;"N/A")),Lookup_Lists!$D$150,IF(Brand_Profile!$F$7='[1]#REF'!$M$11,100,IFERROR(INDEX(Lookup_Lists!$B$349:$J$357,MATCH(Brand_Profile!$F$7,Lookup_Lists!$A$349:$A$357,0),MATCH('[1]#REF'!$M$11,Lookup_Lists!$B$348:$J$348,0)),Lookup_Lists!$D$151)))</f>
        <v>#REF!</v>
      </c>
      <c r="V35" s="65" t="e">
        <f>IF(NOT(AND(ISTEXT('[1]#REF'!$P$11),'[1]#REF'!$P$11&lt;&gt;"N/A")),"N/A",IFERROR(INDEX(Lookup_Lists!$B$349:$J$357,MATCH(Brand_Profile!$F$7,Lookup_Lists!$A$349:$A$357,0),MATCH('[1]#REF'!$P$11,Lookup_Lists!$B$348:$J$348,0)),Lookup_Lists!$D$151))</f>
        <v>#REF!</v>
      </c>
      <c r="W35" s="65" t="e">
        <f>IF(LEN(TRIM(SUBSTITUTE(Matching_Engine!$BE$35,"|","")))=0,"N/A",IF(Brand_Profile!$F$60=0,Lookup_Lists!$D$150,ROUND((IF(Brand_Profile!$F$54="",0,IF(ISNUMBER(SEARCH(Brand_Profile!$F$54,Matching_Engine!$BE$35)),1,0))+IF(Brand_Profile!$F$55="",0,IF(ISNUMBER(SEARCH(Brand_Profile!$F$55,Matching_Engine!$BE$35)),1,0))+IF(Brand_Profile!$F$56="",0,IF(ISNUMBER(SEARCH(Brand_Profile!$F$56,Matching_Engine!$BE$35)),1,0))+IF(Brand_Profile!$F$57="",0,IF(ISNUMBER(SEARCH(Brand_Profile!$F$57,Matching_Engine!$BE$35)),1,0))+IF(Brand_Profile!$F$58="",0,IF(ISNUMBER(SEARCH(Brand_Profile!$F$58,Matching_Engine!$BE$35)),1,0))+IF(Brand_Profile!$F$59="",0,IF(ISNUMBER(SEARCH(Brand_Profile!$F$59,Matching_Engine!$BE$35)),1,0)))/Brand_Profile!$F$60*100,0)))</f>
        <v>#VALUE!</v>
      </c>
      <c r="X35" s="65" t="e">
        <f>IF(NOT(AND(ISTEXT('[1]#REF'!$Q$11),'[1]#REF'!$Q$11&lt;&gt;"N/A")),"N/A",Lookup_Lists!$D$150)</f>
        <v>#REF!</v>
      </c>
      <c r="Y35" s="63">
        <f>IF((IF(ISNUMBER(Matching_Engine!$U$35),Lookup_Lists!$D$335,0)+IF(ISNUMBER(Matching_Engine!$V$35),Lookup_Lists!$D$122,0)+IF(ISNUMBER(Matching_Engine!$W$35),Lookup_Lists!$D$336,0)+IF(ISNUMBER(Matching_Engine!$X$35),Lookup_Lists!$D$124,0))=0,"N/A",ROUND((IF(ISNUMBER(Matching_Engine!$U$35),Matching_Engine!$U$35*Lookup_Lists!$D$335,0)+IF(ISNUMBER(Matching_Engine!$V$35),Matching_Engine!$V$35*Lookup_Lists!$D$122,0)+IF(ISNUMBER(Matching_Engine!$W$35),Matching_Engine!$W$35*Lookup_Lists!$D$336,0)+IF(ISNUMBER(Matching_Engine!$X$35),Matching_Engine!$X$35*Lookup_Lists!$D$124,0))/(IF(ISNUMBER(Matching_Engine!$U$35),Lookup_Lists!$D$335,0)+IF(ISNUMBER(Matching_Engine!$V$35),Lookup_Lists!$D$122,0)+IF(ISNUMBER(Matching_Engine!$W$35),Lookup_Lists!$D$336,0)+IF(ISNUMBER(Matching_Engine!$X$35),Lookup_Lists!$D$124,0)),0))</f>
        <v>90</v>
      </c>
      <c r="Z35" s="42">
        <f>IF(ISNUMBER(Matching_Engine!$Y$35),1,0)</f>
        <v>1</v>
      </c>
      <c r="AA35" s="65" t="e">
        <f>IF(NOT(AND(ISTEXT('[1]#REF'!$Q$11),'[1]#REF'!$Q$11&lt;&gt;"N/A")),"N/A",Lookup_Lists!$D$150)</f>
        <v>#REF!</v>
      </c>
      <c r="AB35" s="65" t="e">
        <f>IF(NOT(AND(ISTEXT('[1]#REF'!$Q$11),'[1]#REF'!$Q$11&lt;&gt;"N/A")),"N/A",Lookup_Lists!$D$150)</f>
        <v>#REF!</v>
      </c>
      <c r="AC35" s="65" t="str">
        <f t="shared" si="0"/>
        <v>N/A</v>
      </c>
      <c r="AD35" s="65" t="e">
        <f>IF(NOT(AND(ISTEXT('[1]#REF'!$Q$11),'[1]#REF'!$Q$11&lt;&gt;"N/A")),"N/A",Lookup_Lists!$D$150)</f>
        <v>#REF!</v>
      </c>
      <c r="AE35" s="63">
        <f>IF((IF(ISNUMBER(Matching_Engine!$AA$35),Lookup_Lists!$D$125,0)+IF(ISNUMBER(Matching_Engine!$AB$35),Lookup_Lists!$D$126,0)+IF(ISNUMBER(Matching_Engine!$AC$35),Lookup_Lists!$D$127,0)+IF(ISNUMBER(Matching_Engine!$AD$35),Lookup_Lists!$D$128,0))=0,"N/A",ROUND((IF(ISNUMBER(Matching_Engine!$AA$35),Matching_Engine!$AA$35*Lookup_Lists!$D$125,0)+IF(ISNUMBER(Matching_Engine!$AB$35),Matching_Engine!$AB$35*Lookup_Lists!$D$126,0)+IF(ISNUMBER(Matching_Engine!$AC$35),Matching_Engine!$AC$35*Lookup_Lists!$D$127,0)+IF(ISNUMBER(Matching_Engine!$AD$35),Matching_Engine!$AD$35*Lookup_Lists!$D$128,0))/(IF(ISNUMBER(Matching_Engine!$AA$35),Lookup_Lists!$D$125,0)+IF(ISNUMBER(Matching_Engine!$AB$35),Lookup_Lists!$D$126,0)+IF(ISNUMBER(Matching_Engine!$AC$35),Lookup_Lists!$D$127,0)+IF(ISNUMBER(Matching_Engine!$AD$35),Lookup_Lists!$D$128,0)),0))</f>
        <v>72</v>
      </c>
      <c r="AF35" s="42">
        <f>IF(ISNUMBER(Matching_Engine!$AE$35),1,0)</f>
        <v>1</v>
      </c>
      <c r="AG35" s="65" t="str">
        <f>IF(NOT(ISNUMBER('[1]#REF'!$BG$11)),"N/A",MIN(100,ROUND('[1]#REF'!$BG$11/IFERROR(INDEX(Lookup_Lists!$B$340:$B$344,MATCH('[1]#REF'!$H$11,Lookup_Lists!$A$340:$A$344,0)),Lookup_Lists!$D$141)*100,0)))</f>
        <v>N/A</v>
      </c>
      <c r="AH35" s="65" t="str">
        <f>IF(NOT(ISNUMBER('[1]#REF'!$BS$11)),"N/A",MIN(100,MAX(0,'[1]#REF'!$BS$11)))</f>
        <v>N/A</v>
      </c>
      <c r="AI35" s="65" t="e">
        <f>IF(OR(NOT(ISNUMBER('[1]#REF'!$BM$11)),NOT(ISNUMBER('[1]#REF'!$BN$11)),'[1]#REF'!$BN$11&lt;Lookup_Lists!$D$320),"N/A",MIN(100,ROUND('[1]#REF'!$BM$11/Lookup_Lists!$D$319*100,0)))</f>
        <v>#REF!</v>
      </c>
      <c r="AJ35" s="65" t="str">
        <f>IF(NOT(ISNUMBER('[1]#REF'!$BR$11)),"N/A",'[1]#REF'!$BR$11)</f>
        <v>N/A</v>
      </c>
      <c r="AK35" s="65" t="str">
        <f>IF(NOT(ISNUMBER('[1]#REF'!$BK$11)),"N/A",MIN(100,ROUND('[1]#REF'!$BK$11/Lookup_Lists!$D$321*100,0)))</f>
        <v>N/A</v>
      </c>
      <c r="AL35" s="65" t="str">
        <f>IF(NOT(ISNUMBER('[1]#REF'!$BP$11)),"N/A",MIN(100,MAX(0,ROUND(('[1]#REF'!$BP$11+2)/(Lookup_Lists!$D$145+2)*100,0))))</f>
        <v>N/A</v>
      </c>
      <c r="AM35" s="63">
        <f>IF((IF(ISNUMBER(Matching_Engine!$AG$35),Lookup_Lists!$D$129,0)+IF(ISNUMBER(Matching_Engine!$AH$35),Lookup_Lists!$D$130,0)+IF(ISNUMBER(Matching_Engine!$AI$35),Lookup_Lists!$D$131,0)+IF(ISNUMBER(Matching_Engine!$AJ$35),Lookup_Lists!$D$132,0)+IF(ISNUMBER(Matching_Engine!$AK$35),Lookup_Lists!$D$133,0)+IF(ISNUMBER(Matching_Engine!$AL$35),Lookup_Lists!$D$134,0))=0,"N/A",ROUND((IF(ISNUMBER(Matching_Engine!$AG$35),Matching_Engine!$AG$35*Lookup_Lists!$D$129,0)+IF(ISNUMBER(Matching_Engine!$AH$35),Matching_Engine!$AH$35*Lookup_Lists!$D$130,0)+IF(ISNUMBER(Matching_Engine!$AI$35),Matching_Engine!$AI$35*Lookup_Lists!$D$131,0)+IF(ISNUMBER(Matching_Engine!$AJ$35),Matching_Engine!$AJ$35*Lookup_Lists!$D$132,0)+IF(ISNUMBER(Matching_Engine!$AK$35),Matching_Engine!$AK$35*Lookup_Lists!$D$133,0)+IF(ISNUMBER(Matching_Engine!$AL$35),Matching_Engine!$AL$35*Lookup_Lists!$D$134,0))/(IF(ISNUMBER(Matching_Engine!$AG$35),Lookup_Lists!$D$129,0)+IF(ISNUMBER(Matching_Engine!$AH$35),Lookup_Lists!$D$130,0)+IF(ISNUMBER(Matching_Engine!$AI$35),Lookup_Lists!$D$131,0)+IF(ISNUMBER(Matching_Engine!$AJ$35),Lookup_Lists!$D$132,0)+IF(ISNUMBER(Matching_Engine!$AK$35),Lookup_Lists!$D$133,0)+IF(ISNUMBER(Matching_Engine!$AL$35),Lookup_Lists!$D$134,0)),0))</f>
        <v>62</v>
      </c>
      <c r="AN35" s="42">
        <f>IF(ISNUMBER(Matching_Engine!$AM$35),1,0)</f>
        <v>0</v>
      </c>
      <c r="AO35" s="65" t="str">
        <f>IF(NOT(ISNUMBER('[1]#REF'!$BT$11)),"N/A",MIN(100,MAX(0,'[1]#REF'!$BT$11)))</f>
        <v>N/A</v>
      </c>
      <c r="AP35" s="65" t="str">
        <f>IF(NOT(ISNUMBER('[1]#REF'!$BU$11)),"N/A",MIN(100,MAX(0,'[1]#REF'!$BU$11)))</f>
        <v>N/A</v>
      </c>
      <c r="AQ35" s="65" t="e">
        <f>IF('[1]#REF'!$I$11="Yes",Lookup_Lists!$D$326,IF('[1]#REF'!$I$11="No",Lookup_Lists!$D$327,"N/A"))</f>
        <v>#REF!</v>
      </c>
      <c r="AR35" s="65" t="str">
        <f>IF(NOT(ISNUMBER('[1]#REF'!$BQ$11)),"N/A",MAX(0,ROUND(100-'[1]#REF'!$BQ$11/Lookup_Lists!$D$328*100,0)))</f>
        <v>N/A</v>
      </c>
      <c r="AS35" s="65" t="e">
        <f>IF(NOT(AND(ISTEXT('[1]#REF'!$BV$11),'[1]#REF'!$BV$11&lt;&gt;"N/A")),"N/A",'[1]#REF'!$BV$11)</f>
        <v>#REF!</v>
      </c>
      <c r="AT35" s="63" t="str">
        <f ca="1">IF((IF(ISNUMBER(Matching_Engine!$AO$35),Lookup_Lists!$D$322,0)+IF(ISNUMBER(Matching_Engine!$AP$35),Lookup_Lists!$D$323,0)+IF(ISNUMBER(Matching_Engine!$AQ$35),Lookup_Lists!$D$324,0)+IF(ISNUMBER(Matching_Engine!$AR$35),Lookup_Lists!$D$325,0))=0,"N/A",ROUND((IF(ISNUMBER(Matching_Engine!$AO$35),Matching_Engine!$AO$35*Lookup_Lists!$D$322,0)+IF(ISNUMBER(Matching_Engine!$AP$35),Matching_Engine!$AP$35*Lookup_Lists!$D$323,0)+IF(ISNUMBER(Matching_Engine!$AQ$35),Matching_Engine!$AQ$35*Lookup_Lists!$D$324,0)+IF(ISNUMBER(Matching_Engine!$AR$35),Matching_Engine!$AR$35*Lookup_Lists!$D$325,0))/(IF(ISNUMBER(Matching_Engine!$AO$35),Lookup_Lists!$D$322,0)+IF(ISNUMBER(Matching_Engine!$AP$35),Lookup_Lists!$D$323,0)+IF(ISNUMBER(Matching_Engine!$AQ$35),Lookup_Lists!$D$324,0)+IF(ISNUMBER(Matching_Engine!$AR$35),Lookup_Lists!$D$325,0)),0))</f>
        <v>N/A</v>
      </c>
      <c r="AU35" s="42">
        <f>IF(ISNUMBER(Matching_Engine!$AT$35),1,0)</f>
        <v>1</v>
      </c>
      <c r="AV35" s="42" t="str">
        <f>IF(NOT(ISNUMBER(Matching_Engine!$AT$35)),"Not Screened",IF(Matching_Engine!$AT$35&gt;=Lookup_Lists!$D$329,"Low Risk",IF(Matching_Engine!$AT$35&gt;=Lookup_Lists!$D$330,"Moderate Risk",IF(Matching_Engine!$AT$35&gt;=Lookup_Lists!$D$331,"Elevated Risk","High Risk"))))</f>
        <v>Low Risk</v>
      </c>
      <c r="AW35" s="42" t="e">
        <f ca="1">IF(NOT(ISNUMBER(Matching_Engine!$AT$35)),"No integrity signal: no audience-analysis row for this account.","Integrity screen only — no content-risk reading exists (comments_analysis: 0 rows). "&amp;IF(ISNUMBER(Matching_Engine!$AO$35),"Authenticity "&amp;Matching_Engine!$AO$35&amp;". ","Authenticity N/A. ")&amp;IF(ISNUMBER(Matching_Engine!$AP$35),"Follower quality "&amp;Matching_Engine!$AP$35&amp;". ","Follower quality N/A. ")&amp;IF('[1]#REF'!$I$11="Yes","Platform-verified.","Not platform-verified."))</f>
        <v>#REF!</v>
      </c>
      <c r="AX35" s="65">
        <f>Matching_Engine!$N$35*Lookup_Lists!$D$104+Matching_Engine!$T$35*Lookup_Lists!$D$105+Matching_Engine!$Z$35*Lookup_Lists!$D$106+Matching_Engine!$AF$35*Lookup_Lists!$D$107+Matching_Engine!$AN$35*Lookup_Lists!$D$108+Matching_Engine!$AU$35*Lookup_Lists!$D$109</f>
        <v>6629.5</v>
      </c>
      <c r="AY35" s="74" t="e">
        <f ca="1">IF(Matching_Engine!$AX$35=0,"N/A",ROUND((IF(Matching_Engine!$N$35=1,Matching_Engine!$M$35*Lookup_Lists!$D$104,0)+IF(Matching_Engine!$T$35=1,Matching_Engine!$S$35*Lookup_Lists!$D$105,0)+IF(Matching_Engine!$Z$35=1,Matching_Engine!$Y$35*Lookup_Lists!$D$106,0)+IF(Matching_Engine!$AF$35=1,Matching_Engine!$AE$35*Lookup_Lists!$D$107,0)+IF(Matching_Engine!$AN$35=1,Matching_Engine!$AM$35*Lookup_Lists!$D$108,0)+IF(Matching_Engine!$AU$35=1,Matching_Engine!$AT$35*Lookup_Lists!$D$109,0))/Matching_Engine!$AX$35,0))</f>
        <v>#VALUE!</v>
      </c>
      <c r="AZ35" s="42" t="str">
        <f ca="1">IF(NOT(ISNUMBER(Matching_Engine!$AY$35)),"Not Scored",IF(Matching_Engine!$AY$35&gt;=Lookup_Lists!$D$152,"Excellent Match",IF(Matching_Engine!$AY$35&gt;=Lookup_Lists!$D$153,"Strong Match",IF(Matching_Engine!$AY$35&gt;=Lookup_Lists!$D$154,"Good Match",IF(Matching_Engine!$AY$35&gt;=Lookup_Lists!$D$155,"Moderate Match","Low Match")))))</f>
        <v>Strong Match</v>
      </c>
      <c r="BA35" s="65" t="e">
        <f>'[1]#REF'!$BW$11</f>
        <v>#REF!</v>
      </c>
      <c r="BB35" s="42" t="e">
        <f>'[1]#REF'!$BX$11</f>
        <v>#REF!</v>
      </c>
      <c r="BC35" s="65">
        <f ca="1">IF(NOT(ISNUMBER(Matching_Engine!$AY$35)),-1,Matching_Engine!$AY$35*1000+19)</f>
        <v>82019</v>
      </c>
      <c r="BD35" s="42" t="e">
        <f>IF(AND(ISTEXT('[1]#REF'!$S$11),'[1]#REF'!$S$11&lt;&gt;"N/A"),'[1]#REF'!$S$11,"")&amp;" | "&amp;IF(AND(ISTEXT('[1]#REF'!$T$11),'[1]#REF'!$T$11&lt;&gt;"N/A"),'[1]#REF'!$T$11,"")&amp;" | "&amp;IF(AND(ISTEXT('[1]#REF'!$N$11),'[1]#REF'!$N$11&lt;&gt;"N/A"),'[1]#REF'!$N$11,"")&amp;" | "&amp;IF(AND(ISTEXT('[1]#REF'!$K$11),'[1]#REF'!$K$11&lt;&gt;"N/A"),'[1]#REF'!$K$11,"")&amp;" | "&amp;IF(AND(ISTEXT('[1]#REF'!$J$11),'[1]#REF'!$J$11&lt;&gt;"N/A"),'[1]#REF'!$J$11,"")</f>
        <v>#REF!</v>
      </c>
      <c r="BE35" s="42" t="e">
        <f>IF(AND(ISTEXT('[1]#REF'!$T$11),'[1]#REF'!$T$11&lt;&gt;"N/A"),'[1]#REF'!$T$11,"")&amp;" | "&amp;IF(AND(ISTEXT('[1]#REF'!$N$11),'[1]#REF'!$N$11&lt;&gt;"N/A"),'[1]#REF'!$N$11,"")&amp;" | "&amp;IF(AND(ISTEXT('[1]#REF'!$O$11),'[1]#REF'!$O$11&lt;&gt;"N/A"),'[1]#REF'!$O$11,"")&amp;" | "&amp;IF(AND(ISTEXT('[1]#REF'!$S$11),'[1]#REF'!$S$11&lt;&gt;"N/A"),'[1]#REF'!$S$11,"")</f>
        <v>#REF!</v>
      </c>
      <c r="BF35" s="42" t="e">
        <f>IF(AND(ISTEXT('[1]#REF'!$U$11),'[1]#REF'!$U$11&lt;&gt;"N/A"),'[1]#REF'!$U$11,"")</f>
        <v>#REF!</v>
      </c>
      <c r="BG35" s="42" t="str">
        <f>Matching_Engine!$A$35&amp;"|"&amp;Matching_Engine!$C$35</f>
        <v>BRAND-A|KOL-30</v>
      </c>
    </row>
    <row r="36" spans="1:59">
      <c r="A36" s="64" t="s">
        <v>2528</v>
      </c>
      <c r="B36" s="42" t="str">
        <f>Brand_Profile!$F$6</f>
        <v>BRAND-C</v>
      </c>
      <c r="C36" s="42" t="e">
        <f>'[1]#REF'!$A$12</f>
        <v>#REF!</v>
      </c>
      <c r="D36" s="42" t="e">
        <f>'[1]#REF'!$C$12</f>
        <v>#REF!</v>
      </c>
      <c r="E36" s="42" t="e">
        <f>'[1]#REF'!$D$12</f>
        <v>#REF!</v>
      </c>
      <c r="F36" s="42" t="e">
        <f>'[1]#REF'!$E$12</f>
        <v>#REF!</v>
      </c>
      <c r="G36" s="42" t="e">
        <f>'[1]#REF'!$K$12</f>
        <v>#REF!</v>
      </c>
      <c r="H36" s="72" t="e">
        <f>'[1]#REF'!$G$12</f>
        <v>#REF!</v>
      </c>
      <c r="I36" s="73" t="e">
        <f>'[1]#REF'!$BG$12</f>
        <v>#REF!</v>
      </c>
      <c r="J36" s="65" t="e">
        <f>IF(NOT(AND(ISTEXT('[1]#REF'!$K$12),'[1]#REF'!$K$12&lt;&gt;"N/A")),Lookup_Lists!$D$150,IF(Brand_Profile!$F$7='[1]#REF'!$K$12,100,IFERROR(INDEX(Lookup_Lists!$B$349:$J$357,MATCH(Brand_Profile!$F$7,Lookup_Lists!$A$349:$A$357,0),MATCH('[1]#REF'!$K$12,Lookup_Lists!$B$348:$J$348,0)),Lookup_Lists!$D$151)))</f>
        <v>#REF!</v>
      </c>
      <c r="K36" s="65" t="e">
        <f>IF(LEN(TRIM(SUBSTITUTE(Matching_Engine!$BD$36,"|","")))=0,"N/A",IF(Brand_Profile!$F$47=0,Lookup_Lists!$D$150,ROUND((IF(Brand_Profile!$F$41="",0,IF(ISNUMBER(SEARCH(Brand_Profile!$F$41,Matching_Engine!$BD$36)),1,0))+IF(Brand_Profile!$F$42="",0,IF(ISNUMBER(SEARCH(Brand_Profile!$F$42,Matching_Engine!$BD$36)),1,0))+IF(Brand_Profile!$F$43="",0,IF(ISNUMBER(SEARCH(Brand_Profile!$F$43,Matching_Engine!$BD$36)),1,0))+IF(Brand_Profile!$F$44="",0,IF(ISNUMBER(SEARCH(Brand_Profile!$F$44,Matching_Engine!$BD$36)),1,0))+IF(Brand_Profile!$F$45="",0,IF(ISNUMBER(SEARCH(Brand_Profile!$F$45,Matching_Engine!$BD$36)),1,0))+IF(Brand_Profile!$F$46="",0,IF(ISNUMBER(SEARCH(Brand_Profile!$F$46,Matching_Engine!$BD$36)),1,0)))/Brand_Profile!$F$47*100,0)))</f>
        <v>#VALUE!</v>
      </c>
      <c r="L36" s="65" t="e">
        <f>IF(NOT(AND(ISTEXT('[1]#REF'!$U$12),'[1]#REF'!$U$12&lt;&gt;"N/A")),"N/A",IF(Brand_Profile!$F$53=0,Lookup_Lists!$D$150,ROUND((IF(Brand_Profile!$F$48="",0,IF(ISNUMBER(SEARCH(Brand_Profile!$F$48,Matching_Engine!$BF$36)),1,0))+IF(Brand_Profile!$F$49="",0,IF(ISNUMBER(SEARCH(Brand_Profile!$F$49,Matching_Engine!$BF$36)),1,0))+IF(Brand_Profile!$F$50="",0,IF(ISNUMBER(SEARCH(Brand_Profile!$F$50,Matching_Engine!$BF$36)),1,0))+IF(Brand_Profile!$F$51="",0,IF(ISNUMBER(SEARCH(Brand_Profile!$F$51,Matching_Engine!$BF$36)),1,0))+IF(Brand_Profile!$F$52="",0,IF(ISNUMBER(SEARCH(Brand_Profile!$F$52,Matching_Engine!$BF$36)),1,0)))/Brand_Profile!$F$53*100,0)))</f>
        <v>#REF!</v>
      </c>
      <c r="M36" s="63" t="str">
        <f>IF((IF(ISNUMBER(Matching_Engine!$J$36),Lookup_Lists!$D$332,0)+IF(ISNUMBER(Matching_Engine!$K$36),Lookup_Lists!$D$333,0)+IF(ISNUMBER(Matching_Engine!$L$36),Lookup_Lists!$D$334,0))=0,"N/A",ROUND((IF(ISNUMBER(Matching_Engine!$J$36),Matching_Engine!$J$36*Lookup_Lists!$D$332,0)+IF(ISNUMBER(Matching_Engine!$K$36),Matching_Engine!$K$36*Lookup_Lists!$D$333,0)+IF(ISNUMBER(Matching_Engine!$L$36),Matching_Engine!$L$36*Lookup_Lists!$D$334,0))/(IF(ISNUMBER(Matching_Engine!$J$36),Lookup_Lists!$D$332,0)+IF(ISNUMBER(Matching_Engine!$K$36),Lookup_Lists!$D$333,0)+IF(ISNUMBER(Matching_Engine!$L$36),Lookup_Lists!$D$334,0)),0))</f>
        <v>N/A</v>
      </c>
      <c r="N36" s="42">
        <f>IF(ISNUMBER(Matching_Engine!$M$36),1,0)</f>
        <v>1</v>
      </c>
      <c r="O36" s="65" t="str">
        <f ca="1">IF(NOT(ISNUMBER(IFERROR(INDEX('[1]#REF'!$V$12:'[1]#REF'!$Z$12,1,MATCH(Brand_Profile!$F$11,Lookup_Lists!$F$6:$F$10,0)),""))),"N/A",MIN(100,ROUND((IFERROR(INDEX('[1]#REF'!$V$12:'[1]#REF'!$Z$12,1,MATCH(Brand_Profile!$F$11,Lookup_Lists!$F$6:$F$10,0)),"")+0.5*IF(ISNUMBER(IFERROR(INDEX('[1]#REF'!$V$12:'[1]#REF'!$Z$12,1,MATCH(Brand_Profile!$F$12,Lookup_Lists!$F$6:$F$10,0)),"")),IFERROR(INDEX('[1]#REF'!$V$12:'[1]#REF'!$Z$12,1,MATCH(Brand_Profile!$F$12,Lookup_Lists!$F$6:$F$10,0)),""),0))/Lookup_Lists!$D$142*100,0)))</f>
        <v>N/A</v>
      </c>
      <c r="P36" s="65" t="str">
        <f>IF(Brand_Profile!$F$13="Any",100,IF(NOT(ISNUMBER('[1]#REF'!$AA$12)),"N/A",IF(Brand_Profile!$F$13="Female",MIN(100,ROUND('[1]#REF'!$AA$12/Lookup_Lists!$D$143*100,0)),IF(Brand_Profile!$F$13="Male",MIN(100,ROUND(IF(ISNUMBER('[1]#REF'!$AB$12),'[1]#REF'!$AB$12,100-'[1]#REF'!$AA$12)/Lookup_Lists!$D$143*100,0)),MAX(0,ROUND(100-ABS('[1]#REF'!$AA$12-50)*2,0))))))</f>
        <v>N/A</v>
      </c>
      <c r="Q36" s="65" t="str">
        <f>IF((IF(ISNUMBER(IF(NOT(ISNUMBER('[1]#REF'!$AE$12)),"N/A",IF('[1]#REF'!$AD$12&lt;&gt;Brand_Profile!$F$14,Lookup_Lists!$D$151,MIN(100,ROUND('[1]#REF'!$AE$12/Lookup_Lists!$D$316*100,0))))),Lookup_Lists!$D$118,0)+IF(ISNUMBER(IF(NOT(ISNUMBER('[1]#REF'!$AM$12)),"N/A",MIN(100,ROUND((IF('[1]#REF'!$AG$12=Brand_Profile!$F$15,IF(ISNUMBER('[1]#REF'!$AH$12),'[1]#REF'!$AH$12,0),0)+IF('[1]#REF'!$AI$12=Brand_Profile!$F$15,IF(ISNUMBER('[1]#REF'!$AJ$12),'[1]#REF'!$AJ$12,0),0)+IF('[1]#REF'!$AK$12=Brand_Profile!$F$15,IF(ISNUMBER('[1]#REF'!$AL$12),'[1]#REF'!$AL$12,0),0))/Lookup_Lists!$D$317*100,0)))),Lookup_Lists!$D$120,0))=0,"N/A",ROUND((IF(ISNUMBER(IF(NOT(ISNUMBER('[1]#REF'!$AE$12)),"N/A",IF('[1]#REF'!$AD$12&lt;&gt;Brand_Profile!$F$14,Lookup_Lists!$D$151,MIN(100,ROUND('[1]#REF'!$AE$12/Lookup_Lists!$D$316*100,0))))),IF(NOT(ISNUMBER('[1]#REF'!$AE$12)),"N/A",IF('[1]#REF'!$AD$12&lt;&gt;Brand_Profile!$F$14,Lookup_Lists!$D$151,MIN(100,ROUND('[1]#REF'!$AE$12/Lookup_Lists!$D$316*100,0))))*Lookup_Lists!$D$118,0)+IF(ISNUMBER(IF(NOT(ISNUMBER('[1]#REF'!$AM$12)),"N/A",MIN(100,ROUND((IF('[1]#REF'!$AG$12=Brand_Profile!$F$15,IF(ISNUMBER('[1]#REF'!$AH$12),'[1]#REF'!$AH$12,0),0)+IF('[1]#REF'!$AI$12=Brand_Profile!$F$15,IF(ISNUMBER('[1]#REF'!$AJ$12),'[1]#REF'!$AJ$12,0),0)+IF('[1]#REF'!$AK$12=Brand_Profile!$F$15,IF(ISNUMBER('[1]#REF'!$AL$12),'[1]#REF'!$AL$12,0),0))/Lookup_Lists!$D$317*100,0)))),IF(NOT(ISNUMBER('[1]#REF'!$AM$12)),"N/A",MIN(100,ROUND((IF('[1]#REF'!$AG$12=Brand_Profile!$F$15,IF(ISNUMBER('[1]#REF'!$AH$12),'[1]#REF'!$AH$12,0),0)+IF('[1]#REF'!$AI$12=Brand_Profile!$F$15,IF(ISNUMBER('[1]#REF'!$AJ$12),'[1]#REF'!$AJ$12,0),0)+IF('[1]#REF'!$AK$12=Brand_Profile!$F$15,IF(ISNUMBER('[1]#REF'!$AL$12),'[1]#REF'!$AL$12,0),0))/Lookup_Lists!$D$317*100,0)))*Lookup_Lists!$D$120,0))/(IF(ISNUMBER(IF(NOT(ISNUMBER('[1]#REF'!$AE$12)),"N/A",IF('[1]#REF'!$AD$12&lt;&gt;Brand_Profile!$F$14,Lookup_Lists!$D$151,MIN(100,ROUND('[1]#REF'!$AE$12/Lookup_Lists!$D$316*100,0))))),Lookup_Lists!$D$118,0)+IF(ISNUMBER(IF(NOT(ISNUMBER('[1]#REF'!$AM$12)),"N/A",MIN(100,ROUND((IF('[1]#REF'!$AG$12=Brand_Profile!$F$15,IF(ISNUMBER('[1]#REF'!$AH$12),'[1]#REF'!$AH$12,0),0)+IF('[1]#REF'!$AI$12=Brand_Profile!$F$15,IF(ISNUMBER('[1]#REF'!$AJ$12),'[1]#REF'!$AJ$12,0),0)+IF('[1]#REF'!$AK$12=Brand_Profile!$F$15,IF(ISNUMBER('[1]#REF'!$AL$12),'[1]#REF'!$AL$12,0),0))/Lookup_Lists!$D$317*100,0)))),Lookup_Lists!$D$120,0)),0))</f>
        <v>N/A</v>
      </c>
      <c r="R36" s="65" t="str">
        <f>IF(NOT(ISNUMBER('[1]#REF'!$AN$12)),"N/A",MIN(100,ROUND((IF(ISNUMBER('[1]#REF'!$AO$12),'[1]#REF'!$AO$12*Brand_Profile!$F$17,0)+IF(ISNUMBER('[1]#REF'!$AP$12),'[1]#REF'!$AP$12*Brand_Profile!$F$18,0)+IF(ISNUMBER('[1]#REF'!$AQ$12),'[1]#REF'!$AQ$12*Brand_Profile!$F$19,0)+IF(ISNUMBER('[1]#REF'!$AR$12),'[1]#REF'!$AR$12*Brand_Profile!$F$20,0)+IF(ISNUMBER('[1]#REF'!$AS$12),'[1]#REF'!$AS$12*Brand_Profile!$F$21,0)+IF(ISNUMBER('[1]#REF'!$AT$12),'[1]#REF'!$AT$12*Brand_Profile!$F$22,0)+IF(ISNUMBER('[1]#REF'!$AU$12),'[1]#REF'!$AU$12*Brand_Profile!$F$23,0)+IF(ISNUMBER('[1]#REF'!$AV$12),'[1]#REF'!$AV$12*Brand_Profile!$F$24,0)+IF(ISNUMBER('[1]#REF'!$AW$12),'[1]#REF'!$AW$12*Brand_Profile!$F$25,0)+IF(ISNUMBER('[1]#REF'!$AX$12),'[1]#REF'!$AX$12*Brand_Profile!$F$26,0)+IF(ISNUMBER('[1]#REF'!$AY$12),'[1]#REF'!$AY$12*Brand_Profile!$F$27,0)+IF(ISNUMBER('[1]#REF'!$AZ$12),'[1]#REF'!$AZ$12*Brand_Profile!$F$28,0)+IF(ISNUMBER('[1]#REF'!$BA$12),'[1]#REF'!$BA$12*Brand_Profile!$F$29,0)+IF(ISNUMBER('[1]#REF'!$BB$12),'[1]#REF'!$BB$12*Brand_Profile!$F$30,0)+IF(ISNUMBER('[1]#REF'!$BC$12),'[1]#REF'!$BC$12*Brand_Profile!$F$31,0)+IF(ISNUMBER('[1]#REF'!$BD$12),'[1]#REF'!$BD$12*Brand_Profile!$F$32,0)+IF(ISNUMBER('[1]#REF'!$BE$12),'[1]#REF'!$BE$12*Brand_Profile!$F$33,0)+IF(ISNUMBER('[1]#REF'!$BF$12),'[1]#REF'!$BF$12*Brand_Profile!$F$34,0))/Lookup_Lists!$D$318*100,0)))</f>
        <v>N/A</v>
      </c>
      <c r="S36" s="63">
        <f ca="1">IF((IF(ISNUMBER(Matching_Engine!$O$36),Lookup_Lists!$D$113,0)+IF(ISNUMBER(Matching_Engine!$P$36),Lookup_Lists!$D$114,0)+IF(ISNUMBER(Matching_Engine!$Q$36),Lookup_Lists!$D$115,0)+IF(ISNUMBER(Matching_Engine!$R$36),Lookup_Lists!$D$116,0))=0,"N/A",ROUND((IF(ISNUMBER(Matching_Engine!$O$36),Matching_Engine!$O$36*Lookup_Lists!$D$113,0)+IF(ISNUMBER(Matching_Engine!$P$36),Matching_Engine!$P$36*Lookup_Lists!$D$114,0)+IF(ISNUMBER(Matching_Engine!$Q$36),Matching_Engine!$Q$36*Lookup_Lists!$D$115,0)+IF(ISNUMBER(Matching_Engine!$R$36),Matching_Engine!$R$36*Lookup_Lists!$D$116,0))/(IF(ISNUMBER(Matching_Engine!$O$36),Lookup_Lists!$D$113,0)+IF(ISNUMBER(Matching_Engine!$P$36),Lookup_Lists!$D$114,0)+IF(ISNUMBER(Matching_Engine!$Q$36),Lookup_Lists!$D$115,0)+IF(ISNUMBER(Matching_Engine!$R$36),Lookup_Lists!$D$116,0)),0))</f>
        <v>65</v>
      </c>
      <c r="T36" s="42">
        <f ca="1">IF(ISNUMBER(Matching_Engine!$S$36),1,0)</f>
        <v>1</v>
      </c>
      <c r="U36" s="65" t="e">
        <f>IF(NOT(AND(ISTEXT('[1]#REF'!$M$12),'[1]#REF'!$M$12&lt;&gt;"N/A")),Lookup_Lists!$D$150,IF(Brand_Profile!$F$7='[1]#REF'!$M$12,100,IFERROR(INDEX(Lookup_Lists!$B$349:$J$357,MATCH(Brand_Profile!$F$7,Lookup_Lists!$A$349:$A$357,0),MATCH('[1]#REF'!$M$12,Lookup_Lists!$B$348:$J$348,0)),Lookup_Lists!$D$151)))</f>
        <v>#REF!</v>
      </c>
      <c r="V36" s="65" t="e">
        <f>IF(NOT(AND(ISTEXT('[1]#REF'!$P$12),'[1]#REF'!$P$12&lt;&gt;"N/A")),"N/A",IFERROR(INDEX(Lookup_Lists!$B$349:$J$357,MATCH(Brand_Profile!$F$7,Lookup_Lists!$A$349:$A$357,0),MATCH('[1]#REF'!$P$12,Lookup_Lists!$B$348:$J$348,0)),Lookup_Lists!$D$151))</f>
        <v>#REF!</v>
      </c>
      <c r="W36" s="65" t="e">
        <f>IF(LEN(TRIM(SUBSTITUTE(Matching_Engine!$BE$36,"|","")))=0,"N/A",IF(Brand_Profile!$F$60=0,Lookup_Lists!$D$150,ROUND((IF(Brand_Profile!$F$54="",0,IF(ISNUMBER(SEARCH(Brand_Profile!$F$54,Matching_Engine!$BE$36)),1,0))+IF(Brand_Profile!$F$55="",0,IF(ISNUMBER(SEARCH(Brand_Profile!$F$55,Matching_Engine!$BE$36)),1,0))+IF(Brand_Profile!$F$56="",0,IF(ISNUMBER(SEARCH(Brand_Profile!$F$56,Matching_Engine!$BE$36)),1,0))+IF(Brand_Profile!$F$57="",0,IF(ISNUMBER(SEARCH(Brand_Profile!$F$57,Matching_Engine!$BE$36)),1,0))+IF(Brand_Profile!$F$58="",0,IF(ISNUMBER(SEARCH(Brand_Profile!$F$58,Matching_Engine!$BE$36)),1,0))+IF(Brand_Profile!$F$59="",0,IF(ISNUMBER(SEARCH(Brand_Profile!$F$59,Matching_Engine!$BE$36)),1,0)))/Brand_Profile!$F$60*100,0)))</f>
        <v>#VALUE!</v>
      </c>
      <c r="X36" s="65" t="e">
        <f>IF(NOT(AND(ISTEXT('[1]#REF'!$Q$12),'[1]#REF'!$Q$12&lt;&gt;"N/A")),"N/A",Lookup_Lists!$D$150)</f>
        <v>#REF!</v>
      </c>
      <c r="Y36" s="63">
        <f>IF((IF(ISNUMBER(Matching_Engine!$U$36),Lookup_Lists!$D$335,0)+IF(ISNUMBER(Matching_Engine!$V$36),Lookup_Lists!$D$122,0)+IF(ISNUMBER(Matching_Engine!$W$36),Lookup_Lists!$D$336,0)+IF(ISNUMBER(Matching_Engine!$X$36),Lookup_Lists!$D$124,0))=0,"N/A",ROUND((IF(ISNUMBER(Matching_Engine!$U$36),Matching_Engine!$U$36*Lookup_Lists!$D$335,0)+IF(ISNUMBER(Matching_Engine!$V$36),Matching_Engine!$V$36*Lookup_Lists!$D$122,0)+IF(ISNUMBER(Matching_Engine!$W$36),Matching_Engine!$W$36*Lookup_Lists!$D$336,0)+IF(ISNUMBER(Matching_Engine!$X$36),Matching_Engine!$X$36*Lookup_Lists!$D$124,0))/(IF(ISNUMBER(Matching_Engine!$U$36),Lookup_Lists!$D$335,0)+IF(ISNUMBER(Matching_Engine!$V$36),Lookup_Lists!$D$122,0)+IF(ISNUMBER(Matching_Engine!$W$36),Lookup_Lists!$D$336,0)+IF(ISNUMBER(Matching_Engine!$X$36),Lookup_Lists!$D$124,0)),0))</f>
        <v>28</v>
      </c>
      <c r="Z36" s="42">
        <f>IF(ISNUMBER(Matching_Engine!$Y$36),1,0)</f>
        <v>1</v>
      </c>
      <c r="AA36" s="65" t="e">
        <f>IF(NOT(AND(ISTEXT('[1]#REF'!$Q$12),'[1]#REF'!$Q$12&lt;&gt;"N/A")),"N/A",Lookup_Lists!$D$150)</f>
        <v>#REF!</v>
      </c>
      <c r="AB36" s="65" t="e">
        <f>IF(NOT(AND(ISTEXT('[1]#REF'!$Q$12),'[1]#REF'!$Q$12&lt;&gt;"N/A")),"N/A",Lookup_Lists!$D$150)</f>
        <v>#REF!</v>
      </c>
      <c r="AC36" s="65" t="str">
        <f t="shared" si="0"/>
        <v>N/A</v>
      </c>
      <c r="AD36" s="65" t="e">
        <f>IF(NOT(AND(ISTEXT('[1]#REF'!$Q$12),'[1]#REF'!$Q$12&lt;&gt;"N/A")),"N/A",Lookup_Lists!$D$150)</f>
        <v>#REF!</v>
      </c>
      <c r="AE36" s="63">
        <f>IF((IF(ISNUMBER(Matching_Engine!$AA$36),Lookup_Lists!$D$125,0)+IF(ISNUMBER(Matching_Engine!$AB$36),Lookup_Lists!$D$126,0)+IF(ISNUMBER(Matching_Engine!$AC$36),Lookup_Lists!$D$127,0)+IF(ISNUMBER(Matching_Engine!$AD$36),Lookup_Lists!$D$128,0))=0,"N/A",ROUND((IF(ISNUMBER(Matching_Engine!$AA$36),Matching_Engine!$AA$36*Lookup_Lists!$D$125,0)+IF(ISNUMBER(Matching_Engine!$AB$36),Matching_Engine!$AB$36*Lookup_Lists!$D$126,0)+IF(ISNUMBER(Matching_Engine!$AC$36),Matching_Engine!$AC$36*Lookup_Lists!$D$127,0)+IF(ISNUMBER(Matching_Engine!$AD$36),Matching_Engine!$AD$36*Lookup_Lists!$D$128,0))/(IF(ISNUMBER(Matching_Engine!$AA$36),Lookup_Lists!$D$125,0)+IF(ISNUMBER(Matching_Engine!$AB$36),Lookup_Lists!$D$126,0)+IF(ISNUMBER(Matching_Engine!$AC$36),Lookup_Lists!$D$127,0)+IF(ISNUMBER(Matching_Engine!$AD$36),Lookup_Lists!$D$128,0)),0))</f>
        <v>57</v>
      </c>
      <c r="AF36" s="42">
        <f>IF(ISNUMBER(Matching_Engine!$AE$36),1,0)</f>
        <v>1</v>
      </c>
      <c r="AG36" s="65" t="str">
        <f>IF(NOT(ISNUMBER('[1]#REF'!$BG$12)),"N/A",MIN(100,ROUND('[1]#REF'!$BG$12/IFERROR(INDEX(Lookup_Lists!$B$340:$B$344,MATCH('[1]#REF'!$H$12,Lookup_Lists!$A$340:$A$344,0)),Lookup_Lists!$D$141)*100,0)))</f>
        <v>N/A</v>
      </c>
      <c r="AH36" s="65" t="str">
        <f>IF(NOT(ISNUMBER('[1]#REF'!$BS$12)),"N/A",MIN(100,MAX(0,'[1]#REF'!$BS$12)))</f>
        <v>N/A</v>
      </c>
      <c r="AI36" s="65" t="e">
        <f>IF(OR(NOT(ISNUMBER('[1]#REF'!$BM$12)),NOT(ISNUMBER('[1]#REF'!$BN$12)),'[1]#REF'!$BN$12&lt;Lookup_Lists!$D$320),"N/A",MIN(100,ROUND('[1]#REF'!$BM$12/Lookup_Lists!$D$319*100,0)))</f>
        <v>#REF!</v>
      </c>
      <c r="AJ36" s="65" t="str">
        <f>IF(NOT(ISNUMBER('[1]#REF'!$BR$12)),"N/A",'[1]#REF'!$BR$12)</f>
        <v>N/A</v>
      </c>
      <c r="AK36" s="65" t="str">
        <f>IF(NOT(ISNUMBER('[1]#REF'!$BK$12)),"N/A",MIN(100,ROUND('[1]#REF'!$BK$12/Lookup_Lists!$D$321*100,0)))</f>
        <v>N/A</v>
      </c>
      <c r="AL36" s="65" t="str">
        <f>IF(NOT(ISNUMBER('[1]#REF'!$BP$12)),"N/A",MIN(100,MAX(0,ROUND(('[1]#REF'!$BP$12+2)/(Lookup_Lists!$D$145+2)*100,0))))</f>
        <v>N/A</v>
      </c>
      <c r="AM36" s="63">
        <f>IF((IF(ISNUMBER(Matching_Engine!$AG$36),Lookup_Lists!$D$129,0)+IF(ISNUMBER(Matching_Engine!$AH$36),Lookup_Lists!$D$130,0)+IF(ISNUMBER(Matching_Engine!$AI$36),Lookup_Lists!$D$131,0)+IF(ISNUMBER(Matching_Engine!$AJ$36),Lookup_Lists!$D$132,0)+IF(ISNUMBER(Matching_Engine!$AK$36),Lookup_Lists!$D$133,0)+IF(ISNUMBER(Matching_Engine!$AL$36),Lookup_Lists!$D$134,0))=0,"N/A",ROUND((IF(ISNUMBER(Matching_Engine!$AG$36),Matching_Engine!$AG$36*Lookup_Lists!$D$129,0)+IF(ISNUMBER(Matching_Engine!$AH$36),Matching_Engine!$AH$36*Lookup_Lists!$D$130,0)+IF(ISNUMBER(Matching_Engine!$AI$36),Matching_Engine!$AI$36*Lookup_Lists!$D$131,0)+IF(ISNUMBER(Matching_Engine!$AJ$36),Matching_Engine!$AJ$36*Lookup_Lists!$D$132,0)+IF(ISNUMBER(Matching_Engine!$AK$36),Matching_Engine!$AK$36*Lookup_Lists!$D$133,0)+IF(ISNUMBER(Matching_Engine!$AL$36),Matching_Engine!$AL$36*Lookup_Lists!$D$134,0))/(IF(ISNUMBER(Matching_Engine!$AG$36),Lookup_Lists!$D$129,0)+IF(ISNUMBER(Matching_Engine!$AH$36),Lookup_Lists!$D$130,0)+IF(ISNUMBER(Matching_Engine!$AI$36),Lookup_Lists!$D$131,0)+IF(ISNUMBER(Matching_Engine!$AJ$36),Lookup_Lists!$D$132,0)+IF(ISNUMBER(Matching_Engine!$AK$36),Lookup_Lists!$D$133,0)+IF(ISNUMBER(Matching_Engine!$AL$36),Lookup_Lists!$D$134,0)),0))</f>
        <v>66</v>
      </c>
      <c r="AN36" s="42">
        <f>IF(ISNUMBER(Matching_Engine!$AM$36),1,0)</f>
        <v>0</v>
      </c>
      <c r="AO36" s="65" t="str">
        <f>IF(NOT(ISNUMBER('[1]#REF'!$BT$12)),"N/A",MIN(100,MAX(0,'[1]#REF'!$BT$12)))</f>
        <v>N/A</v>
      </c>
      <c r="AP36" s="65" t="str">
        <f>IF(NOT(ISNUMBER('[1]#REF'!$BU$12)),"N/A",MIN(100,MAX(0,'[1]#REF'!$BU$12)))</f>
        <v>N/A</v>
      </c>
      <c r="AQ36" s="65" t="e">
        <f>IF('[1]#REF'!$I$12="Yes",Lookup_Lists!$D$326,IF('[1]#REF'!$I$12="No",Lookup_Lists!$D$327,"N/A"))</f>
        <v>#REF!</v>
      </c>
      <c r="AR36" s="65" t="str">
        <f>IF(NOT(ISNUMBER('[1]#REF'!$BQ$12)),"N/A",MAX(0,ROUND(100-'[1]#REF'!$BQ$12/Lookup_Lists!$D$328*100,0)))</f>
        <v>N/A</v>
      </c>
      <c r="AS36" s="65" t="e">
        <f>IF(NOT(AND(ISTEXT('[1]#REF'!$BV$12),'[1]#REF'!$BV$12&lt;&gt;"N/A")),"N/A",'[1]#REF'!$BV$12)</f>
        <v>#REF!</v>
      </c>
      <c r="AT36" s="63" t="str">
        <f ca="1">IF((IF(ISNUMBER(Matching_Engine!$AO$36),Lookup_Lists!$D$322,0)+IF(ISNUMBER(Matching_Engine!$AP$36),Lookup_Lists!$D$323,0)+IF(ISNUMBER(Matching_Engine!$AQ$36),Lookup_Lists!$D$324,0)+IF(ISNUMBER(Matching_Engine!$AR$36),Lookup_Lists!$D$325,0))=0,"N/A",ROUND((IF(ISNUMBER(Matching_Engine!$AO$36),Matching_Engine!$AO$36*Lookup_Lists!$D$322,0)+IF(ISNUMBER(Matching_Engine!$AP$36),Matching_Engine!$AP$36*Lookup_Lists!$D$323,0)+IF(ISNUMBER(Matching_Engine!$AQ$36),Matching_Engine!$AQ$36*Lookup_Lists!$D$324,0)+IF(ISNUMBER(Matching_Engine!$AR$36),Matching_Engine!$AR$36*Lookup_Lists!$D$325,0))/(IF(ISNUMBER(Matching_Engine!$AO$36),Lookup_Lists!$D$322,0)+IF(ISNUMBER(Matching_Engine!$AP$36),Lookup_Lists!$D$323,0)+IF(ISNUMBER(Matching_Engine!$AQ$36),Lookup_Lists!$D$324,0)+IF(ISNUMBER(Matching_Engine!$AR$36),Lookup_Lists!$D$325,0)),0))</f>
        <v>N/A</v>
      </c>
      <c r="AU36" s="42">
        <f>IF(ISNUMBER(Matching_Engine!$AT$36),1,0)</f>
        <v>1</v>
      </c>
      <c r="AV36" s="42" t="str">
        <f>IF(NOT(ISNUMBER(Matching_Engine!$AT$36)),"Not Screened",IF(Matching_Engine!$AT$36&gt;=Lookup_Lists!$D$329,"Low Risk",IF(Matching_Engine!$AT$36&gt;=Lookup_Lists!$D$330,"Moderate Risk",IF(Matching_Engine!$AT$36&gt;=Lookup_Lists!$D$331,"Elevated Risk","High Risk"))))</f>
        <v>Low Risk</v>
      </c>
      <c r="AW36" s="42" t="e">
        <f ca="1">IF(NOT(ISNUMBER(Matching_Engine!$AT$36)),"No integrity signal: no audience-analysis row for this account.","Integrity screen only — no content-risk reading exists (comments_analysis: 0 rows). "&amp;IF(ISNUMBER(Matching_Engine!$AO$36),"Authenticity "&amp;Matching_Engine!$AO$36&amp;". ","Authenticity N/A. ")&amp;IF(ISNUMBER(Matching_Engine!$AP$36),"Follower quality "&amp;Matching_Engine!$AP$36&amp;". ","Follower quality N/A. ")&amp;IF('[1]#REF'!$I$12="Yes","Platform-verified.","Not platform-verified."))</f>
        <v>#REF!</v>
      </c>
      <c r="AX36" s="65">
        <f>Matching_Engine!$N$36*Lookup_Lists!$D$104+Matching_Engine!$T$36*Lookup_Lists!$D$105+Matching_Engine!$Z$36*Lookup_Lists!$D$106+Matching_Engine!$AF$36*Lookup_Lists!$D$107+Matching_Engine!$AN$36*Lookup_Lists!$D$108+Matching_Engine!$AU$36*Lookup_Lists!$D$109</f>
        <v>3680</v>
      </c>
      <c r="AY36" s="74" t="e">
        <f ca="1">IF(Matching_Engine!$AX$36=0,"N/A",ROUND((IF(Matching_Engine!$N$36=1,Matching_Engine!$M$36*Lookup_Lists!$D$104,0)+IF(Matching_Engine!$T$36=1,Matching_Engine!$S$36*Lookup_Lists!$D$105,0)+IF(Matching_Engine!$Z$36=1,Matching_Engine!$Y$36*Lookup_Lists!$D$106,0)+IF(Matching_Engine!$AF$36=1,Matching_Engine!$AE$36*Lookup_Lists!$D$107,0)+IF(Matching_Engine!$AN$36=1,Matching_Engine!$AM$36*Lookup_Lists!$D$108,0)+IF(Matching_Engine!$AU$36=1,Matching_Engine!$AT$36*Lookup_Lists!$D$109,0))/Matching_Engine!$AX$36,0))</f>
        <v>#VALUE!</v>
      </c>
      <c r="AZ36" s="42" t="str">
        <f ca="1">IF(NOT(ISNUMBER(Matching_Engine!$AY$36)),"Not Scored",IF(Matching_Engine!$AY$36&gt;=Lookup_Lists!$D$152,"Excellent Match",IF(Matching_Engine!$AY$36&gt;=Lookup_Lists!$D$153,"Strong Match",IF(Matching_Engine!$AY$36&gt;=Lookup_Lists!$D$154,"Good Match",IF(Matching_Engine!$AY$36&gt;=Lookup_Lists!$D$155,"Moderate Match","Low Match")))))</f>
        <v>Not Scored</v>
      </c>
      <c r="BA36" s="65" t="e">
        <f>'[1]#REF'!$BW$12</f>
        <v>#REF!</v>
      </c>
      <c r="BB36" s="42" t="e">
        <f>'[1]#REF'!$BX$12</f>
        <v>#REF!</v>
      </c>
      <c r="BC36" s="65">
        <f ca="1">IF(NOT(ISNUMBER(Matching_Engine!$AY$36)),-1,Matching_Engine!$AY$36*1000+18)</f>
        <v>-1</v>
      </c>
      <c r="BD36" s="42" t="e">
        <f>IF(AND(ISTEXT('[1]#REF'!$S$12),'[1]#REF'!$S$12&lt;&gt;"N/A"),'[1]#REF'!$S$12,"")&amp;" | "&amp;IF(AND(ISTEXT('[1]#REF'!$T$12),'[1]#REF'!$T$12&lt;&gt;"N/A"),'[1]#REF'!$T$12,"")&amp;" | "&amp;IF(AND(ISTEXT('[1]#REF'!$N$12),'[1]#REF'!$N$12&lt;&gt;"N/A"),'[1]#REF'!$N$12,"")&amp;" | "&amp;IF(AND(ISTEXT('[1]#REF'!$K$12),'[1]#REF'!$K$12&lt;&gt;"N/A"),'[1]#REF'!$K$12,"")&amp;" | "&amp;IF(AND(ISTEXT('[1]#REF'!$J$12),'[1]#REF'!$J$12&lt;&gt;"N/A"),'[1]#REF'!$J$12,"")</f>
        <v>#REF!</v>
      </c>
      <c r="BE36" s="42" t="e">
        <f>IF(AND(ISTEXT('[1]#REF'!$T$12),'[1]#REF'!$T$12&lt;&gt;"N/A"),'[1]#REF'!$T$12,"")&amp;" | "&amp;IF(AND(ISTEXT('[1]#REF'!$N$12),'[1]#REF'!$N$12&lt;&gt;"N/A"),'[1]#REF'!$N$12,"")&amp;" | "&amp;IF(AND(ISTEXT('[1]#REF'!$O$12),'[1]#REF'!$O$12&lt;&gt;"N/A"),'[1]#REF'!$O$12,"")&amp;" | "&amp;IF(AND(ISTEXT('[1]#REF'!$S$12),'[1]#REF'!$S$12&lt;&gt;"N/A"),'[1]#REF'!$S$12,"")</f>
        <v>#REF!</v>
      </c>
      <c r="BF36" s="42" t="e">
        <f>IF(AND(ISTEXT('[1]#REF'!$U$12),'[1]#REF'!$U$12&lt;&gt;"N/A"),'[1]#REF'!$U$12,"")</f>
        <v>#REF!</v>
      </c>
      <c r="BG36" s="42" t="str">
        <f>Matching_Engine!$A$36&amp;"|"&amp;Matching_Engine!$C$36</f>
        <v>BRAND-B|KOL-01</v>
      </c>
    </row>
    <row r="37" spans="1:59">
      <c r="A37" s="64" t="s">
        <v>2528</v>
      </c>
      <c r="B37" s="42" t="str">
        <f>Brand_Profile!$F$6</f>
        <v>BRAND-C</v>
      </c>
      <c r="C37" s="42" t="e">
        <f>'[1]#REF'!$A$13</f>
        <v>#REF!</v>
      </c>
      <c r="D37" s="42" t="e">
        <f>'[1]#REF'!$C$13</f>
        <v>#REF!</v>
      </c>
      <c r="E37" s="42" t="e">
        <f>'[1]#REF'!$D$13</f>
        <v>#REF!</v>
      </c>
      <c r="F37" s="42" t="e">
        <f>'[1]#REF'!$E$13</f>
        <v>#REF!</v>
      </c>
      <c r="G37" s="42" t="e">
        <f>'[1]#REF'!$K$13</f>
        <v>#REF!</v>
      </c>
      <c r="H37" s="72" t="e">
        <f>'[1]#REF'!$G$13</f>
        <v>#REF!</v>
      </c>
      <c r="I37" s="73" t="e">
        <f>'[1]#REF'!$BG$13</f>
        <v>#REF!</v>
      </c>
      <c r="J37" s="65" t="e">
        <f>IF(NOT(AND(ISTEXT('[1]#REF'!$K$13),'[1]#REF'!$K$13&lt;&gt;"N/A")),Lookup_Lists!$D$150,IF(Brand_Profile!$F$7='[1]#REF'!$K$13,100,IFERROR(INDEX(Lookup_Lists!$B$349:$J$357,MATCH(Brand_Profile!$F$7,Lookup_Lists!$A$349:$A$357,0),MATCH('[1]#REF'!$K$13,Lookup_Lists!$B$348:$J$348,0)),Lookup_Lists!$D$151)))</f>
        <v>#REF!</v>
      </c>
      <c r="K37" s="65" t="e">
        <f>IF(LEN(TRIM(SUBSTITUTE(Matching_Engine!$BD$37,"|","")))=0,"N/A",IF(Brand_Profile!$F$47=0,Lookup_Lists!$D$150,ROUND((IF(Brand_Profile!$F$41="",0,IF(ISNUMBER(SEARCH(Brand_Profile!$F$41,Matching_Engine!$BD$37)),1,0))+IF(Brand_Profile!$F$42="",0,IF(ISNUMBER(SEARCH(Brand_Profile!$F$42,Matching_Engine!$BD$37)),1,0))+IF(Brand_Profile!$F$43="",0,IF(ISNUMBER(SEARCH(Brand_Profile!$F$43,Matching_Engine!$BD$37)),1,0))+IF(Brand_Profile!$F$44="",0,IF(ISNUMBER(SEARCH(Brand_Profile!$F$44,Matching_Engine!$BD$37)),1,0))+IF(Brand_Profile!$F$45="",0,IF(ISNUMBER(SEARCH(Brand_Profile!$F$45,Matching_Engine!$BD$37)),1,0))+IF(Brand_Profile!$F$46="",0,IF(ISNUMBER(SEARCH(Brand_Profile!$F$46,Matching_Engine!$BD$37)),1,0)))/Brand_Profile!$F$47*100,0)))</f>
        <v>#VALUE!</v>
      </c>
      <c r="L37" s="65" t="e">
        <f>IF(NOT(AND(ISTEXT('[1]#REF'!$U$13),'[1]#REF'!$U$13&lt;&gt;"N/A")),"N/A",IF(Brand_Profile!$F$53=0,Lookup_Lists!$D$150,ROUND((IF(Brand_Profile!$F$48="",0,IF(ISNUMBER(SEARCH(Brand_Profile!$F$48,Matching_Engine!$BF$37)),1,0))+IF(Brand_Profile!$F$49="",0,IF(ISNUMBER(SEARCH(Brand_Profile!$F$49,Matching_Engine!$BF$37)),1,0))+IF(Brand_Profile!$F$50="",0,IF(ISNUMBER(SEARCH(Brand_Profile!$F$50,Matching_Engine!$BF$37)),1,0))+IF(Brand_Profile!$F$51="",0,IF(ISNUMBER(SEARCH(Brand_Profile!$F$51,Matching_Engine!$BF$37)),1,0))+IF(Brand_Profile!$F$52="",0,IF(ISNUMBER(SEARCH(Brand_Profile!$F$52,Matching_Engine!$BF$37)),1,0)))/Brand_Profile!$F$53*100,0)))</f>
        <v>#REF!</v>
      </c>
      <c r="M37" s="63" t="str">
        <f>IF((IF(ISNUMBER(Matching_Engine!$J$37),Lookup_Lists!$D$332,0)+IF(ISNUMBER(Matching_Engine!$K$37),Lookup_Lists!$D$333,0)+IF(ISNUMBER(Matching_Engine!$L$37),Lookup_Lists!$D$334,0))=0,"N/A",ROUND((IF(ISNUMBER(Matching_Engine!$J$37),Matching_Engine!$J$37*Lookup_Lists!$D$332,0)+IF(ISNUMBER(Matching_Engine!$K$37),Matching_Engine!$K$37*Lookup_Lists!$D$333,0)+IF(ISNUMBER(Matching_Engine!$L$37),Matching_Engine!$L$37*Lookup_Lists!$D$334,0))/(IF(ISNUMBER(Matching_Engine!$J$37),Lookup_Lists!$D$332,0)+IF(ISNUMBER(Matching_Engine!$K$37),Lookup_Lists!$D$333,0)+IF(ISNUMBER(Matching_Engine!$L$37),Lookup_Lists!$D$334,0)),0))</f>
        <v>N/A</v>
      </c>
      <c r="N37" s="42">
        <f>IF(ISNUMBER(Matching_Engine!$M$37),1,0)</f>
        <v>1</v>
      </c>
      <c r="O37" s="65" t="str">
        <f ca="1">IF(NOT(ISNUMBER(IFERROR(INDEX('[1]#REF'!$V$13:'[1]#REF'!$Z$13,1,MATCH(Brand_Profile!$F$11,Lookup_Lists!$F$6:$F$10,0)),""))),"N/A",MIN(100,ROUND((IFERROR(INDEX('[1]#REF'!$V$13:'[1]#REF'!$Z$13,1,MATCH(Brand_Profile!$F$11,Lookup_Lists!$F$6:$F$10,0)),"")+0.5*IF(ISNUMBER(IFERROR(INDEX('[1]#REF'!$V$13:'[1]#REF'!$Z$13,1,MATCH(Brand_Profile!$F$12,Lookup_Lists!$F$6:$F$10,0)),"")),IFERROR(INDEX('[1]#REF'!$V$13:'[1]#REF'!$Z$13,1,MATCH(Brand_Profile!$F$12,Lookup_Lists!$F$6:$F$10,0)),""),0))/Lookup_Lists!$D$142*100,0)))</f>
        <v>N/A</v>
      </c>
      <c r="P37" s="65" t="str">
        <f>IF(Brand_Profile!$F$13="Any",100,IF(NOT(ISNUMBER('[1]#REF'!$AA$13)),"N/A",IF(Brand_Profile!$F$13="Female",MIN(100,ROUND('[1]#REF'!$AA$13/Lookup_Lists!$D$143*100,0)),IF(Brand_Profile!$F$13="Male",MIN(100,ROUND(IF(ISNUMBER('[1]#REF'!$AB$13),'[1]#REF'!$AB$13,100-'[1]#REF'!$AA$13)/Lookup_Lists!$D$143*100,0)),MAX(0,ROUND(100-ABS('[1]#REF'!$AA$13-50)*2,0))))))</f>
        <v>N/A</v>
      </c>
      <c r="Q37" s="65" t="str">
        <f>IF((IF(ISNUMBER(IF(NOT(ISNUMBER('[1]#REF'!$AE$13)),"N/A",IF('[1]#REF'!$AD$13&lt;&gt;Brand_Profile!$F$14,Lookup_Lists!$D$151,MIN(100,ROUND('[1]#REF'!$AE$13/Lookup_Lists!$D$316*100,0))))),Lookup_Lists!$D$118,0)+IF(ISNUMBER(IF(NOT(ISNUMBER('[1]#REF'!$AM$13)),"N/A",MIN(100,ROUND((IF('[1]#REF'!$AG$13=Brand_Profile!$F$15,IF(ISNUMBER('[1]#REF'!$AH$13),'[1]#REF'!$AH$13,0),0)+IF('[1]#REF'!$AI$13=Brand_Profile!$F$15,IF(ISNUMBER('[1]#REF'!$AJ$13),'[1]#REF'!$AJ$13,0),0)+IF('[1]#REF'!$AK$13=Brand_Profile!$F$15,IF(ISNUMBER('[1]#REF'!$AL$13),'[1]#REF'!$AL$13,0),0))/Lookup_Lists!$D$317*100,0)))),Lookup_Lists!$D$120,0))=0,"N/A",ROUND((IF(ISNUMBER(IF(NOT(ISNUMBER('[1]#REF'!$AE$13)),"N/A",IF('[1]#REF'!$AD$13&lt;&gt;Brand_Profile!$F$14,Lookup_Lists!$D$151,MIN(100,ROUND('[1]#REF'!$AE$13/Lookup_Lists!$D$316*100,0))))),IF(NOT(ISNUMBER('[1]#REF'!$AE$13)),"N/A",IF('[1]#REF'!$AD$13&lt;&gt;Brand_Profile!$F$14,Lookup_Lists!$D$151,MIN(100,ROUND('[1]#REF'!$AE$13/Lookup_Lists!$D$316*100,0))))*Lookup_Lists!$D$118,0)+IF(ISNUMBER(IF(NOT(ISNUMBER('[1]#REF'!$AM$13)),"N/A",MIN(100,ROUND((IF('[1]#REF'!$AG$13=Brand_Profile!$F$15,IF(ISNUMBER('[1]#REF'!$AH$13),'[1]#REF'!$AH$13,0),0)+IF('[1]#REF'!$AI$13=Brand_Profile!$F$15,IF(ISNUMBER('[1]#REF'!$AJ$13),'[1]#REF'!$AJ$13,0),0)+IF('[1]#REF'!$AK$13=Brand_Profile!$F$15,IF(ISNUMBER('[1]#REF'!$AL$13),'[1]#REF'!$AL$13,0),0))/Lookup_Lists!$D$317*100,0)))),IF(NOT(ISNUMBER('[1]#REF'!$AM$13)),"N/A",MIN(100,ROUND((IF('[1]#REF'!$AG$13=Brand_Profile!$F$15,IF(ISNUMBER('[1]#REF'!$AH$13),'[1]#REF'!$AH$13,0),0)+IF('[1]#REF'!$AI$13=Brand_Profile!$F$15,IF(ISNUMBER('[1]#REF'!$AJ$13),'[1]#REF'!$AJ$13,0),0)+IF('[1]#REF'!$AK$13=Brand_Profile!$F$15,IF(ISNUMBER('[1]#REF'!$AL$13),'[1]#REF'!$AL$13,0),0))/Lookup_Lists!$D$317*100,0)))*Lookup_Lists!$D$120,0))/(IF(ISNUMBER(IF(NOT(ISNUMBER('[1]#REF'!$AE$13)),"N/A",IF('[1]#REF'!$AD$13&lt;&gt;Brand_Profile!$F$14,Lookup_Lists!$D$151,MIN(100,ROUND('[1]#REF'!$AE$13/Lookup_Lists!$D$316*100,0))))),Lookup_Lists!$D$118,0)+IF(ISNUMBER(IF(NOT(ISNUMBER('[1]#REF'!$AM$13)),"N/A",MIN(100,ROUND((IF('[1]#REF'!$AG$13=Brand_Profile!$F$15,IF(ISNUMBER('[1]#REF'!$AH$13),'[1]#REF'!$AH$13,0),0)+IF('[1]#REF'!$AI$13=Brand_Profile!$F$15,IF(ISNUMBER('[1]#REF'!$AJ$13),'[1]#REF'!$AJ$13,0),0)+IF('[1]#REF'!$AK$13=Brand_Profile!$F$15,IF(ISNUMBER('[1]#REF'!$AL$13),'[1]#REF'!$AL$13,0),0))/Lookup_Lists!$D$317*100,0)))),Lookup_Lists!$D$120,0)),0))</f>
        <v>N/A</v>
      </c>
      <c r="R37" s="65" t="str">
        <f>IF(NOT(ISNUMBER('[1]#REF'!$AN$13)),"N/A",MIN(100,ROUND((IF(ISNUMBER('[1]#REF'!$AO$13),'[1]#REF'!$AO$13*Brand_Profile!$F$17,0)+IF(ISNUMBER('[1]#REF'!$AP$13),'[1]#REF'!$AP$13*Brand_Profile!$F$18,0)+IF(ISNUMBER('[1]#REF'!$AQ$13),'[1]#REF'!$AQ$13*Brand_Profile!$F$19,0)+IF(ISNUMBER('[1]#REF'!$AR$13),'[1]#REF'!$AR$13*Brand_Profile!$F$20,0)+IF(ISNUMBER('[1]#REF'!$AS$13),'[1]#REF'!$AS$13*Brand_Profile!$F$21,0)+IF(ISNUMBER('[1]#REF'!$AT$13),'[1]#REF'!$AT$13*Brand_Profile!$F$22,0)+IF(ISNUMBER('[1]#REF'!$AU$13),'[1]#REF'!$AU$13*Brand_Profile!$F$23,0)+IF(ISNUMBER('[1]#REF'!$AV$13),'[1]#REF'!$AV$13*Brand_Profile!$F$24,0)+IF(ISNUMBER('[1]#REF'!$AW$13),'[1]#REF'!$AW$13*Brand_Profile!$F$25,0)+IF(ISNUMBER('[1]#REF'!$AX$13),'[1]#REF'!$AX$13*Brand_Profile!$F$26,0)+IF(ISNUMBER('[1]#REF'!$AY$13),'[1]#REF'!$AY$13*Brand_Profile!$F$27,0)+IF(ISNUMBER('[1]#REF'!$AZ$13),'[1]#REF'!$AZ$13*Brand_Profile!$F$28,0)+IF(ISNUMBER('[1]#REF'!$BA$13),'[1]#REF'!$BA$13*Brand_Profile!$F$29,0)+IF(ISNUMBER('[1]#REF'!$BB$13),'[1]#REF'!$BB$13*Brand_Profile!$F$30,0)+IF(ISNUMBER('[1]#REF'!$BC$13),'[1]#REF'!$BC$13*Brand_Profile!$F$31,0)+IF(ISNUMBER('[1]#REF'!$BD$13),'[1]#REF'!$BD$13*Brand_Profile!$F$32,0)+IF(ISNUMBER('[1]#REF'!$BE$13),'[1]#REF'!$BE$13*Brand_Profile!$F$33,0)+IF(ISNUMBER('[1]#REF'!$BF$13),'[1]#REF'!$BF$13*Brand_Profile!$F$34,0))/Lookup_Lists!$D$318*100,0)))</f>
        <v>N/A</v>
      </c>
      <c r="S37" s="63">
        <f ca="1">IF((IF(ISNUMBER(Matching_Engine!$O$37),Lookup_Lists!$D$113,0)+IF(ISNUMBER(Matching_Engine!$P$37),Lookup_Lists!$D$114,0)+IF(ISNUMBER(Matching_Engine!$Q$37),Lookup_Lists!$D$115,0)+IF(ISNUMBER(Matching_Engine!$R$37),Lookup_Lists!$D$116,0))=0,"N/A",ROUND((IF(ISNUMBER(Matching_Engine!$O$37),Matching_Engine!$O$37*Lookup_Lists!$D$113,0)+IF(ISNUMBER(Matching_Engine!$P$37),Matching_Engine!$P$37*Lookup_Lists!$D$114,0)+IF(ISNUMBER(Matching_Engine!$Q$37),Matching_Engine!$Q$37*Lookup_Lists!$D$115,0)+IF(ISNUMBER(Matching_Engine!$R$37),Matching_Engine!$R$37*Lookup_Lists!$D$116,0))/(IF(ISNUMBER(Matching_Engine!$O$37),Lookup_Lists!$D$113,0)+IF(ISNUMBER(Matching_Engine!$P$37),Lookup_Lists!$D$114,0)+IF(ISNUMBER(Matching_Engine!$Q$37),Lookup_Lists!$D$115,0)+IF(ISNUMBER(Matching_Engine!$R$37),Lookup_Lists!$D$116,0)),0))</f>
        <v>55</v>
      </c>
      <c r="T37" s="42">
        <f ca="1">IF(ISNUMBER(Matching_Engine!$S$37),1,0)</f>
        <v>1</v>
      </c>
      <c r="U37" s="65" t="e">
        <f>IF(NOT(AND(ISTEXT('[1]#REF'!$M$13),'[1]#REF'!$M$13&lt;&gt;"N/A")),Lookup_Lists!$D$150,IF(Brand_Profile!$F$7='[1]#REF'!$M$13,100,IFERROR(INDEX(Lookup_Lists!$B$349:$J$357,MATCH(Brand_Profile!$F$7,Lookup_Lists!$A$349:$A$357,0),MATCH('[1]#REF'!$M$13,Lookup_Lists!$B$348:$J$348,0)),Lookup_Lists!$D$151)))</f>
        <v>#REF!</v>
      </c>
      <c r="V37" s="65" t="e">
        <f>IF(NOT(AND(ISTEXT('[1]#REF'!$P$13),'[1]#REF'!$P$13&lt;&gt;"N/A")),"N/A",IFERROR(INDEX(Lookup_Lists!$B$349:$J$357,MATCH(Brand_Profile!$F$7,Lookup_Lists!$A$349:$A$357,0),MATCH('[1]#REF'!$P$13,Lookup_Lists!$B$348:$J$348,0)),Lookup_Lists!$D$151))</f>
        <v>#REF!</v>
      </c>
      <c r="W37" s="65" t="e">
        <f>IF(LEN(TRIM(SUBSTITUTE(Matching_Engine!$BE$37,"|","")))=0,"N/A",IF(Brand_Profile!$F$60=0,Lookup_Lists!$D$150,ROUND((IF(Brand_Profile!$F$54="",0,IF(ISNUMBER(SEARCH(Brand_Profile!$F$54,Matching_Engine!$BE$37)),1,0))+IF(Brand_Profile!$F$55="",0,IF(ISNUMBER(SEARCH(Brand_Profile!$F$55,Matching_Engine!$BE$37)),1,0))+IF(Brand_Profile!$F$56="",0,IF(ISNUMBER(SEARCH(Brand_Profile!$F$56,Matching_Engine!$BE$37)),1,0))+IF(Brand_Profile!$F$57="",0,IF(ISNUMBER(SEARCH(Brand_Profile!$F$57,Matching_Engine!$BE$37)),1,0))+IF(Brand_Profile!$F$58="",0,IF(ISNUMBER(SEARCH(Brand_Profile!$F$58,Matching_Engine!$BE$37)),1,0))+IF(Brand_Profile!$F$59="",0,IF(ISNUMBER(SEARCH(Brand_Profile!$F$59,Matching_Engine!$BE$37)),1,0)))/Brand_Profile!$F$60*100,0)))</f>
        <v>#VALUE!</v>
      </c>
      <c r="X37" s="65" t="e">
        <f>IF(NOT(AND(ISTEXT('[1]#REF'!$Q$13),'[1]#REF'!$Q$13&lt;&gt;"N/A")),"N/A",Lookup_Lists!$D$150)</f>
        <v>#REF!</v>
      </c>
      <c r="Y37" s="63">
        <f>IF((IF(ISNUMBER(Matching_Engine!$U$37),Lookup_Lists!$D$335,0)+IF(ISNUMBER(Matching_Engine!$V$37),Lookup_Lists!$D$122,0)+IF(ISNUMBER(Matching_Engine!$W$37),Lookup_Lists!$D$336,0)+IF(ISNUMBER(Matching_Engine!$X$37),Lookup_Lists!$D$124,0))=0,"N/A",ROUND((IF(ISNUMBER(Matching_Engine!$U$37),Matching_Engine!$U$37*Lookup_Lists!$D$335,0)+IF(ISNUMBER(Matching_Engine!$V$37),Matching_Engine!$V$37*Lookup_Lists!$D$122,0)+IF(ISNUMBER(Matching_Engine!$W$37),Matching_Engine!$W$37*Lookup_Lists!$D$336,0)+IF(ISNUMBER(Matching_Engine!$X$37),Matching_Engine!$X$37*Lookup_Lists!$D$124,0))/(IF(ISNUMBER(Matching_Engine!$U$37),Lookup_Lists!$D$335,0)+IF(ISNUMBER(Matching_Engine!$V$37),Lookup_Lists!$D$122,0)+IF(ISNUMBER(Matching_Engine!$W$37),Lookup_Lists!$D$336,0)+IF(ISNUMBER(Matching_Engine!$X$37),Lookup_Lists!$D$124,0)),0))</f>
        <v>13</v>
      </c>
      <c r="Z37" s="42">
        <f>IF(ISNUMBER(Matching_Engine!$Y$37),1,0)</f>
        <v>1</v>
      </c>
      <c r="AA37" s="65" t="e">
        <f>IF(NOT(AND(ISTEXT('[1]#REF'!$Q$13),'[1]#REF'!$Q$13&lt;&gt;"N/A")),"N/A",Lookup_Lists!$D$150)</f>
        <v>#REF!</v>
      </c>
      <c r="AB37" s="65" t="e">
        <f>IF(NOT(AND(ISTEXT('[1]#REF'!$Q$13),'[1]#REF'!$Q$13&lt;&gt;"N/A")),"N/A",Lookup_Lists!$D$150)</f>
        <v>#REF!</v>
      </c>
      <c r="AC37" s="65" t="str">
        <f t="shared" si="0"/>
        <v>N/A</v>
      </c>
      <c r="AD37" s="65" t="e">
        <f>IF(NOT(AND(ISTEXT('[1]#REF'!$Q$13),'[1]#REF'!$Q$13&lt;&gt;"N/A")),"N/A",Lookup_Lists!$D$150)</f>
        <v>#REF!</v>
      </c>
      <c r="AE37" s="63">
        <f>IF((IF(ISNUMBER(Matching_Engine!$AA$37),Lookup_Lists!$D$125,0)+IF(ISNUMBER(Matching_Engine!$AB$37),Lookup_Lists!$D$126,0)+IF(ISNUMBER(Matching_Engine!$AC$37),Lookup_Lists!$D$127,0)+IF(ISNUMBER(Matching_Engine!$AD$37),Lookup_Lists!$D$128,0))=0,"N/A",ROUND((IF(ISNUMBER(Matching_Engine!$AA$37),Matching_Engine!$AA$37*Lookup_Lists!$D$125,0)+IF(ISNUMBER(Matching_Engine!$AB$37),Matching_Engine!$AB$37*Lookup_Lists!$D$126,0)+IF(ISNUMBER(Matching_Engine!$AC$37),Matching_Engine!$AC$37*Lookup_Lists!$D$127,0)+IF(ISNUMBER(Matching_Engine!$AD$37),Matching_Engine!$AD$37*Lookup_Lists!$D$128,0))/(IF(ISNUMBER(Matching_Engine!$AA$37),Lookup_Lists!$D$125,0)+IF(ISNUMBER(Matching_Engine!$AB$37),Lookup_Lists!$D$126,0)+IF(ISNUMBER(Matching_Engine!$AC$37),Lookup_Lists!$D$127,0)+IF(ISNUMBER(Matching_Engine!$AD$37),Lookup_Lists!$D$128,0)),0))</f>
        <v>48</v>
      </c>
      <c r="AF37" s="42">
        <f>IF(ISNUMBER(Matching_Engine!$AE$37),1,0)</f>
        <v>1</v>
      </c>
      <c r="AG37" s="65" t="str">
        <f>IF(NOT(ISNUMBER('[1]#REF'!$BG$13)),"N/A",MIN(100,ROUND('[1]#REF'!$BG$13/IFERROR(INDEX(Lookup_Lists!$B$340:$B$344,MATCH('[1]#REF'!$H$13,Lookup_Lists!$A$340:$A$344,0)),Lookup_Lists!$D$141)*100,0)))</f>
        <v>N/A</v>
      </c>
      <c r="AH37" s="65" t="str">
        <f>IF(NOT(ISNUMBER('[1]#REF'!$BS$13)),"N/A",MIN(100,MAX(0,'[1]#REF'!$BS$13)))</f>
        <v>N/A</v>
      </c>
      <c r="AI37" s="65" t="e">
        <f>IF(OR(NOT(ISNUMBER('[1]#REF'!$BM$13)),NOT(ISNUMBER('[1]#REF'!$BN$13)),'[1]#REF'!$BN$13&lt;Lookup_Lists!$D$320),"N/A",MIN(100,ROUND('[1]#REF'!$BM$13/Lookup_Lists!$D$319*100,0)))</f>
        <v>#REF!</v>
      </c>
      <c r="AJ37" s="65" t="str">
        <f>IF(NOT(ISNUMBER('[1]#REF'!$BR$13)),"N/A",'[1]#REF'!$BR$13)</f>
        <v>N/A</v>
      </c>
      <c r="AK37" s="65" t="str">
        <f>IF(NOT(ISNUMBER('[1]#REF'!$BK$13)),"N/A",MIN(100,ROUND('[1]#REF'!$BK$13/Lookup_Lists!$D$321*100,0)))</f>
        <v>N/A</v>
      </c>
      <c r="AL37" s="65" t="str">
        <f>IF(NOT(ISNUMBER('[1]#REF'!$BP$13)),"N/A",MIN(100,MAX(0,ROUND(('[1]#REF'!$BP$13+2)/(Lookup_Lists!$D$145+2)*100,0))))</f>
        <v>N/A</v>
      </c>
      <c r="AM37" s="63">
        <f>IF((IF(ISNUMBER(Matching_Engine!$AG$37),Lookup_Lists!$D$129,0)+IF(ISNUMBER(Matching_Engine!$AH$37),Lookup_Lists!$D$130,0)+IF(ISNUMBER(Matching_Engine!$AI$37),Lookup_Lists!$D$131,0)+IF(ISNUMBER(Matching_Engine!$AJ$37),Lookup_Lists!$D$132,0)+IF(ISNUMBER(Matching_Engine!$AK$37),Lookup_Lists!$D$133,0)+IF(ISNUMBER(Matching_Engine!$AL$37),Lookup_Lists!$D$134,0))=0,"N/A",ROUND((IF(ISNUMBER(Matching_Engine!$AG$37),Matching_Engine!$AG$37*Lookup_Lists!$D$129,0)+IF(ISNUMBER(Matching_Engine!$AH$37),Matching_Engine!$AH$37*Lookup_Lists!$D$130,0)+IF(ISNUMBER(Matching_Engine!$AI$37),Matching_Engine!$AI$37*Lookup_Lists!$D$131,0)+IF(ISNUMBER(Matching_Engine!$AJ$37),Matching_Engine!$AJ$37*Lookup_Lists!$D$132,0)+IF(ISNUMBER(Matching_Engine!$AK$37),Matching_Engine!$AK$37*Lookup_Lists!$D$133,0)+IF(ISNUMBER(Matching_Engine!$AL$37),Matching_Engine!$AL$37*Lookup_Lists!$D$134,0))/(IF(ISNUMBER(Matching_Engine!$AG$37),Lookup_Lists!$D$129,0)+IF(ISNUMBER(Matching_Engine!$AH$37),Lookup_Lists!$D$130,0)+IF(ISNUMBER(Matching_Engine!$AI$37),Lookup_Lists!$D$131,0)+IF(ISNUMBER(Matching_Engine!$AJ$37),Lookup_Lists!$D$132,0)+IF(ISNUMBER(Matching_Engine!$AK$37),Lookup_Lists!$D$133,0)+IF(ISNUMBER(Matching_Engine!$AL$37),Lookup_Lists!$D$134,0)),0))</f>
        <v>85</v>
      </c>
      <c r="AN37" s="42">
        <f>IF(ISNUMBER(Matching_Engine!$AM$37),1,0)</f>
        <v>0</v>
      </c>
      <c r="AO37" s="65" t="str">
        <f>IF(NOT(ISNUMBER('[1]#REF'!$BT$13)),"N/A",MIN(100,MAX(0,'[1]#REF'!$BT$13)))</f>
        <v>N/A</v>
      </c>
      <c r="AP37" s="65" t="str">
        <f>IF(NOT(ISNUMBER('[1]#REF'!$BU$13)),"N/A",MIN(100,MAX(0,'[1]#REF'!$BU$13)))</f>
        <v>N/A</v>
      </c>
      <c r="AQ37" s="65" t="e">
        <f>IF('[1]#REF'!$I$13="Yes",Lookup_Lists!$D$326,IF('[1]#REF'!$I$13="No",Lookup_Lists!$D$327,"N/A"))</f>
        <v>#REF!</v>
      </c>
      <c r="AR37" s="65" t="str">
        <f>IF(NOT(ISNUMBER('[1]#REF'!$BQ$13)),"N/A",MAX(0,ROUND(100-'[1]#REF'!$BQ$13/Lookup_Lists!$D$328*100,0)))</f>
        <v>N/A</v>
      </c>
      <c r="AS37" s="65" t="e">
        <f>IF(NOT(AND(ISTEXT('[1]#REF'!$BV$13),'[1]#REF'!$BV$13&lt;&gt;"N/A")),"N/A",'[1]#REF'!$BV$13)</f>
        <v>#REF!</v>
      </c>
      <c r="AT37" s="63" t="str">
        <f ca="1">IF((IF(ISNUMBER(Matching_Engine!$AO$37),Lookup_Lists!$D$322,0)+IF(ISNUMBER(Matching_Engine!$AP$37),Lookup_Lists!$D$323,0)+IF(ISNUMBER(Matching_Engine!$AQ$37),Lookup_Lists!$D$324,0)+IF(ISNUMBER(Matching_Engine!$AR$37),Lookup_Lists!$D$325,0))=0,"N/A",ROUND((IF(ISNUMBER(Matching_Engine!$AO$37),Matching_Engine!$AO$37*Lookup_Lists!$D$322,0)+IF(ISNUMBER(Matching_Engine!$AP$37),Matching_Engine!$AP$37*Lookup_Lists!$D$323,0)+IF(ISNUMBER(Matching_Engine!$AQ$37),Matching_Engine!$AQ$37*Lookup_Lists!$D$324,0)+IF(ISNUMBER(Matching_Engine!$AR$37),Matching_Engine!$AR$37*Lookup_Lists!$D$325,0))/(IF(ISNUMBER(Matching_Engine!$AO$37),Lookup_Lists!$D$322,0)+IF(ISNUMBER(Matching_Engine!$AP$37),Lookup_Lists!$D$323,0)+IF(ISNUMBER(Matching_Engine!$AQ$37),Lookup_Lists!$D$324,0)+IF(ISNUMBER(Matching_Engine!$AR$37),Lookup_Lists!$D$325,0)),0))</f>
        <v>N/A</v>
      </c>
      <c r="AU37" s="42">
        <f>IF(ISNUMBER(Matching_Engine!$AT$37),1,0)</f>
        <v>1</v>
      </c>
      <c r="AV37" s="42" t="str">
        <f>IF(NOT(ISNUMBER(Matching_Engine!$AT$37)),"Not Screened",IF(Matching_Engine!$AT$37&gt;=Lookup_Lists!$D$329,"Low Risk",IF(Matching_Engine!$AT$37&gt;=Lookup_Lists!$D$330,"Moderate Risk",IF(Matching_Engine!$AT$37&gt;=Lookup_Lists!$D$331,"Elevated Risk","High Risk"))))</f>
        <v>Low Risk</v>
      </c>
      <c r="AW37" s="42" t="e">
        <f ca="1">IF(NOT(ISNUMBER(Matching_Engine!$AT$37)),"No integrity signal: no audience-analysis row for this account.","Integrity screen only — no content-risk reading exists (comments_analysis: 0 rows). "&amp;IF(ISNUMBER(Matching_Engine!$AO$37),"Authenticity "&amp;Matching_Engine!$AO$37&amp;". ","Authenticity N/A. ")&amp;IF(ISNUMBER(Matching_Engine!$AP$37),"Follower quality "&amp;Matching_Engine!$AP$37&amp;". ","Follower quality N/A. ")&amp;IF('[1]#REF'!$I$13="Yes","Platform-verified.","Not platform-verified."))</f>
        <v>#REF!</v>
      </c>
      <c r="AX37" s="65">
        <f>Matching_Engine!$N$37*Lookup_Lists!$D$104+Matching_Engine!$T$37*Lookup_Lists!$D$105+Matching_Engine!$Z$37*Lookup_Lists!$D$106+Matching_Engine!$AF$37*Lookup_Lists!$D$107+Matching_Engine!$AN$37*Lookup_Lists!$D$108+Matching_Engine!$AU$37*Lookup_Lists!$D$109</f>
        <v>3530</v>
      </c>
      <c r="AY37" s="74" t="e">
        <f ca="1">IF(Matching_Engine!$AX$37=0,"N/A",ROUND((IF(Matching_Engine!$N$37=1,Matching_Engine!$M$37*Lookup_Lists!$D$104,0)+IF(Matching_Engine!$T$37=1,Matching_Engine!$S$37*Lookup_Lists!$D$105,0)+IF(Matching_Engine!$Z$37=1,Matching_Engine!$Y$37*Lookup_Lists!$D$106,0)+IF(Matching_Engine!$AF$37=1,Matching_Engine!$AE$37*Lookup_Lists!$D$107,0)+IF(Matching_Engine!$AN$37=1,Matching_Engine!$AM$37*Lookup_Lists!$D$108,0)+IF(Matching_Engine!$AU$37=1,Matching_Engine!$AT$37*Lookup_Lists!$D$109,0))/Matching_Engine!$AX$37,0))</f>
        <v>#VALUE!</v>
      </c>
      <c r="AZ37" s="42" t="str">
        <f ca="1">IF(NOT(ISNUMBER(Matching_Engine!$AY$37)),"Not Scored",IF(Matching_Engine!$AY$37&gt;=Lookup_Lists!$D$152,"Excellent Match",IF(Matching_Engine!$AY$37&gt;=Lookup_Lists!$D$153,"Strong Match",IF(Matching_Engine!$AY$37&gt;=Lookup_Lists!$D$154,"Good Match",IF(Matching_Engine!$AY$37&gt;=Lookup_Lists!$D$155,"Moderate Match","Low Match")))))</f>
        <v>Low Match</v>
      </c>
      <c r="BA37" s="65" t="e">
        <f>'[1]#REF'!$BW$13</f>
        <v>#REF!</v>
      </c>
      <c r="BB37" s="42" t="e">
        <f>'[1]#REF'!$BX$13</f>
        <v>#REF!</v>
      </c>
      <c r="BC37" s="65">
        <f ca="1">IF(NOT(ISNUMBER(Matching_Engine!$AY$37)),-1,Matching_Engine!$AY$37*1000+17)</f>
        <v>45017</v>
      </c>
      <c r="BD37" s="42" t="e">
        <f>IF(AND(ISTEXT('[1]#REF'!$S$13),'[1]#REF'!$S$13&lt;&gt;"N/A"),'[1]#REF'!$S$13,"")&amp;" | "&amp;IF(AND(ISTEXT('[1]#REF'!$T$13),'[1]#REF'!$T$13&lt;&gt;"N/A"),'[1]#REF'!$T$13,"")&amp;" | "&amp;IF(AND(ISTEXT('[1]#REF'!$N$13),'[1]#REF'!$N$13&lt;&gt;"N/A"),'[1]#REF'!$N$13,"")&amp;" | "&amp;IF(AND(ISTEXT('[1]#REF'!$K$13),'[1]#REF'!$K$13&lt;&gt;"N/A"),'[1]#REF'!$K$13,"")&amp;" | "&amp;IF(AND(ISTEXT('[1]#REF'!$J$13),'[1]#REF'!$J$13&lt;&gt;"N/A"),'[1]#REF'!$J$13,"")</f>
        <v>#REF!</v>
      </c>
      <c r="BE37" s="42" t="e">
        <f>IF(AND(ISTEXT('[1]#REF'!$T$13),'[1]#REF'!$T$13&lt;&gt;"N/A"),'[1]#REF'!$T$13,"")&amp;" | "&amp;IF(AND(ISTEXT('[1]#REF'!$N$13),'[1]#REF'!$N$13&lt;&gt;"N/A"),'[1]#REF'!$N$13,"")&amp;" | "&amp;IF(AND(ISTEXT('[1]#REF'!$O$13),'[1]#REF'!$O$13&lt;&gt;"N/A"),'[1]#REF'!$O$13,"")&amp;" | "&amp;IF(AND(ISTEXT('[1]#REF'!$S$13),'[1]#REF'!$S$13&lt;&gt;"N/A"),'[1]#REF'!$S$13,"")</f>
        <v>#REF!</v>
      </c>
      <c r="BF37" s="42" t="e">
        <f>IF(AND(ISTEXT('[1]#REF'!$U$13),'[1]#REF'!$U$13&lt;&gt;"N/A"),'[1]#REF'!$U$13,"")</f>
        <v>#REF!</v>
      </c>
      <c r="BG37" s="42" t="str">
        <f>Matching_Engine!$A$37&amp;"|"&amp;Matching_Engine!$C$37</f>
        <v>BRAND-B|KOL-02</v>
      </c>
    </row>
    <row r="38" spans="1:59">
      <c r="A38" s="64" t="s">
        <v>2528</v>
      </c>
      <c r="B38" s="42" t="str">
        <f>Brand_Profile!$F$6</f>
        <v>BRAND-C</v>
      </c>
      <c r="C38" s="42" t="e">
        <f>'[1]#REF'!$A$14</f>
        <v>#REF!</v>
      </c>
      <c r="D38" s="42" t="e">
        <f>'[1]#REF'!$C$14</f>
        <v>#REF!</v>
      </c>
      <c r="E38" s="42" t="e">
        <f>'[1]#REF'!$D$14</f>
        <v>#REF!</v>
      </c>
      <c r="F38" s="42" t="e">
        <f>'[1]#REF'!$E$14</f>
        <v>#REF!</v>
      </c>
      <c r="G38" s="42" t="e">
        <f>'[1]#REF'!$K$14</f>
        <v>#REF!</v>
      </c>
      <c r="H38" s="72" t="e">
        <f>'[1]#REF'!$G$14</f>
        <v>#REF!</v>
      </c>
      <c r="I38" s="73" t="e">
        <f>'[1]#REF'!$BG$14</f>
        <v>#REF!</v>
      </c>
      <c r="J38" s="65" t="e">
        <f>IF(NOT(AND(ISTEXT('[1]#REF'!$K$14),'[1]#REF'!$K$14&lt;&gt;"N/A")),Lookup_Lists!$D$150,IF(Brand_Profile!$F$7='[1]#REF'!$K$14,100,IFERROR(INDEX(Lookup_Lists!$B$349:$J$357,MATCH(Brand_Profile!$F$7,Lookup_Lists!$A$349:$A$357,0),MATCH('[1]#REF'!$K$14,Lookup_Lists!$B$348:$J$348,0)),Lookup_Lists!$D$151)))</f>
        <v>#REF!</v>
      </c>
      <c r="K38" s="65" t="e">
        <f>IF(LEN(TRIM(SUBSTITUTE(Matching_Engine!$BD$38,"|","")))=0,"N/A",IF(Brand_Profile!$F$47=0,Lookup_Lists!$D$150,ROUND((IF(Brand_Profile!$F$41="",0,IF(ISNUMBER(SEARCH(Brand_Profile!$F$41,Matching_Engine!$BD$38)),1,0))+IF(Brand_Profile!$F$42="",0,IF(ISNUMBER(SEARCH(Brand_Profile!$F$42,Matching_Engine!$BD$38)),1,0))+IF(Brand_Profile!$F$43="",0,IF(ISNUMBER(SEARCH(Brand_Profile!$F$43,Matching_Engine!$BD$38)),1,0))+IF(Brand_Profile!$F$44="",0,IF(ISNUMBER(SEARCH(Brand_Profile!$F$44,Matching_Engine!$BD$38)),1,0))+IF(Brand_Profile!$F$45="",0,IF(ISNUMBER(SEARCH(Brand_Profile!$F$45,Matching_Engine!$BD$38)),1,0))+IF(Brand_Profile!$F$46="",0,IF(ISNUMBER(SEARCH(Brand_Profile!$F$46,Matching_Engine!$BD$38)),1,0)))/Brand_Profile!$F$47*100,0)))</f>
        <v>#VALUE!</v>
      </c>
      <c r="L38" s="65" t="e">
        <f>IF(NOT(AND(ISTEXT('[1]#REF'!$U$14),'[1]#REF'!$U$14&lt;&gt;"N/A")),"N/A",IF(Brand_Profile!$F$53=0,Lookup_Lists!$D$150,ROUND((IF(Brand_Profile!$F$48="",0,IF(ISNUMBER(SEARCH(Brand_Profile!$F$48,Matching_Engine!$BF$38)),1,0))+IF(Brand_Profile!$F$49="",0,IF(ISNUMBER(SEARCH(Brand_Profile!$F$49,Matching_Engine!$BF$38)),1,0))+IF(Brand_Profile!$F$50="",0,IF(ISNUMBER(SEARCH(Brand_Profile!$F$50,Matching_Engine!$BF$38)),1,0))+IF(Brand_Profile!$F$51="",0,IF(ISNUMBER(SEARCH(Brand_Profile!$F$51,Matching_Engine!$BF$38)),1,0))+IF(Brand_Profile!$F$52="",0,IF(ISNUMBER(SEARCH(Brand_Profile!$F$52,Matching_Engine!$BF$38)),1,0)))/Brand_Profile!$F$53*100,0)))</f>
        <v>#REF!</v>
      </c>
      <c r="M38" s="63" t="str">
        <f>IF((IF(ISNUMBER(Matching_Engine!$J$38),Lookup_Lists!$D$332,0)+IF(ISNUMBER(Matching_Engine!$K$38),Lookup_Lists!$D$333,0)+IF(ISNUMBER(Matching_Engine!$L$38),Lookup_Lists!$D$334,0))=0,"N/A",ROUND((IF(ISNUMBER(Matching_Engine!$J$38),Matching_Engine!$J$38*Lookup_Lists!$D$332,0)+IF(ISNUMBER(Matching_Engine!$K$38),Matching_Engine!$K$38*Lookup_Lists!$D$333,0)+IF(ISNUMBER(Matching_Engine!$L$38),Matching_Engine!$L$38*Lookup_Lists!$D$334,0))/(IF(ISNUMBER(Matching_Engine!$J$38),Lookup_Lists!$D$332,0)+IF(ISNUMBER(Matching_Engine!$K$38),Lookup_Lists!$D$333,0)+IF(ISNUMBER(Matching_Engine!$L$38),Lookup_Lists!$D$334,0)),0))</f>
        <v>N/A</v>
      </c>
      <c r="N38" s="42">
        <f>IF(ISNUMBER(Matching_Engine!$M$38),1,0)</f>
        <v>1</v>
      </c>
      <c r="O38" s="65" t="str">
        <f ca="1">IF(NOT(ISNUMBER(IFERROR(INDEX('[1]#REF'!$V$14:'[1]#REF'!$Z$14,1,MATCH(Brand_Profile!$F$11,Lookup_Lists!$F$6:$F$10,0)),""))),"N/A",MIN(100,ROUND((IFERROR(INDEX('[1]#REF'!$V$14:'[1]#REF'!$Z$14,1,MATCH(Brand_Profile!$F$11,Lookup_Lists!$F$6:$F$10,0)),"")+0.5*IF(ISNUMBER(IFERROR(INDEX('[1]#REF'!$V$14:'[1]#REF'!$Z$14,1,MATCH(Brand_Profile!$F$12,Lookup_Lists!$F$6:$F$10,0)),"")),IFERROR(INDEX('[1]#REF'!$V$14:'[1]#REF'!$Z$14,1,MATCH(Brand_Profile!$F$12,Lookup_Lists!$F$6:$F$10,0)),""),0))/Lookup_Lists!$D$142*100,0)))</f>
        <v>N/A</v>
      </c>
      <c r="P38" s="65" t="str">
        <f>IF(Brand_Profile!$F$13="Any",100,IF(NOT(ISNUMBER('[1]#REF'!$AA$14)),"N/A",IF(Brand_Profile!$F$13="Female",MIN(100,ROUND('[1]#REF'!$AA$14/Lookup_Lists!$D$143*100,0)),IF(Brand_Profile!$F$13="Male",MIN(100,ROUND(IF(ISNUMBER('[1]#REF'!$AB$14),'[1]#REF'!$AB$14,100-'[1]#REF'!$AA$14)/Lookup_Lists!$D$143*100,0)),MAX(0,ROUND(100-ABS('[1]#REF'!$AA$14-50)*2,0))))))</f>
        <v>N/A</v>
      </c>
      <c r="Q38" s="65" t="str">
        <f>IF((IF(ISNUMBER(IF(NOT(ISNUMBER('[1]#REF'!$AE$14)),"N/A",IF('[1]#REF'!$AD$14&lt;&gt;Brand_Profile!$F$14,Lookup_Lists!$D$151,MIN(100,ROUND('[1]#REF'!$AE$14/Lookup_Lists!$D$316*100,0))))),Lookup_Lists!$D$118,0)+IF(ISNUMBER(IF(NOT(ISNUMBER('[1]#REF'!$AM$14)),"N/A",MIN(100,ROUND((IF('[1]#REF'!$AG$14=Brand_Profile!$F$15,IF(ISNUMBER('[1]#REF'!$AH$14),'[1]#REF'!$AH$14,0),0)+IF('[1]#REF'!$AI$14=Brand_Profile!$F$15,IF(ISNUMBER('[1]#REF'!$AJ$14),'[1]#REF'!$AJ$14,0),0)+IF('[1]#REF'!$AK$14=Brand_Profile!$F$15,IF(ISNUMBER('[1]#REF'!$AL$14),'[1]#REF'!$AL$14,0),0))/Lookup_Lists!$D$317*100,0)))),Lookup_Lists!$D$120,0))=0,"N/A",ROUND((IF(ISNUMBER(IF(NOT(ISNUMBER('[1]#REF'!$AE$14)),"N/A",IF('[1]#REF'!$AD$14&lt;&gt;Brand_Profile!$F$14,Lookup_Lists!$D$151,MIN(100,ROUND('[1]#REF'!$AE$14/Lookup_Lists!$D$316*100,0))))),IF(NOT(ISNUMBER('[1]#REF'!$AE$14)),"N/A",IF('[1]#REF'!$AD$14&lt;&gt;Brand_Profile!$F$14,Lookup_Lists!$D$151,MIN(100,ROUND('[1]#REF'!$AE$14/Lookup_Lists!$D$316*100,0))))*Lookup_Lists!$D$118,0)+IF(ISNUMBER(IF(NOT(ISNUMBER('[1]#REF'!$AM$14)),"N/A",MIN(100,ROUND((IF('[1]#REF'!$AG$14=Brand_Profile!$F$15,IF(ISNUMBER('[1]#REF'!$AH$14),'[1]#REF'!$AH$14,0),0)+IF('[1]#REF'!$AI$14=Brand_Profile!$F$15,IF(ISNUMBER('[1]#REF'!$AJ$14),'[1]#REF'!$AJ$14,0),0)+IF('[1]#REF'!$AK$14=Brand_Profile!$F$15,IF(ISNUMBER('[1]#REF'!$AL$14),'[1]#REF'!$AL$14,0),0))/Lookup_Lists!$D$317*100,0)))),IF(NOT(ISNUMBER('[1]#REF'!$AM$14)),"N/A",MIN(100,ROUND((IF('[1]#REF'!$AG$14=Brand_Profile!$F$15,IF(ISNUMBER('[1]#REF'!$AH$14),'[1]#REF'!$AH$14,0),0)+IF('[1]#REF'!$AI$14=Brand_Profile!$F$15,IF(ISNUMBER('[1]#REF'!$AJ$14),'[1]#REF'!$AJ$14,0),0)+IF('[1]#REF'!$AK$14=Brand_Profile!$F$15,IF(ISNUMBER('[1]#REF'!$AL$14),'[1]#REF'!$AL$14,0),0))/Lookup_Lists!$D$317*100,0)))*Lookup_Lists!$D$120,0))/(IF(ISNUMBER(IF(NOT(ISNUMBER('[1]#REF'!$AE$14)),"N/A",IF('[1]#REF'!$AD$14&lt;&gt;Brand_Profile!$F$14,Lookup_Lists!$D$151,MIN(100,ROUND('[1]#REF'!$AE$14/Lookup_Lists!$D$316*100,0))))),Lookup_Lists!$D$118,0)+IF(ISNUMBER(IF(NOT(ISNUMBER('[1]#REF'!$AM$14)),"N/A",MIN(100,ROUND((IF('[1]#REF'!$AG$14=Brand_Profile!$F$15,IF(ISNUMBER('[1]#REF'!$AH$14),'[1]#REF'!$AH$14,0),0)+IF('[1]#REF'!$AI$14=Brand_Profile!$F$15,IF(ISNUMBER('[1]#REF'!$AJ$14),'[1]#REF'!$AJ$14,0),0)+IF('[1]#REF'!$AK$14=Brand_Profile!$F$15,IF(ISNUMBER('[1]#REF'!$AL$14),'[1]#REF'!$AL$14,0),0))/Lookup_Lists!$D$317*100,0)))),Lookup_Lists!$D$120,0)),0))</f>
        <v>N/A</v>
      </c>
      <c r="R38" s="65" t="str">
        <f>IF(NOT(ISNUMBER('[1]#REF'!$AN$14)),"N/A",MIN(100,ROUND((IF(ISNUMBER('[1]#REF'!$AO$14),'[1]#REF'!$AO$14*Brand_Profile!$F$17,0)+IF(ISNUMBER('[1]#REF'!$AP$14),'[1]#REF'!$AP$14*Brand_Profile!$F$18,0)+IF(ISNUMBER('[1]#REF'!$AQ$14),'[1]#REF'!$AQ$14*Brand_Profile!$F$19,0)+IF(ISNUMBER('[1]#REF'!$AR$14),'[1]#REF'!$AR$14*Brand_Profile!$F$20,0)+IF(ISNUMBER('[1]#REF'!$AS$14),'[1]#REF'!$AS$14*Brand_Profile!$F$21,0)+IF(ISNUMBER('[1]#REF'!$AT$14),'[1]#REF'!$AT$14*Brand_Profile!$F$22,0)+IF(ISNUMBER('[1]#REF'!$AU$14),'[1]#REF'!$AU$14*Brand_Profile!$F$23,0)+IF(ISNUMBER('[1]#REF'!$AV$14),'[1]#REF'!$AV$14*Brand_Profile!$F$24,0)+IF(ISNUMBER('[1]#REF'!$AW$14),'[1]#REF'!$AW$14*Brand_Profile!$F$25,0)+IF(ISNUMBER('[1]#REF'!$AX$14),'[1]#REF'!$AX$14*Brand_Profile!$F$26,0)+IF(ISNUMBER('[1]#REF'!$AY$14),'[1]#REF'!$AY$14*Brand_Profile!$F$27,0)+IF(ISNUMBER('[1]#REF'!$AZ$14),'[1]#REF'!$AZ$14*Brand_Profile!$F$28,0)+IF(ISNUMBER('[1]#REF'!$BA$14),'[1]#REF'!$BA$14*Brand_Profile!$F$29,0)+IF(ISNUMBER('[1]#REF'!$BB$14),'[1]#REF'!$BB$14*Brand_Profile!$F$30,0)+IF(ISNUMBER('[1]#REF'!$BC$14),'[1]#REF'!$BC$14*Brand_Profile!$F$31,0)+IF(ISNUMBER('[1]#REF'!$BD$14),'[1]#REF'!$BD$14*Brand_Profile!$F$32,0)+IF(ISNUMBER('[1]#REF'!$BE$14),'[1]#REF'!$BE$14*Brand_Profile!$F$33,0)+IF(ISNUMBER('[1]#REF'!$BF$14),'[1]#REF'!$BF$14*Brand_Profile!$F$34,0))/Lookup_Lists!$D$318*100,0)))</f>
        <v>N/A</v>
      </c>
      <c r="S38" s="63">
        <f ca="1">IF((IF(ISNUMBER(Matching_Engine!$O$38),Lookup_Lists!$D$113,0)+IF(ISNUMBER(Matching_Engine!$P$38),Lookup_Lists!$D$114,0)+IF(ISNUMBER(Matching_Engine!$Q$38),Lookup_Lists!$D$115,0)+IF(ISNUMBER(Matching_Engine!$R$38),Lookup_Lists!$D$116,0))=0,"N/A",ROUND((IF(ISNUMBER(Matching_Engine!$O$38),Matching_Engine!$O$38*Lookup_Lists!$D$113,0)+IF(ISNUMBER(Matching_Engine!$P$38),Matching_Engine!$P$38*Lookup_Lists!$D$114,0)+IF(ISNUMBER(Matching_Engine!$Q$38),Matching_Engine!$Q$38*Lookup_Lists!$D$115,0)+IF(ISNUMBER(Matching_Engine!$R$38),Matching_Engine!$R$38*Lookup_Lists!$D$116,0))/(IF(ISNUMBER(Matching_Engine!$O$38),Lookup_Lists!$D$113,0)+IF(ISNUMBER(Matching_Engine!$P$38),Lookup_Lists!$D$114,0)+IF(ISNUMBER(Matching_Engine!$Q$38),Lookup_Lists!$D$115,0)+IF(ISNUMBER(Matching_Engine!$R$38),Lookup_Lists!$D$116,0)),0))</f>
        <v>94</v>
      </c>
      <c r="T38" s="42">
        <f ca="1">IF(ISNUMBER(Matching_Engine!$S$38),1,0)</f>
        <v>1</v>
      </c>
      <c r="U38" s="65" t="e">
        <f>IF(NOT(AND(ISTEXT('[1]#REF'!$M$14),'[1]#REF'!$M$14&lt;&gt;"N/A")),Lookup_Lists!$D$150,IF(Brand_Profile!$F$7='[1]#REF'!$M$14,100,IFERROR(INDEX(Lookup_Lists!$B$349:$J$357,MATCH(Brand_Profile!$F$7,Lookup_Lists!$A$349:$A$357,0),MATCH('[1]#REF'!$M$14,Lookup_Lists!$B$348:$J$348,0)),Lookup_Lists!$D$151)))</f>
        <v>#REF!</v>
      </c>
      <c r="V38" s="65" t="e">
        <f>IF(NOT(AND(ISTEXT('[1]#REF'!$P$14),'[1]#REF'!$P$14&lt;&gt;"N/A")),"N/A",IFERROR(INDEX(Lookup_Lists!$B$349:$J$357,MATCH(Brand_Profile!$F$7,Lookup_Lists!$A$349:$A$357,0),MATCH('[1]#REF'!$P$14,Lookup_Lists!$B$348:$J$348,0)),Lookup_Lists!$D$151))</f>
        <v>#REF!</v>
      </c>
      <c r="W38" s="65" t="e">
        <f>IF(LEN(TRIM(SUBSTITUTE(Matching_Engine!$BE$38,"|","")))=0,"N/A",IF(Brand_Profile!$F$60=0,Lookup_Lists!$D$150,ROUND((IF(Brand_Profile!$F$54="",0,IF(ISNUMBER(SEARCH(Brand_Profile!$F$54,Matching_Engine!$BE$38)),1,0))+IF(Brand_Profile!$F$55="",0,IF(ISNUMBER(SEARCH(Brand_Profile!$F$55,Matching_Engine!$BE$38)),1,0))+IF(Brand_Profile!$F$56="",0,IF(ISNUMBER(SEARCH(Brand_Profile!$F$56,Matching_Engine!$BE$38)),1,0))+IF(Brand_Profile!$F$57="",0,IF(ISNUMBER(SEARCH(Brand_Profile!$F$57,Matching_Engine!$BE$38)),1,0))+IF(Brand_Profile!$F$58="",0,IF(ISNUMBER(SEARCH(Brand_Profile!$F$58,Matching_Engine!$BE$38)),1,0))+IF(Brand_Profile!$F$59="",0,IF(ISNUMBER(SEARCH(Brand_Profile!$F$59,Matching_Engine!$BE$38)),1,0)))/Brand_Profile!$F$60*100,0)))</f>
        <v>#VALUE!</v>
      </c>
      <c r="X38" s="65" t="e">
        <f>IF(NOT(AND(ISTEXT('[1]#REF'!$Q$14),'[1]#REF'!$Q$14&lt;&gt;"N/A")),"N/A",Lookup_Lists!$D$150)</f>
        <v>#REF!</v>
      </c>
      <c r="Y38" s="63">
        <f>IF((IF(ISNUMBER(Matching_Engine!$U$38),Lookup_Lists!$D$335,0)+IF(ISNUMBER(Matching_Engine!$V$38),Lookup_Lists!$D$122,0)+IF(ISNUMBER(Matching_Engine!$W$38),Lookup_Lists!$D$336,0)+IF(ISNUMBER(Matching_Engine!$X$38),Lookup_Lists!$D$124,0))=0,"N/A",ROUND((IF(ISNUMBER(Matching_Engine!$U$38),Matching_Engine!$U$38*Lookup_Lists!$D$335,0)+IF(ISNUMBER(Matching_Engine!$V$38),Matching_Engine!$V$38*Lookup_Lists!$D$122,0)+IF(ISNUMBER(Matching_Engine!$W$38),Matching_Engine!$W$38*Lookup_Lists!$D$336,0)+IF(ISNUMBER(Matching_Engine!$X$38),Matching_Engine!$X$38*Lookup_Lists!$D$124,0))/(IF(ISNUMBER(Matching_Engine!$U$38),Lookup_Lists!$D$335,0)+IF(ISNUMBER(Matching_Engine!$V$38),Lookup_Lists!$D$122,0)+IF(ISNUMBER(Matching_Engine!$W$38),Lookup_Lists!$D$336,0)+IF(ISNUMBER(Matching_Engine!$X$38),Lookup_Lists!$D$124,0)),0))</f>
        <v>100</v>
      </c>
      <c r="Z38" s="42">
        <f>IF(ISNUMBER(Matching_Engine!$Y$38),1,0)</f>
        <v>1</v>
      </c>
      <c r="AA38" s="65" t="e">
        <f>IF(NOT(AND(ISTEXT('[1]#REF'!$Q$14),'[1]#REF'!$Q$14&lt;&gt;"N/A")),"N/A",Lookup_Lists!$D$150)</f>
        <v>#REF!</v>
      </c>
      <c r="AB38" s="65" t="e">
        <f>IF(NOT(AND(ISTEXT('[1]#REF'!$Q$14),'[1]#REF'!$Q$14&lt;&gt;"N/A")),"N/A",Lookup_Lists!$D$150)</f>
        <v>#REF!</v>
      </c>
      <c r="AC38" s="65" t="str">
        <f t="shared" si="0"/>
        <v>N/A</v>
      </c>
      <c r="AD38" s="65" t="e">
        <f>IF(NOT(AND(ISTEXT('[1]#REF'!$Q$14),'[1]#REF'!$Q$14&lt;&gt;"N/A")),"N/A",Lookup_Lists!$D$150)</f>
        <v>#REF!</v>
      </c>
      <c r="AE38" s="63">
        <f>IF((IF(ISNUMBER(Matching_Engine!$AA$38),Lookup_Lists!$D$125,0)+IF(ISNUMBER(Matching_Engine!$AB$38),Lookup_Lists!$D$126,0)+IF(ISNUMBER(Matching_Engine!$AC$38),Lookup_Lists!$D$127,0)+IF(ISNUMBER(Matching_Engine!$AD$38),Lookup_Lists!$D$128,0))=0,"N/A",ROUND((IF(ISNUMBER(Matching_Engine!$AA$38),Matching_Engine!$AA$38*Lookup_Lists!$D$125,0)+IF(ISNUMBER(Matching_Engine!$AB$38),Matching_Engine!$AB$38*Lookup_Lists!$D$126,0)+IF(ISNUMBER(Matching_Engine!$AC$38),Matching_Engine!$AC$38*Lookup_Lists!$D$127,0)+IF(ISNUMBER(Matching_Engine!$AD$38),Matching_Engine!$AD$38*Lookup_Lists!$D$128,0))/(IF(ISNUMBER(Matching_Engine!$AA$38),Lookup_Lists!$D$125,0)+IF(ISNUMBER(Matching_Engine!$AB$38),Lookup_Lists!$D$126,0)+IF(ISNUMBER(Matching_Engine!$AC$38),Lookup_Lists!$D$127,0)+IF(ISNUMBER(Matching_Engine!$AD$38),Lookup_Lists!$D$128,0)),0))</f>
        <v>75</v>
      </c>
      <c r="AF38" s="42">
        <f>IF(ISNUMBER(Matching_Engine!$AE$38),1,0)</f>
        <v>1</v>
      </c>
      <c r="AG38" s="65" t="str">
        <f>IF(NOT(ISNUMBER('[1]#REF'!$BG$14)),"N/A",MIN(100,ROUND('[1]#REF'!$BG$14/IFERROR(INDEX(Lookup_Lists!$B$340:$B$344,MATCH('[1]#REF'!$H$14,Lookup_Lists!$A$340:$A$344,0)),Lookup_Lists!$D$141)*100,0)))</f>
        <v>N/A</v>
      </c>
      <c r="AH38" s="65" t="str">
        <f>IF(NOT(ISNUMBER('[1]#REF'!$BS$14)),"N/A",MIN(100,MAX(0,'[1]#REF'!$BS$14)))</f>
        <v>N/A</v>
      </c>
      <c r="AI38" s="65" t="e">
        <f>IF(OR(NOT(ISNUMBER('[1]#REF'!$BM$14)),NOT(ISNUMBER('[1]#REF'!$BN$14)),'[1]#REF'!$BN$14&lt;Lookup_Lists!$D$320),"N/A",MIN(100,ROUND('[1]#REF'!$BM$14/Lookup_Lists!$D$319*100,0)))</f>
        <v>#REF!</v>
      </c>
      <c r="AJ38" s="65" t="str">
        <f>IF(NOT(ISNUMBER('[1]#REF'!$BR$14)),"N/A",'[1]#REF'!$BR$14)</f>
        <v>N/A</v>
      </c>
      <c r="AK38" s="65" t="str">
        <f>IF(NOT(ISNUMBER('[1]#REF'!$BK$14)),"N/A",MIN(100,ROUND('[1]#REF'!$BK$14/Lookup_Lists!$D$321*100,0)))</f>
        <v>N/A</v>
      </c>
      <c r="AL38" s="65" t="str">
        <f>IF(NOT(ISNUMBER('[1]#REF'!$BP$14)),"N/A",MIN(100,MAX(0,ROUND(('[1]#REF'!$BP$14+2)/(Lookup_Lists!$D$145+2)*100,0))))</f>
        <v>N/A</v>
      </c>
      <c r="AM38" s="63">
        <f>IF((IF(ISNUMBER(Matching_Engine!$AG$38),Lookup_Lists!$D$129,0)+IF(ISNUMBER(Matching_Engine!$AH$38),Lookup_Lists!$D$130,0)+IF(ISNUMBER(Matching_Engine!$AI$38),Lookup_Lists!$D$131,0)+IF(ISNUMBER(Matching_Engine!$AJ$38),Lookup_Lists!$D$132,0)+IF(ISNUMBER(Matching_Engine!$AK$38),Lookup_Lists!$D$133,0)+IF(ISNUMBER(Matching_Engine!$AL$38),Lookup_Lists!$D$134,0))=0,"N/A",ROUND((IF(ISNUMBER(Matching_Engine!$AG$38),Matching_Engine!$AG$38*Lookup_Lists!$D$129,0)+IF(ISNUMBER(Matching_Engine!$AH$38),Matching_Engine!$AH$38*Lookup_Lists!$D$130,0)+IF(ISNUMBER(Matching_Engine!$AI$38),Matching_Engine!$AI$38*Lookup_Lists!$D$131,0)+IF(ISNUMBER(Matching_Engine!$AJ$38),Matching_Engine!$AJ$38*Lookup_Lists!$D$132,0)+IF(ISNUMBER(Matching_Engine!$AK$38),Matching_Engine!$AK$38*Lookup_Lists!$D$133,0)+IF(ISNUMBER(Matching_Engine!$AL$38),Matching_Engine!$AL$38*Lookup_Lists!$D$134,0))/(IF(ISNUMBER(Matching_Engine!$AG$38),Lookup_Lists!$D$129,0)+IF(ISNUMBER(Matching_Engine!$AH$38),Lookup_Lists!$D$130,0)+IF(ISNUMBER(Matching_Engine!$AI$38),Lookup_Lists!$D$131,0)+IF(ISNUMBER(Matching_Engine!$AJ$38),Lookup_Lists!$D$132,0)+IF(ISNUMBER(Matching_Engine!$AK$38),Lookup_Lists!$D$133,0)+IF(ISNUMBER(Matching_Engine!$AL$38),Lookup_Lists!$D$134,0)),0))</f>
        <v>63</v>
      </c>
      <c r="AN38" s="42">
        <f>IF(ISNUMBER(Matching_Engine!$AM$38),1,0)</f>
        <v>0</v>
      </c>
      <c r="AO38" s="65" t="str">
        <f>IF(NOT(ISNUMBER('[1]#REF'!$BT$14)),"N/A",MIN(100,MAX(0,'[1]#REF'!$BT$14)))</f>
        <v>N/A</v>
      </c>
      <c r="AP38" s="65" t="str">
        <f>IF(NOT(ISNUMBER('[1]#REF'!$BU$14)),"N/A",MIN(100,MAX(0,'[1]#REF'!$BU$14)))</f>
        <v>N/A</v>
      </c>
      <c r="AQ38" s="65" t="e">
        <f>IF('[1]#REF'!$I$14="Yes",Lookup_Lists!$D$326,IF('[1]#REF'!$I$14="No",Lookup_Lists!$D$327,"N/A"))</f>
        <v>#REF!</v>
      </c>
      <c r="AR38" s="65" t="str">
        <f>IF(NOT(ISNUMBER('[1]#REF'!$BQ$14)),"N/A",MAX(0,ROUND(100-'[1]#REF'!$BQ$14/Lookup_Lists!$D$328*100,0)))</f>
        <v>N/A</v>
      </c>
      <c r="AS38" s="65" t="e">
        <f>IF(NOT(AND(ISTEXT('[1]#REF'!$BV$14),'[1]#REF'!$BV$14&lt;&gt;"N/A")),"N/A",'[1]#REF'!$BV$14)</f>
        <v>#REF!</v>
      </c>
      <c r="AT38" s="63" t="str">
        <f ca="1">IF((IF(ISNUMBER(Matching_Engine!$AO$38),Lookup_Lists!$D$322,0)+IF(ISNUMBER(Matching_Engine!$AP$38),Lookup_Lists!$D$323,0)+IF(ISNUMBER(Matching_Engine!$AQ$38),Lookup_Lists!$D$324,0)+IF(ISNUMBER(Matching_Engine!$AR$38),Lookup_Lists!$D$325,0))=0,"N/A",ROUND((IF(ISNUMBER(Matching_Engine!$AO$38),Matching_Engine!$AO$38*Lookup_Lists!$D$322,0)+IF(ISNUMBER(Matching_Engine!$AP$38),Matching_Engine!$AP$38*Lookup_Lists!$D$323,0)+IF(ISNUMBER(Matching_Engine!$AQ$38),Matching_Engine!$AQ$38*Lookup_Lists!$D$324,0)+IF(ISNUMBER(Matching_Engine!$AR$38),Matching_Engine!$AR$38*Lookup_Lists!$D$325,0))/(IF(ISNUMBER(Matching_Engine!$AO$38),Lookup_Lists!$D$322,0)+IF(ISNUMBER(Matching_Engine!$AP$38),Lookup_Lists!$D$323,0)+IF(ISNUMBER(Matching_Engine!$AQ$38),Lookup_Lists!$D$324,0)+IF(ISNUMBER(Matching_Engine!$AR$38),Lookup_Lists!$D$325,0)),0))</f>
        <v>N/A</v>
      </c>
      <c r="AU38" s="42">
        <f>IF(ISNUMBER(Matching_Engine!$AT$38),1,0)</f>
        <v>1</v>
      </c>
      <c r="AV38" s="42" t="str">
        <f>IF(NOT(ISNUMBER(Matching_Engine!$AT$38)),"Not Screened",IF(Matching_Engine!$AT$38&gt;=Lookup_Lists!$D$329,"Low Risk",IF(Matching_Engine!$AT$38&gt;=Lookup_Lists!$D$330,"Moderate Risk",IF(Matching_Engine!$AT$38&gt;=Lookup_Lists!$D$331,"Elevated Risk","High Risk"))))</f>
        <v>Low Risk</v>
      </c>
      <c r="AW38" s="42" t="e">
        <f ca="1">IF(NOT(ISNUMBER(Matching_Engine!$AT$38)),"No integrity signal: no audience-analysis row for this account.","Integrity screen only — no content-risk reading exists (comments_analysis: 0 rows). "&amp;IF(ISNUMBER(Matching_Engine!$AO$38),"Authenticity "&amp;Matching_Engine!$AO$38&amp;". ","Authenticity N/A. ")&amp;IF(ISNUMBER(Matching_Engine!$AP$38),"Follower quality "&amp;Matching_Engine!$AP$38&amp;". ","Follower quality N/A. ")&amp;IF('[1]#REF'!$I$14="Yes","Platform-verified.","Not platform-verified."))</f>
        <v>#REF!</v>
      </c>
      <c r="AX38" s="65">
        <f>Matching_Engine!$N$38*Lookup_Lists!$D$104+Matching_Engine!$T$38*Lookup_Lists!$D$105+Matching_Engine!$Z$38*Lookup_Lists!$D$106+Matching_Engine!$AF$38*Lookup_Lists!$D$107+Matching_Engine!$AN$38*Lookup_Lists!$D$108+Matching_Engine!$AU$38*Lookup_Lists!$D$109</f>
        <v>7740</v>
      </c>
      <c r="AY38" s="74" t="e">
        <f ca="1">IF(Matching_Engine!$AX$38=0,"N/A",ROUND((IF(Matching_Engine!$N$38=1,Matching_Engine!$M$38*Lookup_Lists!$D$104,0)+IF(Matching_Engine!$T$38=1,Matching_Engine!$S$38*Lookup_Lists!$D$105,0)+IF(Matching_Engine!$Z$38=1,Matching_Engine!$Y$38*Lookup_Lists!$D$106,0)+IF(Matching_Engine!$AF$38=1,Matching_Engine!$AE$38*Lookup_Lists!$D$107,0)+IF(Matching_Engine!$AN$38=1,Matching_Engine!$AM$38*Lookup_Lists!$D$108,0)+IF(Matching_Engine!$AU$38=1,Matching_Engine!$AT$38*Lookup_Lists!$D$109,0))/Matching_Engine!$AX$38,0))</f>
        <v>#VALUE!</v>
      </c>
      <c r="AZ38" s="42" t="str">
        <f ca="1">IF(NOT(ISNUMBER(Matching_Engine!$AY$38)),"Not Scored",IF(Matching_Engine!$AY$38&gt;=Lookup_Lists!$D$152,"Excellent Match",IF(Matching_Engine!$AY$38&gt;=Lookup_Lists!$D$153,"Strong Match",IF(Matching_Engine!$AY$38&gt;=Lookup_Lists!$D$154,"Good Match",IF(Matching_Engine!$AY$38&gt;=Lookup_Lists!$D$155,"Moderate Match","Low Match")))))</f>
        <v>Not Scored</v>
      </c>
      <c r="BA38" s="65" t="e">
        <f>'[1]#REF'!$BW$14</f>
        <v>#REF!</v>
      </c>
      <c r="BB38" s="42" t="e">
        <f>'[1]#REF'!$BX$14</f>
        <v>#REF!</v>
      </c>
      <c r="BC38" s="65">
        <f ca="1">IF(NOT(ISNUMBER(Matching_Engine!$AY$38)),-1,Matching_Engine!$AY$38*1000+16)</f>
        <v>-1</v>
      </c>
      <c r="BD38" s="42" t="e">
        <f>IF(AND(ISTEXT('[1]#REF'!$S$14),'[1]#REF'!$S$14&lt;&gt;"N/A"),'[1]#REF'!$S$14,"")&amp;" | "&amp;IF(AND(ISTEXT('[1]#REF'!$T$14),'[1]#REF'!$T$14&lt;&gt;"N/A"),'[1]#REF'!$T$14,"")&amp;" | "&amp;IF(AND(ISTEXT('[1]#REF'!$N$14),'[1]#REF'!$N$14&lt;&gt;"N/A"),'[1]#REF'!$N$14,"")&amp;" | "&amp;IF(AND(ISTEXT('[1]#REF'!$K$14),'[1]#REF'!$K$14&lt;&gt;"N/A"),'[1]#REF'!$K$14,"")&amp;" | "&amp;IF(AND(ISTEXT('[1]#REF'!$J$14),'[1]#REF'!$J$14&lt;&gt;"N/A"),'[1]#REF'!$J$14,"")</f>
        <v>#REF!</v>
      </c>
      <c r="BE38" s="42" t="e">
        <f>IF(AND(ISTEXT('[1]#REF'!$T$14),'[1]#REF'!$T$14&lt;&gt;"N/A"),'[1]#REF'!$T$14,"")&amp;" | "&amp;IF(AND(ISTEXT('[1]#REF'!$N$14),'[1]#REF'!$N$14&lt;&gt;"N/A"),'[1]#REF'!$N$14,"")&amp;" | "&amp;IF(AND(ISTEXT('[1]#REF'!$O$14),'[1]#REF'!$O$14&lt;&gt;"N/A"),'[1]#REF'!$O$14,"")&amp;" | "&amp;IF(AND(ISTEXT('[1]#REF'!$S$14),'[1]#REF'!$S$14&lt;&gt;"N/A"),'[1]#REF'!$S$14,"")</f>
        <v>#REF!</v>
      </c>
      <c r="BF38" s="42" t="e">
        <f>IF(AND(ISTEXT('[1]#REF'!$U$14),'[1]#REF'!$U$14&lt;&gt;"N/A"),'[1]#REF'!$U$14,"")</f>
        <v>#REF!</v>
      </c>
      <c r="BG38" s="42" t="str">
        <f>Matching_Engine!$A$38&amp;"|"&amp;Matching_Engine!$C$38</f>
        <v>BRAND-B|KOL-03</v>
      </c>
    </row>
    <row r="39" spans="1:59">
      <c r="A39" s="64" t="s">
        <v>2528</v>
      </c>
      <c r="B39" s="42" t="str">
        <f>Brand_Profile!$F$6</f>
        <v>BRAND-C</v>
      </c>
      <c r="C39" s="42" t="e">
        <f>'[1]#REF'!$A$15</f>
        <v>#REF!</v>
      </c>
      <c r="D39" s="42" t="e">
        <f>'[1]#REF'!$C$15</f>
        <v>#REF!</v>
      </c>
      <c r="E39" s="42" t="e">
        <f>'[1]#REF'!$D$15</f>
        <v>#REF!</v>
      </c>
      <c r="F39" s="42" t="e">
        <f>'[1]#REF'!$E$15</f>
        <v>#REF!</v>
      </c>
      <c r="G39" s="42" t="e">
        <f>'[1]#REF'!$K$15</f>
        <v>#REF!</v>
      </c>
      <c r="H39" s="72" t="e">
        <f>'[1]#REF'!$G$15</f>
        <v>#REF!</v>
      </c>
      <c r="I39" s="73" t="e">
        <f>'[1]#REF'!$BG$15</f>
        <v>#REF!</v>
      </c>
      <c r="J39" s="65" t="e">
        <f>IF(NOT(AND(ISTEXT('[1]#REF'!$K$15),'[1]#REF'!$K$15&lt;&gt;"N/A")),Lookup_Lists!$D$150,IF(Brand_Profile!$F$7='[1]#REF'!$K$15,100,IFERROR(INDEX(Lookup_Lists!$B$349:$J$357,MATCH(Brand_Profile!$F$7,Lookup_Lists!$A$349:$A$357,0),MATCH('[1]#REF'!$K$15,Lookup_Lists!$B$348:$J$348,0)),Lookup_Lists!$D$151)))</f>
        <v>#REF!</v>
      </c>
      <c r="K39" s="65" t="e">
        <f>IF(LEN(TRIM(SUBSTITUTE(Matching_Engine!$BD$39,"|","")))=0,"N/A",IF(Brand_Profile!$F$47=0,Lookup_Lists!$D$150,ROUND((IF(Brand_Profile!$F$41="",0,IF(ISNUMBER(SEARCH(Brand_Profile!$F$41,Matching_Engine!$BD$39)),1,0))+IF(Brand_Profile!$F$42="",0,IF(ISNUMBER(SEARCH(Brand_Profile!$F$42,Matching_Engine!$BD$39)),1,0))+IF(Brand_Profile!$F$43="",0,IF(ISNUMBER(SEARCH(Brand_Profile!$F$43,Matching_Engine!$BD$39)),1,0))+IF(Brand_Profile!$F$44="",0,IF(ISNUMBER(SEARCH(Brand_Profile!$F$44,Matching_Engine!$BD$39)),1,0))+IF(Brand_Profile!$F$45="",0,IF(ISNUMBER(SEARCH(Brand_Profile!$F$45,Matching_Engine!$BD$39)),1,0))+IF(Brand_Profile!$F$46="",0,IF(ISNUMBER(SEARCH(Brand_Profile!$F$46,Matching_Engine!$BD$39)),1,0)))/Brand_Profile!$F$47*100,0)))</f>
        <v>#VALUE!</v>
      </c>
      <c r="L39" s="65" t="e">
        <f>IF(NOT(AND(ISTEXT('[1]#REF'!$U$15),'[1]#REF'!$U$15&lt;&gt;"N/A")),"N/A",IF(Brand_Profile!$F$53=0,Lookup_Lists!$D$150,ROUND((IF(Brand_Profile!$F$48="",0,IF(ISNUMBER(SEARCH(Brand_Profile!$F$48,Matching_Engine!$BF$39)),1,0))+IF(Brand_Profile!$F$49="",0,IF(ISNUMBER(SEARCH(Brand_Profile!$F$49,Matching_Engine!$BF$39)),1,0))+IF(Brand_Profile!$F$50="",0,IF(ISNUMBER(SEARCH(Brand_Profile!$F$50,Matching_Engine!$BF$39)),1,0))+IF(Brand_Profile!$F$51="",0,IF(ISNUMBER(SEARCH(Brand_Profile!$F$51,Matching_Engine!$BF$39)),1,0))+IF(Brand_Profile!$F$52="",0,IF(ISNUMBER(SEARCH(Brand_Profile!$F$52,Matching_Engine!$BF$39)),1,0)))/Brand_Profile!$F$53*100,0)))</f>
        <v>#REF!</v>
      </c>
      <c r="M39" s="63" t="str">
        <f>IF((IF(ISNUMBER(Matching_Engine!$J$39),Lookup_Lists!$D$332,0)+IF(ISNUMBER(Matching_Engine!$K$39),Lookup_Lists!$D$333,0)+IF(ISNUMBER(Matching_Engine!$L$39),Lookup_Lists!$D$334,0))=0,"N/A",ROUND((IF(ISNUMBER(Matching_Engine!$J$39),Matching_Engine!$J$39*Lookup_Lists!$D$332,0)+IF(ISNUMBER(Matching_Engine!$K$39),Matching_Engine!$K$39*Lookup_Lists!$D$333,0)+IF(ISNUMBER(Matching_Engine!$L$39),Matching_Engine!$L$39*Lookup_Lists!$D$334,0))/(IF(ISNUMBER(Matching_Engine!$J$39),Lookup_Lists!$D$332,0)+IF(ISNUMBER(Matching_Engine!$K$39),Lookup_Lists!$D$333,0)+IF(ISNUMBER(Matching_Engine!$L$39),Lookup_Lists!$D$334,0)),0))</f>
        <v>N/A</v>
      </c>
      <c r="N39" s="42">
        <f>IF(ISNUMBER(Matching_Engine!$M$39),1,0)</f>
        <v>1</v>
      </c>
      <c r="O39" s="65" t="str">
        <f ca="1">IF(NOT(ISNUMBER(IFERROR(INDEX('[1]#REF'!$V$15:'[1]#REF'!$Z$15,1,MATCH(Brand_Profile!$F$11,Lookup_Lists!$F$6:$F$10,0)),""))),"N/A",MIN(100,ROUND((IFERROR(INDEX('[1]#REF'!$V$15:'[1]#REF'!$Z$15,1,MATCH(Brand_Profile!$F$11,Lookup_Lists!$F$6:$F$10,0)),"")+0.5*IF(ISNUMBER(IFERROR(INDEX('[1]#REF'!$V$15:'[1]#REF'!$Z$15,1,MATCH(Brand_Profile!$F$12,Lookup_Lists!$F$6:$F$10,0)),"")),IFERROR(INDEX('[1]#REF'!$V$15:'[1]#REF'!$Z$15,1,MATCH(Brand_Profile!$F$12,Lookup_Lists!$F$6:$F$10,0)),""),0))/Lookup_Lists!$D$142*100,0)))</f>
        <v>N/A</v>
      </c>
      <c r="P39" s="65" t="str">
        <f>IF(Brand_Profile!$F$13="Any",100,IF(NOT(ISNUMBER('[1]#REF'!$AA$15)),"N/A",IF(Brand_Profile!$F$13="Female",MIN(100,ROUND('[1]#REF'!$AA$15/Lookup_Lists!$D$143*100,0)),IF(Brand_Profile!$F$13="Male",MIN(100,ROUND(IF(ISNUMBER('[1]#REF'!$AB$15),'[1]#REF'!$AB$15,100-'[1]#REF'!$AA$15)/Lookup_Lists!$D$143*100,0)),MAX(0,ROUND(100-ABS('[1]#REF'!$AA$15-50)*2,0))))))</f>
        <v>N/A</v>
      </c>
      <c r="Q39" s="65" t="str">
        <f>IF((IF(ISNUMBER(IF(NOT(ISNUMBER('[1]#REF'!$AE$15)),"N/A",IF('[1]#REF'!$AD$15&lt;&gt;Brand_Profile!$F$14,Lookup_Lists!$D$151,MIN(100,ROUND('[1]#REF'!$AE$15/Lookup_Lists!$D$316*100,0))))),Lookup_Lists!$D$118,0)+IF(ISNUMBER(IF(NOT(ISNUMBER('[1]#REF'!$AM$15)),"N/A",MIN(100,ROUND((IF('[1]#REF'!$AG$15=Brand_Profile!$F$15,IF(ISNUMBER('[1]#REF'!$AH$15),'[1]#REF'!$AH$15,0),0)+IF('[1]#REF'!$AI$15=Brand_Profile!$F$15,IF(ISNUMBER('[1]#REF'!$AJ$15),'[1]#REF'!$AJ$15,0),0)+IF('[1]#REF'!$AK$15=Brand_Profile!$F$15,IF(ISNUMBER('[1]#REF'!$AL$15),'[1]#REF'!$AL$15,0),0))/Lookup_Lists!$D$317*100,0)))),Lookup_Lists!$D$120,0))=0,"N/A",ROUND((IF(ISNUMBER(IF(NOT(ISNUMBER('[1]#REF'!$AE$15)),"N/A",IF('[1]#REF'!$AD$15&lt;&gt;Brand_Profile!$F$14,Lookup_Lists!$D$151,MIN(100,ROUND('[1]#REF'!$AE$15/Lookup_Lists!$D$316*100,0))))),IF(NOT(ISNUMBER('[1]#REF'!$AE$15)),"N/A",IF('[1]#REF'!$AD$15&lt;&gt;Brand_Profile!$F$14,Lookup_Lists!$D$151,MIN(100,ROUND('[1]#REF'!$AE$15/Lookup_Lists!$D$316*100,0))))*Lookup_Lists!$D$118,0)+IF(ISNUMBER(IF(NOT(ISNUMBER('[1]#REF'!$AM$15)),"N/A",MIN(100,ROUND((IF('[1]#REF'!$AG$15=Brand_Profile!$F$15,IF(ISNUMBER('[1]#REF'!$AH$15),'[1]#REF'!$AH$15,0),0)+IF('[1]#REF'!$AI$15=Brand_Profile!$F$15,IF(ISNUMBER('[1]#REF'!$AJ$15),'[1]#REF'!$AJ$15,0),0)+IF('[1]#REF'!$AK$15=Brand_Profile!$F$15,IF(ISNUMBER('[1]#REF'!$AL$15),'[1]#REF'!$AL$15,0),0))/Lookup_Lists!$D$317*100,0)))),IF(NOT(ISNUMBER('[1]#REF'!$AM$15)),"N/A",MIN(100,ROUND((IF('[1]#REF'!$AG$15=Brand_Profile!$F$15,IF(ISNUMBER('[1]#REF'!$AH$15),'[1]#REF'!$AH$15,0),0)+IF('[1]#REF'!$AI$15=Brand_Profile!$F$15,IF(ISNUMBER('[1]#REF'!$AJ$15),'[1]#REF'!$AJ$15,0),0)+IF('[1]#REF'!$AK$15=Brand_Profile!$F$15,IF(ISNUMBER('[1]#REF'!$AL$15),'[1]#REF'!$AL$15,0),0))/Lookup_Lists!$D$317*100,0)))*Lookup_Lists!$D$120,0))/(IF(ISNUMBER(IF(NOT(ISNUMBER('[1]#REF'!$AE$15)),"N/A",IF('[1]#REF'!$AD$15&lt;&gt;Brand_Profile!$F$14,Lookup_Lists!$D$151,MIN(100,ROUND('[1]#REF'!$AE$15/Lookup_Lists!$D$316*100,0))))),Lookup_Lists!$D$118,0)+IF(ISNUMBER(IF(NOT(ISNUMBER('[1]#REF'!$AM$15)),"N/A",MIN(100,ROUND((IF('[1]#REF'!$AG$15=Brand_Profile!$F$15,IF(ISNUMBER('[1]#REF'!$AH$15),'[1]#REF'!$AH$15,0),0)+IF('[1]#REF'!$AI$15=Brand_Profile!$F$15,IF(ISNUMBER('[1]#REF'!$AJ$15),'[1]#REF'!$AJ$15,0),0)+IF('[1]#REF'!$AK$15=Brand_Profile!$F$15,IF(ISNUMBER('[1]#REF'!$AL$15),'[1]#REF'!$AL$15,0),0))/Lookup_Lists!$D$317*100,0)))),Lookup_Lists!$D$120,0)),0))</f>
        <v>N/A</v>
      </c>
      <c r="R39" s="65" t="str">
        <f>IF(NOT(ISNUMBER('[1]#REF'!$AN$15)),"N/A",MIN(100,ROUND((IF(ISNUMBER('[1]#REF'!$AO$15),'[1]#REF'!$AO$15*Brand_Profile!$F$17,0)+IF(ISNUMBER('[1]#REF'!$AP$15),'[1]#REF'!$AP$15*Brand_Profile!$F$18,0)+IF(ISNUMBER('[1]#REF'!$AQ$15),'[1]#REF'!$AQ$15*Brand_Profile!$F$19,0)+IF(ISNUMBER('[1]#REF'!$AR$15),'[1]#REF'!$AR$15*Brand_Profile!$F$20,0)+IF(ISNUMBER('[1]#REF'!$AS$15),'[1]#REF'!$AS$15*Brand_Profile!$F$21,0)+IF(ISNUMBER('[1]#REF'!$AT$15),'[1]#REF'!$AT$15*Brand_Profile!$F$22,0)+IF(ISNUMBER('[1]#REF'!$AU$15),'[1]#REF'!$AU$15*Brand_Profile!$F$23,0)+IF(ISNUMBER('[1]#REF'!$AV$15),'[1]#REF'!$AV$15*Brand_Profile!$F$24,0)+IF(ISNUMBER('[1]#REF'!$AW$15),'[1]#REF'!$AW$15*Brand_Profile!$F$25,0)+IF(ISNUMBER('[1]#REF'!$AX$15),'[1]#REF'!$AX$15*Brand_Profile!$F$26,0)+IF(ISNUMBER('[1]#REF'!$AY$15),'[1]#REF'!$AY$15*Brand_Profile!$F$27,0)+IF(ISNUMBER('[1]#REF'!$AZ$15),'[1]#REF'!$AZ$15*Brand_Profile!$F$28,0)+IF(ISNUMBER('[1]#REF'!$BA$15),'[1]#REF'!$BA$15*Brand_Profile!$F$29,0)+IF(ISNUMBER('[1]#REF'!$BB$15),'[1]#REF'!$BB$15*Brand_Profile!$F$30,0)+IF(ISNUMBER('[1]#REF'!$BC$15),'[1]#REF'!$BC$15*Brand_Profile!$F$31,0)+IF(ISNUMBER('[1]#REF'!$BD$15),'[1]#REF'!$BD$15*Brand_Profile!$F$32,0)+IF(ISNUMBER('[1]#REF'!$BE$15),'[1]#REF'!$BE$15*Brand_Profile!$F$33,0)+IF(ISNUMBER('[1]#REF'!$BF$15),'[1]#REF'!$BF$15*Brand_Profile!$F$34,0))/Lookup_Lists!$D$318*100,0)))</f>
        <v>N/A</v>
      </c>
      <c r="S39" s="63">
        <f ca="1">IF((IF(ISNUMBER(Matching_Engine!$O$39),Lookup_Lists!$D$113,0)+IF(ISNUMBER(Matching_Engine!$P$39),Lookup_Lists!$D$114,0)+IF(ISNUMBER(Matching_Engine!$Q$39),Lookup_Lists!$D$115,0)+IF(ISNUMBER(Matching_Engine!$R$39),Lookup_Lists!$D$116,0))=0,"N/A",ROUND((IF(ISNUMBER(Matching_Engine!$O$39),Matching_Engine!$O$39*Lookup_Lists!$D$113,0)+IF(ISNUMBER(Matching_Engine!$P$39),Matching_Engine!$P$39*Lookup_Lists!$D$114,0)+IF(ISNUMBER(Matching_Engine!$Q$39),Matching_Engine!$Q$39*Lookup_Lists!$D$115,0)+IF(ISNUMBER(Matching_Engine!$R$39),Matching_Engine!$R$39*Lookup_Lists!$D$116,0))/(IF(ISNUMBER(Matching_Engine!$O$39),Lookup_Lists!$D$113,0)+IF(ISNUMBER(Matching_Engine!$P$39),Lookup_Lists!$D$114,0)+IF(ISNUMBER(Matching_Engine!$Q$39),Lookup_Lists!$D$115,0)+IF(ISNUMBER(Matching_Engine!$R$39),Lookup_Lists!$D$116,0)),0))</f>
        <v>88</v>
      </c>
      <c r="T39" s="42">
        <f ca="1">IF(ISNUMBER(Matching_Engine!$S$39),1,0)</f>
        <v>1</v>
      </c>
      <c r="U39" s="65" t="e">
        <f>IF(NOT(AND(ISTEXT('[1]#REF'!$M$15),'[1]#REF'!$M$15&lt;&gt;"N/A")),Lookup_Lists!$D$150,IF(Brand_Profile!$F$7='[1]#REF'!$M$15,100,IFERROR(INDEX(Lookup_Lists!$B$349:$J$357,MATCH(Brand_Profile!$F$7,Lookup_Lists!$A$349:$A$357,0),MATCH('[1]#REF'!$M$15,Lookup_Lists!$B$348:$J$348,0)),Lookup_Lists!$D$151)))</f>
        <v>#REF!</v>
      </c>
      <c r="V39" s="65" t="e">
        <f>IF(NOT(AND(ISTEXT('[1]#REF'!$P$15),'[1]#REF'!$P$15&lt;&gt;"N/A")),"N/A",IFERROR(INDEX(Lookup_Lists!$B$349:$J$357,MATCH(Brand_Profile!$F$7,Lookup_Lists!$A$349:$A$357,0),MATCH('[1]#REF'!$P$15,Lookup_Lists!$B$348:$J$348,0)),Lookup_Lists!$D$151))</f>
        <v>#REF!</v>
      </c>
      <c r="W39" s="65" t="e">
        <f>IF(LEN(TRIM(SUBSTITUTE(Matching_Engine!$BE$39,"|","")))=0,"N/A",IF(Brand_Profile!$F$60=0,Lookup_Lists!$D$150,ROUND((IF(Brand_Profile!$F$54="",0,IF(ISNUMBER(SEARCH(Brand_Profile!$F$54,Matching_Engine!$BE$39)),1,0))+IF(Brand_Profile!$F$55="",0,IF(ISNUMBER(SEARCH(Brand_Profile!$F$55,Matching_Engine!$BE$39)),1,0))+IF(Brand_Profile!$F$56="",0,IF(ISNUMBER(SEARCH(Brand_Profile!$F$56,Matching_Engine!$BE$39)),1,0))+IF(Brand_Profile!$F$57="",0,IF(ISNUMBER(SEARCH(Brand_Profile!$F$57,Matching_Engine!$BE$39)),1,0))+IF(Brand_Profile!$F$58="",0,IF(ISNUMBER(SEARCH(Brand_Profile!$F$58,Matching_Engine!$BE$39)),1,0))+IF(Brand_Profile!$F$59="",0,IF(ISNUMBER(SEARCH(Brand_Profile!$F$59,Matching_Engine!$BE$39)),1,0)))/Brand_Profile!$F$60*100,0)))</f>
        <v>#VALUE!</v>
      </c>
      <c r="X39" s="65" t="e">
        <f>IF(NOT(AND(ISTEXT('[1]#REF'!$Q$15),'[1]#REF'!$Q$15&lt;&gt;"N/A")),"N/A",Lookup_Lists!$D$150)</f>
        <v>#REF!</v>
      </c>
      <c r="Y39" s="63">
        <f>IF((IF(ISNUMBER(Matching_Engine!$U$39),Lookup_Lists!$D$335,0)+IF(ISNUMBER(Matching_Engine!$V$39),Lookup_Lists!$D$122,0)+IF(ISNUMBER(Matching_Engine!$W$39),Lookup_Lists!$D$336,0)+IF(ISNUMBER(Matching_Engine!$X$39),Lookup_Lists!$D$124,0))=0,"N/A",ROUND((IF(ISNUMBER(Matching_Engine!$U$39),Matching_Engine!$U$39*Lookup_Lists!$D$335,0)+IF(ISNUMBER(Matching_Engine!$V$39),Matching_Engine!$V$39*Lookup_Lists!$D$122,0)+IF(ISNUMBER(Matching_Engine!$W$39),Matching_Engine!$W$39*Lookup_Lists!$D$336,0)+IF(ISNUMBER(Matching_Engine!$X$39),Matching_Engine!$X$39*Lookup_Lists!$D$124,0))/(IF(ISNUMBER(Matching_Engine!$U$39),Lookup_Lists!$D$335,0)+IF(ISNUMBER(Matching_Engine!$V$39),Lookup_Lists!$D$122,0)+IF(ISNUMBER(Matching_Engine!$W$39),Lookup_Lists!$D$336,0)+IF(ISNUMBER(Matching_Engine!$X$39),Lookup_Lists!$D$124,0)),0))</f>
        <v>70</v>
      </c>
      <c r="Z39" s="42">
        <f>IF(ISNUMBER(Matching_Engine!$Y$39),1,0)</f>
        <v>1</v>
      </c>
      <c r="AA39" s="65" t="e">
        <f>IF(NOT(AND(ISTEXT('[1]#REF'!$Q$15),'[1]#REF'!$Q$15&lt;&gt;"N/A")),"N/A",Lookup_Lists!$D$150)</f>
        <v>#REF!</v>
      </c>
      <c r="AB39" s="65" t="e">
        <f>IF(NOT(AND(ISTEXT('[1]#REF'!$Q$15),'[1]#REF'!$Q$15&lt;&gt;"N/A")),"N/A",Lookup_Lists!$D$150)</f>
        <v>#REF!</v>
      </c>
      <c r="AC39" s="65" t="str">
        <f t="shared" si="0"/>
        <v>N/A</v>
      </c>
      <c r="AD39" s="65" t="e">
        <f>IF(NOT(AND(ISTEXT('[1]#REF'!$Q$15),'[1]#REF'!$Q$15&lt;&gt;"N/A")),"N/A",Lookup_Lists!$D$150)</f>
        <v>#REF!</v>
      </c>
      <c r="AE39" s="63">
        <f>IF((IF(ISNUMBER(Matching_Engine!$AA$39),Lookup_Lists!$D$125,0)+IF(ISNUMBER(Matching_Engine!$AB$39),Lookup_Lists!$D$126,0)+IF(ISNUMBER(Matching_Engine!$AC$39),Lookup_Lists!$D$127,0)+IF(ISNUMBER(Matching_Engine!$AD$39),Lookup_Lists!$D$128,0))=0,"N/A",ROUND((IF(ISNUMBER(Matching_Engine!$AA$39),Matching_Engine!$AA$39*Lookup_Lists!$D$125,0)+IF(ISNUMBER(Matching_Engine!$AB$39),Matching_Engine!$AB$39*Lookup_Lists!$D$126,0)+IF(ISNUMBER(Matching_Engine!$AC$39),Matching_Engine!$AC$39*Lookup_Lists!$D$127,0)+IF(ISNUMBER(Matching_Engine!$AD$39),Matching_Engine!$AD$39*Lookup_Lists!$D$128,0))/(IF(ISNUMBER(Matching_Engine!$AA$39),Lookup_Lists!$D$125,0)+IF(ISNUMBER(Matching_Engine!$AB$39),Lookup_Lists!$D$126,0)+IF(ISNUMBER(Matching_Engine!$AC$39),Lookup_Lists!$D$127,0)+IF(ISNUMBER(Matching_Engine!$AD$39),Lookup_Lists!$D$128,0)),0))</f>
        <v>62</v>
      </c>
      <c r="AF39" s="42">
        <f>IF(ISNUMBER(Matching_Engine!$AE$39),1,0)</f>
        <v>1</v>
      </c>
      <c r="AG39" s="65" t="str">
        <f>IF(NOT(ISNUMBER('[1]#REF'!$BG$15)),"N/A",MIN(100,ROUND('[1]#REF'!$BG$15/IFERROR(INDEX(Lookup_Lists!$B$340:$B$344,MATCH('[1]#REF'!$H$15,Lookup_Lists!$A$340:$A$344,0)),Lookup_Lists!$D$141)*100,0)))</f>
        <v>N/A</v>
      </c>
      <c r="AH39" s="65" t="str">
        <f>IF(NOT(ISNUMBER('[1]#REF'!$BS$15)),"N/A",MIN(100,MAX(0,'[1]#REF'!$BS$15)))</f>
        <v>N/A</v>
      </c>
      <c r="AI39" s="65" t="e">
        <f>IF(OR(NOT(ISNUMBER('[1]#REF'!$BM$15)),NOT(ISNUMBER('[1]#REF'!$BN$15)),'[1]#REF'!$BN$15&lt;Lookup_Lists!$D$320),"N/A",MIN(100,ROUND('[1]#REF'!$BM$15/Lookup_Lists!$D$319*100,0)))</f>
        <v>#REF!</v>
      </c>
      <c r="AJ39" s="65" t="str">
        <f>IF(NOT(ISNUMBER('[1]#REF'!$BR$15)),"N/A",'[1]#REF'!$BR$15)</f>
        <v>N/A</v>
      </c>
      <c r="AK39" s="65" t="str">
        <f>IF(NOT(ISNUMBER('[1]#REF'!$BK$15)),"N/A",MIN(100,ROUND('[1]#REF'!$BK$15/Lookup_Lists!$D$321*100,0)))</f>
        <v>N/A</v>
      </c>
      <c r="AL39" s="65" t="str">
        <f>IF(NOT(ISNUMBER('[1]#REF'!$BP$15)),"N/A",MIN(100,MAX(0,ROUND(('[1]#REF'!$BP$15+2)/(Lookup_Lists!$D$145+2)*100,0))))</f>
        <v>N/A</v>
      </c>
      <c r="AM39" s="63">
        <f>IF((IF(ISNUMBER(Matching_Engine!$AG$39),Lookup_Lists!$D$129,0)+IF(ISNUMBER(Matching_Engine!$AH$39),Lookup_Lists!$D$130,0)+IF(ISNUMBER(Matching_Engine!$AI$39),Lookup_Lists!$D$131,0)+IF(ISNUMBER(Matching_Engine!$AJ$39),Lookup_Lists!$D$132,0)+IF(ISNUMBER(Matching_Engine!$AK$39),Lookup_Lists!$D$133,0)+IF(ISNUMBER(Matching_Engine!$AL$39),Lookup_Lists!$D$134,0))=0,"N/A",ROUND((IF(ISNUMBER(Matching_Engine!$AG$39),Matching_Engine!$AG$39*Lookup_Lists!$D$129,0)+IF(ISNUMBER(Matching_Engine!$AH$39),Matching_Engine!$AH$39*Lookup_Lists!$D$130,0)+IF(ISNUMBER(Matching_Engine!$AI$39),Matching_Engine!$AI$39*Lookup_Lists!$D$131,0)+IF(ISNUMBER(Matching_Engine!$AJ$39),Matching_Engine!$AJ$39*Lookup_Lists!$D$132,0)+IF(ISNUMBER(Matching_Engine!$AK$39),Matching_Engine!$AK$39*Lookup_Lists!$D$133,0)+IF(ISNUMBER(Matching_Engine!$AL$39),Matching_Engine!$AL$39*Lookup_Lists!$D$134,0))/(IF(ISNUMBER(Matching_Engine!$AG$39),Lookup_Lists!$D$129,0)+IF(ISNUMBER(Matching_Engine!$AH$39),Lookup_Lists!$D$130,0)+IF(ISNUMBER(Matching_Engine!$AI$39),Lookup_Lists!$D$131,0)+IF(ISNUMBER(Matching_Engine!$AJ$39),Lookup_Lists!$D$132,0)+IF(ISNUMBER(Matching_Engine!$AK$39),Lookup_Lists!$D$133,0)+IF(ISNUMBER(Matching_Engine!$AL$39),Lookup_Lists!$D$134,0)),0))</f>
        <v>87</v>
      </c>
      <c r="AN39" s="42">
        <f>IF(ISNUMBER(Matching_Engine!$AM$39),1,0)</f>
        <v>0</v>
      </c>
      <c r="AO39" s="65" t="str">
        <f>IF(NOT(ISNUMBER('[1]#REF'!$BT$15)),"N/A",MIN(100,MAX(0,'[1]#REF'!$BT$15)))</f>
        <v>N/A</v>
      </c>
      <c r="AP39" s="65" t="str">
        <f>IF(NOT(ISNUMBER('[1]#REF'!$BU$15)),"N/A",MIN(100,MAX(0,'[1]#REF'!$BU$15)))</f>
        <v>N/A</v>
      </c>
      <c r="AQ39" s="65" t="e">
        <f>IF('[1]#REF'!$I$15="Yes",Lookup_Lists!$D$326,IF('[1]#REF'!$I$15="No",Lookup_Lists!$D$327,"N/A"))</f>
        <v>#REF!</v>
      </c>
      <c r="AR39" s="65" t="str">
        <f>IF(NOT(ISNUMBER('[1]#REF'!$BQ$15)),"N/A",MAX(0,ROUND(100-'[1]#REF'!$BQ$15/Lookup_Lists!$D$328*100,0)))</f>
        <v>N/A</v>
      </c>
      <c r="AS39" s="65" t="e">
        <f>IF(NOT(AND(ISTEXT('[1]#REF'!$BV$15),'[1]#REF'!$BV$15&lt;&gt;"N/A")),"N/A",'[1]#REF'!$BV$15)</f>
        <v>#REF!</v>
      </c>
      <c r="AT39" s="63" t="str">
        <f ca="1">IF((IF(ISNUMBER(Matching_Engine!$AO$39),Lookup_Lists!$D$322,0)+IF(ISNUMBER(Matching_Engine!$AP$39),Lookup_Lists!$D$323,0)+IF(ISNUMBER(Matching_Engine!$AQ$39),Lookup_Lists!$D$324,0)+IF(ISNUMBER(Matching_Engine!$AR$39),Lookup_Lists!$D$325,0))=0,"N/A",ROUND((IF(ISNUMBER(Matching_Engine!$AO$39),Matching_Engine!$AO$39*Lookup_Lists!$D$322,0)+IF(ISNUMBER(Matching_Engine!$AP$39),Matching_Engine!$AP$39*Lookup_Lists!$D$323,0)+IF(ISNUMBER(Matching_Engine!$AQ$39),Matching_Engine!$AQ$39*Lookup_Lists!$D$324,0)+IF(ISNUMBER(Matching_Engine!$AR$39),Matching_Engine!$AR$39*Lookup_Lists!$D$325,0))/(IF(ISNUMBER(Matching_Engine!$AO$39),Lookup_Lists!$D$322,0)+IF(ISNUMBER(Matching_Engine!$AP$39),Lookup_Lists!$D$323,0)+IF(ISNUMBER(Matching_Engine!$AQ$39),Lookup_Lists!$D$324,0)+IF(ISNUMBER(Matching_Engine!$AR$39),Lookup_Lists!$D$325,0)),0))</f>
        <v>N/A</v>
      </c>
      <c r="AU39" s="42">
        <f>IF(ISNUMBER(Matching_Engine!$AT$39),1,0)</f>
        <v>1</v>
      </c>
      <c r="AV39" s="42" t="str">
        <f>IF(NOT(ISNUMBER(Matching_Engine!$AT$39)),"Not Screened",IF(Matching_Engine!$AT$39&gt;=Lookup_Lists!$D$329,"Low Risk",IF(Matching_Engine!$AT$39&gt;=Lookup_Lists!$D$330,"Moderate Risk",IF(Matching_Engine!$AT$39&gt;=Lookup_Lists!$D$331,"Elevated Risk","High Risk"))))</f>
        <v>Low Risk</v>
      </c>
      <c r="AW39" s="42" t="e">
        <f ca="1">IF(NOT(ISNUMBER(Matching_Engine!$AT$39)),"No integrity signal: no audience-analysis row for this account.","Integrity screen only — no content-risk reading exists (comments_analysis: 0 rows). "&amp;IF(ISNUMBER(Matching_Engine!$AO$39),"Authenticity "&amp;Matching_Engine!$AO$39&amp;". ","Authenticity N/A. ")&amp;IF(ISNUMBER(Matching_Engine!$AP$39),"Follower quality "&amp;Matching_Engine!$AP$39&amp;". ","Follower quality N/A. ")&amp;IF('[1]#REF'!$I$15="Yes","Platform-verified.","Not platform-verified."))</f>
        <v>#REF!</v>
      </c>
      <c r="AX39" s="65">
        <f>Matching_Engine!$N$39*Lookup_Lists!$D$104+Matching_Engine!$T$39*Lookup_Lists!$D$105+Matching_Engine!$Z$39*Lookup_Lists!$D$106+Matching_Engine!$AF$39*Lookup_Lists!$D$107+Matching_Engine!$AN$39*Lookup_Lists!$D$108+Matching_Engine!$AU$39*Lookup_Lists!$D$109</f>
        <v>7498.5</v>
      </c>
      <c r="AY39" s="74" t="e">
        <f ca="1">IF(Matching_Engine!$AX$39=0,"N/A",ROUND((IF(Matching_Engine!$N$39=1,Matching_Engine!$M$39*Lookup_Lists!$D$104,0)+IF(Matching_Engine!$T$39=1,Matching_Engine!$S$39*Lookup_Lists!$D$105,0)+IF(Matching_Engine!$Z$39=1,Matching_Engine!$Y$39*Lookup_Lists!$D$106,0)+IF(Matching_Engine!$AF$39=1,Matching_Engine!$AE$39*Lookup_Lists!$D$107,0)+IF(Matching_Engine!$AN$39=1,Matching_Engine!$AM$39*Lookup_Lists!$D$108,0)+IF(Matching_Engine!$AU$39=1,Matching_Engine!$AT$39*Lookup_Lists!$D$109,0))/Matching_Engine!$AX$39,0))</f>
        <v>#VALUE!</v>
      </c>
      <c r="AZ39" s="42" t="str">
        <f ca="1">IF(NOT(ISNUMBER(Matching_Engine!$AY$39)),"Not Scored",IF(Matching_Engine!$AY$39&gt;=Lookup_Lists!$D$152,"Excellent Match",IF(Matching_Engine!$AY$39&gt;=Lookup_Lists!$D$153,"Strong Match",IF(Matching_Engine!$AY$39&gt;=Lookup_Lists!$D$154,"Good Match",IF(Matching_Engine!$AY$39&gt;=Lookup_Lists!$D$155,"Moderate Match","Low Match")))))</f>
        <v>Not Scored</v>
      </c>
      <c r="BA39" s="65" t="e">
        <f>'[1]#REF'!$BW$15</f>
        <v>#REF!</v>
      </c>
      <c r="BB39" s="42" t="e">
        <f>'[1]#REF'!$BX$15</f>
        <v>#REF!</v>
      </c>
      <c r="BC39" s="65">
        <f ca="1">IF(NOT(ISNUMBER(Matching_Engine!$AY$39)),-1,Matching_Engine!$AY$39*1000+15)</f>
        <v>-1</v>
      </c>
      <c r="BD39" s="42" t="e">
        <f>IF(AND(ISTEXT('[1]#REF'!$S$15),'[1]#REF'!$S$15&lt;&gt;"N/A"),'[1]#REF'!$S$15,"")&amp;" | "&amp;IF(AND(ISTEXT('[1]#REF'!$T$15),'[1]#REF'!$T$15&lt;&gt;"N/A"),'[1]#REF'!$T$15,"")&amp;" | "&amp;IF(AND(ISTEXT('[1]#REF'!$N$15),'[1]#REF'!$N$15&lt;&gt;"N/A"),'[1]#REF'!$N$15,"")&amp;" | "&amp;IF(AND(ISTEXT('[1]#REF'!$K$15),'[1]#REF'!$K$15&lt;&gt;"N/A"),'[1]#REF'!$K$15,"")&amp;" | "&amp;IF(AND(ISTEXT('[1]#REF'!$J$15),'[1]#REF'!$J$15&lt;&gt;"N/A"),'[1]#REF'!$J$15,"")</f>
        <v>#REF!</v>
      </c>
      <c r="BE39" s="42" t="e">
        <f>IF(AND(ISTEXT('[1]#REF'!$T$15),'[1]#REF'!$T$15&lt;&gt;"N/A"),'[1]#REF'!$T$15,"")&amp;" | "&amp;IF(AND(ISTEXT('[1]#REF'!$N$15),'[1]#REF'!$N$15&lt;&gt;"N/A"),'[1]#REF'!$N$15,"")&amp;" | "&amp;IF(AND(ISTEXT('[1]#REF'!$O$15),'[1]#REF'!$O$15&lt;&gt;"N/A"),'[1]#REF'!$O$15,"")&amp;" | "&amp;IF(AND(ISTEXT('[1]#REF'!$S$15),'[1]#REF'!$S$15&lt;&gt;"N/A"),'[1]#REF'!$S$15,"")</f>
        <v>#REF!</v>
      </c>
      <c r="BF39" s="42" t="e">
        <f>IF(AND(ISTEXT('[1]#REF'!$U$15),'[1]#REF'!$U$15&lt;&gt;"N/A"),'[1]#REF'!$U$15,"")</f>
        <v>#REF!</v>
      </c>
      <c r="BG39" s="42" t="str">
        <f>Matching_Engine!$A$39&amp;"|"&amp;Matching_Engine!$C$39</f>
        <v>BRAND-B|KOL-04</v>
      </c>
    </row>
    <row r="40" spans="1:59">
      <c r="A40" s="64" t="s">
        <v>2528</v>
      </c>
      <c r="B40" s="42" t="str">
        <f>Brand_Profile!$F$6</f>
        <v>BRAND-C</v>
      </c>
      <c r="C40" s="42" t="e">
        <f>'[1]#REF'!$A$16</f>
        <v>#REF!</v>
      </c>
      <c r="D40" s="42" t="e">
        <f>'[1]#REF'!$C$16</f>
        <v>#REF!</v>
      </c>
      <c r="E40" s="42" t="e">
        <f>'[1]#REF'!$D$16</f>
        <v>#REF!</v>
      </c>
      <c r="F40" s="42" t="e">
        <f>'[1]#REF'!$E$16</f>
        <v>#REF!</v>
      </c>
      <c r="G40" s="42" t="e">
        <f>'[1]#REF'!$K$16</f>
        <v>#REF!</v>
      </c>
      <c r="H40" s="72" t="e">
        <f>'[1]#REF'!$G$16</f>
        <v>#REF!</v>
      </c>
      <c r="I40" s="73" t="e">
        <f>'[1]#REF'!$BG$16</f>
        <v>#REF!</v>
      </c>
      <c r="J40" s="65" t="e">
        <f>IF(NOT(AND(ISTEXT('[1]#REF'!$K$16),'[1]#REF'!$K$16&lt;&gt;"N/A")),Lookup_Lists!$D$150,IF(Brand_Profile!$F$7='[1]#REF'!$K$16,100,IFERROR(INDEX(Lookup_Lists!$B$349:$J$357,MATCH(Brand_Profile!$F$7,Lookup_Lists!$A$349:$A$357,0),MATCH('[1]#REF'!$K$16,Lookup_Lists!$B$348:$J$348,0)),Lookup_Lists!$D$151)))</f>
        <v>#REF!</v>
      </c>
      <c r="K40" s="65" t="e">
        <f>IF(LEN(TRIM(SUBSTITUTE(Matching_Engine!$BD$40,"|","")))=0,"N/A",IF(Brand_Profile!$F$47=0,Lookup_Lists!$D$150,ROUND((IF(Brand_Profile!$F$41="",0,IF(ISNUMBER(SEARCH(Brand_Profile!$F$41,Matching_Engine!$BD$40)),1,0))+IF(Brand_Profile!$F$42="",0,IF(ISNUMBER(SEARCH(Brand_Profile!$F$42,Matching_Engine!$BD$40)),1,0))+IF(Brand_Profile!$F$43="",0,IF(ISNUMBER(SEARCH(Brand_Profile!$F$43,Matching_Engine!$BD$40)),1,0))+IF(Brand_Profile!$F$44="",0,IF(ISNUMBER(SEARCH(Brand_Profile!$F$44,Matching_Engine!$BD$40)),1,0))+IF(Brand_Profile!$F$45="",0,IF(ISNUMBER(SEARCH(Brand_Profile!$F$45,Matching_Engine!$BD$40)),1,0))+IF(Brand_Profile!$F$46="",0,IF(ISNUMBER(SEARCH(Brand_Profile!$F$46,Matching_Engine!$BD$40)),1,0)))/Brand_Profile!$F$47*100,0)))</f>
        <v>#VALUE!</v>
      </c>
      <c r="L40" s="65" t="e">
        <f>IF(NOT(AND(ISTEXT('[1]#REF'!$U$16),'[1]#REF'!$U$16&lt;&gt;"N/A")),"N/A",IF(Brand_Profile!$F$53=0,Lookup_Lists!$D$150,ROUND((IF(Brand_Profile!$F$48="",0,IF(ISNUMBER(SEARCH(Brand_Profile!$F$48,Matching_Engine!$BF$40)),1,0))+IF(Brand_Profile!$F$49="",0,IF(ISNUMBER(SEARCH(Brand_Profile!$F$49,Matching_Engine!$BF$40)),1,0))+IF(Brand_Profile!$F$50="",0,IF(ISNUMBER(SEARCH(Brand_Profile!$F$50,Matching_Engine!$BF$40)),1,0))+IF(Brand_Profile!$F$51="",0,IF(ISNUMBER(SEARCH(Brand_Profile!$F$51,Matching_Engine!$BF$40)),1,0))+IF(Brand_Profile!$F$52="",0,IF(ISNUMBER(SEARCH(Brand_Profile!$F$52,Matching_Engine!$BF$40)),1,0)))/Brand_Profile!$F$53*100,0)))</f>
        <v>#REF!</v>
      </c>
      <c r="M40" s="63" t="str">
        <f>IF((IF(ISNUMBER(Matching_Engine!$J$40),Lookup_Lists!$D$332,0)+IF(ISNUMBER(Matching_Engine!$K$40),Lookup_Lists!$D$333,0)+IF(ISNUMBER(Matching_Engine!$L$40),Lookup_Lists!$D$334,0))=0,"N/A",ROUND((IF(ISNUMBER(Matching_Engine!$J$40),Matching_Engine!$J$40*Lookup_Lists!$D$332,0)+IF(ISNUMBER(Matching_Engine!$K$40),Matching_Engine!$K$40*Lookup_Lists!$D$333,0)+IF(ISNUMBER(Matching_Engine!$L$40),Matching_Engine!$L$40*Lookup_Lists!$D$334,0))/(IF(ISNUMBER(Matching_Engine!$J$40),Lookup_Lists!$D$332,0)+IF(ISNUMBER(Matching_Engine!$K$40),Lookup_Lists!$D$333,0)+IF(ISNUMBER(Matching_Engine!$L$40),Lookup_Lists!$D$334,0)),0))</f>
        <v>N/A</v>
      </c>
      <c r="N40" s="42">
        <f>IF(ISNUMBER(Matching_Engine!$M$40),1,0)</f>
        <v>1</v>
      </c>
      <c r="O40" s="65" t="str">
        <f ca="1">IF(NOT(ISNUMBER(IFERROR(INDEX('[1]#REF'!$V$16:'[1]#REF'!$Z$16,1,MATCH(Brand_Profile!$F$11,Lookup_Lists!$F$6:$F$10,0)),""))),"N/A",MIN(100,ROUND((IFERROR(INDEX('[1]#REF'!$V$16:'[1]#REF'!$Z$16,1,MATCH(Brand_Profile!$F$11,Lookup_Lists!$F$6:$F$10,0)),"")+0.5*IF(ISNUMBER(IFERROR(INDEX('[1]#REF'!$V$16:'[1]#REF'!$Z$16,1,MATCH(Brand_Profile!$F$12,Lookup_Lists!$F$6:$F$10,0)),"")),IFERROR(INDEX('[1]#REF'!$V$16:'[1]#REF'!$Z$16,1,MATCH(Brand_Profile!$F$12,Lookup_Lists!$F$6:$F$10,0)),""),0))/Lookup_Lists!$D$142*100,0)))</f>
        <v>N/A</v>
      </c>
      <c r="P40" s="65" t="str">
        <f>IF(Brand_Profile!$F$13="Any",100,IF(NOT(ISNUMBER('[1]#REF'!$AA$16)),"N/A",IF(Brand_Profile!$F$13="Female",MIN(100,ROUND('[1]#REF'!$AA$16/Lookup_Lists!$D$143*100,0)),IF(Brand_Profile!$F$13="Male",MIN(100,ROUND(IF(ISNUMBER('[1]#REF'!$AB$16),'[1]#REF'!$AB$16,100-'[1]#REF'!$AA$16)/Lookup_Lists!$D$143*100,0)),MAX(0,ROUND(100-ABS('[1]#REF'!$AA$16-50)*2,0))))))</f>
        <v>N/A</v>
      </c>
      <c r="Q40" s="65" t="str">
        <f>IF((IF(ISNUMBER(IF(NOT(ISNUMBER('[1]#REF'!$AE$16)),"N/A",IF('[1]#REF'!$AD$16&lt;&gt;Brand_Profile!$F$14,Lookup_Lists!$D$151,MIN(100,ROUND('[1]#REF'!$AE$16/Lookup_Lists!$D$316*100,0))))),Lookup_Lists!$D$118,0)+IF(ISNUMBER(IF(NOT(ISNUMBER('[1]#REF'!$AM$16)),"N/A",MIN(100,ROUND((IF('[1]#REF'!$AG$16=Brand_Profile!$F$15,IF(ISNUMBER('[1]#REF'!$AH$16),'[1]#REF'!$AH$16,0),0)+IF('[1]#REF'!$AI$16=Brand_Profile!$F$15,IF(ISNUMBER('[1]#REF'!$AJ$16),'[1]#REF'!$AJ$16,0),0)+IF('[1]#REF'!$AK$16=Brand_Profile!$F$15,IF(ISNUMBER('[1]#REF'!$AL$16),'[1]#REF'!$AL$16,0),0))/Lookup_Lists!$D$317*100,0)))),Lookup_Lists!$D$120,0))=0,"N/A",ROUND((IF(ISNUMBER(IF(NOT(ISNUMBER('[1]#REF'!$AE$16)),"N/A",IF('[1]#REF'!$AD$16&lt;&gt;Brand_Profile!$F$14,Lookup_Lists!$D$151,MIN(100,ROUND('[1]#REF'!$AE$16/Lookup_Lists!$D$316*100,0))))),IF(NOT(ISNUMBER('[1]#REF'!$AE$16)),"N/A",IF('[1]#REF'!$AD$16&lt;&gt;Brand_Profile!$F$14,Lookup_Lists!$D$151,MIN(100,ROUND('[1]#REF'!$AE$16/Lookup_Lists!$D$316*100,0))))*Lookup_Lists!$D$118,0)+IF(ISNUMBER(IF(NOT(ISNUMBER('[1]#REF'!$AM$16)),"N/A",MIN(100,ROUND((IF('[1]#REF'!$AG$16=Brand_Profile!$F$15,IF(ISNUMBER('[1]#REF'!$AH$16),'[1]#REF'!$AH$16,0),0)+IF('[1]#REF'!$AI$16=Brand_Profile!$F$15,IF(ISNUMBER('[1]#REF'!$AJ$16),'[1]#REF'!$AJ$16,0),0)+IF('[1]#REF'!$AK$16=Brand_Profile!$F$15,IF(ISNUMBER('[1]#REF'!$AL$16),'[1]#REF'!$AL$16,0),0))/Lookup_Lists!$D$317*100,0)))),IF(NOT(ISNUMBER('[1]#REF'!$AM$16)),"N/A",MIN(100,ROUND((IF('[1]#REF'!$AG$16=Brand_Profile!$F$15,IF(ISNUMBER('[1]#REF'!$AH$16),'[1]#REF'!$AH$16,0),0)+IF('[1]#REF'!$AI$16=Brand_Profile!$F$15,IF(ISNUMBER('[1]#REF'!$AJ$16),'[1]#REF'!$AJ$16,0),0)+IF('[1]#REF'!$AK$16=Brand_Profile!$F$15,IF(ISNUMBER('[1]#REF'!$AL$16),'[1]#REF'!$AL$16,0),0))/Lookup_Lists!$D$317*100,0)))*Lookup_Lists!$D$120,0))/(IF(ISNUMBER(IF(NOT(ISNUMBER('[1]#REF'!$AE$16)),"N/A",IF('[1]#REF'!$AD$16&lt;&gt;Brand_Profile!$F$14,Lookup_Lists!$D$151,MIN(100,ROUND('[1]#REF'!$AE$16/Lookup_Lists!$D$316*100,0))))),Lookup_Lists!$D$118,0)+IF(ISNUMBER(IF(NOT(ISNUMBER('[1]#REF'!$AM$16)),"N/A",MIN(100,ROUND((IF('[1]#REF'!$AG$16=Brand_Profile!$F$15,IF(ISNUMBER('[1]#REF'!$AH$16),'[1]#REF'!$AH$16,0),0)+IF('[1]#REF'!$AI$16=Brand_Profile!$F$15,IF(ISNUMBER('[1]#REF'!$AJ$16),'[1]#REF'!$AJ$16,0),0)+IF('[1]#REF'!$AK$16=Brand_Profile!$F$15,IF(ISNUMBER('[1]#REF'!$AL$16),'[1]#REF'!$AL$16,0),0))/Lookup_Lists!$D$317*100,0)))),Lookup_Lists!$D$120,0)),0))</f>
        <v>N/A</v>
      </c>
      <c r="R40" s="65" t="str">
        <f>IF(NOT(ISNUMBER('[1]#REF'!$AN$16)),"N/A",MIN(100,ROUND((IF(ISNUMBER('[1]#REF'!$AO$16),'[1]#REF'!$AO$16*Brand_Profile!$F$17,0)+IF(ISNUMBER('[1]#REF'!$AP$16),'[1]#REF'!$AP$16*Brand_Profile!$F$18,0)+IF(ISNUMBER('[1]#REF'!$AQ$16),'[1]#REF'!$AQ$16*Brand_Profile!$F$19,0)+IF(ISNUMBER('[1]#REF'!$AR$16),'[1]#REF'!$AR$16*Brand_Profile!$F$20,0)+IF(ISNUMBER('[1]#REF'!$AS$16),'[1]#REF'!$AS$16*Brand_Profile!$F$21,0)+IF(ISNUMBER('[1]#REF'!$AT$16),'[1]#REF'!$AT$16*Brand_Profile!$F$22,0)+IF(ISNUMBER('[1]#REF'!$AU$16),'[1]#REF'!$AU$16*Brand_Profile!$F$23,0)+IF(ISNUMBER('[1]#REF'!$AV$16),'[1]#REF'!$AV$16*Brand_Profile!$F$24,0)+IF(ISNUMBER('[1]#REF'!$AW$16),'[1]#REF'!$AW$16*Brand_Profile!$F$25,0)+IF(ISNUMBER('[1]#REF'!$AX$16),'[1]#REF'!$AX$16*Brand_Profile!$F$26,0)+IF(ISNUMBER('[1]#REF'!$AY$16),'[1]#REF'!$AY$16*Brand_Profile!$F$27,0)+IF(ISNUMBER('[1]#REF'!$AZ$16),'[1]#REF'!$AZ$16*Brand_Profile!$F$28,0)+IF(ISNUMBER('[1]#REF'!$BA$16),'[1]#REF'!$BA$16*Brand_Profile!$F$29,0)+IF(ISNUMBER('[1]#REF'!$BB$16),'[1]#REF'!$BB$16*Brand_Profile!$F$30,0)+IF(ISNUMBER('[1]#REF'!$BC$16),'[1]#REF'!$BC$16*Brand_Profile!$F$31,0)+IF(ISNUMBER('[1]#REF'!$BD$16),'[1]#REF'!$BD$16*Brand_Profile!$F$32,0)+IF(ISNUMBER('[1]#REF'!$BE$16),'[1]#REF'!$BE$16*Brand_Profile!$F$33,0)+IF(ISNUMBER('[1]#REF'!$BF$16),'[1]#REF'!$BF$16*Brand_Profile!$F$34,0))/Lookup_Lists!$D$318*100,0)))</f>
        <v>N/A</v>
      </c>
      <c r="S40" s="63">
        <f ca="1">IF((IF(ISNUMBER(Matching_Engine!$O$40),Lookup_Lists!$D$113,0)+IF(ISNUMBER(Matching_Engine!$P$40),Lookup_Lists!$D$114,0)+IF(ISNUMBER(Matching_Engine!$Q$40),Lookup_Lists!$D$115,0)+IF(ISNUMBER(Matching_Engine!$R$40),Lookup_Lists!$D$116,0))=0,"N/A",ROUND((IF(ISNUMBER(Matching_Engine!$O$40),Matching_Engine!$O$40*Lookup_Lists!$D$113,0)+IF(ISNUMBER(Matching_Engine!$P$40),Matching_Engine!$P$40*Lookup_Lists!$D$114,0)+IF(ISNUMBER(Matching_Engine!$Q$40),Matching_Engine!$Q$40*Lookup_Lists!$D$115,0)+IF(ISNUMBER(Matching_Engine!$R$40),Matching_Engine!$R$40*Lookup_Lists!$D$116,0))/(IF(ISNUMBER(Matching_Engine!$O$40),Lookup_Lists!$D$113,0)+IF(ISNUMBER(Matching_Engine!$P$40),Lookup_Lists!$D$114,0)+IF(ISNUMBER(Matching_Engine!$Q$40),Lookup_Lists!$D$115,0)+IF(ISNUMBER(Matching_Engine!$R$40),Lookup_Lists!$D$116,0)),0))</f>
        <v>72</v>
      </c>
      <c r="T40" s="42">
        <f ca="1">IF(ISNUMBER(Matching_Engine!$S$40),1,0)</f>
        <v>1</v>
      </c>
      <c r="U40" s="65" t="e">
        <f>IF(NOT(AND(ISTEXT('[1]#REF'!$M$16),'[1]#REF'!$M$16&lt;&gt;"N/A")),Lookup_Lists!$D$150,IF(Brand_Profile!$F$7='[1]#REF'!$M$16,100,IFERROR(INDEX(Lookup_Lists!$B$349:$J$357,MATCH(Brand_Profile!$F$7,Lookup_Lists!$A$349:$A$357,0),MATCH('[1]#REF'!$M$16,Lookup_Lists!$B$348:$J$348,0)),Lookup_Lists!$D$151)))</f>
        <v>#REF!</v>
      </c>
      <c r="V40" s="65" t="e">
        <f>IF(NOT(AND(ISTEXT('[1]#REF'!$P$16),'[1]#REF'!$P$16&lt;&gt;"N/A")),"N/A",IFERROR(INDEX(Lookup_Lists!$B$349:$J$357,MATCH(Brand_Profile!$F$7,Lookup_Lists!$A$349:$A$357,0),MATCH('[1]#REF'!$P$16,Lookup_Lists!$B$348:$J$348,0)),Lookup_Lists!$D$151))</f>
        <v>#REF!</v>
      </c>
      <c r="W40" s="65" t="e">
        <f>IF(LEN(TRIM(SUBSTITUTE(Matching_Engine!$BE$40,"|","")))=0,"N/A",IF(Brand_Profile!$F$60=0,Lookup_Lists!$D$150,ROUND((IF(Brand_Profile!$F$54="",0,IF(ISNUMBER(SEARCH(Brand_Profile!$F$54,Matching_Engine!$BE$40)),1,0))+IF(Brand_Profile!$F$55="",0,IF(ISNUMBER(SEARCH(Brand_Profile!$F$55,Matching_Engine!$BE$40)),1,0))+IF(Brand_Profile!$F$56="",0,IF(ISNUMBER(SEARCH(Brand_Profile!$F$56,Matching_Engine!$BE$40)),1,0))+IF(Brand_Profile!$F$57="",0,IF(ISNUMBER(SEARCH(Brand_Profile!$F$57,Matching_Engine!$BE$40)),1,0))+IF(Brand_Profile!$F$58="",0,IF(ISNUMBER(SEARCH(Brand_Profile!$F$58,Matching_Engine!$BE$40)),1,0))+IF(Brand_Profile!$F$59="",0,IF(ISNUMBER(SEARCH(Brand_Profile!$F$59,Matching_Engine!$BE$40)),1,0)))/Brand_Profile!$F$60*100,0)))</f>
        <v>#VALUE!</v>
      </c>
      <c r="X40" s="65" t="e">
        <f>IF(NOT(AND(ISTEXT('[1]#REF'!$Q$16),'[1]#REF'!$Q$16&lt;&gt;"N/A")),"N/A",Lookup_Lists!$D$150)</f>
        <v>#REF!</v>
      </c>
      <c r="Y40" s="63">
        <f>IF((IF(ISNUMBER(Matching_Engine!$U$40),Lookup_Lists!$D$335,0)+IF(ISNUMBER(Matching_Engine!$V$40),Lookup_Lists!$D$122,0)+IF(ISNUMBER(Matching_Engine!$W$40),Lookup_Lists!$D$336,0)+IF(ISNUMBER(Matching_Engine!$X$40),Lookup_Lists!$D$124,0))=0,"N/A",ROUND((IF(ISNUMBER(Matching_Engine!$U$40),Matching_Engine!$U$40*Lookup_Lists!$D$335,0)+IF(ISNUMBER(Matching_Engine!$V$40),Matching_Engine!$V$40*Lookup_Lists!$D$122,0)+IF(ISNUMBER(Matching_Engine!$W$40),Matching_Engine!$W$40*Lookup_Lists!$D$336,0)+IF(ISNUMBER(Matching_Engine!$X$40),Matching_Engine!$X$40*Lookup_Lists!$D$124,0))/(IF(ISNUMBER(Matching_Engine!$U$40),Lookup_Lists!$D$335,0)+IF(ISNUMBER(Matching_Engine!$V$40),Lookup_Lists!$D$122,0)+IF(ISNUMBER(Matching_Engine!$W$40),Lookup_Lists!$D$336,0)+IF(ISNUMBER(Matching_Engine!$X$40),Lookup_Lists!$D$124,0)),0))</f>
        <v>36</v>
      </c>
      <c r="Z40" s="42">
        <f>IF(ISNUMBER(Matching_Engine!$Y$40),1,0)</f>
        <v>1</v>
      </c>
      <c r="AA40" s="65" t="e">
        <f>IF(NOT(AND(ISTEXT('[1]#REF'!$Q$16),'[1]#REF'!$Q$16&lt;&gt;"N/A")),"N/A",Lookup_Lists!$D$150)</f>
        <v>#REF!</v>
      </c>
      <c r="AB40" s="65" t="e">
        <f>IF(NOT(AND(ISTEXT('[1]#REF'!$Q$16),'[1]#REF'!$Q$16&lt;&gt;"N/A")),"N/A",Lookup_Lists!$D$150)</f>
        <v>#REF!</v>
      </c>
      <c r="AC40" s="65" t="str">
        <f t="shared" si="0"/>
        <v>N/A</v>
      </c>
      <c r="AD40" s="65" t="e">
        <f>IF(NOT(AND(ISTEXT('[1]#REF'!$Q$16),'[1]#REF'!$Q$16&lt;&gt;"N/A")),"N/A",Lookup_Lists!$D$150)</f>
        <v>#REF!</v>
      </c>
      <c r="AE40" s="63">
        <f>IF((IF(ISNUMBER(Matching_Engine!$AA$40),Lookup_Lists!$D$125,0)+IF(ISNUMBER(Matching_Engine!$AB$40),Lookup_Lists!$D$126,0)+IF(ISNUMBER(Matching_Engine!$AC$40),Lookup_Lists!$D$127,0)+IF(ISNUMBER(Matching_Engine!$AD$40),Lookup_Lists!$D$128,0))=0,"N/A",ROUND((IF(ISNUMBER(Matching_Engine!$AA$40),Matching_Engine!$AA$40*Lookup_Lists!$D$125,0)+IF(ISNUMBER(Matching_Engine!$AB$40),Matching_Engine!$AB$40*Lookup_Lists!$D$126,0)+IF(ISNUMBER(Matching_Engine!$AC$40),Matching_Engine!$AC$40*Lookup_Lists!$D$127,0)+IF(ISNUMBER(Matching_Engine!$AD$40),Matching_Engine!$AD$40*Lookup_Lists!$D$128,0))/(IF(ISNUMBER(Matching_Engine!$AA$40),Lookup_Lists!$D$125,0)+IF(ISNUMBER(Matching_Engine!$AB$40),Lookup_Lists!$D$126,0)+IF(ISNUMBER(Matching_Engine!$AC$40),Lookup_Lists!$D$127,0)+IF(ISNUMBER(Matching_Engine!$AD$40),Lookup_Lists!$D$128,0)),0))</f>
        <v>50</v>
      </c>
      <c r="AF40" s="42">
        <f>IF(ISNUMBER(Matching_Engine!$AE$40),1,0)</f>
        <v>1</v>
      </c>
      <c r="AG40" s="65" t="str">
        <f>IF(NOT(ISNUMBER('[1]#REF'!$BG$16)),"N/A",MIN(100,ROUND('[1]#REF'!$BG$16/IFERROR(INDEX(Lookup_Lists!$B$340:$B$344,MATCH('[1]#REF'!$H$16,Lookup_Lists!$A$340:$A$344,0)),Lookup_Lists!$D$141)*100,0)))</f>
        <v>N/A</v>
      </c>
      <c r="AH40" s="65" t="str">
        <f>IF(NOT(ISNUMBER('[1]#REF'!$BS$16)),"N/A",MIN(100,MAX(0,'[1]#REF'!$BS$16)))</f>
        <v>N/A</v>
      </c>
      <c r="AI40" s="65" t="e">
        <f>IF(OR(NOT(ISNUMBER('[1]#REF'!$BM$16)),NOT(ISNUMBER('[1]#REF'!$BN$16)),'[1]#REF'!$BN$16&lt;Lookup_Lists!$D$320),"N/A",MIN(100,ROUND('[1]#REF'!$BM$16/Lookup_Lists!$D$319*100,0)))</f>
        <v>#REF!</v>
      </c>
      <c r="AJ40" s="65" t="str">
        <f>IF(NOT(ISNUMBER('[1]#REF'!$BR$16)),"N/A",'[1]#REF'!$BR$16)</f>
        <v>N/A</v>
      </c>
      <c r="AK40" s="65" t="str">
        <f>IF(NOT(ISNUMBER('[1]#REF'!$BK$16)),"N/A",MIN(100,ROUND('[1]#REF'!$BK$16/Lookup_Lists!$D$321*100,0)))</f>
        <v>N/A</v>
      </c>
      <c r="AL40" s="65" t="str">
        <f>IF(NOT(ISNUMBER('[1]#REF'!$BP$16)),"N/A",MIN(100,MAX(0,ROUND(('[1]#REF'!$BP$16+2)/(Lookup_Lists!$D$145+2)*100,0))))</f>
        <v>N/A</v>
      </c>
      <c r="AM40" s="63">
        <f>IF((IF(ISNUMBER(Matching_Engine!$AG$40),Lookup_Lists!$D$129,0)+IF(ISNUMBER(Matching_Engine!$AH$40),Lookup_Lists!$D$130,0)+IF(ISNUMBER(Matching_Engine!$AI$40),Lookup_Lists!$D$131,0)+IF(ISNUMBER(Matching_Engine!$AJ$40),Lookup_Lists!$D$132,0)+IF(ISNUMBER(Matching_Engine!$AK$40),Lookup_Lists!$D$133,0)+IF(ISNUMBER(Matching_Engine!$AL$40),Lookup_Lists!$D$134,0))=0,"N/A",ROUND((IF(ISNUMBER(Matching_Engine!$AG$40),Matching_Engine!$AG$40*Lookup_Lists!$D$129,0)+IF(ISNUMBER(Matching_Engine!$AH$40),Matching_Engine!$AH$40*Lookup_Lists!$D$130,0)+IF(ISNUMBER(Matching_Engine!$AI$40),Matching_Engine!$AI$40*Lookup_Lists!$D$131,0)+IF(ISNUMBER(Matching_Engine!$AJ$40),Matching_Engine!$AJ$40*Lookup_Lists!$D$132,0)+IF(ISNUMBER(Matching_Engine!$AK$40),Matching_Engine!$AK$40*Lookup_Lists!$D$133,0)+IF(ISNUMBER(Matching_Engine!$AL$40),Matching_Engine!$AL$40*Lookup_Lists!$D$134,0))/(IF(ISNUMBER(Matching_Engine!$AG$40),Lookup_Lists!$D$129,0)+IF(ISNUMBER(Matching_Engine!$AH$40),Lookup_Lists!$D$130,0)+IF(ISNUMBER(Matching_Engine!$AI$40),Lookup_Lists!$D$131,0)+IF(ISNUMBER(Matching_Engine!$AJ$40),Lookup_Lists!$D$132,0)+IF(ISNUMBER(Matching_Engine!$AK$40),Lookup_Lists!$D$133,0)+IF(ISNUMBER(Matching_Engine!$AL$40),Lookup_Lists!$D$134,0)),0))</f>
        <v>72</v>
      </c>
      <c r="AN40" s="42">
        <f>IF(ISNUMBER(Matching_Engine!$AM$40),1,0)</f>
        <v>0</v>
      </c>
      <c r="AO40" s="65" t="str">
        <f>IF(NOT(ISNUMBER('[1]#REF'!$BT$16)),"N/A",MIN(100,MAX(0,'[1]#REF'!$BT$16)))</f>
        <v>N/A</v>
      </c>
      <c r="AP40" s="65" t="str">
        <f>IF(NOT(ISNUMBER('[1]#REF'!$BU$16)),"N/A",MIN(100,MAX(0,'[1]#REF'!$BU$16)))</f>
        <v>N/A</v>
      </c>
      <c r="AQ40" s="65" t="e">
        <f>IF('[1]#REF'!$I$16="Yes",Lookup_Lists!$D$326,IF('[1]#REF'!$I$16="No",Lookup_Lists!$D$327,"N/A"))</f>
        <v>#REF!</v>
      </c>
      <c r="AR40" s="65" t="str">
        <f>IF(NOT(ISNUMBER('[1]#REF'!$BQ$16)),"N/A",MAX(0,ROUND(100-'[1]#REF'!$BQ$16/Lookup_Lists!$D$328*100,0)))</f>
        <v>N/A</v>
      </c>
      <c r="AS40" s="65" t="e">
        <f>IF(NOT(AND(ISTEXT('[1]#REF'!$BV$16),'[1]#REF'!$BV$16&lt;&gt;"N/A")),"N/A",'[1]#REF'!$BV$16)</f>
        <v>#REF!</v>
      </c>
      <c r="AT40" s="63" t="str">
        <f ca="1">IF((IF(ISNUMBER(Matching_Engine!$AO$40),Lookup_Lists!$D$322,0)+IF(ISNUMBER(Matching_Engine!$AP$40),Lookup_Lists!$D$323,0)+IF(ISNUMBER(Matching_Engine!$AQ$40),Lookup_Lists!$D$324,0)+IF(ISNUMBER(Matching_Engine!$AR$40),Lookup_Lists!$D$325,0))=0,"N/A",ROUND((IF(ISNUMBER(Matching_Engine!$AO$40),Matching_Engine!$AO$40*Lookup_Lists!$D$322,0)+IF(ISNUMBER(Matching_Engine!$AP$40),Matching_Engine!$AP$40*Lookup_Lists!$D$323,0)+IF(ISNUMBER(Matching_Engine!$AQ$40),Matching_Engine!$AQ$40*Lookup_Lists!$D$324,0)+IF(ISNUMBER(Matching_Engine!$AR$40),Matching_Engine!$AR$40*Lookup_Lists!$D$325,0))/(IF(ISNUMBER(Matching_Engine!$AO$40),Lookup_Lists!$D$322,0)+IF(ISNUMBER(Matching_Engine!$AP$40),Lookup_Lists!$D$323,0)+IF(ISNUMBER(Matching_Engine!$AQ$40),Lookup_Lists!$D$324,0)+IF(ISNUMBER(Matching_Engine!$AR$40),Lookup_Lists!$D$325,0)),0))</f>
        <v>N/A</v>
      </c>
      <c r="AU40" s="42">
        <f>IF(ISNUMBER(Matching_Engine!$AT$40),1,0)</f>
        <v>1</v>
      </c>
      <c r="AV40" s="42" t="str">
        <f>IF(NOT(ISNUMBER(Matching_Engine!$AT$40)),"Not Screened",IF(Matching_Engine!$AT$40&gt;=Lookup_Lists!$D$329,"Low Risk",IF(Matching_Engine!$AT$40&gt;=Lookup_Lists!$D$330,"Moderate Risk",IF(Matching_Engine!$AT$40&gt;=Lookup_Lists!$D$331,"Elevated Risk","High Risk"))))</f>
        <v>Low Risk</v>
      </c>
      <c r="AW40" s="42" t="e">
        <f ca="1">IF(NOT(ISNUMBER(Matching_Engine!$AT$40)),"No integrity signal: no audience-analysis row for this account.","Integrity screen only — no content-risk reading exists (comments_analysis: 0 rows). "&amp;IF(ISNUMBER(Matching_Engine!$AO$40),"Authenticity "&amp;Matching_Engine!$AO$40&amp;". ","Authenticity N/A. ")&amp;IF(ISNUMBER(Matching_Engine!$AP$40),"Follower quality "&amp;Matching_Engine!$AP$40&amp;". ","Follower quality N/A. ")&amp;IF('[1]#REF'!$I$16="Yes","Platform-verified.","Not platform-verified."))</f>
        <v>#REF!</v>
      </c>
      <c r="AX40" s="65">
        <f>Matching_Engine!$N$40*Lookup_Lists!$D$104+Matching_Engine!$T$40*Lookup_Lists!$D$105+Matching_Engine!$Z$40*Lookup_Lists!$D$106+Matching_Engine!$AF$40*Lookup_Lists!$D$107+Matching_Engine!$AN$40*Lookup_Lists!$D$108+Matching_Engine!$AU$40*Lookup_Lists!$D$109</f>
        <v>5429.5</v>
      </c>
      <c r="AY40" s="74" t="e">
        <f ca="1">IF(Matching_Engine!$AX$40=0,"N/A",ROUND((IF(Matching_Engine!$N$40=1,Matching_Engine!$M$40*Lookup_Lists!$D$104,0)+IF(Matching_Engine!$T$40=1,Matching_Engine!$S$40*Lookup_Lists!$D$105,0)+IF(Matching_Engine!$Z$40=1,Matching_Engine!$Y$40*Lookup_Lists!$D$106,0)+IF(Matching_Engine!$AF$40=1,Matching_Engine!$AE$40*Lookup_Lists!$D$107,0)+IF(Matching_Engine!$AN$40=1,Matching_Engine!$AM$40*Lookup_Lists!$D$108,0)+IF(Matching_Engine!$AU$40=1,Matching_Engine!$AT$40*Lookup_Lists!$D$109,0))/Matching_Engine!$AX$40,0))</f>
        <v>#VALUE!</v>
      </c>
      <c r="AZ40" s="42" t="str">
        <f ca="1">IF(NOT(ISNUMBER(Matching_Engine!$AY$40)),"Not Scored",IF(Matching_Engine!$AY$40&gt;=Lookup_Lists!$D$152,"Excellent Match",IF(Matching_Engine!$AY$40&gt;=Lookup_Lists!$D$153,"Strong Match",IF(Matching_Engine!$AY$40&gt;=Lookup_Lists!$D$154,"Good Match",IF(Matching_Engine!$AY$40&gt;=Lookup_Lists!$D$155,"Moderate Match","Low Match")))))</f>
        <v>Not Scored</v>
      </c>
      <c r="BA40" s="65" t="e">
        <f>'[1]#REF'!$BW$16</f>
        <v>#REF!</v>
      </c>
      <c r="BB40" s="42" t="e">
        <f>'[1]#REF'!$BX$16</f>
        <v>#REF!</v>
      </c>
      <c r="BC40" s="65">
        <f ca="1">IF(NOT(ISNUMBER(Matching_Engine!$AY$40)),-1,Matching_Engine!$AY$40*1000+14)</f>
        <v>-1</v>
      </c>
      <c r="BD40" s="42" t="e">
        <f>IF(AND(ISTEXT('[1]#REF'!$S$16),'[1]#REF'!$S$16&lt;&gt;"N/A"),'[1]#REF'!$S$16,"")&amp;" | "&amp;IF(AND(ISTEXT('[1]#REF'!$T$16),'[1]#REF'!$T$16&lt;&gt;"N/A"),'[1]#REF'!$T$16,"")&amp;" | "&amp;IF(AND(ISTEXT('[1]#REF'!$N$16),'[1]#REF'!$N$16&lt;&gt;"N/A"),'[1]#REF'!$N$16,"")&amp;" | "&amp;IF(AND(ISTEXT('[1]#REF'!$K$16),'[1]#REF'!$K$16&lt;&gt;"N/A"),'[1]#REF'!$K$16,"")&amp;" | "&amp;IF(AND(ISTEXT('[1]#REF'!$J$16),'[1]#REF'!$J$16&lt;&gt;"N/A"),'[1]#REF'!$J$16,"")</f>
        <v>#REF!</v>
      </c>
      <c r="BE40" s="42" t="e">
        <f>IF(AND(ISTEXT('[1]#REF'!$T$16),'[1]#REF'!$T$16&lt;&gt;"N/A"),'[1]#REF'!$T$16,"")&amp;" | "&amp;IF(AND(ISTEXT('[1]#REF'!$N$16),'[1]#REF'!$N$16&lt;&gt;"N/A"),'[1]#REF'!$N$16,"")&amp;" | "&amp;IF(AND(ISTEXT('[1]#REF'!$O$16),'[1]#REF'!$O$16&lt;&gt;"N/A"),'[1]#REF'!$O$16,"")&amp;" | "&amp;IF(AND(ISTEXT('[1]#REF'!$S$16),'[1]#REF'!$S$16&lt;&gt;"N/A"),'[1]#REF'!$S$16,"")</f>
        <v>#REF!</v>
      </c>
      <c r="BF40" s="42" t="e">
        <f>IF(AND(ISTEXT('[1]#REF'!$U$16),'[1]#REF'!$U$16&lt;&gt;"N/A"),'[1]#REF'!$U$16,"")</f>
        <v>#REF!</v>
      </c>
      <c r="BG40" s="42" t="str">
        <f>Matching_Engine!$A$40&amp;"|"&amp;Matching_Engine!$C$40</f>
        <v>BRAND-B|KOL-05</v>
      </c>
    </row>
    <row r="41" spans="1:59">
      <c r="A41" s="64" t="s">
        <v>2528</v>
      </c>
      <c r="B41" s="42" t="str">
        <f>Brand_Profile!$F$6</f>
        <v>BRAND-C</v>
      </c>
      <c r="C41" s="42" t="e">
        <f>'[1]#REF'!$A$17</f>
        <v>#REF!</v>
      </c>
      <c r="D41" s="42" t="e">
        <f>'[1]#REF'!$C$17</f>
        <v>#REF!</v>
      </c>
      <c r="E41" s="42" t="e">
        <f>'[1]#REF'!$D$17</f>
        <v>#REF!</v>
      </c>
      <c r="F41" s="42" t="e">
        <f>'[1]#REF'!$E$17</f>
        <v>#REF!</v>
      </c>
      <c r="G41" s="42" t="e">
        <f>'[1]#REF'!$K$17</f>
        <v>#REF!</v>
      </c>
      <c r="H41" s="72" t="e">
        <f>'[1]#REF'!$G$17</f>
        <v>#REF!</v>
      </c>
      <c r="I41" s="73" t="e">
        <f>'[1]#REF'!$BG$17</f>
        <v>#REF!</v>
      </c>
      <c r="J41" s="65" t="e">
        <f>IF(NOT(AND(ISTEXT('[1]#REF'!$K$17),'[1]#REF'!$K$17&lt;&gt;"N/A")),Lookup_Lists!$D$150,IF(Brand_Profile!$F$7='[1]#REF'!$K$17,100,IFERROR(INDEX(Lookup_Lists!$B$349:$J$357,MATCH(Brand_Profile!$F$7,Lookup_Lists!$A$349:$A$357,0),MATCH('[1]#REF'!$K$17,Lookup_Lists!$B$348:$J$348,0)),Lookup_Lists!$D$151)))</f>
        <v>#REF!</v>
      </c>
      <c r="K41" s="65" t="e">
        <f>IF(LEN(TRIM(SUBSTITUTE(Matching_Engine!$BD$41,"|","")))=0,"N/A",IF(Brand_Profile!$F$47=0,Lookup_Lists!$D$150,ROUND((IF(Brand_Profile!$F$41="",0,IF(ISNUMBER(SEARCH(Brand_Profile!$F$41,Matching_Engine!$BD$41)),1,0))+IF(Brand_Profile!$F$42="",0,IF(ISNUMBER(SEARCH(Brand_Profile!$F$42,Matching_Engine!$BD$41)),1,0))+IF(Brand_Profile!$F$43="",0,IF(ISNUMBER(SEARCH(Brand_Profile!$F$43,Matching_Engine!$BD$41)),1,0))+IF(Brand_Profile!$F$44="",0,IF(ISNUMBER(SEARCH(Brand_Profile!$F$44,Matching_Engine!$BD$41)),1,0))+IF(Brand_Profile!$F$45="",0,IF(ISNUMBER(SEARCH(Brand_Profile!$F$45,Matching_Engine!$BD$41)),1,0))+IF(Brand_Profile!$F$46="",0,IF(ISNUMBER(SEARCH(Brand_Profile!$F$46,Matching_Engine!$BD$41)),1,0)))/Brand_Profile!$F$47*100,0)))</f>
        <v>#VALUE!</v>
      </c>
      <c r="L41" s="65" t="e">
        <f>IF(NOT(AND(ISTEXT('[1]#REF'!$U$17),'[1]#REF'!$U$17&lt;&gt;"N/A")),"N/A",IF(Brand_Profile!$F$53=0,Lookup_Lists!$D$150,ROUND((IF(Brand_Profile!$F$48="",0,IF(ISNUMBER(SEARCH(Brand_Profile!$F$48,Matching_Engine!$BF$41)),1,0))+IF(Brand_Profile!$F$49="",0,IF(ISNUMBER(SEARCH(Brand_Profile!$F$49,Matching_Engine!$BF$41)),1,0))+IF(Brand_Profile!$F$50="",0,IF(ISNUMBER(SEARCH(Brand_Profile!$F$50,Matching_Engine!$BF$41)),1,0))+IF(Brand_Profile!$F$51="",0,IF(ISNUMBER(SEARCH(Brand_Profile!$F$51,Matching_Engine!$BF$41)),1,0))+IF(Brand_Profile!$F$52="",0,IF(ISNUMBER(SEARCH(Brand_Profile!$F$52,Matching_Engine!$BF$41)),1,0)))/Brand_Profile!$F$53*100,0)))</f>
        <v>#REF!</v>
      </c>
      <c r="M41" s="63" t="str">
        <f>IF((IF(ISNUMBER(Matching_Engine!$J$41),Lookup_Lists!$D$332,0)+IF(ISNUMBER(Matching_Engine!$K$41),Lookup_Lists!$D$333,0)+IF(ISNUMBER(Matching_Engine!$L$41),Lookup_Lists!$D$334,0))=0,"N/A",ROUND((IF(ISNUMBER(Matching_Engine!$J$41),Matching_Engine!$J$41*Lookup_Lists!$D$332,0)+IF(ISNUMBER(Matching_Engine!$K$41),Matching_Engine!$K$41*Lookup_Lists!$D$333,0)+IF(ISNUMBER(Matching_Engine!$L$41),Matching_Engine!$L$41*Lookup_Lists!$D$334,0))/(IF(ISNUMBER(Matching_Engine!$J$41),Lookup_Lists!$D$332,0)+IF(ISNUMBER(Matching_Engine!$K$41),Lookup_Lists!$D$333,0)+IF(ISNUMBER(Matching_Engine!$L$41),Lookup_Lists!$D$334,0)),0))</f>
        <v>N/A</v>
      </c>
      <c r="N41" s="42">
        <f>IF(ISNUMBER(Matching_Engine!$M$41),1,0)</f>
        <v>1</v>
      </c>
      <c r="O41" s="65" t="str">
        <f ca="1">IF(NOT(ISNUMBER(IFERROR(INDEX('[1]#REF'!$V$17:'[1]#REF'!$Z$17,1,MATCH(Brand_Profile!$F$11,Lookup_Lists!$F$6:$F$10,0)),""))),"N/A",MIN(100,ROUND((IFERROR(INDEX('[1]#REF'!$V$17:'[1]#REF'!$Z$17,1,MATCH(Brand_Profile!$F$11,Lookup_Lists!$F$6:$F$10,0)),"")+0.5*IF(ISNUMBER(IFERROR(INDEX('[1]#REF'!$V$17:'[1]#REF'!$Z$17,1,MATCH(Brand_Profile!$F$12,Lookup_Lists!$F$6:$F$10,0)),"")),IFERROR(INDEX('[1]#REF'!$V$17:'[1]#REF'!$Z$17,1,MATCH(Brand_Profile!$F$12,Lookup_Lists!$F$6:$F$10,0)),""),0))/Lookup_Lists!$D$142*100,0)))</f>
        <v>N/A</v>
      </c>
      <c r="P41" s="65" t="str">
        <f>IF(Brand_Profile!$F$13="Any",100,IF(NOT(ISNUMBER('[1]#REF'!$AA$17)),"N/A",IF(Brand_Profile!$F$13="Female",MIN(100,ROUND('[1]#REF'!$AA$17/Lookup_Lists!$D$143*100,0)),IF(Brand_Profile!$F$13="Male",MIN(100,ROUND(IF(ISNUMBER('[1]#REF'!$AB$17),'[1]#REF'!$AB$17,100-'[1]#REF'!$AA$17)/Lookup_Lists!$D$143*100,0)),MAX(0,ROUND(100-ABS('[1]#REF'!$AA$17-50)*2,0))))))</f>
        <v>N/A</v>
      </c>
      <c r="Q41" s="65" t="str">
        <f>IF((IF(ISNUMBER(IF(NOT(ISNUMBER('[1]#REF'!$AE$17)),"N/A",IF('[1]#REF'!$AD$17&lt;&gt;Brand_Profile!$F$14,Lookup_Lists!$D$151,MIN(100,ROUND('[1]#REF'!$AE$17/Lookup_Lists!$D$316*100,0))))),Lookup_Lists!$D$118,0)+IF(ISNUMBER(IF(NOT(ISNUMBER('[1]#REF'!$AM$17)),"N/A",MIN(100,ROUND((IF('[1]#REF'!$AG$17=Brand_Profile!$F$15,IF(ISNUMBER('[1]#REF'!$AH$17),'[1]#REF'!$AH$17,0),0)+IF('[1]#REF'!$AI$17=Brand_Profile!$F$15,IF(ISNUMBER('[1]#REF'!$AJ$17),'[1]#REF'!$AJ$17,0),0)+IF('[1]#REF'!$AK$17=Brand_Profile!$F$15,IF(ISNUMBER('[1]#REF'!$AL$17),'[1]#REF'!$AL$17,0),0))/Lookup_Lists!$D$317*100,0)))),Lookup_Lists!$D$120,0))=0,"N/A",ROUND((IF(ISNUMBER(IF(NOT(ISNUMBER('[1]#REF'!$AE$17)),"N/A",IF('[1]#REF'!$AD$17&lt;&gt;Brand_Profile!$F$14,Lookup_Lists!$D$151,MIN(100,ROUND('[1]#REF'!$AE$17/Lookup_Lists!$D$316*100,0))))),IF(NOT(ISNUMBER('[1]#REF'!$AE$17)),"N/A",IF('[1]#REF'!$AD$17&lt;&gt;Brand_Profile!$F$14,Lookup_Lists!$D$151,MIN(100,ROUND('[1]#REF'!$AE$17/Lookup_Lists!$D$316*100,0))))*Lookup_Lists!$D$118,0)+IF(ISNUMBER(IF(NOT(ISNUMBER('[1]#REF'!$AM$17)),"N/A",MIN(100,ROUND((IF('[1]#REF'!$AG$17=Brand_Profile!$F$15,IF(ISNUMBER('[1]#REF'!$AH$17),'[1]#REF'!$AH$17,0),0)+IF('[1]#REF'!$AI$17=Brand_Profile!$F$15,IF(ISNUMBER('[1]#REF'!$AJ$17),'[1]#REF'!$AJ$17,0),0)+IF('[1]#REF'!$AK$17=Brand_Profile!$F$15,IF(ISNUMBER('[1]#REF'!$AL$17),'[1]#REF'!$AL$17,0),0))/Lookup_Lists!$D$317*100,0)))),IF(NOT(ISNUMBER('[1]#REF'!$AM$17)),"N/A",MIN(100,ROUND((IF('[1]#REF'!$AG$17=Brand_Profile!$F$15,IF(ISNUMBER('[1]#REF'!$AH$17),'[1]#REF'!$AH$17,0),0)+IF('[1]#REF'!$AI$17=Brand_Profile!$F$15,IF(ISNUMBER('[1]#REF'!$AJ$17),'[1]#REF'!$AJ$17,0),0)+IF('[1]#REF'!$AK$17=Brand_Profile!$F$15,IF(ISNUMBER('[1]#REF'!$AL$17),'[1]#REF'!$AL$17,0),0))/Lookup_Lists!$D$317*100,0)))*Lookup_Lists!$D$120,0))/(IF(ISNUMBER(IF(NOT(ISNUMBER('[1]#REF'!$AE$17)),"N/A",IF('[1]#REF'!$AD$17&lt;&gt;Brand_Profile!$F$14,Lookup_Lists!$D$151,MIN(100,ROUND('[1]#REF'!$AE$17/Lookup_Lists!$D$316*100,0))))),Lookup_Lists!$D$118,0)+IF(ISNUMBER(IF(NOT(ISNUMBER('[1]#REF'!$AM$17)),"N/A",MIN(100,ROUND((IF('[1]#REF'!$AG$17=Brand_Profile!$F$15,IF(ISNUMBER('[1]#REF'!$AH$17),'[1]#REF'!$AH$17,0),0)+IF('[1]#REF'!$AI$17=Brand_Profile!$F$15,IF(ISNUMBER('[1]#REF'!$AJ$17),'[1]#REF'!$AJ$17,0),0)+IF('[1]#REF'!$AK$17=Brand_Profile!$F$15,IF(ISNUMBER('[1]#REF'!$AL$17),'[1]#REF'!$AL$17,0),0))/Lookup_Lists!$D$317*100,0)))),Lookup_Lists!$D$120,0)),0))</f>
        <v>N/A</v>
      </c>
      <c r="R41" s="65" t="str">
        <f>IF(NOT(ISNUMBER('[1]#REF'!$AN$17)),"N/A",MIN(100,ROUND((IF(ISNUMBER('[1]#REF'!$AO$17),'[1]#REF'!$AO$17*Brand_Profile!$F$17,0)+IF(ISNUMBER('[1]#REF'!$AP$17),'[1]#REF'!$AP$17*Brand_Profile!$F$18,0)+IF(ISNUMBER('[1]#REF'!$AQ$17),'[1]#REF'!$AQ$17*Brand_Profile!$F$19,0)+IF(ISNUMBER('[1]#REF'!$AR$17),'[1]#REF'!$AR$17*Brand_Profile!$F$20,0)+IF(ISNUMBER('[1]#REF'!$AS$17),'[1]#REF'!$AS$17*Brand_Profile!$F$21,0)+IF(ISNUMBER('[1]#REF'!$AT$17),'[1]#REF'!$AT$17*Brand_Profile!$F$22,0)+IF(ISNUMBER('[1]#REF'!$AU$17),'[1]#REF'!$AU$17*Brand_Profile!$F$23,0)+IF(ISNUMBER('[1]#REF'!$AV$17),'[1]#REF'!$AV$17*Brand_Profile!$F$24,0)+IF(ISNUMBER('[1]#REF'!$AW$17),'[1]#REF'!$AW$17*Brand_Profile!$F$25,0)+IF(ISNUMBER('[1]#REF'!$AX$17),'[1]#REF'!$AX$17*Brand_Profile!$F$26,0)+IF(ISNUMBER('[1]#REF'!$AY$17),'[1]#REF'!$AY$17*Brand_Profile!$F$27,0)+IF(ISNUMBER('[1]#REF'!$AZ$17),'[1]#REF'!$AZ$17*Brand_Profile!$F$28,0)+IF(ISNUMBER('[1]#REF'!$BA$17),'[1]#REF'!$BA$17*Brand_Profile!$F$29,0)+IF(ISNUMBER('[1]#REF'!$BB$17),'[1]#REF'!$BB$17*Brand_Profile!$F$30,0)+IF(ISNUMBER('[1]#REF'!$BC$17),'[1]#REF'!$BC$17*Brand_Profile!$F$31,0)+IF(ISNUMBER('[1]#REF'!$BD$17),'[1]#REF'!$BD$17*Brand_Profile!$F$32,0)+IF(ISNUMBER('[1]#REF'!$BE$17),'[1]#REF'!$BE$17*Brand_Profile!$F$33,0)+IF(ISNUMBER('[1]#REF'!$BF$17),'[1]#REF'!$BF$17*Brand_Profile!$F$34,0))/Lookup_Lists!$D$318*100,0)))</f>
        <v>N/A</v>
      </c>
      <c r="S41" s="63">
        <f ca="1">IF((IF(ISNUMBER(Matching_Engine!$O$41),Lookup_Lists!$D$113,0)+IF(ISNUMBER(Matching_Engine!$P$41),Lookup_Lists!$D$114,0)+IF(ISNUMBER(Matching_Engine!$Q$41),Lookup_Lists!$D$115,0)+IF(ISNUMBER(Matching_Engine!$R$41),Lookup_Lists!$D$116,0))=0,"N/A",ROUND((IF(ISNUMBER(Matching_Engine!$O$41),Matching_Engine!$O$41*Lookup_Lists!$D$113,0)+IF(ISNUMBER(Matching_Engine!$P$41),Matching_Engine!$P$41*Lookup_Lists!$D$114,0)+IF(ISNUMBER(Matching_Engine!$Q$41),Matching_Engine!$Q$41*Lookup_Lists!$D$115,0)+IF(ISNUMBER(Matching_Engine!$R$41),Matching_Engine!$R$41*Lookup_Lists!$D$116,0))/(IF(ISNUMBER(Matching_Engine!$O$41),Lookup_Lists!$D$113,0)+IF(ISNUMBER(Matching_Engine!$P$41),Lookup_Lists!$D$114,0)+IF(ISNUMBER(Matching_Engine!$Q$41),Lookup_Lists!$D$115,0)+IF(ISNUMBER(Matching_Engine!$R$41),Lookup_Lists!$D$116,0)),0))</f>
        <v>64</v>
      </c>
      <c r="T41" s="42">
        <f ca="1">IF(ISNUMBER(Matching_Engine!$S$41),1,0)</f>
        <v>1</v>
      </c>
      <c r="U41" s="65" t="e">
        <f>IF(NOT(AND(ISTEXT('[1]#REF'!$M$17),'[1]#REF'!$M$17&lt;&gt;"N/A")),Lookup_Lists!$D$150,IF(Brand_Profile!$F$7='[1]#REF'!$M$17,100,IFERROR(INDEX(Lookup_Lists!$B$349:$J$357,MATCH(Brand_Profile!$F$7,Lookup_Lists!$A$349:$A$357,0),MATCH('[1]#REF'!$M$17,Lookup_Lists!$B$348:$J$348,0)),Lookup_Lists!$D$151)))</f>
        <v>#REF!</v>
      </c>
      <c r="V41" s="65" t="e">
        <f>IF(NOT(AND(ISTEXT('[1]#REF'!$P$17),'[1]#REF'!$P$17&lt;&gt;"N/A")),"N/A",IFERROR(INDEX(Lookup_Lists!$B$349:$J$357,MATCH(Brand_Profile!$F$7,Lookup_Lists!$A$349:$A$357,0),MATCH('[1]#REF'!$P$17,Lookup_Lists!$B$348:$J$348,0)),Lookup_Lists!$D$151))</f>
        <v>#REF!</v>
      </c>
      <c r="W41" s="65" t="e">
        <f>IF(LEN(TRIM(SUBSTITUTE(Matching_Engine!$BE$41,"|","")))=0,"N/A",IF(Brand_Profile!$F$60=0,Lookup_Lists!$D$150,ROUND((IF(Brand_Profile!$F$54="",0,IF(ISNUMBER(SEARCH(Brand_Profile!$F$54,Matching_Engine!$BE$41)),1,0))+IF(Brand_Profile!$F$55="",0,IF(ISNUMBER(SEARCH(Brand_Profile!$F$55,Matching_Engine!$BE$41)),1,0))+IF(Brand_Profile!$F$56="",0,IF(ISNUMBER(SEARCH(Brand_Profile!$F$56,Matching_Engine!$BE$41)),1,0))+IF(Brand_Profile!$F$57="",0,IF(ISNUMBER(SEARCH(Brand_Profile!$F$57,Matching_Engine!$BE$41)),1,0))+IF(Brand_Profile!$F$58="",0,IF(ISNUMBER(SEARCH(Brand_Profile!$F$58,Matching_Engine!$BE$41)),1,0))+IF(Brand_Profile!$F$59="",0,IF(ISNUMBER(SEARCH(Brand_Profile!$F$59,Matching_Engine!$BE$41)),1,0)))/Brand_Profile!$F$60*100,0)))</f>
        <v>#VALUE!</v>
      </c>
      <c r="X41" s="65" t="e">
        <f>IF(NOT(AND(ISTEXT('[1]#REF'!$Q$17),'[1]#REF'!$Q$17&lt;&gt;"N/A")),"N/A",Lookup_Lists!$D$150)</f>
        <v>#REF!</v>
      </c>
      <c r="Y41" s="63">
        <f>IF((IF(ISNUMBER(Matching_Engine!$U$41),Lookup_Lists!$D$335,0)+IF(ISNUMBER(Matching_Engine!$V$41),Lookup_Lists!$D$122,0)+IF(ISNUMBER(Matching_Engine!$W$41),Lookup_Lists!$D$336,0)+IF(ISNUMBER(Matching_Engine!$X$41),Lookup_Lists!$D$124,0))=0,"N/A",ROUND((IF(ISNUMBER(Matching_Engine!$U$41),Matching_Engine!$U$41*Lookup_Lists!$D$335,0)+IF(ISNUMBER(Matching_Engine!$V$41),Matching_Engine!$V$41*Lookup_Lists!$D$122,0)+IF(ISNUMBER(Matching_Engine!$W$41),Matching_Engine!$W$41*Lookup_Lists!$D$336,0)+IF(ISNUMBER(Matching_Engine!$X$41),Matching_Engine!$X$41*Lookup_Lists!$D$124,0))/(IF(ISNUMBER(Matching_Engine!$U$41),Lookup_Lists!$D$335,0)+IF(ISNUMBER(Matching_Engine!$V$41),Lookup_Lists!$D$122,0)+IF(ISNUMBER(Matching_Engine!$W$41),Lookup_Lists!$D$336,0)+IF(ISNUMBER(Matching_Engine!$X$41),Lookup_Lists!$D$124,0)),0))</f>
        <v>34</v>
      </c>
      <c r="Z41" s="42">
        <f>IF(ISNUMBER(Matching_Engine!$Y$41),1,0)</f>
        <v>1</v>
      </c>
      <c r="AA41" s="65" t="e">
        <f>IF(NOT(AND(ISTEXT('[1]#REF'!$Q$17),'[1]#REF'!$Q$17&lt;&gt;"N/A")),"N/A",Lookup_Lists!$D$150)</f>
        <v>#REF!</v>
      </c>
      <c r="AB41" s="65" t="e">
        <f>IF(NOT(AND(ISTEXT('[1]#REF'!$Q$17),'[1]#REF'!$Q$17&lt;&gt;"N/A")),"N/A",Lookup_Lists!$D$150)</f>
        <v>#REF!</v>
      </c>
      <c r="AC41" s="65" t="str">
        <f t="shared" si="0"/>
        <v>N/A</v>
      </c>
      <c r="AD41" s="65" t="e">
        <f>IF(NOT(AND(ISTEXT('[1]#REF'!$Q$17),'[1]#REF'!$Q$17&lt;&gt;"N/A")),"N/A",Lookup_Lists!$D$150)</f>
        <v>#REF!</v>
      </c>
      <c r="AE41" s="63">
        <f>IF((IF(ISNUMBER(Matching_Engine!$AA$41),Lookup_Lists!$D$125,0)+IF(ISNUMBER(Matching_Engine!$AB$41),Lookup_Lists!$D$126,0)+IF(ISNUMBER(Matching_Engine!$AC$41),Lookup_Lists!$D$127,0)+IF(ISNUMBER(Matching_Engine!$AD$41),Lookup_Lists!$D$128,0))=0,"N/A",ROUND((IF(ISNUMBER(Matching_Engine!$AA$41),Matching_Engine!$AA$41*Lookup_Lists!$D$125,0)+IF(ISNUMBER(Matching_Engine!$AB$41),Matching_Engine!$AB$41*Lookup_Lists!$D$126,0)+IF(ISNUMBER(Matching_Engine!$AC$41),Matching_Engine!$AC$41*Lookup_Lists!$D$127,0)+IF(ISNUMBER(Matching_Engine!$AD$41),Matching_Engine!$AD$41*Lookup_Lists!$D$128,0))/(IF(ISNUMBER(Matching_Engine!$AA$41),Lookup_Lists!$D$125,0)+IF(ISNUMBER(Matching_Engine!$AB$41),Lookup_Lists!$D$126,0)+IF(ISNUMBER(Matching_Engine!$AC$41),Lookup_Lists!$D$127,0)+IF(ISNUMBER(Matching_Engine!$AD$41),Lookup_Lists!$D$128,0)),0))</f>
        <v>49</v>
      </c>
      <c r="AF41" s="42">
        <f>IF(ISNUMBER(Matching_Engine!$AE$41),1,0)</f>
        <v>1</v>
      </c>
      <c r="AG41" s="65" t="str">
        <f>IF(NOT(ISNUMBER('[1]#REF'!$BG$17)),"N/A",MIN(100,ROUND('[1]#REF'!$BG$17/IFERROR(INDEX(Lookup_Lists!$B$340:$B$344,MATCH('[1]#REF'!$H$17,Lookup_Lists!$A$340:$A$344,0)),Lookup_Lists!$D$141)*100,0)))</f>
        <v>N/A</v>
      </c>
      <c r="AH41" s="65" t="str">
        <f>IF(NOT(ISNUMBER('[1]#REF'!$BS$17)),"N/A",MIN(100,MAX(0,'[1]#REF'!$BS$17)))</f>
        <v>N/A</v>
      </c>
      <c r="AI41" s="65" t="e">
        <f>IF(OR(NOT(ISNUMBER('[1]#REF'!$BM$17)),NOT(ISNUMBER('[1]#REF'!$BN$17)),'[1]#REF'!$BN$17&lt;Lookup_Lists!$D$320),"N/A",MIN(100,ROUND('[1]#REF'!$BM$17/Lookup_Lists!$D$319*100,0)))</f>
        <v>#REF!</v>
      </c>
      <c r="AJ41" s="65" t="str">
        <f>IF(NOT(ISNUMBER('[1]#REF'!$BR$17)),"N/A",'[1]#REF'!$BR$17)</f>
        <v>N/A</v>
      </c>
      <c r="AK41" s="65" t="str">
        <f>IF(NOT(ISNUMBER('[1]#REF'!$BK$17)),"N/A",MIN(100,ROUND('[1]#REF'!$BK$17/Lookup_Lists!$D$321*100,0)))</f>
        <v>N/A</v>
      </c>
      <c r="AL41" s="65" t="str">
        <f>IF(NOT(ISNUMBER('[1]#REF'!$BP$17)),"N/A",MIN(100,MAX(0,ROUND(('[1]#REF'!$BP$17+2)/(Lookup_Lists!$D$145+2)*100,0))))</f>
        <v>N/A</v>
      </c>
      <c r="AM41" s="63">
        <f>IF((IF(ISNUMBER(Matching_Engine!$AG$41),Lookup_Lists!$D$129,0)+IF(ISNUMBER(Matching_Engine!$AH$41),Lookup_Lists!$D$130,0)+IF(ISNUMBER(Matching_Engine!$AI$41),Lookup_Lists!$D$131,0)+IF(ISNUMBER(Matching_Engine!$AJ$41),Lookup_Lists!$D$132,0)+IF(ISNUMBER(Matching_Engine!$AK$41),Lookup_Lists!$D$133,0)+IF(ISNUMBER(Matching_Engine!$AL$41),Lookup_Lists!$D$134,0))=0,"N/A",ROUND((IF(ISNUMBER(Matching_Engine!$AG$41),Matching_Engine!$AG$41*Lookup_Lists!$D$129,0)+IF(ISNUMBER(Matching_Engine!$AH$41),Matching_Engine!$AH$41*Lookup_Lists!$D$130,0)+IF(ISNUMBER(Matching_Engine!$AI$41),Matching_Engine!$AI$41*Lookup_Lists!$D$131,0)+IF(ISNUMBER(Matching_Engine!$AJ$41),Matching_Engine!$AJ$41*Lookup_Lists!$D$132,0)+IF(ISNUMBER(Matching_Engine!$AK$41),Matching_Engine!$AK$41*Lookup_Lists!$D$133,0)+IF(ISNUMBER(Matching_Engine!$AL$41),Matching_Engine!$AL$41*Lookup_Lists!$D$134,0))/(IF(ISNUMBER(Matching_Engine!$AG$41),Lookup_Lists!$D$129,0)+IF(ISNUMBER(Matching_Engine!$AH$41),Lookup_Lists!$D$130,0)+IF(ISNUMBER(Matching_Engine!$AI$41),Lookup_Lists!$D$131,0)+IF(ISNUMBER(Matching_Engine!$AJ$41),Lookup_Lists!$D$132,0)+IF(ISNUMBER(Matching_Engine!$AK$41),Lookup_Lists!$D$133,0)+IF(ISNUMBER(Matching_Engine!$AL$41),Lookup_Lists!$D$134,0)),0))</f>
        <v>65</v>
      </c>
      <c r="AN41" s="42">
        <f>IF(ISNUMBER(Matching_Engine!$AM$41),1,0)</f>
        <v>0</v>
      </c>
      <c r="AO41" s="65" t="str">
        <f>IF(NOT(ISNUMBER('[1]#REF'!$BT$17)),"N/A",MIN(100,MAX(0,'[1]#REF'!$BT$17)))</f>
        <v>N/A</v>
      </c>
      <c r="AP41" s="65" t="str">
        <f>IF(NOT(ISNUMBER('[1]#REF'!$BU$17)),"N/A",MIN(100,MAX(0,'[1]#REF'!$BU$17)))</f>
        <v>N/A</v>
      </c>
      <c r="AQ41" s="65" t="e">
        <f>IF('[1]#REF'!$I$17="Yes",Lookup_Lists!$D$326,IF('[1]#REF'!$I$17="No",Lookup_Lists!$D$327,"N/A"))</f>
        <v>#REF!</v>
      </c>
      <c r="AR41" s="65" t="str">
        <f>IF(NOT(ISNUMBER('[1]#REF'!$BQ$17)),"N/A",MAX(0,ROUND(100-'[1]#REF'!$BQ$17/Lookup_Lists!$D$328*100,0)))</f>
        <v>N/A</v>
      </c>
      <c r="AS41" s="65" t="e">
        <f>IF(NOT(AND(ISTEXT('[1]#REF'!$BV$17),'[1]#REF'!$BV$17&lt;&gt;"N/A")),"N/A",'[1]#REF'!$BV$17)</f>
        <v>#REF!</v>
      </c>
      <c r="AT41" s="63" t="str">
        <f ca="1">IF((IF(ISNUMBER(Matching_Engine!$AO$41),Lookup_Lists!$D$322,0)+IF(ISNUMBER(Matching_Engine!$AP$41),Lookup_Lists!$D$323,0)+IF(ISNUMBER(Matching_Engine!$AQ$41),Lookup_Lists!$D$324,0)+IF(ISNUMBER(Matching_Engine!$AR$41),Lookup_Lists!$D$325,0))=0,"N/A",ROUND((IF(ISNUMBER(Matching_Engine!$AO$41),Matching_Engine!$AO$41*Lookup_Lists!$D$322,0)+IF(ISNUMBER(Matching_Engine!$AP$41),Matching_Engine!$AP$41*Lookup_Lists!$D$323,0)+IF(ISNUMBER(Matching_Engine!$AQ$41),Matching_Engine!$AQ$41*Lookup_Lists!$D$324,0)+IF(ISNUMBER(Matching_Engine!$AR$41),Matching_Engine!$AR$41*Lookup_Lists!$D$325,0))/(IF(ISNUMBER(Matching_Engine!$AO$41),Lookup_Lists!$D$322,0)+IF(ISNUMBER(Matching_Engine!$AP$41),Lookup_Lists!$D$323,0)+IF(ISNUMBER(Matching_Engine!$AQ$41),Lookup_Lists!$D$324,0)+IF(ISNUMBER(Matching_Engine!$AR$41),Lookup_Lists!$D$325,0)),0))</f>
        <v>N/A</v>
      </c>
      <c r="AU41" s="42">
        <f>IF(ISNUMBER(Matching_Engine!$AT$41),1,0)</f>
        <v>1</v>
      </c>
      <c r="AV41" s="42" t="str">
        <f>IF(NOT(ISNUMBER(Matching_Engine!$AT$41)),"Not Screened",IF(Matching_Engine!$AT$41&gt;=Lookup_Lists!$D$329,"Low Risk",IF(Matching_Engine!$AT$41&gt;=Lookup_Lists!$D$330,"Moderate Risk",IF(Matching_Engine!$AT$41&gt;=Lookup_Lists!$D$331,"Elevated Risk","High Risk"))))</f>
        <v>Low Risk</v>
      </c>
      <c r="AW41" s="42" t="e">
        <f ca="1">IF(NOT(ISNUMBER(Matching_Engine!$AT$41)),"No integrity signal: no audience-analysis row for this account.","Integrity screen only — no content-risk reading exists (comments_analysis: 0 rows). "&amp;IF(ISNUMBER(Matching_Engine!$AO$41),"Authenticity "&amp;Matching_Engine!$AO$41&amp;". ","Authenticity N/A. ")&amp;IF(ISNUMBER(Matching_Engine!$AP$41),"Follower quality "&amp;Matching_Engine!$AP$41&amp;". ","Follower quality N/A. ")&amp;IF('[1]#REF'!$I$17="Yes","Platform-verified.","Not platform-verified."))</f>
        <v>#REF!</v>
      </c>
      <c r="AX41" s="65">
        <f>Matching_Engine!$N$41*Lookup_Lists!$D$104+Matching_Engine!$T$41*Lookup_Lists!$D$105+Matching_Engine!$Z$41*Lookup_Lists!$D$106+Matching_Engine!$AF$41*Lookup_Lists!$D$107+Matching_Engine!$AN$41*Lookup_Lists!$D$108+Matching_Engine!$AU$41*Lookup_Lists!$D$109</f>
        <v>5139.5</v>
      </c>
      <c r="AY41" s="74" t="e">
        <f ca="1">IF(Matching_Engine!$AX$41=0,"N/A",ROUND((IF(Matching_Engine!$N$41=1,Matching_Engine!$M$41*Lookup_Lists!$D$104,0)+IF(Matching_Engine!$T$41=1,Matching_Engine!$S$41*Lookup_Lists!$D$105,0)+IF(Matching_Engine!$Z$41=1,Matching_Engine!$Y$41*Lookup_Lists!$D$106,0)+IF(Matching_Engine!$AF$41=1,Matching_Engine!$AE$41*Lookup_Lists!$D$107,0)+IF(Matching_Engine!$AN$41=1,Matching_Engine!$AM$41*Lookup_Lists!$D$108,0)+IF(Matching_Engine!$AU$41=1,Matching_Engine!$AT$41*Lookup_Lists!$D$109,0))/Matching_Engine!$AX$41,0))</f>
        <v>#VALUE!</v>
      </c>
      <c r="AZ41" s="42" t="str">
        <f ca="1">IF(NOT(ISNUMBER(Matching_Engine!$AY$41)),"Not Scored",IF(Matching_Engine!$AY$41&gt;=Lookup_Lists!$D$152,"Excellent Match",IF(Matching_Engine!$AY$41&gt;=Lookup_Lists!$D$153,"Strong Match",IF(Matching_Engine!$AY$41&gt;=Lookup_Lists!$D$154,"Good Match",IF(Matching_Engine!$AY$41&gt;=Lookup_Lists!$D$155,"Moderate Match","Low Match")))))</f>
        <v>Low Match</v>
      </c>
      <c r="BA41" s="65" t="e">
        <f>'[1]#REF'!$BW$17</f>
        <v>#REF!</v>
      </c>
      <c r="BB41" s="42" t="e">
        <f>'[1]#REF'!$BX$17</f>
        <v>#REF!</v>
      </c>
      <c r="BC41" s="65">
        <f ca="1">IF(NOT(ISNUMBER(Matching_Engine!$AY$41)),-1,Matching_Engine!$AY$41*1000+13)</f>
        <v>56013</v>
      </c>
      <c r="BD41" s="42" t="e">
        <f>IF(AND(ISTEXT('[1]#REF'!$S$17),'[1]#REF'!$S$17&lt;&gt;"N/A"),'[1]#REF'!$S$17,"")&amp;" | "&amp;IF(AND(ISTEXT('[1]#REF'!$T$17),'[1]#REF'!$T$17&lt;&gt;"N/A"),'[1]#REF'!$T$17,"")&amp;" | "&amp;IF(AND(ISTEXT('[1]#REF'!$N$17),'[1]#REF'!$N$17&lt;&gt;"N/A"),'[1]#REF'!$N$17,"")&amp;" | "&amp;IF(AND(ISTEXT('[1]#REF'!$K$17),'[1]#REF'!$K$17&lt;&gt;"N/A"),'[1]#REF'!$K$17,"")&amp;" | "&amp;IF(AND(ISTEXT('[1]#REF'!$J$17),'[1]#REF'!$J$17&lt;&gt;"N/A"),'[1]#REF'!$J$17,"")</f>
        <v>#REF!</v>
      </c>
      <c r="BE41" s="42" t="e">
        <f>IF(AND(ISTEXT('[1]#REF'!$T$17),'[1]#REF'!$T$17&lt;&gt;"N/A"),'[1]#REF'!$T$17,"")&amp;" | "&amp;IF(AND(ISTEXT('[1]#REF'!$N$17),'[1]#REF'!$N$17&lt;&gt;"N/A"),'[1]#REF'!$N$17,"")&amp;" | "&amp;IF(AND(ISTEXT('[1]#REF'!$O$17),'[1]#REF'!$O$17&lt;&gt;"N/A"),'[1]#REF'!$O$17,"")&amp;" | "&amp;IF(AND(ISTEXT('[1]#REF'!$S$17),'[1]#REF'!$S$17&lt;&gt;"N/A"),'[1]#REF'!$S$17,"")</f>
        <v>#REF!</v>
      </c>
      <c r="BF41" s="42" t="e">
        <f>IF(AND(ISTEXT('[1]#REF'!$U$17),'[1]#REF'!$U$17&lt;&gt;"N/A"),'[1]#REF'!$U$17,"")</f>
        <v>#REF!</v>
      </c>
      <c r="BG41" s="42" t="str">
        <f>Matching_Engine!$A$41&amp;"|"&amp;Matching_Engine!$C$41</f>
        <v>BRAND-B|KOL-06</v>
      </c>
    </row>
    <row r="42" spans="1:59">
      <c r="A42" s="64" t="s">
        <v>2528</v>
      </c>
      <c r="B42" s="42" t="str">
        <f>Brand_Profile!$F$6</f>
        <v>BRAND-C</v>
      </c>
      <c r="C42" s="42" t="e">
        <f>'[1]#REF'!$A$18</f>
        <v>#REF!</v>
      </c>
      <c r="D42" s="42" t="e">
        <f>'[1]#REF'!$C$18</f>
        <v>#REF!</v>
      </c>
      <c r="E42" s="42" t="e">
        <f>'[1]#REF'!$D$18</f>
        <v>#REF!</v>
      </c>
      <c r="F42" s="42" t="e">
        <f>'[1]#REF'!$E$18</f>
        <v>#REF!</v>
      </c>
      <c r="G42" s="42" t="e">
        <f>'[1]#REF'!$K$18</f>
        <v>#REF!</v>
      </c>
      <c r="H42" s="72" t="e">
        <f>'[1]#REF'!$G$18</f>
        <v>#REF!</v>
      </c>
      <c r="I42" s="73" t="e">
        <f>'[1]#REF'!$BG$18</f>
        <v>#REF!</v>
      </c>
      <c r="J42" s="65" t="e">
        <f>IF(NOT(AND(ISTEXT('[1]#REF'!$K$18),'[1]#REF'!$K$18&lt;&gt;"N/A")),Lookup_Lists!$D$150,IF(Brand_Profile!$F$7='[1]#REF'!$K$18,100,IFERROR(INDEX(Lookup_Lists!$B$349:$J$357,MATCH(Brand_Profile!$F$7,Lookup_Lists!$A$349:$A$357,0),MATCH('[1]#REF'!$K$18,Lookup_Lists!$B$348:$J$348,0)),Lookup_Lists!$D$151)))</f>
        <v>#REF!</v>
      </c>
      <c r="K42" s="65" t="e">
        <f>IF(LEN(TRIM(SUBSTITUTE(Matching_Engine!$BD$42,"|","")))=0,"N/A",IF(Brand_Profile!$F$47=0,Lookup_Lists!$D$150,ROUND((IF(Brand_Profile!$F$41="",0,IF(ISNUMBER(SEARCH(Brand_Profile!$F$41,Matching_Engine!$BD$42)),1,0))+IF(Brand_Profile!$F$42="",0,IF(ISNUMBER(SEARCH(Brand_Profile!$F$42,Matching_Engine!$BD$42)),1,0))+IF(Brand_Profile!$F$43="",0,IF(ISNUMBER(SEARCH(Brand_Profile!$F$43,Matching_Engine!$BD$42)),1,0))+IF(Brand_Profile!$F$44="",0,IF(ISNUMBER(SEARCH(Brand_Profile!$F$44,Matching_Engine!$BD$42)),1,0))+IF(Brand_Profile!$F$45="",0,IF(ISNUMBER(SEARCH(Brand_Profile!$F$45,Matching_Engine!$BD$42)),1,0))+IF(Brand_Profile!$F$46="",0,IF(ISNUMBER(SEARCH(Brand_Profile!$F$46,Matching_Engine!$BD$42)),1,0)))/Brand_Profile!$F$47*100,0)))</f>
        <v>#VALUE!</v>
      </c>
      <c r="L42" s="65" t="e">
        <f>IF(NOT(AND(ISTEXT('[1]#REF'!$U$18),'[1]#REF'!$U$18&lt;&gt;"N/A")),"N/A",IF(Brand_Profile!$F$53=0,Lookup_Lists!$D$150,ROUND((IF(Brand_Profile!$F$48="",0,IF(ISNUMBER(SEARCH(Brand_Profile!$F$48,Matching_Engine!$BF$42)),1,0))+IF(Brand_Profile!$F$49="",0,IF(ISNUMBER(SEARCH(Brand_Profile!$F$49,Matching_Engine!$BF$42)),1,0))+IF(Brand_Profile!$F$50="",0,IF(ISNUMBER(SEARCH(Brand_Profile!$F$50,Matching_Engine!$BF$42)),1,0))+IF(Brand_Profile!$F$51="",0,IF(ISNUMBER(SEARCH(Brand_Profile!$F$51,Matching_Engine!$BF$42)),1,0))+IF(Brand_Profile!$F$52="",0,IF(ISNUMBER(SEARCH(Brand_Profile!$F$52,Matching_Engine!$BF$42)),1,0)))/Brand_Profile!$F$53*100,0)))</f>
        <v>#REF!</v>
      </c>
      <c r="M42" s="63" t="str">
        <f>IF((IF(ISNUMBER(Matching_Engine!$J$42),Lookup_Lists!$D$332,0)+IF(ISNUMBER(Matching_Engine!$K$42),Lookup_Lists!$D$333,0)+IF(ISNUMBER(Matching_Engine!$L$42),Lookup_Lists!$D$334,0))=0,"N/A",ROUND((IF(ISNUMBER(Matching_Engine!$J$42),Matching_Engine!$J$42*Lookup_Lists!$D$332,0)+IF(ISNUMBER(Matching_Engine!$K$42),Matching_Engine!$K$42*Lookup_Lists!$D$333,0)+IF(ISNUMBER(Matching_Engine!$L$42),Matching_Engine!$L$42*Lookup_Lists!$D$334,0))/(IF(ISNUMBER(Matching_Engine!$J$42),Lookup_Lists!$D$332,0)+IF(ISNUMBER(Matching_Engine!$K$42),Lookup_Lists!$D$333,0)+IF(ISNUMBER(Matching_Engine!$L$42),Lookup_Lists!$D$334,0)),0))</f>
        <v>N/A</v>
      </c>
      <c r="N42" s="42">
        <f>IF(ISNUMBER(Matching_Engine!$M$42),1,0)</f>
        <v>1</v>
      </c>
      <c r="O42" s="65" t="str">
        <f ca="1">IF(NOT(ISNUMBER(IFERROR(INDEX('[1]#REF'!$V$18:'[1]#REF'!$Z$18,1,MATCH(Brand_Profile!$F$11,Lookup_Lists!$F$6:$F$10,0)),""))),"N/A",MIN(100,ROUND((IFERROR(INDEX('[1]#REF'!$V$18:'[1]#REF'!$Z$18,1,MATCH(Brand_Profile!$F$11,Lookup_Lists!$F$6:$F$10,0)),"")+0.5*IF(ISNUMBER(IFERROR(INDEX('[1]#REF'!$V$18:'[1]#REF'!$Z$18,1,MATCH(Brand_Profile!$F$12,Lookup_Lists!$F$6:$F$10,0)),"")),IFERROR(INDEX('[1]#REF'!$V$18:'[1]#REF'!$Z$18,1,MATCH(Brand_Profile!$F$12,Lookup_Lists!$F$6:$F$10,0)),""),0))/Lookup_Lists!$D$142*100,0)))</f>
        <v>N/A</v>
      </c>
      <c r="P42" s="65" t="str">
        <f>IF(Brand_Profile!$F$13="Any",100,IF(NOT(ISNUMBER('[1]#REF'!$AA$18)),"N/A",IF(Brand_Profile!$F$13="Female",MIN(100,ROUND('[1]#REF'!$AA$18/Lookup_Lists!$D$143*100,0)),IF(Brand_Profile!$F$13="Male",MIN(100,ROUND(IF(ISNUMBER('[1]#REF'!$AB$18),'[1]#REF'!$AB$18,100-'[1]#REF'!$AA$18)/Lookup_Lists!$D$143*100,0)),MAX(0,ROUND(100-ABS('[1]#REF'!$AA$18-50)*2,0))))))</f>
        <v>N/A</v>
      </c>
      <c r="Q42" s="65" t="str">
        <f>IF((IF(ISNUMBER(IF(NOT(ISNUMBER('[1]#REF'!$AE$18)),"N/A",IF('[1]#REF'!$AD$18&lt;&gt;Brand_Profile!$F$14,Lookup_Lists!$D$151,MIN(100,ROUND('[1]#REF'!$AE$18/Lookup_Lists!$D$316*100,0))))),Lookup_Lists!$D$118,0)+IF(ISNUMBER(IF(NOT(ISNUMBER('[1]#REF'!$AM$18)),"N/A",MIN(100,ROUND((IF('[1]#REF'!$AG$18=Brand_Profile!$F$15,IF(ISNUMBER('[1]#REF'!$AH$18),'[1]#REF'!$AH$18,0),0)+IF('[1]#REF'!$AI$18=Brand_Profile!$F$15,IF(ISNUMBER('[1]#REF'!$AJ$18),'[1]#REF'!$AJ$18,0),0)+IF('[1]#REF'!$AK$18=Brand_Profile!$F$15,IF(ISNUMBER('[1]#REF'!$AL$18),'[1]#REF'!$AL$18,0),0))/Lookup_Lists!$D$317*100,0)))),Lookup_Lists!$D$120,0))=0,"N/A",ROUND((IF(ISNUMBER(IF(NOT(ISNUMBER('[1]#REF'!$AE$18)),"N/A",IF('[1]#REF'!$AD$18&lt;&gt;Brand_Profile!$F$14,Lookup_Lists!$D$151,MIN(100,ROUND('[1]#REF'!$AE$18/Lookup_Lists!$D$316*100,0))))),IF(NOT(ISNUMBER('[1]#REF'!$AE$18)),"N/A",IF('[1]#REF'!$AD$18&lt;&gt;Brand_Profile!$F$14,Lookup_Lists!$D$151,MIN(100,ROUND('[1]#REF'!$AE$18/Lookup_Lists!$D$316*100,0))))*Lookup_Lists!$D$118,0)+IF(ISNUMBER(IF(NOT(ISNUMBER('[1]#REF'!$AM$18)),"N/A",MIN(100,ROUND((IF('[1]#REF'!$AG$18=Brand_Profile!$F$15,IF(ISNUMBER('[1]#REF'!$AH$18),'[1]#REF'!$AH$18,0),0)+IF('[1]#REF'!$AI$18=Brand_Profile!$F$15,IF(ISNUMBER('[1]#REF'!$AJ$18),'[1]#REF'!$AJ$18,0),0)+IF('[1]#REF'!$AK$18=Brand_Profile!$F$15,IF(ISNUMBER('[1]#REF'!$AL$18),'[1]#REF'!$AL$18,0),0))/Lookup_Lists!$D$317*100,0)))),IF(NOT(ISNUMBER('[1]#REF'!$AM$18)),"N/A",MIN(100,ROUND((IF('[1]#REF'!$AG$18=Brand_Profile!$F$15,IF(ISNUMBER('[1]#REF'!$AH$18),'[1]#REF'!$AH$18,0),0)+IF('[1]#REF'!$AI$18=Brand_Profile!$F$15,IF(ISNUMBER('[1]#REF'!$AJ$18),'[1]#REF'!$AJ$18,0),0)+IF('[1]#REF'!$AK$18=Brand_Profile!$F$15,IF(ISNUMBER('[1]#REF'!$AL$18),'[1]#REF'!$AL$18,0),0))/Lookup_Lists!$D$317*100,0)))*Lookup_Lists!$D$120,0))/(IF(ISNUMBER(IF(NOT(ISNUMBER('[1]#REF'!$AE$18)),"N/A",IF('[1]#REF'!$AD$18&lt;&gt;Brand_Profile!$F$14,Lookup_Lists!$D$151,MIN(100,ROUND('[1]#REF'!$AE$18/Lookup_Lists!$D$316*100,0))))),Lookup_Lists!$D$118,0)+IF(ISNUMBER(IF(NOT(ISNUMBER('[1]#REF'!$AM$18)),"N/A",MIN(100,ROUND((IF('[1]#REF'!$AG$18=Brand_Profile!$F$15,IF(ISNUMBER('[1]#REF'!$AH$18),'[1]#REF'!$AH$18,0),0)+IF('[1]#REF'!$AI$18=Brand_Profile!$F$15,IF(ISNUMBER('[1]#REF'!$AJ$18),'[1]#REF'!$AJ$18,0),0)+IF('[1]#REF'!$AK$18=Brand_Profile!$F$15,IF(ISNUMBER('[1]#REF'!$AL$18),'[1]#REF'!$AL$18,0),0))/Lookup_Lists!$D$317*100,0)))),Lookup_Lists!$D$120,0)),0))</f>
        <v>N/A</v>
      </c>
      <c r="R42" s="65" t="str">
        <f>IF(NOT(ISNUMBER('[1]#REF'!$AN$18)),"N/A",MIN(100,ROUND((IF(ISNUMBER('[1]#REF'!$AO$18),'[1]#REF'!$AO$18*Brand_Profile!$F$17,0)+IF(ISNUMBER('[1]#REF'!$AP$18),'[1]#REF'!$AP$18*Brand_Profile!$F$18,0)+IF(ISNUMBER('[1]#REF'!$AQ$18),'[1]#REF'!$AQ$18*Brand_Profile!$F$19,0)+IF(ISNUMBER('[1]#REF'!$AR$18),'[1]#REF'!$AR$18*Brand_Profile!$F$20,0)+IF(ISNUMBER('[1]#REF'!$AS$18),'[1]#REF'!$AS$18*Brand_Profile!$F$21,0)+IF(ISNUMBER('[1]#REF'!$AT$18),'[1]#REF'!$AT$18*Brand_Profile!$F$22,0)+IF(ISNUMBER('[1]#REF'!$AU$18),'[1]#REF'!$AU$18*Brand_Profile!$F$23,0)+IF(ISNUMBER('[1]#REF'!$AV$18),'[1]#REF'!$AV$18*Brand_Profile!$F$24,0)+IF(ISNUMBER('[1]#REF'!$AW$18),'[1]#REF'!$AW$18*Brand_Profile!$F$25,0)+IF(ISNUMBER('[1]#REF'!$AX$18),'[1]#REF'!$AX$18*Brand_Profile!$F$26,0)+IF(ISNUMBER('[1]#REF'!$AY$18),'[1]#REF'!$AY$18*Brand_Profile!$F$27,0)+IF(ISNUMBER('[1]#REF'!$AZ$18),'[1]#REF'!$AZ$18*Brand_Profile!$F$28,0)+IF(ISNUMBER('[1]#REF'!$BA$18),'[1]#REF'!$BA$18*Brand_Profile!$F$29,0)+IF(ISNUMBER('[1]#REF'!$BB$18),'[1]#REF'!$BB$18*Brand_Profile!$F$30,0)+IF(ISNUMBER('[1]#REF'!$BC$18),'[1]#REF'!$BC$18*Brand_Profile!$F$31,0)+IF(ISNUMBER('[1]#REF'!$BD$18),'[1]#REF'!$BD$18*Brand_Profile!$F$32,0)+IF(ISNUMBER('[1]#REF'!$BE$18),'[1]#REF'!$BE$18*Brand_Profile!$F$33,0)+IF(ISNUMBER('[1]#REF'!$BF$18),'[1]#REF'!$BF$18*Brand_Profile!$F$34,0))/Lookup_Lists!$D$318*100,0)))</f>
        <v>N/A</v>
      </c>
      <c r="S42" s="63">
        <f ca="1">IF((IF(ISNUMBER(Matching_Engine!$O$42),Lookup_Lists!$D$113,0)+IF(ISNUMBER(Matching_Engine!$P$42),Lookup_Lists!$D$114,0)+IF(ISNUMBER(Matching_Engine!$Q$42),Lookup_Lists!$D$115,0)+IF(ISNUMBER(Matching_Engine!$R$42),Lookup_Lists!$D$116,0))=0,"N/A",ROUND((IF(ISNUMBER(Matching_Engine!$O$42),Matching_Engine!$O$42*Lookup_Lists!$D$113,0)+IF(ISNUMBER(Matching_Engine!$P$42),Matching_Engine!$P$42*Lookup_Lists!$D$114,0)+IF(ISNUMBER(Matching_Engine!$Q$42),Matching_Engine!$Q$42*Lookup_Lists!$D$115,0)+IF(ISNUMBER(Matching_Engine!$R$42),Matching_Engine!$R$42*Lookup_Lists!$D$116,0))/(IF(ISNUMBER(Matching_Engine!$O$42),Lookup_Lists!$D$113,0)+IF(ISNUMBER(Matching_Engine!$P$42),Lookup_Lists!$D$114,0)+IF(ISNUMBER(Matching_Engine!$Q$42),Lookup_Lists!$D$115,0)+IF(ISNUMBER(Matching_Engine!$R$42),Lookup_Lists!$D$116,0)),0))</f>
        <v>59</v>
      </c>
      <c r="T42" s="42">
        <f ca="1">IF(ISNUMBER(Matching_Engine!$S$42),1,0)</f>
        <v>1</v>
      </c>
      <c r="U42" s="65" t="e">
        <f>IF(NOT(AND(ISTEXT('[1]#REF'!$M$18),'[1]#REF'!$M$18&lt;&gt;"N/A")),Lookup_Lists!$D$150,IF(Brand_Profile!$F$7='[1]#REF'!$M$18,100,IFERROR(INDEX(Lookup_Lists!$B$349:$J$357,MATCH(Brand_Profile!$F$7,Lookup_Lists!$A$349:$A$357,0),MATCH('[1]#REF'!$M$18,Lookup_Lists!$B$348:$J$348,0)),Lookup_Lists!$D$151)))</f>
        <v>#REF!</v>
      </c>
      <c r="V42" s="65" t="e">
        <f>IF(NOT(AND(ISTEXT('[1]#REF'!$P$18),'[1]#REF'!$P$18&lt;&gt;"N/A")),"N/A",IFERROR(INDEX(Lookup_Lists!$B$349:$J$357,MATCH(Brand_Profile!$F$7,Lookup_Lists!$A$349:$A$357,0),MATCH('[1]#REF'!$P$18,Lookup_Lists!$B$348:$J$348,0)),Lookup_Lists!$D$151))</f>
        <v>#REF!</v>
      </c>
      <c r="W42" s="65" t="e">
        <f>IF(LEN(TRIM(SUBSTITUTE(Matching_Engine!$BE$42,"|","")))=0,"N/A",IF(Brand_Profile!$F$60=0,Lookup_Lists!$D$150,ROUND((IF(Brand_Profile!$F$54="",0,IF(ISNUMBER(SEARCH(Brand_Profile!$F$54,Matching_Engine!$BE$42)),1,0))+IF(Brand_Profile!$F$55="",0,IF(ISNUMBER(SEARCH(Brand_Profile!$F$55,Matching_Engine!$BE$42)),1,0))+IF(Brand_Profile!$F$56="",0,IF(ISNUMBER(SEARCH(Brand_Profile!$F$56,Matching_Engine!$BE$42)),1,0))+IF(Brand_Profile!$F$57="",0,IF(ISNUMBER(SEARCH(Brand_Profile!$F$57,Matching_Engine!$BE$42)),1,0))+IF(Brand_Profile!$F$58="",0,IF(ISNUMBER(SEARCH(Brand_Profile!$F$58,Matching_Engine!$BE$42)),1,0))+IF(Brand_Profile!$F$59="",0,IF(ISNUMBER(SEARCH(Brand_Profile!$F$59,Matching_Engine!$BE$42)),1,0)))/Brand_Profile!$F$60*100,0)))</f>
        <v>#VALUE!</v>
      </c>
      <c r="X42" s="65" t="e">
        <f>IF(NOT(AND(ISTEXT('[1]#REF'!$Q$18),'[1]#REF'!$Q$18&lt;&gt;"N/A")),"N/A",Lookup_Lists!$D$150)</f>
        <v>#REF!</v>
      </c>
      <c r="Y42" s="63">
        <f>IF((IF(ISNUMBER(Matching_Engine!$U$42),Lookup_Lists!$D$335,0)+IF(ISNUMBER(Matching_Engine!$V$42),Lookup_Lists!$D$122,0)+IF(ISNUMBER(Matching_Engine!$W$42),Lookup_Lists!$D$336,0)+IF(ISNUMBER(Matching_Engine!$X$42),Lookup_Lists!$D$124,0))=0,"N/A",ROUND((IF(ISNUMBER(Matching_Engine!$U$42),Matching_Engine!$U$42*Lookup_Lists!$D$335,0)+IF(ISNUMBER(Matching_Engine!$V$42),Matching_Engine!$V$42*Lookup_Lists!$D$122,0)+IF(ISNUMBER(Matching_Engine!$W$42),Matching_Engine!$W$42*Lookup_Lists!$D$336,0)+IF(ISNUMBER(Matching_Engine!$X$42),Matching_Engine!$X$42*Lookup_Lists!$D$124,0))/(IF(ISNUMBER(Matching_Engine!$U$42),Lookup_Lists!$D$335,0)+IF(ISNUMBER(Matching_Engine!$V$42),Lookup_Lists!$D$122,0)+IF(ISNUMBER(Matching_Engine!$W$42),Lookup_Lists!$D$336,0)+IF(ISNUMBER(Matching_Engine!$X$42),Lookup_Lists!$D$124,0)),0))</f>
        <v>13</v>
      </c>
      <c r="Z42" s="42">
        <f>IF(ISNUMBER(Matching_Engine!$Y$42),1,0)</f>
        <v>1</v>
      </c>
      <c r="AA42" s="65" t="e">
        <f>IF(NOT(AND(ISTEXT('[1]#REF'!$Q$18),'[1]#REF'!$Q$18&lt;&gt;"N/A")),"N/A",Lookup_Lists!$D$150)</f>
        <v>#REF!</v>
      </c>
      <c r="AB42" s="65" t="e">
        <f>IF(NOT(AND(ISTEXT('[1]#REF'!$Q$18),'[1]#REF'!$Q$18&lt;&gt;"N/A")),"N/A",Lookup_Lists!$D$150)</f>
        <v>#REF!</v>
      </c>
      <c r="AC42" s="65" t="str">
        <f t="shared" si="0"/>
        <v>N/A</v>
      </c>
      <c r="AD42" s="65" t="e">
        <f>IF(NOT(AND(ISTEXT('[1]#REF'!$Q$18),'[1]#REF'!$Q$18&lt;&gt;"N/A")),"N/A",Lookup_Lists!$D$150)</f>
        <v>#REF!</v>
      </c>
      <c r="AE42" s="63">
        <f>IF((IF(ISNUMBER(Matching_Engine!$AA$42),Lookup_Lists!$D$125,0)+IF(ISNUMBER(Matching_Engine!$AB$42),Lookup_Lists!$D$126,0)+IF(ISNUMBER(Matching_Engine!$AC$42),Lookup_Lists!$D$127,0)+IF(ISNUMBER(Matching_Engine!$AD$42),Lookup_Lists!$D$128,0))=0,"N/A",ROUND((IF(ISNUMBER(Matching_Engine!$AA$42),Matching_Engine!$AA$42*Lookup_Lists!$D$125,0)+IF(ISNUMBER(Matching_Engine!$AB$42),Matching_Engine!$AB$42*Lookup_Lists!$D$126,0)+IF(ISNUMBER(Matching_Engine!$AC$42),Matching_Engine!$AC$42*Lookup_Lists!$D$127,0)+IF(ISNUMBER(Matching_Engine!$AD$42),Matching_Engine!$AD$42*Lookup_Lists!$D$128,0))/(IF(ISNUMBER(Matching_Engine!$AA$42),Lookup_Lists!$D$125,0)+IF(ISNUMBER(Matching_Engine!$AB$42),Lookup_Lists!$D$126,0)+IF(ISNUMBER(Matching_Engine!$AC$42),Lookup_Lists!$D$127,0)+IF(ISNUMBER(Matching_Engine!$AD$42),Lookup_Lists!$D$128,0)),0))</f>
        <v>52</v>
      </c>
      <c r="AF42" s="42">
        <f>IF(ISNUMBER(Matching_Engine!$AE$42),1,0)</f>
        <v>1</v>
      </c>
      <c r="AG42" s="65" t="str">
        <f>IF(NOT(ISNUMBER('[1]#REF'!$BG$18)),"N/A",MIN(100,ROUND('[1]#REF'!$BG$18/IFERROR(INDEX(Lookup_Lists!$B$340:$B$344,MATCH('[1]#REF'!$H$18,Lookup_Lists!$A$340:$A$344,0)),Lookup_Lists!$D$141)*100,0)))</f>
        <v>N/A</v>
      </c>
      <c r="AH42" s="65" t="str">
        <f>IF(NOT(ISNUMBER('[1]#REF'!$BS$18)),"N/A",MIN(100,MAX(0,'[1]#REF'!$BS$18)))</f>
        <v>N/A</v>
      </c>
      <c r="AI42" s="65" t="e">
        <f>IF(OR(NOT(ISNUMBER('[1]#REF'!$BM$18)),NOT(ISNUMBER('[1]#REF'!$BN$18)),'[1]#REF'!$BN$18&lt;Lookup_Lists!$D$320),"N/A",MIN(100,ROUND('[1]#REF'!$BM$18/Lookup_Lists!$D$319*100,0)))</f>
        <v>#REF!</v>
      </c>
      <c r="AJ42" s="65" t="str">
        <f>IF(NOT(ISNUMBER('[1]#REF'!$BR$18)),"N/A",'[1]#REF'!$BR$18)</f>
        <v>N/A</v>
      </c>
      <c r="AK42" s="65" t="str">
        <f>IF(NOT(ISNUMBER('[1]#REF'!$BK$18)),"N/A",MIN(100,ROUND('[1]#REF'!$BK$18/Lookup_Lists!$D$321*100,0)))</f>
        <v>N/A</v>
      </c>
      <c r="AL42" s="65" t="str">
        <f>IF(NOT(ISNUMBER('[1]#REF'!$BP$18)),"N/A",MIN(100,MAX(0,ROUND(('[1]#REF'!$BP$18+2)/(Lookup_Lists!$D$145+2)*100,0))))</f>
        <v>N/A</v>
      </c>
      <c r="AM42" s="63">
        <f>IF((IF(ISNUMBER(Matching_Engine!$AG$42),Lookup_Lists!$D$129,0)+IF(ISNUMBER(Matching_Engine!$AH$42),Lookup_Lists!$D$130,0)+IF(ISNUMBER(Matching_Engine!$AI$42),Lookup_Lists!$D$131,0)+IF(ISNUMBER(Matching_Engine!$AJ$42),Lookup_Lists!$D$132,0)+IF(ISNUMBER(Matching_Engine!$AK$42),Lookup_Lists!$D$133,0)+IF(ISNUMBER(Matching_Engine!$AL$42),Lookup_Lists!$D$134,0))=0,"N/A",ROUND((IF(ISNUMBER(Matching_Engine!$AG$42),Matching_Engine!$AG$42*Lookup_Lists!$D$129,0)+IF(ISNUMBER(Matching_Engine!$AH$42),Matching_Engine!$AH$42*Lookup_Lists!$D$130,0)+IF(ISNUMBER(Matching_Engine!$AI$42),Matching_Engine!$AI$42*Lookup_Lists!$D$131,0)+IF(ISNUMBER(Matching_Engine!$AJ$42),Matching_Engine!$AJ$42*Lookup_Lists!$D$132,0)+IF(ISNUMBER(Matching_Engine!$AK$42),Matching_Engine!$AK$42*Lookup_Lists!$D$133,0)+IF(ISNUMBER(Matching_Engine!$AL$42),Matching_Engine!$AL$42*Lookup_Lists!$D$134,0))/(IF(ISNUMBER(Matching_Engine!$AG$42),Lookup_Lists!$D$129,0)+IF(ISNUMBER(Matching_Engine!$AH$42),Lookup_Lists!$D$130,0)+IF(ISNUMBER(Matching_Engine!$AI$42),Lookup_Lists!$D$131,0)+IF(ISNUMBER(Matching_Engine!$AJ$42),Lookup_Lists!$D$132,0)+IF(ISNUMBER(Matching_Engine!$AK$42),Lookup_Lists!$D$133,0)+IF(ISNUMBER(Matching_Engine!$AL$42),Lookup_Lists!$D$134,0)),0))</f>
        <v>73</v>
      </c>
      <c r="AN42" s="42">
        <f>IF(ISNUMBER(Matching_Engine!$AM$42),1,0)</f>
        <v>0</v>
      </c>
      <c r="AO42" s="65" t="str">
        <f>IF(NOT(ISNUMBER('[1]#REF'!$BT$18)),"N/A",MIN(100,MAX(0,'[1]#REF'!$BT$18)))</f>
        <v>N/A</v>
      </c>
      <c r="AP42" s="65" t="str">
        <f>IF(NOT(ISNUMBER('[1]#REF'!$BU$18)),"N/A",MIN(100,MAX(0,'[1]#REF'!$BU$18)))</f>
        <v>N/A</v>
      </c>
      <c r="AQ42" s="65" t="e">
        <f>IF('[1]#REF'!$I$18="Yes",Lookup_Lists!$D$326,IF('[1]#REF'!$I$18="No",Lookup_Lists!$D$327,"N/A"))</f>
        <v>#REF!</v>
      </c>
      <c r="AR42" s="65" t="str">
        <f>IF(NOT(ISNUMBER('[1]#REF'!$BQ$18)),"N/A",MAX(0,ROUND(100-'[1]#REF'!$BQ$18/Lookup_Lists!$D$328*100,0)))</f>
        <v>N/A</v>
      </c>
      <c r="AS42" s="65" t="e">
        <f>IF(NOT(AND(ISTEXT('[1]#REF'!$BV$18),'[1]#REF'!$BV$18&lt;&gt;"N/A")),"N/A",'[1]#REF'!$BV$18)</f>
        <v>#REF!</v>
      </c>
      <c r="AT42" s="63" t="str">
        <f ca="1">IF((IF(ISNUMBER(Matching_Engine!$AO$42),Lookup_Lists!$D$322,0)+IF(ISNUMBER(Matching_Engine!$AP$42),Lookup_Lists!$D$323,0)+IF(ISNUMBER(Matching_Engine!$AQ$42),Lookup_Lists!$D$324,0)+IF(ISNUMBER(Matching_Engine!$AR$42),Lookup_Lists!$D$325,0))=0,"N/A",ROUND((IF(ISNUMBER(Matching_Engine!$AO$42),Matching_Engine!$AO$42*Lookup_Lists!$D$322,0)+IF(ISNUMBER(Matching_Engine!$AP$42),Matching_Engine!$AP$42*Lookup_Lists!$D$323,0)+IF(ISNUMBER(Matching_Engine!$AQ$42),Matching_Engine!$AQ$42*Lookup_Lists!$D$324,0)+IF(ISNUMBER(Matching_Engine!$AR$42),Matching_Engine!$AR$42*Lookup_Lists!$D$325,0))/(IF(ISNUMBER(Matching_Engine!$AO$42),Lookup_Lists!$D$322,0)+IF(ISNUMBER(Matching_Engine!$AP$42),Lookup_Lists!$D$323,0)+IF(ISNUMBER(Matching_Engine!$AQ$42),Lookup_Lists!$D$324,0)+IF(ISNUMBER(Matching_Engine!$AR$42),Lookup_Lists!$D$325,0)),0))</f>
        <v>N/A</v>
      </c>
      <c r="AU42" s="42">
        <f>IF(ISNUMBER(Matching_Engine!$AT$42),1,0)</f>
        <v>1</v>
      </c>
      <c r="AV42" s="42" t="str">
        <f>IF(NOT(ISNUMBER(Matching_Engine!$AT$42)),"Not Screened",IF(Matching_Engine!$AT$42&gt;=Lookup_Lists!$D$329,"Low Risk",IF(Matching_Engine!$AT$42&gt;=Lookup_Lists!$D$330,"Moderate Risk",IF(Matching_Engine!$AT$42&gt;=Lookup_Lists!$D$331,"Elevated Risk","High Risk"))))</f>
        <v>Low Risk</v>
      </c>
      <c r="AW42" s="42" t="e">
        <f ca="1">IF(NOT(ISNUMBER(Matching_Engine!$AT$42)),"No integrity signal: no audience-analysis row for this account.","Integrity screen only — no content-risk reading exists (comments_analysis: 0 rows). "&amp;IF(ISNUMBER(Matching_Engine!$AO$42),"Authenticity "&amp;Matching_Engine!$AO$42&amp;". ","Authenticity N/A. ")&amp;IF(ISNUMBER(Matching_Engine!$AP$42),"Follower quality "&amp;Matching_Engine!$AP$42&amp;". ","Follower quality N/A. ")&amp;IF('[1]#REF'!$I$18="Yes","Platform-verified.","Not platform-verified."))</f>
        <v>#REF!</v>
      </c>
      <c r="AX42" s="65">
        <f>Matching_Engine!$N$42*Lookup_Lists!$D$104+Matching_Engine!$T$42*Lookup_Lists!$D$105+Matching_Engine!$Z$42*Lookup_Lists!$D$106+Matching_Engine!$AF$42*Lookup_Lists!$D$107+Matching_Engine!$AN$42*Lookup_Lists!$D$108+Matching_Engine!$AU$42*Lookup_Lists!$D$109</f>
        <v>3490</v>
      </c>
      <c r="AY42" s="74" t="e">
        <f ca="1">IF(Matching_Engine!$AX$42=0,"N/A",ROUND((IF(Matching_Engine!$N$42=1,Matching_Engine!$M$42*Lookup_Lists!$D$104,0)+IF(Matching_Engine!$T$42=1,Matching_Engine!$S$42*Lookup_Lists!$D$105,0)+IF(Matching_Engine!$Z$42=1,Matching_Engine!$Y$42*Lookup_Lists!$D$106,0)+IF(Matching_Engine!$AF$42=1,Matching_Engine!$AE$42*Lookup_Lists!$D$107,0)+IF(Matching_Engine!$AN$42=1,Matching_Engine!$AM$42*Lookup_Lists!$D$108,0)+IF(Matching_Engine!$AU$42=1,Matching_Engine!$AT$42*Lookup_Lists!$D$109,0))/Matching_Engine!$AX$42,0))</f>
        <v>#VALUE!</v>
      </c>
      <c r="AZ42" s="42" t="str">
        <f ca="1">IF(NOT(ISNUMBER(Matching_Engine!$AY$42)),"Not Scored",IF(Matching_Engine!$AY$42&gt;=Lookup_Lists!$D$152,"Excellent Match",IF(Matching_Engine!$AY$42&gt;=Lookup_Lists!$D$153,"Strong Match",IF(Matching_Engine!$AY$42&gt;=Lookup_Lists!$D$154,"Good Match",IF(Matching_Engine!$AY$42&gt;=Lookup_Lists!$D$155,"Moderate Match","Low Match")))))</f>
        <v>Not Scored</v>
      </c>
      <c r="BA42" s="65" t="e">
        <f>'[1]#REF'!$BW$18</f>
        <v>#REF!</v>
      </c>
      <c r="BB42" s="42" t="e">
        <f>'[1]#REF'!$BX$18</f>
        <v>#REF!</v>
      </c>
      <c r="BC42" s="65">
        <f ca="1">IF(NOT(ISNUMBER(Matching_Engine!$AY$42)),-1,Matching_Engine!$AY$42*1000+12)</f>
        <v>-1</v>
      </c>
      <c r="BD42" s="42" t="e">
        <f>IF(AND(ISTEXT('[1]#REF'!$S$18),'[1]#REF'!$S$18&lt;&gt;"N/A"),'[1]#REF'!$S$18,"")&amp;" | "&amp;IF(AND(ISTEXT('[1]#REF'!$T$18),'[1]#REF'!$T$18&lt;&gt;"N/A"),'[1]#REF'!$T$18,"")&amp;" | "&amp;IF(AND(ISTEXT('[1]#REF'!$N$18),'[1]#REF'!$N$18&lt;&gt;"N/A"),'[1]#REF'!$N$18,"")&amp;" | "&amp;IF(AND(ISTEXT('[1]#REF'!$K$18),'[1]#REF'!$K$18&lt;&gt;"N/A"),'[1]#REF'!$K$18,"")&amp;" | "&amp;IF(AND(ISTEXT('[1]#REF'!$J$18),'[1]#REF'!$J$18&lt;&gt;"N/A"),'[1]#REF'!$J$18,"")</f>
        <v>#REF!</v>
      </c>
      <c r="BE42" s="42" t="e">
        <f>IF(AND(ISTEXT('[1]#REF'!$T$18),'[1]#REF'!$T$18&lt;&gt;"N/A"),'[1]#REF'!$T$18,"")&amp;" | "&amp;IF(AND(ISTEXT('[1]#REF'!$N$18),'[1]#REF'!$N$18&lt;&gt;"N/A"),'[1]#REF'!$N$18,"")&amp;" | "&amp;IF(AND(ISTEXT('[1]#REF'!$O$18),'[1]#REF'!$O$18&lt;&gt;"N/A"),'[1]#REF'!$O$18,"")&amp;" | "&amp;IF(AND(ISTEXT('[1]#REF'!$S$18),'[1]#REF'!$S$18&lt;&gt;"N/A"),'[1]#REF'!$S$18,"")</f>
        <v>#REF!</v>
      </c>
      <c r="BF42" s="42" t="e">
        <f>IF(AND(ISTEXT('[1]#REF'!$U$18),'[1]#REF'!$U$18&lt;&gt;"N/A"),'[1]#REF'!$U$18,"")</f>
        <v>#REF!</v>
      </c>
      <c r="BG42" s="42" t="str">
        <f>Matching_Engine!$A$42&amp;"|"&amp;Matching_Engine!$C$42</f>
        <v>BRAND-B|KOL-07</v>
      </c>
    </row>
    <row r="43" spans="1:59">
      <c r="A43" s="64" t="s">
        <v>2528</v>
      </c>
      <c r="B43" s="42" t="str">
        <f>Brand_Profile!$F$6</f>
        <v>BRAND-C</v>
      </c>
      <c r="C43" s="42" t="e">
        <f>'[1]#REF'!$A$19</f>
        <v>#REF!</v>
      </c>
      <c r="D43" s="42" t="e">
        <f>'[1]#REF'!$C$19</f>
        <v>#REF!</v>
      </c>
      <c r="E43" s="42" t="e">
        <f>'[1]#REF'!$D$19</f>
        <v>#REF!</v>
      </c>
      <c r="F43" s="42" t="e">
        <f>'[1]#REF'!$E$19</f>
        <v>#REF!</v>
      </c>
      <c r="G43" s="42" t="e">
        <f>'[1]#REF'!$K$19</f>
        <v>#REF!</v>
      </c>
      <c r="H43" s="72" t="e">
        <f>'[1]#REF'!$G$19</f>
        <v>#REF!</v>
      </c>
      <c r="I43" s="73" t="e">
        <f>'[1]#REF'!$BG$19</f>
        <v>#REF!</v>
      </c>
      <c r="J43" s="65" t="e">
        <f>IF(NOT(AND(ISTEXT('[1]#REF'!$K$19),'[1]#REF'!$K$19&lt;&gt;"N/A")),Lookup_Lists!$D$150,IF(Brand_Profile!$F$7='[1]#REF'!$K$19,100,IFERROR(INDEX(Lookup_Lists!$B$349:$J$357,MATCH(Brand_Profile!$F$7,Lookup_Lists!$A$349:$A$357,0),MATCH('[1]#REF'!$K$19,Lookup_Lists!$B$348:$J$348,0)),Lookup_Lists!$D$151)))</f>
        <v>#REF!</v>
      </c>
      <c r="K43" s="65" t="e">
        <f>IF(LEN(TRIM(SUBSTITUTE(Matching_Engine!$BD$43,"|","")))=0,"N/A",IF(Brand_Profile!$F$47=0,Lookup_Lists!$D$150,ROUND((IF(Brand_Profile!$F$41="",0,IF(ISNUMBER(SEARCH(Brand_Profile!$F$41,Matching_Engine!$BD$43)),1,0))+IF(Brand_Profile!$F$42="",0,IF(ISNUMBER(SEARCH(Brand_Profile!$F$42,Matching_Engine!$BD$43)),1,0))+IF(Brand_Profile!$F$43="",0,IF(ISNUMBER(SEARCH(Brand_Profile!$F$43,Matching_Engine!$BD$43)),1,0))+IF(Brand_Profile!$F$44="",0,IF(ISNUMBER(SEARCH(Brand_Profile!$F$44,Matching_Engine!$BD$43)),1,0))+IF(Brand_Profile!$F$45="",0,IF(ISNUMBER(SEARCH(Brand_Profile!$F$45,Matching_Engine!$BD$43)),1,0))+IF(Brand_Profile!$F$46="",0,IF(ISNUMBER(SEARCH(Brand_Profile!$F$46,Matching_Engine!$BD$43)),1,0)))/Brand_Profile!$F$47*100,0)))</f>
        <v>#VALUE!</v>
      </c>
      <c r="L43" s="65" t="e">
        <f>IF(NOT(AND(ISTEXT('[1]#REF'!$U$19),'[1]#REF'!$U$19&lt;&gt;"N/A")),"N/A",IF(Brand_Profile!$F$53=0,Lookup_Lists!$D$150,ROUND((IF(Brand_Profile!$F$48="",0,IF(ISNUMBER(SEARCH(Brand_Profile!$F$48,Matching_Engine!$BF$43)),1,0))+IF(Brand_Profile!$F$49="",0,IF(ISNUMBER(SEARCH(Brand_Profile!$F$49,Matching_Engine!$BF$43)),1,0))+IF(Brand_Profile!$F$50="",0,IF(ISNUMBER(SEARCH(Brand_Profile!$F$50,Matching_Engine!$BF$43)),1,0))+IF(Brand_Profile!$F$51="",0,IF(ISNUMBER(SEARCH(Brand_Profile!$F$51,Matching_Engine!$BF$43)),1,0))+IF(Brand_Profile!$F$52="",0,IF(ISNUMBER(SEARCH(Brand_Profile!$F$52,Matching_Engine!$BF$43)),1,0)))/Brand_Profile!$F$53*100,0)))</f>
        <v>#REF!</v>
      </c>
      <c r="M43" s="63" t="str">
        <f>IF((IF(ISNUMBER(Matching_Engine!$J$43),Lookup_Lists!$D$332,0)+IF(ISNUMBER(Matching_Engine!$K$43),Lookup_Lists!$D$333,0)+IF(ISNUMBER(Matching_Engine!$L$43),Lookup_Lists!$D$334,0))=0,"N/A",ROUND((IF(ISNUMBER(Matching_Engine!$J$43),Matching_Engine!$J$43*Lookup_Lists!$D$332,0)+IF(ISNUMBER(Matching_Engine!$K$43),Matching_Engine!$K$43*Lookup_Lists!$D$333,0)+IF(ISNUMBER(Matching_Engine!$L$43),Matching_Engine!$L$43*Lookup_Lists!$D$334,0))/(IF(ISNUMBER(Matching_Engine!$J$43),Lookup_Lists!$D$332,0)+IF(ISNUMBER(Matching_Engine!$K$43),Lookup_Lists!$D$333,0)+IF(ISNUMBER(Matching_Engine!$L$43),Lookup_Lists!$D$334,0)),0))</f>
        <v>N/A</v>
      </c>
      <c r="N43" s="42">
        <f>IF(ISNUMBER(Matching_Engine!$M$43),1,0)</f>
        <v>1</v>
      </c>
      <c r="O43" s="65" t="str">
        <f ca="1">IF(NOT(ISNUMBER(IFERROR(INDEX('[1]#REF'!$V$19:'[1]#REF'!$Z$19,1,MATCH(Brand_Profile!$F$11,Lookup_Lists!$F$6:$F$10,0)),""))),"N/A",MIN(100,ROUND((IFERROR(INDEX('[1]#REF'!$V$19:'[1]#REF'!$Z$19,1,MATCH(Brand_Profile!$F$11,Lookup_Lists!$F$6:$F$10,0)),"")+0.5*IF(ISNUMBER(IFERROR(INDEX('[1]#REF'!$V$19:'[1]#REF'!$Z$19,1,MATCH(Brand_Profile!$F$12,Lookup_Lists!$F$6:$F$10,0)),"")),IFERROR(INDEX('[1]#REF'!$V$19:'[1]#REF'!$Z$19,1,MATCH(Brand_Profile!$F$12,Lookup_Lists!$F$6:$F$10,0)),""),0))/Lookup_Lists!$D$142*100,0)))</f>
        <v>N/A</v>
      </c>
      <c r="P43" s="65" t="str">
        <f>IF(Brand_Profile!$F$13="Any",100,IF(NOT(ISNUMBER('[1]#REF'!$AA$19)),"N/A",IF(Brand_Profile!$F$13="Female",MIN(100,ROUND('[1]#REF'!$AA$19/Lookup_Lists!$D$143*100,0)),IF(Brand_Profile!$F$13="Male",MIN(100,ROUND(IF(ISNUMBER('[1]#REF'!$AB$19),'[1]#REF'!$AB$19,100-'[1]#REF'!$AA$19)/Lookup_Lists!$D$143*100,0)),MAX(0,ROUND(100-ABS('[1]#REF'!$AA$19-50)*2,0))))))</f>
        <v>N/A</v>
      </c>
      <c r="Q43" s="65" t="str">
        <f>IF((IF(ISNUMBER(IF(NOT(ISNUMBER('[1]#REF'!$AE$19)),"N/A",IF('[1]#REF'!$AD$19&lt;&gt;Brand_Profile!$F$14,Lookup_Lists!$D$151,MIN(100,ROUND('[1]#REF'!$AE$19/Lookup_Lists!$D$316*100,0))))),Lookup_Lists!$D$118,0)+IF(ISNUMBER(IF(NOT(ISNUMBER('[1]#REF'!$AM$19)),"N/A",MIN(100,ROUND((IF('[1]#REF'!$AG$19=Brand_Profile!$F$15,IF(ISNUMBER('[1]#REF'!$AH$19),'[1]#REF'!$AH$19,0),0)+IF('[1]#REF'!$AI$19=Brand_Profile!$F$15,IF(ISNUMBER('[1]#REF'!$AJ$19),'[1]#REF'!$AJ$19,0),0)+IF('[1]#REF'!$AK$19=Brand_Profile!$F$15,IF(ISNUMBER('[1]#REF'!$AL$19),'[1]#REF'!$AL$19,0),0))/Lookup_Lists!$D$317*100,0)))),Lookup_Lists!$D$120,0))=0,"N/A",ROUND((IF(ISNUMBER(IF(NOT(ISNUMBER('[1]#REF'!$AE$19)),"N/A",IF('[1]#REF'!$AD$19&lt;&gt;Brand_Profile!$F$14,Lookup_Lists!$D$151,MIN(100,ROUND('[1]#REF'!$AE$19/Lookup_Lists!$D$316*100,0))))),IF(NOT(ISNUMBER('[1]#REF'!$AE$19)),"N/A",IF('[1]#REF'!$AD$19&lt;&gt;Brand_Profile!$F$14,Lookup_Lists!$D$151,MIN(100,ROUND('[1]#REF'!$AE$19/Lookup_Lists!$D$316*100,0))))*Lookup_Lists!$D$118,0)+IF(ISNUMBER(IF(NOT(ISNUMBER('[1]#REF'!$AM$19)),"N/A",MIN(100,ROUND((IF('[1]#REF'!$AG$19=Brand_Profile!$F$15,IF(ISNUMBER('[1]#REF'!$AH$19),'[1]#REF'!$AH$19,0),0)+IF('[1]#REF'!$AI$19=Brand_Profile!$F$15,IF(ISNUMBER('[1]#REF'!$AJ$19),'[1]#REF'!$AJ$19,0),0)+IF('[1]#REF'!$AK$19=Brand_Profile!$F$15,IF(ISNUMBER('[1]#REF'!$AL$19),'[1]#REF'!$AL$19,0),0))/Lookup_Lists!$D$317*100,0)))),IF(NOT(ISNUMBER('[1]#REF'!$AM$19)),"N/A",MIN(100,ROUND((IF('[1]#REF'!$AG$19=Brand_Profile!$F$15,IF(ISNUMBER('[1]#REF'!$AH$19),'[1]#REF'!$AH$19,0),0)+IF('[1]#REF'!$AI$19=Brand_Profile!$F$15,IF(ISNUMBER('[1]#REF'!$AJ$19),'[1]#REF'!$AJ$19,0),0)+IF('[1]#REF'!$AK$19=Brand_Profile!$F$15,IF(ISNUMBER('[1]#REF'!$AL$19),'[1]#REF'!$AL$19,0),0))/Lookup_Lists!$D$317*100,0)))*Lookup_Lists!$D$120,0))/(IF(ISNUMBER(IF(NOT(ISNUMBER('[1]#REF'!$AE$19)),"N/A",IF('[1]#REF'!$AD$19&lt;&gt;Brand_Profile!$F$14,Lookup_Lists!$D$151,MIN(100,ROUND('[1]#REF'!$AE$19/Lookup_Lists!$D$316*100,0))))),Lookup_Lists!$D$118,0)+IF(ISNUMBER(IF(NOT(ISNUMBER('[1]#REF'!$AM$19)),"N/A",MIN(100,ROUND((IF('[1]#REF'!$AG$19=Brand_Profile!$F$15,IF(ISNUMBER('[1]#REF'!$AH$19),'[1]#REF'!$AH$19,0),0)+IF('[1]#REF'!$AI$19=Brand_Profile!$F$15,IF(ISNUMBER('[1]#REF'!$AJ$19),'[1]#REF'!$AJ$19,0),0)+IF('[1]#REF'!$AK$19=Brand_Profile!$F$15,IF(ISNUMBER('[1]#REF'!$AL$19),'[1]#REF'!$AL$19,0),0))/Lookup_Lists!$D$317*100,0)))),Lookup_Lists!$D$120,0)),0))</f>
        <v>N/A</v>
      </c>
      <c r="R43" s="65" t="str">
        <f>IF(NOT(ISNUMBER('[1]#REF'!$AN$19)),"N/A",MIN(100,ROUND((IF(ISNUMBER('[1]#REF'!$AO$19),'[1]#REF'!$AO$19*Brand_Profile!$F$17,0)+IF(ISNUMBER('[1]#REF'!$AP$19),'[1]#REF'!$AP$19*Brand_Profile!$F$18,0)+IF(ISNUMBER('[1]#REF'!$AQ$19),'[1]#REF'!$AQ$19*Brand_Profile!$F$19,0)+IF(ISNUMBER('[1]#REF'!$AR$19),'[1]#REF'!$AR$19*Brand_Profile!$F$20,0)+IF(ISNUMBER('[1]#REF'!$AS$19),'[1]#REF'!$AS$19*Brand_Profile!$F$21,0)+IF(ISNUMBER('[1]#REF'!$AT$19),'[1]#REF'!$AT$19*Brand_Profile!$F$22,0)+IF(ISNUMBER('[1]#REF'!$AU$19),'[1]#REF'!$AU$19*Brand_Profile!$F$23,0)+IF(ISNUMBER('[1]#REF'!$AV$19),'[1]#REF'!$AV$19*Brand_Profile!$F$24,0)+IF(ISNUMBER('[1]#REF'!$AW$19),'[1]#REF'!$AW$19*Brand_Profile!$F$25,0)+IF(ISNUMBER('[1]#REF'!$AX$19),'[1]#REF'!$AX$19*Brand_Profile!$F$26,0)+IF(ISNUMBER('[1]#REF'!$AY$19),'[1]#REF'!$AY$19*Brand_Profile!$F$27,0)+IF(ISNUMBER('[1]#REF'!$AZ$19),'[1]#REF'!$AZ$19*Brand_Profile!$F$28,0)+IF(ISNUMBER('[1]#REF'!$BA$19),'[1]#REF'!$BA$19*Brand_Profile!$F$29,0)+IF(ISNUMBER('[1]#REF'!$BB$19),'[1]#REF'!$BB$19*Brand_Profile!$F$30,0)+IF(ISNUMBER('[1]#REF'!$BC$19),'[1]#REF'!$BC$19*Brand_Profile!$F$31,0)+IF(ISNUMBER('[1]#REF'!$BD$19),'[1]#REF'!$BD$19*Brand_Profile!$F$32,0)+IF(ISNUMBER('[1]#REF'!$BE$19),'[1]#REF'!$BE$19*Brand_Profile!$F$33,0)+IF(ISNUMBER('[1]#REF'!$BF$19),'[1]#REF'!$BF$19*Brand_Profile!$F$34,0))/Lookup_Lists!$D$318*100,0)))</f>
        <v>N/A</v>
      </c>
      <c r="S43" s="63">
        <f ca="1">IF((IF(ISNUMBER(Matching_Engine!$O$43),Lookup_Lists!$D$113,0)+IF(ISNUMBER(Matching_Engine!$P$43),Lookup_Lists!$D$114,0)+IF(ISNUMBER(Matching_Engine!$Q$43),Lookup_Lists!$D$115,0)+IF(ISNUMBER(Matching_Engine!$R$43),Lookup_Lists!$D$116,0))=0,"N/A",ROUND((IF(ISNUMBER(Matching_Engine!$O$43),Matching_Engine!$O$43*Lookup_Lists!$D$113,0)+IF(ISNUMBER(Matching_Engine!$P$43),Matching_Engine!$P$43*Lookup_Lists!$D$114,0)+IF(ISNUMBER(Matching_Engine!$Q$43),Matching_Engine!$Q$43*Lookup_Lists!$D$115,0)+IF(ISNUMBER(Matching_Engine!$R$43),Matching_Engine!$R$43*Lookup_Lists!$D$116,0))/(IF(ISNUMBER(Matching_Engine!$O$43),Lookup_Lists!$D$113,0)+IF(ISNUMBER(Matching_Engine!$P$43),Lookup_Lists!$D$114,0)+IF(ISNUMBER(Matching_Engine!$Q$43),Lookup_Lists!$D$115,0)+IF(ISNUMBER(Matching_Engine!$R$43),Lookup_Lists!$D$116,0)),0))</f>
        <v>76</v>
      </c>
      <c r="T43" s="42">
        <f ca="1">IF(ISNUMBER(Matching_Engine!$S$43),1,0)</f>
        <v>1</v>
      </c>
      <c r="U43" s="65" t="e">
        <f>IF(NOT(AND(ISTEXT('[1]#REF'!$M$19),'[1]#REF'!$M$19&lt;&gt;"N/A")),Lookup_Lists!$D$150,IF(Brand_Profile!$F$7='[1]#REF'!$M$19,100,IFERROR(INDEX(Lookup_Lists!$B$349:$J$357,MATCH(Brand_Profile!$F$7,Lookup_Lists!$A$349:$A$357,0),MATCH('[1]#REF'!$M$19,Lookup_Lists!$B$348:$J$348,0)),Lookup_Lists!$D$151)))</f>
        <v>#REF!</v>
      </c>
      <c r="V43" s="65" t="e">
        <f>IF(NOT(AND(ISTEXT('[1]#REF'!$P$19),'[1]#REF'!$P$19&lt;&gt;"N/A")),"N/A",IFERROR(INDEX(Lookup_Lists!$B$349:$J$357,MATCH(Brand_Profile!$F$7,Lookup_Lists!$A$349:$A$357,0),MATCH('[1]#REF'!$P$19,Lookup_Lists!$B$348:$J$348,0)),Lookup_Lists!$D$151))</f>
        <v>#REF!</v>
      </c>
      <c r="W43" s="65" t="e">
        <f>IF(LEN(TRIM(SUBSTITUTE(Matching_Engine!$BE$43,"|","")))=0,"N/A",IF(Brand_Profile!$F$60=0,Lookup_Lists!$D$150,ROUND((IF(Brand_Profile!$F$54="",0,IF(ISNUMBER(SEARCH(Brand_Profile!$F$54,Matching_Engine!$BE$43)),1,0))+IF(Brand_Profile!$F$55="",0,IF(ISNUMBER(SEARCH(Brand_Profile!$F$55,Matching_Engine!$BE$43)),1,0))+IF(Brand_Profile!$F$56="",0,IF(ISNUMBER(SEARCH(Brand_Profile!$F$56,Matching_Engine!$BE$43)),1,0))+IF(Brand_Profile!$F$57="",0,IF(ISNUMBER(SEARCH(Brand_Profile!$F$57,Matching_Engine!$BE$43)),1,0))+IF(Brand_Profile!$F$58="",0,IF(ISNUMBER(SEARCH(Brand_Profile!$F$58,Matching_Engine!$BE$43)),1,0))+IF(Brand_Profile!$F$59="",0,IF(ISNUMBER(SEARCH(Brand_Profile!$F$59,Matching_Engine!$BE$43)),1,0)))/Brand_Profile!$F$60*100,0)))</f>
        <v>#VALUE!</v>
      </c>
      <c r="X43" s="65" t="e">
        <f>IF(NOT(AND(ISTEXT('[1]#REF'!$Q$19),'[1]#REF'!$Q$19&lt;&gt;"N/A")),"N/A",Lookup_Lists!$D$150)</f>
        <v>#REF!</v>
      </c>
      <c r="Y43" s="63">
        <f>IF((IF(ISNUMBER(Matching_Engine!$U$43),Lookup_Lists!$D$335,0)+IF(ISNUMBER(Matching_Engine!$V$43),Lookup_Lists!$D$122,0)+IF(ISNUMBER(Matching_Engine!$W$43),Lookup_Lists!$D$336,0)+IF(ISNUMBER(Matching_Engine!$X$43),Lookup_Lists!$D$124,0))=0,"N/A",ROUND((IF(ISNUMBER(Matching_Engine!$U$43),Matching_Engine!$U$43*Lookup_Lists!$D$335,0)+IF(ISNUMBER(Matching_Engine!$V$43),Matching_Engine!$V$43*Lookup_Lists!$D$122,0)+IF(ISNUMBER(Matching_Engine!$W$43),Matching_Engine!$W$43*Lookup_Lists!$D$336,0)+IF(ISNUMBER(Matching_Engine!$X$43),Matching_Engine!$X$43*Lookup_Lists!$D$124,0))/(IF(ISNUMBER(Matching_Engine!$U$43),Lookup_Lists!$D$335,0)+IF(ISNUMBER(Matching_Engine!$V$43),Lookup_Lists!$D$122,0)+IF(ISNUMBER(Matching_Engine!$W$43),Lookup_Lists!$D$336,0)+IF(ISNUMBER(Matching_Engine!$X$43),Lookup_Lists!$D$124,0)),0))</f>
        <v>26</v>
      </c>
      <c r="Z43" s="42">
        <f>IF(ISNUMBER(Matching_Engine!$Y$43),1,0)</f>
        <v>1</v>
      </c>
      <c r="AA43" s="65" t="e">
        <f>IF(NOT(AND(ISTEXT('[1]#REF'!$Q$19),'[1]#REF'!$Q$19&lt;&gt;"N/A")),"N/A",Lookup_Lists!$D$150)</f>
        <v>#REF!</v>
      </c>
      <c r="AB43" s="65" t="e">
        <f>IF(NOT(AND(ISTEXT('[1]#REF'!$Q$19),'[1]#REF'!$Q$19&lt;&gt;"N/A")),"N/A",Lookup_Lists!$D$150)</f>
        <v>#REF!</v>
      </c>
      <c r="AC43" s="65" t="str">
        <f t="shared" si="0"/>
        <v>N/A</v>
      </c>
      <c r="AD43" s="65" t="e">
        <f>IF(NOT(AND(ISTEXT('[1]#REF'!$Q$19),'[1]#REF'!$Q$19&lt;&gt;"N/A")),"N/A",Lookup_Lists!$D$150)</f>
        <v>#REF!</v>
      </c>
      <c r="AE43" s="63">
        <f>IF((IF(ISNUMBER(Matching_Engine!$AA$43),Lookup_Lists!$D$125,0)+IF(ISNUMBER(Matching_Engine!$AB$43),Lookup_Lists!$D$126,0)+IF(ISNUMBER(Matching_Engine!$AC$43),Lookup_Lists!$D$127,0)+IF(ISNUMBER(Matching_Engine!$AD$43),Lookup_Lists!$D$128,0))=0,"N/A",ROUND((IF(ISNUMBER(Matching_Engine!$AA$43),Matching_Engine!$AA$43*Lookup_Lists!$D$125,0)+IF(ISNUMBER(Matching_Engine!$AB$43),Matching_Engine!$AB$43*Lookup_Lists!$D$126,0)+IF(ISNUMBER(Matching_Engine!$AC$43),Matching_Engine!$AC$43*Lookup_Lists!$D$127,0)+IF(ISNUMBER(Matching_Engine!$AD$43),Matching_Engine!$AD$43*Lookup_Lists!$D$128,0))/(IF(ISNUMBER(Matching_Engine!$AA$43),Lookup_Lists!$D$125,0)+IF(ISNUMBER(Matching_Engine!$AB$43),Lookup_Lists!$D$126,0)+IF(ISNUMBER(Matching_Engine!$AC$43),Lookup_Lists!$D$127,0)+IF(ISNUMBER(Matching_Engine!$AD$43),Lookup_Lists!$D$128,0)),0))</f>
        <v>47</v>
      </c>
      <c r="AF43" s="42">
        <f>IF(ISNUMBER(Matching_Engine!$AE$43),1,0)</f>
        <v>1</v>
      </c>
      <c r="AG43" s="65" t="str">
        <f>IF(NOT(ISNUMBER('[1]#REF'!$BG$19)),"N/A",MIN(100,ROUND('[1]#REF'!$BG$19/IFERROR(INDEX(Lookup_Lists!$B$340:$B$344,MATCH('[1]#REF'!$H$19,Lookup_Lists!$A$340:$A$344,0)),Lookup_Lists!$D$141)*100,0)))</f>
        <v>N/A</v>
      </c>
      <c r="AH43" s="65" t="str">
        <f>IF(NOT(ISNUMBER('[1]#REF'!$BS$19)),"N/A",MIN(100,MAX(0,'[1]#REF'!$BS$19)))</f>
        <v>N/A</v>
      </c>
      <c r="AI43" s="65" t="e">
        <f>IF(OR(NOT(ISNUMBER('[1]#REF'!$BM$19)),NOT(ISNUMBER('[1]#REF'!$BN$19)),'[1]#REF'!$BN$19&lt;Lookup_Lists!$D$320),"N/A",MIN(100,ROUND('[1]#REF'!$BM$19/Lookup_Lists!$D$319*100,0)))</f>
        <v>#REF!</v>
      </c>
      <c r="AJ43" s="65" t="str">
        <f>IF(NOT(ISNUMBER('[1]#REF'!$BR$19)),"N/A",'[1]#REF'!$BR$19)</f>
        <v>N/A</v>
      </c>
      <c r="AK43" s="65" t="str">
        <f>IF(NOT(ISNUMBER('[1]#REF'!$BK$19)),"N/A",MIN(100,ROUND('[1]#REF'!$BK$19/Lookup_Lists!$D$321*100,0)))</f>
        <v>N/A</v>
      </c>
      <c r="AL43" s="65" t="str">
        <f>IF(NOT(ISNUMBER('[1]#REF'!$BP$19)),"N/A",MIN(100,MAX(0,ROUND(('[1]#REF'!$BP$19+2)/(Lookup_Lists!$D$145+2)*100,0))))</f>
        <v>N/A</v>
      </c>
      <c r="AM43" s="63">
        <f>IF((IF(ISNUMBER(Matching_Engine!$AG$43),Lookup_Lists!$D$129,0)+IF(ISNUMBER(Matching_Engine!$AH$43),Lookup_Lists!$D$130,0)+IF(ISNUMBER(Matching_Engine!$AI$43),Lookup_Lists!$D$131,0)+IF(ISNUMBER(Matching_Engine!$AJ$43),Lookup_Lists!$D$132,0)+IF(ISNUMBER(Matching_Engine!$AK$43),Lookup_Lists!$D$133,0)+IF(ISNUMBER(Matching_Engine!$AL$43),Lookup_Lists!$D$134,0))=0,"N/A",ROUND((IF(ISNUMBER(Matching_Engine!$AG$43),Matching_Engine!$AG$43*Lookup_Lists!$D$129,0)+IF(ISNUMBER(Matching_Engine!$AH$43),Matching_Engine!$AH$43*Lookup_Lists!$D$130,0)+IF(ISNUMBER(Matching_Engine!$AI$43),Matching_Engine!$AI$43*Lookup_Lists!$D$131,0)+IF(ISNUMBER(Matching_Engine!$AJ$43),Matching_Engine!$AJ$43*Lookup_Lists!$D$132,0)+IF(ISNUMBER(Matching_Engine!$AK$43),Matching_Engine!$AK$43*Lookup_Lists!$D$133,0)+IF(ISNUMBER(Matching_Engine!$AL$43),Matching_Engine!$AL$43*Lookup_Lists!$D$134,0))/(IF(ISNUMBER(Matching_Engine!$AG$43),Lookup_Lists!$D$129,0)+IF(ISNUMBER(Matching_Engine!$AH$43),Lookup_Lists!$D$130,0)+IF(ISNUMBER(Matching_Engine!$AI$43),Lookup_Lists!$D$131,0)+IF(ISNUMBER(Matching_Engine!$AJ$43),Lookup_Lists!$D$132,0)+IF(ISNUMBER(Matching_Engine!$AK$43),Lookup_Lists!$D$133,0)+IF(ISNUMBER(Matching_Engine!$AL$43),Lookup_Lists!$D$134,0)),0))</f>
        <v>71</v>
      </c>
      <c r="AN43" s="42">
        <f>IF(ISNUMBER(Matching_Engine!$AM$43),1,0)</f>
        <v>0</v>
      </c>
      <c r="AO43" s="65" t="str">
        <f>IF(NOT(ISNUMBER('[1]#REF'!$BT$19)),"N/A",MIN(100,MAX(0,'[1]#REF'!$BT$19)))</f>
        <v>N/A</v>
      </c>
      <c r="AP43" s="65" t="str">
        <f>IF(NOT(ISNUMBER('[1]#REF'!$BU$19)),"N/A",MIN(100,MAX(0,'[1]#REF'!$BU$19)))</f>
        <v>N/A</v>
      </c>
      <c r="AQ43" s="65" t="e">
        <f>IF('[1]#REF'!$I$19="Yes",Lookup_Lists!$D$326,IF('[1]#REF'!$I$19="No",Lookup_Lists!$D$327,"N/A"))</f>
        <v>#REF!</v>
      </c>
      <c r="AR43" s="65" t="str">
        <f>IF(NOT(ISNUMBER('[1]#REF'!$BQ$19)),"N/A",MAX(0,ROUND(100-'[1]#REF'!$BQ$19/Lookup_Lists!$D$328*100,0)))</f>
        <v>N/A</v>
      </c>
      <c r="AS43" s="65" t="e">
        <f>IF(NOT(AND(ISTEXT('[1]#REF'!$BV$19),'[1]#REF'!$BV$19&lt;&gt;"N/A")),"N/A",'[1]#REF'!$BV$19)</f>
        <v>#REF!</v>
      </c>
      <c r="AT43" s="63" t="str">
        <f ca="1">IF((IF(ISNUMBER(Matching_Engine!$AO$43),Lookup_Lists!$D$322,0)+IF(ISNUMBER(Matching_Engine!$AP$43),Lookup_Lists!$D$323,0)+IF(ISNUMBER(Matching_Engine!$AQ$43),Lookup_Lists!$D$324,0)+IF(ISNUMBER(Matching_Engine!$AR$43),Lookup_Lists!$D$325,0))=0,"N/A",ROUND((IF(ISNUMBER(Matching_Engine!$AO$43),Matching_Engine!$AO$43*Lookup_Lists!$D$322,0)+IF(ISNUMBER(Matching_Engine!$AP$43),Matching_Engine!$AP$43*Lookup_Lists!$D$323,0)+IF(ISNUMBER(Matching_Engine!$AQ$43),Matching_Engine!$AQ$43*Lookup_Lists!$D$324,0)+IF(ISNUMBER(Matching_Engine!$AR$43),Matching_Engine!$AR$43*Lookup_Lists!$D$325,0))/(IF(ISNUMBER(Matching_Engine!$AO$43),Lookup_Lists!$D$322,0)+IF(ISNUMBER(Matching_Engine!$AP$43),Lookup_Lists!$D$323,0)+IF(ISNUMBER(Matching_Engine!$AQ$43),Lookup_Lists!$D$324,0)+IF(ISNUMBER(Matching_Engine!$AR$43),Lookup_Lists!$D$325,0)),0))</f>
        <v>N/A</v>
      </c>
      <c r="AU43" s="42">
        <f>IF(ISNUMBER(Matching_Engine!$AT$43),1,0)</f>
        <v>1</v>
      </c>
      <c r="AV43" s="42" t="str">
        <f>IF(NOT(ISNUMBER(Matching_Engine!$AT$43)),"Not Screened",IF(Matching_Engine!$AT$43&gt;=Lookup_Lists!$D$329,"Low Risk",IF(Matching_Engine!$AT$43&gt;=Lookup_Lists!$D$330,"Moderate Risk",IF(Matching_Engine!$AT$43&gt;=Lookup_Lists!$D$331,"Elevated Risk","High Risk"))))</f>
        <v>Low Risk</v>
      </c>
      <c r="AW43" s="42" t="e">
        <f ca="1">IF(NOT(ISNUMBER(Matching_Engine!$AT$43)),"No integrity signal: no audience-analysis row for this account.","Integrity screen only — no content-risk reading exists (comments_analysis: 0 rows). "&amp;IF(ISNUMBER(Matching_Engine!$AO$43),"Authenticity "&amp;Matching_Engine!$AO$43&amp;". ","Authenticity N/A. ")&amp;IF(ISNUMBER(Matching_Engine!$AP$43),"Follower quality "&amp;Matching_Engine!$AP$43&amp;". ","Follower quality N/A. ")&amp;IF('[1]#REF'!$I$19="Yes","Platform-verified.","Not platform-verified."))</f>
        <v>#REF!</v>
      </c>
      <c r="AX43" s="65">
        <f>Matching_Engine!$N$43*Lookup_Lists!$D$104+Matching_Engine!$T$43*Lookup_Lists!$D$105+Matching_Engine!$Z$43*Lookup_Lists!$D$106+Matching_Engine!$AF$43*Lookup_Lists!$D$107+Matching_Engine!$AN$43*Lookup_Lists!$D$108+Matching_Engine!$AU$43*Lookup_Lists!$D$109</f>
        <v>3919.5</v>
      </c>
      <c r="AY43" s="74" t="e">
        <f ca="1">IF(Matching_Engine!$AX$43=0,"N/A",ROUND((IF(Matching_Engine!$N$43=1,Matching_Engine!$M$43*Lookup_Lists!$D$104,0)+IF(Matching_Engine!$T$43=1,Matching_Engine!$S$43*Lookup_Lists!$D$105,0)+IF(Matching_Engine!$Z$43=1,Matching_Engine!$Y$43*Lookup_Lists!$D$106,0)+IF(Matching_Engine!$AF$43=1,Matching_Engine!$AE$43*Lookup_Lists!$D$107,0)+IF(Matching_Engine!$AN$43=1,Matching_Engine!$AM$43*Lookup_Lists!$D$108,0)+IF(Matching_Engine!$AU$43=1,Matching_Engine!$AT$43*Lookup_Lists!$D$109,0))/Matching_Engine!$AX$43,0))</f>
        <v>#VALUE!</v>
      </c>
      <c r="AZ43" s="42" t="str">
        <f ca="1">IF(NOT(ISNUMBER(Matching_Engine!$AY$43)),"Not Scored",IF(Matching_Engine!$AY$43&gt;=Lookup_Lists!$D$152,"Excellent Match",IF(Matching_Engine!$AY$43&gt;=Lookup_Lists!$D$153,"Strong Match",IF(Matching_Engine!$AY$43&gt;=Lookup_Lists!$D$154,"Good Match",IF(Matching_Engine!$AY$43&gt;=Lookup_Lists!$D$155,"Moderate Match","Low Match")))))</f>
        <v>Not Scored</v>
      </c>
      <c r="BA43" s="65" t="e">
        <f>'[1]#REF'!$BW$19</f>
        <v>#REF!</v>
      </c>
      <c r="BB43" s="42" t="e">
        <f>'[1]#REF'!$BX$19</f>
        <v>#REF!</v>
      </c>
      <c r="BC43" s="65">
        <f ca="1">IF(NOT(ISNUMBER(Matching_Engine!$AY$43)),-1,Matching_Engine!$AY$43*1000+11)</f>
        <v>-1</v>
      </c>
      <c r="BD43" s="42" t="e">
        <f>IF(AND(ISTEXT('[1]#REF'!$S$19),'[1]#REF'!$S$19&lt;&gt;"N/A"),'[1]#REF'!$S$19,"")&amp;" | "&amp;IF(AND(ISTEXT('[1]#REF'!$T$19),'[1]#REF'!$T$19&lt;&gt;"N/A"),'[1]#REF'!$T$19,"")&amp;" | "&amp;IF(AND(ISTEXT('[1]#REF'!$N$19),'[1]#REF'!$N$19&lt;&gt;"N/A"),'[1]#REF'!$N$19,"")&amp;" | "&amp;IF(AND(ISTEXT('[1]#REF'!$K$19),'[1]#REF'!$K$19&lt;&gt;"N/A"),'[1]#REF'!$K$19,"")&amp;" | "&amp;IF(AND(ISTEXT('[1]#REF'!$J$19),'[1]#REF'!$J$19&lt;&gt;"N/A"),'[1]#REF'!$J$19,"")</f>
        <v>#REF!</v>
      </c>
      <c r="BE43" s="42" t="e">
        <f>IF(AND(ISTEXT('[1]#REF'!$T$19),'[1]#REF'!$T$19&lt;&gt;"N/A"),'[1]#REF'!$T$19,"")&amp;" | "&amp;IF(AND(ISTEXT('[1]#REF'!$N$19),'[1]#REF'!$N$19&lt;&gt;"N/A"),'[1]#REF'!$N$19,"")&amp;" | "&amp;IF(AND(ISTEXT('[1]#REF'!$O$19),'[1]#REF'!$O$19&lt;&gt;"N/A"),'[1]#REF'!$O$19,"")&amp;" | "&amp;IF(AND(ISTEXT('[1]#REF'!$S$19),'[1]#REF'!$S$19&lt;&gt;"N/A"),'[1]#REF'!$S$19,"")</f>
        <v>#REF!</v>
      </c>
      <c r="BF43" s="42" t="e">
        <f>IF(AND(ISTEXT('[1]#REF'!$U$19),'[1]#REF'!$U$19&lt;&gt;"N/A"),'[1]#REF'!$U$19,"")</f>
        <v>#REF!</v>
      </c>
      <c r="BG43" s="42" t="str">
        <f>Matching_Engine!$A$43&amp;"|"&amp;Matching_Engine!$C$43</f>
        <v>BRAND-B|KOL-08</v>
      </c>
    </row>
    <row r="44" spans="1:59">
      <c r="A44" s="64" t="s">
        <v>2528</v>
      </c>
      <c r="B44" s="42" t="str">
        <f>Brand_Profile!$F$6</f>
        <v>BRAND-C</v>
      </c>
      <c r="C44" s="42" t="e">
        <f>'[1]#REF'!$A$20</f>
        <v>#REF!</v>
      </c>
      <c r="D44" s="42" t="e">
        <f>'[1]#REF'!$C$20</f>
        <v>#REF!</v>
      </c>
      <c r="E44" s="42" t="e">
        <f>'[1]#REF'!$D$20</f>
        <v>#REF!</v>
      </c>
      <c r="F44" s="42" t="e">
        <f>'[1]#REF'!$E$20</f>
        <v>#REF!</v>
      </c>
      <c r="G44" s="42" t="e">
        <f>'[1]#REF'!$K$20</f>
        <v>#REF!</v>
      </c>
      <c r="H44" s="72" t="e">
        <f>'[1]#REF'!$G$20</f>
        <v>#REF!</v>
      </c>
      <c r="I44" s="73" t="e">
        <f>'[1]#REF'!$BG$20</f>
        <v>#REF!</v>
      </c>
      <c r="J44" s="65" t="e">
        <f>IF(NOT(AND(ISTEXT('[1]#REF'!$K$20),'[1]#REF'!$K$20&lt;&gt;"N/A")),Lookup_Lists!$D$150,IF(Brand_Profile!$F$7='[1]#REF'!$K$20,100,IFERROR(INDEX(Lookup_Lists!$B$349:$J$357,MATCH(Brand_Profile!$F$7,Lookup_Lists!$A$349:$A$357,0),MATCH('[1]#REF'!$K$20,Lookup_Lists!$B$348:$J$348,0)),Lookup_Lists!$D$151)))</f>
        <v>#REF!</v>
      </c>
      <c r="K44" s="65" t="e">
        <f>IF(LEN(TRIM(SUBSTITUTE(Matching_Engine!$BD$44,"|","")))=0,"N/A",IF(Brand_Profile!$F$47=0,Lookup_Lists!$D$150,ROUND((IF(Brand_Profile!$F$41="",0,IF(ISNUMBER(SEARCH(Brand_Profile!$F$41,Matching_Engine!$BD$44)),1,0))+IF(Brand_Profile!$F$42="",0,IF(ISNUMBER(SEARCH(Brand_Profile!$F$42,Matching_Engine!$BD$44)),1,0))+IF(Brand_Profile!$F$43="",0,IF(ISNUMBER(SEARCH(Brand_Profile!$F$43,Matching_Engine!$BD$44)),1,0))+IF(Brand_Profile!$F$44="",0,IF(ISNUMBER(SEARCH(Brand_Profile!$F$44,Matching_Engine!$BD$44)),1,0))+IF(Brand_Profile!$F$45="",0,IF(ISNUMBER(SEARCH(Brand_Profile!$F$45,Matching_Engine!$BD$44)),1,0))+IF(Brand_Profile!$F$46="",0,IF(ISNUMBER(SEARCH(Brand_Profile!$F$46,Matching_Engine!$BD$44)),1,0)))/Brand_Profile!$F$47*100,0)))</f>
        <v>#VALUE!</v>
      </c>
      <c r="L44" s="65" t="e">
        <f>IF(NOT(AND(ISTEXT('[1]#REF'!$U$20),'[1]#REF'!$U$20&lt;&gt;"N/A")),"N/A",IF(Brand_Profile!$F$53=0,Lookup_Lists!$D$150,ROUND((IF(Brand_Profile!$F$48="",0,IF(ISNUMBER(SEARCH(Brand_Profile!$F$48,Matching_Engine!$BF$44)),1,0))+IF(Brand_Profile!$F$49="",0,IF(ISNUMBER(SEARCH(Brand_Profile!$F$49,Matching_Engine!$BF$44)),1,0))+IF(Brand_Profile!$F$50="",0,IF(ISNUMBER(SEARCH(Brand_Profile!$F$50,Matching_Engine!$BF$44)),1,0))+IF(Brand_Profile!$F$51="",0,IF(ISNUMBER(SEARCH(Brand_Profile!$F$51,Matching_Engine!$BF$44)),1,0))+IF(Brand_Profile!$F$52="",0,IF(ISNUMBER(SEARCH(Brand_Profile!$F$52,Matching_Engine!$BF$44)),1,0)))/Brand_Profile!$F$53*100,0)))</f>
        <v>#REF!</v>
      </c>
      <c r="M44" s="63" t="str">
        <f>IF((IF(ISNUMBER(Matching_Engine!$J$44),Lookup_Lists!$D$332,0)+IF(ISNUMBER(Matching_Engine!$K$44),Lookup_Lists!$D$333,0)+IF(ISNUMBER(Matching_Engine!$L$44),Lookup_Lists!$D$334,0))=0,"N/A",ROUND((IF(ISNUMBER(Matching_Engine!$J$44),Matching_Engine!$J$44*Lookup_Lists!$D$332,0)+IF(ISNUMBER(Matching_Engine!$K$44),Matching_Engine!$K$44*Lookup_Lists!$D$333,0)+IF(ISNUMBER(Matching_Engine!$L$44),Matching_Engine!$L$44*Lookup_Lists!$D$334,0))/(IF(ISNUMBER(Matching_Engine!$J$44),Lookup_Lists!$D$332,0)+IF(ISNUMBER(Matching_Engine!$K$44),Lookup_Lists!$D$333,0)+IF(ISNUMBER(Matching_Engine!$L$44),Lookup_Lists!$D$334,0)),0))</f>
        <v>N/A</v>
      </c>
      <c r="N44" s="42">
        <f>IF(ISNUMBER(Matching_Engine!$M$44),1,0)</f>
        <v>1</v>
      </c>
      <c r="O44" s="65" t="str">
        <f ca="1">IF(NOT(ISNUMBER(IFERROR(INDEX('[1]#REF'!$V$20:'[1]#REF'!$Z$20,1,MATCH(Brand_Profile!$F$11,Lookup_Lists!$F$6:$F$10,0)),""))),"N/A",MIN(100,ROUND((IFERROR(INDEX('[1]#REF'!$V$20:'[1]#REF'!$Z$20,1,MATCH(Brand_Profile!$F$11,Lookup_Lists!$F$6:$F$10,0)),"")+0.5*IF(ISNUMBER(IFERROR(INDEX('[1]#REF'!$V$20:'[1]#REF'!$Z$20,1,MATCH(Brand_Profile!$F$12,Lookup_Lists!$F$6:$F$10,0)),"")),IFERROR(INDEX('[1]#REF'!$V$20:'[1]#REF'!$Z$20,1,MATCH(Brand_Profile!$F$12,Lookup_Lists!$F$6:$F$10,0)),""),0))/Lookup_Lists!$D$142*100,0)))</f>
        <v>N/A</v>
      </c>
      <c r="P44" s="65" t="str">
        <f>IF(Brand_Profile!$F$13="Any",100,IF(NOT(ISNUMBER('[1]#REF'!$AA$20)),"N/A",IF(Brand_Profile!$F$13="Female",MIN(100,ROUND('[1]#REF'!$AA$20/Lookup_Lists!$D$143*100,0)),IF(Brand_Profile!$F$13="Male",MIN(100,ROUND(IF(ISNUMBER('[1]#REF'!$AB$20),'[1]#REF'!$AB$20,100-'[1]#REF'!$AA$20)/Lookup_Lists!$D$143*100,0)),MAX(0,ROUND(100-ABS('[1]#REF'!$AA$20-50)*2,0))))))</f>
        <v>N/A</v>
      </c>
      <c r="Q44" s="65" t="str">
        <f>IF((IF(ISNUMBER(IF(NOT(ISNUMBER('[1]#REF'!$AE$20)),"N/A",IF('[1]#REF'!$AD$20&lt;&gt;Brand_Profile!$F$14,Lookup_Lists!$D$151,MIN(100,ROUND('[1]#REF'!$AE$20/Lookup_Lists!$D$316*100,0))))),Lookup_Lists!$D$118,0)+IF(ISNUMBER(IF(NOT(ISNUMBER('[1]#REF'!$AM$20)),"N/A",MIN(100,ROUND((IF('[1]#REF'!$AG$20=Brand_Profile!$F$15,IF(ISNUMBER('[1]#REF'!$AH$20),'[1]#REF'!$AH$20,0),0)+IF('[1]#REF'!$AI$20=Brand_Profile!$F$15,IF(ISNUMBER('[1]#REF'!$AJ$20),'[1]#REF'!$AJ$20,0),0)+IF('[1]#REF'!$AK$20=Brand_Profile!$F$15,IF(ISNUMBER('[1]#REF'!$AL$20),'[1]#REF'!$AL$20,0),0))/Lookup_Lists!$D$317*100,0)))),Lookup_Lists!$D$120,0))=0,"N/A",ROUND((IF(ISNUMBER(IF(NOT(ISNUMBER('[1]#REF'!$AE$20)),"N/A",IF('[1]#REF'!$AD$20&lt;&gt;Brand_Profile!$F$14,Lookup_Lists!$D$151,MIN(100,ROUND('[1]#REF'!$AE$20/Lookup_Lists!$D$316*100,0))))),IF(NOT(ISNUMBER('[1]#REF'!$AE$20)),"N/A",IF('[1]#REF'!$AD$20&lt;&gt;Brand_Profile!$F$14,Lookup_Lists!$D$151,MIN(100,ROUND('[1]#REF'!$AE$20/Lookup_Lists!$D$316*100,0))))*Lookup_Lists!$D$118,0)+IF(ISNUMBER(IF(NOT(ISNUMBER('[1]#REF'!$AM$20)),"N/A",MIN(100,ROUND((IF('[1]#REF'!$AG$20=Brand_Profile!$F$15,IF(ISNUMBER('[1]#REF'!$AH$20),'[1]#REF'!$AH$20,0),0)+IF('[1]#REF'!$AI$20=Brand_Profile!$F$15,IF(ISNUMBER('[1]#REF'!$AJ$20),'[1]#REF'!$AJ$20,0),0)+IF('[1]#REF'!$AK$20=Brand_Profile!$F$15,IF(ISNUMBER('[1]#REF'!$AL$20),'[1]#REF'!$AL$20,0),0))/Lookup_Lists!$D$317*100,0)))),IF(NOT(ISNUMBER('[1]#REF'!$AM$20)),"N/A",MIN(100,ROUND((IF('[1]#REF'!$AG$20=Brand_Profile!$F$15,IF(ISNUMBER('[1]#REF'!$AH$20),'[1]#REF'!$AH$20,0),0)+IF('[1]#REF'!$AI$20=Brand_Profile!$F$15,IF(ISNUMBER('[1]#REF'!$AJ$20),'[1]#REF'!$AJ$20,0),0)+IF('[1]#REF'!$AK$20=Brand_Profile!$F$15,IF(ISNUMBER('[1]#REF'!$AL$20),'[1]#REF'!$AL$20,0),0))/Lookup_Lists!$D$317*100,0)))*Lookup_Lists!$D$120,0))/(IF(ISNUMBER(IF(NOT(ISNUMBER('[1]#REF'!$AE$20)),"N/A",IF('[1]#REF'!$AD$20&lt;&gt;Brand_Profile!$F$14,Lookup_Lists!$D$151,MIN(100,ROUND('[1]#REF'!$AE$20/Lookup_Lists!$D$316*100,0))))),Lookup_Lists!$D$118,0)+IF(ISNUMBER(IF(NOT(ISNUMBER('[1]#REF'!$AM$20)),"N/A",MIN(100,ROUND((IF('[1]#REF'!$AG$20=Brand_Profile!$F$15,IF(ISNUMBER('[1]#REF'!$AH$20),'[1]#REF'!$AH$20,0),0)+IF('[1]#REF'!$AI$20=Brand_Profile!$F$15,IF(ISNUMBER('[1]#REF'!$AJ$20),'[1]#REF'!$AJ$20,0),0)+IF('[1]#REF'!$AK$20=Brand_Profile!$F$15,IF(ISNUMBER('[1]#REF'!$AL$20),'[1]#REF'!$AL$20,0),0))/Lookup_Lists!$D$317*100,0)))),Lookup_Lists!$D$120,0)),0))</f>
        <v>N/A</v>
      </c>
      <c r="R44" s="65" t="str">
        <f>IF(NOT(ISNUMBER('[1]#REF'!$AN$20)),"N/A",MIN(100,ROUND((IF(ISNUMBER('[1]#REF'!$AO$20),'[1]#REF'!$AO$20*Brand_Profile!$F$17,0)+IF(ISNUMBER('[1]#REF'!$AP$20),'[1]#REF'!$AP$20*Brand_Profile!$F$18,0)+IF(ISNUMBER('[1]#REF'!$AQ$20),'[1]#REF'!$AQ$20*Brand_Profile!$F$19,0)+IF(ISNUMBER('[1]#REF'!$AR$20),'[1]#REF'!$AR$20*Brand_Profile!$F$20,0)+IF(ISNUMBER('[1]#REF'!$AS$20),'[1]#REF'!$AS$20*Brand_Profile!$F$21,0)+IF(ISNUMBER('[1]#REF'!$AT$20),'[1]#REF'!$AT$20*Brand_Profile!$F$22,0)+IF(ISNUMBER('[1]#REF'!$AU$20),'[1]#REF'!$AU$20*Brand_Profile!$F$23,0)+IF(ISNUMBER('[1]#REF'!$AV$20),'[1]#REF'!$AV$20*Brand_Profile!$F$24,0)+IF(ISNUMBER('[1]#REF'!$AW$20),'[1]#REF'!$AW$20*Brand_Profile!$F$25,0)+IF(ISNUMBER('[1]#REF'!$AX$20),'[1]#REF'!$AX$20*Brand_Profile!$F$26,0)+IF(ISNUMBER('[1]#REF'!$AY$20),'[1]#REF'!$AY$20*Brand_Profile!$F$27,0)+IF(ISNUMBER('[1]#REF'!$AZ$20),'[1]#REF'!$AZ$20*Brand_Profile!$F$28,0)+IF(ISNUMBER('[1]#REF'!$BA$20),'[1]#REF'!$BA$20*Brand_Profile!$F$29,0)+IF(ISNUMBER('[1]#REF'!$BB$20),'[1]#REF'!$BB$20*Brand_Profile!$F$30,0)+IF(ISNUMBER('[1]#REF'!$BC$20),'[1]#REF'!$BC$20*Brand_Profile!$F$31,0)+IF(ISNUMBER('[1]#REF'!$BD$20),'[1]#REF'!$BD$20*Brand_Profile!$F$32,0)+IF(ISNUMBER('[1]#REF'!$BE$20),'[1]#REF'!$BE$20*Brand_Profile!$F$33,0)+IF(ISNUMBER('[1]#REF'!$BF$20),'[1]#REF'!$BF$20*Brand_Profile!$F$34,0))/Lookup_Lists!$D$318*100,0)))</f>
        <v>N/A</v>
      </c>
      <c r="S44" s="63">
        <f ca="1">IF((IF(ISNUMBER(Matching_Engine!$O$44),Lookup_Lists!$D$113,0)+IF(ISNUMBER(Matching_Engine!$P$44),Lookup_Lists!$D$114,0)+IF(ISNUMBER(Matching_Engine!$Q$44),Lookup_Lists!$D$115,0)+IF(ISNUMBER(Matching_Engine!$R$44),Lookup_Lists!$D$116,0))=0,"N/A",ROUND((IF(ISNUMBER(Matching_Engine!$O$44),Matching_Engine!$O$44*Lookup_Lists!$D$113,0)+IF(ISNUMBER(Matching_Engine!$P$44),Matching_Engine!$P$44*Lookup_Lists!$D$114,0)+IF(ISNUMBER(Matching_Engine!$Q$44),Matching_Engine!$Q$44*Lookup_Lists!$D$115,0)+IF(ISNUMBER(Matching_Engine!$R$44),Matching_Engine!$R$44*Lookup_Lists!$D$116,0))/(IF(ISNUMBER(Matching_Engine!$O$44),Lookup_Lists!$D$113,0)+IF(ISNUMBER(Matching_Engine!$P$44),Lookup_Lists!$D$114,0)+IF(ISNUMBER(Matching_Engine!$Q$44),Lookup_Lists!$D$115,0)+IF(ISNUMBER(Matching_Engine!$R$44),Lookup_Lists!$D$116,0)),0))</f>
        <v>61</v>
      </c>
      <c r="T44" s="42">
        <f ca="1">IF(ISNUMBER(Matching_Engine!$S$44),1,0)</f>
        <v>1</v>
      </c>
      <c r="U44" s="65" t="e">
        <f>IF(NOT(AND(ISTEXT('[1]#REF'!$M$20),'[1]#REF'!$M$20&lt;&gt;"N/A")),Lookup_Lists!$D$150,IF(Brand_Profile!$F$7='[1]#REF'!$M$20,100,IFERROR(INDEX(Lookup_Lists!$B$349:$J$357,MATCH(Brand_Profile!$F$7,Lookup_Lists!$A$349:$A$357,0),MATCH('[1]#REF'!$M$20,Lookup_Lists!$B$348:$J$348,0)),Lookup_Lists!$D$151)))</f>
        <v>#REF!</v>
      </c>
      <c r="V44" s="65" t="e">
        <f>IF(NOT(AND(ISTEXT('[1]#REF'!$P$20),'[1]#REF'!$P$20&lt;&gt;"N/A")),"N/A",IFERROR(INDEX(Lookup_Lists!$B$349:$J$357,MATCH(Brand_Profile!$F$7,Lookup_Lists!$A$349:$A$357,0),MATCH('[1]#REF'!$P$20,Lookup_Lists!$B$348:$J$348,0)),Lookup_Lists!$D$151))</f>
        <v>#REF!</v>
      </c>
      <c r="W44" s="65" t="e">
        <f>IF(LEN(TRIM(SUBSTITUTE(Matching_Engine!$BE$44,"|","")))=0,"N/A",IF(Brand_Profile!$F$60=0,Lookup_Lists!$D$150,ROUND((IF(Brand_Profile!$F$54="",0,IF(ISNUMBER(SEARCH(Brand_Profile!$F$54,Matching_Engine!$BE$44)),1,0))+IF(Brand_Profile!$F$55="",0,IF(ISNUMBER(SEARCH(Brand_Profile!$F$55,Matching_Engine!$BE$44)),1,0))+IF(Brand_Profile!$F$56="",0,IF(ISNUMBER(SEARCH(Brand_Profile!$F$56,Matching_Engine!$BE$44)),1,0))+IF(Brand_Profile!$F$57="",0,IF(ISNUMBER(SEARCH(Brand_Profile!$F$57,Matching_Engine!$BE$44)),1,0))+IF(Brand_Profile!$F$58="",0,IF(ISNUMBER(SEARCH(Brand_Profile!$F$58,Matching_Engine!$BE$44)),1,0))+IF(Brand_Profile!$F$59="",0,IF(ISNUMBER(SEARCH(Brand_Profile!$F$59,Matching_Engine!$BE$44)),1,0)))/Brand_Profile!$F$60*100,0)))</f>
        <v>#VALUE!</v>
      </c>
      <c r="X44" s="65" t="e">
        <f>IF(NOT(AND(ISTEXT('[1]#REF'!$Q$20),'[1]#REF'!$Q$20&lt;&gt;"N/A")),"N/A",Lookup_Lists!$D$150)</f>
        <v>#REF!</v>
      </c>
      <c r="Y44" s="63">
        <f>IF((IF(ISNUMBER(Matching_Engine!$U$44),Lookup_Lists!$D$335,0)+IF(ISNUMBER(Matching_Engine!$V$44),Lookup_Lists!$D$122,0)+IF(ISNUMBER(Matching_Engine!$W$44),Lookup_Lists!$D$336,0)+IF(ISNUMBER(Matching_Engine!$X$44),Lookup_Lists!$D$124,0))=0,"N/A",ROUND((IF(ISNUMBER(Matching_Engine!$U$44),Matching_Engine!$U$44*Lookup_Lists!$D$335,0)+IF(ISNUMBER(Matching_Engine!$V$44),Matching_Engine!$V$44*Lookup_Lists!$D$122,0)+IF(ISNUMBER(Matching_Engine!$W$44),Matching_Engine!$W$44*Lookup_Lists!$D$336,0)+IF(ISNUMBER(Matching_Engine!$X$44),Matching_Engine!$X$44*Lookup_Lists!$D$124,0))/(IF(ISNUMBER(Matching_Engine!$U$44),Lookup_Lists!$D$335,0)+IF(ISNUMBER(Matching_Engine!$V$44),Lookup_Lists!$D$122,0)+IF(ISNUMBER(Matching_Engine!$W$44),Lookup_Lists!$D$336,0)+IF(ISNUMBER(Matching_Engine!$X$44),Lookup_Lists!$D$124,0)),0))</f>
        <v>13</v>
      </c>
      <c r="Z44" s="42">
        <f>IF(ISNUMBER(Matching_Engine!$Y$44),1,0)</f>
        <v>1</v>
      </c>
      <c r="AA44" s="65" t="e">
        <f>IF(NOT(AND(ISTEXT('[1]#REF'!$Q$20),'[1]#REF'!$Q$20&lt;&gt;"N/A")),"N/A",Lookup_Lists!$D$150)</f>
        <v>#REF!</v>
      </c>
      <c r="AB44" s="65" t="e">
        <f>IF(NOT(AND(ISTEXT('[1]#REF'!$Q$20),'[1]#REF'!$Q$20&lt;&gt;"N/A")),"N/A",Lookup_Lists!$D$150)</f>
        <v>#REF!</v>
      </c>
      <c r="AC44" s="65" t="str">
        <f t="shared" si="0"/>
        <v>N/A</v>
      </c>
      <c r="AD44" s="65" t="e">
        <f>IF(NOT(AND(ISTEXT('[1]#REF'!$Q$20),'[1]#REF'!$Q$20&lt;&gt;"N/A")),"N/A",Lookup_Lists!$D$150)</f>
        <v>#REF!</v>
      </c>
      <c r="AE44" s="63">
        <f>IF((IF(ISNUMBER(Matching_Engine!$AA$44),Lookup_Lists!$D$125,0)+IF(ISNUMBER(Matching_Engine!$AB$44),Lookup_Lists!$D$126,0)+IF(ISNUMBER(Matching_Engine!$AC$44),Lookup_Lists!$D$127,0)+IF(ISNUMBER(Matching_Engine!$AD$44),Lookup_Lists!$D$128,0))=0,"N/A",ROUND((IF(ISNUMBER(Matching_Engine!$AA$44),Matching_Engine!$AA$44*Lookup_Lists!$D$125,0)+IF(ISNUMBER(Matching_Engine!$AB$44),Matching_Engine!$AB$44*Lookup_Lists!$D$126,0)+IF(ISNUMBER(Matching_Engine!$AC$44),Matching_Engine!$AC$44*Lookup_Lists!$D$127,0)+IF(ISNUMBER(Matching_Engine!$AD$44),Matching_Engine!$AD$44*Lookup_Lists!$D$128,0))/(IF(ISNUMBER(Matching_Engine!$AA$44),Lookup_Lists!$D$125,0)+IF(ISNUMBER(Matching_Engine!$AB$44),Lookup_Lists!$D$126,0)+IF(ISNUMBER(Matching_Engine!$AC$44),Lookup_Lists!$D$127,0)+IF(ISNUMBER(Matching_Engine!$AD$44),Lookup_Lists!$D$128,0)),0))</f>
        <v>48</v>
      </c>
      <c r="AF44" s="42">
        <f>IF(ISNUMBER(Matching_Engine!$AE$44),1,0)</f>
        <v>1</v>
      </c>
      <c r="AG44" s="65" t="str">
        <f>IF(NOT(ISNUMBER('[1]#REF'!$BG$20)),"N/A",MIN(100,ROUND('[1]#REF'!$BG$20/IFERROR(INDEX(Lookup_Lists!$B$340:$B$344,MATCH('[1]#REF'!$H$20,Lookup_Lists!$A$340:$A$344,0)),Lookup_Lists!$D$141)*100,0)))</f>
        <v>N/A</v>
      </c>
      <c r="AH44" s="65" t="str">
        <f>IF(NOT(ISNUMBER('[1]#REF'!$BS$20)),"N/A",MIN(100,MAX(0,'[1]#REF'!$BS$20)))</f>
        <v>N/A</v>
      </c>
      <c r="AI44" s="65" t="e">
        <f>IF(OR(NOT(ISNUMBER('[1]#REF'!$BM$20)),NOT(ISNUMBER('[1]#REF'!$BN$20)),'[1]#REF'!$BN$20&lt;Lookup_Lists!$D$320),"N/A",MIN(100,ROUND('[1]#REF'!$BM$20/Lookup_Lists!$D$319*100,0)))</f>
        <v>#REF!</v>
      </c>
      <c r="AJ44" s="65" t="str">
        <f>IF(NOT(ISNUMBER('[1]#REF'!$BR$20)),"N/A",'[1]#REF'!$BR$20)</f>
        <v>N/A</v>
      </c>
      <c r="AK44" s="65" t="str">
        <f>IF(NOT(ISNUMBER('[1]#REF'!$BK$20)),"N/A",MIN(100,ROUND('[1]#REF'!$BK$20/Lookup_Lists!$D$321*100,0)))</f>
        <v>N/A</v>
      </c>
      <c r="AL44" s="65" t="str">
        <f>IF(NOT(ISNUMBER('[1]#REF'!$BP$20)),"N/A",MIN(100,MAX(0,ROUND(('[1]#REF'!$BP$20+2)/(Lookup_Lists!$D$145+2)*100,0))))</f>
        <v>N/A</v>
      </c>
      <c r="AM44" s="63">
        <f>IF((IF(ISNUMBER(Matching_Engine!$AG$44),Lookup_Lists!$D$129,0)+IF(ISNUMBER(Matching_Engine!$AH$44),Lookup_Lists!$D$130,0)+IF(ISNUMBER(Matching_Engine!$AI$44),Lookup_Lists!$D$131,0)+IF(ISNUMBER(Matching_Engine!$AJ$44),Lookup_Lists!$D$132,0)+IF(ISNUMBER(Matching_Engine!$AK$44),Lookup_Lists!$D$133,0)+IF(ISNUMBER(Matching_Engine!$AL$44),Lookup_Lists!$D$134,0))=0,"N/A",ROUND((IF(ISNUMBER(Matching_Engine!$AG$44),Matching_Engine!$AG$44*Lookup_Lists!$D$129,0)+IF(ISNUMBER(Matching_Engine!$AH$44),Matching_Engine!$AH$44*Lookup_Lists!$D$130,0)+IF(ISNUMBER(Matching_Engine!$AI$44),Matching_Engine!$AI$44*Lookup_Lists!$D$131,0)+IF(ISNUMBER(Matching_Engine!$AJ$44),Matching_Engine!$AJ$44*Lookup_Lists!$D$132,0)+IF(ISNUMBER(Matching_Engine!$AK$44),Matching_Engine!$AK$44*Lookup_Lists!$D$133,0)+IF(ISNUMBER(Matching_Engine!$AL$44),Matching_Engine!$AL$44*Lookup_Lists!$D$134,0))/(IF(ISNUMBER(Matching_Engine!$AG$44),Lookup_Lists!$D$129,0)+IF(ISNUMBER(Matching_Engine!$AH$44),Lookup_Lists!$D$130,0)+IF(ISNUMBER(Matching_Engine!$AI$44),Lookup_Lists!$D$131,0)+IF(ISNUMBER(Matching_Engine!$AJ$44),Lookup_Lists!$D$132,0)+IF(ISNUMBER(Matching_Engine!$AK$44),Lookup_Lists!$D$133,0)+IF(ISNUMBER(Matching_Engine!$AL$44),Lookup_Lists!$D$134,0)),0))</f>
        <v>89</v>
      </c>
      <c r="AN44" s="42">
        <f>IF(ISNUMBER(Matching_Engine!$AM$44),1,0)</f>
        <v>0</v>
      </c>
      <c r="AO44" s="65" t="str">
        <f>IF(NOT(ISNUMBER('[1]#REF'!$BT$20)),"N/A",MIN(100,MAX(0,'[1]#REF'!$BT$20)))</f>
        <v>N/A</v>
      </c>
      <c r="AP44" s="65" t="str">
        <f>IF(NOT(ISNUMBER('[1]#REF'!$BU$20)),"N/A",MIN(100,MAX(0,'[1]#REF'!$BU$20)))</f>
        <v>N/A</v>
      </c>
      <c r="AQ44" s="65" t="e">
        <f>IF('[1]#REF'!$I$20="Yes",Lookup_Lists!$D$326,IF('[1]#REF'!$I$20="No",Lookup_Lists!$D$327,"N/A"))</f>
        <v>#REF!</v>
      </c>
      <c r="AR44" s="65" t="str">
        <f>IF(NOT(ISNUMBER('[1]#REF'!$BQ$20)),"N/A",MAX(0,ROUND(100-'[1]#REF'!$BQ$20/Lookup_Lists!$D$328*100,0)))</f>
        <v>N/A</v>
      </c>
      <c r="AS44" s="65" t="e">
        <f>IF(NOT(AND(ISTEXT('[1]#REF'!$BV$20),'[1]#REF'!$BV$20&lt;&gt;"N/A")),"N/A",'[1]#REF'!$BV$20)</f>
        <v>#REF!</v>
      </c>
      <c r="AT44" s="63" t="str">
        <f ca="1">IF((IF(ISNUMBER(Matching_Engine!$AO$44),Lookup_Lists!$D$322,0)+IF(ISNUMBER(Matching_Engine!$AP$44),Lookup_Lists!$D$323,0)+IF(ISNUMBER(Matching_Engine!$AQ$44),Lookup_Lists!$D$324,0)+IF(ISNUMBER(Matching_Engine!$AR$44),Lookup_Lists!$D$325,0))=0,"N/A",ROUND((IF(ISNUMBER(Matching_Engine!$AO$44),Matching_Engine!$AO$44*Lookup_Lists!$D$322,0)+IF(ISNUMBER(Matching_Engine!$AP$44),Matching_Engine!$AP$44*Lookup_Lists!$D$323,0)+IF(ISNUMBER(Matching_Engine!$AQ$44),Matching_Engine!$AQ$44*Lookup_Lists!$D$324,0)+IF(ISNUMBER(Matching_Engine!$AR$44),Matching_Engine!$AR$44*Lookup_Lists!$D$325,0))/(IF(ISNUMBER(Matching_Engine!$AO$44),Lookup_Lists!$D$322,0)+IF(ISNUMBER(Matching_Engine!$AP$44),Lookup_Lists!$D$323,0)+IF(ISNUMBER(Matching_Engine!$AQ$44),Lookup_Lists!$D$324,0)+IF(ISNUMBER(Matching_Engine!$AR$44),Lookup_Lists!$D$325,0)),0))</f>
        <v>N/A</v>
      </c>
      <c r="AU44" s="42">
        <f>IF(ISNUMBER(Matching_Engine!$AT$44),1,0)</f>
        <v>1</v>
      </c>
      <c r="AV44" s="42" t="str">
        <f>IF(NOT(ISNUMBER(Matching_Engine!$AT$44)),"Not Screened",IF(Matching_Engine!$AT$44&gt;=Lookup_Lists!$D$329,"Low Risk",IF(Matching_Engine!$AT$44&gt;=Lookup_Lists!$D$330,"Moderate Risk",IF(Matching_Engine!$AT$44&gt;=Lookup_Lists!$D$331,"Elevated Risk","High Risk"))))</f>
        <v>Low Risk</v>
      </c>
      <c r="AW44" s="42" t="e">
        <f ca="1">IF(NOT(ISNUMBER(Matching_Engine!$AT$44)),"No integrity signal: no audience-analysis row for this account.","Integrity screen only — no content-risk reading exists (comments_analysis: 0 rows). "&amp;IF(ISNUMBER(Matching_Engine!$AO$44),"Authenticity "&amp;Matching_Engine!$AO$44&amp;". ","Authenticity N/A. ")&amp;IF(ISNUMBER(Matching_Engine!$AP$44),"Follower quality "&amp;Matching_Engine!$AP$44&amp;". ","Follower quality N/A. ")&amp;IF('[1]#REF'!$I$20="Yes","Platform-verified.","Not platform-verified."))</f>
        <v>#REF!</v>
      </c>
      <c r="AX44" s="65">
        <f>Matching_Engine!$N$44*Lookup_Lists!$D$104+Matching_Engine!$T$44*Lookup_Lists!$D$105+Matching_Engine!$Z$44*Lookup_Lists!$D$106+Matching_Engine!$AF$44*Lookup_Lists!$D$107+Matching_Engine!$AN$44*Lookup_Lists!$D$108+Matching_Engine!$AU$44*Lookup_Lists!$D$109</f>
        <v>3810</v>
      </c>
      <c r="AY44" s="74" t="e">
        <f ca="1">IF(Matching_Engine!$AX$44=0,"N/A",ROUND((IF(Matching_Engine!$N$44=1,Matching_Engine!$M$44*Lookup_Lists!$D$104,0)+IF(Matching_Engine!$T$44=1,Matching_Engine!$S$44*Lookup_Lists!$D$105,0)+IF(Matching_Engine!$Z$44=1,Matching_Engine!$Y$44*Lookup_Lists!$D$106,0)+IF(Matching_Engine!$AF$44=1,Matching_Engine!$AE$44*Lookup_Lists!$D$107,0)+IF(Matching_Engine!$AN$44=1,Matching_Engine!$AM$44*Lookup_Lists!$D$108,0)+IF(Matching_Engine!$AU$44=1,Matching_Engine!$AT$44*Lookup_Lists!$D$109,0))/Matching_Engine!$AX$44,0))</f>
        <v>#VALUE!</v>
      </c>
      <c r="AZ44" s="42" t="str">
        <f ca="1">IF(NOT(ISNUMBER(Matching_Engine!$AY$44)),"Not Scored",IF(Matching_Engine!$AY$44&gt;=Lookup_Lists!$D$152,"Excellent Match",IF(Matching_Engine!$AY$44&gt;=Lookup_Lists!$D$153,"Strong Match",IF(Matching_Engine!$AY$44&gt;=Lookup_Lists!$D$154,"Good Match",IF(Matching_Engine!$AY$44&gt;=Lookup_Lists!$D$155,"Moderate Match","Low Match")))))</f>
        <v>Not Scored</v>
      </c>
      <c r="BA44" s="65" t="e">
        <f>'[1]#REF'!$BW$20</f>
        <v>#REF!</v>
      </c>
      <c r="BB44" s="42" t="e">
        <f>'[1]#REF'!$BX$20</f>
        <v>#REF!</v>
      </c>
      <c r="BC44" s="65">
        <f ca="1">IF(NOT(ISNUMBER(Matching_Engine!$AY$44)),-1,Matching_Engine!$AY$44*1000+10)</f>
        <v>-1</v>
      </c>
      <c r="BD44" s="42" t="e">
        <f>IF(AND(ISTEXT('[1]#REF'!$S$20),'[1]#REF'!$S$20&lt;&gt;"N/A"),'[1]#REF'!$S$20,"")&amp;" | "&amp;IF(AND(ISTEXT('[1]#REF'!$T$20),'[1]#REF'!$T$20&lt;&gt;"N/A"),'[1]#REF'!$T$20,"")&amp;" | "&amp;IF(AND(ISTEXT('[1]#REF'!$N$20),'[1]#REF'!$N$20&lt;&gt;"N/A"),'[1]#REF'!$N$20,"")&amp;" | "&amp;IF(AND(ISTEXT('[1]#REF'!$K$20),'[1]#REF'!$K$20&lt;&gt;"N/A"),'[1]#REF'!$K$20,"")&amp;" | "&amp;IF(AND(ISTEXT('[1]#REF'!$J$20),'[1]#REF'!$J$20&lt;&gt;"N/A"),'[1]#REF'!$J$20,"")</f>
        <v>#REF!</v>
      </c>
      <c r="BE44" s="42" t="e">
        <f>IF(AND(ISTEXT('[1]#REF'!$T$20),'[1]#REF'!$T$20&lt;&gt;"N/A"),'[1]#REF'!$T$20,"")&amp;" | "&amp;IF(AND(ISTEXT('[1]#REF'!$N$20),'[1]#REF'!$N$20&lt;&gt;"N/A"),'[1]#REF'!$N$20,"")&amp;" | "&amp;IF(AND(ISTEXT('[1]#REF'!$O$20),'[1]#REF'!$O$20&lt;&gt;"N/A"),'[1]#REF'!$O$20,"")&amp;" | "&amp;IF(AND(ISTEXT('[1]#REF'!$S$20),'[1]#REF'!$S$20&lt;&gt;"N/A"),'[1]#REF'!$S$20,"")</f>
        <v>#REF!</v>
      </c>
      <c r="BF44" s="42" t="e">
        <f>IF(AND(ISTEXT('[1]#REF'!$U$20),'[1]#REF'!$U$20&lt;&gt;"N/A"),'[1]#REF'!$U$20,"")</f>
        <v>#REF!</v>
      </c>
      <c r="BG44" s="42" t="str">
        <f>Matching_Engine!$A$44&amp;"|"&amp;Matching_Engine!$C$44</f>
        <v>BRAND-B|KOL-09</v>
      </c>
    </row>
    <row r="45" spans="1:59">
      <c r="A45" s="64" t="s">
        <v>2528</v>
      </c>
      <c r="B45" s="42" t="str">
        <f>Brand_Profile!$F$6</f>
        <v>BRAND-C</v>
      </c>
      <c r="C45" s="42" t="e">
        <f>'[1]#REF'!$A$21</f>
        <v>#REF!</v>
      </c>
      <c r="D45" s="42" t="e">
        <f>'[1]#REF'!$C$21</f>
        <v>#REF!</v>
      </c>
      <c r="E45" s="42" t="e">
        <f>'[1]#REF'!$D$21</f>
        <v>#REF!</v>
      </c>
      <c r="F45" s="42" t="e">
        <f>'[1]#REF'!$E$21</f>
        <v>#REF!</v>
      </c>
      <c r="G45" s="42" t="e">
        <f>'[1]#REF'!$K$21</f>
        <v>#REF!</v>
      </c>
      <c r="H45" s="72" t="e">
        <f>'[1]#REF'!$G$21</f>
        <v>#REF!</v>
      </c>
      <c r="I45" s="73" t="e">
        <f>'[1]#REF'!$BG$21</f>
        <v>#REF!</v>
      </c>
      <c r="J45" s="65" t="e">
        <f>IF(NOT(AND(ISTEXT('[1]#REF'!$K$21),'[1]#REF'!$K$21&lt;&gt;"N/A")),Lookup_Lists!$D$150,IF(Brand_Profile!$F$7='[1]#REF'!$K$21,100,IFERROR(INDEX(Lookup_Lists!$B$349:$J$357,MATCH(Brand_Profile!$F$7,Lookup_Lists!$A$349:$A$357,0),MATCH('[1]#REF'!$K$21,Lookup_Lists!$B$348:$J$348,0)),Lookup_Lists!$D$151)))</f>
        <v>#REF!</v>
      </c>
      <c r="K45" s="65" t="e">
        <f>IF(LEN(TRIM(SUBSTITUTE(Matching_Engine!$BD$45,"|","")))=0,"N/A",IF(Brand_Profile!$F$47=0,Lookup_Lists!$D$150,ROUND((IF(Brand_Profile!$F$41="",0,IF(ISNUMBER(SEARCH(Brand_Profile!$F$41,Matching_Engine!$BD$45)),1,0))+IF(Brand_Profile!$F$42="",0,IF(ISNUMBER(SEARCH(Brand_Profile!$F$42,Matching_Engine!$BD$45)),1,0))+IF(Brand_Profile!$F$43="",0,IF(ISNUMBER(SEARCH(Brand_Profile!$F$43,Matching_Engine!$BD$45)),1,0))+IF(Brand_Profile!$F$44="",0,IF(ISNUMBER(SEARCH(Brand_Profile!$F$44,Matching_Engine!$BD$45)),1,0))+IF(Brand_Profile!$F$45="",0,IF(ISNUMBER(SEARCH(Brand_Profile!$F$45,Matching_Engine!$BD$45)),1,0))+IF(Brand_Profile!$F$46="",0,IF(ISNUMBER(SEARCH(Brand_Profile!$F$46,Matching_Engine!$BD$45)),1,0)))/Brand_Profile!$F$47*100,0)))</f>
        <v>#VALUE!</v>
      </c>
      <c r="L45" s="65" t="e">
        <f>IF(NOT(AND(ISTEXT('[1]#REF'!$U$21),'[1]#REF'!$U$21&lt;&gt;"N/A")),"N/A",IF(Brand_Profile!$F$53=0,Lookup_Lists!$D$150,ROUND((IF(Brand_Profile!$F$48="",0,IF(ISNUMBER(SEARCH(Brand_Profile!$F$48,Matching_Engine!$BF$45)),1,0))+IF(Brand_Profile!$F$49="",0,IF(ISNUMBER(SEARCH(Brand_Profile!$F$49,Matching_Engine!$BF$45)),1,0))+IF(Brand_Profile!$F$50="",0,IF(ISNUMBER(SEARCH(Brand_Profile!$F$50,Matching_Engine!$BF$45)),1,0))+IF(Brand_Profile!$F$51="",0,IF(ISNUMBER(SEARCH(Brand_Profile!$F$51,Matching_Engine!$BF$45)),1,0))+IF(Brand_Profile!$F$52="",0,IF(ISNUMBER(SEARCH(Brand_Profile!$F$52,Matching_Engine!$BF$45)),1,0)))/Brand_Profile!$F$53*100,0)))</f>
        <v>#REF!</v>
      </c>
      <c r="M45" s="63" t="str">
        <f>IF((IF(ISNUMBER(Matching_Engine!$J$45),Lookup_Lists!$D$332,0)+IF(ISNUMBER(Matching_Engine!$K$45),Lookup_Lists!$D$333,0)+IF(ISNUMBER(Matching_Engine!$L$45),Lookup_Lists!$D$334,0))=0,"N/A",ROUND((IF(ISNUMBER(Matching_Engine!$J$45),Matching_Engine!$J$45*Lookup_Lists!$D$332,0)+IF(ISNUMBER(Matching_Engine!$K$45),Matching_Engine!$K$45*Lookup_Lists!$D$333,0)+IF(ISNUMBER(Matching_Engine!$L$45),Matching_Engine!$L$45*Lookup_Lists!$D$334,0))/(IF(ISNUMBER(Matching_Engine!$J$45),Lookup_Lists!$D$332,0)+IF(ISNUMBER(Matching_Engine!$K$45),Lookup_Lists!$D$333,0)+IF(ISNUMBER(Matching_Engine!$L$45),Lookup_Lists!$D$334,0)),0))</f>
        <v>N/A</v>
      </c>
      <c r="N45" s="42">
        <f>IF(ISNUMBER(Matching_Engine!$M$45),1,0)</f>
        <v>1</v>
      </c>
      <c r="O45" s="65" t="str">
        <f ca="1">IF(NOT(ISNUMBER(IFERROR(INDEX('[1]#REF'!$V$21:'[1]#REF'!$Z$21,1,MATCH(Brand_Profile!$F$11,Lookup_Lists!$F$6:$F$10,0)),""))),"N/A",MIN(100,ROUND((IFERROR(INDEX('[1]#REF'!$V$21:'[1]#REF'!$Z$21,1,MATCH(Brand_Profile!$F$11,Lookup_Lists!$F$6:$F$10,0)),"")+0.5*IF(ISNUMBER(IFERROR(INDEX('[1]#REF'!$V$21:'[1]#REF'!$Z$21,1,MATCH(Brand_Profile!$F$12,Lookup_Lists!$F$6:$F$10,0)),"")),IFERROR(INDEX('[1]#REF'!$V$21:'[1]#REF'!$Z$21,1,MATCH(Brand_Profile!$F$12,Lookup_Lists!$F$6:$F$10,0)),""),0))/Lookup_Lists!$D$142*100,0)))</f>
        <v>N/A</v>
      </c>
      <c r="P45" s="65" t="str">
        <f>IF(Brand_Profile!$F$13="Any",100,IF(NOT(ISNUMBER('[1]#REF'!$AA$21)),"N/A",IF(Brand_Profile!$F$13="Female",MIN(100,ROUND('[1]#REF'!$AA$21/Lookup_Lists!$D$143*100,0)),IF(Brand_Profile!$F$13="Male",MIN(100,ROUND(IF(ISNUMBER('[1]#REF'!$AB$21),'[1]#REF'!$AB$21,100-'[1]#REF'!$AA$21)/Lookup_Lists!$D$143*100,0)),MAX(0,ROUND(100-ABS('[1]#REF'!$AA$21-50)*2,0))))))</f>
        <v>N/A</v>
      </c>
      <c r="Q45" s="65" t="str">
        <f>IF((IF(ISNUMBER(IF(NOT(ISNUMBER('[1]#REF'!$AE$21)),"N/A",IF('[1]#REF'!$AD$21&lt;&gt;Brand_Profile!$F$14,Lookup_Lists!$D$151,MIN(100,ROUND('[1]#REF'!$AE$21/Lookup_Lists!$D$316*100,0))))),Lookup_Lists!$D$118,0)+IF(ISNUMBER(IF(NOT(ISNUMBER('[1]#REF'!$AM$21)),"N/A",MIN(100,ROUND((IF('[1]#REF'!$AG$21=Brand_Profile!$F$15,IF(ISNUMBER('[1]#REF'!$AH$21),'[1]#REF'!$AH$21,0),0)+IF('[1]#REF'!$AI$21=Brand_Profile!$F$15,IF(ISNUMBER('[1]#REF'!$AJ$21),'[1]#REF'!$AJ$21,0),0)+IF('[1]#REF'!$AK$21=Brand_Profile!$F$15,IF(ISNUMBER('[1]#REF'!$AL$21),'[1]#REF'!$AL$21,0),0))/Lookup_Lists!$D$317*100,0)))),Lookup_Lists!$D$120,0))=0,"N/A",ROUND((IF(ISNUMBER(IF(NOT(ISNUMBER('[1]#REF'!$AE$21)),"N/A",IF('[1]#REF'!$AD$21&lt;&gt;Brand_Profile!$F$14,Lookup_Lists!$D$151,MIN(100,ROUND('[1]#REF'!$AE$21/Lookup_Lists!$D$316*100,0))))),IF(NOT(ISNUMBER('[1]#REF'!$AE$21)),"N/A",IF('[1]#REF'!$AD$21&lt;&gt;Brand_Profile!$F$14,Lookup_Lists!$D$151,MIN(100,ROUND('[1]#REF'!$AE$21/Lookup_Lists!$D$316*100,0))))*Lookup_Lists!$D$118,0)+IF(ISNUMBER(IF(NOT(ISNUMBER('[1]#REF'!$AM$21)),"N/A",MIN(100,ROUND((IF('[1]#REF'!$AG$21=Brand_Profile!$F$15,IF(ISNUMBER('[1]#REF'!$AH$21),'[1]#REF'!$AH$21,0),0)+IF('[1]#REF'!$AI$21=Brand_Profile!$F$15,IF(ISNUMBER('[1]#REF'!$AJ$21),'[1]#REF'!$AJ$21,0),0)+IF('[1]#REF'!$AK$21=Brand_Profile!$F$15,IF(ISNUMBER('[1]#REF'!$AL$21),'[1]#REF'!$AL$21,0),0))/Lookup_Lists!$D$317*100,0)))),IF(NOT(ISNUMBER('[1]#REF'!$AM$21)),"N/A",MIN(100,ROUND((IF('[1]#REF'!$AG$21=Brand_Profile!$F$15,IF(ISNUMBER('[1]#REF'!$AH$21),'[1]#REF'!$AH$21,0),0)+IF('[1]#REF'!$AI$21=Brand_Profile!$F$15,IF(ISNUMBER('[1]#REF'!$AJ$21),'[1]#REF'!$AJ$21,0),0)+IF('[1]#REF'!$AK$21=Brand_Profile!$F$15,IF(ISNUMBER('[1]#REF'!$AL$21),'[1]#REF'!$AL$21,0),0))/Lookup_Lists!$D$317*100,0)))*Lookup_Lists!$D$120,0))/(IF(ISNUMBER(IF(NOT(ISNUMBER('[1]#REF'!$AE$21)),"N/A",IF('[1]#REF'!$AD$21&lt;&gt;Brand_Profile!$F$14,Lookup_Lists!$D$151,MIN(100,ROUND('[1]#REF'!$AE$21/Lookup_Lists!$D$316*100,0))))),Lookup_Lists!$D$118,0)+IF(ISNUMBER(IF(NOT(ISNUMBER('[1]#REF'!$AM$21)),"N/A",MIN(100,ROUND((IF('[1]#REF'!$AG$21=Brand_Profile!$F$15,IF(ISNUMBER('[1]#REF'!$AH$21),'[1]#REF'!$AH$21,0),0)+IF('[1]#REF'!$AI$21=Brand_Profile!$F$15,IF(ISNUMBER('[1]#REF'!$AJ$21),'[1]#REF'!$AJ$21,0),0)+IF('[1]#REF'!$AK$21=Brand_Profile!$F$15,IF(ISNUMBER('[1]#REF'!$AL$21),'[1]#REF'!$AL$21,0),0))/Lookup_Lists!$D$317*100,0)))),Lookup_Lists!$D$120,0)),0))</f>
        <v>N/A</v>
      </c>
      <c r="R45" s="65" t="str">
        <f>IF(NOT(ISNUMBER('[1]#REF'!$AN$21)),"N/A",MIN(100,ROUND((IF(ISNUMBER('[1]#REF'!$AO$21),'[1]#REF'!$AO$21*Brand_Profile!$F$17,0)+IF(ISNUMBER('[1]#REF'!$AP$21),'[1]#REF'!$AP$21*Brand_Profile!$F$18,0)+IF(ISNUMBER('[1]#REF'!$AQ$21),'[1]#REF'!$AQ$21*Brand_Profile!$F$19,0)+IF(ISNUMBER('[1]#REF'!$AR$21),'[1]#REF'!$AR$21*Brand_Profile!$F$20,0)+IF(ISNUMBER('[1]#REF'!$AS$21),'[1]#REF'!$AS$21*Brand_Profile!$F$21,0)+IF(ISNUMBER('[1]#REF'!$AT$21),'[1]#REF'!$AT$21*Brand_Profile!$F$22,0)+IF(ISNUMBER('[1]#REF'!$AU$21),'[1]#REF'!$AU$21*Brand_Profile!$F$23,0)+IF(ISNUMBER('[1]#REF'!$AV$21),'[1]#REF'!$AV$21*Brand_Profile!$F$24,0)+IF(ISNUMBER('[1]#REF'!$AW$21),'[1]#REF'!$AW$21*Brand_Profile!$F$25,0)+IF(ISNUMBER('[1]#REF'!$AX$21),'[1]#REF'!$AX$21*Brand_Profile!$F$26,0)+IF(ISNUMBER('[1]#REF'!$AY$21),'[1]#REF'!$AY$21*Brand_Profile!$F$27,0)+IF(ISNUMBER('[1]#REF'!$AZ$21),'[1]#REF'!$AZ$21*Brand_Profile!$F$28,0)+IF(ISNUMBER('[1]#REF'!$BA$21),'[1]#REF'!$BA$21*Brand_Profile!$F$29,0)+IF(ISNUMBER('[1]#REF'!$BB$21),'[1]#REF'!$BB$21*Brand_Profile!$F$30,0)+IF(ISNUMBER('[1]#REF'!$BC$21),'[1]#REF'!$BC$21*Brand_Profile!$F$31,0)+IF(ISNUMBER('[1]#REF'!$BD$21),'[1]#REF'!$BD$21*Brand_Profile!$F$32,0)+IF(ISNUMBER('[1]#REF'!$BE$21),'[1]#REF'!$BE$21*Brand_Profile!$F$33,0)+IF(ISNUMBER('[1]#REF'!$BF$21),'[1]#REF'!$BF$21*Brand_Profile!$F$34,0))/Lookup_Lists!$D$318*100,0)))</f>
        <v>N/A</v>
      </c>
      <c r="S45" s="63">
        <f ca="1">IF((IF(ISNUMBER(Matching_Engine!$O$45),Lookup_Lists!$D$113,0)+IF(ISNUMBER(Matching_Engine!$P$45),Lookup_Lists!$D$114,0)+IF(ISNUMBER(Matching_Engine!$Q$45),Lookup_Lists!$D$115,0)+IF(ISNUMBER(Matching_Engine!$R$45),Lookup_Lists!$D$116,0))=0,"N/A",ROUND((IF(ISNUMBER(Matching_Engine!$O$45),Matching_Engine!$O$45*Lookup_Lists!$D$113,0)+IF(ISNUMBER(Matching_Engine!$P$45),Matching_Engine!$P$45*Lookup_Lists!$D$114,0)+IF(ISNUMBER(Matching_Engine!$Q$45),Matching_Engine!$Q$45*Lookup_Lists!$D$115,0)+IF(ISNUMBER(Matching_Engine!$R$45),Matching_Engine!$R$45*Lookup_Lists!$D$116,0))/(IF(ISNUMBER(Matching_Engine!$O$45),Lookup_Lists!$D$113,0)+IF(ISNUMBER(Matching_Engine!$P$45),Lookup_Lists!$D$114,0)+IF(ISNUMBER(Matching_Engine!$Q$45),Lookup_Lists!$D$115,0)+IF(ISNUMBER(Matching_Engine!$R$45),Lookup_Lists!$D$116,0)),0))</f>
        <v>64</v>
      </c>
      <c r="T45" s="42">
        <f ca="1">IF(ISNUMBER(Matching_Engine!$S$45),1,0)</f>
        <v>1</v>
      </c>
      <c r="U45" s="65" t="e">
        <f>IF(NOT(AND(ISTEXT('[1]#REF'!$M$21),'[1]#REF'!$M$21&lt;&gt;"N/A")),Lookup_Lists!$D$150,IF(Brand_Profile!$F$7='[1]#REF'!$M$21,100,IFERROR(INDEX(Lookup_Lists!$B$349:$J$357,MATCH(Brand_Profile!$F$7,Lookup_Lists!$A$349:$A$357,0),MATCH('[1]#REF'!$M$21,Lookup_Lists!$B$348:$J$348,0)),Lookup_Lists!$D$151)))</f>
        <v>#REF!</v>
      </c>
      <c r="V45" s="65" t="e">
        <f>IF(NOT(AND(ISTEXT('[1]#REF'!$P$21),'[1]#REF'!$P$21&lt;&gt;"N/A")),"N/A",IFERROR(INDEX(Lookup_Lists!$B$349:$J$357,MATCH(Brand_Profile!$F$7,Lookup_Lists!$A$349:$A$357,0),MATCH('[1]#REF'!$P$21,Lookup_Lists!$B$348:$J$348,0)),Lookup_Lists!$D$151))</f>
        <v>#REF!</v>
      </c>
      <c r="W45" s="65" t="e">
        <f>IF(LEN(TRIM(SUBSTITUTE(Matching_Engine!$BE$45,"|","")))=0,"N/A",IF(Brand_Profile!$F$60=0,Lookup_Lists!$D$150,ROUND((IF(Brand_Profile!$F$54="",0,IF(ISNUMBER(SEARCH(Brand_Profile!$F$54,Matching_Engine!$BE$45)),1,0))+IF(Brand_Profile!$F$55="",0,IF(ISNUMBER(SEARCH(Brand_Profile!$F$55,Matching_Engine!$BE$45)),1,0))+IF(Brand_Profile!$F$56="",0,IF(ISNUMBER(SEARCH(Brand_Profile!$F$56,Matching_Engine!$BE$45)),1,0))+IF(Brand_Profile!$F$57="",0,IF(ISNUMBER(SEARCH(Brand_Profile!$F$57,Matching_Engine!$BE$45)),1,0))+IF(Brand_Profile!$F$58="",0,IF(ISNUMBER(SEARCH(Brand_Profile!$F$58,Matching_Engine!$BE$45)),1,0))+IF(Brand_Profile!$F$59="",0,IF(ISNUMBER(SEARCH(Brand_Profile!$F$59,Matching_Engine!$BE$45)),1,0)))/Brand_Profile!$F$60*100,0)))</f>
        <v>#VALUE!</v>
      </c>
      <c r="X45" s="65" t="e">
        <f>IF(NOT(AND(ISTEXT('[1]#REF'!$Q$21),'[1]#REF'!$Q$21&lt;&gt;"N/A")),"N/A",Lookup_Lists!$D$150)</f>
        <v>#REF!</v>
      </c>
      <c r="Y45" s="63">
        <f>IF((IF(ISNUMBER(Matching_Engine!$U$45),Lookup_Lists!$D$335,0)+IF(ISNUMBER(Matching_Engine!$V$45),Lookup_Lists!$D$122,0)+IF(ISNUMBER(Matching_Engine!$W$45),Lookup_Lists!$D$336,0)+IF(ISNUMBER(Matching_Engine!$X$45),Lookup_Lists!$D$124,0))=0,"N/A",ROUND((IF(ISNUMBER(Matching_Engine!$U$45),Matching_Engine!$U$45*Lookup_Lists!$D$335,0)+IF(ISNUMBER(Matching_Engine!$V$45),Matching_Engine!$V$45*Lookup_Lists!$D$122,0)+IF(ISNUMBER(Matching_Engine!$W$45),Matching_Engine!$W$45*Lookup_Lists!$D$336,0)+IF(ISNUMBER(Matching_Engine!$X$45),Matching_Engine!$X$45*Lookup_Lists!$D$124,0))/(IF(ISNUMBER(Matching_Engine!$U$45),Lookup_Lists!$D$335,0)+IF(ISNUMBER(Matching_Engine!$V$45),Lookup_Lists!$D$122,0)+IF(ISNUMBER(Matching_Engine!$W$45),Lookup_Lists!$D$336,0)+IF(ISNUMBER(Matching_Engine!$X$45),Lookup_Lists!$D$124,0)),0))</f>
        <v>13</v>
      </c>
      <c r="Z45" s="42">
        <f>IF(ISNUMBER(Matching_Engine!$Y$45),1,0)</f>
        <v>1</v>
      </c>
      <c r="AA45" s="65" t="e">
        <f>IF(NOT(AND(ISTEXT('[1]#REF'!$Q$21),'[1]#REF'!$Q$21&lt;&gt;"N/A")),"N/A",Lookup_Lists!$D$150)</f>
        <v>#REF!</v>
      </c>
      <c r="AB45" s="65" t="e">
        <f>IF(NOT(AND(ISTEXT('[1]#REF'!$Q$21),'[1]#REF'!$Q$21&lt;&gt;"N/A")),"N/A",Lookup_Lists!$D$150)</f>
        <v>#REF!</v>
      </c>
      <c r="AC45" s="65" t="str">
        <f t="shared" si="0"/>
        <v>N/A</v>
      </c>
      <c r="AD45" s="65" t="e">
        <f>IF(NOT(AND(ISTEXT('[1]#REF'!$Q$21),'[1]#REF'!$Q$21&lt;&gt;"N/A")),"N/A",Lookup_Lists!$D$150)</f>
        <v>#REF!</v>
      </c>
      <c r="AE45" s="63">
        <f>IF((IF(ISNUMBER(Matching_Engine!$AA$45),Lookup_Lists!$D$125,0)+IF(ISNUMBER(Matching_Engine!$AB$45),Lookup_Lists!$D$126,0)+IF(ISNUMBER(Matching_Engine!$AC$45),Lookup_Lists!$D$127,0)+IF(ISNUMBER(Matching_Engine!$AD$45),Lookup_Lists!$D$128,0))=0,"N/A",ROUND((IF(ISNUMBER(Matching_Engine!$AA$45),Matching_Engine!$AA$45*Lookup_Lists!$D$125,0)+IF(ISNUMBER(Matching_Engine!$AB$45),Matching_Engine!$AB$45*Lookup_Lists!$D$126,0)+IF(ISNUMBER(Matching_Engine!$AC$45),Matching_Engine!$AC$45*Lookup_Lists!$D$127,0)+IF(ISNUMBER(Matching_Engine!$AD$45),Matching_Engine!$AD$45*Lookup_Lists!$D$128,0))/(IF(ISNUMBER(Matching_Engine!$AA$45),Lookup_Lists!$D$125,0)+IF(ISNUMBER(Matching_Engine!$AB$45),Lookup_Lists!$D$126,0)+IF(ISNUMBER(Matching_Engine!$AC$45),Lookup_Lists!$D$127,0)+IF(ISNUMBER(Matching_Engine!$AD$45),Lookup_Lists!$D$128,0)),0))</f>
        <v>58</v>
      </c>
      <c r="AF45" s="42">
        <f>IF(ISNUMBER(Matching_Engine!$AE$45),1,0)</f>
        <v>1</v>
      </c>
      <c r="AG45" s="65" t="str">
        <f>IF(NOT(ISNUMBER('[1]#REF'!$BG$21)),"N/A",MIN(100,ROUND('[1]#REF'!$BG$21/IFERROR(INDEX(Lookup_Lists!$B$340:$B$344,MATCH('[1]#REF'!$H$21,Lookup_Lists!$A$340:$A$344,0)),Lookup_Lists!$D$141)*100,0)))</f>
        <v>N/A</v>
      </c>
      <c r="AH45" s="65" t="str">
        <f>IF(NOT(ISNUMBER('[1]#REF'!$BS$21)),"N/A",MIN(100,MAX(0,'[1]#REF'!$BS$21)))</f>
        <v>N/A</v>
      </c>
      <c r="AI45" s="65" t="e">
        <f>IF(OR(NOT(ISNUMBER('[1]#REF'!$BM$21)),NOT(ISNUMBER('[1]#REF'!$BN$21)),'[1]#REF'!$BN$21&lt;Lookup_Lists!$D$320),"N/A",MIN(100,ROUND('[1]#REF'!$BM$21/Lookup_Lists!$D$319*100,0)))</f>
        <v>#REF!</v>
      </c>
      <c r="AJ45" s="65" t="str">
        <f>IF(NOT(ISNUMBER('[1]#REF'!$BR$21)),"N/A",'[1]#REF'!$BR$21)</f>
        <v>N/A</v>
      </c>
      <c r="AK45" s="65" t="str">
        <f>IF(NOT(ISNUMBER('[1]#REF'!$BK$21)),"N/A",MIN(100,ROUND('[1]#REF'!$BK$21/Lookup_Lists!$D$321*100,0)))</f>
        <v>N/A</v>
      </c>
      <c r="AL45" s="65" t="str">
        <f>IF(NOT(ISNUMBER('[1]#REF'!$BP$21)),"N/A",MIN(100,MAX(0,ROUND(('[1]#REF'!$BP$21+2)/(Lookup_Lists!$D$145+2)*100,0))))</f>
        <v>N/A</v>
      </c>
      <c r="AM45" s="63">
        <f>IF((IF(ISNUMBER(Matching_Engine!$AG$45),Lookup_Lists!$D$129,0)+IF(ISNUMBER(Matching_Engine!$AH$45),Lookup_Lists!$D$130,0)+IF(ISNUMBER(Matching_Engine!$AI$45),Lookup_Lists!$D$131,0)+IF(ISNUMBER(Matching_Engine!$AJ$45),Lookup_Lists!$D$132,0)+IF(ISNUMBER(Matching_Engine!$AK$45),Lookup_Lists!$D$133,0)+IF(ISNUMBER(Matching_Engine!$AL$45),Lookup_Lists!$D$134,0))=0,"N/A",ROUND((IF(ISNUMBER(Matching_Engine!$AG$45),Matching_Engine!$AG$45*Lookup_Lists!$D$129,0)+IF(ISNUMBER(Matching_Engine!$AH$45),Matching_Engine!$AH$45*Lookup_Lists!$D$130,0)+IF(ISNUMBER(Matching_Engine!$AI$45),Matching_Engine!$AI$45*Lookup_Lists!$D$131,0)+IF(ISNUMBER(Matching_Engine!$AJ$45),Matching_Engine!$AJ$45*Lookup_Lists!$D$132,0)+IF(ISNUMBER(Matching_Engine!$AK$45),Matching_Engine!$AK$45*Lookup_Lists!$D$133,0)+IF(ISNUMBER(Matching_Engine!$AL$45),Matching_Engine!$AL$45*Lookup_Lists!$D$134,0))/(IF(ISNUMBER(Matching_Engine!$AG$45),Lookup_Lists!$D$129,0)+IF(ISNUMBER(Matching_Engine!$AH$45),Lookup_Lists!$D$130,0)+IF(ISNUMBER(Matching_Engine!$AI$45),Lookup_Lists!$D$131,0)+IF(ISNUMBER(Matching_Engine!$AJ$45),Lookup_Lists!$D$132,0)+IF(ISNUMBER(Matching_Engine!$AK$45),Lookup_Lists!$D$133,0)+IF(ISNUMBER(Matching_Engine!$AL$45),Lookup_Lists!$D$134,0)),0))</f>
        <v>66</v>
      </c>
      <c r="AN45" s="42">
        <f>IF(ISNUMBER(Matching_Engine!$AM$45),1,0)</f>
        <v>0</v>
      </c>
      <c r="AO45" s="65" t="str">
        <f>IF(NOT(ISNUMBER('[1]#REF'!$BT$21)),"N/A",MIN(100,MAX(0,'[1]#REF'!$BT$21)))</f>
        <v>N/A</v>
      </c>
      <c r="AP45" s="65" t="str">
        <f>IF(NOT(ISNUMBER('[1]#REF'!$BU$21)),"N/A",MIN(100,MAX(0,'[1]#REF'!$BU$21)))</f>
        <v>N/A</v>
      </c>
      <c r="AQ45" s="65" t="e">
        <f>IF('[1]#REF'!$I$21="Yes",Lookup_Lists!$D$326,IF('[1]#REF'!$I$21="No",Lookup_Lists!$D$327,"N/A"))</f>
        <v>#REF!</v>
      </c>
      <c r="AR45" s="65" t="str">
        <f>IF(NOT(ISNUMBER('[1]#REF'!$BQ$21)),"N/A",MAX(0,ROUND(100-'[1]#REF'!$BQ$21/Lookup_Lists!$D$328*100,0)))</f>
        <v>N/A</v>
      </c>
      <c r="AS45" s="65" t="e">
        <f>IF(NOT(AND(ISTEXT('[1]#REF'!$BV$21),'[1]#REF'!$BV$21&lt;&gt;"N/A")),"N/A",'[1]#REF'!$BV$21)</f>
        <v>#REF!</v>
      </c>
      <c r="AT45" s="63" t="str">
        <f ca="1">IF((IF(ISNUMBER(Matching_Engine!$AO$45),Lookup_Lists!$D$322,0)+IF(ISNUMBER(Matching_Engine!$AP$45),Lookup_Lists!$D$323,0)+IF(ISNUMBER(Matching_Engine!$AQ$45),Lookup_Lists!$D$324,0)+IF(ISNUMBER(Matching_Engine!$AR$45),Lookup_Lists!$D$325,0))=0,"N/A",ROUND((IF(ISNUMBER(Matching_Engine!$AO$45),Matching_Engine!$AO$45*Lookup_Lists!$D$322,0)+IF(ISNUMBER(Matching_Engine!$AP$45),Matching_Engine!$AP$45*Lookup_Lists!$D$323,0)+IF(ISNUMBER(Matching_Engine!$AQ$45),Matching_Engine!$AQ$45*Lookup_Lists!$D$324,0)+IF(ISNUMBER(Matching_Engine!$AR$45),Matching_Engine!$AR$45*Lookup_Lists!$D$325,0))/(IF(ISNUMBER(Matching_Engine!$AO$45),Lookup_Lists!$D$322,0)+IF(ISNUMBER(Matching_Engine!$AP$45),Lookup_Lists!$D$323,0)+IF(ISNUMBER(Matching_Engine!$AQ$45),Lookup_Lists!$D$324,0)+IF(ISNUMBER(Matching_Engine!$AR$45),Lookup_Lists!$D$325,0)),0))</f>
        <v>N/A</v>
      </c>
      <c r="AU45" s="42">
        <f>IF(ISNUMBER(Matching_Engine!$AT$45),1,0)</f>
        <v>1</v>
      </c>
      <c r="AV45" s="42" t="str">
        <f>IF(NOT(ISNUMBER(Matching_Engine!$AT$45)),"Not Screened",IF(Matching_Engine!$AT$45&gt;=Lookup_Lists!$D$329,"Low Risk",IF(Matching_Engine!$AT$45&gt;=Lookup_Lists!$D$330,"Moderate Risk",IF(Matching_Engine!$AT$45&gt;=Lookup_Lists!$D$331,"Elevated Risk","High Risk"))))</f>
        <v>Low Risk</v>
      </c>
      <c r="AW45" s="42" t="e">
        <f ca="1">IF(NOT(ISNUMBER(Matching_Engine!$AT$45)),"No integrity signal: no audience-analysis row for this account.","Integrity screen only — no content-risk reading exists (comments_analysis: 0 rows). "&amp;IF(ISNUMBER(Matching_Engine!$AO$45),"Authenticity "&amp;Matching_Engine!$AO$45&amp;". ","Authenticity N/A. ")&amp;IF(ISNUMBER(Matching_Engine!$AP$45),"Follower quality "&amp;Matching_Engine!$AP$45&amp;". ","Follower quality N/A. ")&amp;IF('[1]#REF'!$I$21="Yes","Platform-verified.","Not platform-verified."))</f>
        <v>#REF!</v>
      </c>
      <c r="AX45" s="65">
        <f>Matching_Engine!$N$45*Lookup_Lists!$D$104+Matching_Engine!$T$45*Lookup_Lists!$D$105+Matching_Engine!$Z$45*Lookup_Lists!$D$106+Matching_Engine!$AF$45*Lookup_Lists!$D$107+Matching_Engine!$AN$45*Lookup_Lists!$D$108+Matching_Engine!$AU$45*Lookup_Lists!$D$109</f>
        <v>3730</v>
      </c>
      <c r="AY45" s="74" t="e">
        <f ca="1">IF(Matching_Engine!$AX$45=0,"N/A",ROUND((IF(Matching_Engine!$N$45=1,Matching_Engine!$M$45*Lookup_Lists!$D$104,0)+IF(Matching_Engine!$T$45=1,Matching_Engine!$S$45*Lookup_Lists!$D$105,0)+IF(Matching_Engine!$Z$45=1,Matching_Engine!$Y$45*Lookup_Lists!$D$106,0)+IF(Matching_Engine!$AF$45=1,Matching_Engine!$AE$45*Lookup_Lists!$D$107,0)+IF(Matching_Engine!$AN$45=1,Matching_Engine!$AM$45*Lookup_Lists!$D$108,0)+IF(Matching_Engine!$AU$45=1,Matching_Engine!$AT$45*Lookup_Lists!$D$109,0))/Matching_Engine!$AX$45,0))</f>
        <v>#VALUE!</v>
      </c>
      <c r="AZ45" s="42" t="str">
        <f ca="1">IF(NOT(ISNUMBER(Matching_Engine!$AY$45)),"Not Scored",IF(Matching_Engine!$AY$45&gt;=Lookup_Lists!$D$152,"Excellent Match",IF(Matching_Engine!$AY$45&gt;=Lookup_Lists!$D$153,"Strong Match",IF(Matching_Engine!$AY$45&gt;=Lookup_Lists!$D$154,"Good Match",IF(Matching_Engine!$AY$45&gt;=Lookup_Lists!$D$155,"Moderate Match","Low Match")))))</f>
        <v>Low Match</v>
      </c>
      <c r="BA45" s="65" t="e">
        <f>'[1]#REF'!$BW$21</f>
        <v>#REF!</v>
      </c>
      <c r="BB45" s="42" t="e">
        <f>'[1]#REF'!$BX$21</f>
        <v>#REF!</v>
      </c>
      <c r="BC45" s="65">
        <f ca="1">IF(NOT(ISNUMBER(Matching_Engine!$AY$45)),-1,Matching_Engine!$AY$45*1000+9)</f>
        <v>50009</v>
      </c>
      <c r="BD45" s="42" t="e">
        <f>IF(AND(ISTEXT('[1]#REF'!$S$21),'[1]#REF'!$S$21&lt;&gt;"N/A"),'[1]#REF'!$S$21,"")&amp;" | "&amp;IF(AND(ISTEXT('[1]#REF'!$T$21),'[1]#REF'!$T$21&lt;&gt;"N/A"),'[1]#REF'!$T$21,"")&amp;" | "&amp;IF(AND(ISTEXT('[1]#REF'!$N$21),'[1]#REF'!$N$21&lt;&gt;"N/A"),'[1]#REF'!$N$21,"")&amp;" | "&amp;IF(AND(ISTEXT('[1]#REF'!$K$21),'[1]#REF'!$K$21&lt;&gt;"N/A"),'[1]#REF'!$K$21,"")&amp;" | "&amp;IF(AND(ISTEXT('[1]#REF'!$J$21),'[1]#REF'!$J$21&lt;&gt;"N/A"),'[1]#REF'!$J$21,"")</f>
        <v>#REF!</v>
      </c>
      <c r="BE45" s="42" t="e">
        <f>IF(AND(ISTEXT('[1]#REF'!$T$21),'[1]#REF'!$T$21&lt;&gt;"N/A"),'[1]#REF'!$T$21,"")&amp;" | "&amp;IF(AND(ISTEXT('[1]#REF'!$N$21),'[1]#REF'!$N$21&lt;&gt;"N/A"),'[1]#REF'!$N$21,"")&amp;" | "&amp;IF(AND(ISTEXT('[1]#REF'!$O$21),'[1]#REF'!$O$21&lt;&gt;"N/A"),'[1]#REF'!$O$21,"")&amp;" | "&amp;IF(AND(ISTEXT('[1]#REF'!$S$21),'[1]#REF'!$S$21&lt;&gt;"N/A"),'[1]#REF'!$S$21,"")</f>
        <v>#REF!</v>
      </c>
      <c r="BF45" s="42" t="e">
        <f>IF(AND(ISTEXT('[1]#REF'!$U$21),'[1]#REF'!$U$21&lt;&gt;"N/A"),'[1]#REF'!$U$21,"")</f>
        <v>#REF!</v>
      </c>
      <c r="BG45" s="42" t="str">
        <f>Matching_Engine!$A$45&amp;"|"&amp;Matching_Engine!$C$45</f>
        <v>BRAND-B|KOL-10</v>
      </c>
    </row>
    <row r="46" spans="1:59">
      <c r="A46" s="64" t="s">
        <v>2528</v>
      </c>
      <c r="B46" s="42" t="str">
        <f>Brand_Profile!$F$6</f>
        <v>BRAND-C</v>
      </c>
      <c r="C46" s="42" t="e">
        <f>'[1]#REF'!$A$22</f>
        <v>#REF!</v>
      </c>
      <c r="D46" s="42" t="e">
        <f>'[1]#REF'!$C$22</f>
        <v>#REF!</v>
      </c>
      <c r="E46" s="42" t="e">
        <f>'[1]#REF'!$D$22</f>
        <v>#REF!</v>
      </c>
      <c r="F46" s="42" t="e">
        <f>'[1]#REF'!$E$22</f>
        <v>#REF!</v>
      </c>
      <c r="G46" s="42" t="e">
        <f>'[1]#REF'!$K$22</f>
        <v>#REF!</v>
      </c>
      <c r="H46" s="72" t="e">
        <f>'[1]#REF'!$G$22</f>
        <v>#REF!</v>
      </c>
      <c r="I46" s="73" t="e">
        <f>'[1]#REF'!$BG$22</f>
        <v>#REF!</v>
      </c>
      <c r="J46" s="65" t="e">
        <f>IF(NOT(AND(ISTEXT('[1]#REF'!$K$22),'[1]#REF'!$K$22&lt;&gt;"N/A")),Lookup_Lists!$D$150,IF(Brand_Profile!$F$7='[1]#REF'!$K$22,100,IFERROR(INDEX(Lookup_Lists!$B$349:$J$357,MATCH(Brand_Profile!$F$7,Lookup_Lists!$A$349:$A$357,0),MATCH('[1]#REF'!$K$22,Lookup_Lists!$B$348:$J$348,0)),Lookup_Lists!$D$151)))</f>
        <v>#REF!</v>
      </c>
      <c r="K46" s="65" t="e">
        <f>IF(LEN(TRIM(SUBSTITUTE(Matching_Engine!$BD$46,"|","")))=0,"N/A",IF(Brand_Profile!$F$47=0,Lookup_Lists!$D$150,ROUND((IF(Brand_Profile!$F$41="",0,IF(ISNUMBER(SEARCH(Brand_Profile!$F$41,Matching_Engine!$BD$46)),1,0))+IF(Brand_Profile!$F$42="",0,IF(ISNUMBER(SEARCH(Brand_Profile!$F$42,Matching_Engine!$BD$46)),1,0))+IF(Brand_Profile!$F$43="",0,IF(ISNUMBER(SEARCH(Brand_Profile!$F$43,Matching_Engine!$BD$46)),1,0))+IF(Brand_Profile!$F$44="",0,IF(ISNUMBER(SEARCH(Brand_Profile!$F$44,Matching_Engine!$BD$46)),1,0))+IF(Brand_Profile!$F$45="",0,IF(ISNUMBER(SEARCH(Brand_Profile!$F$45,Matching_Engine!$BD$46)),1,0))+IF(Brand_Profile!$F$46="",0,IF(ISNUMBER(SEARCH(Brand_Profile!$F$46,Matching_Engine!$BD$46)),1,0)))/Brand_Profile!$F$47*100,0)))</f>
        <v>#VALUE!</v>
      </c>
      <c r="L46" s="65" t="e">
        <f>IF(NOT(AND(ISTEXT('[1]#REF'!$U$22),'[1]#REF'!$U$22&lt;&gt;"N/A")),"N/A",IF(Brand_Profile!$F$53=0,Lookup_Lists!$D$150,ROUND((IF(Brand_Profile!$F$48="",0,IF(ISNUMBER(SEARCH(Brand_Profile!$F$48,Matching_Engine!$BF$46)),1,0))+IF(Brand_Profile!$F$49="",0,IF(ISNUMBER(SEARCH(Brand_Profile!$F$49,Matching_Engine!$BF$46)),1,0))+IF(Brand_Profile!$F$50="",0,IF(ISNUMBER(SEARCH(Brand_Profile!$F$50,Matching_Engine!$BF$46)),1,0))+IF(Brand_Profile!$F$51="",0,IF(ISNUMBER(SEARCH(Brand_Profile!$F$51,Matching_Engine!$BF$46)),1,0))+IF(Brand_Profile!$F$52="",0,IF(ISNUMBER(SEARCH(Brand_Profile!$F$52,Matching_Engine!$BF$46)),1,0)))/Brand_Profile!$F$53*100,0)))</f>
        <v>#REF!</v>
      </c>
      <c r="M46" s="63" t="str">
        <f>IF((IF(ISNUMBER(Matching_Engine!$J$46),Lookup_Lists!$D$332,0)+IF(ISNUMBER(Matching_Engine!$K$46),Lookup_Lists!$D$333,0)+IF(ISNUMBER(Matching_Engine!$L$46),Lookup_Lists!$D$334,0))=0,"N/A",ROUND((IF(ISNUMBER(Matching_Engine!$J$46),Matching_Engine!$J$46*Lookup_Lists!$D$332,0)+IF(ISNUMBER(Matching_Engine!$K$46),Matching_Engine!$K$46*Lookup_Lists!$D$333,0)+IF(ISNUMBER(Matching_Engine!$L$46),Matching_Engine!$L$46*Lookup_Lists!$D$334,0))/(IF(ISNUMBER(Matching_Engine!$J$46),Lookup_Lists!$D$332,0)+IF(ISNUMBER(Matching_Engine!$K$46),Lookup_Lists!$D$333,0)+IF(ISNUMBER(Matching_Engine!$L$46),Lookup_Lists!$D$334,0)),0))</f>
        <v>N/A</v>
      </c>
      <c r="N46" s="42">
        <f>IF(ISNUMBER(Matching_Engine!$M$46),1,0)</f>
        <v>1</v>
      </c>
      <c r="O46" s="65" t="str">
        <f ca="1">IF(NOT(ISNUMBER(IFERROR(INDEX('[1]#REF'!$V$22:'[1]#REF'!$Z$22,1,MATCH(Brand_Profile!$F$11,Lookup_Lists!$F$6:$F$10,0)),""))),"N/A",MIN(100,ROUND((IFERROR(INDEX('[1]#REF'!$V$22:'[1]#REF'!$Z$22,1,MATCH(Brand_Profile!$F$11,Lookup_Lists!$F$6:$F$10,0)),"")+0.5*IF(ISNUMBER(IFERROR(INDEX('[1]#REF'!$V$22:'[1]#REF'!$Z$22,1,MATCH(Brand_Profile!$F$12,Lookup_Lists!$F$6:$F$10,0)),"")),IFERROR(INDEX('[1]#REF'!$V$22:'[1]#REF'!$Z$22,1,MATCH(Brand_Profile!$F$12,Lookup_Lists!$F$6:$F$10,0)),""),0))/Lookup_Lists!$D$142*100,0)))</f>
        <v>N/A</v>
      </c>
      <c r="P46" s="65" t="str">
        <f>IF(Brand_Profile!$F$13="Any",100,IF(NOT(ISNUMBER('[1]#REF'!$AA$22)),"N/A",IF(Brand_Profile!$F$13="Female",MIN(100,ROUND('[1]#REF'!$AA$22/Lookup_Lists!$D$143*100,0)),IF(Brand_Profile!$F$13="Male",MIN(100,ROUND(IF(ISNUMBER('[1]#REF'!$AB$22),'[1]#REF'!$AB$22,100-'[1]#REF'!$AA$22)/Lookup_Lists!$D$143*100,0)),MAX(0,ROUND(100-ABS('[1]#REF'!$AA$22-50)*2,0))))))</f>
        <v>N/A</v>
      </c>
      <c r="Q46" s="65" t="str">
        <f>IF((IF(ISNUMBER(IF(NOT(ISNUMBER('[1]#REF'!$AE$22)),"N/A",IF('[1]#REF'!$AD$22&lt;&gt;Brand_Profile!$F$14,Lookup_Lists!$D$151,MIN(100,ROUND('[1]#REF'!$AE$22/Lookup_Lists!$D$316*100,0))))),Lookup_Lists!$D$118,0)+IF(ISNUMBER(IF(NOT(ISNUMBER('[1]#REF'!$AM$22)),"N/A",MIN(100,ROUND((IF('[1]#REF'!$AG$22=Brand_Profile!$F$15,IF(ISNUMBER('[1]#REF'!$AH$22),'[1]#REF'!$AH$22,0),0)+IF('[1]#REF'!$AI$22=Brand_Profile!$F$15,IF(ISNUMBER('[1]#REF'!$AJ$22),'[1]#REF'!$AJ$22,0),0)+IF('[1]#REF'!$AK$22=Brand_Profile!$F$15,IF(ISNUMBER('[1]#REF'!$AL$22),'[1]#REF'!$AL$22,0),0))/Lookup_Lists!$D$317*100,0)))),Lookup_Lists!$D$120,0))=0,"N/A",ROUND((IF(ISNUMBER(IF(NOT(ISNUMBER('[1]#REF'!$AE$22)),"N/A",IF('[1]#REF'!$AD$22&lt;&gt;Brand_Profile!$F$14,Lookup_Lists!$D$151,MIN(100,ROUND('[1]#REF'!$AE$22/Lookup_Lists!$D$316*100,0))))),IF(NOT(ISNUMBER('[1]#REF'!$AE$22)),"N/A",IF('[1]#REF'!$AD$22&lt;&gt;Brand_Profile!$F$14,Lookup_Lists!$D$151,MIN(100,ROUND('[1]#REF'!$AE$22/Lookup_Lists!$D$316*100,0))))*Lookup_Lists!$D$118,0)+IF(ISNUMBER(IF(NOT(ISNUMBER('[1]#REF'!$AM$22)),"N/A",MIN(100,ROUND((IF('[1]#REF'!$AG$22=Brand_Profile!$F$15,IF(ISNUMBER('[1]#REF'!$AH$22),'[1]#REF'!$AH$22,0),0)+IF('[1]#REF'!$AI$22=Brand_Profile!$F$15,IF(ISNUMBER('[1]#REF'!$AJ$22),'[1]#REF'!$AJ$22,0),0)+IF('[1]#REF'!$AK$22=Brand_Profile!$F$15,IF(ISNUMBER('[1]#REF'!$AL$22),'[1]#REF'!$AL$22,0),0))/Lookup_Lists!$D$317*100,0)))),IF(NOT(ISNUMBER('[1]#REF'!$AM$22)),"N/A",MIN(100,ROUND((IF('[1]#REF'!$AG$22=Brand_Profile!$F$15,IF(ISNUMBER('[1]#REF'!$AH$22),'[1]#REF'!$AH$22,0),0)+IF('[1]#REF'!$AI$22=Brand_Profile!$F$15,IF(ISNUMBER('[1]#REF'!$AJ$22),'[1]#REF'!$AJ$22,0),0)+IF('[1]#REF'!$AK$22=Brand_Profile!$F$15,IF(ISNUMBER('[1]#REF'!$AL$22),'[1]#REF'!$AL$22,0),0))/Lookup_Lists!$D$317*100,0)))*Lookup_Lists!$D$120,0))/(IF(ISNUMBER(IF(NOT(ISNUMBER('[1]#REF'!$AE$22)),"N/A",IF('[1]#REF'!$AD$22&lt;&gt;Brand_Profile!$F$14,Lookup_Lists!$D$151,MIN(100,ROUND('[1]#REF'!$AE$22/Lookup_Lists!$D$316*100,0))))),Lookup_Lists!$D$118,0)+IF(ISNUMBER(IF(NOT(ISNUMBER('[1]#REF'!$AM$22)),"N/A",MIN(100,ROUND((IF('[1]#REF'!$AG$22=Brand_Profile!$F$15,IF(ISNUMBER('[1]#REF'!$AH$22),'[1]#REF'!$AH$22,0),0)+IF('[1]#REF'!$AI$22=Brand_Profile!$F$15,IF(ISNUMBER('[1]#REF'!$AJ$22),'[1]#REF'!$AJ$22,0),0)+IF('[1]#REF'!$AK$22=Brand_Profile!$F$15,IF(ISNUMBER('[1]#REF'!$AL$22),'[1]#REF'!$AL$22,0),0))/Lookup_Lists!$D$317*100,0)))),Lookup_Lists!$D$120,0)),0))</f>
        <v>N/A</v>
      </c>
      <c r="R46" s="65" t="str">
        <f>IF(NOT(ISNUMBER('[1]#REF'!$AN$22)),"N/A",MIN(100,ROUND((IF(ISNUMBER('[1]#REF'!$AO$22),'[1]#REF'!$AO$22*Brand_Profile!$F$17,0)+IF(ISNUMBER('[1]#REF'!$AP$22),'[1]#REF'!$AP$22*Brand_Profile!$F$18,0)+IF(ISNUMBER('[1]#REF'!$AQ$22),'[1]#REF'!$AQ$22*Brand_Profile!$F$19,0)+IF(ISNUMBER('[1]#REF'!$AR$22),'[1]#REF'!$AR$22*Brand_Profile!$F$20,0)+IF(ISNUMBER('[1]#REF'!$AS$22),'[1]#REF'!$AS$22*Brand_Profile!$F$21,0)+IF(ISNUMBER('[1]#REF'!$AT$22),'[1]#REF'!$AT$22*Brand_Profile!$F$22,0)+IF(ISNUMBER('[1]#REF'!$AU$22),'[1]#REF'!$AU$22*Brand_Profile!$F$23,0)+IF(ISNUMBER('[1]#REF'!$AV$22),'[1]#REF'!$AV$22*Brand_Profile!$F$24,0)+IF(ISNUMBER('[1]#REF'!$AW$22),'[1]#REF'!$AW$22*Brand_Profile!$F$25,0)+IF(ISNUMBER('[1]#REF'!$AX$22),'[1]#REF'!$AX$22*Brand_Profile!$F$26,0)+IF(ISNUMBER('[1]#REF'!$AY$22),'[1]#REF'!$AY$22*Brand_Profile!$F$27,0)+IF(ISNUMBER('[1]#REF'!$AZ$22),'[1]#REF'!$AZ$22*Brand_Profile!$F$28,0)+IF(ISNUMBER('[1]#REF'!$BA$22),'[1]#REF'!$BA$22*Brand_Profile!$F$29,0)+IF(ISNUMBER('[1]#REF'!$BB$22),'[1]#REF'!$BB$22*Brand_Profile!$F$30,0)+IF(ISNUMBER('[1]#REF'!$BC$22),'[1]#REF'!$BC$22*Brand_Profile!$F$31,0)+IF(ISNUMBER('[1]#REF'!$BD$22),'[1]#REF'!$BD$22*Brand_Profile!$F$32,0)+IF(ISNUMBER('[1]#REF'!$BE$22),'[1]#REF'!$BE$22*Brand_Profile!$F$33,0)+IF(ISNUMBER('[1]#REF'!$BF$22),'[1]#REF'!$BF$22*Brand_Profile!$F$34,0))/Lookup_Lists!$D$318*100,0)))</f>
        <v>N/A</v>
      </c>
      <c r="S46" s="63">
        <f ca="1">IF((IF(ISNUMBER(Matching_Engine!$O$46),Lookup_Lists!$D$113,0)+IF(ISNUMBER(Matching_Engine!$P$46),Lookup_Lists!$D$114,0)+IF(ISNUMBER(Matching_Engine!$Q$46),Lookup_Lists!$D$115,0)+IF(ISNUMBER(Matching_Engine!$R$46),Lookup_Lists!$D$116,0))=0,"N/A",ROUND((IF(ISNUMBER(Matching_Engine!$O$46),Matching_Engine!$O$46*Lookup_Lists!$D$113,0)+IF(ISNUMBER(Matching_Engine!$P$46),Matching_Engine!$P$46*Lookup_Lists!$D$114,0)+IF(ISNUMBER(Matching_Engine!$Q$46),Matching_Engine!$Q$46*Lookup_Lists!$D$115,0)+IF(ISNUMBER(Matching_Engine!$R$46),Matching_Engine!$R$46*Lookup_Lists!$D$116,0))/(IF(ISNUMBER(Matching_Engine!$O$46),Lookup_Lists!$D$113,0)+IF(ISNUMBER(Matching_Engine!$P$46),Lookup_Lists!$D$114,0)+IF(ISNUMBER(Matching_Engine!$Q$46),Lookup_Lists!$D$115,0)+IF(ISNUMBER(Matching_Engine!$R$46),Lookup_Lists!$D$116,0)),0))</f>
        <v>73</v>
      </c>
      <c r="T46" s="42">
        <f ca="1">IF(ISNUMBER(Matching_Engine!$S$46),1,0)</f>
        <v>1</v>
      </c>
      <c r="U46" s="65" t="e">
        <f>IF(NOT(AND(ISTEXT('[1]#REF'!$M$22),'[1]#REF'!$M$22&lt;&gt;"N/A")),Lookup_Lists!$D$150,IF(Brand_Profile!$F$7='[1]#REF'!$M$22,100,IFERROR(INDEX(Lookup_Lists!$B$349:$J$357,MATCH(Brand_Profile!$F$7,Lookup_Lists!$A$349:$A$357,0),MATCH('[1]#REF'!$M$22,Lookup_Lists!$B$348:$J$348,0)),Lookup_Lists!$D$151)))</f>
        <v>#REF!</v>
      </c>
      <c r="V46" s="65" t="e">
        <f>IF(NOT(AND(ISTEXT('[1]#REF'!$P$22),'[1]#REF'!$P$22&lt;&gt;"N/A")),"N/A",IFERROR(INDEX(Lookup_Lists!$B$349:$J$357,MATCH(Brand_Profile!$F$7,Lookup_Lists!$A$349:$A$357,0),MATCH('[1]#REF'!$P$22,Lookup_Lists!$B$348:$J$348,0)),Lookup_Lists!$D$151))</f>
        <v>#REF!</v>
      </c>
      <c r="W46" s="65" t="e">
        <f>IF(LEN(TRIM(SUBSTITUTE(Matching_Engine!$BE$46,"|","")))=0,"N/A",IF(Brand_Profile!$F$60=0,Lookup_Lists!$D$150,ROUND((IF(Brand_Profile!$F$54="",0,IF(ISNUMBER(SEARCH(Brand_Profile!$F$54,Matching_Engine!$BE$46)),1,0))+IF(Brand_Profile!$F$55="",0,IF(ISNUMBER(SEARCH(Brand_Profile!$F$55,Matching_Engine!$BE$46)),1,0))+IF(Brand_Profile!$F$56="",0,IF(ISNUMBER(SEARCH(Brand_Profile!$F$56,Matching_Engine!$BE$46)),1,0))+IF(Brand_Profile!$F$57="",0,IF(ISNUMBER(SEARCH(Brand_Profile!$F$57,Matching_Engine!$BE$46)),1,0))+IF(Brand_Profile!$F$58="",0,IF(ISNUMBER(SEARCH(Brand_Profile!$F$58,Matching_Engine!$BE$46)),1,0))+IF(Brand_Profile!$F$59="",0,IF(ISNUMBER(SEARCH(Brand_Profile!$F$59,Matching_Engine!$BE$46)),1,0)))/Brand_Profile!$F$60*100,0)))</f>
        <v>#VALUE!</v>
      </c>
      <c r="X46" s="65" t="e">
        <f>IF(NOT(AND(ISTEXT('[1]#REF'!$Q$22),'[1]#REF'!$Q$22&lt;&gt;"N/A")),"N/A",Lookup_Lists!$D$150)</f>
        <v>#REF!</v>
      </c>
      <c r="Y46" s="63">
        <f>IF((IF(ISNUMBER(Matching_Engine!$U$46),Lookup_Lists!$D$335,0)+IF(ISNUMBER(Matching_Engine!$V$46),Lookup_Lists!$D$122,0)+IF(ISNUMBER(Matching_Engine!$W$46),Lookup_Lists!$D$336,0)+IF(ISNUMBER(Matching_Engine!$X$46),Lookup_Lists!$D$124,0))=0,"N/A",ROUND((IF(ISNUMBER(Matching_Engine!$U$46),Matching_Engine!$U$46*Lookup_Lists!$D$335,0)+IF(ISNUMBER(Matching_Engine!$V$46),Matching_Engine!$V$46*Lookup_Lists!$D$122,0)+IF(ISNUMBER(Matching_Engine!$W$46),Matching_Engine!$W$46*Lookup_Lists!$D$336,0)+IF(ISNUMBER(Matching_Engine!$X$46),Matching_Engine!$X$46*Lookup_Lists!$D$124,0))/(IF(ISNUMBER(Matching_Engine!$U$46),Lookup_Lists!$D$335,0)+IF(ISNUMBER(Matching_Engine!$V$46),Lookup_Lists!$D$122,0)+IF(ISNUMBER(Matching_Engine!$W$46),Lookup_Lists!$D$336,0)+IF(ISNUMBER(Matching_Engine!$X$46),Lookup_Lists!$D$124,0)),0))</f>
        <v>47</v>
      </c>
      <c r="Z46" s="42">
        <f>IF(ISNUMBER(Matching_Engine!$Y$46),1,0)</f>
        <v>1</v>
      </c>
      <c r="AA46" s="65" t="e">
        <f>IF(NOT(AND(ISTEXT('[1]#REF'!$Q$22),'[1]#REF'!$Q$22&lt;&gt;"N/A")),"N/A",Lookup_Lists!$D$150)</f>
        <v>#REF!</v>
      </c>
      <c r="AB46" s="65" t="e">
        <f>IF(NOT(AND(ISTEXT('[1]#REF'!$Q$22),'[1]#REF'!$Q$22&lt;&gt;"N/A")),"N/A",Lookup_Lists!$D$150)</f>
        <v>#REF!</v>
      </c>
      <c r="AC46" s="65" t="str">
        <f t="shared" si="0"/>
        <v>N/A</v>
      </c>
      <c r="AD46" s="65" t="e">
        <f>IF(NOT(AND(ISTEXT('[1]#REF'!$Q$22),'[1]#REF'!$Q$22&lt;&gt;"N/A")),"N/A",Lookup_Lists!$D$150)</f>
        <v>#REF!</v>
      </c>
      <c r="AE46" s="63">
        <f>IF((IF(ISNUMBER(Matching_Engine!$AA$46),Lookup_Lists!$D$125,0)+IF(ISNUMBER(Matching_Engine!$AB$46),Lookup_Lists!$D$126,0)+IF(ISNUMBER(Matching_Engine!$AC$46),Lookup_Lists!$D$127,0)+IF(ISNUMBER(Matching_Engine!$AD$46),Lookup_Lists!$D$128,0))=0,"N/A",ROUND((IF(ISNUMBER(Matching_Engine!$AA$46),Matching_Engine!$AA$46*Lookup_Lists!$D$125,0)+IF(ISNUMBER(Matching_Engine!$AB$46),Matching_Engine!$AB$46*Lookup_Lists!$D$126,0)+IF(ISNUMBER(Matching_Engine!$AC$46),Matching_Engine!$AC$46*Lookup_Lists!$D$127,0)+IF(ISNUMBER(Matching_Engine!$AD$46),Matching_Engine!$AD$46*Lookup_Lists!$D$128,0))/(IF(ISNUMBER(Matching_Engine!$AA$46),Lookup_Lists!$D$125,0)+IF(ISNUMBER(Matching_Engine!$AB$46),Lookup_Lists!$D$126,0)+IF(ISNUMBER(Matching_Engine!$AC$46),Lookup_Lists!$D$127,0)+IF(ISNUMBER(Matching_Engine!$AD$46),Lookup_Lists!$D$128,0)),0))</f>
        <v>67</v>
      </c>
      <c r="AF46" s="42">
        <f>IF(ISNUMBER(Matching_Engine!$AE$46),1,0)</f>
        <v>1</v>
      </c>
      <c r="AG46" s="65" t="str">
        <f>IF(NOT(ISNUMBER('[1]#REF'!$BG$22)),"N/A",MIN(100,ROUND('[1]#REF'!$BG$22/IFERROR(INDEX(Lookup_Lists!$B$340:$B$344,MATCH('[1]#REF'!$H$22,Lookup_Lists!$A$340:$A$344,0)),Lookup_Lists!$D$141)*100,0)))</f>
        <v>N/A</v>
      </c>
      <c r="AH46" s="65" t="str">
        <f>IF(NOT(ISNUMBER('[1]#REF'!$BS$22)),"N/A",MIN(100,MAX(0,'[1]#REF'!$BS$22)))</f>
        <v>N/A</v>
      </c>
      <c r="AI46" s="65" t="e">
        <f>IF(OR(NOT(ISNUMBER('[1]#REF'!$BM$22)),NOT(ISNUMBER('[1]#REF'!$BN$22)),'[1]#REF'!$BN$22&lt;Lookup_Lists!$D$320),"N/A",MIN(100,ROUND('[1]#REF'!$BM$22/Lookup_Lists!$D$319*100,0)))</f>
        <v>#REF!</v>
      </c>
      <c r="AJ46" s="65" t="str">
        <f>IF(NOT(ISNUMBER('[1]#REF'!$BR$22)),"N/A",'[1]#REF'!$BR$22)</f>
        <v>N/A</v>
      </c>
      <c r="AK46" s="65" t="str">
        <f>IF(NOT(ISNUMBER('[1]#REF'!$BK$22)),"N/A",MIN(100,ROUND('[1]#REF'!$BK$22/Lookup_Lists!$D$321*100,0)))</f>
        <v>N/A</v>
      </c>
      <c r="AL46" s="65" t="str">
        <f>IF(NOT(ISNUMBER('[1]#REF'!$BP$22)),"N/A",MIN(100,MAX(0,ROUND(('[1]#REF'!$BP$22+2)/(Lookup_Lists!$D$145+2)*100,0))))</f>
        <v>N/A</v>
      </c>
      <c r="AM46" s="63">
        <f>IF((IF(ISNUMBER(Matching_Engine!$AG$46),Lookup_Lists!$D$129,0)+IF(ISNUMBER(Matching_Engine!$AH$46),Lookup_Lists!$D$130,0)+IF(ISNUMBER(Matching_Engine!$AI$46),Lookup_Lists!$D$131,0)+IF(ISNUMBER(Matching_Engine!$AJ$46),Lookup_Lists!$D$132,0)+IF(ISNUMBER(Matching_Engine!$AK$46),Lookup_Lists!$D$133,0)+IF(ISNUMBER(Matching_Engine!$AL$46),Lookup_Lists!$D$134,0))=0,"N/A",ROUND((IF(ISNUMBER(Matching_Engine!$AG$46),Matching_Engine!$AG$46*Lookup_Lists!$D$129,0)+IF(ISNUMBER(Matching_Engine!$AH$46),Matching_Engine!$AH$46*Lookup_Lists!$D$130,0)+IF(ISNUMBER(Matching_Engine!$AI$46),Matching_Engine!$AI$46*Lookup_Lists!$D$131,0)+IF(ISNUMBER(Matching_Engine!$AJ$46),Matching_Engine!$AJ$46*Lookup_Lists!$D$132,0)+IF(ISNUMBER(Matching_Engine!$AK$46),Matching_Engine!$AK$46*Lookup_Lists!$D$133,0)+IF(ISNUMBER(Matching_Engine!$AL$46),Matching_Engine!$AL$46*Lookup_Lists!$D$134,0))/(IF(ISNUMBER(Matching_Engine!$AG$46),Lookup_Lists!$D$129,0)+IF(ISNUMBER(Matching_Engine!$AH$46),Lookup_Lists!$D$130,0)+IF(ISNUMBER(Matching_Engine!$AI$46),Lookup_Lists!$D$131,0)+IF(ISNUMBER(Matching_Engine!$AJ$46),Lookup_Lists!$D$132,0)+IF(ISNUMBER(Matching_Engine!$AK$46),Lookup_Lists!$D$133,0)+IF(ISNUMBER(Matching_Engine!$AL$46),Lookup_Lists!$D$134,0)),0))</f>
        <v>58</v>
      </c>
      <c r="AN46" s="42">
        <f>IF(ISNUMBER(Matching_Engine!$AM$46),1,0)</f>
        <v>0</v>
      </c>
      <c r="AO46" s="65" t="str">
        <f>IF(NOT(ISNUMBER('[1]#REF'!$BT$22)),"N/A",MIN(100,MAX(0,'[1]#REF'!$BT$22)))</f>
        <v>N/A</v>
      </c>
      <c r="AP46" s="65" t="str">
        <f>IF(NOT(ISNUMBER('[1]#REF'!$BU$22)),"N/A",MIN(100,MAX(0,'[1]#REF'!$BU$22)))</f>
        <v>N/A</v>
      </c>
      <c r="AQ46" s="65" t="e">
        <f>IF('[1]#REF'!$I$22="Yes",Lookup_Lists!$D$326,IF('[1]#REF'!$I$22="No",Lookup_Lists!$D$327,"N/A"))</f>
        <v>#REF!</v>
      </c>
      <c r="AR46" s="65" t="str">
        <f>IF(NOT(ISNUMBER('[1]#REF'!$BQ$22)),"N/A",MAX(0,ROUND(100-'[1]#REF'!$BQ$22/Lookup_Lists!$D$328*100,0)))</f>
        <v>N/A</v>
      </c>
      <c r="AS46" s="65" t="e">
        <f>IF(NOT(AND(ISTEXT('[1]#REF'!$BV$22),'[1]#REF'!$BV$22&lt;&gt;"N/A")),"N/A",'[1]#REF'!$BV$22)</f>
        <v>#REF!</v>
      </c>
      <c r="AT46" s="63" t="str">
        <f ca="1">IF((IF(ISNUMBER(Matching_Engine!$AO$46),Lookup_Lists!$D$322,0)+IF(ISNUMBER(Matching_Engine!$AP$46),Lookup_Lists!$D$323,0)+IF(ISNUMBER(Matching_Engine!$AQ$46),Lookup_Lists!$D$324,0)+IF(ISNUMBER(Matching_Engine!$AR$46),Lookup_Lists!$D$325,0))=0,"N/A",ROUND((IF(ISNUMBER(Matching_Engine!$AO$46),Matching_Engine!$AO$46*Lookup_Lists!$D$322,0)+IF(ISNUMBER(Matching_Engine!$AP$46),Matching_Engine!$AP$46*Lookup_Lists!$D$323,0)+IF(ISNUMBER(Matching_Engine!$AQ$46),Matching_Engine!$AQ$46*Lookup_Lists!$D$324,0)+IF(ISNUMBER(Matching_Engine!$AR$46),Matching_Engine!$AR$46*Lookup_Lists!$D$325,0))/(IF(ISNUMBER(Matching_Engine!$AO$46),Lookup_Lists!$D$322,0)+IF(ISNUMBER(Matching_Engine!$AP$46),Lookup_Lists!$D$323,0)+IF(ISNUMBER(Matching_Engine!$AQ$46),Lookup_Lists!$D$324,0)+IF(ISNUMBER(Matching_Engine!$AR$46),Lookup_Lists!$D$325,0)),0))</f>
        <v>N/A</v>
      </c>
      <c r="AU46" s="42">
        <f>IF(ISNUMBER(Matching_Engine!$AT$46),1,0)</f>
        <v>1</v>
      </c>
      <c r="AV46" s="42" t="str">
        <f>IF(NOT(ISNUMBER(Matching_Engine!$AT$46)),"Not Screened",IF(Matching_Engine!$AT$46&gt;=Lookup_Lists!$D$329,"Low Risk",IF(Matching_Engine!$AT$46&gt;=Lookup_Lists!$D$330,"Moderate Risk",IF(Matching_Engine!$AT$46&gt;=Lookup_Lists!$D$331,"Elevated Risk","High Risk"))))</f>
        <v>Low Risk</v>
      </c>
      <c r="AW46" s="42" t="e">
        <f ca="1">IF(NOT(ISNUMBER(Matching_Engine!$AT$46)),"No integrity signal: no audience-analysis row for this account.","Integrity screen only — no content-risk reading exists (comments_analysis: 0 rows). "&amp;IF(ISNUMBER(Matching_Engine!$AO$46),"Authenticity "&amp;Matching_Engine!$AO$46&amp;". ","Authenticity N/A. ")&amp;IF(ISNUMBER(Matching_Engine!$AP$46),"Follower quality "&amp;Matching_Engine!$AP$46&amp;". ","Follower quality N/A. ")&amp;IF('[1]#REF'!$I$22="Yes","Platform-verified.","Not platform-verified."))</f>
        <v>#REF!</v>
      </c>
      <c r="AX46" s="65">
        <f>Matching_Engine!$N$46*Lookup_Lists!$D$104+Matching_Engine!$T$46*Lookup_Lists!$D$105+Matching_Engine!$Z$46*Lookup_Lists!$D$106+Matching_Engine!$AF$46*Lookup_Lists!$D$107+Matching_Engine!$AN$46*Lookup_Lists!$D$108+Matching_Engine!$AU$46*Lookup_Lists!$D$109</f>
        <v>5399.5</v>
      </c>
      <c r="AY46" s="74" t="e">
        <f ca="1">IF(Matching_Engine!$AX$46=0,"N/A",ROUND((IF(Matching_Engine!$N$46=1,Matching_Engine!$M$46*Lookup_Lists!$D$104,0)+IF(Matching_Engine!$T$46=1,Matching_Engine!$S$46*Lookup_Lists!$D$105,0)+IF(Matching_Engine!$Z$46=1,Matching_Engine!$Y$46*Lookup_Lists!$D$106,0)+IF(Matching_Engine!$AF$46=1,Matching_Engine!$AE$46*Lookup_Lists!$D$107,0)+IF(Matching_Engine!$AN$46=1,Matching_Engine!$AM$46*Lookup_Lists!$D$108,0)+IF(Matching_Engine!$AU$46=1,Matching_Engine!$AT$46*Lookup_Lists!$D$109,0))/Matching_Engine!$AX$46,0))</f>
        <v>#VALUE!</v>
      </c>
      <c r="AZ46" s="42" t="str">
        <f ca="1">IF(NOT(ISNUMBER(Matching_Engine!$AY$46)),"Not Scored",IF(Matching_Engine!$AY$46&gt;=Lookup_Lists!$D$152,"Excellent Match",IF(Matching_Engine!$AY$46&gt;=Lookup_Lists!$D$153,"Strong Match",IF(Matching_Engine!$AY$46&gt;=Lookup_Lists!$D$154,"Good Match",IF(Matching_Engine!$AY$46&gt;=Lookup_Lists!$D$155,"Moderate Match","Low Match")))))</f>
        <v>Not Scored</v>
      </c>
      <c r="BA46" s="65" t="e">
        <f>'[1]#REF'!$BW$22</f>
        <v>#REF!</v>
      </c>
      <c r="BB46" s="42" t="e">
        <f>'[1]#REF'!$BX$22</f>
        <v>#REF!</v>
      </c>
      <c r="BC46" s="65">
        <f ca="1">IF(NOT(ISNUMBER(Matching_Engine!$AY$46)),-1,Matching_Engine!$AY$46*1000+8)</f>
        <v>-1</v>
      </c>
      <c r="BD46" s="42" t="e">
        <f>IF(AND(ISTEXT('[1]#REF'!$S$22),'[1]#REF'!$S$22&lt;&gt;"N/A"),'[1]#REF'!$S$22,"")&amp;" | "&amp;IF(AND(ISTEXT('[1]#REF'!$T$22),'[1]#REF'!$T$22&lt;&gt;"N/A"),'[1]#REF'!$T$22,"")&amp;" | "&amp;IF(AND(ISTEXT('[1]#REF'!$N$22),'[1]#REF'!$N$22&lt;&gt;"N/A"),'[1]#REF'!$N$22,"")&amp;" | "&amp;IF(AND(ISTEXT('[1]#REF'!$K$22),'[1]#REF'!$K$22&lt;&gt;"N/A"),'[1]#REF'!$K$22,"")&amp;" | "&amp;IF(AND(ISTEXT('[1]#REF'!$J$22),'[1]#REF'!$J$22&lt;&gt;"N/A"),'[1]#REF'!$J$22,"")</f>
        <v>#REF!</v>
      </c>
      <c r="BE46" s="42" t="e">
        <f>IF(AND(ISTEXT('[1]#REF'!$T$22),'[1]#REF'!$T$22&lt;&gt;"N/A"),'[1]#REF'!$T$22,"")&amp;" | "&amp;IF(AND(ISTEXT('[1]#REF'!$N$22),'[1]#REF'!$N$22&lt;&gt;"N/A"),'[1]#REF'!$N$22,"")&amp;" | "&amp;IF(AND(ISTEXT('[1]#REF'!$O$22),'[1]#REF'!$O$22&lt;&gt;"N/A"),'[1]#REF'!$O$22,"")&amp;" | "&amp;IF(AND(ISTEXT('[1]#REF'!$S$22),'[1]#REF'!$S$22&lt;&gt;"N/A"),'[1]#REF'!$S$22,"")</f>
        <v>#REF!</v>
      </c>
      <c r="BF46" s="42" t="e">
        <f>IF(AND(ISTEXT('[1]#REF'!$U$22),'[1]#REF'!$U$22&lt;&gt;"N/A"),'[1]#REF'!$U$22,"")</f>
        <v>#REF!</v>
      </c>
      <c r="BG46" s="42" t="str">
        <f>Matching_Engine!$A$46&amp;"|"&amp;Matching_Engine!$C$46</f>
        <v>BRAND-B|KOL-11</v>
      </c>
    </row>
    <row r="47" spans="1:59">
      <c r="A47" s="64" t="s">
        <v>2528</v>
      </c>
      <c r="B47" s="42" t="str">
        <f>Brand_Profile!$F$6</f>
        <v>BRAND-C</v>
      </c>
      <c r="C47" s="42" t="e">
        <f>'[1]#REF'!$A$23</f>
        <v>#REF!</v>
      </c>
      <c r="D47" s="42" t="e">
        <f>'[1]#REF'!$C$23</f>
        <v>#REF!</v>
      </c>
      <c r="E47" s="42" t="e">
        <f>'[1]#REF'!$D$23</f>
        <v>#REF!</v>
      </c>
      <c r="F47" s="42" t="e">
        <f>'[1]#REF'!$E$23</f>
        <v>#REF!</v>
      </c>
      <c r="G47" s="42" t="e">
        <f>'[1]#REF'!$K$23</f>
        <v>#REF!</v>
      </c>
      <c r="H47" s="72" t="e">
        <f>'[1]#REF'!$G$23</f>
        <v>#REF!</v>
      </c>
      <c r="I47" s="73" t="e">
        <f>'[1]#REF'!$BG$23</f>
        <v>#REF!</v>
      </c>
      <c r="J47" s="65" t="e">
        <f>IF(NOT(AND(ISTEXT('[1]#REF'!$K$23),'[1]#REF'!$K$23&lt;&gt;"N/A")),Lookup_Lists!$D$150,IF(Brand_Profile!$F$7='[1]#REF'!$K$23,100,IFERROR(INDEX(Lookup_Lists!$B$349:$J$357,MATCH(Brand_Profile!$F$7,Lookup_Lists!$A$349:$A$357,0),MATCH('[1]#REF'!$K$23,Lookup_Lists!$B$348:$J$348,0)),Lookup_Lists!$D$151)))</f>
        <v>#REF!</v>
      </c>
      <c r="K47" s="65" t="e">
        <f>IF(LEN(TRIM(SUBSTITUTE(Matching_Engine!$BD$47,"|","")))=0,"N/A",IF(Brand_Profile!$F$47=0,Lookup_Lists!$D$150,ROUND((IF(Brand_Profile!$F$41="",0,IF(ISNUMBER(SEARCH(Brand_Profile!$F$41,Matching_Engine!$BD$47)),1,0))+IF(Brand_Profile!$F$42="",0,IF(ISNUMBER(SEARCH(Brand_Profile!$F$42,Matching_Engine!$BD$47)),1,0))+IF(Brand_Profile!$F$43="",0,IF(ISNUMBER(SEARCH(Brand_Profile!$F$43,Matching_Engine!$BD$47)),1,0))+IF(Brand_Profile!$F$44="",0,IF(ISNUMBER(SEARCH(Brand_Profile!$F$44,Matching_Engine!$BD$47)),1,0))+IF(Brand_Profile!$F$45="",0,IF(ISNUMBER(SEARCH(Brand_Profile!$F$45,Matching_Engine!$BD$47)),1,0))+IF(Brand_Profile!$F$46="",0,IF(ISNUMBER(SEARCH(Brand_Profile!$F$46,Matching_Engine!$BD$47)),1,0)))/Brand_Profile!$F$47*100,0)))</f>
        <v>#VALUE!</v>
      </c>
      <c r="L47" s="65" t="e">
        <f>IF(NOT(AND(ISTEXT('[1]#REF'!$U$23),'[1]#REF'!$U$23&lt;&gt;"N/A")),"N/A",IF(Brand_Profile!$F$53=0,Lookup_Lists!$D$150,ROUND((IF(Brand_Profile!$F$48="",0,IF(ISNUMBER(SEARCH(Brand_Profile!$F$48,Matching_Engine!$BF$47)),1,0))+IF(Brand_Profile!$F$49="",0,IF(ISNUMBER(SEARCH(Brand_Profile!$F$49,Matching_Engine!$BF$47)),1,0))+IF(Brand_Profile!$F$50="",0,IF(ISNUMBER(SEARCH(Brand_Profile!$F$50,Matching_Engine!$BF$47)),1,0))+IF(Brand_Profile!$F$51="",0,IF(ISNUMBER(SEARCH(Brand_Profile!$F$51,Matching_Engine!$BF$47)),1,0))+IF(Brand_Profile!$F$52="",0,IF(ISNUMBER(SEARCH(Brand_Profile!$F$52,Matching_Engine!$BF$47)),1,0)))/Brand_Profile!$F$53*100,0)))</f>
        <v>#REF!</v>
      </c>
      <c r="M47" s="63" t="str">
        <f>IF((IF(ISNUMBER(Matching_Engine!$J$47),Lookup_Lists!$D$332,0)+IF(ISNUMBER(Matching_Engine!$K$47),Lookup_Lists!$D$333,0)+IF(ISNUMBER(Matching_Engine!$L$47),Lookup_Lists!$D$334,0))=0,"N/A",ROUND((IF(ISNUMBER(Matching_Engine!$J$47),Matching_Engine!$J$47*Lookup_Lists!$D$332,0)+IF(ISNUMBER(Matching_Engine!$K$47),Matching_Engine!$K$47*Lookup_Lists!$D$333,0)+IF(ISNUMBER(Matching_Engine!$L$47),Matching_Engine!$L$47*Lookup_Lists!$D$334,0))/(IF(ISNUMBER(Matching_Engine!$J$47),Lookup_Lists!$D$332,0)+IF(ISNUMBER(Matching_Engine!$K$47),Lookup_Lists!$D$333,0)+IF(ISNUMBER(Matching_Engine!$L$47),Lookup_Lists!$D$334,0)),0))</f>
        <v>N/A</v>
      </c>
      <c r="N47" s="42">
        <f>IF(ISNUMBER(Matching_Engine!$M$47),1,0)</f>
        <v>1</v>
      </c>
      <c r="O47" s="65" t="str">
        <f ca="1">IF(NOT(ISNUMBER(IFERROR(INDEX('[1]#REF'!$V$23:'[1]#REF'!$Z$23,1,MATCH(Brand_Profile!$F$11,Lookup_Lists!$F$6:$F$10,0)),""))),"N/A",MIN(100,ROUND((IFERROR(INDEX('[1]#REF'!$V$23:'[1]#REF'!$Z$23,1,MATCH(Brand_Profile!$F$11,Lookup_Lists!$F$6:$F$10,0)),"")+0.5*IF(ISNUMBER(IFERROR(INDEX('[1]#REF'!$V$23:'[1]#REF'!$Z$23,1,MATCH(Brand_Profile!$F$12,Lookup_Lists!$F$6:$F$10,0)),"")),IFERROR(INDEX('[1]#REF'!$V$23:'[1]#REF'!$Z$23,1,MATCH(Brand_Profile!$F$12,Lookup_Lists!$F$6:$F$10,0)),""),0))/Lookup_Lists!$D$142*100,0)))</f>
        <v>N/A</v>
      </c>
      <c r="P47" s="65" t="str">
        <f>IF(Brand_Profile!$F$13="Any",100,IF(NOT(ISNUMBER('[1]#REF'!$AA$23)),"N/A",IF(Brand_Profile!$F$13="Female",MIN(100,ROUND('[1]#REF'!$AA$23/Lookup_Lists!$D$143*100,0)),IF(Brand_Profile!$F$13="Male",MIN(100,ROUND(IF(ISNUMBER('[1]#REF'!$AB$23),'[1]#REF'!$AB$23,100-'[1]#REF'!$AA$23)/Lookup_Lists!$D$143*100,0)),MAX(0,ROUND(100-ABS('[1]#REF'!$AA$23-50)*2,0))))))</f>
        <v>N/A</v>
      </c>
      <c r="Q47" s="65" t="str">
        <f>IF((IF(ISNUMBER(IF(NOT(ISNUMBER('[1]#REF'!$AE$23)),"N/A",IF('[1]#REF'!$AD$23&lt;&gt;Brand_Profile!$F$14,Lookup_Lists!$D$151,MIN(100,ROUND('[1]#REF'!$AE$23/Lookup_Lists!$D$316*100,0))))),Lookup_Lists!$D$118,0)+IF(ISNUMBER(IF(NOT(ISNUMBER('[1]#REF'!$AM$23)),"N/A",MIN(100,ROUND((IF('[1]#REF'!$AG$23=Brand_Profile!$F$15,IF(ISNUMBER('[1]#REF'!$AH$23),'[1]#REF'!$AH$23,0),0)+IF('[1]#REF'!$AI$23=Brand_Profile!$F$15,IF(ISNUMBER('[1]#REF'!$AJ$23),'[1]#REF'!$AJ$23,0),0)+IF('[1]#REF'!$AK$23=Brand_Profile!$F$15,IF(ISNUMBER('[1]#REF'!$AL$23),'[1]#REF'!$AL$23,0),0))/Lookup_Lists!$D$317*100,0)))),Lookup_Lists!$D$120,0))=0,"N/A",ROUND((IF(ISNUMBER(IF(NOT(ISNUMBER('[1]#REF'!$AE$23)),"N/A",IF('[1]#REF'!$AD$23&lt;&gt;Brand_Profile!$F$14,Lookup_Lists!$D$151,MIN(100,ROUND('[1]#REF'!$AE$23/Lookup_Lists!$D$316*100,0))))),IF(NOT(ISNUMBER('[1]#REF'!$AE$23)),"N/A",IF('[1]#REF'!$AD$23&lt;&gt;Brand_Profile!$F$14,Lookup_Lists!$D$151,MIN(100,ROUND('[1]#REF'!$AE$23/Lookup_Lists!$D$316*100,0))))*Lookup_Lists!$D$118,0)+IF(ISNUMBER(IF(NOT(ISNUMBER('[1]#REF'!$AM$23)),"N/A",MIN(100,ROUND((IF('[1]#REF'!$AG$23=Brand_Profile!$F$15,IF(ISNUMBER('[1]#REF'!$AH$23),'[1]#REF'!$AH$23,0),0)+IF('[1]#REF'!$AI$23=Brand_Profile!$F$15,IF(ISNUMBER('[1]#REF'!$AJ$23),'[1]#REF'!$AJ$23,0),0)+IF('[1]#REF'!$AK$23=Brand_Profile!$F$15,IF(ISNUMBER('[1]#REF'!$AL$23),'[1]#REF'!$AL$23,0),0))/Lookup_Lists!$D$317*100,0)))),IF(NOT(ISNUMBER('[1]#REF'!$AM$23)),"N/A",MIN(100,ROUND((IF('[1]#REF'!$AG$23=Brand_Profile!$F$15,IF(ISNUMBER('[1]#REF'!$AH$23),'[1]#REF'!$AH$23,0),0)+IF('[1]#REF'!$AI$23=Brand_Profile!$F$15,IF(ISNUMBER('[1]#REF'!$AJ$23),'[1]#REF'!$AJ$23,0),0)+IF('[1]#REF'!$AK$23=Brand_Profile!$F$15,IF(ISNUMBER('[1]#REF'!$AL$23),'[1]#REF'!$AL$23,0),0))/Lookup_Lists!$D$317*100,0)))*Lookup_Lists!$D$120,0))/(IF(ISNUMBER(IF(NOT(ISNUMBER('[1]#REF'!$AE$23)),"N/A",IF('[1]#REF'!$AD$23&lt;&gt;Brand_Profile!$F$14,Lookup_Lists!$D$151,MIN(100,ROUND('[1]#REF'!$AE$23/Lookup_Lists!$D$316*100,0))))),Lookup_Lists!$D$118,0)+IF(ISNUMBER(IF(NOT(ISNUMBER('[1]#REF'!$AM$23)),"N/A",MIN(100,ROUND((IF('[1]#REF'!$AG$23=Brand_Profile!$F$15,IF(ISNUMBER('[1]#REF'!$AH$23),'[1]#REF'!$AH$23,0),0)+IF('[1]#REF'!$AI$23=Brand_Profile!$F$15,IF(ISNUMBER('[1]#REF'!$AJ$23),'[1]#REF'!$AJ$23,0),0)+IF('[1]#REF'!$AK$23=Brand_Profile!$F$15,IF(ISNUMBER('[1]#REF'!$AL$23),'[1]#REF'!$AL$23,0),0))/Lookup_Lists!$D$317*100,0)))),Lookup_Lists!$D$120,0)),0))</f>
        <v>N/A</v>
      </c>
      <c r="R47" s="65" t="str">
        <f>IF(NOT(ISNUMBER('[1]#REF'!$AN$23)),"N/A",MIN(100,ROUND((IF(ISNUMBER('[1]#REF'!$AO$23),'[1]#REF'!$AO$23*Brand_Profile!$F$17,0)+IF(ISNUMBER('[1]#REF'!$AP$23),'[1]#REF'!$AP$23*Brand_Profile!$F$18,0)+IF(ISNUMBER('[1]#REF'!$AQ$23),'[1]#REF'!$AQ$23*Brand_Profile!$F$19,0)+IF(ISNUMBER('[1]#REF'!$AR$23),'[1]#REF'!$AR$23*Brand_Profile!$F$20,0)+IF(ISNUMBER('[1]#REF'!$AS$23),'[1]#REF'!$AS$23*Brand_Profile!$F$21,0)+IF(ISNUMBER('[1]#REF'!$AT$23),'[1]#REF'!$AT$23*Brand_Profile!$F$22,0)+IF(ISNUMBER('[1]#REF'!$AU$23),'[1]#REF'!$AU$23*Brand_Profile!$F$23,0)+IF(ISNUMBER('[1]#REF'!$AV$23),'[1]#REF'!$AV$23*Brand_Profile!$F$24,0)+IF(ISNUMBER('[1]#REF'!$AW$23),'[1]#REF'!$AW$23*Brand_Profile!$F$25,0)+IF(ISNUMBER('[1]#REF'!$AX$23),'[1]#REF'!$AX$23*Brand_Profile!$F$26,0)+IF(ISNUMBER('[1]#REF'!$AY$23),'[1]#REF'!$AY$23*Brand_Profile!$F$27,0)+IF(ISNUMBER('[1]#REF'!$AZ$23),'[1]#REF'!$AZ$23*Brand_Profile!$F$28,0)+IF(ISNUMBER('[1]#REF'!$BA$23),'[1]#REF'!$BA$23*Brand_Profile!$F$29,0)+IF(ISNUMBER('[1]#REF'!$BB$23),'[1]#REF'!$BB$23*Brand_Profile!$F$30,0)+IF(ISNUMBER('[1]#REF'!$BC$23),'[1]#REF'!$BC$23*Brand_Profile!$F$31,0)+IF(ISNUMBER('[1]#REF'!$BD$23),'[1]#REF'!$BD$23*Brand_Profile!$F$32,0)+IF(ISNUMBER('[1]#REF'!$BE$23),'[1]#REF'!$BE$23*Brand_Profile!$F$33,0)+IF(ISNUMBER('[1]#REF'!$BF$23),'[1]#REF'!$BF$23*Brand_Profile!$F$34,0))/Lookup_Lists!$D$318*100,0)))</f>
        <v>N/A</v>
      </c>
      <c r="S47" s="63">
        <f ca="1">IF((IF(ISNUMBER(Matching_Engine!$O$47),Lookup_Lists!$D$113,0)+IF(ISNUMBER(Matching_Engine!$P$47),Lookup_Lists!$D$114,0)+IF(ISNUMBER(Matching_Engine!$Q$47),Lookup_Lists!$D$115,0)+IF(ISNUMBER(Matching_Engine!$R$47),Lookup_Lists!$D$116,0))=0,"N/A",ROUND((IF(ISNUMBER(Matching_Engine!$O$47),Matching_Engine!$O$47*Lookup_Lists!$D$113,0)+IF(ISNUMBER(Matching_Engine!$P$47),Matching_Engine!$P$47*Lookup_Lists!$D$114,0)+IF(ISNUMBER(Matching_Engine!$Q$47),Matching_Engine!$Q$47*Lookup_Lists!$D$115,0)+IF(ISNUMBER(Matching_Engine!$R$47),Matching_Engine!$R$47*Lookup_Lists!$D$116,0))/(IF(ISNUMBER(Matching_Engine!$O$47),Lookup_Lists!$D$113,0)+IF(ISNUMBER(Matching_Engine!$P$47),Lookup_Lists!$D$114,0)+IF(ISNUMBER(Matching_Engine!$Q$47),Lookup_Lists!$D$115,0)+IF(ISNUMBER(Matching_Engine!$R$47),Lookup_Lists!$D$116,0)),0))</f>
        <v>70</v>
      </c>
      <c r="T47" s="42">
        <f ca="1">IF(ISNUMBER(Matching_Engine!$S$47),1,0)</f>
        <v>1</v>
      </c>
      <c r="U47" s="65" t="e">
        <f>IF(NOT(AND(ISTEXT('[1]#REF'!$M$23),'[1]#REF'!$M$23&lt;&gt;"N/A")),Lookup_Lists!$D$150,IF(Brand_Profile!$F$7='[1]#REF'!$M$23,100,IFERROR(INDEX(Lookup_Lists!$B$349:$J$357,MATCH(Brand_Profile!$F$7,Lookup_Lists!$A$349:$A$357,0),MATCH('[1]#REF'!$M$23,Lookup_Lists!$B$348:$J$348,0)),Lookup_Lists!$D$151)))</f>
        <v>#REF!</v>
      </c>
      <c r="V47" s="65" t="e">
        <f>IF(NOT(AND(ISTEXT('[1]#REF'!$P$23),'[1]#REF'!$P$23&lt;&gt;"N/A")),"N/A",IFERROR(INDEX(Lookup_Lists!$B$349:$J$357,MATCH(Brand_Profile!$F$7,Lookup_Lists!$A$349:$A$357,0),MATCH('[1]#REF'!$P$23,Lookup_Lists!$B$348:$J$348,0)),Lookup_Lists!$D$151))</f>
        <v>#REF!</v>
      </c>
      <c r="W47" s="65" t="e">
        <f>IF(LEN(TRIM(SUBSTITUTE(Matching_Engine!$BE$47,"|","")))=0,"N/A",IF(Brand_Profile!$F$60=0,Lookup_Lists!$D$150,ROUND((IF(Brand_Profile!$F$54="",0,IF(ISNUMBER(SEARCH(Brand_Profile!$F$54,Matching_Engine!$BE$47)),1,0))+IF(Brand_Profile!$F$55="",0,IF(ISNUMBER(SEARCH(Brand_Profile!$F$55,Matching_Engine!$BE$47)),1,0))+IF(Brand_Profile!$F$56="",0,IF(ISNUMBER(SEARCH(Brand_Profile!$F$56,Matching_Engine!$BE$47)),1,0))+IF(Brand_Profile!$F$57="",0,IF(ISNUMBER(SEARCH(Brand_Profile!$F$57,Matching_Engine!$BE$47)),1,0))+IF(Brand_Profile!$F$58="",0,IF(ISNUMBER(SEARCH(Brand_Profile!$F$58,Matching_Engine!$BE$47)),1,0))+IF(Brand_Profile!$F$59="",0,IF(ISNUMBER(SEARCH(Brand_Profile!$F$59,Matching_Engine!$BE$47)),1,0)))/Brand_Profile!$F$60*100,0)))</f>
        <v>#VALUE!</v>
      </c>
      <c r="X47" s="65" t="e">
        <f>IF(NOT(AND(ISTEXT('[1]#REF'!$Q$23),'[1]#REF'!$Q$23&lt;&gt;"N/A")),"N/A",Lookup_Lists!$D$150)</f>
        <v>#REF!</v>
      </c>
      <c r="Y47" s="63">
        <f>IF((IF(ISNUMBER(Matching_Engine!$U$47),Lookup_Lists!$D$335,0)+IF(ISNUMBER(Matching_Engine!$V$47),Lookup_Lists!$D$122,0)+IF(ISNUMBER(Matching_Engine!$W$47),Lookup_Lists!$D$336,0)+IF(ISNUMBER(Matching_Engine!$X$47),Lookup_Lists!$D$124,0))=0,"N/A",ROUND((IF(ISNUMBER(Matching_Engine!$U$47),Matching_Engine!$U$47*Lookup_Lists!$D$335,0)+IF(ISNUMBER(Matching_Engine!$V$47),Matching_Engine!$V$47*Lookup_Lists!$D$122,0)+IF(ISNUMBER(Matching_Engine!$W$47),Matching_Engine!$W$47*Lookup_Lists!$D$336,0)+IF(ISNUMBER(Matching_Engine!$X$47),Matching_Engine!$X$47*Lookup_Lists!$D$124,0))/(IF(ISNUMBER(Matching_Engine!$U$47),Lookup_Lists!$D$335,0)+IF(ISNUMBER(Matching_Engine!$V$47),Lookup_Lists!$D$122,0)+IF(ISNUMBER(Matching_Engine!$W$47),Lookup_Lists!$D$336,0)+IF(ISNUMBER(Matching_Engine!$X$47),Lookup_Lists!$D$124,0)),0))</f>
        <v>47</v>
      </c>
      <c r="Z47" s="42">
        <f>IF(ISNUMBER(Matching_Engine!$Y$47),1,0)</f>
        <v>1</v>
      </c>
      <c r="AA47" s="65" t="e">
        <f>IF(NOT(AND(ISTEXT('[1]#REF'!$Q$23),'[1]#REF'!$Q$23&lt;&gt;"N/A")),"N/A",Lookup_Lists!$D$150)</f>
        <v>#REF!</v>
      </c>
      <c r="AB47" s="65" t="e">
        <f>IF(NOT(AND(ISTEXT('[1]#REF'!$Q$23),'[1]#REF'!$Q$23&lt;&gt;"N/A")),"N/A",Lookup_Lists!$D$150)</f>
        <v>#REF!</v>
      </c>
      <c r="AC47" s="65" t="str">
        <f t="shared" si="0"/>
        <v>N/A</v>
      </c>
      <c r="AD47" s="65" t="e">
        <f>IF(NOT(AND(ISTEXT('[1]#REF'!$Q$23),'[1]#REF'!$Q$23&lt;&gt;"N/A")),"N/A",Lookup_Lists!$D$150)</f>
        <v>#REF!</v>
      </c>
      <c r="AE47" s="63">
        <f>IF((IF(ISNUMBER(Matching_Engine!$AA$47),Lookup_Lists!$D$125,0)+IF(ISNUMBER(Matching_Engine!$AB$47),Lookup_Lists!$D$126,0)+IF(ISNUMBER(Matching_Engine!$AC$47),Lookup_Lists!$D$127,0)+IF(ISNUMBER(Matching_Engine!$AD$47),Lookup_Lists!$D$128,0))=0,"N/A",ROUND((IF(ISNUMBER(Matching_Engine!$AA$47),Matching_Engine!$AA$47*Lookup_Lists!$D$125,0)+IF(ISNUMBER(Matching_Engine!$AB$47),Matching_Engine!$AB$47*Lookup_Lists!$D$126,0)+IF(ISNUMBER(Matching_Engine!$AC$47),Matching_Engine!$AC$47*Lookup_Lists!$D$127,0)+IF(ISNUMBER(Matching_Engine!$AD$47),Matching_Engine!$AD$47*Lookup_Lists!$D$128,0))/(IF(ISNUMBER(Matching_Engine!$AA$47),Lookup_Lists!$D$125,0)+IF(ISNUMBER(Matching_Engine!$AB$47),Lookup_Lists!$D$126,0)+IF(ISNUMBER(Matching_Engine!$AC$47),Lookup_Lists!$D$127,0)+IF(ISNUMBER(Matching_Engine!$AD$47),Lookup_Lists!$D$128,0)),0))</f>
        <v>53</v>
      </c>
      <c r="AF47" s="42">
        <f>IF(ISNUMBER(Matching_Engine!$AE$47),1,0)</f>
        <v>1</v>
      </c>
      <c r="AG47" s="65" t="str">
        <f>IF(NOT(ISNUMBER('[1]#REF'!$BG$23)),"N/A",MIN(100,ROUND('[1]#REF'!$BG$23/IFERROR(INDEX(Lookup_Lists!$B$340:$B$344,MATCH('[1]#REF'!$H$23,Lookup_Lists!$A$340:$A$344,0)),Lookup_Lists!$D$141)*100,0)))</f>
        <v>N/A</v>
      </c>
      <c r="AH47" s="65" t="str">
        <f>IF(NOT(ISNUMBER('[1]#REF'!$BS$23)),"N/A",MIN(100,MAX(0,'[1]#REF'!$BS$23)))</f>
        <v>N/A</v>
      </c>
      <c r="AI47" s="65" t="e">
        <f>IF(OR(NOT(ISNUMBER('[1]#REF'!$BM$23)),NOT(ISNUMBER('[1]#REF'!$BN$23)),'[1]#REF'!$BN$23&lt;Lookup_Lists!$D$320),"N/A",MIN(100,ROUND('[1]#REF'!$BM$23/Lookup_Lists!$D$319*100,0)))</f>
        <v>#REF!</v>
      </c>
      <c r="AJ47" s="65" t="str">
        <f>IF(NOT(ISNUMBER('[1]#REF'!$BR$23)),"N/A",'[1]#REF'!$BR$23)</f>
        <v>N/A</v>
      </c>
      <c r="AK47" s="65" t="str">
        <f>IF(NOT(ISNUMBER('[1]#REF'!$BK$23)),"N/A",MIN(100,ROUND('[1]#REF'!$BK$23/Lookup_Lists!$D$321*100,0)))</f>
        <v>N/A</v>
      </c>
      <c r="AL47" s="65" t="str">
        <f>IF(NOT(ISNUMBER('[1]#REF'!$BP$23)),"N/A",MIN(100,MAX(0,ROUND(('[1]#REF'!$BP$23+2)/(Lookup_Lists!$D$145+2)*100,0))))</f>
        <v>N/A</v>
      </c>
      <c r="AM47" s="63">
        <f>IF((IF(ISNUMBER(Matching_Engine!$AG$47),Lookup_Lists!$D$129,0)+IF(ISNUMBER(Matching_Engine!$AH$47),Lookup_Lists!$D$130,0)+IF(ISNUMBER(Matching_Engine!$AI$47),Lookup_Lists!$D$131,0)+IF(ISNUMBER(Matching_Engine!$AJ$47),Lookup_Lists!$D$132,0)+IF(ISNUMBER(Matching_Engine!$AK$47),Lookup_Lists!$D$133,0)+IF(ISNUMBER(Matching_Engine!$AL$47),Lookup_Lists!$D$134,0))=0,"N/A",ROUND((IF(ISNUMBER(Matching_Engine!$AG$47),Matching_Engine!$AG$47*Lookup_Lists!$D$129,0)+IF(ISNUMBER(Matching_Engine!$AH$47),Matching_Engine!$AH$47*Lookup_Lists!$D$130,0)+IF(ISNUMBER(Matching_Engine!$AI$47),Matching_Engine!$AI$47*Lookup_Lists!$D$131,0)+IF(ISNUMBER(Matching_Engine!$AJ$47),Matching_Engine!$AJ$47*Lookup_Lists!$D$132,0)+IF(ISNUMBER(Matching_Engine!$AK$47),Matching_Engine!$AK$47*Lookup_Lists!$D$133,0)+IF(ISNUMBER(Matching_Engine!$AL$47),Matching_Engine!$AL$47*Lookup_Lists!$D$134,0))/(IF(ISNUMBER(Matching_Engine!$AG$47),Lookup_Lists!$D$129,0)+IF(ISNUMBER(Matching_Engine!$AH$47),Lookup_Lists!$D$130,0)+IF(ISNUMBER(Matching_Engine!$AI$47),Lookup_Lists!$D$131,0)+IF(ISNUMBER(Matching_Engine!$AJ$47),Lookup_Lists!$D$132,0)+IF(ISNUMBER(Matching_Engine!$AK$47),Lookup_Lists!$D$133,0)+IF(ISNUMBER(Matching_Engine!$AL$47),Lookup_Lists!$D$134,0)),0))</f>
        <v>80</v>
      </c>
      <c r="AN47" s="42">
        <f>IF(ISNUMBER(Matching_Engine!$AM$47),1,0)</f>
        <v>0</v>
      </c>
      <c r="AO47" s="65" t="str">
        <f>IF(NOT(ISNUMBER('[1]#REF'!$BT$23)),"N/A",MIN(100,MAX(0,'[1]#REF'!$BT$23)))</f>
        <v>N/A</v>
      </c>
      <c r="AP47" s="65" t="str">
        <f>IF(NOT(ISNUMBER('[1]#REF'!$BU$23)),"N/A",MIN(100,MAX(0,'[1]#REF'!$BU$23)))</f>
        <v>N/A</v>
      </c>
      <c r="AQ47" s="65" t="e">
        <f>IF('[1]#REF'!$I$23="Yes",Lookup_Lists!$D$326,IF('[1]#REF'!$I$23="No",Lookup_Lists!$D$327,"N/A"))</f>
        <v>#REF!</v>
      </c>
      <c r="AR47" s="65" t="str">
        <f>IF(NOT(ISNUMBER('[1]#REF'!$BQ$23)),"N/A",MAX(0,ROUND(100-'[1]#REF'!$BQ$23/Lookup_Lists!$D$328*100,0)))</f>
        <v>N/A</v>
      </c>
      <c r="AS47" s="65" t="e">
        <f>IF(NOT(AND(ISTEXT('[1]#REF'!$BV$23),'[1]#REF'!$BV$23&lt;&gt;"N/A")),"N/A",'[1]#REF'!$BV$23)</f>
        <v>#REF!</v>
      </c>
      <c r="AT47" s="63" t="str">
        <f ca="1">IF((IF(ISNUMBER(Matching_Engine!$AO$47),Lookup_Lists!$D$322,0)+IF(ISNUMBER(Matching_Engine!$AP$47),Lookup_Lists!$D$323,0)+IF(ISNUMBER(Matching_Engine!$AQ$47),Lookup_Lists!$D$324,0)+IF(ISNUMBER(Matching_Engine!$AR$47),Lookup_Lists!$D$325,0))=0,"N/A",ROUND((IF(ISNUMBER(Matching_Engine!$AO$47),Matching_Engine!$AO$47*Lookup_Lists!$D$322,0)+IF(ISNUMBER(Matching_Engine!$AP$47),Matching_Engine!$AP$47*Lookup_Lists!$D$323,0)+IF(ISNUMBER(Matching_Engine!$AQ$47),Matching_Engine!$AQ$47*Lookup_Lists!$D$324,0)+IF(ISNUMBER(Matching_Engine!$AR$47),Matching_Engine!$AR$47*Lookup_Lists!$D$325,0))/(IF(ISNUMBER(Matching_Engine!$AO$47),Lookup_Lists!$D$322,0)+IF(ISNUMBER(Matching_Engine!$AP$47),Lookup_Lists!$D$323,0)+IF(ISNUMBER(Matching_Engine!$AQ$47),Lookup_Lists!$D$324,0)+IF(ISNUMBER(Matching_Engine!$AR$47),Lookup_Lists!$D$325,0)),0))</f>
        <v>N/A</v>
      </c>
      <c r="AU47" s="42">
        <f>IF(ISNUMBER(Matching_Engine!$AT$47),1,0)</f>
        <v>1</v>
      </c>
      <c r="AV47" s="42" t="str">
        <f>IF(NOT(ISNUMBER(Matching_Engine!$AT$47)),"Not Screened",IF(Matching_Engine!$AT$47&gt;=Lookup_Lists!$D$329,"Low Risk",IF(Matching_Engine!$AT$47&gt;=Lookup_Lists!$D$330,"Moderate Risk",IF(Matching_Engine!$AT$47&gt;=Lookup_Lists!$D$331,"Elevated Risk","High Risk"))))</f>
        <v>Low Risk</v>
      </c>
      <c r="AW47" s="42" t="e">
        <f ca="1">IF(NOT(ISNUMBER(Matching_Engine!$AT$47)),"No integrity signal: no audience-analysis row for this account.","Integrity screen only — no content-risk reading exists (comments_analysis: 0 rows). "&amp;IF(ISNUMBER(Matching_Engine!$AO$47),"Authenticity "&amp;Matching_Engine!$AO$47&amp;". ","Authenticity N/A. ")&amp;IF(ISNUMBER(Matching_Engine!$AP$47),"Follower quality "&amp;Matching_Engine!$AP$47&amp;". ","Follower quality N/A. ")&amp;IF('[1]#REF'!$I$23="Yes","Platform-verified.","Not platform-verified."))</f>
        <v>#REF!</v>
      </c>
      <c r="AX47" s="65">
        <f>Matching_Engine!$N$47*Lookup_Lists!$D$104+Matching_Engine!$T$47*Lookup_Lists!$D$105+Matching_Engine!$Z$47*Lookup_Lists!$D$106+Matching_Engine!$AF$47*Lookup_Lists!$D$107+Matching_Engine!$AN$47*Lookup_Lists!$D$108+Matching_Engine!$AU$47*Lookup_Lists!$D$109</f>
        <v>5630</v>
      </c>
      <c r="AY47" s="74" t="e">
        <f ca="1">IF(Matching_Engine!$AX$47=0,"N/A",ROUND((IF(Matching_Engine!$N$47=1,Matching_Engine!$M$47*Lookup_Lists!$D$104,0)+IF(Matching_Engine!$T$47=1,Matching_Engine!$S$47*Lookup_Lists!$D$105,0)+IF(Matching_Engine!$Z$47=1,Matching_Engine!$Y$47*Lookup_Lists!$D$106,0)+IF(Matching_Engine!$AF$47=1,Matching_Engine!$AE$47*Lookup_Lists!$D$107,0)+IF(Matching_Engine!$AN$47=1,Matching_Engine!$AM$47*Lookup_Lists!$D$108,0)+IF(Matching_Engine!$AU$47=1,Matching_Engine!$AT$47*Lookup_Lists!$D$109,0))/Matching_Engine!$AX$47,0))</f>
        <v>#VALUE!</v>
      </c>
      <c r="AZ47" s="42" t="str">
        <f ca="1">IF(NOT(ISNUMBER(Matching_Engine!$AY$47)),"Not Scored",IF(Matching_Engine!$AY$47&gt;=Lookup_Lists!$D$152,"Excellent Match",IF(Matching_Engine!$AY$47&gt;=Lookup_Lists!$D$153,"Strong Match",IF(Matching_Engine!$AY$47&gt;=Lookup_Lists!$D$154,"Good Match",IF(Matching_Engine!$AY$47&gt;=Lookup_Lists!$D$155,"Moderate Match","Low Match")))))</f>
        <v>Not Scored</v>
      </c>
      <c r="BA47" s="65" t="e">
        <f>'[1]#REF'!$BW$23</f>
        <v>#REF!</v>
      </c>
      <c r="BB47" s="42" t="e">
        <f>'[1]#REF'!$BX$23</f>
        <v>#REF!</v>
      </c>
      <c r="BC47" s="65">
        <f ca="1">IF(NOT(ISNUMBER(Matching_Engine!$AY$47)),-1,Matching_Engine!$AY$47*1000+7)</f>
        <v>-1</v>
      </c>
      <c r="BD47" s="42" t="e">
        <f>IF(AND(ISTEXT('[1]#REF'!$S$23),'[1]#REF'!$S$23&lt;&gt;"N/A"),'[1]#REF'!$S$23,"")&amp;" | "&amp;IF(AND(ISTEXT('[1]#REF'!$T$23),'[1]#REF'!$T$23&lt;&gt;"N/A"),'[1]#REF'!$T$23,"")&amp;" | "&amp;IF(AND(ISTEXT('[1]#REF'!$N$23),'[1]#REF'!$N$23&lt;&gt;"N/A"),'[1]#REF'!$N$23,"")&amp;" | "&amp;IF(AND(ISTEXT('[1]#REF'!$K$23),'[1]#REF'!$K$23&lt;&gt;"N/A"),'[1]#REF'!$K$23,"")&amp;" | "&amp;IF(AND(ISTEXT('[1]#REF'!$J$23),'[1]#REF'!$J$23&lt;&gt;"N/A"),'[1]#REF'!$J$23,"")</f>
        <v>#REF!</v>
      </c>
      <c r="BE47" s="42" t="e">
        <f>IF(AND(ISTEXT('[1]#REF'!$T$23),'[1]#REF'!$T$23&lt;&gt;"N/A"),'[1]#REF'!$T$23,"")&amp;" | "&amp;IF(AND(ISTEXT('[1]#REF'!$N$23),'[1]#REF'!$N$23&lt;&gt;"N/A"),'[1]#REF'!$N$23,"")&amp;" | "&amp;IF(AND(ISTEXT('[1]#REF'!$O$23),'[1]#REF'!$O$23&lt;&gt;"N/A"),'[1]#REF'!$O$23,"")&amp;" | "&amp;IF(AND(ISTEXT('[1]#REF'!$S$23),'[1]#REF'!$S$23&lt;&gt;"N/A"),'[1]#REF'!$S$23,"")</f>
        <v>#REF!</v>
      </c>
      <c r="BF47" s="42" t="e">
        <f>IF(AND(ISTEXT('[1]#REF'!$U$23),'[1]#REF'!$U$23&lt;&gt;"N/A"),'[1]#REF'!$U$23,"")</f>
        <v>#REF!</v>
      </c>
      <c r="BG47" s="42" t="str">
        <f>Matching_Engine!$A$47&amp;"|"&amp;Matching_Engine!$C$47</f>
        <v>BRAND-B|KOL-12</v>
      </c>
    </row>
    <row r="48" spans="1:59">
      <c r="A48" s="64" t="s">
        <v>2528</v>
      </c>
      <c r="B48" s="42" t="str">
        <f>Brand_Profile!$F$6</f>
        <v>BRAND-C</v>
      </c>
      <c r="C48" s="42" t="e">
        <f>'[1]#REF'!$A$24</f>
        <v>#REF!</v>
      </c>
      <c r="D48" s="42" t="e">
        <f>'[1]#REF'!$C$24</f>
        <v>#REF!</v>
      </c>
      <c r="E48" s="42" t="e">
        <f>'[1]#REF'!$D$24</f>
        <v>#REF!</v>
      </c>
      <c r="F48" s="42" t="e">
        <f>'[1]#REF'!$E$24</f>
        <v>#REF!</v>
      </c>
      <c r="G48" s="42" t="e">
        <f>'[1]#REF'!$K$24</f>
        <v>#REF!</v>
      </c>
      <c r="H48" s="72" t="e">
        <f>'[1]#REF'!$G$24</f>
        <v>#REF!</v>
      </c>
      <c r="I48" s="73" t="e">
        <f>'[1]#REF'!$BG$24</f>
        <v>#REF!</v>
      </c>
      <c r="J48" s="65" t="e">
        <f>IF(NOT(AND(ISTEXT('[1]#REF'!$K$24),'[1]#REF'!$K$24&lt;&gt;"N/A")),Lookup_Lists!$D$150,IF(Brand_Profile!$F$7='[1]#REF'!$K$24,100,IFERROR(INDEX(Lookup_Lists!$B$349:$J$357,MATCH(Brand_Profile!$F$7,Lookup_Lists!$A$349:$A$357,0),MATCH('[1]#REF'!$K$24,Lookup_Lists!$B$348:$J$348,0)),Lookup_Lists!$D$151)))</f>
        <v>#REF!</v>
      </c>
      <c r="K48" s="65" t="e">
        <f>IF(LEN(TRIM(SUBSTITUTE(Matching_Engine!$BD$48,"|","")))=0,"N/A",IF(Brand_Profile!$F$47=0,Lookup_Lists!$D$150,ROUND((IF(Brand_Profile!$F$41="",0,IF(ISNUMBER(SEARCH(Brand_Profile!$F$41,Matching_Engine!$BD$48)),1,0))+IF(Brand_Profile!$F$42="",0,IF(ISNUMBER(SEARCH(Brand_Profile!$F$42,Matching_Engine!$BD$48)),1,0))+IF(Brand_Profile!$F$43="",0,IF(ISNUMBER(SEARCH(Brand_Profile!$F$43,Matching_Engine!$BD$48)),1,0))+IF(Brand_Profile!$F$44="",0,IF(ISNUMBER(SEARCH(Brand_Profile!$F$44,Matching_Engine!$BD$48)),1,0))+IF(Brand_Profile!$F$45="",0,IF(ISNUMBER(SEARCH(Brand_Profile!$F$45,Matching_Engine!$BD$48)),1,0))+IF(Brand_Profile!$F$46="",0,IF(ISNUMBER(SEARCH(Brand_Profile!$F$46,Matching_Engine!$BD$48)),1,0)))/Brand_Profile!$F$47*100,0)))</f>
        <v>#VALUE!</v>
      </c>
      <c r="L48" s="65" t="e">
        <f>IF(NOT(AND(ISTEXT('[1]#REF'!$U$24),'[1]#REF'!$U$24&lt;&gt;"N/A")),"N/A",IF(Brand_Profile!$F$53=0,Lookup_Lists!$D$150,ROUND((IF(Brand_Profile!$F$48="",0,IF(ISNUMBER(SEARCH(Brand_Profile!$F$48,Matching_Engine!$BF$48)),1,0))+IF(Brand_Profile!$F$49="",0,IF(ISNUMBER(SEARCH(Brand_Profile!$F$49,Matching_Engine!$BF$48)),1,0))+IF(Brand_Profile!$F$50="",0,IF(ISNUMBER(SEARCH(Brand_Profile!$F$50,Matching_Engine!$BF$48)),1,0))+IF(Brand_Profile!$F$51="",0,IF(ISNUMBER(SEARCH(Brand_Profile!$F$51,Matching_Engine!$BF$48)),1,0))+IF(Brand_Profile!$F$52="",0,IF(ISNUMBER(SEARCH(Brand_Profile!$F$52,Matching_Engine!$BF$48)),1,0)))/Brand_Profile!$F$53*100,0)))</f>
        <v>#REF!</v>
      </c>
      <c r="M48" s="63" t="str">
        <f>IF((IF(ISNUMBER(Matching_Engine!$J$48),Lookup_Lists!$D$332,0)+IF(ISNUMBER(Matching_Engine!$K$48),Lookup_Lists!$D$333,0)+IF(ISNUMBER(Matching_Engine!$L$48),Lookup_Lists!$D$334,0))=0,"N/A",ROUND((IF(ISNUMBER(Matching_Engine!$J$48),Matching_Engine!$J$48*Lookup_Lists!$D$332,0)+IF(ISNUMBER(Matching_Engine!$K$48),Matching_Engine!$K$48*Lookup_Lists!$D$333,0)+IF(ISNUMBER(Matching_Engine!$L$48),Matching_Engine!$L$48*Lookup_Lists!$D$334,0))/(IF(ISNUMBER(Matching_Engine!$J$48),Lookup_Lists!$D$332,0)+IF(ISNUMBER(Matching_Engine!$K$48),Lookup_Lists!$D$333,0)+IF(ISNUMBER(Matching_Engine!$L$48),Lookup_Lists!$D$334,0)),0))</f>
        <v>N/A</v>
      </c>
      <c r="N48" s="42">
        <f>IF(ISNUMBER(Matching_Engine!$M$48),1,0)</f>
        <v>1</v>
      </c>
      <c r="O48" s="65" t="str">
        <f ca="1">IF(NOT(ISNUMBER(IFERROR(INDEX('[1]#REF'!$V$24:'[1]#REF'!$Z$24,1,MATCH(Brand_Profile!$F$11,Lookup_Lists!$F$6:$F$10,0)),""))),"N/A",MIN(100,ROUND((IFERROR(INDEX('[1]#REF'!$V$24:'[1]#REF'!$Z$24,1,MATCH(Brand_Profile!$F$11,Lookup_Lists!$F$6:$F$10,0)),"")+0.5*IF(ISNUMBER(IFERROR(INDEX('[1]#REF'!$V$24:'[1]#REF'!$Z$24,1,MATCH(Brand_Profile!$F$12,Lookup_Lists!$F$6:$F$10,0)),"")),IFERROR(INDEX('[1]#REF'!$V$24:'[1]#REF'!$Z$24,1,MATCH(Brand_Profile!$F$12,Lookup_Lists!$F$6:$F$10,0)),""),0))/Lookup_Lists!$D$142*100,0)))</f>
        <v>N/A</v>
      </c>
      <c r="P48" s="65" t="str">
        <f>IF(Brand_Profile!$F$13="Any",100,IF(NOT(ISNUMBER('[1]#REF'!$AA$24)),"N/A",IF(Brand_Profile!$F$13="Female",MIN(100,ROUND('[1]#REF'!$AA$24/Lookup_Lists!$D$143*100,0)),IF(Brand_Profile!$F$13="Male",MIN(100,ROUND(IF(ISNUMBER('[1]#REF'!$AB$24),'[1]#REF'!$AB$24,100-'[1]#REF'!$AA$24)/Lookup_Lists!$D$143*100,0)),MAX(0,ROUND(100-ABS('[1]#REF'!$AA$24-50)*2,0))))))</f>
        <v>N/A</v>
      </c>
      <c r="Q48" s="65" t="str">
        <f>IF((IF(ISNUMBER(IF(NOT(ISNUMBER('[1]#REF'!$AE$24)),"N/A",IF('[1]#REF'!$AD$24&lt;&gt;Brand_Profile!$F$14,Lookup_Lists!$D$151,MIN(100,ROUND('[1]#REF'!$AE$24/Lookup_Lists!$D$316*100,0))))),Lookup_Lists!$D$118,0)+IF(ISNUMBER(IF(NOT(ISNUMBER('[1]#REF'!$AM$24)),"N/A",MIN(100,ROUND((IF('[1]#REF'!$AG$24=Brand_Profile!$F$15,IF(ISNUMBER('[1]#REF'!$AH$24),'[1]#REF'!$AH$24,0),0)+IF('[1]#REF'!$AI$24=Brand_Profile!$F$15,IF(ISNUMBER('[1]#REF'!$AJ$24),'[1]#REF'!$AJ$24,0),0)+IF('[1]#REF'!$AK$24=Brand_Profile!$F$15,IF(ISNUMBER('[1]#REF'!$AL$24),'[1]#REF'!$AL$24,0),0))/Lookup_Lists!$D$317*100,0)))),Lookup_Lists!$D$120,0))=0,"N/A",ROUND((IF(ISNUMBER(IF(NOT(ISNUMBER('[1]#REF'!$AE$24)),"N/A",IF('[1]#REF'!$AD$24&lt;&gt;Brand_Profile!$F$14,Lookup_Lists!$D$151,MIN(100,ROUND('[1]#REF'!$AE$24/Lookup_Lists!$D$316*100,0))))),IF(NOT(ISNUMBER('[1]#REF'!$AE$24)),"N/A",IF('[1]#REF'!$AD$24&lt;&gt;Brand_Profile!$F$14,Lookup_Lists!$D$151,MIN(100,ROUND('[1]#REF'!$AE$24/Lookup_Lists!$D$316*100,0))))*Lookup_Lists!$D$118,0)+IF(ISNUMBER(IF(NOT(ISNUMBER('[1]#REF'!$AM$24)),"N/A",MIN(100,ROUND((IF('[1]#REF'!$AG$24=Brand_Profile!$F$15,IF(ISNUMBER('[1]#REF'!$AH$24),'[1]#REF'!$AH$24,0),0)+IF('[1]#REF'!$AI$24=Brand_Profile!$F$15,IF(ISNUMBER('[1]#REF'!$AJ$24),'[1]#REF'!$AJ$24,0),0)+IF('[1]#REF'!$AK$24=Brand_Profile!$F$15,IF(ISNUMBER('[1]#REF'!$AL$24),'[1]#REF'!$AL$24,0),0))/Lookup_Lists!$D$317*100,0)))),IF(NOT(ISNUMBER('[1]#REF'!$AM$24)),"N/A",MIN(100,ROUND((IF('[1]#REF'!$AG$24=Brand_Profile!$F$15,IF(ISNUMBER('[1]#REF'!$AH$24),'[1]#REF'!$AH$24,0),0)+IF('[1]#REF'!$AI$24=Brand_Profile!$F$15,IF(ISNUMBER('[1]#REF'!$AJ$24),'[1]#REF'!$AJ$24,0),0)+IF('[1]#REF'!$AK$24=Brand_Profile!$F$15,IF(ISNUMBER('[1]#REF'!$AL$24),'[1]#REF'!$AL$24,0),0))/Lookup_Lists!$D$317*100,0)))*Lookup_Lists!$D$120,0))/(IF(ISNUMBER(IF(NOT(ISNUMBER('[1]#REF'!$AE$24)),"N/A",IF('[1]#REF'!$AD$24&lt;&gt;Brand_Profile!$F$14,Lookup_Lists!$D$151,MIN(100,ROUND('[1]#REF'!$AE$24/Lookup_Lists!$D$316*100,0))))),Lookup_Lists!$D$118,0)+IF(ISNUMBER(IF(NOT(ISNUMBER('[1]#REF'!$AM$24)),"N/A",MIN(100,ROUND((IF('[1]#REF'!$AG$24=Brand_Profile!$F$15,IF(ISNUMBER('[1]#REF'!$AH$24),'[1]#REF'!$AH$24,0),0)+IF('[1]#REF'!$AI$24=Brand_Profile!$F$15,IF(ISNUMBER('[1]#REF'!$AJ$24),'[1]#REF'!$AJ$24,0),0)+IF('[1]#REF'!$AK$24=Brand_Profile!$F$15,IF(ISNUMBER('[1]#REF'!$AL$24),'[1]#REF'!$AL$24,0),0))/Lookup_Lists!$D$317*100,0)))),Lookup_Lists!$D$120,0)),0))</f>
        <v>N/A</v>
      </c>
      <c r="R48" s="65" t="str">
        <f>IF(NOT(ISNUMBER('[1]#REF'!$AN$24)),"N/A",MIN(100,ROUND((IF(ISNUMBER('[1]#REF'!$AO$24),'[1]#REF'!$AO$24*Brand_Profile!$F$17,0)+IF(ISNUMBER('[1]#REF'!$AP$24),'[1]#REF'!$AP$24*Brand_Profile!$F$18,0)+IF(ISNUMBER('[1]#REF'!$AQ$24),'[1]#REF'!$AQ$24*Brand_Profile!$F$19,0)+IF(ISNUMBER('[1]#REF'!$AR$24),'[1]#REF'!$AR$24*Brand_Profile!$F$20,0)+IF(ISNUMBER('[1]#REF'!$AS$24),'[1]#REF'!$AS$24*Brand_Profile!$F$21,0)+IF(ISNUMBER('[1]#REF'!$AT$24),'[1]#REF'!$AT$24*Brand_Profile!$F$22,0)+IF(ISNUMBER('[1]#REF'!$AU$24),'[1]#REF'!$AU$24*Brand_Profile!$F$23,0)+IF(ISNUMBER('[1]#REF'!$AV$24),'[1]#REF'!$AV$24*Brand_Profile!$F$24,0)+IF(ISNUMBER('[1]#REF'!$AW$24),'[1]#REF'!$AW$24*Brand_Profile!$F$25,0)+IF(ISNUMBER('[1]#REF'!$AX$24),'[1]#REF'!$AX$24*Brand_Profile!$F$26,0)+IF(ISNUMBER('[1]#REF'!$AY$24),'[1]#REF'!$AY$24*Brand_Profile!$F$27,0)+IF(ISNUMBER('[1]#REF'!$AZ$24),'[1]#REF'!$AZ$24*Brand_Profile!$F$28,0)+IF(ISNUMBER('[1]#REF'!$BA$24),'[1]#REF'!$BA$24*Brand_Profile!$F$29,0)+IF(ISNUMBER('[1]#REF'!$BB$24),'[1]#REF'!$BB$24*Brand_Profile!$F$30,0)+IF(ISNUMBER('[1]#REF'!$BC$24),'[1]#REF'!$BC$24*Brand_Profile!$F$31,0)+IF(ISNUMBER('[1]#REF'!$BD$24),'[1]#REF'!$BD$24*Brand_Profile!$F$32,0)+IF(ISNUMBER('[1]#REF'!$BE$24),'[1]#REF'!$BE$24*Brand_Profile!$F$33,0)+IF(ISNUMBER('[1]#REF'!$BF$24),'[1]#REF'!$BF$24*Brand_Profile!$F$34,0))/Lookup_Lists!$D$318*100,0)))</f>
        <v>N/A</v>
      </c>
      <c r="S48" s="63">
        <f ca="1">IF((IF(ISNUMBER(Matching_Engine!$O$48),Lookup_Lists!$D$113,0)+IF(ISNUMBER(Matching_Engine!$P$48),Lookup_Lists!$D$114,0)+IF(ISNUMBER(Matching_Engine!$Q$48),Lookup_Lists!$D$115,0)+IF(ISNUMBER(Matching_Engine!$R$48),Lookup_Lists!$D$116,0))=0,"N/A",ROUND((IF(ISNUMBER(Matching_Engine!$O$48),Matching_Engine!$O$48*Lookup_Lists!$D$113,0)+IF(ISNUMBER(Matching_Engine!$P$48),Matching_Engine!$P$48*Lookup_Lists!$D$114,0)+IF(ISNUMBER(Matching_Engine!$Q$48),Matching_Engine!$Q$48*Lookup_Lists!$D$115,0)+IF(ISNUMBER(Matching_Engine!$R$48),Matching_Engine!$R$48*Lookup_Lists!$D$116,0))/(IF(ISNUMBER(Matching_Engine!$O$48),Lookup_Lists!$D$113,0)+IF(ISNUMBER(Matching_Engine!$P$48),Lookup_Lists!$D$114,0)+IF(ISNUMBER(Matching_Engine!$Q$48),Lookup_Lists!$D$115,0)+IF(ISNUMBER(Matching_Engine!$R$48),Lookup_Lists!$D$116,0)),0))</f>
        <v>81</v>
      </c>
      <c r="T48" s="42">
        <f ca="1">IF(ISNUMBER(Matching_Engine!$S$48),1,0)</f>
        <v>1</v>
      </c>
      <c r="U48" s="65" t="e">
        <f>IF(NOT(AND(ISTEXT('[1]#REF'!$M$24),'[1]#REF'!$M$24&lt;&gt;"N/A")),Lookup_Lists!$D$150,IF(Brand_Profile!$F$7='[1]#REF'!$M$24,100,IFERROR(INDEX(Lookup_Lists!$B$349:$J$357,MATCH(Brand_Profile!$F$7,Lookup_Lists!$A$349:$A$357,0),MATCH('[1]#REF'!$M$24,Lookup_Lists!$B$348:$J$348,0)),Lookup_Lists!$D$151)))</f>
        <v>#REF!</v>
      </c>
      <c r="V48" s="65" t="e">
        <f>IF(NOT(AND(ISTEXT('[1]#REF'!$P$24),'[1]#REF'!$P$24&lt;&gt;"N/A")),"N/A",IFERROR(INDEX(Lookup_Lists!$B$349:$J$357,MATCH(Brand_Profile!$F$7,Lookup_Lists!$A$349:$A$357,0),MATCH('[1]#REF'!$P$24,Lookup_Lists!$B$348:$J$348,0)),Lookup_Lists!$D$151))</f>
        <v>#REF!</v>
      </c>
      <c r="W48" s="65" t="e">
        <f>IF(LEN(TRIM(SUBSTITUTE(Matching_Engine!$BE$48,"|","")))=0,"N/A",IF(Brand_Profile!$F$60=0,Lookup_Lists!$D$150,ROUND((IF(Brand_Profile!$F$54="",0,IF(ISNUMBER(SEARCH(Brand_Profile!$F$54,Matching_Engine!$BE$48)),1,0))+IF(Brand_Profile!$F$55="",0,IF(ISNUMBER(SEARCH(Brand_Profile!$F$55,Matching_Engine!$BE$48)),1,0))+IF(Brand_Profile!$F$56="",0,IF(ISNUMBER(SEARCH(Brand_Profile!$F$56,Matching_Engine!$BE$48)),1,0))+IF(Brand_Profile!$F$57="",0,IF(ISNUMBER(SEARCH(Brand_Profile!$F$57,Matching_Engine!$BE$48)),1,0))+IF(Brand_Profile!$F$58="",0,IF(ISNUMBER(SEARCH(Brand_Profile!$F$58,Matching_Engine!$BE$48)),1,0))+IF(Brand_Profile!$F$59="",0,IF(ISNUMBER(SEARCH(Brand_Profile!$F$59,Matching_Engine!$BE$48)),1,0)))/Brand_Profile!$F$60*100,0)))</f>
        <v>#VALUE!</v>
      </c>
      <c r="X48" s="65" t="e">
        <f>IF(NOT(AND(ISTEXT('[1]#REF'!$Q$24),'[1]#REF'!$Q$24&lt;&gt;"N/A")),"N/A",Lookup_Lists!$D$150)</f>
        <v>#REF!</v>
      </c>
      <c r="Y48" s="63">
        <f>IF((IF(ISNUMBER(Matching_Engine!$U$48),Lookup_Lists!$D$335,0)+IF(ISNUMBER(Matching_Engine!$V$48),Lookup_Lists!$D$122,0)+IF(ISNUMBER(Matching_Engine!$W$48),Lookup_Lists!$D$336,0)+IF(ISNUMBER(Matching_Engine!$X$48),Lookup_Lists!$D$124,0))=0,"N/A",ROUND((IF(ISNUMBER(Matching_Engine!$U$48),Matching_Engine!$U$48*Lookup_Lists!$D$335,0)+IF(ISNUMBER(Matching_Engine!$V$48),Matching_Engine!$V$48*Lookup_Lists!$D$122,0)+IF(ISNUMBER(Matching_Engine!$W$48),Matching_Engine!$W$48*Lookup_Lists!$D$336,0)+IF(ISNUMBER(Matching_Engine!$X$48),Matching_Engine!$X$48*Lookup_Lists!$D$124,0))/(IF(ISNUMBER(Matching_Engine!$U$48),Lookup_Lists!$D$335,0)+IF(ISNUMBER(Matching_Engine!$V$48),Lookup_Lists!$D$122,0)+IF(ISNUMBER(Matching_Engine!$W$48),Lookup_Lists!$D$336,0)+IF(ISNUMBER(Matching_Engine!$X$48),Lookup_Lists!$D$124,0)),0))</f>
        <v>48</v>
      </c>
      <c r="Z48" s="42">
        <f>IF(ISNUMBER(Matching_Engine!$Y$48),1,0)</f>
        <v>1</v>
      </c>
      <c r="AA48" s="65" t="e">
        <f>IF(NOT(AND(ISTEXT('[1]#REF'!$Q$24),'[1]#REF'!$Q$24&lt;&gt;"N/A")),"N/A",Lookup_Lists!$D$150)</f>
        <v>#REF!</v>
      </c>
      <c r="AB48" s="65" t="e">
        <f>IF(NOT(AND(ISTEXT('[1]#REF'!$Q$24),'[1]#REF'!$Q$24&lt;&gt;"N/A")),"N/A",Lookup_Lists!$D$150)</f>
        <v>#REF!</v>
      </c>
      <c r="AC48" s="65" t="str">
        <f t="shared" si="0"/>
        <v>N/A</v>
      </c>
      <c r="AD48" s="65" t="e">
        <f>IF(NOT(AND(ISTEXT('[1]#REF'!$Q$24),'[1]#REF'!$Q$24&lt;&gt;"N/A")),"N/A",Lookup_Lists!$D$150)</f>
        <v>#REF!</v>
      </c>
      <c r="AE48" s="63">
        <f>IF((IF(ISNUMBER(Matching_Engine!$AA$48),Lookup_Lists!$D$125,0)+IF(ISNUMBER(Matching_Engine!$AB$48),Lookup_Lists!$D$126,0)+IF(ISNUMBER(Matching_Engine!$AC$48),Lookup_Lists!$D$127,0)+IF(ISNUMBER(Matching_Engine!$AD$48),Lookup_Lists!$D$128,0))=0,"N/A",ROUND((IF(ISNUMBER(Matching_Engine!$AA$48),Matching_Engine!$AA$48*Lookup_Lists!$D$125,0)+IF(ISNUMBER(Matching_Engine!$AB$48),Matching_Engine!$AB$48*Lookup_Lists!$D$126,0)+IF(ISNUMBER(Matching_Engine!$AC$48),Matching_Engine!$AC$48*Lookup_Lists!$D$127,0)+IF(ISNUMBER(Matching_Engine!$AD$48),Matching_Engine!$AD$48*Lookup_Lists!$D$128,0))/(IF(ISNUMBER(Matching_Engine!$AA$48),Lookup_Lists!$D$125,0)+IF(ISNUMBER(Matching_Engine!$AB$48),Lookup_Lists!$D$126,0)+IF(ISNUMBER(Matching_Engine!$AC$48),Lookup_Lists!$D$127,0)+IF(ISNUMBER(Matching_Engine!$AD$48),Lookup_Lists!$D$128,0)),0))</f>
        <v>74</v>
      </c>
      <c r="AF48" s="42">
        <f>IF(ISNUMBER(Matching_Engine!$AE$48),1,0)</f>
        <v>1</v>
      </c>
      <c r="AG48" s="65" t="str">
        <f>IF(NOT(ISNUMBER('[1]#REF'!$BG$24)),"N/A",MIN(100,ROUND('[1]#REF'!$BG$24/IFERROR(INDEX(Lookup_Lists!$B$340:$B$344,MATCH('[1]#REF'!$H$24,Lookup_Lists!$A$340:$A$344,0)),Lookup_Lists!$D$141)*100,0)))</f>
        <v>N/A</v>
      </c>
      <c r="AH48" s="65" t="str">
        <f>IF(NOT(ISNUMBER('[1]#REF'!$BS$24)),"N/A",MIN(100,MAX(0,'[1]#REF'!$BS$24)))</f>
        <v>N/A</v>
      </c>
      <c r="AI48" s="65" t="e">
        <f>IF(OR(NOT(ISNUMBER('[1]#REF'!$BM$24)),NOT(ISNUMBER('[1]#REF'!$BN$24)),'[1]#REF'!$BN$24&lt;Lookup_Lists!$D$320),"N/A",MIN(100,ROUND('[1]#REF'!$BM$24/Lookup_Lists!$D$319*100,0)))</f>
        <v>#REF!</v>
      </c>
      <c r="AJ48" s="65" t="str">
        <f>IF(NOT(ISNUMBER('[1]#REF'!$BR$24)),"N/A",'[1]#REF'!$BR$24)</f>
        <v>N/A</v>
      </c>
      <c r="AK48" s="65" t="str">
        <f>IF(NOT(ISNUMBER('[1]#REF'!$BK$24)),"N/A",MIN(100,ROUND('[1]#REF'!$BK$24/Lookup_Lists!$D$321*100,0)))</f>
        <v>N/A</v>
      </c>
      <c r="AL48" s="65" t="str">
        <f>IF(NOT(ISNUMBER('[1]#REF'!$BP$24)),"N/A",MIN(100,MAX(0,ROUND(('[1]#REF'!$BP$24+2)/(Lookup_Lists!$D$145+2)*100,0))))</f>
        <v>N/A</v>
      </c>
      <c r="AM48" s="63">
        <f>IF((IF(ISNUMBER(Matching_Engine!$AG$48),Lookup_Lists!$D$129,0)+IF(ISNUMBER(Matching_Engine!$AH$48),Lookup_Lists!$D$130,0)+IF(ISNUMBER(Matching_Engine!$AI$48),Lookup_Lists!$D$131,0)+IF(ISNUMBER(Matching_Engine!$AJ$48),Lookup_Lists!$D$132,0)+IF(ISNUMBER(Matching_Engine!$AK$48),Lookup_Lists!$D$133,0)+IF(ISNUMBER(Matching_Engine!$AL$48),Lookup_Lists!$D$134,0))=0,"N/A",ROUND((IF(ISNUMBER(Matching_Engine!$AG$48),Matching_Engine!$AG$48*Lookup_Lists!$D$129,0)+IF(ISNUMBER(Matching_Engine!$AH$48),Matching_Engine!$AH$48*Lookup_Lists!$D$130,0)+IF(ISNUMBER(Matching_Engine!$AI$48),Matching_Engine!$AI$48*Lookup_Lists!$D$131,0)+IF(ISNUMBER(Matching_Engine!$AJ$48),Matching_Engine!$AJ$48*Lookup_Lists!$D$132,0)+IF(ISNUMBER(Matching_Engine!$AK$48),Matching_Engine!$AK$48*Lookup_Lists!$D$133,0)+IF(ISNUMBER(Matching_Engine!$AL$48),Matching_Engine!$AL$48*Lookup_Lists!$D$134,0))/(IF(ISNUMBER(Matching_Engine!$AG$48),Lookup_Lists!$D$129,0)+IF(ISNUMBER(Matching_Engine!$AH$48),Lookup_Lists!$D$130,0)+IF(ISNUMBER(Matching_Engine!$AI$48),Lookup_Lists!$D$131,0)+IF(ISNUMBER(Matching_Engine!$AJ$48),Lookup_Lists!$D$132,0)+IF(ISNUMBER(Matching_Engine!$AK$48),Lookup_Lists!$D$133,0)+IF(ISNUMBER(Matching_Engine!$AL$48),Lookup_Lists!$D$134,0)),0))</f>
        <v>70</v>
      </c>
      <c r="AN48" s="42">
        <f>IF(ISNUMBER(Matching_Engine!$AM$48),1,0)</f>
        <v>0</v>
      </c>
      <c r="AO48" s="65" t="str">
        <f>IF(NOT(ISNUMBER('[1]#REF'!$BT$24)),"N/A",MIN(100,MAX(0,'[1]#REF'!$BT$24)))</f>
        <v>N/A</v>
      </c>
      <c r="AP48" s="65" t="str">
        <f>IF(NOT(ISNUMBER('[1]#REF'!$BU$24)),"N/A",MIN(100,MAX(0,'[1]#REF'!$BU$24)))</f>
        <v>N/A</v>
      </c>
      <c r="AQ48" s="65" t="e">
        <f>IF('[1]#REF'!$I$24="Yes",Lookup_Lists!$D$326,IF('[1]#REF'!$I$24="No",Lookup_Lists!$D$327,"N/A"))</f>
        <v>#REF!</v>
      </c>
      <c r="AR48" s="65" t="str">
        <f>IF(NOT(ISNUMBER('[1]#REF'!$BQ$24)),"N/A",MAX(0,ROUND(100-'[1]#REF'!$BQ$24/Lookup_Lists!$D$328*100,0)))</f>
        <v>N/A</v>
      </c>
      <c r="AS48" s="65" t="e">
        <f>IF(NOT(AND(ISTEXT('[1]#REF'!$BV$24),'[1]#REF'!$BV$24&lt;&gt;"N/A")),"N/A",'[1]#REF'!$BV$24)</f>
        <v>#REF!</v>
      </c>
      <c r="AT48" s="63" t="str">
        <f ca="1">IF((IF(ISNUMBER(Matching_Engine!$AO$48),Lookup_Lists!$D$322,0)+IF(ISNUMBER(Matching_Engine!$AP$48),Lookup_Lists!$D$323,0)+IF(ISNUMBER(Matching_Engine!$AQ$48),Lookup_Lists!$D$324,0)+IF(ISNUMBER(Matching_Engine!$AR$48),Lookup_Lists!$D$325,0))=0,"N/A",ROUND((IF(ISNUMBER(Matching_Engine!$AO$48),Matching_Engine!$AO$48*Lookup_Lists!$D$322,0)+IF(ISNUMBER(Matching_Engine!$AP$48),Matching_Engine!$AP$48*Lookup_Lists!$D$323,0)+IF(ISNUMBER(Matching_Engine!$AQ$48),Matching_Engine!$AQ$48*Lookup_Lists!$D$324,0)+IF(ISNUMBER(Matching_Engine!$AR$48),Matching_Engine!$AR$48*Lookup_Lists!$D$325,0))/(IF(ISNUMBER(Matching_Engine!$AO$48),Lookup_Lists!$D$322,0)+IF(ISNUMBER(Matching_Engine!$AP$48),Lookup_Lists!$D$323,0)+IF(ISNUMBER(Matching_Engine!$AQ$48),Lookup_Lists!$D$324,0)+IF(ISNUMBER(Matching_Engine!$AR$48),Lookup_Lists!$D$325,0)),0))</f>
        <v>N/A</v>
      </c>
      <c r="AU48" s="42">
        <f>IF(ISNUMBER(Matching_Engine!$AT$48),1,0)</f>
        <v>1</v>
      </c>
      <c r="AV48" s="42" t="str">
        <f>IF(NOT(ISNUMBER(Matching_Engine!$AT$48)),"Not Screened",IF(Matching_Engine!$AT$48&gt;=Lookup_Lists!$D$329,"Low Risk",IF(Matching_Engine!$AT$48&gt;=Lookup_Lists!$D$330,"Moderate Risk",IF(Matching_Engine!$AT$48&gt;=Lookup_Lists!$D$331,"Elevated Risk","High Risk"))))</f>
        <v>Low Risk</v>
      </c>
      <c r="AW48" s="42" t="e">
        <f ca="1">IF(NOT(ISNUMBER(Matching_Engine!$AT$48)),"No integrity signal: no audience-analysis row for this account.","Integrity screen only — no content-risk reading exists (comments_analysis: 0 rows). "&amp;IF(ISNUMBER(Matching_Engine!$AO$48),"Authenticity "&amp;Matching_Engine!$AO$48&amp;". ","Authenticity N/A. ")&amp;IF(ISNUMBER(Matching_Engine!$AP$48),"Follower quality "&amp;Matching_Engine!$AP$48&amp;". ","Follower quality N/A. ")&amp;IF('[1]#REF'!$I$24="Yes","Platform-verified.","Not platform-verified."))</f>
        <v>#REF!</v>
      </c>
      <c r="AX48" s="65">
        <f>Matching_Engine!$N$48*Lookup_Lists!$D$104+Matching_Engine!$T$48*Lookup_Lists!$D$105+Matching_Engine!$Z$48*Lookup_Lists!$D$106+Matching_Engine!$AF$48*Lookup_Lists!$D$107+Matching_Engine!$AN$48*Lookup_Lists!$D$108+Matching_Engine!$AU$48*Lookup_Lists!$D$109</f>
        <v>6700</v>
      </c>
      <c r="AY48" s="74" t="e">
        <f ca="1">IF(Matching_Engine!$AX$48=0,"N/A",ROUND((IF(Matching_Engine!$N$48=1,Matching_Engine!$M$48*Lookup_Lists!$D$104,0)+IF(Matching_Engine!$T$48=1,Matching_Engine!$S$48*Lookup_Lists!$D$105,0)+IF(Matching_Engine!$Z$48=1,Matching_Engine!$Y$48*Lookup_Lists!$D$106,0)+IF(Matching_Engine!$AF$48=1,Matching_Engine!$AE$48*Lookup_Lists!$D$107,0)+IF(Matching_Engine!$AN$48=1,Matching_Engine!$AM$48*Lookup_Lists!$D$108,0)+IF(Matching_Engine!$AU$48=1,Matching_Engine!$AT$48*Lookup_Lists!$D$109,0))/Matching_Engine!$AX$48,0))</f>
        <v>#VALUE!</v>
      </c>
      <c r="AZ48" s="42" t="str">
        <f ca="1">IF(NOT(ISNUMBER(Matching_Engine!$AY$48)),"Not Scored",IF(Matching_Engine!$AY$48&gt;=Lookup_Lists!$D$152,"Excellent Match",IF(Matching_Engine!$AY$48&gt;=Lookup_Lists!$D$153,"Strong Match",IF(Matching_Engine!$AY$48&gt;=Lookup_Lists!$D$154,"Good Match",IF(Matching_Engine!$AY$48&gt;=Lookup_Lists!$D$155,"Moderate Match","Low Match")))))</f>
        <v>Moderate Match</v>
      </c>
      <c r="BA48" s="65" t="e">
        <f>'[1]#REF'!$BW$24</f>
        <v>#REF!</v>
      </c>
      <c r="BB48" s="42" t="e">
        <f>'[1]#REF'!$BX$24</f>
        <v>#REF!</v>
      </c>
      <c r="BC48" s="65">
        <f ca="1">IF(NOT(ISNUMBER(Matching_Engine!$AY$48)),-1,Matching_Engine!$AY$48*1000+6)</f>
        <v>69006</v>
      </c>
      <c r="BD48" s="42" t="e">
        <f>IF(AND(ISTEXT('[1]#REF'!$S$24),'[1]#REF'!$S$24&lt;&gt;"N/A"),'[1]#REF'!$S$24,"")&amp;" | "&amp;IF(AND(ISTEXT('[1]#REF'!$T$24),'[1]#REF'!$T$24&lt;&gt;"N/A"),'[1]#REF'!$T$24,"")&amp;" | "&amp;IF(AND(ISTEXT('[1]#REF'!$N$24),'[1]#REF'!$N$24&lt;&gt;"N/A"),'[1]#REF'!$N$24,"")&amp;" | "&amp;IF(AND(ISTEXT('[1]#REF'!$K$24),'[1]#REF'!$K$24&lt;&gt;"N/A"),'[1]#REF'!$K$24,"")&amp;" | "&amp;IF(AND(ISTEXT('[1]#REF'!$J$24),'[1]#REF'!$J$24&lt;&gt;"N/A"),'[1]#REF'!$J$24,"")</f>
        <v>#REF!</v>
      </c>
      <c r="BE48" s="42" t="e">
        <f>IF(AND(ISTEXT('[1]#REF'!$T$24),'[1]#REF'!$T$24&lt;&gt;"N/A"),'[1]#REF'!$T$24,"")&amp;" | "&amp;IF(AND(ISTEXT('[1]#REF'!$N$24),'[1]#REF'!$N$24&lt;&gt;"N/A"),'[1]#REF'!$N$24,"")&amp;" | "&amp;IF(AND(ISTEXT('[1]#REF'!$O$24),'[1]#REF'!$O$24&lt;&gt;"N/A"),'[1]#REF'!$O$24,"")&amp;" | "&amp;IF(AND(ISTEXT('[1]#REF'!$S$24),'[1]#REF'!$S$24&lt;&gt;"N/A"),'[1]#REF'!$S$24,"")</f>
        <v>#REF!</v>
      </c>
      <c r="BF48" s="42" t="e">
        <f>IF(AND(ISTEXT('[1]#REF'!$U$24),'[1]#REF'!$U$24&lt;&gt;"N/A"),'[1]#REF'!$U$24,"")</f>
        <v>#REF!</v>
      </c>
      <c r="BG48" s="42" t="str">
        <f>Matching_Engine!$A$48&amp;"|"&amp;Matching_Engine!$C$48</f>
        <v>BRAND-B|KOL-13</v>
      </c>
    </row>
    <row r="49" spans="1:59">
      <c r="A49" s="64" t="s">
        <v>2528</v>
      </c>
      <c r="B49" s="42" t="str">
        <f>Brand_Profile!$F$6</f>
        <v>BRAND-C</v>
      </c>
      <c r="C49" s="42" t="e">
        <f>'[1]#REF'!$A$25</f>
        <v>#REF!</v>
      </c>
      <c r="D49" s="42" t="e">
        <f>'[1]#REF'!$C$25</f>
        <v>#REF!</v>
      </c>
      <c r="E49" s="42" t="e">
        <f>'[1]#REF'!$D$25</f>
        <v>#REF!</v>
      </c>
      <c r="F49" s="42" t="e">
        <f>'[1]#REF'!$E$25</f>
        <v>#REF!</v>
      </c>
      <c r="G49" s="42" t="e">
        <f>'[1]#REF'!$K$25</f>
        <v>#REF!</v>
      </c>
      <c r="H49" s="72" t="e">
        <f>'[1]#REF'!$G$25</f>
        <v>#REF!</v>
      </c>
      <c r="I49" s="73" t="e">
        <f>'[1]#REF'!$BG$25</f>
        <v>#REF!</v>
      </c>
      <c r="J49" s="65" t="e">
        <f>IF(NOT(AND(ISTEXT('[1]#REF'!$K$25),'[1]#REF'!$K$25&lt;&gt;"N/A")),Lookup_Lists!$D$150,IF(Brand_Profile!$F$7='[1]#REF'!$K$25,100,IFERROR(INDEX(Lookup_Lists!$B$349:$J$357,MATCH(Brand_Profile!$F$7,Lookup_Lists!$A$349:$A$357,0),MATCH('[1]#REF'!$K$25,Lookup_Lists!$B$348:$J$348,0)),Lookup_Lists!$D$151)))</f>
        <v>#REF!</v>
      </c>
      <c r="K49" s="65" t="e">
        <f>IF(LEN(TRIM(SUBSTITUTE(Matching_Engine!$BD$49,"|","")))=0,"N/A",IF(Brand_Profile!$F$47=0,Lookup_Lists!$D$150,ROUND((IF(Brand_Profile!$F$41="",0,IF(ISNUMBER(SEARCH(Brand_Profile!$F$41,Matching_Engine!$BD$49)),1,0))+IF(Brand_Profile!$F$42="",0,IF(ISNUMBER(SEARCH(Brand_Profile!$F$42,Matching_Engine!$BD$49)),1,0))+IF(Brand_Profile!$F$43="",0,IF(ISNUMBER(SEARCH(Brand_Profile!$F$43,Matching_Engine!$BD$49)),1,0))+IF(Brand_Profile!$F$44="",0,IF(ISNUMBER(SEARCH(Brand_Profile!$F$44,Matching_Engine!$BD$49)),1,0))+IF(Brand_Profile!$F$45="",0,IF(ISNUMBER(SEARCH(Brand_Profile!$F$45,Matching_Engine!$BD$49)),1,0))+IF(Brand_Profile!$F$46="",0,IF(ISNUMBER(SEARCH(Brand_Profile!$F$46,Matching_Engine!$BD$49)),1,0)))/Brand_Profile!$F$47*100,0)))</f>
        <v>#VALUE!</v>
      </c>
      <c r="L49" s="65" t="e">
        <f>IF(NOT(AND(ISTEXT('[1]#REF'!$U$25),'[1]#REF'!$U$25&lt;&gt;"N/A")),"N/A",IF(Brand_Profile!$F$53=0,Lookup_Lists!$D$150,ROUND((IF(Brand_Profile!$F$48="",0,IF(ISNUMBER(SEARCH(Brand_Profile!$F$48,Matching_Engine!$BF$49)),1,0))+IF(Brand_Profile!$F$49="",0,IF(ISNUMBER(SEARCH(Brand_Profile!$F$49,Matching_Engine!$BF$49)),1,0))+IF(Brand_Profile!$F$50="",0,IF(ISNUMBER(SEARCH(Brand_Profile!$F$50,Matching_Engine!$BF$49)),1,0))+IF(Brand_Profile!$F$51="",0,IF(ISNUMBER(SEARCH(Brand_Profile!$F$51,Matching_Engine!$BF$49)),1,0))+IF(Brand_Profile!$F$52="",0,IF(ISNUMBER(SEARCH(Brand_Profile!$F$52,Matching_Engine!$BF$49)),1,0)))/Brand_Profile!$F$53*100,0)))</f>
        <v>#REF!</v>
      </c>
      <c r="M49" s="63" t="str">
        <f>IF((IF(ISNUMBER(Matching_Engine!$J$49),Lookup_Lists!$D$332,0)+IF(ISNUMBER(Matching_Engine!$K$49),Lookup_Lists!$D$333,0)+IF(ISNUMBER(Matching_Engine!$L$49),Lookup_Lists!$D$334,0))=0,"N/A",ROUND((IF(ISNUMBER(Matching_Engine!$J$49),Matching_Engine!$J$49*Lookup_Lists!$D$332,0)+IF(ISNUMBER(Matching_Engine!$K$49),Matching_Engine!$K$49*Lookup_Lists!$D$333,0)+IF(ISNUMBER(Matching_Engine!$L$49),Matching_Engine!$L$49*Lookup_Lists!$D$334,0))/(IF(ISNUMBER(Matching_Engine!$J$49),Lookup_Lists!$D$332,0)+IF(ISNUMBER(Matching_Engine!$K$49),Lookup_Lists!$D$333,0)+IF(ISNUMBER(Matching_Engine!$L$49),Lookup_Lists!$D$334,0)),0))</f>
        <v>N/A</v>
      </c>
      <c r="N49" s="42">
        <f>IF(ISNUMBER(Matching_Engine!$M$49),1,0)</f>
        <v>1</v>
      </c>
      <c r="O49" s="65" t="str">
        <f ca="1">IF(NOT(ISNUMBER(IFERROR(INDEX('[1]#REF'!$V$25:'[1]#REF'!$Z$25,1,MATCH(Brand_Profile!$F$11,Lookup_Lists!$F$6:$F$10,0)),""))),"N/A",MIN(100,ROUND((IFERROR(INDEX('[1]#REF'!$V$25:'[1]#REF'!$Z$25,1,MATCH(Brand_Profile!$F$11,Lookup_Lists!$F$6:$F$10,0)),"")+0.5*IF(ISNUMBER(IFERROR(INDEX('[1]#REF'!$V$25:'[1]#REF'!$Z$25,1,MATCH(Brand_Profile!$F$12,Lookup_Lists!$F$6:$F$10,0)),"")),IFERROR(INDEX('[1]#REF'!$V$25:'[1]#REF'!$Z$25,1,MATCH(Brand_Profile!$F$12,Lookup_Lists!$F$6:$F$10,0)),""),0))/Lookup_Lists!$D$142*100,0)))</f>
        <v>N/A</v>
      </c>
      <c r="P49" s="65" t="str">
        <f>IF(Brand_Profile!$F$13="Any",100,IF(NOT(ISNUMBER('[1]#REF'!$AA$25)),"N/A",IF(Brand_Profile!$F$13="Female",MIN(100,ROUND('[1]#REF'!$AA$25/Lookup_Lists!$D$143*100,0)),IF(Brand_Profile!$F$13="Male",MIN(100,ROUND(IF(ISNUMBER('[1]#REF'!$AB$25),'[1]#REF'!$AB$25,100-'[1]#REF'!$AA$25)/Lookup_Lists!$D$143*100,0)),MAX(0,ROUND(100-ABS('[1]#REF'!$AA$25-50)*2,0))))))</f>
        <v>N/A</v>
      </c>
      <c r="Q49" s="65" t="str">
        <f>IF((IF(ISNUMBER(IF(NOT(ISNUMBER('[1]#REF'!$AE$25)),"N/A",IF('[1]#REF'!$AD$25&lt;&gt;Brand_Profile!$F$14,Lookup_Lists!$D$151,MIN(100,ROUND('[1]#REF'!$AE$25/Lookup_Lists!$D$316*100,0))))),Lookup_Lists!$D$118,0)+IF(ISNUMBER(IF(NOT(ISNUMBER('[1]#REF'!$AM$25)),"N/A",MIN(100,ROUND((IF('[1]#REF'!$AG$25=Brand_Profile!$F$15,IF(ISNUMBER('[1]#REF'!$AH$25),'[1]#REF'!$AH$25,0),0)+IF('[1]#REF'!$AI$25=Brand_Profile!$F$15,IF(ISNUMBER('[1]#REF'!$AJ$25),'[1]#REF'!$AJ$25,0),0)+IF('[1]#REF'!$AK$25=Brand_Profile!$F$15,IF(ISNUMBER('[1]#REF'!$AL$25),'[1]#REF'!$AL$25,0),0))/Lookup_Lists!$D$317*100,0)))),Lookup_Lists!$D$120,0))=0,"N/A",ROUND((IF(ISNUMBER(IF(NOT(ISNUMBER('[1]#REF'!$AE$25)),"N/A",IF('[1]#REF'!$AD$25&lt;&gt;Brand_Profile!$F$14,Lookup_Lists!$D$151,MIN(100,ROUND('[1]#REF'!$AE$25/Lookup_Lists!$D$316*100,0))))),IF(NOT(ISNUMBER('[1]#REF'!$AE$25)),"N/A",IF('[1]#REF'!$AD$25&lt;&gt;Brand_Profile!$F$14,Lookup_Lists!$D$151,MIN(100,ROUND('[1]#REF'!$AE$25/Lookup_Lists!$D$316*100,0))))*Lookup_Lists!$D$118,0)+IF(ISNUMBER(IF(NOT(ISNUMBER('[1]#REF'!$AM$25)),"N/A",MIN(100,ROUND((IF('[1]#REF'!$AG$25=Brand_Profile!$F$15,IF(ISNUMBER('[1]#REF'!$AH$25),'[1]#REF'!$AH$25,0),0)+IF('[1]#REF'!$AI$25=Brand_Profile!$F$15,IF(ISNUMBER('[1]#REF'!$AJ$25),'[1]#REF'!$AJ$25,0),0)+IF('[1]#REF'!$AK$25=Brand_Profile!$F$15,IF(ISNUMBER('[1]#REF'!$AL$25),'[1]#REF'!$AL$25,0),0))/Lookup_Lists!$D$317*100,0)))),IF(NOT(ISNUMBER('[1]#REF'!$AM$25)),"N/A",MIN(100,ROUND((IF('[1]#REF'!$AG$25=Brand_Profile!$F$15,IF(ISNUMBER('[1]#REF'!$AH$25),'[1]#REF'!$AH$25,0),0)+IF('[1]#REF'!$AI$25=Brand_Profile!$F$15,IF(ISNUMBER('[1]#REF'!$AJ$25),'[1]#REF'!$AJ$25,0),0)+IF('[1]#REF'!$AK$25=Brand_Profile!$F$15,IF(ISNUMBER('[1]#REF'!$AL$25),'[1]#REF'!$AL$25,0),0))/Lookup_Lists!$D$317*100,0)))*Lookup_Lists!$D$120,0))/(IF(ISNUMBER(IF(NOT(ISNUMBER('[1]#REF'!$AE$25)),"N/A",IF('[1]#REF'!$AD$25&lt;&gt;Brand_Profile!$F$14,Lookup_Lists!$D$151,MIN(100,ROUND('[1]#REF'!$AE$25/Lookup_Lists!$D$316*100,0))))),Lookup_Lists!$D$118,0)+IF(ISNUMBER(IF(NOT(ISNUMBER('[1]#REF'!$AM$25)),"N/A",MIN(100,ROUND((IF('[1]#REF'!$AG$25=Brand_Profile!$F$15,IF(ISNUMBER('[1]#REF'!$AH$25),'[1]#REF'!$AH$25,0),0)+IF('[1]#REF'!$AI$25=Brand_Profile!$F$15,IF(ISNUMBER('[1]#REF'!$AJ$25),'[1]#REF'!$AJ$25,0),0)+IF('[1]#REF'!$AK$25=Brand_Profile!$F$15,IF(ISNUMBER('[1]#REF'!$AL$25),'[1]#REF'!$AL$25,0),0))/Lookup_Lists!$D$317*100,0)))),Lookup_Lists!$D$120,0)),0))</f>
        <v>N/A</v>
      </c>
      <c r="R49" s="65" t="str">
        <f>IF(NOT(ISNUMBER('[1]#REF'!$AN$25)),"N/A",MIN(100,ROUND((IF(ISNUMBER('[1]#REF'!$AO$25),'[1]#REF'!$AO$25*Brand_Profile!$F$17,0)+IF(ISNUMBER('[1]#REF'!$AP$25),'[1]#REF'!$AP$25*Brand_Profile!$F$18,0)+IF(ISNUMBER('[1]#REF'!$AQ$25),'[1]#REF'!$AQ$25*Brand_Profile!$F$19,0)+IF(ISNUMBER('[1]#REF'!$AR$25),'[1]#REF'!$AR$25*Brand_Profile!$F$20,0)+IF(ISNUMBER('[1]#REF'!$AS$25),'[1]#REF'!$AS$25*Brand_Profile!$F$21,0)+IF(ISNUMBER('[1]#REF'!$AT$25),'[1]#REF'!$AT$25*Brand_Profile!$F$22,0)+IF(ISNUMBER('[1]#REF'!$AU$25),'[1]#REF'!$AU$25*Brand_Profile!$F$23,0)+IF(ISNUMBER('[1]#REF'!$AV$25),'[1]#REF'!$AV$25*Brand_Profile!$F$24,0)+IF(ISNUMBER('[1]#REF'!$AW$25),'[1]#REF'!$AW$25*Brand_Profile!$F$25,0)+IF(ISNUMBER('[1]#REF'!$AX$25),'[1]#REF'!$AX$25*Brand_Profile!$F$26,0)+IF(ISNUMBER('[1]#REF'!$AY$25),'[1]#REF'!$AY$25*Brand_Profile!$F$27,0)+IF(ISNUMBER('[1]#REF'!$AZ$25),'[1]#REF'!$AZ$25*Brand_Profile!$F$28,0)+IF(ISNUMBER('[1]#REF'!$BA$25),'[1]#REF'!$BA$25*Brand_Profile!$F$29,0)+IF(ISNUMBER('[1]#REF'!$BB$25),'[1]#REF'!$BB$25*Brand_Profile!$F$30,0)+IF(ISNUMBER('[1]#REF'!$BC$25),'[1]#REF'!$BC$25*Brand_Profile!$F$31,0)+IF(ISNUMBER('[1]#REF'!$BD$25),'[1]#REF'!$BD$25*Brand_Profile!$F$32,0)+IF(ISNUMBER('[1]#REF'!$BE$25),'[1]#REF'!$BE$25*Brand_Profile!$F$33,0)+IF(ISNUMBER('[1]#REF'!$BF$25),'[1]#REF'!$BF$25*Brand_Profile!$F$34,0))/Lookup_Lists!$D$318*100,0)))</f>
        <v>N/A</v>
      </c>
      <c r="S49" s="63">
        <f ca="1">IF((IF(ISNUMBER(Matching_Engine!$O$49),Lookup_Lists!$D$113,0)+IF(ISNUMBER(Matching_Engine!$P$49),Lookup_Lists!$D$114,0)+IF(ISNUMBER(Matching_Engine!$Q$49),Lookup_Lists!$D$115,0)+IF(ISNUMBER(Matching_Engine!$R$49),Lookup_Lists!$D$116,0))=0,"N/A",ROUND((IF(ISNUMBER(Matching_Engine!$O$49),Matching_Engine!$O$49*Lookup_Lists!$D$113,0)+IF(ISNUMBER(Matching_Engine!$P$49),Matching_Engine!$P$49*Lookup_Lists!$D$114,0)+IF(ISNUMBER(Matching_Engine!$Q$49),Matching_Engine!$Q$49*Lookup_Lists!$D$115,0)+IF(ISNUMBER(Matching_Engine!$R$49),Matching_Engine!$R$49*Lookup_Lists!$D$116,0))/(IF(ISNUMBER(Matching_Engine!$O$49),Lookup_Lists!$D$113,0)+IF(ISNUMBER(Matching_Engine!$P$49),Lookup_Lists!$D$114,0)+IF(ISNUMBER(Matching_Engine!$Q$49),Lookup_Lists!$D$115,0)+IF(ISNUMBER(Matching_Engine!$R$49),Lookup_Lists!$D$116,0)),0))</f>
        <v>88</v>
      </c>
      <c r="T49" s="42">
        <f ca="1">IF(ISNUMBER(Matching_Engine!$S$49),1,0)</f>
        <v>1</v>
      </c>
      <c r="U49" s="65" t="e">
        <f>IF(NOT(AND(ISTEXT('[1]#REF'!$M$25),'[1]#REF'!$M$25&lt;&gt;"N/A")),Lookup_Lists!$D$150,IF(Brand_Profile!$F$7='[1]#REF'!$M$25,100,IFERROR(INDEX(Lookup_Lists!$B$349:$J$357,MATCH(Brand_Profile!$F$7,Lookup_Lists!$A$349:$A$357,0),MATCH('[1]#REF'!$M$25,Lookup_Lists!$B$348:$J$348,0)),Lookup_Lists!$D$151)))</f>
        <v>#REF!</v>
      </c>
      <c r="V49" s="65" t="e">
        <f>IF(NOT(AND(ISTEXT('[1]#REF'!$P$25),'[1]#REF'!$P$25&lt;&gt;"N/A")),"N/A",IFERROR(INDEX(Lookup_Lists!$B$349:$J$357,MATCH(Brand_Profile!$F$7,Lookup_Lists!$A$349:$A$357,0),MATCH('[1]#REF'!$P$25,Lookup_Lists!$B$348:$J$348,0)),Lookup_Lists!$D$151))</f>
        <v>#REF!</v>
      </c>
      <c r="W49" s="65" t="e">
        <f>IF(LEN(TRIM(SUBSTITUTE(Matching_Engine!$BE$49,"|","")))=0,"N/A",IF(Brand_Profile!$F$60=0,Lookup_Lists!$D$150,ROUND((IF(Brand_Profile!$F$54="",0,IF(ISNUMBER(SEARCH(Brand_Profile!$F$54,Matching_Engine!$BE$49)),1,0))+IF(Brand_Profile!$F$55="",0,IF(ISNUMBER(SEARCH(Brand_Profile!$F$55,Matching_Engine!$BE$49)),1,0))+IF(Brand_Profile!$F$56="",0,IF(ISNUMBER(SEARCH(Brand_Profile!$F$56,Matching_Engine!$BE$49)),1,0))+IF(Brand_Profile!$F$57="",0,IF(ISNUMBER(SEARCH(Brand_Profile!$F$57,Matching_Engine!$BE$49)),1,0))+IF(Brand_Profile!$F$58="",0,IF(ISNUMBER(SEARCH(Brand_Profile!$F$58,Matching_Engine!$BE$49)),1,0))+IF(Brand_Profile!$F$59="",0,IF(ISNUMBER(SEARCH(Brand_Profile!$F$59,Matching_Engine!$BE$49)),1,0)))/Brand_Profile!$F$60*100,0)))</f>
        <v>#VALUE!</v>
      </c>
      <c r="X49" s="65" t="e">
        <f>IF(NOT(AND(ISTEXT('[1]#REF'!$Q$25),'[1]#REF'!$Q$25&lt;&gt;"N/A")),"N/A",Lookup_Lists!$D$150)</f>
        <v>#REF!</v>
      </c>
      <c r="Y49" s="63">
        <f>IF((IF(ISNUMBER(Matching_Engine!$U$49),Lookup_Lists!$D$335,0)+IF(ISNUMBER(Matching_Engine!$V$49),Lookup_Lists!$D$122,0)+IF(ISNUMBER(Matching_Engine!$W$49),Lookup_Lists!$D$336,0)+IF(ISNUMBER(Matching_Engine!$X$49),Lookup_Lists!$D$124,0))=0,"N/A",ROUND((IF(ISNUMBER(Matching_Engine!$U$49),Matching_Engine!$U$49*Lookup_Lists!$D$335,0)+IF(ISNUMBER(Matching_Engine!$V$49),Matching_Engine!$V$49*Lookup_Lists!$D$122,0)+IF(ISNUMBER(Matching_Engine!$W$49),Matching_Engine!$W$49*Lookup_Lists!$D$336,0)+IF(ISNUMBER(Matching_Engine!$X$49),Matching_Engine!$X$49*Lookup_Lists!$D$124,0))/(IF(ISNUMBER(Matching_Engine!$U$49),Lookup_Lists!$D$335,0)+IF(ISNUMBER(Matching_Engine!$V$49),Lookup_Lists!$D$122,0)+IF(ISNUMBER(Matching_Engine!$W$49),Lookup_Lists!$D$336,0)+IF(ISNUMBER(Matching_Engine!$X$49),Lookup_Lists!$D$124,0)),0))</f>
        <v>61</v>
      </c>
      <c r="Z49" s="42">
        <f>IF(ISNUMBER(Matching_Engine!$Y$49),1,0)</f>
        <v>1</v>
      </c>
      <c r="AA49" s="65" t="e">
        <f>IF(NOT(AND(ISTEXT('[1]#REF'!$Q$25),'[1]#REF'!$Q$25&lt;&gt;"N/A")),"N/A",Lookup_Lists!$D$150)</f>
        <v>#REF!</v>
      </c>
      <c r="AB49" s="65" t="e">
        <f>IF(NOT(AND(ISTEXT('[1]#REF'!$Q$25),'[1]#REF'!$Q$25&lt;&gt;"N/A")),"N/A",Lookup_Lists!$D$150)</f>
        <v>#REF!</v>
      </c>
      <c r="AC49" s="65" t="str">
        <f t="shared" si="0"/>
        <v>N/A</v>
      </c>
      <c r="AD49" s="65" t="e">
        <f>IF(NOT(AND(ISTEXT('[1]#REF'!$Q$25),'[1]#REF'!$Q$25&lt;&gt;"N/A")),"N/A",Lookup_Lists!$D$150)</f>
        <v>#REF!</v>
      </c>
      <c r="AE49" s="63">
        <f>IF((IF(ISNUMBER(Matching_Engine!$AA$49),Lookup_Lists!$D$125,0)+IF(ISNUMBER(Matching_Engine!$AB$49),Lookup_Lists!$D$126,0)+IF(ISNUMBER(Matching_Engine!$AC$49),Lookup_Lists!$D$127,0)+IF(ISNUMBER(Matching_Engine!$AD$49),Lookup_Lists!$D$128,0))=0,"N/A",ROUND((IF(ISNUMBER(Matching_Engine!$AA$49),Matching_Engine!$AA$49*Lookup_Lists!$D$125,0)+IF(ISNUMBER(Matching_Engine!$AB$49),Matching_Engine!$AB$49*Lookup_Lists!$D$126,0)+IF(ISNUMBER(Matching_Engine!$AC$49),Matching_Engine!$AC$49*Lookup_Lists!$D$127,0)+IF(ISNUMBER(Matching_Engine!$AD$49),Matching_Engine!$AD$49*Lookup_Lists!$D$128,0))/(IF(ISNUMBER(Matching_Engine!$AA$49),Lookup_Lists!$D$125,0)+IF(ISNUMBER(Matching_Engine!$AB$49),Lookup_Lists!$D$126,0)+IF(ISNUMBER(Matching_Engine!$AC$49),Lookup_Lists!$D$127,0)+IF(ISNUMBER(Matching_Engine!$AD$49),Lookup_Lists!$D$128,0)),0))</f>
        <v>88</v>
      </c>
      <c r="AF49" s="42">
        <f>IF(ISNUMBER(Matching_Engine!$AE$49),1,0)</f>
        <v>1</v>
      </c>
      <c r="AG49" s="65" t="str">
        <f>IF(NOT(ISNUMBER('[1]#REF'!$BG$25)),"N/A",MIN(100,ROUND('[1]#REF'!$BG$25/IFERROR(INDEX(Lookup_Lists!$B$340:$B$344,MATCH('[1]#REF'!$H$25,Lookup_Lists!$A$340:$A$344,0)),Lookup_Lists!$D$141)*100,0)))</f>
        <v>N/A</v>
      </c>
      <c r="AH49" s="65" t="str">
        <f>IF(NOT(ISNUMBER('[1]#REF'!$BS$25)),"N/A",MIN(100,MAX(0,'[1]#REF'!$BS$25)))</f>
        <v>N/A</v>
      </c>
      <c r="AI49" s="65" t="e">
        <f>IF(OR(NOT(ISNUMBER('[1]#REF'!$BM$25)),NOT(ISNUMBER('[1]#REF'!$BN$25)),'[1]#REF'!$BN$25&lt;Lookup_Lists!$D$320),"N/A",MIN(100,ROUND('[1]#REF'!$BM$25/Lookup_Lists!$D$319*100,0)))</f>
        <v>#REF!</v>
      </c>
      <c r="AJ49" s="65" t="str">
        <f>IF(NOT(ISNUMBER('[1]#REF'!$BR$25)),"N/A",'[1]#REF'!$BR$25)</f>
        <v>N/A</v>
      </c>
      <c r="AK49" s="65" t="str">
        <f>IF(NOT(ISNUMBER('[1]#REF'!$BK$25)),"N/A",MIN(100,ROUND('[1]#REF'!$BK$25/Lookup_Lists!$D$321*100,0)))</f>
        <v>N/A</v>
      </c>
      <c r="AL49" s="65" t="str">
        <f>IF(NOT(ISNUMBER('[1]#REF'!$BP$25)),"N/A",MIN(100,MAX(0,ROUND(('[1]#REF'!$BP$25+2)/(Lookup_Lists!$D$145+2)*100,0))))</f>
        <v>N/A</v>
      </c>
      <c r="AM49" s="63">
        <f>IF((IF(ISNUMBER(Matching_Engine!$AG$49),Lookup_Lists!$D$129,0)+IF(ISNUMBER(Matching_Engine!$AH$49),Lookup_Lists!$D$130,0)+IF(ISNUMBER(Matching_Engine!$AI$49),Lookup_Lists!$D$131,0)+IF(ISNUMBER(Matching_Engine!$AJ$49),Lookup_Lists!$D$132,0)+IF(ISNUMBER(Matching_Engine!$AK$49),Lookup_Lists!$D$133,0)+IF(ISNUMBER(Matching_Engine!$AL$49),Lookup_Lists!$D$134,0))=0,"N/A",ROUND((IF(ISNUMBER(Matching_Engine!$AG$49),Matching_Engine!$AG$49*Lookup_Lists!$D$129,0)+IF(ISNUMBER(Matching_Engine!$AH$49),Matching_Engine!$AH$49*Lookup_Lists!$D$130,0)+IF(ISNUMBER(Matching_Engine!$AI$49),Matching_Engine!$AI$49*Lookup_Lists!$D$131,0)+IF(ISNUMBER(Matching_Engine!$AJ$49),Matching_Engine!$AJ$49*Lookup_Lists!$D$132,0)+IF(ISNUMBER(Matching_Engine!$AK$49),Matching_Engine!$AK$49*Lookup_Lists!$D$133,0)+IF(ISNUMBER(Matching_Engine!$AL$49),Matching_Engine!$AL$49*Lookup_Lists!$D$134,0))/(IF(ISNUMBER(Matching_Engine!$AG$49),Lookup_Lists!$D$129,0)+IF(ISNUMBER(Matching_Engine!$AH$49),Lookup_Lists!$D$130,0)+IF(ISNUMBER(Matching_Engine!$AI$49),Lookup_Lists!$D$131,0)+IF(ISNUMBER(Matching_Engine!$AJ$49),Lookup_Lists!$D$132,0)+IF(ISNUMBER(Matching_Engine!$AK$49),Lookup_Lists!$D$133,0)+IF(ISNUMBER(Matching_Engine!$AL$49),Lookup_Lists!$D$134,0)),0))</f>
        <v>70</v>
      </c>
      <c r="AN49" s="42">
        <f>IF(ISNUMBER(Matching_Engine!$AM$49),1,0)</f>
        <v>0</v>
      </c>
      <c r="AO49" s="65" t="str">
        <f>IF(NOT(ISNUMBER('[1]#REF'!$BT$25)),"N/A",MIN(100,MAX(0,'[1]#REF'!$BT$25)))</f>
        <v>N/A</v>
      </c>
      <c r="AP49" s="65" t="str">
        <f>IF(NOT(ISNUMBER('[1]#REF'!$BU$25)),"N/A",MIN(100,MAX(0,'[1]#REF'!$BU$25)))</f>
        <v>N/A</v>
      </c>
      <c r="AQ49" s="65" t="e">
        <f>IF('[1]#REF'!$I$25="Yes",Lookup_Lists!$D$326,IF('[1]#REF'!$I$25="No",Lookup_Lists!$D$327,"N/A"))</f>
        <v>#REF!</v>
      </c>
      <c r="AR49" s="65" t="str">
        <f>IF(NOT(ISNUMBER('[1]#REF'!$BQ$25)),"N/A",MAX(0,ROUND(100-'[1]#REF'!$BQ$25/Lookup_Lists!$D$328*100,0)))</f>
        <v>N/A</v>
      </c>
      <c r="AS49" s="65" t="e">
        <f>IF(NOT(AND(ISTEXT('[1]#REF'!$BV$25),'[1]#REF'!$BV$25&lt;&gt;"N/A")),"N/A",'[1]#REF'!$BV$25)</f>
        <v>#REF!</v>
      </c>
      <c r="AT49" s="63" t="str">
        <f ca="1">IF((IF(ISNUMBER(Matching_Engine!$AO$49),Lookup_Lists!$D$322,0)+IF(ISNUMBER(Matching_Engine!$AP$49),Lookup_Lists!$D$323,0)+IF(ISNUMBER(Matching_Engine!$AQ$49),Lookup_Lists!$D$324,0)+IF(ISNUMBER(Matching_Engine!$AR$49),Lookup_Lists!$D$325,0))=0,"N/A",ROUND((IF(ISNUMBER(Matching_Engine!$AO$49),Matching_Engine!$AO$49*Lookup_Lists!$D$322,0)+IF(ISNUMBER(Matching_Engine!$AP$49),Matching_Engine!$AP$49*Lookup_Lists!$D$323,0)+IF(ISNUMBER(Matching_Engine!$AQ$49),Matching_Engine!$AQ$49*Lookup_Lists!$D$324,0)+IF(ISNUMBER(Matching_Engine!$AR$49),Matching_Engine!$AR$49*Lookup_Lists!$D$325,0))/(IF(ISNUMBER(Matching_Engine!$AO$49),Lookup_Lists!$D$322,0)+IF(ISNUMBER(Matching_Engine!$AP$49),Lookup_Lists!$D$323,0)+IF(ISNUMBER(Matching_Engine!$AQ$49),Lookup_Lists!$D$324,0)+IF(ISNUMBER(Matching_Engine!$AR$49),Lookup_Lists!$D$325,0)),0))</f>
        <v>N/A</v>
      </c>
      <c r="AU49" s="42">
        <f>IF(ISNUMBER(Matching_Engine!$AT$49),1,0)</f>
        <v>1</v>
      </c>
      <c r="AV49" s="42" t="str">
        <f>IF(NOT(ISNUMBER(Matching_Engine!$AT$49)),"Not Screened",IF(Matching_Engine!$AT$49&gt;=Lookup_Lists!$D$329,"Low Risk",IF(Matching_Engine!$AT$49&gt;=Lookup_Lists!$D$330,"Moderate Risk",IF(Matching_Engine!$AT$49&gt;=Lookup_Lists!$D$331,"Elevated Risk","High Risk"))))</f>
        <v>Low Risk</v>
      </c>
      <c r="AW49" s="42" t="e">
        <f ca="1">IF(NOT(ISNUMBER(Matching_Engine!$AT$49)),"No integrity signal: no audience-analysis row for this account.","Integrity screen only — no content-risk reading exists (comments_analysis: 0 rows). "&amp;IF(ISNUMBER(Matching_Engine!$AO$49),"Authenticity "&amp;Matching_Engine!$AO$49&amp;". ","Authenticity N/A. ")&amp;IF(ISNUMBER(Matching_Engine!$AP$49),"Follower quality "&amp;Matching_Engine!$AP$49&amp;". ","Follower quality N/A. ")&amp;IF('[1]#REF'!$I$25="Yes","Platform-verified.","Not platform-verified."))</f>
        <v>#REF!</v>
      </c>
      <c r="AX49" s="65">
        <f>Matching_Engine!$N$49*Lookup_Lists!$D$104+Matching_Engine!$T$49*Lookup_Lists!$D$105+Matching_Engine!$Z$49*Lookup_Lists!$D$106+Matching_Engine!$AF$49*Lookup_Lists!$D$107+Matching_Engine!$AN$49*Lookup_Lists!$D$108+Matching_Engine!$AU$49*Lookup_Lists!$D$109</f>
        <v>7299.5</v>
      </c>
      <c r="AY49" s="74" t="e">
        <f ca="1">IF(Matching_Engine!$AX$49=0,"N/A",ROUND((IF(Matching_Engine!$N$49=1,Matching_Engine!$M$49*Lookup_Lists!$D$104,0)+IF(Matching_Engine!$T$49=1,Matching_Engine!$S$49*Lookup_Lists!$D$105,0)+IF(Matching_Engine!$Z$49=1,Matching_Engine!$Y$49*Lookup_Lists!$D$106,0)+IF(Matching_Engine!$AF$49=1,Matching_Engine!$AE$49*Lookup_Lists!$D$107,0)+IF(Matching_Engine!$AN$49=1,Matching_Engine!$AM$49*Lookup_Lists!$D$108,0)+IF(Matching_Engine!$AU$49=1,Matching_Engine!$AT$49*Lookup_Lists!$D$109,0))/Matching_Engine!$AX$49,0))</f>
        <v>#VALUE!</v>
      </c>
      <c r="AZ49" s="42" t="str">
        <f ca="1">IF(NOT(ISNUMBER(Matching_Engine!$AY$49)),"Not Scored",IF(Matching_Engine!$AY$49&gt;=Lookup_Lists!$D$152,"Excellent Match",IF(Matching_Engine!$AY$49&gt;=Lookup_Lists!$D$153,"Strong Match",IF(Matching_Engine!$AY$49&gt;=Lookup_Lists!$D$154,"Good Match",IF(Matching_Engine!$AY$49&gt;=Lookup_Lists!$D$155,"Moderate Match","Low Match")))))</f>
        <v>Not Scored</v>
      </c>
      <c r="BA49" s="65" t="e">
        <f>'[1]#REF'!$BW$25</f>
        <v>#REF!</v>
      </c>
      <c r="BB49" s="42" t="e">
        <f>'[1]#REF'!$BX$25</f>
        <v>#REF!</v>
      </c>
      <c r="BC49" s="65">
        <f ca="1">IF(NOT(ISNUMBER(Matching_Engine!$AY$49)),-1,Matching_Engine!$AY$49*1000+5)</f>
        <v>-1</v>
      </c>
      <c r="BD49" s="42" t="e">
        <f>IF(AND(ISTEXT('[1]#REF'!$S$25),'[1]#REF'!$S$25&lt;&gt;"N/A"),'[1]#REF'!$S$25,"")&amp;" | "&amp;IF(AND(ISTEXT('[1]#REF'!$T$25),'[1]#REF'!$T$25&lt;&gt;"N/A"),'[1]#REF'!$T$25,"")&amp;" | "&amp;IF(AND(ISTEXT('[1]#REF'!$N$25),'[1]#REF'!$N$25&lt;&gt;"N/A"),'[1]#REF'!$N$25,"")&amp;" | "&amp;IF(AND(ISTEXT('[1]#REF'!$K$25),'[1]#REF'!$K$25&lt;&gt;"N/A"),'[1]#REF'!$K$25,"")&amp;" | "&amp;IF(AND(ISTEXT('[1]#REF'!$J$25),'[1]#REF'!$J$25&lt;&gt;"N/A"),'[1]#REF'!$J$25,"")</f>
        <v>#REF!</v>
      </c>
      <c r="BE49" s="42" t="e">
        <f>IF(AND(ISTEXT('[1]#REF'!$T$25),'[1]#REF'!$T$25&lt;&gt;"N/A"),'[1]#REF'!$T$25,"")&amp;" | "&amp;IF(AND(ISTEXT('[1]#REF'!$N$25),'[1]#REF'!$N$25&lt;&gt;"N/A"),'[1]#REF'!$N$25,"")&amp;" | "&amp;IF(AND(ISTEXT('[1]#REF'!$O$25),'[1]#REF'!$O$25&lt;&gt;"N/A"),'[1]#REF'!$O$25,"")&amp;" | "&amp;IF(AND(ISTEXT('[1]#REF'!$S$25),'[1]#REF'!$S$25&lt;&gt;"N/A"),'[1]#REF'!$S$25,"")</f>
        <v>#REF!</v>
      </c>
      <c r="BF49" s="42" t="e">
        <f>IF(AND(ISTEXT('[1]#REF'!$U$25),'[1]#REF'!$U$25&lt;&gt;"N/A"),'[1]#REF'!$U$25,"")</f>
        <v>#REF!</v>
      </c>
      <c r="BG49" s="42" t="str">
        <f>Matching_Engine!$A$49&amp;"|"&amp;Matching_Engine!$C$49</f>
        <v>BRAND-B|KOL-14</v>
      </c>
    </row>
    <row r="50" spans="1:59">
      <c r="A50" s="64" t="s">
        <v>2528</v>
      </c>
      <c r="B50" s="42" t="str">
        <f>Brand_Profile!$F$6</f>
        <v>BRAND-C</v>
      </c>
      <c r="C50" s="42" t="e">
        <f>'[1]#REF'!$A$26</f>
        <v>#REF!</v>
      </c>
      <c r="D50" s="42" t="e">
        <f>'[1]#REF'!$C$26</f>
        <v>#REF!</v>
      </c>
      <c r="E50" s="42" t="e">
        <f>'[1]#REF'!$D$26</f>
        <v>#REF!</v>
      </c>
      <c r="F50" s="42" t="e">
        <f>'[1]#REF'!$E$26</f>
        <v>#REF!</v>
      </c>
      <c r="G50" s="42" t="e">
        <f>'[1]#REF'!$K$26</f>
        <v>#REF!</v>
      </c>
      <c r="H50" s="72" t="e">
        <f>'[1]#REF'!$G$26</f>
        <v>#REF!</v>
      </c>
      <c r="I50" s="73" t="e">
        <f>'[1]#REF'!$BG$26</f>
        <v>#REF!</v>
      </c>
      <c r="J50" s="65" t="e">
        <f>IF(NOT(AND(ISTEXT('[1]#REF'!$K$26),'[1]#REF'!$K$26&lt;&gt;"N/A")),Lookup_Lists!$D$150,IF(Brand_Profile!$F$7='[1]#REF'!$K$26,100,IFERROR(INDEX(Lookup_Lists!$B$349:$J$357,MATCH(Brand_Profile!$F$7,Lookup_Lists!$A$349:$A$357,0),MATCH('[1]#REF'!$K$26,Lookup_Lists!$B$348:$J$348,0)),Lookup_Lists!$D$151)))</f>
        <v>#REF!</v>
      </c>
      <c r="K50" s="65" t="e">
        <f>IF(LEN(TRIM(SUBSTITUTE(Matching_Engine!$BD$50,"|","")))=0,"N/A",IF(Brand_Profile!$F$47=0,Lookup_Lists!$D$150,ROUND((IF(Brand_Profile!$F$41="",0,IF(ISNUMBER(SEARCH(Brand_Profile!$F$41,Matching_Engine!$BD$50)),1,0))+IF(Brand_Profile!$F$42="",0,IF(ISNUMBER(SEARCH(Brand_Profile!$F$42,Matching_Engine!$BD$50)),1,0))+IF(Brand_Profile!$F$43="",0,IF(ISNUMBER(SEARCH(Brand_Profile!$F$43,Matching_Engine!$BD$50)),1,0))+IF(Brand_Profile!$F$44="",0,IF(ISNUMBER(SEARCH(Brand_Profile!$F$44,Matching_Engine!$BD$50)),1,0))+IF(Brand_Profile!$F$45="",0,IF(ISNUMBER(SEARCH(Brand_Profile!$F$45,Matching_Engine!$BD$50)),1,0))+IF(Brand_Profile!$F$46="",0,IF(ISNUMBER(SEARCH(Brand_Profile!$F$46,Matching_Engine!$BD$50)),1,0)))/Brand_Profile!$F$47*100,0)))</f>
        <v>#VALUE!</v>
      </c>
      <c r="L50" s="65" t="e">
        <f>IF(NOT(AND(ISTEXT('[1]#REF'!$U$26),'[1]#REF'!$U$26&lt;&gt;"N/A")),"N/A",IF(Brand_Profile!$F$53=0,Lookup_Lists!$D$150,ROUND((IF(Brand_Profile!$F$48="",0,IF(ISNUMBER(SEARCH(Brand_Profile!$F$48,Matching_Engine!$BF$50)),1,0))+IF(Brand_Profile!$F$49="",0,IF(ISNUMBER(SEARCH(Brand_Profile!$F$49,Matching_Engine!$BF$50)),1,0))+IF(Brand_Profile!$F$50="",0,IF(ISNUMBER(SEARCH(Brand_Profile!$F$50,Matching_Engine!$BF$50)),1,0))+IF(Brand_Profile!$F$51="",0,IF(ISNUMBER(SEARCH(Brand_Profile!$F$51,Matching_Engine!$BF$50)),1,0))+IF(Brand_Profile!$F$52="",0,IF(ISNUMBER(SEARCH(Brand_Profile!$F$52,Matching_Engine!$BF$50)),1,0)))/Brand_Profile!$F$53*100,0)))</f>
        <v>#REF!</v>
      </c>
      <c r="M50" s="63" t="str">
        <f>IF((IF(ISNUMBER(Matching_Engine!$J$50),Lookup_Lists!$D$332,0)+IF(ISNUMBER(Matching_Engine!$K$50),Lookup_Lists!$D$333,0)+IF(ISNUMBER(Matching_Engine!$L$50),Lookup_Lists!$D$334,0))=0,"N/A",ROUND((IF(ISNUMBER(Matching_Engine!$J$50),Matching_Engine!$J$50*Lookup_Lists!$D$332,0)+IF(ISNUMBER(Matching_Engine!$K$50),Matching_Engine!$K$50*Lookup_Lists!$D$333,0)+IF(ISNUMBER(Matching_Engine!$L$50),Matching_Engine!$L$50*Lookup_Lists!$D$334,0))/(IF(ISNUMBER(Matching_Engine!$J$50),Lookup_Lists!$D$332,0)+IF(ISNUMBER(Matching_Engine!$K$50),Lookup_Lists!$D$333,0)+IF(ISNUMBER(Matching_Engine!$L$50),Lookup_Lists!$D$334,0)),0))</f>
        <v>N/A</v>
      </c>
      <c r="N50" s="42">
        <f>IF(ISNUMBER(Matching_Engine!$M$50),1,0)</f>
        <v>1</v>
      </c>
      <c r="O50" s="65" t="str">
        <f ca="1">IF(NOT(ISNUMBER(IFERROR(INDEX('[1]#REF'!$V$26:'[1]#REF'!$Z$26,1,MATCH(Brand_Profile!$F$11,Lookup_Lists!$F$6:$F$10,0)),""))),"N/A",MIN(100,ROUND((IFERROR(INDEX('[1]#REF'!$V$26:'[1]#REF'!$Z$26,1,MATCH(Brand_Profile!$F$11,Lookup_Lists!$F$6:$F$10,0)),"")+0.5*IF(ISNUMBER(IFERROR(INDEX('[1]#REF'!$V$26:'[1]#REF'!$Z$26,1,MATCH(Brand_Profile!$F$12,Lookup_Lists!$F$6:$F$10,0)),"")),IFERROR(INDEX('[1]#REF'!$V$26:'[1]#REF'!$Z$26,1,MATCH(Brand_Profile!$F$12,Lookup_Lists!$F$6:$F$10,0)),""),0))/Lookup_Lists!$D$142*100,0)))</f>
        <v>N/A</v>
      </c>
      <c r="P50" s="65" t="str">
        <f>IF(Brand_Profile!$F$13="Any",100,IF(NOT(ISNUMBER('[1]#REF'!$AA$26)),"N/A",IF(Brand_Profile!$F$13="Female",MIN(100,ROUND('[1]#REF'!$AA$26/Lookup_Lists!$D$143*100,0)),IF(Brand_Profile!$F$13="Male",MIN(100,ROUND(IF(ISNUMBER('[1]#REF'!$AB$26),'[1]#REF'!$AB$26,100-'[1]#REF'!$AA$26)/Lookup_Lists!$D$143*100,0)),MAX(0,ROUND(100-ABS('[1]#REF'!$AA$26-50)*2,0))))))</f>
        <v>N/A</v>
      </c>
      <c r="Q50" s="65" t="str">
        <f>IF((IF(ISNUMBER(IF(NOT(ISNUMBER('[1]#REF'!$AE$26)),"N/A",IF('[1]#REF'!$AD$26&lt;&gt;Brand_Profile!$F$14,Lookup_Lists!$D$151,MIN(100,ROUND('[1]#REF'!$AE$26/Lookup_Lists!$D$316*100,0))))),Lookup_Lists!$D$118,0)+IF(ISNUMBER(IF(NOT(ISNUMBER('[1]#REF'!$AM$26)),"N/A",MIN(100,ROUND((IF('[1]#REF'!$AG$26=Brand_Profile!$F$15,IF(ISNUMBER('[1]#REF'!$AH$26),'[1]#REF'!$AH$26,0),0)+IF('[1]#REF'!$AI$26=Brand_Profile!$F$15,IF(ISNUMBER('[1]#REF'!$AJ$26),'[1]#REF'!$AJ$26,0),0)+IF('[1]#REF'!$AK$26=Brand_Profile!$F$15,IF(ISNUMBER('[1]#REF'!$AL$26),'[1]#REF'!$AL$26,0),0))/Lookup_Lists!$D$317*100,0)))),Lookup_Lists!$D$120,0))=0,"N/A",ROUND((IF(ISNUMBER(IF(NOT(ISNUMBER('[1]#REF'!$AE$26)),"N/A",IF('[1]#REF'!$AD$26&lt;&gt;Brand_Profile!$F$14,Lookup_Lists!$D$151,MIN(100,ROUND('[1]#REF'!$AE$26/Lookup_Lists!$D$316*100,0))))),IF(NOT(ISNUMBER('[1]#REF'!$AE$26)),"N/A",IF('[1]#REF'!$AD$26&lt;&gt;Brand_Profile!$F$14,Lookup_Lists!$D$151,MIN(100,ROUND('[1]#REF'!$AE$26/Lookup_Lists!$D$316*100,0))))*Lookup_Lists!$D$118,0)+IF(ISNUMBER(IF(NOT(ISNUMBER('[1]#REF'!$AM$26)),"N/A",MIN(100,ROUND((IF('[1]#REF'!$AG$26=Brand_Profile!$F$15,IF(ISNUMBER('[1]#REF'!$AH$26),'[1]#REF'!$AH$26,0),0)+IF('[1]#REF'!$AI$26=Brand_Profile!$F$15,IF(ISNUMBER('[1]#REF'!$AJ$26),'[1]#REF'!$AJ$26,0),0)+IF('[1]#REF'!$AK$26=Brand_Profile!$F$15,IF(ISNUMBER('[1]#REF'!$AL$26),'[1]#REF'!$AL$26,0),0))/Lookup_Lists!$D$317*100,0)))),IF(NOT(ISNUMBER('[1]#REF'!$AM$26)),"N/A",MIN(100,ROUND((IF('[1]#REF'!$AG$26=Brand_Profile!$F$15,IF(ISNUMBER('[1]#REF'!$AH$26),'[1]#REF'!$AH$26,0),0)+IF('[1]#REF'!$AI$26=Brand_Profile!$F$15,IF(ISNUMBER('[1]#REF'!$AJ$26),'[1]#REF'!$AJ$26,0),0)+IF('[1]#REF'!$AK$26=Brand_Profile!$F$15,IF(ISNUMBER('[1]#REF'!$AL$26),'[1]#REF'!$AL$26,0),0))/Lookup_Lists!$D$317*100,0)))*Lookup_Lists!$D$120,0))/(IF(ISNUMBER(IF(NOT(ISNUMBER('[1]#REF'!$AE$26)),"N/A",IF('[1]#REF'!$AD$26&lt;&gt;Brand_Profile!$F$14,Lookup_Lists!$D$151,MIN(100,ROUND('[1]#REF'!$AE$26/Lookup_Lists!$D$316*100,0))))),Lookup_Lists!$D$118,0)+IF(ISNUMBER(IF(NOT(ISNUMBER('[1]#REF'!$AM$26)),"N/A",MIN(100,ROUND((IF('[1]#REF'!$AG$26=Brand_Profile!$F$15,IF(ISNUMBER('[1]#REF'!$AH$26),'[1]#REF'!$AH$26,0),0)+IF('[1]#REF'!$AI$26=Brand_Profile!$F$15,IF(ISNUMBER('[1]#REF'!$AJ$26),'[1]#REF'!$AJ$26,0),0)+IF('[1]#REF'!$AK$26=Brand_Profile!$F$15,IF(ISNUMBER('[1]#REF'!$AL$26),'[1]#REF'!$AL$26,0),0))/Lookup_Lists!$D$317*100,0)))),Lookup_Lists!$D$120,0)),0))</f>
        <v>N/A</v>
      </c>
      <c r="R50" s="65" t="str">
        <f>IF(NOT(ISNUMBER('[1]#REF'!$AN$26)),"N/A",MIN(100,ROUND((IF(ISNUMBER('[1]#REF'!$AO$26),'[1]#REF'!$AO$26*Brand_Profile!$F$17,0)+IF(ISNUMBER('[1]#REF'!$AP$26),'[1]#REF'!$AP$26*Brand_Profile!$F$18,0)+IF(ISNUMBER('[1]#REF'!$AQ$26),'[1]#REF'!$AQ$26*Brand_Profile!$F$19,0)+IF(ISNUMBER('[1]#REF'!$AR$26),'[1]#REF'!$AR$26*Brand_Profile!$F$20,0)+IF(ISNUMBER('[1]#REF'!$AS$26),'[1]#REF'!$AS$26*Brand_Profile!$F$21,0)+IF(ISNUMBER('[1]#REF'!$AT$26),'[1]#REF'!$AT$26*Brand_Profile!$F$22,0)+IF(ISNUMBER('[1]#REF'!$AU$26),'[1]#REF'!$AU$26*Brand_Profile!$F$23,0)+IF(ISNUMBER('[1]#REF'!$AV$26),'[1]#REF'!$AV$26*Brand_Profile!$F$24,0)+IF(ISNUMBER('[1]#REF'!$AW$26),'[1]#REF'!$AW$26*Brand_Profile!$F$25,0)+IF(ISNUMBER('[1]#REF'!$AX$26),'[1]#REF'!$AX$26*Brand_Profile!$F$26,0)+IF(ISNUMBER('[1]#REF'!$AY$26),'[1]#REF'!$AY$26*Brand_Profile!$F$27,0)+IF(ISNUMBER('[1]#REF'!$AZ$26),'[1]#REF'!$AZ$26*Brand_Profile!$F$28,0)+IF(ISNUMBER('[1]#REF'!$BA$26),'[1]#REF'!$BA$26*Brand_Profile!$F$29,0)+IF(ISNUMBER('[1]#REF'!$BB$26),'[1]#REF'!$BB$26*Brand_Profile!$F$30,0)+IF(ISNUMBER('[1]#REF'!$BC$26),'[1]#REF'!$BC$26*Brand_Profile!$F$31,0)+IF(ISNUMBER('[1]#REF'!$BD$26),'[1]#REF'!$BD$26*Brand_Profile!$F$32,0)+IF(ISNUMBER('[1]#REF'!$BE$26),'[1]#REF'!$BE$26*Brand_Profile!$F$33,0)+IF(ISNUMBER('[1]#REF'!$BF$26),'[1]#REF'!$BF$26*Brand_Profile!$F$34,0))/Lookup_Lists!$D$318*100,0)))</f>
        <v>N/A</v>
      </c>
      <c r="S50" s="63">
        <f ca="1">IF((IF(ISNUMBER(Matching_Engine!$O$50),Lookup_Lists!$D$113,0)+IF(ISNUMBER(Matching_Engine!$P$50),Lookup_Lists!$D$114,0)+IF(ISNUMBER(Matching_Engine!$Q$50),Lookup_Lists!$D$115,0)+IF(ISNUMBER(Matching_Engine!$R$50),Lookup_Lists!$D$116,0))=0,"N/A",ROUND((IF(ISNUMBER(Matching_Engine!$O$50),Matching_Engine!$O$50*Lookup_Lists!$D$113,0)+IF(ISNUMBER(Matching_Engine!$P$50),Matching_Engine!$P$50*Lookup_Lists!$D$114,0)+IF(ISNUMBER(Matching_Engine!$Q$50),Matching_Engine!$Q$50*Lookup_Lists!$D$115,0)+IF(ISNUMBER(Matching_Engine!$R$50),Matching_Engine!$R$50*Lookup_Lists!$D$116,0))/(IF(ISNUMBER(Matching_Engine!$O$50),Lookup_Lists!$D$113,0)+IF(ISNUMBER(Matching_Engine!$P$50),Lookup_Lists!$D$114,0)+IF(ISNUMBER(Matching_Engine!$Q$50),Lookup_Lists!$D$115,0)+IF(ISNUMBER(Matching_Engine!$R$50),Lookup_Lists!$D$116,0)),0))</f>
        <v>88</v>
      </c>
      <c r="T50" s="42">
        <f ca="1">IF(ISNUMBER(Matching_Engine!$S$50),1,0)</f>
        <v>1</v>
      </c>
      <c r="U50" s="65" t="e">
        <f>IF(NOT(AND(ISTEXT('[1]#REF'!$M$26),'[1]#REF'!$M$26&lt;&gt;"N/A")),Lookup_Lists!$D$150,IF(Brand_Profile!$F$7='[1]#REF'!$M$26,100,IFERROR(INDEX(Lookup_Lists!$B$349:$J$357,MATCH(Brand_Profile!$F$7,Lookup_Lists!$A$349:$A$357,0),MATCH('[1]#REF'!$M$26,Lookup_Lists!$B$348:$J$348,0)),Lookup_Lists!$D$151)))</f>
        <v>#REF!</v>
      </c>
      <c r="V50" s="65" t="e">
        <f>IF(NOT(AND(ISTEXT('[1]#REF'!$P$26),'[1]#REF'!$P$26&lt;&gt;"N/A")),"N/A",IFERROR(INDEX(Lookup_Lists!$B$349:$J$357,MATCH(Brand_Profile!$F$7,Lookup_Lists!$A$349:$A$357,0),MATCH('[1]#REF'!$P$26,Lookup_Lists!$B$348:$J$348,0)),Lookup_Lists!$D$151))</f>
        <v>#REF!</v>
      </c>
      <c r="W50" s="65" t="e">
        <f>IF(LEN(TRIM(SUBSTITUTE(Matching_Engine!$BE$50,"|","")))=0,"N/A",IF(Brand_Profile!$F$60=0,Lookup_Lists!$D$150,ROUND((IF(Brand_Profile!$F$54="",0,IF(ISNUMBER(SEARCH(Brand_Profile!$F$54,Matching_Engine!$BE$50)),1,0))+IF(Brand_Profile!$F$55="",0,IF(ISNUMBER(SEARCH(Brand_Profile!$F$55,Matching_Engine!$BE$50)),1,0))+IF(Brand_Profile!$F$56="",0,IF(ISNUMBER(SEARCH(Brand_Profile!$F$56,Matching_Engine!$BE$50)),1,0))+IF(Brand_Profile!$F$57="",0,IF(ISNUMBER(SEARCH(Brand_Profile!$F$57,Matching_Engine!$BE$50)),1,0))+IF(Brand_Profile!$F$58="",0,IF(ISNUMBER(SEARCH(Brand_Profile!$F$58,Matching_Engine!$BE$50)),1,0))+IF(Brand_Profile!$F$59="",0,IF(ISNUMBER(SEARCH(Brand_Profile!$F$59,Matching_Engine!$BE$50)),1,0)))/Brand_Profile!$F$60*100,0)))</f>
        <v>#VALUE!</v>
      </c>
      <c r="X50" s="65" t="e">
        <f>IF(NOT(AND(ISTEXT('[1]#REF'!$Q$26),'[1]#REF'!$Q$26&lt;&gt;"N/A")),"N/A",Lookup_Lists!$D$150)</f>
        <v>#REF!</v>
      </c>
      <c r="Y50" s="63">
        <f>IF((IF(ISNUMBER(Matching_Engine!$U$50),Lookup_Lists!$D$335,0)+IF(ISNUMBER(Matching_Engine!$V$50),Lookup_Lists!$D$122,0)+IF(ISNUMBER(Matching_Engine!$W$50),Lookup_Lists!$D$336,0)+IF(ISNUMBER(Matching_Engine!$X$50),Lookup_Lists!$D$124,0))=0,"N/A",ROUND((IF(ISNUMBER(Matching_Engine!$U$50),Matching_Engine!$U$50*Lookup_Lists!$D$335,0)+IF(ISNUMBER(Matching_Engine!$V$50),Matching_Engine!$V$50*Lookup_Lists!$D$122,0)+IF(ISNUMBER(Matching_Engine!$W$50),Matching_Engine!$W$50*Lookup_Lists!$D$336,0)+IF(ISNUMBER(Matching_Engine!$X$50),Matching_Engine!$X$50*Lookup_Lists!$D$124,0))/(IF(ISNUMBER(Matching_Engine!$U$50),Lookup_Lists!$D$335,0)+IF(ISNUMBER(Matching_Engine!$V$50),Lookup_Lists!$D$122,0)+IF(ISNUMBER(Matching_Engine!$W$50),Lookup_Lists!$D$336,0)+IF(ISNUMBER(Matching_Engine!$X$50),Lookup_Lists!$D$124,0)),0))</f>
        <v>48</v>
      </c>
      <c r="Z50" s="42">
        <f>IF(ISNUMBER(Matching_Engine!$Y$50),1,0)</f>
        <v>1</v>
      </c>
      <c r="AA50" s="65" t="e">
        <f>IF(NOT(AND(ISTEXT('[1]#REF'!$Q$26),'[1]#REF'!$Q$26&lt;&gt;"N/A")),"N/A",Lookup_Lists!$D$150)</f>
        <v>#REF!</v>
      </c>
      <c r="AB50" s="65" t="e">
        <f>IF(NOT(AND(ISTEXT('[1]#REF'!$Q$26),'[1]#REF'!$Q$26&lt;&gt;"N/A")),"N/A",Lookup_Lists!$D$150)</f>
        <v>#REF!</v>
      </c>
      <c r="AC50" s="65" t="str">
        <f t="shared" si="0"/>
        <v>N/A</v>
      </c>
      <c r="AD50" s="65" t="e">
        <f>IF(NOT(AND(ISTEXT('[1]#REF'!$Q$26),'[1]#REF'!$Q$26&lt;&gt;"N/A")),"N/A",Lookup_Lists!$D$150)</f>
        <v>#REF!</v>
      </c>
      <c r="AE50" s="63">
        <f>IF((IF(ISNUMBER(Matching_Engine!$AA$50),Lookup_Lists!$D$125,0)+IF(ISNUMBER(Matching_Engine!$AB$50),Lookup_Lists!$D$126,0)+IF(ISNUMBER(Matching_Engine!$AC$50),Lookup_Lists!$D$127,0)+IF(ISNUMBER(Matching_Engine!$AD$50),Lookup_Lists!$D$128,0))=0,"N/A",ROUND((IF(ISNUMBER(Matching_Engine!$AA$50),Matching_Engine!$AA$50*Lookup_Lists!$D$125,0)+IF(ISNUMBER(Matching_Engine!$AB$50),Matching_Engine!$AB$50*Lookup_Lists!$D$126,0)+IF(ISNUMBER(Matching_Engine!$AC$50),Matching_Engine!$AC$50*Lookup_Lists!$D$127,0)+IF(ISNUMBER(Matching_Engine!$AD$50),Matching_Engine!$AD$50*Lookup_Lists!$D$128,0))/(IF(ISNUMBER(Matching_Engine!$AA$50),Lookup_Lists!$D$125,0)+IF(ISNUMBER(Matching_Engine!$AB$50),Lookup_Lists!$D$126,0)+IF(ISNUMBER(Matching_Engine!$AC$50),Lookup_Lists!$D$127,0)+IF(ISNUMBER(Matching_Engine!$AD$50),Lookup_Lists!$D$128,0)),0))</f>
        <v>55</v>
      </c>
      <c r="AF50" s="42">
        <f>IF(ISNUMBER(Matching_Engine!$AE$50),1,0)</f>
        <v>1</v>
      </c>
      <c r="AG50" s="65" t="str">
        <f>IF(NOT(ISNUMBER('[1]#REF'!$BG$26)),"N/A",MIN(100,ROUND('[1]#REF'!$BG$26/IFERROR(INDEX(Lookup_Lists!$B$340:$B$344,MATCH('[1]#REF'!$H$26,Lookup_Lists!$A$340:$A$344,0)),Lookup_Lists!$D$141)*100,0)))</f>
        <v>N/A</v>
      </c>
      <c r="AH50" s="65" t="str">
        <f>IF(NOT(ISNUMBER('[1]#REF'!$BS$26)),"N/A",MIN(100,MAX(0,'[1]#REF'!$BS$26)))</f>
        <v>N/A</v>
      </c>
      <c r="AI50" s="65" t="e">
        <f>IF(OR(NOT(ISNUMBER('[1]#REF'!$BM$26)),NOT(ISNUMBER('[1]#REF'!$BN$26)),'[1]#REF'!$BN$26&lt;Lookup_Lists!$D$320),"N/A",MIN(100,ROUND('[1]#REF'!$BM$26/Lookup_Lists!$D$319*100,0)))</f>
        <v>#REF!</v>
      </c>
      <c r="AJ50" s="65" t="str">
        <f>IF(NOT(ISNUMBER('[1]#REF'!$BR$26)),"N/A",'[1]#REF'!$BR$26)</f>
        <v>N/A</v>
      </c>
      <c r="AK50" s="65" t="str">
        <f>IF(NOT(ISNUMBER('[1]#REF'!$BK$26)),"N/A",MIN(100,ROUND('[1]#REF'!$BK$26/Lookup_Lists!$D$321*100,0)))</f>
        <v>N/A</v>
      </c>
      <c r="AL50" s="65" t="str">
        <f>IF(NOT(ISNUMBER('[1]#REF'!$BP$26)),"N/A",MIN(100,MAX(0,ROUND(('[1]#REF'!$BP$26+2)/(Lookup_Lists!$D$145+2)*100,0))))</f>
        <v>N/A</v>
      </c>
      <c r="AM50" s="63">
        <f>IF((IF(ISNUMBER(Matching_Engine!$AG$50),Lookup_Lists!$D$129,0)+IF(ISNUMBER(Matching_Engine!$AH$50),Lookup_Lists!$D$130,0)+IF(ISNUMBER(Matching_Engine!$AI$50),Lookup_Lists!$D$131,0)+IF(ISNUMBER(Matching_Engine!$AJ$50),Lookup_Lists!$D$132,0)+IF(ISNUMBER(Matching_Engine!$AK$50),Lookup_Lists!$D$133,0)+IF(ISNUMBER(Matching_Engine!$AL$50),Lookup_Lists!$D$134,0))=0,"N/A",ROUND((IF(ISNUMBER(Matching_Engine!$AG$50),Matching_Engine!$AG$50*Lookup_Lists!$D$129,0)+IF(ISNUMBER(Matching_Engine!$AH$50),Matching_Engine!$AH$50*Lookup_Lists!$D$130,0)+IF(ISNUMBER(Matching_Engine!$AI$50),Matching_Engine!$AI$50*Lookup_Lists!$D$131,0)+IF(ISNUMBER(Matching_Engine!$AJ$50),Matching_Engine!$AJ$50*Lookup_Lists!$D$132,0)+IF(ISNUMBER(Matching_Engine!$AK$50),Matching_Engine!$AK$50*Lookup_Lists!$D$133,0)+IF(ISNUMBER(Matching_Engine!$AL$50),Matching_Engine!$AL$50*Lookup_Lists!$D$134,0))/(IF(ISNUMBER(Matching_Engine!$AG$50),Lookup_Lists!$D$129,0)+IF(ISNUMBER(Matching_Engine!$AH$50),Lookup_Lists!$D$130,0)+IF(ISNUMBER(Matching_Engine!$AI$50),Lookup_Lists!$D$131,0)+IF(ISNUMBER(Matching_Engine!$AJ$50),Lookup_Lists!$D$132,0)+IF(ISNUMBER(Matching_Engine!$AK$50),Lookup_Lists!$D$133,0)+IF(ISNUMBER(Matching_Engine!$AL$50),Lookup_Lists!$D$134,0)),0))</f>
        <v>55</v>
      </c>
      <c r="AN50" s="42">
        <f>IF(ISNUMBER(Matching_Engine!$AM$50),1,0)</f>
        <v>0</v>
      </c>
      <c r="AO50" s="65" t="str">
        <f>IF(NOT(ISNUMBER('[1]#REF'!$BT$26)),"N/A",MIN(100,MAX(0,'[1]#REF'!$BT$26)))</f>
        <v>N/A</v>
      </c>
      <c r="AP50" s="65" t="str">
        <f>IF(NOT(ISNUMBER('[1]#REF'!$BU$26)),"N/A",MIN(100,MAX(0,'[1]#REF'!$BU$26)))</f>
        <v>N/A</v>
      </c>
      <c r="AQ50" s="65" t="e">
        <f>IF('[1]#REF'!$I$26="Yes",Lookup_Lists!$D$326,IF('[1]#REF'!$I$26="No",Lookup_Lists!$D$327,"N/A"))</f>
        <v>#REF!</v>
      </c>
      <c r="AR50" s="65" t="str">
        <f>IF(NOT(ISNUMBER('[1]#REF'!$BQ$26)),"N/A",MAX(0,ROUND(100-'[1]#REF'!$BQ$26/Lookup_Lists!$D$328*100,0)))</f>
        <v>N/A</v>
      </c>
      <c r="AS50" s="65" t="e">
        <f>IF(NOT(AND(ISTEXT('[1]#REF'!$BV$26),'[1]#REF'!$BV$26&lt;&gt;"N/A")),"N/A",'[1]#REF'!$BV$26)</f>
        <v>#REF!</v>
      </c>
      <c r="AT50" s="63" t="str">
        <f ca="1">IF((IF(ISNUMBER(Matching_Engine!$AO$50),Lookup_Lists!$D$322,0)+IF(ISNUMBER(Matching_Engine!$AP$50),Lookup_Lists!$D$323,0)+IF(ISNUMBER(Matching_Engine!$AQ$50),Lookup_Lists!$D$324,0)+IF(ISNUMBER(Matching_Engine!$AR$50),Lookup_Lists!$D$325,0))=0,"N/A",ROUND((IF(ISNUMBER(Matching_Engine!$AO$50),Matching_Engine!$AO$50*Lookup_Lists!$D$322,0)+IF(ISNUMBER(Matching_Engine!$AP$50),Matching_Engine!$AP$50*Lookup_Lists!$D$323,0)+IF(ISNUMBER(Matching_Engine!$AQ$50),Matching_Engine!$AQ$50*Lookup_Lists!$D$324,0)+IF(ISNUMBER(Matching_Engine!$AR$50),Matching_Engine!$AR$50*Lookup_Lists!$D$325,0))/(IF(ISNUMBER(Matching_Engine!$AO$50),Lookup_Lists!$D$322,0)+IF(ISNUMBER(Matching_Engine!$AP$50),Lookup_Lists!$D$323,0)+IF(ISNUMBER(Matching_Engine!$AQ$50),Lookup_Lists!$D$324,0)+IF(ISNUMBER(Matching_Engine!$AR$50),Lookup_Lists!$D$325,0)),0))</f>
        <v>N/A</v>
      </c>
      <c r="AU50" s="42">
        <f>IF(ISNUMBER(Matching_Engine!$AT$50),1,0)</f>
        <v>1</v>
      </c>
      <c r="AV50" s="42" t="str">
        <f>IF(NOT(ISNUMBER(Matching_Engine!$AT$50)),"Not Screened",IF(Matching_Engine!$AT$50&gt;=Lookup_Lists!$D$329,"Low Risk",IF(Matching_Engine!$AT$50&gt;=Lookup_Lists!$D$330,"Moderate Risk",IF(Matching_Engine!$AT$50&gt;=Lookup_Lists!$D$331,"Elevated Risk","High Risk"))))</f>
        <v>Low Risk</v>
      </c>
      <c r="AW50" s="42" t="e">
        <f ca="1">IF(NOT(ISNUMBER(Matching_Engine!$AT$50)),"No integrity signal: no audience-analysis row for this account.","Integrity screen only — no content-risk reading exists (comments_analysis: 0 rows). "&amp;IF(ISNUMBER(Matching_Engine!$AO$50),"Authenticity "&amp;Matching_Engine!$AO$50&amp;". ","Authenticity N/A. ")&amp;IF(ISNUMBER(Matching_Engine!$AP$50),"Follower quality "&amp;Matching_Engine!$AP$50&amp;". ","Follower quality N/A. ")&amp;IF('[1]#REF'!$I$26="Yes","Platform-verified.","Not platform-verified."))</f>
        <v>#REF!</v>
      </c>
      <c r="AX50" s="65">
        <f>Matching_Engine!$N$50*Lookup_Lists!$D$104+Matching_Engine!$T$50*Lookup_Lists!$D$105+Matching_Engine!$Z$50*Lookup_Lists!$D$106+Matching_Engine!$AF$50*Lookup_Lists!$D$107+Matching_Engine!$AN$50*Lookup_Lists!$D$108+Matching_Engine!$AU$50*Lookup_Lists!$D$109</f>
        <v>6220</v>
      </c>
      <c r="AY50" s="74" t="e">
        <f ca="1">IF(Matching_Engine!$AX$50=0,"N/A",ROUND((IF(Matching_Engine!$N$50=1,Matching_Engine!$M$50*Lookup_Lists!$D$104,0)+IF(Matching_Engine!$T$50=1,Matching_Engine!$S$50*Lookup_Lists!$D$105,0)+IF(Matching_Engine!$Z$50=1,Matching_Engine!$Y$50*Lookup_Lists!$D$106,0)+IF(Matching_Engine!$AF$50=1,Matching_Engine!$AE$50*Lookup_Lists!$D$107,0)+IF(Matching_Engine!$AN$50=1,Matching_Engine!$AM$50*Lookup_Lists!$D$108,0)+IF(Matching_Engine!$AU$50=1,Matching_Engine!$AT$50*Lookup_Lists!$D$109,0))/Matching_Engine!$AX$50,0))</f>
        <v>#VALUE!</v>
      </c>
      <c r="AZ50" s="42" t="str">
        <f ca="1">IF(NOT(ISNUMBER(Matching_Engine!$AY$50)),"Not Scored",IF(Matching_Engine!$AY$50&gt;=Lookup_Lists!$D$152,"Excellent Match",IF(Matching_Engine!$AY$50&gt;=Lookup_Lists!$D$153,"Strong Match",IF(Matching_Engine!$AY$50&gt;=Lookup_Lists!$D$154,"Good Match",IF(Matching_Engine!$AY$50&gt;=Lookup_Lists!$D$155,"Moderate Match","Low Match")))))</f>
        <v>Good Match</v>
      </c>
      <c r="BA50" s="65" t="e">
        <f>'[1]#REF'!$BW$26</f>
        <v>#REF!</v>
      </c>
      <c r="BB50" s="42" t="e">
        <f>'[1]#REF'!$BX$26</f>
        <v>#REF!</v>
      </c>
      <c r="BC50" s="65">
        <f ca="1">IF(NOT(ISNUMBER(Matching_Engine!$AY$50)),-1,Matching_Engine!$AY$50*1000+4)</f>
        <v>71004</v>
      </c>
      <c r="BD50" s="42" t="e">
        <f>IF(AND(ISTEXT('[1]#REF'!$S$26),'[1]#REF'!$S$26&lt;&gt;"N/A"),'[1]#REF'!$S$26,"")&amp;" | "&amp;IF(AND(ISTEXT('[1]#REF'!$T$26),'[1]#REF'!$T$26&lt;&gt;"N/A"),'[1]#REF'!$T$26,"")&amp;" | "&amp;IF(AND(ISTEXT('[1]#REF'!$N$26),'[1]#REF'!$N$26&lt;&gt;"N/A"),'[1]#REF'!$N$26,"")&amp;" | "&amp;IF(AND(ISTEXT('[1]#REF'!$K$26),'[1]#REF'!$K$26&lt;&gt;"N/A"),'[1]#REF'!$K$26,"")&amp;" | "&amp;IF(AND(ISTEXT('[1]#REF'!$J$26),'[1]#REF'!$J$26&lt;&gt;"N/A"),'[1]#REF'!$J$26,"")</f>
        <v>#REF!</v>
      </c>
      <c r="BE50" s="42" t="e">
        <f>IF(AND(ISTEXT('[1]#REF'!$T$26),'[1]#REF'!$T$26&lt;&gt;"N/A"),'[1]#REF'!$T$26,"")&amp;" | "&amp;IF(AND(ISTEXT('[1]#REF'!$N$26),'[1]#REF'!$N$26&lt;&gt;"N/A"),'[1]#REF'!$N$26,"")&amp;" | "&amp;IF(AND(ISTEXT('[1]#REF'!$O$26),'[1]#REF'!$O$26&lt;&gt;"N/A"),'[1]#REF'!$O$26,"")&amp;" | "&amp;IF(AND(ISTEXT('[1]#REF'!$S$26),'[1]#REF'!$S$26&lt;&gt;"N/A"),'[1]#REF'!$S$26,"")</f>
        <v>#REF!</v>
      </c>
      <c r="BF50" s="42" t="e">
        <f>IF(AND(ISTEXT('[1]#REF'!$U$26),'[1]#REF'!$U$26&lt;&gt;"N/A"),'[1]#REF'!$U$26,"")</f>
        <v>#REF!</v>
      </c>
      <c r="BG50" s="42" t="str">
        <f>Matching_Engine!$A$50&amp;"|"&amp;Matching_Engine!$C$50</f>
        <v>BRAND-B|KOL-15</v>
      </c>
    </row>
    <row r="51" spans="1:59">
      <c r="A51" s="64" t="s">
        <v>2528</v>
      </c>
      <c r="B51" s="42" t="str">
        <f>Brand_Profile!$F$6</f>
        <v>BRAND-C</v>
      </c>
      <c r="C51" s="42" t="e">
        <f>'[1]#REF'!$A$27</f>
        <v>#REF!</v>
      </c>
      <c r="D51" s="42" t="e">
        <f>'[1]#REF'!$C$27</f>
        <v>#REF!</v>
      </c>
      <c r="E51" s="42" t="e">
        <f>'[1]#REF'!$D$27</f>
        <v>#REF!</v>
      </c>
      <c r="F51" s="42" t="e">
        <f>'[1]#REF'!$E$27</f>
        <v>#REF!</v>
      </c>
      <c r="G51" s="42" t="e">
        <f>'[1]#REF'!$K$27</f>
        <v>#REF!</v>
      </c>
      <c r="H51" s="72" t="e">
        <f>'[1]#REF'!$G$27</f>
        <v>#REF!</v>
      </c>
      <c r="I51" s="73" t="e">
        <f>'[1]#REF'!$BG$27</f>
        <v>#REF!</v>
      </c>
      <c r="J51" s="65" t="e">
        <f>IF(NOT(AND(ISTEXT('[1]#REF'!$K$27),'[1]#REF'!$K$27&lt;&gt;"N/A")),Lookup_Lists!$D$150,IF(Brand_Profile!$F$7='[1]#REF'!$K$27,100,IFERROR(INDEX(Lookup_Lists!$B$349:$J$357,MATCH(Brand_Profile!$F$7,Lookup_Lists!$A$349:$A$357,0),MATCH('[1]#REF'!$K$27,Lookup_Lists!$B$348:$J$348,0)),Lookup_Lists!$D$151)))</f>
        <v>#REF!</v>
      </c>
      <c r="K51" s="65" t="e">
        <f>IF(LEN(TRIM(SUBSTITUTE(Matching_Engine!$BD$51,"|","")))=0,"N/A",IF(Brand_Profile!$F$47=0,Lookup_Lists!$D$150,ROUND((IF(Brand_Profile!$F$41="",0,IF(ISNUMBER(SEARCH(Brand_Profile!$F$41,Matching_Engine!$BD$51)),1,0))+IF(Brand_Profile!$F$42="",0,IF(ISNUMBER(SEARCH(Brand_Profile!$F$42,Matching_Engine!$BD$51)),1,0))+IF(Brand_Profile!$F$43="",0,IF(ISNUMBER(SEARCH(Brand_Profile!$F$43,Matching_Engine!$BD$51)),1,0))+IF(Brand_Profile!$F$44="",0,IF(ISNUMBER(SEARCH(Brand_Profile!$F$44,Matching_Engine!$BD$51)),1,0))+IF(Brand_Profile!$F$45="",0,IF(ISNUMBER(SEARCH(Brand_Profile!$F$45,Matching_Engine!$BD$51)),1,0))+IF(Brand_Profile!$F$46="",0,IF(ISNUMBER(SEARCH(Brand_Profile!$F$46,Matching_Engine!$BD$51)),1,0)))/Brand_Profile!$F$47*100,0)))</f>
        <v>#VALUE!</v>
      </c>
      <c r="L51" s="65" t="e">
        <f>IF(NOT(AND(ISTEXT('[1]#REF'!$U$27),'[1]#REF'!$U$27&lt;&gt;"N/A")),"N/A",IF(Brand_Profile!$F$53=0,Lookup_Lists!$D$150,ROUND((IF(Brand_Profile!$F$48="",0,IF(ISNUMBER(SEARCH(Brand_Profile!$F$48,Matching_Engine!$BF$51)),1,0))+IF(Brand_Profile!$F$49="",0,IF(ISNUMBER(SEARCH(Brand_Profile!$F$49,Matching_Engine!$BF$51)),1,0))+IF(Brand_Profile!$F$50="",0,IF(ISNUMBER(SEARCH(Brand_Profile!$F$50,Matching_Engine!$BF$51)),1,0))+IF(Brand_Profile!$F$51="",0,IF(ISNUMBER(SEARCH(Brand_Profile!$F$51,Matching_Engine!$BF$51)),1,0))+IF(Brand_Profile!$F$52="",0,IF(ISNUMBER(SEARCH(Brand_Profile!$F$52,Matching_Engine!$BF$51)),1,0)))/Brand_Profile!$F$53*100,0)))</f>
        <v>#REF!</v>
      </c>
      <c r="M51" s="63" t="str">
        <f>IF((IF(ISNUMBER(Matching_Engine!$J$51),Lookup_Lists!$D$332,0)+IF(ISNUMBER(Matching_Engine!$K$51),Lookup_Lists!$D$333,0)+IF(ISNUMBER(Matching_Engine!$L$51),Lookup_Lists!$D$334,0))=0,"N/A",ROUND((IF(ISNUMBER(Matching_Engine!$J$51),Matching_Engine!$J$51*Lookup_Lists!$D$332,0)+IF(ISNUMBER(Matching_Engine!$K$51),Matching_Engine!$K$51*Lookup_Lists!$D$333,0)+IF(ISNUMBER(Matching_Engine!$L$51),Matching_Engine!$L$51*Lookup_Lists!$D$334,0))/(IF(ISNUMBER(Matching_Engine!$J$51),Lookup_Lists!$D$332,0)+IF(ISNUMBER(Matching_Engine!$K$51),Lookup_Lists!$D$333,0)+IF(ISNUMBER(Matching_Engine!$L$51),Lookup_Lists!$D$334,0)),0))</f>
        <v>N/A</v>
      </c>
      <c r="N51" s="42">
        <f>IF(ISNUMBER(Matching_Engine!$M$51),1,0)</f>
        <v>1</v>
      </c>
      <c r="O51" s="65" t="str">
        <f ca="1">IF(NOT(ISNUMBER(IFERROR(INDEX('[1]#REF'!$V$27:'[1]#REF'!$Z$27,1,MATCH(Brand_Profile!$F$11,Lookup_Lists!$F$6:$F$10,0)),""))),"N/A",MIN(100,ROUND((IFERROR(INDEX('[1]#REF'!$V$27:'[1]#REF'!$Z$27,1,MATCH(Brand_Profile!$F$11,Lookup_Lists!$F$6:$F$10,0)),"")+0.5*IF(ISNUMBER(IFERROR(INDEX('[1]#REF'!$V$27:'[1]#REF'!$Z$27,1,MATCH(Brand_Profile!$F$12,Lookup_Lists!$F$6:$F$10,0)),"")),IFERROR(INDEX('[1]#REF'!$V$27:'[1]#REF'!$Z$27,1,MATCH(Brand_Profile!$F$12,Lookup_Lists!$F$6:$F$10,0)),""),0))/Lookup_Lists!$D$142*100,0)))</f>
        <v>N/A</v>
      </c>
      <c r="P51" s="65" t="str">
        <f>IF(Brand_Profile!$F$13="Any",100,IF(NOT(ISNUMBER('[1]#REF'!$AA$27)),"N/A",IF(Brand_Profile!$F$13="Female",MIN(100,ROUND('[1]#REF'!$AA$27/Lookup_Lists!$D$143*100,0)),IF(Brand_Profile!$F$13="Male",MIN(100,ROUND(IF(ISNUMBER('[1]#REF'!$AB$27),'[1]#REF'!$AB$27,100-'[1]#REF'!$AA$27)/Lookup_Lists!$D$143*100,0)),MAX(0,ROUND(100-ABS('[1]#REF'!$AA$27-50)*2,0))))))</f>
        <v>N/A</v>
      </c>
      <c r="Q51" s="65" t="str">
        <f>IF((IF(ISNUMBER(IF(NOT(ISNUMBER('[1]#REF'!$AE$27)),"N/A",IF('[1]#REF'!$AD$27&lt;&gt;Brand_Profile!$F$14,Lookup_Lists!$D$151,MIN(100,ROUND('[1]#REF'!$AE$27/Lookup_Lists!$D$316*100,0))))),Lookup_Lists!$D$118,0)+IF(ISNUMBER(IF(NOT(ISNUMBER('[1]#REF'!$AM$27)),"N/A",MIN(100,ROUND((IF('[1]#REF'!$AG$27=Brand_Profile!$F$15,IF(ISNUMBER('[1]#REF'!$AH$27),'[1]#REF'!$AH$27,0),0)+IF('[1]#REF'!$AI$27=Brand_Profile!$F$15,IF(ISNUMBER('[1]#REF'!$AJ$27),'[1]#REF'!$AJ$27,0),0)+IF('[1]#REF'!$AK$27=Brand_Profile!$F$15,IF(ISNUMBER('[1]#REF'!$AL$27),'[1]#REF'!$AL$27,0),0))/Lookup_Lists!$D$317*100,0)))),Lookup_Lists!$D$120,0))=0,"N/A",ROUND((IF(ISNUMBER(IF(NOT(ISNUMBER('[1]#REF'!$AE$27)),"N/A",IF('[1]#REF'!$AD$27&lt;&gt;Brand_Profile!$F$14,Lookup_Lists!$D$151,MIN(100,ROUND('[1]#REF'!$AE$27/Lookup_Lists!$D$316*100,0))))),IF(NOT(ISNUMBER('[1]#REF'!$AE$27)),"N/A",IF('[1]#REF'!$AD$27&lt;&gt;Brand_Profile!$F$14,Lookup_Lists!$D$151,MIN(100,ROUND('[1]#REF'!$AE$27/Lookup_Lists!$D$316*100,0))))*Lookup_Lists!$D$118,0)+IF(ISNUMBER(IF(NOT(ISNUMBER('[1]#REF'!$AM$27)),"N/A",MIN(100,ROUND((IF('[1]#REF'!$AG$27=Brand_Profile!$F$15,IF(ISNUMBER('[1]#REF'!$AH$27),'[1]#REF'!$AH$27,0),0)+IF('[1]#REF'!$AI$27=Brand_Profile!$F$15,IF(ISNUMBER('[1]#REF'!$AJ$27),'[1]#REF'!$AJ$27,0),0)+IF('[1]#REF'!$AK$27=Brand_Profile!$F$15,IF(ISNUMBER('[1]#REF'!$AL$27),'[1]#REF'!$AL$27,0),0))/Lookup_Lists!$D$317*100,0)))),IF(NOT(ISNUMBER('[1]#REF'!$AM$27)),"N/A",MIN(100,ROUND((IF('[1]#REF'!$AG$27=Brand_Profile!$F$15,IF(ISNUMBER('[1]#REF'!$AH$27),'[1]#REF'!$AH$27,0),0)+IF('[1]#REF'!$AI$27=Brand_Profile!$F$15,IF(ISNUMBER('[1]#REF'!$AJ$27),'[1]#REF'!$AJ$27,0),0)+IF('[1]#REF'!$AK$27=Brand_Profile!$F$15,IF(ISNUMBER('[1]#REF'!$AL$27),'[1]#REF'!$AL$27,0),0))/Lookup_Lists!$D$317*100,0)))*Lookup_Lists!$D$120,0))/(IF(ISNUMBER(IF(NOT(ISNUMBER('[1]#REF'!$AE$27)),"N/A",IF('[1]#REF'!$AD$27&lt;&gt;Brand_Profile!$F$14,Lookup_Lists!$D$151,MIN(100,ROUND('[1]#REF'!$AE$27/Lookup_Lists!$D$316*100,0))))),Lookup_Lists!$D$118,0)+IF(ISNUMBER(IF(NOT(ISNUMBER('[1]#REF'!$AM$27)),"N/A",MIN(100,ROUND((IF('[1]#REF'!$AG$27=Brand_Profile!$F$15,IF(ISNUMBER('[1]#REF'!$AH$27),'[1]#REF'!$AH$27,0),0)+IF('[1]#REF'!$AI$27=Brand_Profile!$F$15,IF(ISNUMBER('[1]#REF'!$AJ$27),'[1]#REF'!$AJ$27,0),0)+IF('[1]#REF'!$AK$27=Brand_Profile!$F$15,IF(ISNUMBER('[1]#REF'!$AL$27),'[1]#REF'!$AL$27,0),0))/Lookup_Lists!$D$317*100,0)))),Lookup_Lists!$D$120,0)),0))</f>
        <v>N/A</v>
      </c>
      <c r="R51" s="65" t="str">
        <f>IF(NOT(ISNUMBER('[1]#REF'!$AN$27)),"N/A",MIN(100,ROUND((IF(ISNUMBER('[1]#REF'!$AO$27),'[1]#REF'!$AO$27*Brand_Profile!$F$17,0)+IF(ISNUMBER('[1]#REF'!$AP$27),'[1]#REF'!$AP$27*Brand_Profile!$F$18,0)+IF(ISNUMBER('[1]#REF'!$AQ$27),'[1]#REF'!$AQ$27*Brand_Profile!$F$19,0)+IF(ISNUMBER('[1]#REF'!$AR$27),'[1]#REF'!$AR$27*Brand_Profile!$F$20,0)+IF(ISNUMBER('[1]#REF'!$AS$27),'[1]#REF'!$AS$27*Brand_Profile!$F$21,0)+IF(ISNUMBER('[1]#REF'!$AT$27),'[1]#REF'!$AT$27*Brand_Profile!$F$22,0)+IF(ISNUMBER('[1]#REF'!$AU$27),'[1]#REF'!$AU$27*Brand_Profile!$F$23,0)+IF(ISNUMBER('[1]#REF'!$AV$27),'[1]#REF'!$AV$27*Brand_Profile!$F$24,0)+IF(ISNUMBER('[1]#REF'!$AW$27),'[1]#REF'!$AW$27*Brand_Profile!$F$25,0)+IF(ISNUMBER('[1]#REF'!$AX$27),'[1]#REF'!$AX$27*Brand_Profile!$F$26,0)+IF(ISNUMBER('[1]#REF'!$AY$27),'[1]#REF'!$AY$27*Brand_Profile!$F$27,0)+IF(ISNUMBER('[1]#REF'!$AZ$27),'[1]#REF'!$AZ$27*Brand_Profile!$F$28,0)+IF(ISNUMBER('[1]#REF'!$BA$27),'[1]#REF'!$BA$27*Brand_Profile!$F$29,0)+IF(ISNUMBER('[1]#REF'!$BB$27),'[1]#REF'!$BB$27*Brand_Profile!$F$30,0)+IF(ISNUMBER('[1]#REF'!$BC$27),'[1]#REF'!$BC$27*Brand_Profile!$F$31,0)+IF(ISNUMBER('[1]#REF'!$BD$27),'[1]#REF'!$BD$27*Brand_Profile!$F$32,0)+IF(ISNUMBER('[1]#REF'!$BE$27),'[1]#REF'!$BE$27*Brand_Profile!$F$33,0)+IF(ISNUMBER('[1]#REF'!$BF$27),'[1]#REF'!$BF$27*Brand_Profile!$F$34,0))/Lookup_Lists!$D$318*100,0)))</f>
        <v>N/A</v>
      </c>
      <c r="S51" s="63">
        <f ca="1">IF((IF(ISNUMBER(Matching_Engine!$O$51),Lookup_Lists!$D$113,0)+IF(ISNUMBER(Matching_Engine!$P$51),Lookup_Lists!$D$114,0)+IF(ISNUMBER(Matching_Engine!$Q$51),Lookup_Lists!$D$115,0)+IF(ISNUMBER(Matching_Engine!$R$51),Lookup_Lists!$D$116,0))=0,"N/A",ROUND((IF(ISNUMBER(Matching_Engine!$O$51),Matching_Engine!$O$51*Lookup_Lists!$D$113,0)+IF(ISNUMBER(Matching_Engine!$P$51),Matching_Engine!$P$51*Lookup_Lists!$D$114,0)+IF(ISNUMBER(Matching_Engine!$Q$51),Matching_Engine!$Q$51*Lookup_Lists!$D$115,0)+IF(ISNUMBER(Matching_Engine!$R$51),Matching_Engine!$R$51*Lookup_Lists!$D$116,0))/(IF(ISNUMBER(Matching_Engine!$O$51),Lookup_Lists!$D$113,0)+IF(ISNUMBER(Matching_Engine!$P$51),Lookup_Lists!$D$114,0)+IF(ISNUMBER(Matching_Engine!$Q$51),Lookup_Lists!$D$115,0)+IF(ISNUMBER(Matching_Engine!$R$51),Lookup_Lists!$D$116,0)),0))</f>
        <v>61</v>
      </c>
      <c r="T51" s="42">
        <f ca="1">IF(ISNUMBER(Matching_Engine!$S$51),1,0)</f>
        <v>1</v>
      </c>
      <c r="U51" s="65" t="e">
        <f>IF(NOT(AND(ISTEXT('[1]#REF'!$M$27),'[1]#REF'!$M$27&lt;&gt;"N/A")),Lookup_Lists!$D$150,IF(Brand_Profile!$F$7='[1]#REF'!$M$27,100,IFERROR(INDEX(Lookup_Lists!$B$349:$J$357,MATCH(Brand_Profile!$F$7,Lookup_Lists!$A$349:$A$357,0),MATCH('[1]#REF'!$M$27,Lookup_Lists!$B$348:$J$348,0)),Lookup_Lists!$D$151)))</f>
        <v>#REF!</v>
      </c>
      <c r="V51" s="65" t="e">
        <f>IF(NOT(AND(ISTEXT('[1]#REF'!$P$27),'[1]#REF'!$P$27&lt;&gt;"N/A")),"N/A",IFERROR(INDEX(Lookup_Lists!$B$349:$J$357,MATCH(Brand_Profile!$F$7,Lookup_Lists!$A$349:$A$357,0),MATCH('[1]#REF'!$P$27,Lookup_Lists!$B$348:$J$348,0)),Lookup_Lists!$D$151))</f>
        <v>#REF!</v>
      </c>
      <c r="W51" s="65" t="e">
        <f>IF(LEN(TRIM(SUBSTITUTE(Matching_Engine!$BE$51,"|","")))=0,"N/A",IF(Brand_Profile!$F$60=0,Lookup_Lists!$D$150,ROUND((IF(Brand_Profile!$F$54="",0,IF(ISNUMBER(SEARCH(Brand_Profile!$F$54,Matching_Engine!$BE$51)),1,0))+IF(Brand_Profile!$F$55="",0,IF(ISNUMBER(SEARCH(Brand_Profile!$F$55,Matching_Engine!$BE$51)),1,0))+IF(Brand_Profile!$F$56="",0,IF(ISNUMBER(SEARCH(Brand_Profile!$F$56,Matching_Engine!$BE$51)),1,0))+IF(Brand_Profile!$F$57="",0,IF(ISNUMBER(SEARCH(Brand_Profile!$F$57,Matching_Engine!$BE$51)),1,0))+IF(Brand_Profile!$F$58="",0,IF(ISNUMBER(SEARCH(Brand_Profile!$F$58,Matching_Engine!$BE$51)),1,0))+IF(Brand_Profile!$F$59="",0,IF(ISNUMBER(SEARCH(Brand_Profile!$F$59,Matching_Engine!$BE$51)),1,0)))/Brand_Profile!$F$60*100,0)))</f>
        <v>#VALUE!</v>
      </c>
      <c r="X51" s="65" t="e">
        <f>IF(NOT(AND(ISTEXT('[1]#REF'!$Q$27),'[1]#REF'!$Q$27&lt;&gt;"N/A")),"N/A",Lookup_Lists!$D$150)</f>
        <v>#REF!</v>
      </c>
      <c r="Y51" s="63">
        <f>IF((IF(ISNUMBER(Matching_Engine!$U$51),Lookup_Lists!$D$335,0)+IF(ISNUMBER(Matching_Engine!$V$51),Lookup_Lists!$D$122,0)+IF(ISNUMBER(Matching_Engine!$W$51),Lookup_Lists!$D$336,0)+IF(ISNUMBER(Matching_Engine!$X$51),Lookup_Lists!$D$124,0))=0,"N/A",ROUND((IF(ISNUMBER(Matching_Engine!$U$51),Matching_Engine!$U$51*Lookup_Lists!$D$335,0)+IF(ISNUMBER(Matching_Engine!$V$51),Matching_Engine!$V$51*Lookup_Lists!$D$122,0)+IF(ISNUMBER(Matching_Engine!$W$51),Matching_Engine!$W$51*Lookup_Lists!$D$336,0)+IF(ISNUMBER(Matching_Engine!$X$51),Matching_Engine!$X$51*Lookup_Lists!$D$124,0))/(IF(ISNUMBER(Matching_Engine!$U$51),Lookup_Lists!$D$335,0)+IF(ISNUMBER(Matching_Engine!$V$51),Lookup_Lists!$D$122,0)+IF(ISNUMBER(Matching_Engine!$W$51),Lookup_Lists!$D$336,0)+IF(ISNUMBER(Matching_Engine!$X$51),Lookup_Lists!$D$124,0)),0))</f>
        <v>35</v>
      </c>
      <c r="Z51" s="42">
        <f>IF(ISNUMBER(Matching_Engine!$Y$51),1,0)</f>
        <v>1</v>
      </c>
      <c r="AA51" s="65" t="e">
        <f>IF(NOT(AND(ISTEXT('[1]#REF'!$Q$27),'[1]#REF'!$Q$27&lt;&gt;"N/A")),"N/A",Lookup_Lists!$D$150)</f>
        <v>#REF!</v>
      </c>
      <c r="AB51" s="65" t="e">
        <f>IF(NOT(AND(ISTEXT('[1]#REF'!$Q$27),'[1]#REF'!$Q$27&lt;&gt;"N/A")),"N/A",Lookup_Lists!$D$150)</f>
        <v>#REF!</v>
      </c>
      <c r="AC51" s="65" t="str">
        <f t="shared" si="0"/>
        <v>N/A</v>
      </c>
      <c r="AD51" s="65" t="e">
        <f>IF(NOT(AND(ISTEXT('[1]#REF'!$Q$27),'[1]#REF'!$Q$27&lt;&gt;"N/A")),"N/A",Lookup_Lists!$D$150)</f>
        <v>#REF!</v>
      </c>
      <c r="AE51" s="63">
        <f>IF((IF(ISNUMBER(Matching_Engine!$AA$51),Lookup_Lists!$D$125,0)+IF(ISNUMBER(Matching_Engine!$AB$51),Lookup_Lists!$D$126,0)+IF(ISNUMBER(Matching_Engine!$AC$51),Lookup_Lists!$D$127,0)+IF(ISNUMBER(Matching_Engine!$AD$51),Lookup_Lists!$D$128,0))=0,"N/A",ROUND((IF(ISNUMBER(Matching_Engine!$AA$51),Matching_Engine!$AA$51*Lookup_Lists!$D$125,0)+IF(ISNUMBER(Matching_Engine!$AB$51),Matching_Engine!$AB$51*Lookup_Lists!$D$126,0)+IF(ISNUMBER(Matching_Engine!$AC$51),Matching_Engine!$AC$51*Lookup_Lists!$D$127,0)+IF(ISNUMBER(Matching_Engine!$AD$51),Matching_Engine!$AD$51*Lookup_Lists!$D$128,0))/(IF(ISNUMBER(Matching_Engine!$AA$51),Lookup_Lists!$D$125,0)+IF(ISNUMBER(Matching_Engine!$AB$51),Lookup_Lists!$D$126,0)+IF(ISNUMBER(Matching_Engine!$AC$51),Lookup_Lists!$D$127,0)+IF(ISNUMBER(Matching_Engine!$AD$51),Lookup_Lists!$D$128,0)),0))</f>
        <v>71</v>
      </c>
      <c r="AF51" s="42">
        <f>IF(ISNUMBER(Matching_Engine!$AE$51),1,0)</f>
        <v>1</v>
      </c>
      <c r="AG51" s="65" t="str">
        <f>IF(NOT(ISNUMBER('[1]#REF'!$BG$27)),"N/A",MIN(100,ROUND('[1]#REF'!$BG$27/IFERROR(INDEX(Lookup_Lists!$B$340:$B$344,MATCH('[1]#REF'!$H$27,Lookup_Lists!$A$340:$A$344,0)),Lookup_Lists!$D$141)*100,0)))</f>
        <v>N/A</v>
      </c>
      <c r="AH51" s="65" t="str">
        <f>IF(NOT(ISNUMBER('[1]#REF'!$BS$27)),"N/A",MIN(100,MAX(0,'[1]#REF'!$BS$27)))</f>
        <v>N/A</v>
      </c>
      <c r="AI51" s="65" t="e">
        <f>IF(OR(NOT(ISNUMBER('[1]#REF'!$BM$27)),NOT(ISNUMBER('[1]#REF'!$BN$27)),'[1]#REF'!$BN$27&lt;Lookup_Lists!$D$320),"N/A",MIN(100,ROUND('[1]#REF'!$BM$27/Lookup_Lists!$D$319*100,0)))</f>
        <v>#REF!</v>
      </c>
      <c r="AJ51" s="65" t="str">
        <f>IF(NOT(ISNUMBER('[1]#REF'!$BR$27)),"N/A",'[1]#REF'!$BR$27)</f>
        <v>N/A</v>
      </c>
      <c r="AK51" s="65" t="str">
        <f>IF(NOT(ISNUMBER('[1]#REF'!$BK$27)),"N/A",MIN(100,ROUND('[1]#REF'!$BK$27/Lookup_Lists!$D$321*100,0)))</f>
        <v>N/A</v>
      </c>
      <c r="AL51" s="65" t="str">
        <f>IF(NOT(ISNUMBER('[1]#REF'!$BP$27)),"N/A",MIN(100,MAX(0,ROUND(('[1]#REF'!$BP$27+2)/(Lookup_Lists!$D$145+2)*100,0))))</f>
        <v>N/A</v>
      </c>
      <c r="AM51" s="63">
        <f>IF((IF(ISNUMBER(Matching_Engine!$AG$51),Lookup_Lists!$D$129,0)+IF(ISNUMBER(Matching_Engine!$AH$51),Lookup_Lists!$D$130,0)+IF(ISNUMBER(Matching_Engine!$AI$51),Lookup_Lists!$D$131,0)+IF(ISNUMBER(Matching_Engine!$AJ$51),Lookup_Lists!$D$132,0)+IF(ISNUMBER(Matching_Engine!$AK$51),Lookup_Lists!$D$133,0)+IF(ISNUMBER(Matching_Engine!$AL$51),Lookup_Lists!$D$134,0))=0,"N/A",ROUND((IF(ISNUMBER(Matching_Engine!$AG$51),Matching_Engine!$AG$51*Lookup_Lists!$D$129,0)+IF(ISNUMBER(Matching_Engine!$AH$51),Matching_Engine!$AH$51*Lookup_Lists!$D$130,0)+IF(ISNUMBER(Matching_Engine!$AI$51),Matching_Engine!$AI$51*Lookup_Lists!$D$131,0)+IF(ISNUMBER(Matching_Engine!$AJ$51),Matching_Engine!$AJ$51*Lookup_Lists!$D$132,0)+IF(ISNUMBER(Matching_Engine!$AK$51),Matching_Engine!$AK$51*Lookup_Lists!$D$133,0)+IF(ISNUMBER(Matching_Engine!$AL$51),Matching_Engine!$AL$51*Lookup_Lists!$D$134,0))/(IF(ISNUMBER(Matching_Engine!$AG$51),Lookup_Lists!$D$129,0)+IF(ISNUMBER(Matching_Engine!$AH$51),Lookup_Lists!$D$130,0)+IF(ISNUMBER(Matching_Engine!$AI$51),Lookup_Lists!$D$131,0)+IF(ISNUMBER(Matching_Engine!$AJ$51),Lookup_Lists!$D$132,0)+IF(ISNUMBER(Matching_Engine!$AK$51),Lookup_Lists!$D$133,0)+IF(ISNUMBER(Matching_Engine!$AL$51),Lookup_Lists!$D$134,0)),0))</f>
        <v>65</v>
      </c>
      <c r="AN51" s="42">
        <f>IF(ISNUMBER(Matching_Engine!$AM$51),1,0)</f>
        <v>0</v>
      </c>
      <c r="AO51" s="65" t="str">
        <f>IF(NOT(ISNUMBER('[1]#REF'!$BT$27)),"N/A",MIN(100,MAX(0,'[1]#REF'!$BT$27)))</f>
        <v>N/A</v>
      </c>
      <c r="AP51" s="65" t="str">
        <f>IF(NOT(ISNUMBER('[1]#REF'!$BU$27)),"N/A",MIN(100,MAX(0,'[1]#REF'!$BU$27)))</f>
        <v>N/A</v>
      </c>
      <c r="AQ51" s="65" t="e">
        <f>IF('[1]#REF'!$I$27="Yes",Lookup_Lists!$D$326,IF('[1]#REF'!$I$27="No",Lookup_Lists!$D$327,"N/A"))</f>
        <v>#REF!</v>
      </c>
      <c r="AR51" s="65" t="str">
        <f>IF(NOT(ISNUMBER('[1]#REF'!$BQ$27)),"N/A",MAX(0,ROUND(100-'[1]#REF'!$BQ$27/Lookup_Lists!$D$328*100,0)))</f>
        <v>N/A</v>
      </c>
      <c r="AS51" s="65" t="e">
        <f>IF(NOT(AND(ISTEXT('[1]#REF'!$BV$27),'[1]#REF'!$BV$27&lt;&gt;"N/A")),"N/A",'[1]#REF'!$BV$27)</f>
        <v>#REF!</v>
      </c>
      <c r="AT51" s="63" t="str">
        <f ca="1">IF((IF(ISNUMBER(Matching_Engine!$AO$51),Lookup_Lists!$D$322,0)+IF(ISNUMBER(Matching_Engine!$AP$51),Lookup_Lists!$D$323,0)+IF(ISNUMBER(Matching_Engine!$AQ$51),Lookup_Lists!$D$324,0)+IF(ISNUMBER(Matching_Engine!$AR$51),Lookup_Lists!$D$325,0))=0,"N/A",ROUND((IF(ISNUMBER(Matching_Engine!$AO$51),Matching_Engine!$AO$51*Lookup_Lists!$D$322,0)+IF(ISNUMBER(Matching_Engine!$AP$51),Matching_Engine!$AP$51*Lookup_Lists!$D$323,0)+IF(ISNUMBER(Matching_Engine!$AQ$51),Matching_Engine!$AQ$51*Lookup_Lists!$D$324,0)+IF(ISNUMBER(Matching_Engine!$AR$51),Matching_Engine!$AR$51*Lookup_Lists!$D$325,0))/(IF(ISNUMBER(Matching_Engine!$AO$51),Lookup_Lists!$D$322,0)+IF(ISNUMBER(Matching_Engine!$AP$51),Lookup_Lists!$D$323,0)+IF(ISNUMBER(Matching_Engine!$AQ$51),Lookup_Lists!$D$324,0)+IF(ISNUMBER(Matching_Engine!$AR$51),Lookup_Lists!$D$325,0)),0))</f>
        <v>N/A</v>
      </c>
      <c r="AU51" s="42">
        <f>IF(ISNUMBER(Matching_Engine!$AT$51),1,0)</f>
        <v>1</v>
      </c>
      <c r="AV51" s="42" t="str">
        <f>IF(NOT(ISNUMBER(Matching_Engine!$AT$51)),"Not Screened",IF(Matching_Engine!$AT$51&gt;=Lookup_Lists!$D$329,"Low Risk",IF(Matching_Engine!$AT$51&gt;=Lookup_Lists!$D$330,"Moderate Risk",IF(Matching_Engine!$AT$51&gt;=Lookup_Lists!$D$331,"Elevated Risk","High Risk"))))</f>
        <v>Low Risk</v>
      </c>
      <c r="AW51" s="42" t="e">
        <f ca="1">IF(NOT(ISNUMBER(Matching_Engine!$AT$51)),"No integrity signal: no audience-analysis row for this account.","Integrity screen only — no content-risk reading exists (comments_analysis: 0 rows). "&amp;IF(ISNUMBER(Matching_Engine!$AO$51),"Authenticity "&amp;Matching_Engine!$AO$51&amp;". ","Authenticity N/A. ")&amp;IF(ISNUMBER(Matching_Engine!$AP$51),"Follower quality "&amp;Matching_Engine!$AP$51&amp;". ","Follower quality N/A. ")&amp;IF('[1]#REF'!$I$27="Yes","Platform-verified.","Not platform-verified."))</f>
        <v>#REF!</v>
      </c>
      <c r="AX51" s="65">
        <f>Matching_Engine!$N$51*Lookup_Lists!$D$104+Matching_Engine!$T$51*Lookup_Lists!$D$105+Matching_Engine!$Z$51*Lookup_Lists!$D$106+Matching_Engine!$AF$51*Lookup_Lists!$D$107+Matching_Engine!$AN$51*Lookup_Lists!$D$108+Matching_Engine!$AU$51*Lookup_Lists!$D$109</f>
        <v>6669.5</v>
      </c>
      <c r="AY51" s="74" t="e">
        <f ca="1">IF(Matching_Engine!$AX$51=0,"N/A",ROUND((IF(Matching_Engine!$N$51=1,Matching_Engine!$M$51*Lookup_Lists!$D$104,0)+IF(Matching_Engine!$T$51=1,Matching_Engine!$S$51*Lookup_Lists!$D$105,0)+IF(Matching_Engine!$Z$51=1,Matching_Engine!$Y$51*Lookup_Lists!$D$106,0)+IF(Matching_Engine!$AF$51=1,Matching_Engine!$AE$51*Lookup_Lists!$D$107,0)+IF(Matching_Engine!$AN$51=1,Matching_Engine!$AM$51*Lookup_Lists!$D$108,0)+IF(Matching_Engine!$AU$51=1,Matching_Engine!$AT$51*Lookup_Lists!$D$109,0))/Matching_Engine!$AX$51,0))</f>
        <v>#VALUE!</v>
      </c>
      <c r="AZ51" s="42" t="str">
        <f ca="1">IF(NOT(ISNUMBER(Matching_Engine!$AY$51)),"Not Scored",IF(Matching_Engine!$AY$51&gt;=Lookup_Lists!$D$152,"Excellent Match",IF(Matching_Engine!$AY$51&gt;=Lookup_Lists!$D$153,"Strong Match",IF(Matching_Engine!$AY$51&gt;=Lookup_Lists!$D$154,"Good Match",IF(Matching_Engine!$AY$51&gt;=Lookup_Lists!$D$155,"Moderate Match","Low Match")))))</f>
        <v>Not Scored</v>
      </c>
      <c r="BA51" s="65" t="e">
        <f>'[1]#REF'!$BW$27</f>
        <v>#REF!</v>
      </c>
      <c r="BB51" s="42" t="e">
        <f>'[1]#REF'!$BX$27</f>
        <v>#REF!</v>
      </c>
      <c r="BC51" s="65">
        <f ca="1">IF(NOT(ISNUMBER(Matching_Engine!$AY$51)),-1,Matching_Engine!$AY$51*1000+3)</f>
        <v>-1</v>
      </c>
      <c r="BD51" s="42" t="e">
        <f>IF(AND(ISTEXT('[1]#REF'!$S$27),'[1]#REF'!$S$27&lt;&gt;"N/A"),'[1]#REF'!$S$27,"")&amp;" | "&amp;IF(AND(ISTEXT('[1]#REF'!$T$27),'[1]#REF'!$T$27&lt;&gt;"N/A"),'[1]#REF'!$T$27,"")&amp;" | "&amp;IF(AND(ISTEXT('[1]#REF'!$N$27),'[1]#REF'!$N$27&lt;&gt;"N/A"),'[1]#REF'!$N$27,"")&amp;" | "&amp;IF(AND(ISTEXT('[1]#REF'!$K$27),'[1]#REF'!$K$27&lt;&gt;"N/A"),'[1]#REF'!$K$27,"")&amp;" | "&amp;IF(AND(ISTEXT('[1]#REF'!$J$27),'[1]#REF'!$J$27&lt;&gt;"N/A"),'[1]#REF'!$J$27,"")</f>
        <v>#REF!</v>
      </c>
      <c r="BE51" s="42" t="e">
        <f>IF(AND(ISTEXT('[1]#REF'!$T$27),'[1]#REF'!$T$27&lt;&gt;"N/A"),'[1]#REF'!$T$27,"")&amp;" | "&amp;IF(AND(ISTEXT('[1]#REF'!$N$27),'[1]#REF'!$N$27&lt;&gt;"N/A"),'[1]#REF'!$N$27,"")&amp;" | "&amp;IF(AND(ISTEXT('[1]#REF'!$O$27),'[1]#REF'!$O$27&lt;&gt;"N/A"),'[1]#REF'!$O$27,"")&amp;" | "&amp;IF(AND(ISTEXT('[1]#REF'!$S$27),'[1]#REF'!$S$27&lt;&gt;"N/A"),'[1]#REF'!$S$27,"")</f>
        <v>#REF!</v>
      </c>
      <c r="BF51" s="42" t="e">
        <f>IF(AND(ISTEXT('[1]#REF'!$U$27),'[1]#REF'!$U$27&lt;&gt;"N/A"),'[1]#REF'!$U$27,"")</f>
        <v>#REF!</v>
      </c>
      <c r="BG51" s="42" t="str">
        <f>Matching_Engine!$A$51&amp;"|"&amp;Matching_Engine!$C$51</f>
        <v>BRAND-B|KOL-16</v>
      </c>
    </row>
    <row r="52" spans="1:59">
      <c r="A52" s="64" t="s">
        <v>2528</v>
      </c>
      <c r="B52" s="42" t="str">
        <f>Brand_Profile!$F$6</f>
        <v>BRAND-C</v>
      </c>
      <c r="C52" s="42" t="e">
        <f>'[1]#REF'!$A$28</f>
        <v>#REF!</v>
      </c>
      <c r="D52" s="42" t="e">
        <f>'[1]#REF'!$C$28</f>
        <v>#REF!</v>
      </c>
      <c r="E52" s="42" t="e">
        <f>'[1]#REF'!$D$28</f>
        <v>#REF!</v>
      </c>
      <c r="F52" s="42" t="e">
        <f>'[1]#REF'!$E$28</f>
        <v>#REF!</v>
      </c>
      <c r="G52" s="42" t="e">
        <f>'[1]#REF'!$K$28</f>
        <v>#REF!</v>
      </c>
      <c r="H52" s="72" t="e">
        <f>'[1]#REF'!$G$28</f>
        <v>#REF!</v>
      </c>
      <c r="I52" s="73" t="e">
        <f>'[1]#REF'!$BG$28</f>
        <v>#REF!</v>
      </c>
      <c r="J52" s="65" t="e">
        <f>IF(NOT(AND(ISTEXT('[1]#REF'!$K$28),'[1]#REF'!$K$28&lt;&gt;"N/A")),Lookup_Lists!$D$150,IF(Brand_Profile!$F$7='[1]#REF'!$K$28,100,IFERROR(INDEX(Lookup_Lists!$B$349:$J$357,MATCH(Brand_Profile!$F$7,Lookup_Lists!$A$349:$A$357,0),MATCH('[1]#REF'!$K$28,Lookup_Lists!$B$348:$J$348,0)),Lookup_Lists!$D$151)))</f>
        <v>#REF!</v>
      </c>
      <c r="K52" s="65" t="e">
        <f>IF(LEN(TRIM(SUBSTITUTE(Matching_Engine!$BD$52,"|","")))=0,"N/A",IF(Brand_Profile!$F$47=0,Lookup_Lists!$D$150,ROUND((IF(Brand_Profile!$F$41="",0,IF(ISNUMBER(SEARCH(Brand_Profile!$F$41,Matching_Engine!$BD$52)),1,0))+IF(Brand_Profile!$F$42="",0,IF(ISNUMBER(SEARCH(Brand_Profile!$F$42,Matching_Engine!$BD$52)),1,0))+IF(Brand_Profile!$F$43="",0,IF(ISNUMBER(SEARCH(Brand_Profile!$F$43,Matching_Engine!$BD$52)),1,0))+IF(Brand_Profile!$F$44="",0,IF(ISNUMBER(SEARCH(Brand_Profile!$F$44,Matching_Engine!$BD$52)),1,0))+IF(Brand_Profile!$F$45="",0,IF(ISNUMBER(SEARCH(Brand_Profile!$F$45,Matching_Engine!$BD$52)),1,0))+IF(Brand_Profile!$F$46="",0,IF(ISNUMBER(SEARCH(Brand_Profile!$F$46,Matching_Engine!$BD$52)),1,0)))/Brand_Profile!$F$47*100,0)))</f>
        <v>#VALUE!</v>
      </c>
      <c r="L52" s="65" t="e">
        <f>IF(NOT(AND(ISTEXT('[1]#REF'!$U$28),'[1]#REF'!$U$28&lt;&gt;"N/A")),"N/A",IF(Brand_Profile!$F$53=0,Lookup_Lists!$D$150,ROUND((IF(Brand_Profile!$F$48="",0,IF(ISNUMBER(SEARCH(Brand_Profile!$F$48,Matching_Engine!$BF$52)),1,0))+IF(Brand_Profile!$F$49="",0,IF(ISNUMBER(SEARCH(Brand_Profile!$F$49,Matching_Engine!$BF$52)),1,0))+IF(Brand_Profile!$F$50="",0,IF(ISNUMBER(SEARCH(Brand_Profile!$F$50,Matching_Engine!$BF$52)),1,0))+IF(Brand_Profile!$F$51="",0,IF(ISNUMBER(SEARCH(Brand_Profile!$F$51,Matching_Engine!$BF$52)),1,0))+IF(Brand_Profile!$F$52="",0,IF(ISNUMBER(SEARCH(Brand_Profile!$F$52,Matching_Engine!$BF$52)),1,0)))/Brand_Profile!$F$53*100,0)))</f>
        <v>#REF!</v>
      </c>
      <c r="M52" s="63" t="str">
        <f>IF((IF(ISNUMBER(Matching_Engine!$J$52),Lookup_Lists!$D$332,0)+IF(ISNUMBER(Matching_Engine!$K$52),Lookup_Lists!$D$333,0)+IF(ISNUMBER(Matching_Engine!$L$52),Lookup_Lists!$D$334,0))=0,"N/A",ROUND((IF(ISNUMBER(Matching_Engine!$J$52),Matching_Engine!$J$52*Lookup_Lists!$D$332,0)+IF(ISNUMBER(Matching_Engine!$K$52),Matching_Engine!$K$52*Lookup_Lists!$D$333,0)+IF(ISNUMBER(Matching_Engine!$L$52),Matching_Engine!$L$52*Lookup_Lists!$D$334,0))/(IF(ISNUMBER(Matching_Engine!$J$52),Lookup_Lists!$D$332,0)+IF(ISNUMBER(Matching_Engine!$K$52),Lookup_Lists!$D$333,0)+IF(ISNUMBER(Matching_Engine!$L$52),Lookup_Lists!$D$334,0)),0))</f>
        <v>N/A</v>
      </c>
      <c r="N52" s="42">
        <f>IF(ISNUMBER(Matching_Engine!$M$52),1,0)</f>
        <v>1</v>
      </c>
      <c r="O52" s="65" t="str">
        <f ca="1">IF(NOT(ISNUMBER(IFERROR(INDEX('[1]#REF'!$V$28:'[1]#REF'!$Z$28,1,MATCH(Brand_Profile!$F$11,Lookup_Lists!$F$6:$F$10,0)),""))),"N/A",MIN(100,ROUND((IFERROR(INDEX('[1]#REF'!$V$28:'[1]#REF'!$Z$28,1,MATCH(Brand_Profile!$F$11,Lookup_Lists!$F$6:$F$10,0)),"")+0.5*IF(ISNUMBER(IFERROR(INDEX('[1]#REF'!$V$28:'[1]#REF'!$Z$28,1,MATCH(Brand_Profile!$F$12,Lookup_Lists!$F$6:$F$10,0)),"")),IFERROR(INDEX('[1]#REF'!$V$28:'[1]#REF'!$Z$28,1,MATCH(Brand_Profile!$F$12,Lookup_Lists!$F$6:$F$10,0)),""),0))/Lookup_Lists!$D$142*100,0)))</f>
        <v>N/A</v>
      </c>
      <c r="P52" s="65" t="str">
        <f>IF(Brand_Profile!$F$13="Any",100,IF(NOT(ISNUMBER('[1]#REF'!$AA$28)),"N/A",IF(Brand_Profile!$F$13="Female",MIN(100,ROUND('[1]#REF'!$AA$28/Lookup_Lists!$D$143*100,0)),IF(Brand_Profile!$F$13="Male",MIN(100,ROUND(IF(ISNUMBER('[1]#REF'!$AB$28),'[1]#REF'!$AB$28,100-'[1]#REF'!$AA$28)/Lookup_Lists!$D$143*100,0)),MAX(0,ROUND(100-ABS('[1]#REF'!$AA$28-50)*2,0))))))</f>
        <v>N/A</v>
      </c>
      <c r="Q52" s="65" t="str">
        <f>IF((IF(ISNUMBER(IF(NOT(ISNUMBER('[1]#REF'!$AE$28)),"N/A",IF('[1]#REF'!$AD$28&lt;&gt;Brand_Profile!$F$14,Lookup_Lists!$D$151,MIN(100,ROUND('[1]#REF'!$AE$28/Lookup_Lists!$D$316*100,0))))),Lookup_Lists!$D$118,0)+IF(ISNUMBER(IF(NOT(ISNUMBER('[1]#REF'!$AM$28)),"N/A",MIN(100,ROUND((IF('[1]#REF'!$AG$28=Brand_Profile!$F$15,IF(ISNUMBER('[1]#REF'!$AH$28),'[1]#REF'!$AH$28,0),0)+IF('[1]#REF'!$AI$28=Brand_Profile!$F$15,IF(ISNUMBER('[1]#REF'!$AJ$28),'[1]#REF'!$AJ$28,0),0)+IF('[1]#REF'!$AK$28=Brand_Profile!$F$15,IF(ISNUMBER('[1]#REF'!$AL$28),'[1]#REF'!$AL$28,0),0))/Lookup_Lists!$D$317*100,0)))),Lookup_Lists!$D$120,0))=0,"N/A",ROUND((IF(ISNUMBER(IF(NOT(ISNUMBER('[1]#REF'!$AE$28)),"N/A",IF('[1]#REF'!$AD$28&lt;&gt;Brand_Profile!$F$14,Lookup_Lists!$D$151,MIN(100,ROUND('[1]#REF'!$AE$28/Lookup_Lists!$D$316*100,0))))),IF(NOT(ISNUMBER('[1]#REF'!$AE$28)),"N/A",IF('[1]#REF'!$AD$28&lt;&gt;Brand_Profile!$F$14,Lookup_Lists!$D$151,MIN(100,ROUND('[1]#REF'!$AE$28/Lookup_Lists!$D$316*100,0))))*Lookup_Lists!$D$118,0)+IF(ISNUMBER(IF(NOT(ISNUMBER('[1]#REF'!$AM$28)),"N/A",MIN(100,ROUND((IF('[1]#REF'!$AG$28=Brand_Profile!$F$15,IF(ISNUMBER('[1]#REF'!$AH$28),'[1]#REF'!$AH$28,0),0)+IF('[1]#REF'!$AI$28=Brand_Profile!$F$15,IF(ISNUMBER('[1]#REF'!$AJ$28),'[1]#REF'!$AJ$28,0),0)+IF('[1]#REF'!$AK$28=Brand_Profile!$F$15,IF(ISNUMBER('[1]#REF'!$AL$28),'[1]#REF'!$AL$28,0),0))/Lookup_Lists!$D$317*100,0)))),IF(NOT(ISNUMBER('[1]#REF'!$AM$28)),"N/A",MIN(100,ROUND((IF('[1]#REF'!$AG$28=Brand_Profile!$F$15,IF(ISNUMBER('[1]#REF'!$AH$28),'[1]#REF'!$AH$28,0),0)+IF('[1]#REF'!$AI$28=Brand_Profile!$F$15,IF(ISNUMBER('[1]#REF'!$AJ$28),'[1]#REF'!$AJ$28,0),0)+IF('[1]#REF'!$AK$28=Brand_Profile!$F$15,IF(ISNUMBER('[1]#REF'!$AL$28),'[1]#REF'!$AL$28,0),0))/Lookup_Lists!$D$317*100,0)))*Lookup_Lists!$D$120,0))/(IF(ISNUMBER(IF(NOT(ISNUMBER('[1]#REF'!$AE$28)),"N/A",IF('[1]#REF'!$AD$28&lt;&gt;Brand_Profile!$F$14,Lookup_Lists!$D$151,MIN(100,ROUND('[1]#REF'!$AE$28/Lookup_Lists!$D$316*100,0))))),Lookup_Lists!$D$118,0)+IF(ISNUMBER(IF(NOT(ISNUMBER('[1]#REF'!$AM$28)),"N/A",MIN(100,ROUND((IF('[1]#REF'!$AG$28=Brand_Profile!$F$15,IF(ISNUMBER('[1]#REF'!$AH$28),'[1]#REF'!$AH$28,0),0)+IF('[1]#REF'!$AI$28=Brand_Profile!$F$15,IF(ISNUMBER('[1]#REF'!$AJ$28),'[1]#REF'!$AJ$28,0),0)+IF('[1]#REF'!$AK$28=Brand_Profile!$F$15,IF(ISNUMBER('[1]#REF'!$AL$28),'[1]#REF'!$AL$28,0),0))/Lookup_Lists!$D$317*100,0)))),Lookup_Lists!$D$120,0)),0))</f>
        <v>N/A</v>
      </c>
      <c r="R52" s="65" t="str">
        <f>IF(NOT(ISNUMBER('[1]#REF'!$AN$28)),"N/A",MIN(100,ROUND((IF(ISNUMBER('[1]#REF'!$AO$28),'[1]#REF'!$AO$28*Brand_Profile!$F$17,0)+IF(ISNUMBER('[1]#REF'!$AP$28),'[1]#REF'!$AP$28*Brand_Profile!$F$18,0)+IF(ISNUMBER('[1]#REF'!$AQ$28),'[1]#REF'!$AQ$28*Brand_Profile!$F$19,0)+IF(ISNUMBER('[1]#REF'!$AR$28),'[1]#REF'!$AR$28*Brand_Profile!$F$20,0)+IF(ISNUMBER('[1]#REF'!$AS$28),'[1]#REF'!$AS$28*Brand_Profile!$F$21,0)+IF(ISNUMBER('[1]#REF'!$AT$28),'[1]#REF'!$AT$28*Brand_Profile!$F$22,0)+IF(ISNUMBER('[1]#REF'!$AU$28),'[1]#REF'!$AU$28*Brand_Profile!$F$23,0)+IF(ISNUMBER('[1]#REF'!$AV$28),'[1]#REF'!$AV$28*Brand_Profile!$F$24,0)+IF(ISNUMBER('[1]#REF'!$AW$28),'[1]#REF'!$AW$28*Brand_Profile!$F$25,0)+IF(ISNUMBER('[1]#REF'!$AX$28),'[1]#REF'!$AX$28*Brand_Profile!$F$26,0)+IF(ISNUMBER('[1]#REF'!$AY$28),'[1]#REF'!$AY$28*Brand_Profile!$F$27,0)+IF(ISNUMBER('[1]#REF'!$AZ$28),'[1]#REF'!$AZ$28*Brand_Profile!$F$28,0)+IF(ISNUMBER('[1]#REF'!$BA$28),'[1]#REF'!$BA$28*Brand_Profile!$F$29,0)+IF(ISNUMBER('[1]#REF'!$BB$28),'[1]#REF'!$BB$28*Brand_Profile!$F$30,0)+IF(ISNUMBER('[1]#REF'!$BC$28),'[1]#REF'!$BC$28*Brand_Profile!$F$31,0)+IF(ISNUMBER('[1]#REF'!$BD$28),'[1]#REF'!$BD$28*Brand_Profile!$F$32,0)+IF(ISNUMBER('[1]#REF'!$BE$28),'[1]#REF'!$BE$28*Brand_Profile!$F$33,0)+IF(ISNUMBER('[1]#REF'!$BF$28),'[1]#REF'!$BF$28*Brand_Profile!$F$34,0))/Lookup_Lists!$D$318*100,0)))</f>
        <v>N/A</v>
      </c>
      <c r="S52" s="63">
        <f ca="1">IF((IF(ISNUMBER(Matching_Engine!$O$52),Lookup_Lists!$D$113,0)+IF(ISNUMBER(Matching_Engine!$P$52),Lookup_Lists!$D$114,0)+IF(ISNUMBER(Matching_Engine!$Q$52),Lookup_Lists!$D$115,0)+IF(ISNUMBER(Matching_Engine!$R$52),Lookup_Lists!$D$116,0))=0,"N/A",ROUND((IF(ISNUMBER(Matching_Engine!$O$52),Matching_Engine!$O$52*Lookup_Lists!$D$113,0)+IF(ISNUMBER(Matching_Engine!$P$52),Matching_Engine!$P$52*Lookup_Lists!$D$114,0)+IF(ISNUMBER(Matching_Engine!$Q$52),Matching_Engine!$Q$52*Lookup_Lists!$D$115,0)+IF(ISNUMBER(Matching_Engine!$R$52),Matching_Engine!$R$52*Lookup_Lists!$D$116,0))/(IF(ISNUMBER(Matching_Engine!$O$52),Lookup_Lists!$D$113,0)+IF(ISNUMBER(Matching_Engine!$P$52),Lookup_Lists!$D$114,0)+IF(ISNUMBER(Matching_Engine!$Q$52),Lookup_Lists!$D$115,0)+IF(ISNUMBER(Matching_Engine!$R$52),Lookup_Lists!$D$116,0)),0))</f>
        <v>75</v>
      </c>
      <c r="T52" s="42">
        <f ca="1">IF(ISNUMBER(Matching_Engine!$S$52),1,0)</f>
        <v>1</v>
      </c>
      <c r="U52" s="65" t="e">
        <f>IF(NOT(AND(ISTEXT('[1]#REF'!$M$28),'[1]#REF'!$M$28&lt;&gt;"N/A")),Lookup_Lists!$D$150,IF(Brand_Profile!$F$7='[1]#REF'!$M$28,100,IFERROR(INDEX(Lookup_Lists!$B$349:$J$357,MATCH(Brand_Profile!$F$7,Lookup_Lists!$A$349:$A$357,0),MATCH('[1]#REF'!$M$28,Lookup_Lists!$B$348:$J$348,0)),Lookup_Lists!$D$151)))</f>
        <v>#REF!</v>
      </c>
      <c r="V52" s="65" t="e">
        <f>IF(NOT(AND(ISTEXT('[1]#REF'!$P$28),'[1]#REF'!$P$28&lt;&gt;"N/A")),"N/A",IFERROR(INDEX(Lookup_Lists!$B$349:$J$357,MATCH(Brand_Profile!$F$7,Lookup_Lists!$A$349:$A$357,0),MATCH('[1]#REF'!$P$28,Lookup_Lists!$B$348:$J$348,0)),Lookup_Lists!$D$151))</f>
        <v>#REF!</v>
      </c>
      <c r="W52" s="65" t="e">
        <f>IF(LEN(TRIM(SUBSTITUTE(Matching_Engine!$BE$52,"|","")))=0,"N/A",IF(Brand_Profile!$F$60=0,Lookup_Lists!$D$150,ROUND((IF(Brand_Profile!$F$54="",0,IF(ISNUMBER(SEARCH(Brand_Profile!$F$54,Matching_Engine!$BE$52)),1,0))+IF(Brand_Profile!$F$55="",0,IF(ISNUMBER(SEARCH(Brand_Profile!$F$55,Matching_Engine!$BE$52)),1,0))+IF(Brand_Profile!$F$56="",0,IF(ISNUMBER(SEARCH(Brand_Profile!$F$56,Matching_Engine!$BE$52)),1,0))+IF(Brand_Profile!$F$57="",0,IF(ISNUMBER(SEARCH(Brand_Profile!$F$57,Matching_Engine!$BE$52)),1,0))+IF(Brand_Profile!$F$58="",0,IF(ISNUMBER(SEARCH(Brand_Profile!$F$58,Matching_Engine!$BE$52)),1,0))+IF(Brand_Profile!$F$59="",0,IF(ISNUMBER(SEARCH(Brand_Profile!$F$59,Matching_Engine!$BE$52)),1,0)))/Brand_Profile!$F$60*100,0)))</f>
        <v>#VALUE!</v>
      </c>
      <c r="X52" s="65" t="e">
        <f>IF(NOT(AND(ISTEXT('[1]#REF'!$Q$28),'[1]#REF'!$Q$28&lt;&gt;"N/A")),"N/A",Lookup_Lists!$D$150)</f>
        <v>#REF!</v>
      </c>
      <c r="Y52" s="63">
        <f>IF((IF(ISNUMBER(Matching_Engine!$U$52),Lookup_Lists!$D$335,0)+IF(ISNUMBER(Matching_Engine!$V$52),Lookup_Lists!$D$122,0)+IF(ISNUMBER(Matching_Engine!$W$52),Lookup_Lists!$D$336,0)+IF(ISNUMBER(Matching_Engine!$X$52),Lookup_Lists!$D$124,0))=0,"N/A",ROUND((IF(ISNUMBER(Matching_Engine!$U$52),Matching_Engine!$U$52*Lookup_Lists!$D$335,0)+IF(ISNUMBER(Matching_Engine!$V$52),Matching_Engine!$V$52*Lookup_Lists!$D$122,0)+IF(ISNUMBER(Matching_Engine!$W$52),Matching_Engine!$W$52*Lookup_Lists!$D$336,0)+IF(ISNUMBER(Matching_Engine!$X$52),Matching_Engine!$X$52*Lookup_Lists!$D$124,0))/(IF(ISNUMBER(Matching_Engine!$U$52),Lookup_Lists!$D$335,0)+IF(ISNUMBER(Matching_Engine!$V$52),Lookup_Lists!$D$122,0)+IF(ISNUMBER(Matching_Engine!$W$52),Lookup_Lists!$D$336,0)+IF(ISNUMBER(Matching_Engine!$X$52),Lookup_Lists!$D$124,0)),0))</f>
        <v>30</v>
      </c>
      <c r="Z52" s="42">
        <f>IF(ISNUMBER(Matching_Engine!$Y$52),1,0)</f>
        <v>1</v>
      </c>
      <c r="AA52" s="65" t="e">
        <f>IF(NOT(AND(ISTEXT('[1]#REF'!$Q$28),'[1]#REF'!$Q$28&lt;&gt;"N/A")),"N/A",Lookup_Lists!$D$150)</f>
        <v>#REF!</v>
      </c>
      <c r="AB52" s="65" t="e">
        <f>IF(NOT(AND(ISTEXT('[1]#REF'!$Q$28),'[1]#REF'!$Q$28&lt;&gt;"N/A")),"N/A",Lookup_Lists!$D$150)</f>
        <v>#REF!</v>
      </c>
      <c r="AC52" s="65" t="str">
        <f t="shared" si="0"/>
        <v>N/A</v>
      </c>
      <c r="AD52" s="65" t="e">
        <f>IF(NOT(AND(ISTEXT('[1]#REF'!$Q$28),'[1]#REF'!$Q$28&lt;&gt;"N/A")),"N/A",Lookup_Lists!$D$150)</f>
        <v>#REF!</v>
      </c>
      <c r="AE52" s="63">
        <f>IF((IF(ISNUMBER(Matching_Engine!$AA$52),Lookup_Lists!$D$125,0)+IF(ISNUMBER(Matching_Engine!$AB$52),Lookup_Lists!$D$126,0)+IF(ISNUMBER(Matching_Engine!$AC$52),Lookup_Lists!$D$127,0)+IF(ISNUMBER(Matching_Engine!$AD$52),Lookup_Lists!$D$128,0))=0,"N/A",ROUND((IF(ISNUMBER(Matching_Engine!$AA$52),Matching_Engine!$AA$52*Lookup_Lists!$D$125,0)+IF(ISNUMBER(Matching_Engine!$AB$52),Matching_Engine!$AB$52*Lookup_Lists!$D$126,0)+IF(ISNUMBER(Matching_Engine!$AC$52),Matching_Engine!$AC$52*Lookup_Lists!$D$127,0)+IF(ISNUMBER(Matching_Engine!$AD$52),Matching_Engine!$AD$52*Lookup_Lists!$D$128,0))/(IF(ISNUMBER(Matching_Engine!$AA$52),Lookup_Lists!$D$125,0)+IF(ISNUMBER(Matching_Engine!$AB$52),Lookup_Lists!$D$126,0)+IF(ISNUMBER(Matching_Engine!$AC$52),Lookup_Lists!$D$127,0)+IF(ISNUMBER(Matching_Engine!$AD$52),Lookup_Lists!$D$128,0)),0))</f>
        <v>70</v>
      </c>
      <c r="AF52" s="42">
        <f>IF(ISNUMBER(Matching_Engine!$AE$52),1,0)</f>
        <v>1</v>
      </c>
      <c r="AG52" s="65" t="str">
        <f>IF(NOT(ISNUMBER('[1]#REF'!$BG$28)),"N/A",MIN(100,ROUND('[1]#REF'!$BG$28/IFERROR(INDEX(Lookup_Lists!$B$340:$B$344,MATCH('[1]#REF'!$H$28,Lookup_Lists!$A$340:$A$344,0)),Lookup_Lists!$D$141)*100,0)))</f>
        <v>N/A</v>
      </c>
      <c r="AH52" s="65" t="str">
        <f>IF(NOT(ISNUMBER('[1]#REF'!$BS$28)),"N/A",MIN(100,MAX(0,'[1]#REF'!$BS$28)))</f>
        <v>N/A</v>
      </c>
      <c r="AI52" s="65" t="e">
        <f>IF(OR(NOT(ISNUMBER('[1]#REF'!$BM$28)),NOT(ISNUMBER('[1]#REF'!$BN$28)),'[1]#REF'!$BN$28&lt;Lookup_Lists!$D$320),"N/A",MIN(100,ROUND('[1]#REF'!$BM$28/Lookup_Lists!$D$319*100,0)))</f>
        <v>#REF!</v>
      </c>
      <c r="AJ52" s="65" t="str">
        <f>IF(NOT(ISNUMBER('[1]#REF'!$BR$28)),"N/A",'[1]#REF'!$BR$28)</f>
        <v>N/A</v>
      </c>
      <c r="AK52" s="65" t="str">
        <f>IF(NOT(ISNUMBER('[1]#REF'!$BK$28)),"N/A",MIN(100,ROUND('[1]#REF'!$BK$28/Lookup_Lists!$D$321*100,0)))</f>
        <v>N/A</v>
      </c>
      <c r="AL52" s="65" t="str">
        <f>IF(NOT(ISNUMBER('[1]#REF'!$BP$28)),"N/A",MIN(100,MAX(0,ROUND(('[1]#REF'!$BP$28+2)/(Lookup_Lists!$D$145+2)*100,0))))</f>
        <v>N/A</v>
      </c>
      <c r="AM52" s="63">
        <f>IF((IF(ISNUMBER(Matching_Engine!$AG$52),Lookup_Lists!$D$129,0)+IF(ISNUMBER(Matching_Engine!$AH$52),Lookup_Lists!$D$130,0)+IF(ISNUMBER(Matching_Engine!$AI$52),Lookup_Lists!$D$131,0)+IF(ISNUMBER(Matching_Engine!$AJ$52),Lookup_Lists!$D$132,0)+IF(ISNUMBER(Matching_Engine!$AK$52),Lookup_Lists!$D$133,0)+IF(ISNUMBER(Matching_Engine!$AL$52),Lookup_Lists!$D$134,0))=0,"N/A",ROUND((IF(ISNUMBER(Matching_Engine!$AG$52),Matching_Engine!$AG$52*Lookup_Lists!$D$129,0)+IF(ISNUMBER(Matching_Engine!$AH$52),Matching_Engine!$AH$52*Lookup_Lists!$D$130,0)+IF(ISNUMBER(Matching_Engine!$AI$52),Matching_Engine!$AI$52*Lookup_Lists!$D$131,0)+IF(ISNUMBER(Matching_Engine!$AJ$52),Matching_Engine!$AJ$52*Lookup_Lists!$D$132,0)+IF(ISNUMBER(Matching_Engine!$AK$52),Matching_Engine!$AK$52*Lookup_Lists!$D$133,0)+IF(ISNUMBER(Matching_Engine!$AL$52),Matching_Engine!$AL$52*Lookup_Lists!$D$134,0))/(IF(ISNUMBER(Matching_Engine!$AG$52),Lookup_Lists!$D$129,0)+IF(ISNUMBER(Matching_Engine!$AH$52),Lookup_Lists!$D$130,0)+IF(ISNUMBER(Matching_Engine!$AI$52),Lookup_Lists!$D$131,0)+IF(ISNUMBER(Matching_Engine!$AJ$52),Lookup_Lists!$D$132,0)+IF(ISNUMBER(Matching_Engine!$AK$52),Lookup_Lists!$D$133,0)+IF(ISNUMBER(Matching_Engine!$AL$52),Lookup_Lists!$D$134,0)),0))</f>
        <v>62</v>
      </c>
      <c r="AN52" s="42">
        <f>IF(ISNUMBER(Matching_Engine!$AM$52),1,0)</f>
        <v>0</v>
      </c>
      <c r="AO52" s="65" t="str">
        <f>IF(NOT(ISNUMBER('[1]#REF'!$BT$28)),"N/A",MIN(100,MAX(0,'[1]#REF'!$BT$28)))</f>
        <v>N/A</v>
      </c>
      <c r="AP52" s="65" t="str">
        <f>IF(NOT(ISNUMBER('[1]#REF'!$BU$28)),"N/A",MIN(100,MAX(0,'[1]#REF'!$BU$28)))</f>
        <v>N/A</v>
      </c>
      <c r="AQ52" s="65" t="e">
        <f>IF('[1]#REF'!$I$28="Yes",Lookup_Lists!$D$326,IF('[1]#REF'!$I$28="No",Lookup_Lists!$D$327,"N/A"))</f>
        <v>#REF!</v>
      </c>
      <c r="AR52" s="65" t="str">
        <f>IF(NOT(ISNUMBER('[1]#REF'!$BQ$28)),"N/A",MAX(0,ROUND(100-'[1]#REF'!$BQ$28/Lookup_Lists!$D$328*100,0)))</f>
        <v>N/A</v>
      </c>
      <c r="AS52" s="65" t="e">
        <f>IF(NOT(AND(ISTEXT('[1]#REF'!$BV$28),'[1]#REF'!$BV$28&lt;&gt;"N/A")),"N/A",'[1]#REF'!$BV$28)</f>
        <v>#REF!</v>
      </c>
      <c r="AT52" s="63" t="str">
        <f ca="1">IF((IF(ISNUMBER(Matching_Engine!$AO$52),Lookup_Lists!$D$322,0)+IF(ISNUMBER(Matching_Engine!$AP$52),Lookup_Lists!$D$323,0)+IF(ISNUMBER(Matching_Engine!$AQ$52),Lookup_Lists!$D$324,0)+IF(ISNUMBER(Matching_Engine!$AR$52),Lookup_Lists!$D$325,0))=0,"N/A",ROUND((IF(ISNUMBER(Matching_Engine!$AO$52),Matching_Engine!$AO$52*Lookup_Lists!$D$322,0)+IF(ISNUMBER(Matching_Engine!$AP$52),Matching_Engine!$AP$52*Lookup_Lists!$D$323,0)+IF(ISNUMBER(Matching_Engine!$AQ$52),Matching_Engine!$AQ$52*Lookup_Lists!$D$324,0)+IF(ISNUMBER(Matching_Engine!$AR$52),Matching_Engine!$AR$52*Lookup_Lists!$D$325,0))/(IF(ISNUMBER(Matching_Engine!$AO$52),Lookup_Lists!$D$322,0)+IF(ISNUMBER(Matching_Engine!$AP$52),Lookup_Lists!$D$323,0)+IF(ISNUMBER(Matching_Engine!$AQ$52),Lookup_Lists!$D$324,0)+IF(ISNUMBER(Matching_Engine!$AR$52),Lookup_Lists!$D$325,0)),0))</f>
        <v>N/A</v>
      </c>
      <c r="AU52" s="42">
        <f>IF(ISNUMBER(Matching_Engine!$AT$52),1,0)</f>
        <v>1</v>
      </c>
      <c r="AV52" s="42" t="str">
        <f>IF(NOT(ISNUMBER(Matching_Engine!$AT$52)),"Not Screened",IF(Matching_Engine!$AT$52&gt;=Lookup_Lists!$D$329,"Low Risk",IF(Matching_Engine!$AT$52&gt;=Lookup_Lists!$D$330,"Moderate Risk",IF(Matching_Engine!$AT$52&gt;=Lookup_Lists!$D$331,"Elevated Risk","High Risk"))))</f>
        <v>Low Risk</v>
      </c>
      <c r="AW52" s="42" t="e">
        <f ca="1">IF(NOT(ISNUMBER(Matching_Engine!$AT$52)),"No integrity signal: no audience-analysis row for this account.","Integrity screen only — no content-risk reading exists (comments_analysis: 0 rows). "&amp;IF(ISNUMBER(Matching_Engine!$AO$52),"Authenticity "&amp;Matching_Engine!$AO$52&amp;". ","Authenticity N/A. ")&amp;IF(ISNUMBER(Matching_Engine!$AP$52),"Follower quality "&amp;Matching_Engine!$AP$52&amp;". ","Follower quality N/A. ")&amp;IF('[1]#REF'!$I$28="Yes","Platform-verified.","Not platform-verified."))</f>
        <v>#REF!</v>
      </c>
      <c r="AX52" s="65">
        <f>Matching_Engine!$N$52*Lookup_Lists!$D$104+Matching_Engine!$T$52*Lookup_Lists!$D$105+Matching_Engine!$Z$52*Lookup_Lists!$D$106+Matching_Engine!$AF$52*Lookup_Lists!$D$107+Matching_Engine!$AN$52*Lookup_Lists!$D$108+Matching_Engine!$AU$52*Lookup_Lists!$D$109</f>
        <v>5580</v>
      </c>
      <c r="AY52" s="74" t="e">
        <f ca="1">IF(Matching_Engine!$AX$52=0,"N/A",ROUND((IF(Matching_Engine!$N$52=1,Matching_Engine!$M$52*Lookup_Lists!$D$104,0)+IF(Matching_Engine!$T$52=1,Matching_Engine!$S$52*Lookup_Lists!$D$105,0)+IF(Matching_Engine!$Z$52=1,Matching_Engine!$Y$52*Lookup_Lists!$D$106,0)+IF(Matching_Engine!$AF$52=1,Matching_Engine!$AE$52*Lookup_Lists!$D$107,0)+IF(Matching_Engine!$AN$52=1,Matching_Engine!$AM$52*Lookup_Lists!$D$108,0)+IF(Matching_Engine!$AU$52=1,Matching_Engine!$AT$52*Lookup_Lists!$D$109,0))/Matching_Engine!$AX$52,0))</f>
        <v>#VALUE!</v>
      </c>
      <c r="AZ52" s="42" t="str">
        <f ca="1">IF(NOT(ISNUMBER(Matching_Engine!$AY$52)),"Not Scored",IF(Matching_Engine!$AY$52&gt;=Lookup_Lists!$D$152,"Excellent Match",IF(Matching_Engine!$AY$52&gt;=Lookup_Lists!$D$153,"Strong Match",IF(Matching_Engine!$AY$52&gt;=Lookup_Lists!$D$154,"Good Match",IF(Matching_Engine!$AY$52&gt;=Lookup_Lists!$D$155,"Moderate Match","Low Match")))))</f>
        <v>Not Scored</v>
      </c>
      <c r="BA52" s="65" t="e">
        <f>'[1]#REF'!$BW$28</f>
        <v>#REF!</v>
      </c>
      <c r="BB52" s="42" t="e">
        <f>'[1]#REF'!$BX$28</f>
        <v>#REF!</v>
      </c>
      <c r="BC52" s="65">
        <f ca="1">IF(NOT(ISNUMBER(Matching_Engine!$AY$52)),-1,Matching_Engine!$AY$52*1000+2)</f>
        <v>-1</v>
      </c>
      <c r="BD52" s="42" t="e">
        <f>IF(AND(ISTEXT('[1]#REF'!$S$28),'[1]#REF'!$S$28&lt;&gt;"N/A"),'[1]#REF'!$S$28,"")&amp;" | "&amp;IF(AND(ISTEXT('[1]#REF'!$T$28),'[1]#REF'!$T$28&lt;&gt;"N/A"),'[1]#REF'!$T$28,"")&amp;" | "&amp;IF(AND(ISTEXT('[1]#REF'!$N$28),'[1]#REF'!$N$28&lt;&gt;"N/A"),'[1]#REF'!$N$28,"")&amp;" | "&amp;IF(AND(ISTEXT('[1]#REF'!$K$28),'[1]#REF'!$K$28&lt;&gt;"N/A"),'[1]#REF'!$K$28,"")&amp;" | "&amp;IF(AND(ISTEXT('[1]#REF'!$J$28),'[1]#REF'!$J$28&lt;&gt;"N/A"),'[1]#REF'!$J$28,"")</f>
        <v>#REF!</v>
      </c>
      <c r="BE52" s="42" t="e">
        <f>IF(AND(ISTEXT('[1]#REF'!$T$28),'[1]#REF'!$T$28&lt;&gt;"N/A"),'[1]#REF'!$T$28,"")&amp;" | "&amp;IF(AND(ISTEXT('[1]#REF'!$N$28),'[1]#REF'!$N$28&lt;&gt;"N/A"),'[1]#REF'!$N$28,"")&amp;" | "&amp;IF(AND(ISTEXT('[1]#REF'!$O$28),'[1]#REF'!$O$28&lt;&gt;"N/A"),'[1]#REF'!$O$28,"")&amp;" | "&amp;IF(AND(ISTEXT('[1]#REF'!$S$28),'[1]#REF'!$S$28&lt;&gt;"N/A"),'[1]#REF'!$S$28,"")</f>
        <v>#REF!</v>
      </c>
      <c r="BF52" s="42" t="e">
        <f>IF(AND(ISTEXT('[1]#REF'!$U$28),'[1]#REF'!$U$28&lt;&gt;"N/A"),'[1]#REF'!$U$28,"")</f>
        <v>#REF!</v>
      </c>
      <c r="BG52" s="42" t="str">
        <f>Matching_Engine!$A$52&amp;"|"&amp;Matching_Engine!$C$52</f>
        <v>BRAND-B|KOL-17</v>
      </c>
    </row>
    <row r="53" spans="1:59">
      <c r="A53" s="64" t="s">
        <v>2528</v>
      </c>
      <c r="B53" s="42" t="str">
        <f>Brand_Profile!$F$6</f>
        <v>BRAND-C</v>
      </c>
      <c r="C53" s="42" t="e">
        <f>'[1]#REF'!$A$29</f>
        <v>#REF!</v>
      </c>
      <c r="D53" s="42" t="e">
        <f>'[1]#REF'!$C$29</f>
        <v>#REF!</v>
      </c>
      <c r="E53" s="42" t="e">
        <f>'[1]#REF'!$D$29</f>
        <v>#REF!</v>
      </c>
      <c r="F53" s="42" t="e">
        <f>'[1]#REF'!$E$29</f>
        <v>#REF!</v>
      </c>
      <c r="G53" s="42" t="e">
        <f>'[1]#REF'!$K$29</f>
        <v>#REF!</v>
      </c>
      <c r="H53" s="72" t="e">
        <f>'[1]#REF'!$G$29</f>
        <v>#REF!</v>
      </c>
      <c r="I53" s="73" t="e">
        <f>'[1]#REF'!$BG$29</f>
        <v>#REF!</v>
      </c>
      <c r="J53" s="65" t="e">
        <f>IF(NOT(AND(ISTEXT('[1]#REF'!$K$29),'[1]#REF'!$K$29&lt;&gt;"N/A")),Lookup_Lists!$D$150,IF(Brand_Profile!$F$7='[1]#REF'!$K$29,100,IFERROR(INDEX(Lookup_Lists!$B$349:$J$357,MATCH(Brand_Profile!$F$7,Lookup_Lists!$A$349:$A$357,0),MATCH('[1]#REF'!$K$29,Lookup_Lists!$B$348:$J$348,0)),Lookup_Lists!$D$151)))</f>
        <v>#REF!</v>
      </c>
      <c r="K53" s="65" t="e">
        <f>IF(LEN(TRIM(SUBSTITUTE(Matching_Engine!$BD$53,"|","")))=0,"N/A",IF(Brand_Profile!$F$47=0,Lookup_Lists!$D$150,ROUND((IF(Brand_Profile!$F$41="",0,IF(ISNUMBER(SEARCH(Brand_Profile!$F$41,Matching_Engine!$BD$53)),1,0))+IF(Brand_Profile!$F$42="",0,IF(ISNUMBER(SEARCH(Brand_Profile!$F$42,Matching_Engine!$BD$53)),1,0))+IF(Brand_Profile!$F$43="",0,IF(ISNUMBER(SEARCH(Brand_Profile!$F$43,Matching_Engine!$BD$53)),1,0))+IF(Brand_Profile!$F$44="",0,IF(ISNUMBER(SEARCH(Brand_Profile!$F$44,Matching_Engine!$BD$53)),1,0))+IF(Brand_Profile!$F$45="",0,IF(ISNUMBER(SEARCH(Brand_Profile!$F$45,Matching_Engine!$BD$53)),1,0))+IF(Brand_Profile!$F$46="",0,IF(ISNUMBER(SEARCH(Brand_Profile!$F$46,Matching_Engine!$BD$53)),1,0)))/Brand_Profile!$F$47*100,0)))</f>
        <v>#VALUE!</v>
      </c>
      <c r="L53" s="65" t="e">
        <f>IF(NOT(AND(ISTEXT('[1]#REF'!$U$29),'[1]#REF'!$U$29&lt;&gt;"N/A")),"N/A",IF(Brand_Profile!$F$53=0,Lookup_Lists!$D$150,ROUND((IF(Brand_Profile!$F$48="",0,IF(ISNUMBER(SEARCH(Brand_Profile!$F$48,Matching_Engine!$BF$53)),1,0))+IF(Brand_Profile!$F$49="",0,IF(ISNUMBER(SEARCH(Brand_Profile!$F$49,Matching_Engine!$BF$53)),1,0))+IF(Brand_Profile!$F$50="",0,IF(ISNUMBER(SEARCH(Brand_Profile!$F$50,Matching_Engine!$BF$53)),1,0))+IF(Brand_Profile!$F$51="",0,IF(ISNUMBER(SEARCH(Brand_Profile!$F$51,Matching_Engine!$BF$53)),1,0))+IF(Brand_Profile!$F$52="",0,IF(ISNUMBER(SEARCH(Brand_Profile!$F$52,Matching_Engine!$BF$53)),1,0)))/Brand_Profile!$F$53*100,0)))</f>
        <v>#REF!</v>
      </c>
      <c r="M53" s="63" t="str">
        <f>IF((IF(ISNUMBER(Matching_Engine!$J$53),Lookup_Lists!$D$332,0)+IF(ISNUMBER(Matching_Engine!$K$53),Lookup_Lists!$D$333,0)+IF(ISNUMBER(Matching_Engine!$L$53),Lookup_Lists!$D$334,0))=0,"N/A",ROUND((IF(ISNUMBER(Matching_Engine!$J$53),Matching_Engine!$J$53*Lookup_Lists!$D$332,0)+IF(ISNUMBER(Matching_Engine!$K$53),Matching_Engine!$K$53*Lookup_Lists!$D$333,0)+IF(ISNUMBER(Matching_Engine!$L$53),Matching_Engine!$L$53*Lookup_Lists!$D$334,0))/(IF(ISNUMBER(Matching_Engine!$J$53),Lookup_Lists!$D$332,0)+IF(ISNUMBER(Matching_Engine!$K$53),Lookup_Lists!$D$333,0)+IF(ISNUMBER(Matching_Engine!$L$53),Lookup_Lists!$D$334,0)),0))</f>
        <v>N/A</v>
      </c>
      <c r="N53" s="42">
        <f>IF(ISNUMBER(Matching_Engine!$M$53),1,0)</f>
        <v>1</v>
      </c>
      <c r="O53" s="65" t="str">
        <f ca="1">IF(NOT(ISNUMBER(IFERROR(INDEX('[1]#REF'!$V$29:'[1]#REF'!$Z$29,1,MATCH(Brand_Profile!$F$11,Lookup_Lists!$F$6:$F$10,0)),""))),"N/A",MIN(100,ROUND((IFERROR(INDEX('[1]#REF'!$V$29:'[1]#REF'!$Z$29,1,MATCH(Brand_Profile!$F$11,Lookup_Lists!$F$6:$F$10,0)),"")+0.5*IF(ISNUMBER(IFERROR(INDEX('[1]#REF'!$V$29:'[1]#REF'!$Z$29,1,MATCH(Brand_Profile!$F$12,Lookup_Lists!$F$6:$F$10,0)),"")),IFERROR(INDEX('[1]#REF'!$V$29:'[1]#REF'!$Z$29,1,MATCH(Brand_Profile!$F$12,Lookup_Lists!$F$6:$F$10,0)),""),0))/Lookup_Lists!$D$142*100,0)))</f>
        <v>N/A</v>
      </c>
      <c r="P53" s="65" t="str">
        <f>IF(Brand_Profile!$F$13="Any",100,IF(NOT(ISNUMBER('[1]#REF'!$AA$29)),"N/A",IF(Brand_Profile!$F$13="Female",MIN(100,ROUND('[1]#REF'!$AA$29/Lookup_Lists!$D$143*100,0)),IF(Brand_Profile!$F$13="Male",MIN(100,ROUND(IF(ISNUMBER('[1]#REF'!$AB$29),'[1]#REF'!$AB$29,100-'[1]#REF'!$AA$29)/Lookup_Lists!$D$143*100,0)),MAX(0,ROUND(100-ABS('[1]#REF'!$AA$29-50)*2,0))))))</f>
        <v>N/A</v>
      </c>
      <c r="Q53" s="65" t="str">
        <f>IF((IF(ISNUMBER(IF(NOT(ISNUMBER('[1]#REF'!$AE$29)),"N/A",IF('[1]#REF'!$AD$29&lt;&gt;Brand_Profile!$F$14,Lookup_Lists!$D$151,MIN(100,ROUND('[1]#REF'!$AE$29/Lookup_Lists!$D$316*100,0))))),Lookup_Lists!$D$118,0)+IF(ISNUMBER(IF(NOT(ISNUMBER('[1]#REF'!$AM$29)),"N/A",MIN(100,ROUND((IF('[1]#REF'!$AG$29=Brand_Profile!$F$15,IF(ISNUMBER('[1]#REF'!$AH$29),'[1]#REF'!$AH$29,0),0)+IF('[1]#REF'!$AI$29=Brand_Profile!$F$15,IF(ISNUMBER('[1]#REF'!$AJ$29),'[1]#REF'!$AJ$29,0),0)+IF('[1]#REF'!$AK$29=Brand_Profile!$F$15,IF(ISNUMBER('[1]#REF'!$AL$29),'[1]#REF'!$AL$29,0),0))/Lookup_Lists!$D$317*100,0)))),Lookup_Lists!$D$120,0))=0,"N/A",ROUND((IF(ISNUMBER(IF(NOT(ISNUMBER('[1]#REF'!$AE$29)),"N/A",IF('[1]#REF'!$AD$29&lt;&gt;Brand_Profile!$F$14,Lookup_Lists!$D$151,MIN(100,ROUND('[1]#REF'!$AE$29/Lookup_Lists!$D$316*100,0))))),IF(NOT(ISNUMBER('[1]#REF'!$AE$29)),"N/A",IF('[1]#REF'!$AD$29&lt;&gt;Brand_Profile!$F$14,Lookup_Lists!$D$151,MIN(100,ROUND('[1]#REF'!$AE$29/Lookup_Lists!$D$316*100,0))))*Lookup_Lists!$D$118,0)+IF(ISNUMBER(IF(NOT(ISNUMBER('[1]#REF'!$AM$29)),"N/A",MIN(100,ROUND((IF('[1]#REF'!$AG$29=Brand_Profile!$F$15,IF(ISNUMBER('[1]#REF'!$AH$29),'[1]#REF'!$AH$29,0),0)+IF('[1]#REF'!$AI$29=Brand_Profile!$F$15,IF(ISNUMBER('[1]#REF'!$AJ$29),'[1]#REF'!$AJ$29,0),0)+IF('[1]#REF'!$AK$29=Brand_Profile!$F$15,IF(ISNUMBER('[1]#REF'!$AL$29),'[1]#REF'!$AL$29,0),0))/Lookup_Lists!$D$317*100,0)))),IF(NOT(ISNUMBER('[1]#REF'!$AM$29)),"N/A",MIN(100,ROUND((IF('[1]#REF'!$AG$29=Brand_Profile!$F$15,IF(ISNUMBER('[1]#REF'!$AH$29),'[1]#REF'!$AH$29,0),0)+IF('[1]#REF'!$AI$29=Brand_Profile!$F$15,IF(ISNUMBER('[1]#REF'!$AJ$29),'[1]#REF'!$AJ$29,0),0)+IF('[1]#REF'!$AK$29=Brand_Profile!$F$15,IF(ISNUMBER('[1]#REF'!$AL$29),'[1]#REF'!$AL$29,0),0))/Lookup_Lists!$D$317*100,0)))*Lookup_Lists!$D$120,0))/(IF(ISNUMBER(IF(NOT(ISNUMBER('[1]#REF'!$AE$29)),"N/A",IF('[1]#REF'!$AD$29&lt;&gt;Brand_Profile!$F$14,Lookup_Lists!$D$151,MIN(100,ROUND('[1]#REF'!$AE$29/Lookup_Lists!$D$316*100,0))))),Lookup_Lists!$D$118,0)+IF(ISNUMBER(IF(NOT(ISNUMBER('[1]#REF'!$AM$29)),"N/A",MIN(100,ROUND((IF('[1]#REF'!$AG$29=Brand_Profile!$F$15,IF(ISNUMBER('[1]#REF'!$AH$29),'[1]#REF'!$AH$29,0),0)+IF('[1]#REF'!$AI$29=Brand_Profile!$F$15,IF(ISNUMBER('[1]#REF'!$AJ$29),'[1]#REF'!$AJ$29,0),0)+IF('[1]#REF'!$AK$29=Brand_Profile!$F$15,IF(ISNUMBER('[1]#REF'!$AL$29),'[1]#REF'!$AL$29,0),0))/Lookup_Lists!$D$317*100,0)))),Lookup_Lists!$D$120,0)),0))</f>
        <v>N/A</v>
      </c>
      <c r="R53" s="65" t="str">
        <f>IF(NOT(ISNUMBER('[1]#REF'!$AN$29)),"N/A",MIN(100,ROUND((IF(ISNUMBER('[1]#REF'!$AO$29),'[1]#REF'!$AO$29*Brand_Profile!$F$17,0)+IF(ISNUMBER('[1]#REF'!$AP$29),'[1]#REF'!$AP$29*Brand_Profile!$F$18,0)+IF(ISNUMBER('[1]#REF'!$AQ$29),'[1]#REF'!$AQ$29*Brand_Profile!$F$19,0)+IF(ISNUMBER('[1]#REF'!$AR$29),'[1]#REF'!$AR$29*Brand_Profile!$F$20,0)+IF(ISNUMBER('[1]#REF'!$AS$29),'[1]#REF'!$AS$29*Brand_Profile!$F$21,0)+IF(ISNUMBER('[1]#REF'!$AT$29),'[1]#REF'!$AT$29*Brand_Profile!$F$22,0)+IF(ISNUMBER('[1]#REF'!$AU$29),'[1]#REF'!$AU$29*Brand_Profile!$F$23,0)+IF(ISNUMBER('[1]#REF'!$AV$29),'[1]#REF'!$AV$29*Brand_Profile!$F$24,0)+IF(ISNUMBER('[1]#REF'!$AW$29),'[1]#REF'!$AW$29*Brand_Profile!$F$25,0)+IF(ISNUMBER('[1]#REF'!$AX$29),'[1]#REF'!$AX$29*Brand_Profile!$F$26,0)+IF(ISNUMBER('[1]#REF'!$AY$29),'[1]#REF'!$AY$29*Brand_Profile!$F$27,0)+IF(ISNUMBER('[1]#REF'!$AZ$29),'[1]#REF'!$AZ$29*Brand_Profile!$F$28,0)+IF(ISNUMBER('[1]#REF'!$BA$29),'[1]#REF'!$BA$29*Brand_Profile!$F$29,0)+IF(ISNUMBER('[1]#REF'!$BB$29),'[1]#REF'!$BB$29*Brand_Profile!$F$30,0)+IF(ISNUMBER('[1]#REF'!$BC$29),'[1]#REF'!$BC$29*Brand_Profile!$F$31,0)+IF(ISNUMBER('[1]#REF'!$BD$29),'[1]#REF'!$BD$29*Brand_Profile!$F$32,0)+IF(ISNUMBER('[1]#REF'!$BE$29),'[1]#REF'!$BE$29*Brand_Profile!$F$33,0)+IF(ISNUMBER('[1]#REF'!$BF$29),'[1]#REF'!$BF$29*Brand_Profile!$F$34,0))/Lookup_Lists!$D$318*100,0)))</f>
        <v>N/A</v>
      </c>
      <c r="S53" s="63">
        <f ca="1">IF((IF(ISNUMBER(Matching_Engine!$O$53),Lookup_Lists!$D$113,0)+IF(ISNUMBER(Matching_Engine!$P$53),Lookup_Lists!$D$114,0)+IF(ISNUMBER(Matching_Engine!$Q$53),Lookup_Lists!$D$115,0)+IF(ISNUMBER(Matching_Engine!$R$53),Lookup_Lists!$D$116,0))=0,"N/A",ROUND((IF(ISNUMBER(Matching_Engine!$O$53),Matching_Engine!$O$53*Lookup_Lists!$D$113,0)+IF(ISNUMBER(Matching_Engine!$P$53),Matching_Engine!$P$53*Lookup_Lists!$D$114,0)+IF(ISNUMBER(Matching_Engine!$Q$53),Matching_Engine!$Q$53*Lookup_Lists!$D$115,0)+IF(ISNUMBER(Matching_Engine!$R$53),Matching_Engine!$R$53*Lookup_Lists!$D$116,0))/(IF(ISNUMBER(Matching_Engine!$O$53),Lookup_Lists!$D$113,0)+IF(ISNUMBER(Matching_Engine!$P$53),Lookup_Lists!$D$114,0)+IF(ISNUMBER(Matching_Engine!$Q$53),Lookup_Lists!$D$115,0)+IF(ISNUMBER(Matching_Engine!$R$53),Lookup_Lists!$D$116,0)),0))</f>
        <v>65</v>
      </c>
      <c r="T53" s="42">
        <f ca="1">IF(ISNUMBER(Matching_Engine!$S$53),1,0)</f>
        <v>1</v>
      </c>
      <c r="U53" s="65" t="e">
        <f>IF(NOT(AND(ISTEXT('[1]#REF'!$M$29),'[1]#REF'!$M$29&lt;&gt;"N/A")),Lookup_Lists!$D$150,IF(Brand_Profile!$F$7='[1]#REF'!$M$29,100,IFERROR(INDEX(Lookup_Lists!$B$349:$J$357,MATCH(Brand_Profile!$F$7,Lookup_Lists!$A$349:$A$357,0),MATCH('[1]#REF'!$M$29,Lookup_Lists!$B$348:$J$348,0)),Lookup_Lists!$D$151)))</f>
        <v>#REF!</v>
      </c>
      <c r="V53" s="65" t="e">
        <f>IF(NOT(AND(ISTEXT('[1]#REF'!$P$29),'[1]#REF'!$P$29&lt;&gt;"N/A")),"N/A",IFERROR(INDEX(Lookup_Lists!$B$349:$J$357,MATCH(Brand_Profile!$F$7,Lookup_Lists!$A$349:$A$357,0),MATCH('[1]#REF'!$P$29,Lookup_Lists!$B$348:$J$348,0)),Lookup_Lists!$D$151))</f>
        <v>#REF!</v>
      </c>
      <c r="W53" s="65" t="e">
        <f>IF(LEN(TRIM(SUBSTITUTE(Matching_Engine!$BE$53,"|","")))=0,"N/A",IF(Brand_Profile!$F$60=0,Lookup_Lists!$D$150,ROUND((IF(Brand_Profile!$F$54="",0,IF(ISNUMBER(SEARCH(Brand_Profile!$F$54,Matching_Engine!$BE$53)),1,0))+IF(Brand_Profile!$F$55="",0,IF(ISNUMBER(SEARCH(Brand_Profile!$F$55,Matching_Engine!$BE$53)),1,0))+IF(Brand_Profile!$F$56="",0,IF(ISNUMBER(SEARCH(Brand_Profile!$F$56,Matching_Engine!$BE$53)),1,0))+IF(Brand_Profile!$F$57="",0,IF(ISNUMBER(SEARCH(Brand_Profile!$F$57,Matching_Engine!$BE$53)),1,0))+IF(Brand_Profile!$F$58="",0,IF(ISNUMBER(SEARCH(Brand_Profile!$F$58,Matching_Engine!$BE$53)),1,0))+IF(Brand_Profile!$F$59="",0,IF(ISNUMBER(SEARCH(Brand_Profile!$F$59,Matching_Engine!$BE$53)),1,0)))/Brand_Profile!$F$60*100,0)))</f>
        <v>#VALUE!</v>
      </c>
      <c r="X53" s="65" t="e">
        <f>IF(NOT(AND(ISTEXT('[1]#REF'!$Q$29),'[1]#REF'!$Q$29&lt;&gt;"N/A")),"N/A",Lookup_Lists!$D$150)</f>
        <v>#REF!</v>
      </c>
      <c r="Y53" s="63">
        <f>IF((IF(ISNUMBER(Matching_Engine!$U$53),Lookup_Lists!$D$335,0)+IF(ISNUMBER(Matching_Engine!$V$53),Lookup_Lists!$D$122,0)+IF(ISNUMBER(Matching_Engine!$W$53),Lookup_Lists!$D$336,0)+IF(ISNUMBER(Matching_Engine!$X$53),Lookup_Lists!$D$124,0))=0,"N/A",ROUND((IF(ISNUMBER(Matching_Engine!$U$53),Matching_Engine!$U$53*Lookup_Lists!$D$335,0)+IF(ISNUMBER(Matching_Engine!$V$53),Matching_Engine!$V$53*Lookup_Lists!$D$122,0)+IF(ISNUMBER(Matching_Engine!$W$53),Matching_Engine!$W$53*Lookup_Lists!$D$336,0)+IF(ISNUMBER(Matching_Engine!$X$53),Matching_Engine!$X$53*Lookup_Lists!$D$124,0))/(IF(ISNUMBER(Matching_Engine!$U$53),Lookup_Lists!$D$335,0)+IF(ISNUMBER(Matching_Engine!$V$53),Lookup_Lists!$D$122,0)+IF(ISNUMBER(Matching_Engine!$W$53),Lookup_Lists!$D$336,0)+IF(ISNUMBER(Matching_Engine!$X$53),Lookup_Lists!$D$124,0)),0))</f>
        <v>30</v>
      </c>
      <c r="Z53" s="42">
        <f>IF(ISNUMBER(Matching_Engine!$Y$53),1,0)</f>
        <v>1</v>
      </c>
      <c r="AA53" s="65" t="e">
        <f>IF(NOT(AND(ISTEXT('[1]#REF'!$Q$29),'[1]#REF'!$Q$29&lt;&gt;"N/A")),"N/A",Lookup_Lists!$D$150)</f>
        <v>#REF!</v>
      </c>
      <c r="AB53" s="65" t="e">
        <f>IF(NOT(AND(ISTEXT('[1]#REF'!$Q$29),'[1]#REF'!$Q$29&lt;&gt;"N/A")),"N/A",Lookup_Lists!$D$150)</f>
        <v>#REF!</v>
      </c>
      <c r="AC53" s="65" t="str">
        <f t="shared" si="0"/>
        <v>N/A</v>
      </c>
      <c r="AD53" s="65" t="e">
        <f>IF(NOT(AND(ISTEXT('[1]#REF'!$Q$29),'[1]#REF'!$Q$29&lt;&gt;"N/A")),"N/A",Lookup_Lists!$D$150)</f>
        <v>#REF!</v>
      </c>
      <c r="AE53" s="63">
        <f>IF((IF(ISNUMBER(Matching_Engine!$AA$53),Lookup_Lists!$D$125,0)+IF(ISNUMBER(Matching_Engine!$AB$53),Lookup_Lists!$D$126,0)+IF(ISNUMBER(Matching_Engine!$AC$53),Lookup_Lists!$D$127,0)+IF(ISNUMBER(Matching_Engine!$AD$53),Lookup_Lists!$D$128,0))=0,"N/A",ROUND((IF(ISNUMBER(Matching_Engine!$AA$53),Matching_Engine!$AA$53*Lookup_Lists!$D$125,0)+IF(ISNUMBER(Matching_Engine!$AB$53),Matching_Engine!$AB$53*Lookup_Lists!$D$126,0)+IF(ISNUMBER(Matching_Engine!$AC$53),Matching_Engine!$AC$53*Lookup_Lists!$D$127,0)+IF(ISNUMBER(Matching_Engine!$AD$53),Matching_Engine!$AD$53*Lookup_Lists!$D$128,0))/(IF(ISNUMBER(Matching_Engine!$AA$53),Lookup_Lists!$D$125,0)+IF(ISNUMBER(Matching_Engine!$AB$53),Lookup_Lists!$D$126,0)+IF(ISNUMBER(Matching_Engine!$AC$53),Lookup_Lists!$D$127,0)+IF(ISNUMBER(Matching_Engine!$AD$53),Lookup_Lists!$D$128,0)),0))</f>
        <v>55</v>
      </c>
      <c r="AF53" s="42">
        <f>IF(ISNUMBER(Matching_Engine!$AE$53),1,0)</f>
        <v>1</v>
      </c>
      <c r="AG53" s="65" t="str">
        <f>IF(NOT(ISNUMBER('[1]#REF'!$BG$29)),"N/A",MIN(100,ROUND('[1]#REF'!$BG$29/IFERROR(INDEX(Lookup_Lists!$B$340:$B$344,MATCH('[1]#REF'!$H$29,Lookup_Lists!$A$340:$A$344,0)),Lookup_Lists!$D$141)*100,0)))</f>
        <v>N/A</v>
      </c>
      <c r="AH53" s="65" t="str">
        <f>IF(NOT(ISNUMBER('[1]#REF'!$BS$29)),"N/A",MIN(100,MAX(0,'[1]#REF'!$BS$29)))</f>
        <v>N/A</v>
      </c>
      <c r="AI53" s="65" t="e">
        <f>IF(OR(NOT(ISNUMBER('[1]#REF'!$BM$29)),NOT(ISNUMBER('[1]#REF'!$BN$29)),'[1]#REF'!$BN$29&lt;Lookup_Lists!$D$320),"N/A",MIN(100,ROUND('[1]#REF'!$BM$29/Lookup_Lists!$D$319*100,0)))</f>
        <v>#REF!</v>
      </c>
      <c r="AJ53" s="65" t="str">
        <f>IF(NOT(ISNUMBER('[1]#REF'!$BR$29)),"N/A",'[1]#REF'!$BR$29)</f>
        <v>N/A</v>
      </c>
      <c r="AK53" s="65" t="str">
        <f>IF(NOT(ISNUMBER('[1]#REF'!$BK$29)),"N/A",MIN(100,ROUND('[1]#REF'!$BK$29/Lookup_Lists!$D$321*100,0)))</f>
        <v>N/A</v>
      </c>
      <c r="AL53" s="65" t="str">
        <f>IF(NOT(ISNUMBER('[1]#REF'!$BP$29)),"N/A",MIN(100,MAX(0,ROUND(('[1]#REF'!$BP$29+2)/(Lookup_Lists!$D$145+2)*100,0))))</f>
        <v>N/A</v>
      </c>
      <c r="AM53" s="63">
        <f>IF((IF(ISNUMBER(Matching_Engine!$AG$53),Lookup_Lists!$D$129,0)+IF(ISNUMBER(Matching_Engine!$AH$53),Lookup_Lists!$D$130,0)+IF(ISNUMBER(Matching_Engine!$AI$53),Lookup_Lists!$D$131,0)+IF(ISNUMBER(Matching_Engine!$AJ$53),Lookup_Lists!$D$132,0)+IF(ISNUMBER(Matching_Engine!$AK$53),Lookup_Lists!$D$133,0)+IF(ISNUMBER(Matching_Engine!$AL$53),Lookup_Lists!$D$134,0))=0,"N/A",ROUND((IF(ISNUMBER(Matching_Engine!$AG$53),Matching_Engine!$AG$53*Lookup_Lists!$D$129,0)+IF(ISNUMBER(Matching_Engine!$AH$53),Matching_Engine!$AH$53*Lookup_Lists!$D$130,0)+IF(ISNUMBER(Matching_Engine!$AI$53),Matching_Engine!$AI$53*Lookup_Lists!$D$131,0)+IF(ISNUMBER(Matching_Engine!$AJ$53),Matching_Engine!$AJ$53*Lookup_Lists!$D$132,0)+IF(ISNUMBER(Matching_Engine!$AK$53),Matching_Engine!$AK$53*Lookup_Lists!$D$133,0)+IF(ISNUMBER(Matching_Engine!$AL$53),Matching_Engine!$AL$53*Lookup_Lists!$D$134,0))/(IF(ISNUMBER(Matching_Engine!$AG$53),Lookup_Lists!$D$129,0)+IF(ISNUMBER(Matching_Engine!$AH$53),Lookup_Lists!$D$130,0)+IF(ISNUMBER(Matching_Engine!$AI$53),Lookup_Lists!$D$131,0)+IF(ISNUMBER(Matching_Engine!$AJ$53),Lookup_Lists!$D$132,0)+IF(ISNUMBER(Matching_Engine!$AK$53),Lookup_Lists!$D$133,0)+IF(ISNUMBER(Matching_Engine!$AL$53),Lookup_Lists!$D$134,0)),0))</f>
        <v>73</v>
      </c>
      <c r="AN53" s="42">
        <f>IF(ISNUMBER(Matching_Engine!$AM$53),1,0)</f>
        <v>0</v>
      </c>
      <c r="AO53" s="65" t="str">
        <f>IF(NOT(ISNUMBER('[1]#REF'!$BT$29)),"N/A",MIN(100,MAX(0,'[1]#REF'!$BT$29)))</f>
        <v>N/A</v>
      </c>
      <c r="AP53" s="65" t="str">
        <f>IF(NOT(ISNUMBER('[1]#REF'!$BU$29)),"N/A",MIN(100,MAX(0,'[1]#REF'!$BU$29)))</f>
        <v>N/A</v>
      </c>
      <c r="AQ53" s="65" t="e">
        <f>IF('[1]#REF'!$I$29="Yes",Lookup_Lists!$D$326,IF('[1]#REF'!$I$29="No",Lookup_Lists!$D$327,"N/A"))</f>
        <v>#REF!</v>
      </c>
      <c r="AR53" s="65" t="str">
        <f>IF(NOT(ISNUMBER('[1]#REF'!$BQ$29)),"N/A",MAX(0,ROUND(100-'[1]#REF'!$BQ$29/Lookup_Lists!$D$328*100,0)))</f>
        <v>N/A</v>
      </c>
      <c r="AS53" s="65" t="e">
        <f>IF(NOT(AND(ISTEXT('[1]#REF'!$BV$29),'[1]#REF'!$BV$29&lt;&gt;"N/A")),"N/A",'[1]#REF'!$BV$29)</f>
        <v>#REF!</v>
      </c>
      <c r="AT53" s="63" t="str">
        <f ca="1">IF((IF(ISNUMBER(Matching_Engine!$AO$53),Lookup_Lists!$D$322,0)+IF(ISNUMBER(Matching_Engine!$AP$53),Lookup_Lists!$D$323,0)+IF(ISNUMBER(Matching_Engine!$AQ$53),Lookup_Lists!$D$324,0)+IF(ISNUMBER(Matching_Engine!$AR$53),Lookup_Lists!$D$325,0))=0,"N/A",ROUND((IF(ISNUMBER(Matching_Engine!$AO$53),Matching_Engine!$AO$53*Lookup_Lists!$D$322,0)+IF(ISNUMBER(Matching_Engine!$AP$53),Matching_Engine!$AP$53*Lookup_Lists!$D$323,0)+IF(ISNUMBER(Matching_Engine!$AQ$53),Matching_Engine!$AQ$53*Lookup_Lists!$D$324,0)+IF(ISNUMBER(Matching_Engine!$AR$53),Matching_Engine!$AR$53*Lookup_Lists!$D$325,0))/(IF(ISNUMBER(Matching_Engine!$AO$53),Lookup_Lists!$D$322,0)+IF(ISNUMBER(Matching_Engine!$AP$53),Lookup_Lists!$D$323,0)+IF(ISNUMBER(Matching_Engine!$AQ$53),Lookup_Lists!$D$324,0)+IF(ISNUMBER(Matching_Engine!$AR$53),Lookup_Lists!$D$325,0)),0))</f>
        <v>N/A</v>
      </c>
      <c r="AU53" s="42">
        <f>IF(ISNUMBER(Matching_Engine!$AT$53),1,0)</f>
        <v>1</v>
      </c>
      <c r="AV53" s="42" t="str">
        <f>IF(NOT(ISNUMBER(Matching_Engine!$AT$53)),"Not Screened",IF(Matching_Engine!$AT$53&gt;=Lookup_Lists!$D$329,"Low Risk",IF(Matching_Engine!$AT$53&gt;=Lookup_Lists!$D$330,"Moderate Risk",IF(Matching_Engine!$AT$53&gt;=Lookup_Lists!$D$331,"Elevated Risk","High Risk"))))</f>
        <v>Low Risk</v>
      </c>
      <c r="AW53" s="42" t="e">
        <f ca="1">IF(NOT(ISNUMBER(Matching_Engine!$AT$53)),"No integrity signal: no audience-analysis row for this account.","Integrity screen only — no content-risk reading exists (comments_analysis: 0 rows). "&amp;IF(ISNUMBER(Matching_Engine!$AO$53),"Authenticity "&amp;Matching_Engine!$AO$53&amp;". ","Authenticity N/A. ")&amp;IF(ISNUMBER(Matching_Engine!$AP$53),"Follower quality "&amp;Matching_Engine!$AP$53&amp;". ","Follower quality N/A. ")&amp;IF('[1]#REF'!$I$29="Yes","Platform-verified.","Not platform-verified."))</f>
        <v>#REF!</v>
      </c>
      <c r="AX53" s="65">
        <f>Matching_Engine!$N$53*Lookup_Lists!$D$104+Matching_Engine!$T$53*Lookup_Lists!$D$105+Matching_Engine!$Z$53*Lookup_Lists!$D$106+Matching_Engine!$AF$53*Lookup_Lists!$D$107+Matching_Engine!$AN$53*Lookup_Lists!$D$108+Matching_Engine!$AU$53*Lookup_Lists!$D$109</f>
        <v>5460</v>
      </c>
      <c r="AY53" s="74" t="e">
        <f ca="1">IF(Matching_Engine!$AX$53=0,"N/A",ROUND((IF(Matching_Engine!$N$53=1,Matching_Engine!$M$53*Lookup_Lists!$D$104,0)+IF(Matching_Engine!$T$53=1,Matching_Engine!$S$53*Lookup_Lists!$D$105,0)+IF(Matching_Engine!$Z$53=1,Matching_Engine!$Y$53*Lookup_Lists!$D$106,0)+IF(Matching_Engine!$AF$53=1,Matching_Engine!$AE$53*Lookup_Lists!$D$107,0)+IF(Matching_Engine!$AN$53=1,Matching_Engine!$AM$53*Lookup_Lists!$D$108,0)+IF(Matching_Engine!$AU$53=1,Matching_Engine!$AT$53*Lookup_Lists!$D$109,0))/Matching_Engine!$AX$53,0))</f>
        <v>#VALUE!</v>
      </c>
      <c r="AZ53" s="42" t="str">
        <f ca="1">IF(NOT(ISNUMBER(Matching_Engine!$AY$53)),"Not Scored",IF(Matching_Engine!$AY$53&gt;=Lookup_Lists!$D$152,"Excellent Match",IF(Matching_Engine!$AY$53&gt;=Lookup_Lists!$D$153,"Strong Match",IF(Matching_Engine!$AY$53&gt;=Lookup_Lists!$D$154,"Good Match",IF(Matching_Engine!$AY$53&gt;=Lookup_Lists!$D$155,"Moderate Match","Low Match")))))</f>
        <v>Low Match</v>
      </c>
      <c r="BA53" s="65" t="e">
        <f>'[1]#REF'!$BW$29</f>
        <v>#REF!</v>
      </c>
      <c r="BB53" s="42" t="e">
        <f>'[1]#REF'!$BX$29</f>
        <v>#REF!</v>
      </c>
      <c r="BC53" s="65">
        <f ca="1">IF(NOT(ISNUMBER(Matching_Engine!$AY$53)),-1,Matching_Engine!$AY$53*1000+1)</f>
        <v>56001</v>
      </c>
      <c r="BD53" s="42" t="e">
        <f>IF(AND(ISTEXT('[1]#REF'!$S$29),'[1]#REF'!$S$29&lt;&gt;"N/A"),'[1]#REF'!$S$29,"")&amp;" | "&amp;IF(AND(ISTEXT('[1]#REF'!$T$29),'[1]#REF'!$T$29&lt;&gt;"N/A"),'[1]#REF'!$T$29,"")&amp;" | "&amp;IF(AND(ISTEXT('[1]#REF'!$N$29),'[1]#REF'!$N$29&lt;&gt;"N/A"),'[1]#REF'!$N$29,"")&amp;" | "&amp;IF(AND(ISTEXT('[1]#REF'!$K$29),'[1]#REF'!$K$29&lt;&gt;"N/A"),'[1]#REF'!$K$29,"")&amp;" | "&amp;IF(AND(ISTEXT('[1]#REF'!$J$29),'[1]#REF'!$J$29&lt;&gt;"N/A"),'[1]#REF'!$J$29,"")</f>
        <v>#REF!</v>
      </c>
      <c r="BE53" s="42" t="e">
        <f>IF(AND(ISTEXT('[1]#REF'!$T$29),'[1]#REF'!$T$29&lt;&gt;"N/A"),'[1]#REF'!$T$29,"")&amp;" | "&amp;IF(AND(ISTEXT('[1]#REF'!$N$29),'[1]#REF'!$N$29&lt;&gt;"N/A"),'[1]#REF'!$N$29,"")&amp;" | "&amp;IF(AND(ISTEXT('[1]#REF'!$O$29),'[1]#REF'!$O$29&lt;&gt;"N/A"),'[1]#REF'!$O$29,"")&amp;" | "&amp;IF(AND(ISTEXT('[1]#REF'!$S$29),'[1]#REF'!$S$29&lt;&gt;"N/A"),'[1]#REF'!$S$29,"")</f>
        <v>#REF!</v>
      </c>
      <c r="BF53" s="42" t="e">
        <f>IF(AND(ISTEXT('[1]#REF'!$U$29),'[1]#REF'!$U$29&lt;&gt;"N/A"),'[1]#REF'!$U$29,"")</f>
        <v>#REF!</v>
      </c>
      <c r="BG53" s="42" t="str">
        <f>Matching_Engine!$A$53&amp;"|"&amp;Matching_Engine!$C$53</f>
        <v>BRAND-B|KOL-18</v>
      </c>
    </row>
    <row r="54" spans="1:59">
      <c r="A54" s="64" t="s">
        <v>2529</v>
      </c>
      <c r="B54" s="42" t="str">
        <f>Brand_Profile!$G$6</f>
        <v>Active Value</v>
      </c>
      <c r="C54" s="42" t="e">
        <f>'[1]#REF'!$A$6</f>
        <v>#REF!</v>
      </c>
      <c r="D54" s="42" t="e">
        <f>'[1]#REF'!$C$6</f>
        <v>#REF!</v>
      </c>
      <c r="E54" s="42" t="e">
        <f>'[1]#REF'!$D$6</f>
        <v>#REF!</v>
      </c>
      <c r="F54" s="42" t="e">
        <f>'[1]#REF'!$E$6</f>
        <v>#REF!</v>
      </c>
      <c r="G54" s="42" t="e">
        <f>'[1]#REF'!$K$6</f>
        <v>#REF!</v>
      </c>
      <c r="H54" s="72" t="e">
        <f>'[1]#REF'!$G$6</f>
        <v>#REF!</v>
      </c>
      <c r="I54" s="73" t="e">
        <f>'[1]#REF'!$BG$6</f>
        <v>#REF!</v>
      </c>
      <c r="J54" s="65" t="e">
        <f>IF(NOT(AND(ISTEXT('[1]#REF'!$K$6),'[1]#REF'!$K$6&lt;&gt;"N/A")),Lookup_Lists!$D$150,IF(Brand_Profile!$G$7='[1]#REF'!$K$6,100,IFERROR(INDEX(Lookup_Lists!$B$349:$J$357,MATCH(Brand_Profile!$G$7,Lookup_Lists!$A$349:$A$357,0),MATCH('[1]#REF'!$K$6,Lookup_Lists!$B$348:$J$348,0)),Lookup_Lists!$D$151)))</f>
        <v>#REF!</v>
      </c>
      <c r="K54" s="65" t="e">
        <f>IF(LEN(TRIM(SUBSTITUTE(Matching_Engine!$BD$54,"|","")))=0,"N/A",IF(Brand_Profile!$G$47=0,Lookup_Lists!$D$150,ROUND((IF(Brand_Profile!$G$41="",0,IF(ISNUMBER(SEARCH(Brand_Profile!$G$41,Matching_Engine!$BD$54)),1,0))+IF(Brand_Profile!$G$42="",0,IF(ISNUMBER(SEARCH(Brand_Profile!$G$42,Matching_Engine!$BD$54)),1,0))+IF(Brand_Profile!$G$43="",0,IF(ISNUMBER(SEARCH(Brand_Profile!$G$43,Matching_Engine!$BD$54)),1,0))+IF(Brand_Profile!$G$44="",0,IF(ISNUMBER(SEARCH(Brand_Profile!$G$44,Matching_Engine!$BD$54)),1,0))+IF(Brand_Profile!$G$45="",0,IF(ISNUMBER(SEARCH(Brand_Profile!$G$45,Matching_Engine!$BD$54)),1,0))+IF(Brand_Profile!$G$46="",0,IF(ISNUMBER(SEARCH(Brand_Profile!$G$46,Matching_Engine!$BD$54)),1,0)))/Brand_Profile!$G$47*100,0)))</f>
        <v>#VALUE!</v>
      </c>
      <c r="L54" s="65" t="e">
        <f>IF(NOT(AND(ISTEXT('[1]#REF'!$U$6),'[1]#REF'!$U$6&lt;&gt;"N/A")),"N/A",IF(Brand_Profile!$G$53=0,Lookup_Lists!$D$150,ROUND((IF(Brand_Profile!$G$48="",0,IF(ISNUMBER(SEARCH(Brand_Profile!$G$48,Matching_Engine!$BF$54)),1,0))+IF(Brand_Profile!$G$49="",0,IF(ISNUMBER(SEARCH(Brand_Profile!$G$49,Matching_Engine!$BF$54)),1,0))+IF(Brand_Profile!$G$50="",0,IF(ISNUMBER(SEARCH(Brand_Profile!$G$50,Matching_Engine!$BF$54)),1,0))+IF(Brand_Profile!$G$51="",0,IF(ISNUMBER(SEARCH(Brand_Profile!$G$51,Matching_Engine!$BF$54)),1,0))+IF(Brand_Profile!$G$52="",0,IF(ISNUMBER(SEARCH(Brand_Profile!$G$52,Matching_Engine!$BF$54)),1,0)))/Brand_Profile!$G$53*100,0)))</f>
        <v>#REF!</v>
      </c>
      <c r="M54" s="63" t="str">
        <f>IF((IF(ISNUMBER(Matching_Engine!$J$54),Lookup_Lists!$D$332,0)+IF(ISNUMBER(Matching_Engine!$K$54),Lookup_Lists!$D$333,0)+IF(ISNUMBER(Matching_Engine!$L$54),Lookup_Lists!$D$334,0))=0,"N/A",ROUND((IF(ISNUMBER(Matching_Engine!$J$54),Matching_Engine!$J$54*Lookup_Lists!$D$332,0)+IF(ISNUMBER(Matching_Engine!$K$54),Matching_Engine!$K$54*Lookup_Lists!$D$333,0)+IF(ISNUMBER(Matching_Engine!$L$54),Matching_Engine!$L$54*Lookup_Lists!$D$334,0))/(IF(ISNUMBER(Matching_Engine!$J$54),Lookup_Lists!$D$332,0)+IF(ISNUMBER(Matching_Engine!$K$54),Lookup_Lists!$D$333,0)+IF(ISNUMBER(Matching_Engine!$L$54),Lookup_Lists!$D$334,0)),0))</f>
        <v>N/A</v>
      </c>
      <c r="N54" s="42">
        <f>IF(ISNUMBER(Matching_Engine!$M$54),1,0)</f>
        <v>1</v>
      </c>
      <c r="O54" s="65" t="str">
        <f ca="1">IF(NOT(ISNUMBER(IFERROR(INDEX('[1]#REF'!$V$6:'[1]#REF'!$Z$6,1,MATCH(Brand_Profile!$G$11,Lookup_Lists!$F$6:$F$10,0)),""))),"N/A",MIN(100,ROUND((IFERROR(INDEX('[1]#REF'!$V$6:'[1]#REF'!$Z$6,1,MATCH(Brand_Profile!$G$11,Lookup_Lists!$F$6:$F$10,0)),"")+0.5*IF(ISNUMBER(IFERROR(INDEX('[1]#REF'!$V$6:'[1]#REF'!$Z$6,1,MATCH(Brand_Profile!$G$12,Lookup_Lists!$F$6:$F$10,0)),"")),IFERROR(INDEX('[1]#REF'!$V$6:'[1]#REF'!$Z$6,1,MATCH(Brand_Profile!$G$12,Lookup_Lists!$F$6:$F$10,0)),""),0))/Lookup_Lists!$D$142*100,0)))</f>
        <v>N/A</v>
      </c>
      <c r="P54" s="65" t="str">
        <f>IF(Brand_Profile!$G$13="Any",100,IF(NOT(ISNUMBER('[1]#REF'!$AA$6)),"N/A",IF(Brand_Profile!$G$13="Female",MIN(100,ROUND('[1]#REF'!$AA$6/Lookup_Lists!$D$143*100,0)),IF(Brand_Profile!$G$13="Male",MIN(100,ROUND(IF(ISNUMBER('[1]#REF'!$AB$6),'[1]#REF'!$AB$6,100-'[1]#REF'!$AA$6)/Lookup_Lists!$D$143*100,0)),MAX(0,ROUND(100-ABS('[1]#REF'!$AA$6-50)*2,0))))))</f>
        <v>N/A</v>
      </c>
      <c r="Q54" s="65" t="str">
        <f>IF((IF(ISNUMBER(IF(NOT(ISNUMBER('[1]#REF'!$AE$6)),"N/A",IF('[1]#REF'!$AD$6&lt;&gt;Brand_Profile!$G$14,Lookup_Lists!$D$151,MIN(100,ROUND('[1]#REF'!$AE$6/Lookup_Lists!$D$316*100,0))))),Lookup_Lists!$D$118,0)+IF(ISNUMBER(IF(NOT(ISNUMBER('[1]#REF'!$AM$6)),"N/A",MIN(100,ROUND((IF('[1]#REF'!$AG$6=Brand_Profile!$G$15,IF(ISNUMBER('[1]#REF'!$AH$6),'[1]#REF'!$AH$6,0),0)+IF('[1]#REF'!$AI$6=Brand_Profile!$G$15,IF(ISNUMBER('[1]#REF'!$AJ$6),'[1]#REF'!$AJ$6,0),0)+IF('[1]#REF'!$AK$6=Brand_Profile!$G$15,IF(ISNUMBER('[1]#REF'!$AL$6),'[1]#REF'!$AL$6,0),0))/Lookup_Lists!$D$317*100,0)))),Lookup_Lists!$D$120,0))=0,"N/A",ROUND((IF(ISNUMBER(IF(NOT(ISNUMBER('[1]#REF'!$AE$6)),"N/A",IF('[1]#REF'!$AD$6&lt;&gt;Brand_Profile!$G$14,Lookup_Lists!$D$151,MIN(100,ROUND('[1]#REF'!$AE$6/Lookup_Lists!$D$316*100,0))))),IF(NOT(ISNUMBER('[1]#REF'!$AE$6)),"N/A",IF('[1]#REF'!$AD$6&lt;&gt;Brand_Profile!$G$14,Lookup_Lists!$D$151,MIN(100,ROUND('[1]#REF'!$AE$6/Lookup_Lists!$D$316*100,0))))*Lookup_Lists!$D$118,0)+IF(ISNUMBER(IF(NOT(ISNUMBER('[1]#REF'!$AM$6)),"N/A",MIN(100,ROUND((IF('[1]#REF'!$AG$6=Brand_Profile!$G$15,IF(ISNUMBER('[1]#REF'!$AH$6),'[1]#REF'!$AH$6,0),0)+IF('[1]#REF'!$AI$6=Brand_Profile!$G$15,IF(ISNUMBER('[1]#REF'!$AJ$6),'[1]#REF'!$AJ$6,0),0)+IF('[1]#REF'!$AK$6=Brand_Profile!$G$15,IF(ISNUMBER('[1]#REF'!$AL$6),'[1]#REF'!$AL$6,0),0))/Lookup_Lists!$D$317*100,0)))),IF(NOT(ISNUMBER('[1]#REF'!$AM$6)),"N/A",MIN(100,ROUND((IF('[1]#REF'!$AG$6=Brand_Profile!$G$15,IF(ISNUMBER('[1]#REF'!$AH$6),'[1]#REF'!$AH$6,0),0)+IF('[1]#REF'!$AI$6=Brand_Profile!$G$15,IF(ISNUMBER('[1]#REF'!$AJ$6),'[1]#REF'!$AJ$6,0),0)+IF('[1]#REF'!$AK$6=Brand_Profile!$G$15,IF(ISNUMBER('[1]#REF'!$AL$6),'[1]#REF'!$AL$6,0),0))/Lookup_Lists!$D$317*100,0)))*Lookup_Lists!$D$120,0))/(IF(ISNUMBER(IF(NOT(ISNUMBER('[1]#REF'!$AE$6)),"N/A",IF('[1]#REF'!$AD$6&lt;&gt;Brand_Profile!$G$14,Lookup_Lists!$D$151,MIN(100,ROUND('[1]#REF'!$AE$6/Lookup_Lists!$D$316*100,0))))),Lookup_Lists!$D$118,0)+IF(ISNUMBER(IF(NOT(ISNUMBER('[1]#REF'!$AM$6)),"N/A",MIN(100,ROUND((IF('[1]#REF'!$AG$6=Brand_Profile!$G$15,IF(ISNUMBER('[1]#REF'!$AH$6),'[1]#REF'!$AH$6,0),0)+IF('[1]#REF'!$AI$6=Brand_Profile!$G$15,IF(ISNUMBER('[1]#REF'!$AJ$6),'[1]#REF'!$AJ$6,0),0)+IF('[1]#REF'!$AK$6=Brand_Profile!$G$15,IF(ISNUMBER('[1]#REF'!$AL$6),'[1]#REF'!$AL$6,0),0))/Lookup_Lists!$D$317*100,0)))),Lookup_Lists!$D$120,0)),0))</f>
        <v>N/A</v>
      </c>
      <c r="R54" s="65" t="str">
        <f>IF(NOT(ISNUMBER('[1]#REF'!$AN$6)),"N/A",MIN(100,ROUND((IF(ISNUMBER('[1]#REF'!$AO$6),'[1]#REF'!$AO$6*Brand_Profile!$G$17,0)+IF(ISNUMBER('[1]#REF'!$AP$6),'[1]#REF'!$AP$6*Brand_Profile!$G$18,0)+IF(ISNUMBER('[1]#REF'!$AQ$6),'[1]#REF'!$AQ$6*Brand_Profile!$G$19,0)+IF(ISNUMBER('[1]#REF'!$AR$6),'[1]#REF'!$AR$6*Brand_Profile!$G$20,0)+IF(ISNUMBER('[1]#REF'!$AS$6),'[1]#REF'!$AS$6*Brand_Profile!$G$21,0)+IF(ISNUMBER('[1]#REF'!$AT$6),'[1]#REF'!$AT$6*Brand_Profile!$G$22,0)+IF(ISNUMBER('[1]#REF'!$AU$6),'[1]#REF'!$AU$6*Brand_Profile!$G$23,0)+IF(ISNUMBER('[1]#REF'!$AV$6),'[1]#REF'!$AV$6*Brand_Profile!$G$24,0)+IF(ISNUMBER('[1]#REF'!$AW$6),'[1]#REF'!$AW$6*Brand_Profile!$G$25,0)+IF(ISNUMBER('[1]#REF'!$AX$6),'[1]#REF'!$AX$6*Brand_Profile!$G$26,0)+IF(ISNUMBER('[1]#REF'!$AY$6),'[1]#REF'!$AY$6*Brand_Profile!$G$27,0)+IF(ISNUMBER('[1]#REF'!$AZ$6),'[1]#REF'!$AZ$6*Brand_Profile!$G$28,0)+IF(ISNUMBER('[1]#REF'!$BA$6),'[1]#REF'!$BA$6*Brand_Profile!$G$29,0)+IF(ISNUMBER('[1]#REF'!$BB$6),'[1]#REF'!$BB$6*Brand_Profile!$G$30,0)+IF(ISNUMBER('[1]#REF'!$BC$6),'[1]#REF'!$BC$6*Brand_Profile!$G$31,0)+IF(ISNUMBER('[1]#REF'!$BD$6),'[1]#REF'!$BD$6*Brand_Profile!$G$32,0)+IF(ISNUMBER('[1]#REF'!$BE$6),'[1]#REF'!$BE$6*Brand_Profile!$G$33,0)+IF(ISNUMBER('[1]#REF'!$BF$6),'[1]#REF'!$BF$6*Brand_Profile!$G$34,0))/Lookup_Lists!$D$318*100,0)))</f>
        <v>N/A</v>
      </c>
      <c r="S54" s="63">
        <f ca="1">IF((IF(ISNUMBER(Matching_Engine!$O$54),Lookup_Lists!$D$113,0)+IF(ISNUMBER(Matching_Engine!$P$54),Lookup_Lists!$D$114,0)+IF(ISNUMBER(Matching_Engine!$Q$54),Lookup_Lists!$D$115,0)+IF(ISNUMBER(Matching_Engine!$R$54),Lookup_Lists!$D$116,0))=0,"N/A",ROUND((IF(ISNUMBER(Matching_Engine!$O$54),Matching_Engine!$O$54*Lookup_Lists!$D$113,0)+IF(ISNUMBER(Matching_Engine!$P$54),Matching_Engine!$P$54*Lookup_Lists!$D$114,0)+IF(ISNUMBER(Matching_Engine!$Q$54),Matching_Engine!$Q$54*Lookup_Lists!$D$115,0)+IF(ISNUMBER(Matching_Engine!$R$54),Matching_Engine!$R$54*Lookup_Lists!$D$116,0))/(IF(ISNUMBER(Matching_Engine!$O$54),Lookup_Lists!$D$113,0)+IF(ISNUMBER(Matching_Engine!$P$54),Lookup_Lists!$D$114,0)+IF(ISNUMBER(Matching_Engine!$Q$54),Lookup_Lists!$D$115,0)+IF(ISNUMBER(Matching_Engine!$R$54),Lookup_Lists!$D$116,0)),0))</f>
        <v>70</v>
      </c>
      <c r="T54" s="42">
        <f ca="1">IF(ISNUMBER(Matching_Engine!$S$54),1,0)</f>
        <v>1</v>
      </c>
      <c r="U54" s="65" t="e">
        <f>IF(NOT(AND(ISTEXT('[1]#REF'!$M$6),'[1]#REF'!$M$6&lt;&gt;"N/A")),Lookup_Lists!$D$150,IF(Brand_Profile!$G$7='[1]#REF'!$M$6,100,IFERROR(INDEX(Lookup_Lists!$B$349:$J$357,MATCH(Brand_Profile!$G$7,Lookup_Lists!$A$349:$A$357,0),MATCH('[1]#REF'!$M$6,Lookup_Lists!$B$348:$J$348,0)),Lookup_Lists!$D$151)))</f>
        <v>#REF!</v>
      </c>
      <c r="V54" s="65" t="e">
        <f>IF(NOT(AND(ISTEXT('[1]#REF'!$P$6),'[1]#REF'!$P$6&lt;&gt;"N/A")),"N/A",IFERROR(INDEX(Lookup_Lists!$B$349:$J$357,MATCH(Brand_Profile!$G$7,Lookup_Lists!$A$349:$A$357,0),MATCH('[1]#REF'!$P$6,Lookup_Lists!$B$348:$J$348,0)),Lookup_Lists!$D$151))</f>
        <v>#REF!</v>
      </c>
      <c r="W54" s="65" t="e">
        <f>IF(LEN(TRIM(SUBSTITUTE(Matching_Engine!$BE$54,"|","")))=0,"N/A",IF(Brand_Profile!$G$60=0,Lookup_Lists!$D$150,ROUND((IF(Brand_Profile!$G$54="",0,IF(ISNUMBER(SEARCH(Brand_Profile!$G$54,Matching_Engine!$BE$54)),1,0))+IF(Brand_Profile!$G$55="",0,IF(ISNUMBER(SEARCH(Brand_Profile!$G$55,Matching_Engine!$BE$54)),1,0))+IF(Brand_Profile!$G$56="",0,IF(ISNUMBER(SEARCH(Brand_Profile!$G$56,Matching_Engine!$BE$54)),1,0))+IF(Brand_Profile!$G$57="",0,IF(ISNUMBER(SEARCH(Brand_Profile!$G$57,Matching_Engine!$BE$54)),1,0))+IF(Brand_Profile!$G$58="",0,IF(ISNUMBER(SEARCH(Brand_Profile!$G$58,Matching_Engine!$BE$54)),1,0))+IF(Brand_Profile!$G$59="",0,IF(ISNUMBER(SEARCH(Brand_Profile!$G$59,Matching_Engine!$BE$54)),1,0)))/Brand_Profile!$G$60*100,0)))</f>
        <v>#VALUE!</v>
      </c>
      <c r="X54" s="65" t="e">
        <f>IF(NOT(AND(ISTEXT('[1]#REF'!$Q$6),'[1]#REF'!$Q$6&lt;&gt;"N/A")),"N/A",Lookup_Lists!$D$150)</f>
        <v>#REF!</v>
      </c>
      <c r="Y54" s="63">
        <f>IF((IF(ISNUMBER(Matching_Engine!$U$54),Lookup_Lists!$D$335,0)+IF(ISNUMBER(Matching_Engine!$V$54),Lookup_Lists!$D$122,0)+IF(ISNUMBER(Matching_Engine!$W$54),Lookup_Lists!$D$336,0)+IF(ISNUMBER(Matching_Engine!$X$54),Lookup_Lists!$D$124,0))=0,"N/A",ROUND((IF(ISNUMBER(Matching_Engine!$U$54),Matching_Engine!$U$54*Lookup_Lists!$D$335,0)+IF(ISNUMBER(Matching_Engine!$V$54),Matching_Engine!$V$54*Lookup_Lists!$D$122,0)+IF(ISNUMBER(Matching_Engine!$W$54),Matching_Engine!$W$54*Lookup_Lists!$D$336,0)+IF(ISNUMBER(Matching_Engine!$X$54),Matching_Engine!$X$54*Lookup_Lists!$D$124,0))/(IF(ISNUMBER(Matching_Engine!$U$54),Lookup_Lists!$D$335,0)+IF(ISNUMBER(Matching_Engine!$V$54),Lookup_Lists!$D$122,0)+IF(ISNUMBER(Matching_Engine!$W$54),Lookup_Lists!$D$336,0)+IF(ISNUMBER(Matching_Engine!$X$54),Lookup_Lists!$D$124,0)),0))</f>
        <v>48</v>
      </c>
      <c r="Z54" s="42">
        <f>IF(ISNUMBER(Matching_Engine!$Y$54),1,0)</f>
        <v>1</v>
      </c>
      <c r="AA54" s="65" t="e">
        <f>IF(NOT(AND(ISTEXT('[1]#REF'!$Q$6),'[1]#REF'!$Q$6&lt;&gt;"N/A")),"N/A",Lookup_Lists!$D$150)</f>
        <v>#REF!</v>
      </c>
      <c r="AB54" s="65" t="e">
        <f>IF(NOT(AND(ISTEXT('[1]#REF'!$Q$6),'[1]#REF'!$Q$6&lt;&gt;"N/A")),"N/A",Lookup_Lists!$D$150)</f>
        <v>#REF!</v>
      </c>
      <c r="AC54" s="65" t="str">
        <f t="shared" si="0"/>
        <v>N/A</v>
      </c>
      <c r="AD54" s="65" t="e">
        <f>IF(NOT(AND(ISTEXT('[1]#REF'!$Q$6),'[1]#REF'!$Q$6&lt;&gt;"N/A")),"N/A",Lookup_Lists!$D$150)</f>
        <v>#REF!</v>
      </c>
      <c r="AE54" s="63">
        <f>IF((IF(ISNUMBER(Matching_Engine!$AA$54),Lookup_Lists!$D$125,0)+IF(ISNUMBER(Matching_Engine!$AB$54),Lookup_Lists!$D$126,0)+IF(ISNUMBER(Matching_Engine!$AC$54),Lookup_Lists!$D$127,0)+IF(ISNUMBER(Matching_Engine!$AD$54),Lookup_Lists!$D$128,0))=0,"N/A",ROUND((IF(ISNUMBER(Matching_Engine!$AA$54),Matching_Engine!$AA$54*Lookup_Lists!$D$125,0)+IF(ISNUMBER(Matching_Engine!$AB$54),Matching_Engine!$AB$54*Lookup_Lists!$D$126,0)+IF(ISNUMBER(Matching_Engine!$AC$54),Matching_Engine!$AC$54*Lookup_Lists!$D$127,0)+IF(ISNUMBER(Matching_Engine!$AD$54),Matching_Engine!$AD$54*Lookup_Lists!$D$128,0))/(IF(ISNUMBER(Matching_Engine!$AA$54),Lookup_Lists!$D$125,0)+IF(ISNUMBER(Matching_Engine!$AB$54),Lookup_Lists!$D$126,0)+IF(ISNUMBER(Matching_Engine!$AC$54),Lookup_Lists!$D$127,0)+IF(ISNUMBER(Matching_Engine!$AD$54),Lookup_Lists!$D$128,0)),0))</f>
        <v>57</v>
      </c>
      <c r="AF54" s="42">
        <f>IF(ISNUMBER(Matching_Engine!$AE$54),1,0)</f>
        <v>1</v>
      </c>
      <c r="AG54" s="65" t="str">
        <f>IF(NOT(ISNUMBER('[1]#REF'!$BG$6)),"N/A",MIN(100,ROUND('[1]#REF'!$BG$6/IFERROR(INDEX(Lookup_Lists!$B$340:$B$344,MATCH('[1]#REF'!$H$6,Lookup_Lists!$A$340:$A$344,0)),Lookup_Lists!$D$141)*100,0)))</f>
        <v>N/A</v>
      </c>
      <c r="AH54" s="65" t="str">
        <f>IF(NOT(ISNUMBER('[1]#REF'!$BS$6)),"N/A",MIN(100,MAX(0,'[1]#REF'!$BS$6)))</f>
        <v>N/A</v>
      </c>
      <c r="AI54" s="65" t="e">
        <f>IF(OR(NOT(ISNUMBER('[1]#REF'!$BM$6)),NOT(ISNUMBER('[1]#REF'!$BN$6)),'[1]#REF'!$BN$6&lt;Lookup_Lists!$D$320),"N/A",MIN(100,ROUND('[1]#REF'!$BM$6/Lookup_Lists!$D$319*100,0)))</f>
        <v>#REF!</v>
      </c>
      <c r="AJ54" s="65" t="str">
        <f>IF(NOT(ISNUMBER('[1]#REF'!$BR$6)),"N/A",'[1]#REF'!$BR$6)</f>
        <v>N/A</v>
      </c>
      <c r="AK54" s="65" t="str">
        <f>IF(NOT(ISNUMBER('[1]#REF'!$BK$6)),"N/A",MIN(100,ROUND('[1]#REF'!$BK$6/Lookup_Lists!$D$321*100,0)))</f>
        <v>N/A</v>
      </c>
      <c r="AL54" s="65" t="str">
        <f>IF(NOT(ISNUMBER('[1]#REF'!$BP$6)),"N/A",MIN(100,MAX(0,ROUND(('[1]#REF'!$BP$6+2)/(Lookup_Lists!$D$145+2)*100,0))))</f>
        <v>N/A</v>
      </c>
      <c r="AM54" s="63">
        <f>IF((IF(ISNUMBER(Matching_Engine!$AG$54),Lookup_Lists!$D$129,0)+IF(ISNUMBER(Matching_Engine!$AH$54),Lookup_Lists!$D$130,0)+IF(ISNUMBER(Matching_Engine!$AI$54),Lookup_Lists!$D$131,0)+IF(ISNUMBER(Matching_Engine!$AJ$54),Lookup_Lists!$D$132,0)+IF(ISNUMBER(Matching_Engine!$AK$54),Lookup_Lists!$D$133,0)+IF(ISNUMBER(Matching_Engine!$AL$54),Lookup_Lists!$D$134,0))=0,"N/A",ROUND((IF(ISNUMBER(Matching_Engine!$AG$54),Matching_Engine!$AG$54*Lookup_Lists!$D$129,0)+IF(ISNUMBER(Matching_Engine!$AH$54),Matching_Engine!$AH$54*Lookup_Lists!$D$130,0)+IF(ISNUMBER(Matching_Engine!$AI$54),Matching_Engine!$AI$54*Lookup_Lists!$D$131,0)+IF(ISNUMBER(Matching_Engine!$AJ$54),Matching_Engine!$AJ$54*Lookup_Lists!$D$132,0)+IF(ISNUMBER(Matching_Engine!$AK$54),Matching_Engine!$AK$54*Lookup_Lists!$D$133,0)+IF(ISNUMBER(Matching_Engine!$AL$54),Matching_Engine!$AL$54*Lookup_Lists!$D$134,0))/(IF(ISNUMBER(Matching_Engine!$AG$54),Lookup_Lists!$D$129,0)+IF(ISNUMBER(Matching_Engine!$AH$54),Lookup_Lists!$D$130,0)+IF(ISNUMBER(Matching_Engine!$AI$54),Lookup_Lists!$D$131,0)+IF(ISNUMBER(Matching_Engine!$AJ$54),Lookup_Lists!$D$132,0)+IF(ISNUMBER(Matching_Engine!$AK$54),Lookup_Lists!$D$133,0)+IF(ISNUMBER(Matching_Engine!$AL$54),Lookup_Lists!$D$134,0)),0))</f>
        <v>53</v>
      </c>
      <c r="AN54" s="42">
        <f>IF(ISNUMBER(Matching_Engine!$AM$54),1,0)</f>
        <v>0</v>
      </c>
      <c r="AO54" s="65" t="str">
        <f>IF(NOT(ISNUMBER('[1]#REF'!$BT$6)),"N/A",MIN(100,MAX(0,'[1]#REF'!$BT$6)))</f>
        <v>N/A</v>
      </c>
      <c r="AP54" s="65" t="str">
        <f>IF(NOT(ISNUMBER('[1]#REF'!$BU$6)),"N/A",MIN(100,MAX(0,'[1]#REF'!$BU$6)))</f>
        <v>N/A</v>
      </c>
      <c r="AQ54" s="65" t="e">
        <f>IF('[1]#REF'!$I$6="Yes",Lookup_Lists!$D$326,IF('[1]#REF'!$I$6="No",Lookup_Lists!$D$327,"N/A"))</f>
        <v>#REF!</v>
      </c>
      <c r="AR54" s="65" t="str">
        <f>IF(NOT(ISNUMBER('[1]#REF'!$BQ$6)),"N/A",MAX(0,ROUND(100-'[1]#REF'!$BQ$6/Lookup_Lists!$D$328*100,0)))</f>
        <v>N/A</v>
      </c>
      <c r="AS54" s="65" t="e">
        <f>IF(NOT(AND(ISTEXT('[1]#REF'!$BV$6),'[1]#REF'!$BV$6&lt;&gt;"N/A")),"N/A",'[1]#REF'!$BV$6)</f>
        <v>#REF!</v>
      </c>
      <c r="AT54" s="63" t="str">
        <f ca="1">IF((IF(ISNUMBER(Matching_Engine!$AO$54),Lookup_Lists!$D$322,0)+IF(ISNUMBER(Matching_Engine!$AP$54),Lookup_Lists!$D$323,0)+IF(ISNUMBER(Matching_Engine!$AQ$54),Lookup_Lists!$D$324,0)+IF(ISNUMBER(Matching_Engine!$AR$54),Lookup_Lists!$D$325,0))=0,"N/A",ROUND((IF(ISNUMBER(Matching_Engine!$AO$54),Matching_Engine!$AO$54*Lookup_Lists!$D$322,0)+IF(ISNUMBER(Matching_Engine!$AP$54),Matching_Engine!$AP$54*Lookup_Lists!$D$323,0)+IF(ISNUMBER(Matching_Engine!$AQ$54),Matching_Engine!$AQ$54*Lookup_Lists!$D$324,0)+IF(ISNUMBER(Matching_Engine!$AR$54),Matching_Engine!$AR$54*Lookup_Lists!$D$325,0))/(IF(ISNUMBER(Matching_Engine!$AO$54),Lookup_Lists!$D$322,0)+IF(ISNUMBER(Matching_Engine!$AP$54),Lookup_Lists!$D$323,0)+IF(ISNUMBER(Matching_Engine!$AQ$54),Lookup_Lists!$D$324,0)+IF(ISNUMBER(Matching_Engine!$AR$54),Lookup_Lists!$D$325,0)),0))</f>
        <v>N/A</v>
      </c>
      <c r="AU54" s="42">
        <f>IF(ISNUMBER(Matching_Engine!$AT$54),1,0)</f>
        <v>1</v>
      </c>
      <c r="AV54" s="42" t="str">
        <f>IF(NOT(ISNUMBER(Matching_Engine!$AT$54)),"Not Screened",IF(Matching_Engine!$AT$54&gt;=Lookup_Lists!$D$329,"Low Risk",IF(Matching_Engine!$AT$54&gt;=Lookup_Lists!$D$330,"Moderate Risk",IF(Matching_Engine!$AT$54&gt;=Lookup_Lists!$D$331,"Elevated Risk","High Risk"))))</f>
        <v>Low Risk</v>
      </c>
      <c r="AW54" s="42" t="e">
        <f ca="1">IF(NOT(ISNUMBER(Matching_Engine!$AT$54)),"No integrity signal: no audience-analysis row for this account.","Integrity screen only — no content-risk reading exists (comments_analysis: 0 rows). "&amp;IF(ISNUMBER(Matching_Engine!$AO$54),"Authenticity "&amp;Matching_Engine!$AO$54&amp;". ","Authenticity N/A. ")&amp;IF(ISNUMBER(Matching_Engine!$AP$54),"Follower quality "&amp;Matching_Engine!$AP$54&amp;". ","Follower quality N/A. ")&amp;IF('[1]#REF'!$I$6="Yes","Platform-verified.","Not platform-verified."))</f>
        <v>#REF!</v>
      </c>
      <c r="AX54" s="65">
        <f>Matching_Engine!$N$54*Lookup_Lists!$D$104+Matching_Engine!$T$54*Lookup_Lists!$D$105+Matching_Engine!$Z$54*Lookup_Lists!$D$106+Matching_Engine!$AF$54*Lookup_Lists!$D$107+Matching_Engine!$AN$54*Lookup_Lists!$D$108+Matching_Engine!$AU$54*Lookup_Lists!$D$109</f>
        <v>6100</v>
      </c>
      <c r="AY54" s="74" t="e">
        <f ca="1">IF(Matching_Engine!$AX$54=0,"N/A",ROUND((IF(Matching_Engine!$N$54=1,Matching_Engine!$M$54*Lookup_Lists!$D$104,0)+IF(Matching_Engine!$T$54=1,Matching_Engine!$S$54*Lookup_Lists!$D$105,0)+IF(Matching_Engine!$Z$54=1,Matching_Engine!$Y$54*Lookup_Lists!$D$106,0)+IF(Matching_Engine!$AF$54=1,Matching_Engine!$AE$54*Lookup_Lists!$D$107,0)+IF(Matching_Engine!$AN$54=1,Matching_Engine!$AM$54*Lookup_Lists!$D$108,0)+IF(Matching_Engine!$AU$54=1,Matching_Engine!$AT$54*Lookup_Lists!$D$109,0))/Matching_Engine!$AX$54,0))</f>
        <v>#VALUE!</v>
      </c>
      <c r="AZ54" s="42" t="str">
        <f ca="1">IF(NOT(ISNUMBER(Matching_Engine!$AY$54)),"Not Scored",IF(Matching_Engine!$AY$54&gt;=Lookup_Lists!$D$152,"Excellent Match",IF(Matching_Engine!$AY$54&gt;=Lookup_Lists!$D$153,"Strong Match",IF(Matching_Engine!$AY$54&gt;=Lookup_Lists!$D$154,"Good Match",IF(Matching_Engine!$AY$54&gt;=Lookup_Lists!$D$155,"Moderate Match","Low Match")))))</f>
        <v>Not Scored</v>
      </c>
      <c r="BA54" s="65" t="e">
        <f>'[1]#REF'!$BW$6</f>
        <v>#REF!</v>
      </c>
      <c r="BB54" s="42" t="e">
        <f>'[1]#REF'!$BX$6</f>
        <v>#REF!</v>
      </c>
      <c r="BC54" s="65">
        <f ca="1">IF(NOT(ISNUMBER(Matching_Engine!$AY$54)),-1,Matching_Engine!$AY$54*1000+24)</f>
        <v>-1</v>
      </c>
      <c r="BD54" s="42" t="e">
        <f>IF(AND(ISTEXT('[1]#REF'!$S$6),'[1]#REF'!$S$6&lt;&gt;"N/A"),'[1]#REF'!$S$6,"")&amp;" | "&amp;IF(AND(ISTEXT('[1]#REF'!$T$6),'[1]#REF'!$T$6&lt;&gt;"N/A"),'[1]#REF'!$T$6,"")&amp;" | "&amp;IF(AND(ISTEXT('[1]#REF'!$N$6),'[1]#REF'!$N$6&lt;&gt;"N/A"),'[1]#REF'!$N$6,"")&amp;" | "&amp;IF(AND(ISTEXT('[1]#REF'!$K$6),'[1]#REF'!$K$6&lt;&gt;"N/A"),'[1]#REF'!$K$6,"")&amp;" | "&amp;IF(AND(ISTEXT('[1]#REF'!$J$6),'[1]#REF'!$J$6&lt;&gt;"N/A"),'[1]#REF'!$J$6,"")</f>
        <v>#REF!</v>
      </c>
      <c r="BE54" s="42" t="e">
        <f>IF(AND(ISTEXT('[1]#REF'!$T$6),'[1]#REF'!$T$6&lt;&gt;"N/A"),'[1]#REF'!$T$6,"")&amp;" | "&amp;IF(AND(ISTEXT('[1]#REF'!$N$6),'[1]#REF'!$N$6&lt;&gt;"N/A"),'[1]#REF'!$N$6,"")&amp;" | "&amp;IF(AND(ISTEXT('[1]#REF'!$O$6),'[1]#REF'!$O$6&lt;&gt;"N/A"),'[1]#REF'!$O$6,"")&amp;" | "&amp;IF(AND(ISTEXT('[1]#REF'!$S$6),'[1]#REF'!$S$6&lt;&gt;"N/A"),'[1]#REF'!$S$6,"")</f>
        <v>#REF!</v>
      </c>
      <c r="BF54" s="42" t="e">
        <f>IF(AND(ISTEXT('[1]#REF'!$U$6),'[1]#REF'!$U$6&lt;&gt;"N/A"),'[1]#REF'!$U$6,"")</f>
        <v>#REF!</v>
      </c>
      <c r="BG54" s="42" t="str">
        <f>Matching_Engine!$A$54&amp;"|"&amp;Matching_Engine!$C$54</f>
        <v>BRAND-B|KOL-19</v>
      </c>
    </row>
    <row r="55" spans="1:59">
      <c r="A55" s="64" t="s">
        <v>2529</v>
      </c>
      <c r="B55" s="42" t="str">
        <f>Brand_Profile!$G$6</f>
        <v>Active Value</v>
      </c>
      <c r="C55" s="42" t="e">
        <f>'[1]#REF'!$A$7</f>
        <v>#REF!</v>
      </c>
      <c r="D55" s="42" t="e">
        <f>'[1]#REF'!$C$7</f>
        <v>#REF!</v>
      </c>
      <c r="E55" s="42" t="e">
        <f>'[1]#REF'!$D$7</f>
        <v>#REF!</v>
      </c>
      <c r="F55" s="42" t="e">
        <f>'[1]#REF'!$E$7</f>
        <v>#REF!</v>
      </c>
      <c r="G55" s="42" t="e">
        <f>'[1]#REF'!$K$7</f>
        <v>#REF!</v>
      </c>
      <c r="H55" s="72" t="e">
        <f>'[1]#REF'!$G$7</f>
        <v>#REF!</v>
      </c>
      <c r="I55" s="73" t="e">
        <f>'[1]#REF'!$BG$7</f>
        <v>#REF!</v>
      </c>
      <c r="J55" s="65" t="e">
        <f>IF(NOT(AND(ISTEXT('[1]#REF'!$K$7),'[1]#REF'!$K$7&lt;&gt;"N/A")),Lookup_Lists!$D$150,IF(Brand_Profile!$G$7='[1]#REF'!$K$7,100,IFERROR(INDEX(Lookup_Lists!$B$349:$J$357,MATCH(Brand_Profile!$G$7,Lookup_Lists!$A$349:$A$357,0),MATCH('[1]#REF'!$K$7,Lookup_Lists!$B$348:$J$348,0)),Lookup_Lists!$D$151)))</f>
        <v>#REF!</v>
      </c>
      <c r="K55" s="65" t="e">
        <f>IF(LEN(TRIM(SUBSTITUTE(Matching_Engine!$BD$55,"|","")))=0,"N/A",IF(Brand_Profile!$G$47=0,Lookup_Lists!$D$150,ROUND((IF(Brand_Profile!$G$41="",0,IF(ISNUMBER(SEARCH(Brand_Profile!$G$41,Matching_Engine!$BD$55)),1,0))+IF(Brand_Profile!$G$42="",0,IF(ISNUMBER(SEARCH(Brand_Profile!$G$42,Matching_Engine!$BD$55)),1,0))+IF(Brand_Profile!$G$43="",0,IF(ISNUMBER(SEARCH(Brand_Profile!$G$43,Matching_Engine!$BD$55)),1,0))+IF(Brand_Profile!$G$44="",0,IF(ISNUMBER(SEARCH(Brand_Profile!$G$44,Matching_Engine!$BD$55)),1,0))+IF(Brand_Profile!$G$45="",0,IF(ISNUMBER(SEARCH(Brand_Profile!$G$45,Matching_Engine!$BD$55)),1,0))+IF(Brand_Profile!$G$46="",0,IF(ISNUMBER(SEARCH(Brand_Profile!$G$46,Matching_Engine!$BD$55)),1,0)))/Brand_Profile!$G$47*100,0)))</f>
        <v>#VALUE!</v>
      </c>
      <c r="L55" s="65" t="e">
        <f>IF(NOT(AND(ISTEXT('[1]#REF'!$U$7),'[1]#REF'!$U$7&lt;&gt;"N/A")),"N/A",IF(Brand_Profile!$G$53=0,Lookup_Lists!$D$150,ROUND((IF(Brand_Profile!$G$48="",0,IF(ISNUMBER(SEARCH(Brand_Profile!$G$48,Matching_Engine!$BF$55)),1,0))+IF(Brand_Profile!$G$49="",0,IF(ISNUMBER(SEARCH(Brand_Profile!$G$49,Matching_Engine!$BF$55)),1,0))+IF(Brand_Profile!$G$50="",0,IF(ISNUMBER(SEARCH(Brand_Profile!$G$50,Matching_Engine!$BF$55)),1,0))+IF(Brand_Profile!$G$51="",0,IF(ISNUMBER(SEARCH(Brand_Profile!$G$51,Matching_Engine!$BF$55)),1,0))+IF(Brand_Profile!$G$52="",0,IF(ISNUMBER(SEARCH(Brand_Profile!$G$52,Matching_Engine!$BF$55)),1,0)))/Brand_Profile!$G$53*100,0)))</f>
        <v>#REF!</v>
      </c>
      <c r="M55" s="63" t="str">
        <f>IF((IF(ISNUMBER(Matching_Engine!$J$55),Lookup_Lists!$D$332,0)+IF(ISNUMBER(Matching_Engine!$K$55),Lookup_Lists!$D$333,0)+IF(ISNUMBER(Matching_Engine!$L$55),Lookup_Lists!$D$334,0))=0,"N/A",ROUND((IF(ISNUMBER(Matching_Engine!$J$55),Matching_Engine!$J$55*Lookup_Lists!$D$332,0)+IF(ISNUMBER(Matching_Engine!$K$55),Matching_Engine!$K$55*Lookup_Lists!$D$333,0)+IF(ISNUMBER(Matching_Engine!$L$55),Matching_Engine!$L$55*Lookup_Lists!$D$334,0))/(IF(ISNUMBER(Matching_Engine!$J$55),Lookup_Lists!$D$332,0)+IF(ISNUMBER(Matching_Engine!$K$55),Lookup_Lists!$D$333,0)+IF(ISNUMBER(Matching_Engine!$L$55),Lookup_Lists!$D$334,0)),0))</f>
        <v>N/A</v>
      </c>
      <c r="N55" s="42">
        <f>IF(ISNUMBER(Matching_Engine!$M$55),1,0)</f>
        <v>1</v>
      </c>
      <c r="O55" s="65" t="str">
        <f ca="1">IF(NOT(ISNUMBER(IFERROR(INDEX('[1]#REF'!$V$7:'[1]#REF'!$Z$7,1,MATCH(Brand_Profile!$G$11,Lookup_Lists!$F$6:$F$10,0)),""))),"N/A",MIN(100,ROUND((IFERROR(INDEX('[1]#REF'!$V$7:'[1]#REF'!$Z$7,1,MATCH(Brand_Profile!$G$11,Lookup_Lists!$F$6:$F$10,0)),"")+0.5*IF(ISNUMBER(IFERROR(INDEX('[1]#REF'!$V$7:'[1]#REF'!$Z$7,1,MATCH(Brand_Profile!$G$12,Lookup_Lists!$F$6:$F$10,0)),"")),IFERROR(INDEX('[1]#REF'!$V$7:'[1]#REF'!$Z$7,1,MATCH(Brand_Profile!$G$12,Lookup_Lists!$F$6:$F$10,0)),""),0))/Lookup_Lists!$D$142*100,0)))</f>
        <v>N/A</v>
      </c>
      <c r="P55" s="65" t="str">
        <f>IF(Brand_Profile!$G$13="Any",100,IF(NOT(ISNUMBER('[1]#REF'!$AA$7)),"N/A",IF(Brand_Profile!$G$13="Female",MIN(100,ROUND('[1]#REF'!$AA$7/Lookup_Lists!$D$143*100,0)),IF(Brand_Profile!$G$13="Male",MIN(100,ROUND(IF(ISNUMBER('[1]#REF'!$AB$7),'[1]#REF'!$AB$7,100-'[1]#REF'!$AA$7)/Lookup_Lists!$D$143*100,0)),MAX(0,ROUND(100-ABS('[1]#REF'!$AA$7-50)*2,0))))))</f>
        <v>N/A</v>
      </c>
      <c r="Q55" s="65" t="str">
        <f>IF((IF(ISNUMBER(IF(NOT(ISNUMBER('[1]#REF'!$AE$7)),"N/A",IF('[1]#REF'!$AD$7&lt;&gt;Brand_Profile!$G$14,Lookup_Lists!$D$151,MIN(100,ROUND('[1]#REF'!$AE$7/Lookup_Lists!$D$316*100,0))))),Lookup_Lists!$D$118,0)+IF(ISNUMBER(IF(NOT(ISNUMBER('[1]#REF'!$AM$7)),"N/A",MIN(100,ROUND((IF('[1]#REF'!$AG$7=Brand_Profile!$G$15,IF(ISNUMBER('[1]#REF'!$AH$7),'[1]#REF'!$AH$7,0),0)+IF('[1]#REF'!$AI$7=Brand_Profile!$G$15,IF(ISNUMBER('[1]#REF'!$AJ$7),'[1]#REF'!$AJ$7,0),0)+IF('[1]#REF'!$AK$7=Brand_Profile!$G$15,IF(ISNUMBER('[1]#REF'!$AL$7),'[1]#REF'!$AL$7,0),0))/Lookup_Lists!$D$317*100,0)))),Lookup_Lists!$D$120,0))=0,"N/A",ROUND((IF(ISNUMBER(IF(NOT(ISNUMBER('[1]#REF'!$AE$7)),"N/A",IF('[1]#REF'!$AD$7&lt;&gt;Brand_Profile!$G$14,Lookup_Lists!$D$151,MIN(100,ROUND('[1]#REF'!$AE$7/Lookup_Lists!$D$316*100,0))))),IF(NOT(ISNUMBER('[1]#REF'!$AE$7)),"N/A",IF('[1]#REF'!$AD$7&lt;&gt;Brand_Profile!$G$14,Lookup_Lists!$D$151,MIN(100,ROUND('[1]#REF'!$AE$7/Lookup_Lists!$D$316*100,0))))*Lookup_Lists!$D$118,0)+IF(ISNUMBER(IF(NOT(ISNUMBER('[1]#REF'!$AM$7)),"N/A",MIN(100,ROUND((IF('[1]#REF'!$AG$7=Brand_Profile!$G$15,IF(ISNUMBER('[1]#REF'!$AH$7),'[1]#REF'!$AH$7,0),0)+IF('[1]#REF'!$AI$7=Brand_Profile!$G$15,IF(ISNUMBER('[1]#REF'!$AJ$7),'[1]#REF'!$AJ$7,0),0)+IF('[1]#REF'!$AK$7=Brand_Profile!$G$15,IF(ISNUMBER('[1]#REF'!$AL$7),'[1]#REF'!$AL$7,0),0))/Lookup_Lists!$D$317*100,0)))),IF(NOT(ISNUMBER('[1]#REF'!$AM$7)),"N/A",MIN(100,ROUND((IF('[1]#REF'!$AG$7=Brand_Profile!$G$15,IF(ISNUMBER('[1]#REF'!$AH$7),'[1]#REF'!$AH$7,0),0)+IF('[1]#REF'!$AI$7=Brand_Profile!$G$15,IF(ISNUMBER('[1]#REF'!$AJ$7),'[1]#REF'!$AJ$7,0),0)+IF('[1]#REF'!$AK$7=Brand_Profile!$G$15,IF(ISNUMBER('[1]#REF'!$AL$7),'[1]#REF'!$AL$7,0),0))/Lookup_Lists!$D$317*100,0)))*Lookup_Lists!$D$120,0))/(IF(ISNUMBER(IF(NOT(ISNUMBER('[1]#REF'!$AE$7)),"N/A",IF('[1]#REF'!$AD$7&lt;&gt;Brand_Profile!$G$14,Lookup_Lists!$D$151,MIN(100,ROUND('[1]#REF'!$AE$7/Lookup_Lists!$D$316*100,0))))),Lookup_Lists!$D$118,0)+IF(ISNUMBER(IF(NOT(ISNUMBER('[1]#REF'!$AM$7)),"N/A",MIN(100,ROUND((IF('[1]#REF'!$AG$7=Brand_Profile!$G$15,IF(ISNUMBER('[1]#REF'!$AH$7),'[1]#REF'!$AH$7,0),0)+IF('[1]#REF'!$AI$7=Brand_Profile!$G$15,IF(ISNUMBER('[1]#REF'!$AJ$7),'[1]#REF'!$AJ$7,0),0)+IF('[1]#REF'!$AK$7=Brand_Profile!$G$15,IF(ISNUMBER('[1]#REF'!$AL$7),'[1]#REF'!$AL$7,0),0))/Lookup_Lists!$D$317*100,0)))),Lookup_Lists!$D$120,0)),0))</f>
        <v>N/A</v>
      </c>
      <c r="R55" s="65" t="str">
        <f>IF(NOT(ISNUMBER('[1]#REF'!$AN$7)),"N/A",MIN(100,ROUND((IF(ISNUMBER('[1]#REF'!$AO$7),'[1]#REF'!$AO$7*Brand_Profile!$G$17,0)+IF(ISNUMBER('[1]#REF'!$AP$7),'[1]#REF'!$AP$7*Brand_Profile!$G$18,0)+IF(ISNUMBER('[1]#REF'!$AQ$7),'[1]#REF'!$AQ$7*Brand_Profile!$G$19,0)+IF(ISNUMBER('[1]#REF'!$AR$7),'[1]#REF'!$AR$7*Brand_Profile!$G$20,0)+IF(ISNUMBER('[1]#REF'!$AS$7),'[1]#REF'!$AS$7*Brand_Profile!$G$21,0)+IF(ISNUMBER('[1]#REF'!$AT$7),'[1]#REF'!$AT$7*Brand_Profile!$G$22,0)+IF(ISNUMBER('[1]#REF'!$AU$7),'[1]#REF'!$AU$7*Brand_Profile!$G$23,0)+IF(ISNUMBER('[1]#REF'!$AV$7),'[1]#REF'!$AV$7*Brand_Profile!$G$24,0)+IF(ISNUMBER('[1]#REF'!$AW$7),'[1]#REF'!$AW$7*Brand_Profile!$G$25,0)+IF(ISNUMBER('[1]#REF'!$AX$7),'[1]#REF'!$AX$7*Brand_Profile!$G$26,0)+IF(ISNUMBER('[1]#REF'!$AY$7),'[1]#REF'!$AY$7*Brand_Profile!$G$27,0)+IF(ISNUMBER('[1]#REF'!$AZ$7),'[1]#REF'!$AZ$7*Brand_Profile!$G$28,0)+IF(ISNUMBER('[1]#REF'!$BA$7),'[1]#REF'!$BA$7*Brand_Profile!$G$29,0)+IF(ISNUMBER('[1]#REF'!$BB$7),'[1]#REF'!$BB$7*Brand_Profile!$G$30,0)+IF(ISNUMBER('[1]#REF'!$BC$7),'[1]#REF'!$BC$7*Brand_Profile!$G$31,0)+IF(ISNUMBER('[1]#REF'!$BD$7),'[1]#REF'!$BD$7*Brand_Profile!$G$32,0)+IF(ISNUMBER('[1]#REF'!$BE$7),'[1]#REF'!$BE$7*Brand_Profile!$G$33,0)+IF(ISNUMBER('[1]#REF'!$BF$7),'[1]#REF'!$BF$7*Brand_Profile!$G$34,0))/Lookup_Lists!$D$318*100,0)))</f>
        <v>N/A</v>
      </c>
      <c r="S55" s="63">
        <f ca="1">IF((IF(ISNUMBER(Matching_Engine!$O$55),Lookup_Lists!$D$113,0)+IF(ISNUMBER(Matching_Engine!$P$55),Lookup_Lists!$D$114,0)+IF(ISNUMBER(Matching_Engine!$Q$55),Lookup_Lists!$D$115,0)+IF(ISNUMBER(Matching_Engine!$R$55),Lookup_Lists!$D$116,0))=0,"N/A",ROUND((IF(ISNUMBER(Matching_Engine!$O$55),Matching_Engine!$O$55*Lookup_Lists!$D$113,0)+IF(ISNUMBER(Matching_Engine!$P$55),Matching_Engine!$P$55*Lookup_Lists!$D$114,0)+IF(ISNUMBER(Matching_Engine!$Q$55),Matching_Engine!$Q$55*Lookup_Lists!$D$115,0)+IF(ISNUMBER(Matching_Engine!$R$55),Matching_Engine!$R$55*Lookup_Lists!$D$116,0))/(IF(ISNUMBER(Matching_Engine!$O$55),Lookup_Lists!$D$113,0)+IF(ISNUMBER(Matching_Engine!$P$55),Lookup_Lists!$D$114,0)+IF(ISNUMBER(Matching_Engine!$Q$55),Lookup_Lists!$D$115,0)+IF(ISNUMBER(Matching_Engine!$R$55),Lookup_Lists!$D$116,0)),0))</f>
        <v>55</v>
      </c>
      <c r="T55" s="42">
        <f ca="1">IF(ISNUMBER(Matching_Engine!$S$55),1,0)</f>
        <v>1</v>
      </c>
      <c r="U55" s="65" t="e">
        <f>IF(NOT(AND(ISTEXT('[1]#REF'!$M$7),'[1]#REF'!$M$7&lt;&gt;"N/A")),Lookup_Lists!$D$150,IF(Brand_Profile!$G$7='[1]#REF'!$M$7,100,IFERROR(INDEX(Lookup_Lists!$B$349:$J$357,MATCH(Brand_Profile!$G$7,Lookup_Lists!$A$349:$A$357,0),MATCH('[1]#REF'!$M$7,Lookup_Lists!$B$348:$J$348,0)),Lookup_Lists!$D$151)))</f>
        <v>#REF!</v>
      </c>
      <c r="V55" s="65" t="e">
        <f>IF(NOT(AND(ISTEXT('[1]#REF'!$P$7),'[1]#REF'!$P$7&lt;&gt;"N/A")),"N/A",IFERROR(INDEX(Lookup_Lists!$B$349:$J$357,MATCH(Brand_Profile!$G$7,Lookup_Lists!$A$349:$A$357,0),MATCH('[1]#REF'!$P$7,Lookup_Lists!$B$348:$J$348,0)),Lookup_Lists!$D$151))</f>
        <v>#REF!</v>
      </c>
      <c r="W55" s="65" t="e">
        <f>IF(LEN(TRIM(SUBSTITUTE(Matching_Engine!$BE$55,"|","")))=0,"N/A",IF(Brand_Profile!$G$60=0,Lookup_Lists!$D$150,ROUND((IF(Brand_Profile!$G$54="",0,IF(ISNUMBER(SEARCH(Brand_Profile!$G$54,Matching_Engine!$BE$55)),1,0))+IF(Brand_Profile!$G$55="",0,IF(ISNUMBER(SEARCH(Brand_Profile!$G$55,Matching_Engine!$BE$55)),1,0))+IF(Brand_Profile!$G$56="",0,IF(ISNUMBER(SEARCH(Brand_Profile!$G$56,Matching_Engine!$BE$55)),1,0))+IF(Brand_Profile!$G$57="",0,IF(ISNUMBER(SEARCH(Brand_Profile!$G$57,Matching_Engine!$BE$55)),1,0))+IF(Brand_Profile!$G$58="",0,IF(ISNUMBER(SEARCH(Brand_Profile!$G$58,Matching_Engine!$BE$55)),1,0))+IF(Brand_Profile!$G$59="",0,IF(ISNUMBER(SEARCH(Brand_Profile!$G$59,Matching_Engine!$BE$55)),1,0)))/Brand_Profile!$G$60*100,0)))</f>
        <v>#VALUE!</v>
      </c>
      <c r="X55" s="65" t="e">
        <f>IF(NOT(AND(ISTEXT('[1]#REF'!$Q$7),'[1]#REF'!$Q$7&lt;&gt;"N/A")),"N/A",Lookup_Lists!$D$150)</f>
        <v>#REF!</v>
      </c>
      <c r="Y55" s="63">
        <f>IF((IF(ISNUMBER(Matching_Engine!$U$55),Lookup_Lists!$D$335,0)+IF(ISNUMBER(Matching_Engine!$V$55),Lookup_Lists!$D$122,0)+IF(ISNUMBER(Matching_Engine!$W$55),Lookup_Lists!$D$336,0)+IF(ISNUMBER(Matching_Engine!$X$55),Lookup_Lists!$D$124,0))=0,"N/A",ROUND((IF(ISNUMBER(Matching_Engine!$U$55),Matching_Engine!$U$55*Lookup_Lists!$D$335,0)+IF(ISNUMBER(Matching_Engine!$V$55),Matching_Engine!$V$55*Lookup_Lists!$D$122,0)+IF(ISNUMBER(Matching_Engine!$W$55),Matching_Engine!$W$55*Lookup_Lists!$D$336,0)+IF(ISNUMBER(Matching_Engine!$X$55),Matching_Engine!$X$55*Lookup_Lists!$D$124,0))/(IF(ISNUMBER(Matching_Engine!$U$55),Lookup_Lists!$D$335,0)+IF(ISNUMBER(Matching_Engine!$V$55),Lookup_Lists!$D$122,0)+IF(ISNUMBER(Matching_Engine!$W$55),Lookup_Lists!$D$336,0)+IF(ISNUMBER(Matching_Engine!$X$55),Lookup_Lists!$D$124,0)),0))</f>
        <v>22</v>
      </c>
      <c r="Z55" s="42">
        <f>IF(ISNUMBER(Matching_Engine!$Y$55),1,0)</f>
        <v>1</v>
      </c>
      <c r="AA55" s="65" t="e">
        <f>IF(NOT(AND(ISTEXT('[1]#REF'!$Q$7),'[1]#REF'!$Q$7&lt;&gt;"N/A")),"N/A",Lookup_Lists!$D$150)</f>
        <v>#REF!</v>
      </c>
      <c r="AB55" s="65" t="e">
        <f>IF(NOT(AND(ISTEXT('[1]#REF'!$Q$7),'[1]#REF'!$Q$7&lt;&gt;"N/A")),"N/A",Lookup_Lists!$D$150)</f>
        <v>#REF!</v>
      </c>
      <c r="AC55" s="65" t="str">
        <f t="shared" si="0"/>
        <v>N/A</v>
      </c>
      <c r="AD55" s="65" t="e">
        <f>IF(NOT(AND(ISTEXT('[1]#REF'!$Q$7),'[1]#REF'!$Q$7&lt;&gt;"N/A")),"N/A",Lookup_Lists!$D$150)</f>
        <v>#REF!</v>
      </c>
      <c r="AE55" s="63">
        <f>IF((IF(ISNUMBER(Matching_Engine!$AA$55),Lookup_Lists!$D$125,0)+IF(ISNUMBER(Matching_Engine!$AB$55),Lookup_Lists!$D$126,0)+IF(ISNUMBER(Matching_Engine!$AC$55),Lookup_Lists!$D$127,0)+IF(ISNUMBER(Matching_Engine!$AD$55),Lookup_Lists!$D$128,0))=0,"N/A",ROUND((IF(ISNUMBER(Matching_Engine!$AA$55),Matching_Engine!$AA$55*Lookup_Lists!$D$125,0)+IF(ISNUMBER(Matching_Engine!$AB$55),Matching_Engine!$AB$55*Lookup_Lists!$D$126,0)+IF(ISNUMBER(Matching_Engine!$AC$55),Matching_Engine!$AC$55*Lookup_Lists!$D$127,0)+IF(ISNUMBER(Matching_Engine!$AD$55),Matching_Engine!$AD$55*Lookup_Lists!$D$128,0))/(IF(ISNUMBER(Matching_Engine!$AA$55),Lookup_Lists!$D$125,0)+IF(ISNUMBER(Matching_Engine!$AB$55),Lookup_Lists!$D$126,0)+IF(ISNUMBER(Matching_Engine!$AC$55),Lookup_Lists!$D$127,0)+IF(ISNUMBER(Matching_Engine!$AD$55),Lookup_Lists!$D$128,0)),0))</f>
        <v>39</v>
      </c>
      <c r="AF55" s="42">
        <f>IF(ISNUMBER(Matching_Engine!$AE$55),1,0)</f>
        <v>1</v>
      </c>
      <c r="AG55" s="65" t="str">
        <f>IF(NOT(ISNUMBER('[1]#REF'!$BG$7)),"N/A",MIN(100,ROUND('[1]#REF'!$BG$7/IFERROR(INDEX(Lookup_Lists!$B$340:$B$344,MATCH('[1]#REF'!$H$7,Lookup_Lists!$A$340:$A$344,0)),Lookup_Lists!$D$141)*100,0)))</f>
        <v>N/A</v>
      </c>
      <c r="AH55" s="65" t="str">
        <f>IF(NOT(ISNUMBER('[1]#REF'!$BS$7)),"N/A",MIN(100,MAX(0,'[1]#REF'!$BS$7)))</f>
        <v>N/A</v>
      </c>
      <c r="AI55" s="65" t="e">
        <f>IF(OR(NOT(ISNUMBER('[1]#REF'!$BM$7)),NOT(ISNUMBER('[1]#REF'!$BN$7)),'[1]#REF'!$BN$7&lt;Lookup_Lists!$D$320),"N/A",MIN(100,ROUND('[1]#REF'!$BM$7/Lookup_Lists!$D$319*100,0)))</f>
        <v>#REF!</v>
      </c>
      <c r="AJ55" s="65" t="str">
        <f>IF(NOT(ISNUMBER('[1]#REF'!$BR$7)),"N/A",'[1]#REF'!$BR$7)</f>
        <v>N/A</v>
      </c>
      <c r="AK55" s="65" t="str">
        <f>IF(NOT(ISNUMBER('[1]#REF'!$BK$7)),"N/A",MIN(100,ROUND('[1]#REF'!$BK$7/Lookup_Lists!$D$321*100,0)))</f>
        <v>N/A</v>
      </c>
      <c r="AL55" s="65" t="str">
        <f>IF(NOT(ISNUMBER('[1]#REF'!$BP$7)),"N/A",MIN(100,MAX(0,ROUND(('[1]#REF'!$BP$7+2)/(Lookup_Lists!$D$145+2)*100,0))))</f>
        <v>N/A</v>
      </c>
      <c r="AM55" s="63">
        <f>IF((IF(ISNUMBER(Matching_Engine!$AG$55),Lookup_Lists!$D$129,0)+IF(ISNUMBER(Matching_Engine!$AH$55),Lookup_Lists!$D$130,0)+IF(ISNUMBER(Matching_Engine!$AI$55),Lookup_Lists!$D$131,0)+IF(ISNUMBER(Matching_Engine!$AJ$55),Lookup_Lists!$D$132,0)+IF(ISNUMBER(Matching_Engine!$AK$55),Lookup_Lists!$D$133,0)+IF(ISNUMBER(Matching_Engine!$AL$55),Lookup_Lists!$D$134,0))=0,"N/A",ROUND((IF(ISNUMBER(Matching_Engine!$AG$55),Matching_Engine!$AG$55*Lookup_Lists!$D$129,0)+IF(ISNUMBER(Matching_Engine!$AH$55),Matching_Engine!$AH$55*Lookup_Lists!$D$130,0)+IF(ISNUMBER(Matching_Engine!$AI$55),Matching_Engine!$AI$55*Lookup_Lists!$D$131,0)+IF(ISNUMBER(Matching_Engine!$AJ$55),Matching_Engine!$AJ$55*Lookup_Lists!$D$132,0)+IF(ISNUMBER(Matching_Engine!$AK$55),Matching_Engine!$AK$55*Lookup_Lists!$D$133,0)+IF(ISNUMBER(Matching_Engine!$AL$55),Matching_Engine!$AL$55*Lookup_Lists!$D$134,0))/(IF(ISNUMBER(Matching_Engine!$AG$55),Lookup_Lists!$D$129,0)+IF(ISNUMBER(Matching_Engine!$AH$55),Lookup_Lists!$D$130,0)+IF(ISNUMBER(Matching_Engine!$AI$55),Lookup_Lists!$D$131,0)+IF(ISNUMBER(Matching_Engine!$AJ$55),Lookup_Lists!$D$132,0)+IF(ISNUMBER(Matching_Engine!$AK$55),Lookup_Lists!$D$133,0)+IF(ISNUMBER(Matching_Engine!$AL$55),Lookup_Lists!$D$134,0)),0))</f>
        <v>61</v>
      </c>
      <c r="AN55" s="42">
        <f>IF(ISNUMBER(Matching_Engine!$AM$55),1,0)</f>
        <v>0</v>
      </c>
      <c r="AO55" s="65" t="str">
        <f>IF(NOT(ISNUMBER('[1]#REF'!$BT$7)),"N/A",MIN(100,MAX(0,'[1]#REF'!$BT$7)))</f>
        <v>N/A</v>
      </c>
      <c r="AP55" s="65" t="str">
        <f>IF(NOT(ISNUMBER('[1]#REF'!$BU$7)),"N/A",MIN(100,MAX(0,'[1]#REF'!$BU$7)))</f>
        <v>N/A</v>
      </c>
      <c r="AQ55" s="65" t="e">
        <f>IF('[1]#REF'!$I$7="Yes",Lookup_Lists!$D$326,IF('[1]#REF'!$I$7="No",Lookup_Lists!$D$327,"N/A"))</f>
        <v>#REF!</v>
      </c>
      <c r="AR55" s="65" t="str">
        <f>IF(NOT(ISNUMBER('[1]#REF'!$BQ$7)),"N/A",MAX(0,ROUND(100-'[1]#REF'!$BQ$7/Lookup_Lists!$D$328*100,0)))</f>
        <v>N/A</v>
      </c>
      <c r="AS55" s="65" t="e">
        <f>IF(NOT(AND(ISTEXT('[1]#REF'!$BV$7),'[1]#REF'!$BV$7&lt;&gt;"N/A")),"N/A",'[1]#REF'!$BV$7)</f>
        <v>#REF!</v>
      </c>
      <c r="AT55" s="63" t="str">
        <f ca="1">IF((IF(ISNUMBER(Matching_Engine!$AO$55),Lookup_Lists!$D$322,0)+IF(ISNUMBER(Matching_Engine!$AP$55),Lookup_Lists!$D$323,0)+IF(ISNUMBER(Matching_Engine!$AQ$55),Lookup_Lists!$D$324,0)+IF(ISNUMBER(Matching_Engine!$AR$55),Lookup_Lists!$D$325,0))=0,"N/A",ROUND((IF(ISNUMBER(Matching_Engine!$AO$55),Matching_Engine!$AO$55*Lookup_Lists!$D$322,0)+IF(ISNUMBER(Matching_Engine!$AP$55),Matching_Engine!$AP$55*Lookup_Lists!$D$323,0)+IF(ISNUMBER(Matching_Engine!$AQ$55),Matching_Engine!$AQ$55*Lookup_Lists!$D$324,0)+IF(ISNUMBER(Matching_Engine!$AR$55),Matching_Engine!$AR$55*Lookup_Lists!$D$325,0))/(IF(ISNUMBER(Matching_Engine!$AO$55),Lookup_Lists!$D$322,0)+IF(ISNUMBER(Matching_Engine!$AP$55),Lookup_Lists!$D$323,0)+IF(ISNUMBER(Matching_Engine!$AQ$55),Lookup_Lists!$D$324,0)+IF(ISNUMBER(Matching_Engine!$AR$55),Lookup_Lists!$D$325,0)),0))</f>
        <v>N/A</v>
      </c>
      <c r="AU55" s="42">
        <f>IF(ISNUMBER(Matching_Engine!$AT$55),1,0)</f>
        <v>1</v>
      </c>
      <c r="AV55" s="42" t="str">
        <f>IF(NOT(ISNUMBER(Matching_Engine!$AT$55)),"Not Screened",IF(Matching_Engine!$AT$55&gt;=Lookup_Lists!$D$329,"Low Risk",IF(Matching_Engine!$AT$55&gt;=Lookup_Lists!$D$330,"Moderate Risk",IF(Matching_Engine!$AT$55&gt;=Lookup_Lists!$D$331,"Elevated Risk","High Risk"))))</f>
        <v>Low Risk</v>
      </c>
      <c r="AW55" s="42" t="e">
        <f ca="1">IF(NOT(ISNUMBER(Matching_Engine!$AT$55)),"No integrity signal: no audience-analysis row for this account.","Integrity screen only — no content-risk reading exists (comments_analysis: 0 rows). "&amp;IF(ISNUMBER(Matching_Engine!$AO$55),"Authenticity "&amp;Matching_Engine!$AO$55&amp;". ","Authenticity N/A. ")&amp;IF(ISNUMBER(Matching_Engine!$AP$55),"Follower quality "&amp;Matching_Engine!$AP$55&amp;". ","Follower quality N/A. ")&amp;IF('[1]#REF'!$I$7="Yes","Platform-verified.","Not platform-verified."))</f>
        <v>#REF!</v>
      </c>
      <c r="AX55" s="65">
        <f>Matching_Engine!$N$55*Lookup_Lists!$D$104+Matching_Engine!$T$55*Lookup_Lists!$D$105+Matching_Engine!$Z$55*Lookup_Lists!$D$106+Matching_Engine!$AF$55*Lookup_Lists!$D$107+Matching_Engine!$AN$55*Lookup_Lists!$D$108+Matching_Engine!$AU$55*Lookup_Lists!$D$109</f>
        <v>5430</v>
      </c>
      <c r="AY55" s="74" t="e">
        <f ca="1">IF(Matching_Engine!$AX$55=0,"N/A",ROUND((IF(Matching_Engine!$N$55=1,Matching_Engine!$M$55*Lookup_Lists!$D$104,0)+IF(Matching_Engine!$T$55=1,Matching_Engine!$S$55*Lookup_Lists!$D$105,0)+IF(Matching_Engine!$Z$55=1,Matching_Engine!$Y$55*Lookup_Lists!$D$106,0)+IF(Matching_Engine!$AF$55=1,Matching_Engine!$AE$55*Lookup_Lists!$D$107,0)+IF(Matching_Engine!$AN$55=1,Matching_Engine!$AM$55*Lookup_Lists!$D$108,0)+IF(Matching_Engine!$AU$55=1,Matching_Engine!$AT$55*Lookup_Lists!$D$109,0))/Matching_Engine!$AX$55,0))</f>
        <v>#VALUE!</v>
      </c>
      <c r="AZ55" s="42" t="str">
        <f ca="1">IF(NOT(ISNUMBER(Matching_Engine!$AY$55)),"Not Scored",IF(Matching_Engine!$AY$55&gt;=Lookup_Lists!$D$152,"Excellent Match",IF(Matching_Engine!$AY$55&gt;=Lookup_Lists!$D$153,"Strong Match",IF(Matching_Engine!$AY$55&gt;=Lookup_Lists!$D$154,"Good Match",IF(Matching_Engine!$AY$55&gt;=Lookup_Lists!$D$155,"Moderate Match","Low Match")))))</f>
        <v>Low Match</v>
      </c>
      <c r="BA55" s="65" t="e">
        <f>'[1]#REF'!$BW$7</f>
        <v>#REF!</v>
      </c>
      <c r="BB55" s="42" t="e">
        <f>'[1]#REF'!$BX$7</f>
        <v>#REF!</v>
      </c>
      <c r="BC55" s="65">
        <f ca="1">IF(NOT(ISNUMBER(Matching_Engine!$AY$55)),-1,Matching_Engine!$AY$55*1000+23)</f>
        <v>52023</v>
      </c>
      <c r="BD55" s="42" t="e">
        <f>IF(AND(ISTEXT('[1]#REF'!$S$7),'[1]#REF'!$S$7&lt;&gt;"N/A"),'[1]#REF'!$S$7,"")&amp;" | "&amp;IF(AND(ISTEXT('[1]#REF'!$T$7),'[1]#REF'!$T$7&lt;&gt;"N/A"),'[1]#REF'!$T$7,"")&amp;" | "&amp;IF(AND(ISTEXT('[1]#REF'!$N$7),'[1]#REF'!$N$7&lt;&gt;"N/A"),'[1]#REF'!$N$7,"")&amp;" | "&amp;IF(AND(ISTEXT('[1]#REF'!$K$7),'[1]#REF'!$K$7&lt;&gt;"N/A"),'[1]#REF'!$K$7,"")&amp;" | "&amp;IF(AND(ISTEXT('[1]#REF'!$J$7),'[1]#REF'!$J$7&lt;&gt;"N/A"),'[1]#REF'!$J$7,"")</f>
        <v>#REF!</v>
      </c>
      <c r="BE55" s="42" t="e">
        <f>IF(AND(ISTEXT('[1]#REF'!$T$7),'[1]#REF'!$T$7&lt;&gt;"N/A"),'[1]#REF'!$T$7,"")&amp;" | "&amp;IF(AND(ISTEXT('[1]#REF'!$N$7),'[1]#REF'!$N$7&lt;&gt;"N/A"),'[1]#REF'!$N$7,"")&amp;" | "&amp;IF(AND(ISTEXT('[1]#REF'!$O$7),'[1]#REF'!$O$7&lt;&gt;"N/A"),'[1]#REF'!$O$7,"")&amp;" | "&amp;IF(AND(ISTEXT('[1]#REF'!$S$7),'[1]#REF'!$S$7&lt;&gt;"N/A"),'[1]#REF'!$S$7,"")</f>
        <v>#REF!</v>
      </c>
      <c r="BF55" s="42" t="e">
        <f>IF(AND(ISTEXT('[1]#REF'!$U$7),'[1]#REF'!$U$7&lt;&gt;"N/A"),'[1]#REF'!$U$7,"")</f>
        <v>#REF!</v>
      </c>
      <c r="BG55" s="42" t="str">
        <f>Matching_Engine!$A$55&amp;"|"&amp;Matching_Engine!$C$55</f>
        <v>BRAND-B|KOL-20</v>
      </c>
    </row>
    <row r="56" spans="1:59">
      <c r="A56" s="64" t="s">
        <v>2529</v>
      </c>
      <c r="B56" s="42" t="str">
        <f>Brand_Profile!$G$6</f>
        <v>Active Value</v>
      </c>
      <c r="C56" s="42" t="e">
        <f>'[1]#REF'!$A$8</f>
        <v>#REF!</v>
      </c>
      <c r="D56" s="42" t="e">
        <f>'[1]#REF'!$C$8</f>
        <v>#REF!</v>
      </c>
      <c r="E56" s="42" t="e">
        <f>'[1]#REF'!$D$8</f>
        <v>#REF!</v>
      </c>
      <c r="F56" s="42" t="e">
        <f>'[1]#REF'!$E$8</f>
        <v>#REF!</v>
      </c>
      <c r="G56" s="42" t="e">
        <f>'[1]#REF'!$K$8</f>
        <v>#REF!</v>
      </c>
      <c r="H56" s="72" t="e">
        <f>'[1]#REF'!$G$8</f>
        <v>#REF!</v>
      </c>
      <c r="I56" s="73" t="e">
        <f>'[1]#REF'!$BG$8</f>
        <v>#REF!</v>
      </c>
      <c r="J56" s="65" t="e">
        <f>IF(NOT(AND(ISTEXT('[1]#REF'!$K$8),'[1]#REF'!$K$8&lt;&gt;"N/A")),Lookup_Lists!$D$150,IF(Brand_Profile!$G$7='[1]#REF'!$K$8,100,IFERROR(INDEX(Lookup_Lists!$B$349:$J$357,MATCH(Brand_Profile!$G$7,Lookup_Lists!$A$349:$A$357,0),MATCH('[1]#REF'!$K$8,Lookup_Lists!$B$348:$J$348,0)),Lookup_Lists!$D$151)))</f>
        <v>#REF!</v>
      </c>
      <c r="K56" s="65" t="e">
        <f>IF(LEN(TRIM(SUBSTITUTE(Matching_Engine!$BD$56,"|","")))=0,"N/A",IF(Brand_Profile!$G$47=0,Lookup_Lists!$D$150,ROUND((IF(Brand_Profile!$G$41="",0,IF(ISNUMBER(SEARCH(Brand_Profile!$G$41,Matching_Engine!$BD$56)),1,0))+IF(Brand_Profile!$G$42="",0,IF(ISNUMBER(SEARCH(Brand_Profile!$G$42,Matching_Engine!$BD$56)),1,0))+IF(Brand_Profile!$G$43="",0,IF(ISNUMBER(SEARCH(Brand_Profile!$G$43,Matching_Engine!$BD$56)),1,0))+IF(Brand_Profile!$G$44="",0,IF(ISNUMBER(SEARCH(Brand_Profile!$G$44,Matching_Engine!$BD$56)),1,0))+IF(Brand_Profile!$G$45="",0,IF(ISNUMBER(SEARCH(Brand_Profile!$G$45,Matching_Engine!$BD$56)),1,0))+IF(Brand_Profile!$G$46="",0,IF(ISNUMBER(SEARCH(Brand_Profile!$G$46,Matching_Engine!$BD$56)),1,0)))/Brand_Profile!$G$47*100,0)))</f>
        <v>#VALUE!</v>
      </c>
      <c r="L56" s="65" t="e">
        <f>IF(NOT(AND(ISTEXT('[1]#REF'!$U$8),'[1]#REF'!$U$8&lt;&gt;"N/A")),"N/A",IF(Brand_Profile!$G$53=0,Lookup_Lists!$D$150,ROUND((IF(Brand_Profile!$G$48="",0,IF(ISNUMBER(SEARCH(Brand_Profile!$G$48,Matching_Engine!$BF$56)),1,0))+IF(Brand_Profile!$G$49="",0,IF(ISNUMBER(SEARCH(Brand_Profile!$G$49,Matching_Engine!$BF$56)),1,0))+IF(Brand_Profile!$G$50="",0,IF(ISNUMBER(SEARCH(Brand_Profile!$G$50,Matching_Engine!$BF$56)),1,0))+IF(Brand_Profile!$G$51="",0,IF(ISNUMBER(SEARCH(Brand_Profile!$G$51,Matching_Engine!$BF$56)),1,0))+IF(Brand_Profile!$G$52="",0,IF(ISNUMBER(SEARCH(Brand_Profile!$G$52,Matching_Engine!$BF$56)),1,0)))/Brand_Profile!$G$53*100,0)))</f>
        <v>#REF!</v>
      </c>
      <c r="M56" s="63" t="str">
        <f>IF((IF(ISNUMBER(Matching_Engine!$J$56),Lookup_Lists!$D$332,0)+IF(ISNUMBER(Matching_Engine!$K$56),Lookup_Lists!$D$333,0)+IF(ISNUMBER(Matching_Engine!$L$56),Lookup_Lists!$D$334,0))=0,"N/A",ROUND((IF(ISNUMBER(Matching_Engine!$J$56),Matching_Engine!$J$56*Lookup_Lists!$D$332,0)+IF(ISNUMBER(Matching_Engine!$K$56),Matching_Engine!$K$56*Lookup_Lists!$D$333,0)+IF(ISNUMBER(Matching_Engine!$L$56),Matching_Engine!$L$56*Lookup_Lists!$D$334,0))/(IF(ISNUMBER(Matching_Engine!$J$56),Lookup_Lists!$D$332,0)+IF(ISNUMBER(Matching_Engine!$K$56),Lookup_Lists!$D$333,0)+IF(ISNUMBER(Matching_Engine!$L$56),Lookup_Lists!$D$334,0)),0))</f>
        <v>N/A</v>
      </c>
      <c r="N56" s="42">
        <f>IF(ISNUMBER(Matching_Engine!$M$56),1,0)</f>
        <v>1</v>
      </c>
      <c r="O56" s="65" t="str">
        <f ca="1">IF(NOT(ISNUMBER(IFERROR(INDEX('[1]#REF'!$V$8:'[1]#REF'!$Z$8,1,MATCH(Brand_Profile!$G$11,Lookup_Lists!$F$6:$F$10,0)),""))),"N/A",MIN(100,ROUND((IFERROR(INDEX('[1]#REF'!$V$8:'[1]#REF'!$Z$8,1,MATCH(Brand_Profile!$G$11,Lookup_Lists!$F$6:$F$10,0)),"")+0.5*IF(ISNUMBER(IFERROR(INDEX('[1]#REF'!$V$8:'[1]#REF'!$Z$8,1,MATCH(Brand_Profile!$G$12,Lookup_Lists!$F$6:$F$10,0)),"")),IFERROR(INDEX('[1]#REF'!$V$8:'[1]#REF'!$Z$8,1,MATCH(Brand_Profile!$G$12,Lookup_Lists!$F$6:$F$10,0)),""),0))/Lookup_Lists!$D$142*100,0)))</f>
        <v>N/A</v>
      </c>
      <c r="P56" s="65" t="str">
        <f>IF(Brand_Profile!$G$13="Any",100,IF(NOT(ISNUMBER('[1]#REF'!$AA$8)),"N/A",IF(Brand_Profile!$G$13="Female",MIN(100,ROUND('[1]#REF'!$AA$8/Lookup_Lists!$D$143*100,0)),IF(Brand_Profile!$G$13="Male",MIN(100,ROUND(IF(ISNUMBER('[1]#REF'!$AB$8),'[1]#REF'!$AB$8,100-'[1]#REF'!$AA$8)/Lookup_Lists!$D$143*100,0)),MAX(0,ROUND(100-ABS('[1]#REF'!$AA$8-50)*2,0))))))</f>
        <v>N/A</v>
      </c>
      <c r="Q56" s="65" t="str">
        <f>IF((IF(ISNUMBER(IF(NOT(ISNUMBER('[1]#REF'!$AE$8)),"N/A",IF('[1]#REF'!$AD$8&lt;&gt;Brand_Profile!$G$14,Lookup_Lists!$D$151,MIN(100,ROUND('[1]#REF'!$AE$8/Lookup_Lists!$D$316*100,0))))),Lookup_Lists!$D$118,0)+IF(ISNUMBER(IF(NOT(ISNUMBER('[1]#REF'!$AM$8)),"N/A",MIN(100,ROUND((IF('[1]#REF'!$AG$8=Brand_Profile!$G$15,IF(ISNUMBER('[1]#REF'!$AH$8),'[1]#REF'!$AH$8,0),0)+IF('[1]#REF'!$AI$8=Brand_Profile!$G$15,IF(ISNUMBER('[1]#REF'!$AJ$8),'[1]#REF'!$AJ$8,0),0)+IF('[1]#REF'!$AK$8=Brand_Profile!$G$15,IF(ISNUMBER('[1]#REF'!$AL$8),'[1]#REF'!$AL$8,0),0))/Lookup_Lists!$D$317*100,0)))),Lookup_Lists!$D$120,0))=0,"N/A",ROUND((IF(ISNUMBER(IF(NOT(ISNUMBER('[1]#REF'!$AE$8)),"N/A",IF('[1]#REF'!$AD$8&lt;&gt;Brand_Profile!$G$14,Lookup_Lists!$D$151,MIN(100,ROUND('[1]#REF'!$AE$8/Lookup_Lists!$D$316*100,0))))),IF(NOT(ISNUMBER('[1]#REF'!$AE$8)),"N/A",IF('[1]#REF'!$AD$8&lt;&gt;Brand_Profile!$G$14,Lookup_Lists!$D$151,MIN(100,ROUND('[1]#REF'!$AE$8/Lookup_Lists!$D$316*100,0))))*Lookup_Lists!$D$118,0)+IF(ISNUMBER(IF(NOT(ISNUMBER('[1]#REF'!$AM$8)),"N/A",MIN(100,ROUND((IF('[1]#REF'!$AG$8=Brand_Profile!$G$15,IF(ISNUMBER('[1]#REF'!$AH$8),'[1]#REF'!$AH$8,0),0)+IF('[1]#REF'!$AI$8=Brand_Profile!$G$15,IF(ISNUMBER('[1]#REF'!$AJ$8),'[1]#REF'!$AJ$8,0),0)+IF('[1]#REF'!$AK$8=Brand_Profile!$G$15,IF(ISNUMBER('[1]#REF'!$AL$8),'[1]#REF'!$AL$8,0),0))/Lookup_Lists!$D$317*100,0)))),IF(NOT(ISNUMBER('[1]#REF'!$AM$8)),"N/A",MIN(100,ROUND((IF('[1]#REF'!$AG$8=Brand_Profile!$G$15,IF(ISNUMBER('[1]#REF'!$AH$8),'[1]#REF'!$AH$8,0),0)+IF('[1]#REF'!$AI$8=Brand_Profile!$G$15,IF(ISNUMBER('[1]#REF'!$AJ$8),'[1]#REF'!$AJ$8,0),0)+IF('[1]#REF'!$AK$8=Brand_Profile!$G$15,IF(ISNUMBER('[1]#REF'!$AL$8),'[1]#REF'!$AL$8,0),0))/Lookup_Lists!$D$317*100,0)))*Lookup_Lists!$D$120,0))/(IF(ISNUMBER(IF(NOT(ISNUMBER('[1]#REF'!$AE$8)),"N/A",IF('[1]#REF'!$AD$8&lt;&gt;Brand_Profile!$G$14,Lookup_Lists!$D$151,MIN(100,ROUND('[1]#REF'!$AE$8/Lookup_Lists!$D$316*100,0))))),Lookup_Lists!$D$118,0)+IF(ISNUMBER(IF(NOT(ISNUMBER('[1]#REF'!$AM$8)),"N/A",MIN(100,ROUND((IF('[1]#REF'!$AG$8=Brand_Profile!$G$15,IF(ISNUMBER('[1]#REF'!$AH$8),'[1]#REF'!$AH$8,0),0)+IF('[1]#REF'!$AI$8=Brand_Profile!$G$15,IF(ISNUMBER('[1]#REF'!$AJ$8),'[1]#REF'!$AJ$8,0),0)+IF('[1]#REF'!$AK$8=Brand_Profile!$G$15,IF(ISNUMBER('[1]#REF'!$AL$8),'[1]#REF'!$AL$8,0),0))/Lookup_Lists!$D$317*100,0)))),Lookup_Lists!$D$120,0)),0))</f>
        <v>N/A</v>
      </c>
      <c r="R56" s="65" t="str">
        <f>IF(NOT(ISNUMBER('[1]#REF'!$AN$8)),"N/A",MIN(100,ROUND((IF(ISNUMBER('[1]#REF'!$AO$8),'[1]#REF'!$AO$8*Brand_Profile!$G$17,0)+IF(ISNUMBER('[1]#REF'!$AP$8),'[1]#REF'!$AP$8*Brand_Profile!$G$18,0)+IF(ISNUMBER('[1]#REF'!$AQ$8),'[1]#REF'!$AQ$8*Brand_Profile!$G$19,0)+IF(ISNUMBER('[1]#REF'!$AR$8),'[1]#REF'!$AR$8*Brand_Profile!$G$20,0)+IF(ISNUMBER('[1]#REF'!$AS$8),'[1]#REF'!$AS$8*Brand_Profile!$G$21,0)+IF(ISNUMBER('[1]#REF'!$AT$8),'[1]#REF'!$AT$8*Brand_Profile!$G$22,0)+IF(ISNUMBER('[1]#REF'!$AU$8),'[1]#REF'!$AU$8*Brand_Profile!$G$23,0)+IF(ISNUMBER('[1]#REF'!$AV$8),'[1]#REF'!$AV$8*Brand_Profile!$G$24,0)+IF(ISNUMBER('[1]#REF'!$AW$8),'[1]#REF'!$AW$8*Brand_Profile!$G$25,0)+IF(ISNUMBER('[1]#REF'!$AX$8),'[1]#REF'!$AX$8*Brand_Profile!$G$26,0)+IF(ISNUMBER('[1]#REF'!$AY$8),'[1]#REF'!$AY$8*Brand_Profile!$G$27,0)+IF(ISNUMBER('[1]#REF'!$AZ$8),'[1]#REF'!$AZ$8*Brand_Profile!$G$28,0)+IF(ISNUMBER('[1]#REF'!$BA$8),'[1]#REF'!$BA$8*Brand_Profile!$G$29,0)+IF(ISNUMBER('[1]#REF'!$BB$8),'[1]#REF'!$BB$8*Brand_Profile!$G$30,0)+IF(ISNUMBER('[1]#REF'!$BC$8),'[1]#REF'!$BC$8*Brand_Profile!$G$31,0)+IF(ISNUMBER('[1]#REF'!$BD$8),'[1]#REF'!$BD$8*Brand_Profile!$G$32,0)+IF(ISNUMBER('[1]#REF'!$BE$8),'[1]#REF'!$BE$8*Brand_Profile!$G$33,0)+IF(ISNUMBER('[1]#REF'!$BF$8),'[1]#REF'!$BF$8*Brand_Profile!$G$34,0))/Lookup_Lists!$D$318*100,0)))</f>
        <v>N/A</v>
      </c>
      <c r="S56" s="63">
        <f ca="1">IF((IF(ISNUMBER(Matching_Engine!$O$56),Lookup_Lists!$D$113,0)+IF(ISNUMBER(Matching_Engine!$P$56),Lookup_Lists!$D$114,0)+IF(ISNUMBER(Matching_Engine!$Q$56),Lookup_Lists!$D$115,0)+IF(ISNUMBER(Matching_Engine!$R$56),Lookup_Lists!$D$116,0))=0,"N/A",ROUND((IF(ISNUMBER(Matching_Engine!$O$56),Matching_Engine!$O$56*Lookup_Lists!$D$113,0)+IF(ISNUMBER(Matching_Engine!$P$56),Matching_Engine!$P$56*Lookup_Lists!$D$114,0)+IF(ISNUMBER(Matching_Engine!$Q$56),Matching_Engine!$Q$56*Lookup_Lists!$D$115,0)+IF(ISNUMBER(Matching_Engine!$R$56),Matching_Engine!$R$56*Lookup_Lists!$D$116,0))/(IF(ISNUMBER(Matching_Engine!$O$56),Lookup_Lists!$D$113,0)+IF(ISNUMBER(Matching_Engine!$P$56),Lookup_Lists!$D$114,0)+IF(ISNUMBER(Matching_Engine!$Q$56),Lookup_Lists!$D$115,0)+IF(ISNUMBER(Matching_Engine!$R$56),Lookup_Lists!$D$116,0)),0))</f>
        <v>69</v>
      </c>
      <c r="T56" s="42">
        <f ca="1">IF(ISNUMBER(Matching_Engine!$S$56),1,0)</f>
        <v>1</v>
      </c>
      <c r="U56" s="65" t="e">
        <f>IF(NOT(AND(ISTEXT('[1]#REF'!$M$8),'[1]#REF'!$M$8&lt;&gt;"N/A")),Lookup_Lists!$D$150,IF(Brand_Profile!$G$7='[1]#REF'!$M$8,100,IFERROR(INDEX(Lookup_Lists!$B$349:$J$357,MATCH(Brand_Profile!$G$7,Lookup_Lists!$A$349:$A$357,0),MATCH('[1]#REF'!$M$8,Lookup_Lists!$B$348:$J$348,0)),Lookup_Lists!$D$151)))</f>
        <v>#REF!</v>
      </c>
      <c r="V56" s="65" t="e">
        <f>IF(NOT(AND(ISTEXT('[1]#REF'!$P$8),'[1]#REF'!$P$8&lt;&gt;"N/A")),"N/A",IFERROR(INDEX(Lookup_Lists!$B$349:$J$357,MATCH(Brand_Profile!$G$7,Lookup_Lists!$A$349:$A$357,0),MATCH('[1]#REF'!$P$8,Lookup_Lists!$B$348:$J$348,0)),Lookup_Lists!$D$151))</f>
        <v>#REF!</v>
      </c>
      <c r="W56" s="65" t="e">
        <f>IF(LEN(TRIM(SUBSTITUTE(Matching_Engine!$BE$56,"|","")))=0,"N/A",IF(Brand_Profile!$G$60=0,Lookup_Lists!$D$150,ROUND((IF(Brand_Profile!$G$54="",0,IF(ISNUMBER(SEARCH(Brand_Profile!$G$54,Matching_Engine!$BE$56)),1,0))+IF(Brand_Profile!$G$55="",0,IF(ISNUMBER(SEARCH(Brand_Profile!$G$55,Matching_Engine!$BE$56)),1,0))+IF(Brand_Profile!$G$56="",0,IF(ISNUMBER(SEARCH(Brand_Profile!$G$56,Matching_Engine!$BE$56)),1,0))+IF(Brand_Profile!$G$57="",0,IF(ISNUMBER(SEARCH(Brand_Profile!$G$57,Matching_Engine!$BE$56)),1,0))+IF(Brand_Profile!$G$58="",0,IF(ISNUMBER(SEARCH(Brand_Profile!$G$58,Matching_Engine!$BE$56)),1,0))+IF(Brand_Profile!$G$59="",0,IF(ISNUMBER(SEARCH(Brand_Profile!$G$59,Matching_Engine!$BE$56)),1,0)))/Brand_Profile!$G$60*100,0)))</f>
        <v>#VALUE!</v>
      </c>
      <c r="X56" s="65" t="e">
        <f>IF(NOT(AND(ISTEXT('[1]#REF'!$Q$8),'[1]#REF'!$Q$8&lt;&gt;"N/A")),"N/A",Lookup_Lists!$D$150)</f>
        <v>#REF!</v>
      </c>
      <c r="Y56" s="63">
        <f>IF((IF(ISNUMBER(Matching_Engine!$U$56),Lookup_Lists!$D$335,0)+IF(ISNUMBER(Matching_Engine!$V$56),Lookup_Lists!$D$122,0)+IF(ISNUMBER(Matching_Engine!$W$56),Lookup_Lists!$D$336,0)+IF(ISNUMBER(Matching_Engine!$X$56),Lookup_Lists!$D$124,0))=0,"N/A",ROUND((IF(ISNUMBER(Matching_Engine!$U$56),Matching_Engine!$U$56*Lookup_Lists!$D$335,0)+IF(ISNUMBER(Matching_Engine!$V$56),Matching_Engine!$V$56*Lookup_Lists!$D$122,0)+IF(ISNUMBER(Matching_Engine!$W$56),Matching_Engine!$W$56*Lookup_Lists!$D$336,0)+IF(ISNUMBER(Matching_Engine!$X$56),Matching_Engine!$X$56*Lookup_Lists!$D$124,0))/(IF(ISNUMBER(Matching_Engine!$U$56),Lookup_Lists!$D$335,0)+IF(ISNUMBER(Matching_Engine!$V$56),Lookup_Lists!$D$122,0)+IF(ISNUMBER(Matching_Engine!$W$56),Lookup_Lists!$D$336,0)+IF(ISNUMBER(Matching_Engine!$X$56),Lookup_Lists!$D$124,0)),0))</f>
        <v>26</v>
      </c>
      <c r="Z56" s="42">
        <f>IF(ISNUMBER(Matching_Engine!$Y$56),1,0)</f>
        <v>1</v>
      </c>
      <c r="AA56" s="65" t="e">
        <f>IF(NOT(AND(ISTEXT('[1]#REF'!$Q$8),'[1]#REF'!$Q$8&lt;&gt;"N/A")),"N/A",Lookup_Lists!$D$150)</f>
        <v>#REF!</v>
      </c>
      <c r="AB56" s="65" t="e">
        <f>IF(NOT(AND(ISTEXT('[1]#REF'!$Q$8),'[1]#REF'!$Q$8&lt;&gt;"N/A")),"N/A",Lookup_Lists!$D$150)</f>
        <v>#REF!</v>
      </c>
      <c r="AC56" s="65" t="str">
        <f t="shared" si="0"/>
        <v>N/A</v>
      </c>
      <c r="AD56" s="65" t="e">
        <f>IF(NOT(AND(ISTEXT('[1]#REF'!$Q$8),'[1]#REF'!$Q$8&lt;&gt;"N/A")),"N/A",Lookup_Lists!$D$150)</f>
        <v>#REF!</v>
      </c>
      <c r="AE56" s="63">
        <f>IF((IF(ISNUMBER(Matching_Engine!$AA$56),Lookup_Lists!$D$125,0)+IF(ISNUMBER(Matching_Engine!$AB$56),Lookup_Lists!$D$126,0)+IF(ISNUMBER(Matching_Engine!$AC$56),Lookup_Lists!$D$127,0)+IF(ISNUMBER(Matching_Engine!$AD$56),Lookup_Lists!$D$128,0))=0,"N/A",ROUND((IF(ISNUMBER(Matching_Engine!$AA$56),Matching_Engine!$AA$56*Lookup_Lists!$D$125,0)+IF(ISNUMBER(Matching_Engine!$AB$56),Matching_Engine!$AB$56*Lookup_Lists!$D$126,0)+IF(ISNUMBER(Matching_Engine!$AC$56),Matching_Engine!$AC$56*Lookup_Lists!$D$127,0)+IF(ISNUMBER(Matching_Engine!$AD$56),Matching_Engine!$AD$56*Lookup_Lists!$D$128,0))/(IF(ISNUMBER(Matching_Engine!$AA$56),Lookup_Lists!$D$125,0)+IF(ISNUMBER(Matching_Engine!$AB$56),Lookup_Lists!$D$126,0)+IF(ISNUMBER(Matching_Engine!$AC$56),Lookup_Lists!$D$127,0)+IF(ISNUMBER(Matching_Engine!$AD$56),Lookup_Lists!$D$128,0)),0))</f>
        <v>43</v>
      </c>
      <c r="AF56" s="42">
        <f>IF(ISNUMBER(Matching_Engine!$AE$56),1,0)</f>
        <v>1</v>
      </c>
      <c r="AG56" s="65" t="str">
        <f>IF(NOT(ISNUMBER('[1]#REF'!$BG$8)),"N/A",MIN(100,ROUND('[1]#REF'!$BG$8/IFERROR(INDEX(Lookup_Lists!$B$340:$B$344,MATCH('[1]#REF'!$H$8,Lookup_Lists!$A$340:$A$344,0)),Lookup_Lists!$D$141)*100,0)))</f>
        <v>N/A</v>
      </c>
      <c r="AH56" s="65" t="str">
        <f>IF(NOT(ISNUMBER('[1]#REF'!$BS$8)),"N/A",MIN(100,MAX(0,'[1]#REF'!$BS$8)))</f>
        <v>N/A</v>
      </c>
      <c r="AI56" s="65" t="e">
        <f>IF(OR(NOT(ISNUMBER('[1]#REF'!$BM$8)),NOT(ISNUMBER('[1]#REF'!$BN$8)),'[1]#REF'!$BN$8&lt;Lookup_Lists!$D$320),"N/A",MIN(100,ROUND('[1]#REF'!$BM$8/Lookup_Lists!$D$319*100,0)))</f>
        <v>#REF!</v>
      </c>
      <c r="AJ56" s="65" t="str">
        <f>IF(NOT(ISNUMBER('[1]#REF'!$BR$8)),"N/A",'[1]#REF'!$BR$8)</f>
        <v>N/A</v>
      </c>
      <c r="AK56" s="65" t="str">
        <f>IF(NOT(ISNUMBER('[1]#REF'!$BK$8)),"N/A",MIN(100,ROUND('[1]#REF'!$BK$8/Lookup_Lists!$D$321*100,0)))</f>
        <v>N/A</v>
      </c>
      <c r="AL56" s="65" t="str">
        <f>IF(NOT(ISNUMBER('[1]#REF'!$BP$8)),"N/A",MIN(100,MAX(0,ROUND(('[1]#REF'!$BP$8+2)/(Lookup_Lists!$D$145+2)*100,0))))</f>
        <v>N/A</v>
      </c>
      <c r="AM56" s="63">
        <f>IF((IF(ISNUMBER(Matching_Engine!$AG$56),Lookup_Lists!$D$129,0)+IF(ISNUMBER(Matching_Engine!$AH$56),Lookup_Lists!$D$130,0)+IF(ISNUMBER(Matching_Engine!$AI$56),Lookup_Lists!$D$131,0)+IF(ISNUMBER(Matching_Engine!$AJ$56),Lookup_Lists!$D$132,0)+IF(ISNUMBER(Matching_Engine!$AK$56),Lookup_Lists!$D$133,0)+IF(ISNUMBER(Matching_Engine!$AL$56),Lookup_Lists!$D$134,0))=0,"N/A",ROUND((IF(ISNUMBER(Matching_Engine!$AG$56),Matching_Engine!$AG$56*Lookup_Lists!$D$129,0)+IF(ISNUMBER(Matching_Engine!$AH$56),Matching_Engine!$AH$56*Lookup_Lists!$D$130,0)+IF(ISNUMBER(Matching_Engine!$AI$56),Matching_Engine!$AI$56*Lookup_Lists!$D$131,0)+IF(ISNUMBER(Matching_Engine!$AJ$56),Matching_Engine!$AJ$56*Lookup_Lists!$D$132,0)+IF(ISNUMBER(Matching_Engine!$AK$56),Matching_Engine!$AK$56*Lookup_Lists!$D$133,0)+IF(ISNUMBER(Matching_Engine!$AL$56),Matching_Engine!$AL$56*Lookup_Lists!$D$134,0))/(IF(ISNUMBER(Matching_Engine!$AG$56),Lookup_Lists!$D$129,0)+IF(ISNUMBER(Matching_Engine!$AH$56),Lookup_Lists!$D$130,0)+IF(ISNUMBER(Matching_Engine!$AI$56),Lookup_Lists!$D$131,0)+IF(ISNUMBER(Matching_Engine!$AJ$56),Lookup_Lists!$D$132,0)+IF(ISNUMBER(Matching_Engine!$AK$56),Lookup_Lists!$D$133,0)+IF(ISNUMBER(Matching_Engine!$AL$56),Lookup_Lists!$D$134,0)),0))</f>
        <v>65</v>
      </c>
      <c r="AN56" s="42">
        <f>IF(ISNUMBER(Matching_Engine!$AM$56),1,0)</f>
        <v>0</v>
      </c>
      <c r="AO56" s="65" t="str">
        <f>IF(NOT(ISNUMBER('[1]#REF'!$BT$8)),"N/A",MIN(100,MAX(0,'[1]#REF'!$BT$8)))</f>
        <v>N/A</v>
      </c>
      <c r="AP56" s="65" t="str">
        <f>IF(NOT(ISNUMBER('[1]#REF'!$BU$8)),"N/A",MIN(100,MAX(0,'[1]#REF'!$BU$8)))</f>
        <v>N/A</v>
      </c>
      <c r="AQ56" s="65" t="e">
        <f>IF('[1]#REF'!$I$8="Yes",Lookup_Lists!$D$326,IF('[1]#REF'!$I$8="No",Lookup_Lists!$D$327,"N/A"))</f>
        <v>#REF!</v>
      </c>
      <c r="AR56" s="65" t="str">
        <f>IF(NOT(ISNUMBER('[1]#REF'!$BQ$8)),"N/A",MAX(0,ROUND(100-'[1]#REF'!$BQ$8/Lookup_Lists!$D$328*100,0)))</f>
        <v>N/A</v>
      </c>
      <c r="AS56" s="65" t="e">
        <f>IF(NOT(AND(ISTEXT('[1]#REF'!$BV$8),'[1]#REF'!$BV$8&lt;&gt;"N/A")),"N/A",'[1]#REF'!$BV$8)</f>
        <v>#REF!</v>
      </c>
      <c r="AT56" s="63" t="str">
        <f ca="1">IF((IF(ISNUMBER(Matching_Engine!$AO$56),Lookup_Lists!$D$322,0)+IF(ISNUMBER(Matching_Engine!$AP$56),Lookup_Lists!$D$323,0)+IF(ISNUMBER(Matching_Engine!$AQ$56),Lookup_Lists!$D$324,0)+IF(ISNUMBER(Matching_Engine!$AR$56),Lookup_Lists!$D$325,0))=0,"N/A",ROUND((IF(ISNUMBER(Matching_Engine!$AO$56),Matching_Engine!$AO$56*Lookup_Lists!$D$322,0)+IF(ISNUMBER(Matching_Engine!$AP$56),Matching_Engine!$AP$56*Lookup_Lists!$D$323,0)+IF(ISNUMBER(Matching_Engine!$AQ$56),Matching_Engine!$AQ$56*Lookup_Lists!$D$324,0)+IF(ISNUMBER(Matching_Engine!$AR$56),Matching_Engine!$AR$56*Lookup_Lists!$D$325,0))/(IF(ISNUMBER(Matching_Engine!$AO$56),Lookup_Lists!$D$322,0)+IF(ISNUMBER(Matching_Engine!$AP$56),Lookup_Lists!$D$323,0)+IF(ISNUMBER(Matching_Engine!$AQ$56),Lookup_Lists!$D$324,0)+IF(ISNUMBER(Matching_Engine!$AR$56),Lookup_Lists!$D$325,0)),0))</f>
        <v>N/A</v>
      </c>
      <c r="AU56" s="42">
        <f>IF(ISNUMBER(Matching_Engine!$AT$56),1,0)</f>
        <v>1</v>
      </c>
      <c r="AV56" s="42" t="str">
        <f>IF(NOT(ISNUMBER(Matching_Engine!$AT$56)),"Not Screened",IF(Matching_Engine!$AT$56&gt;=Lookup_Lists!$D$329,"Low Risk",IF(Matching_Engine!$AT$56&gt;=Lookup_Lists!$D$330,"Moderate Risk",IF(Matching_Engine!$AT$56&gt;=Lookup_Lists!$D$331,"Elevated Risk","High Risk"))))</f>
        <v>Low Risk</v>
      </c>
      <c r="AW56" s="42" t="e">
        <f ca="1">IF(NOT(ISNUMBER(Matching_Engine!$AT$56)),"No integrity signal: no audience-analysis row for this account.","Integrity screen only — no content-risk reading exists (comments_analysis: 0 rows). "&amp;IF(ISNUMBER(Matching_Engine!$AO$56),"Authenticity "&amp;Matching_Engine!$AO$56&amp;". ","Authenticity N/A. ")&amp;IF(ISNUMBER(Matching_Engine!$AP$56),"Follower quality "&amp;Matching_Engine!$AP$56&amp;". ","Follower quality N/A. ")&amp;IF('[1]#REF'!$I$8="Yes","Platform-verified.","Not platform-verified."))</f>
        <v>#REF!</v>
      </c>
      <c r="AX56" s="65">
        <f>Matching_Engine!$N$56*Lookup_Lists!$D$104+Matching_Engine!$T$56*Lookup_Lists!$D$105+Matching_Engine!$Z$56*Lookup_Lists!$D$106+Matching_Engine!$AF$56*Lookup_Lists!$D$107+Matching_Engine!$AN$56*Lookup_Lists!$D$108+Matching_Engine!$AU$56*Lookup_Lists!$D$109</f>
        <v>3648.5</v>
      </c>
      <c r="AY56" s="74" t="e">
        <f ca="1">IF(Matching_Engine!$AX$56=0,"N/A",ROUND((IF(Matching_Engine!$N$56=1,Matching_Engine!$M$56*Lookup_Lists!$D$104,0)+IF(Matching_Engine!$T$56=1,Matching_Engine!$S$56*Lookup_Lists!$D$105,0)+IF(Matching_Engine!$Z$56=1,Matching_Engine!$Y$56*Lookup_Lists!$D$106,0)+IF(Matching_Engine!$AF$56=1,Matching_Engine!$AE$56*Lookup_Lists!$D$107,0)+IF(Matching_Engine!$AN$56=1,Matching_Engine!$AM$56*Lookup_Lists!$D$108,0)+IF(Matching_Engine!$AU$56=1,Matching_Engine!$AT$56*Lookup_Lists!$D$109,0))/Matching_Engine!$AX$56,0))</f>
        <v>#VALUE!</v>
      </c>
      <c r="AZ56" s="42" t="str">
        <f ca="1">IF(NOT(ISNUMBER(Matching_Engine!$AY$56)),"Not Scored",IF(Matching_Engine!$AY$56&gt;=Lookup_Lists!$D$152,"Excellent Match",IF(Matching_Engine!$AY$56&gt;=Lookup_Lists!$D$153,"Strong Match",IF(Matching_Engine!$AY$56&gt;=Lookup_Lists!$D$154,"Good Match",IF(Matching_Engine!$AY$56&gt;=Lookup_Lists!$D$155,"Moderate Match","Low Match")))))</f>
        <v>Not Scored</v>
      </c>
      <c r="BA56" s="65" t="e">
        <f>'[1]#REF'!$BW$8</f>
        <v>#REF!</v>
      </c>
      <c r="BB56" s="42" t="e">
        <f>'[1]#REF'!$BX$8</f>
        <v>#REF!</v>
      </c>
      <c r="BC56" s="65">
        <f ca="1">IF(NOT(ISNUMBER(Matching_Engine!$AY$56)),-1,Matching_Engine!$AY$56*1000+22)</f>
        <v>-1</v>
      </c>
      <c r="BD56" s="42" t="e">
        <f>IF(AND(ISTEXT('[1]#REF'!$S$8),'[1]#REF'!$S$8&lt;&gt;"N/A"),'[1]#REF'!$S$8,"")&amp;" | "&amp;IF(AND(ISTEXT('[1]#REF'!$T$8),'[1]#REF'!$T$8&lt;&gt;"N/A"),'[1]#REF'!$T$8,"")&amp;" | "&amp;IF(AND(ISTEXT('[1]#REF'!$N$8),'[1]#REF'!$N$8&lt;&gt;"N/A"),'[1]#REF'!$N$8,"")&amp;" | "&amp;IF(AND(ISTEXT('[1]#REF'!$K$8),'[1]#REF'!$K$8&lt;&gt;"N/A"),'[1]#REF'!$K$8,"")&amp;" | "&amp;IF(AND(ISTEXT('[1]#REF'!$J$8),'[1]#REF'!$J$8&lt;&gt;"N/A"),'[1]#REF'!$J$8,"")</f>
        <v>#REF!</v>
      </c>
      <c r="BE56" s="42" t="e">
        <f>IF(AND(ISTEXT('[1]#REF'!$T$8),'[1]#REF'!$T$8&lt;&gt;"N/A"),'[1]#REF'!$T$8,"")&amp;" | "&amp;IF(AND(ISTEXT('[1]#REF'!$N$8),'[1]#REF'!$N$8&lt;&gt;"N/A"),'[1]#REF'!$N$8,"")&amp;" | "&amp;IF(AND(ISTEXT('[1]#REF'!$O$8),'[1]#REF'!$O$8&lt;&gt;"N/A"),'[1]#REF'!$O$8,"")&amp;" | "&amp;IF(AND(ISTEXT('[1]#REF'!$S$8),'[1]#REF'!$S$8&lt;&gt;"N/A"),'[1]#REF'!$S$8,"")</f>
        <v>#REF!</v>
      </c>
      <c r="BF56" s="42" t="e">
        <f>IF(AND(ISTEXT('[1]#REF'!$U$8),'[1]#REF'!$U$8&lt;&gt;"N/A"),'[1]#REF'!$U$8,"")</f>
        <v>#REF!</v>
      </c>
      <c r="BG56" s="42" t="str">
        <f>Matching_Engine!$A$56&amp;"|"&amp;Matching_Engine!$C$56</f>
        <v>BRAND-B|KOL-21</v>
      </c>
    </row>
    <row r="57" spans="1:59">
      <c r="A57" s="64" t="s">
        <v>2529</v>
      </c>
      <c r="B57" s="42" t="str">
        <f>Brand_Profile!$G$6</f>
        <v>Active Value</v>
      </c>
      <c r="C57" s="42" t="e">
        <f>'[1]#REF'!$A$9</f>
        <v>#REF!</v>
      </c>
      <c r="D57" s="42" t="e">
        <f>'[1]#REF'!$C$9</f>
        <v>#REF!</v>
      </c>
      <c r="E57" s="42" t="e">
        <f>'[1]#REF'!$D$9</f>
        <v>#REF!</v>
      </c>
      <c r="F57" s="42" t="e">
        <f>'[1]#REF'!$E$9</f>
        <v>#REF!</v>
      </c>
      <c r="G57" s="42" t="e">
        <f>'[1]#REF'!$K$9</f>
        <v>#REF!</v>
      </c>
      <c r="H57" s="72" t="e">
        <f>'[1]#REF'!$G$9</f>
        <v>#REF!</v>
      </c>
      <c r="I57" s="73" t="e">
        <f>'[1]#REF'!$BG$9</f>
        <v>#REF!</v>
      </c>
      <c r="J57" s="65" t="e">
        <f>IF(NOT(AND(ISTEXT('[1]#REF'!$K$9),'[1]#REF'!$K$9&lt;&gt;"N/A")),Lookup_Lists!$D$150,IF(Brand_Profile!$G$7='[1]#REF'!$K$9,100,IFERROR(INDEX(Lookup_Lists!$B$349:$J$357,MATCH(Brand_Profile!$G$7,Lookup_Lists!$A$349:$A$357,0),MATCH('[1]#REF'!$K$9,Lookup_Lists!$B$348:$J$348,0)),Lookup_Lists!$D$151)))</f>
        <v>#REF!</v>
      </c>
      <c r="K57" s="65" t="e">
        <f>IF(LEN(TRIM(SUBSTITUTE(Matching_Engine!$BD$57,"|","")))=0,"N/A",IF(Brand_Profile!$G$47=0,Lookup_Lists!$D$150,ROUND((IF(Brand_Profile!$G$41="",0,IF(ISNUMBER(SEARCH(Brand_Profile!$G$41,Matching_Engine!$BD$57)),1,0))+IF(Brand_Profile!$G$42="",0,IF(ISNUMBER(SEARCH(Brand_Profile!$G$42,Matching_Engine!$BD$57)),1,0))+IF(Brand_Profile!$G$43="",0,IF(ISNUMBER(SEARCH(Brand_Profile!$G$43,Matching_Engine!$BD$57)),1,0))+IF(Brand_Profile!$G$44="",0,IF(ISNUMBER(SEARCH(Brand_Profile!$G$44,Matching_Engine!$BD$57)),1,0))+IF(Brand_Profile!$G$45="",0,IF(ISNUMBER(SEARCH(Brand_Profile!$G$45,Matching_Engine!$BD$57)),1,0))+IF(Brand_Profile!$G$46="",0,IF(ISNUMBER(SEARCH(Brand_Profile!$G$46,Matching_Engine!$BD$57)),1,0)))/Brand_Profile!$G$47*100,0)))</f>
        <v>#VALUE!</v>
      </c>
      <c r="L57" s="65" t="e">
        <f>IF(NOT(AND(ISTEXT('[1]#REF'!$U$9),'[1]#REF'!$U$9&lt;&gt;"N/A")),"N/A",IF(Brand_Profile!$G$53=0,Lookup_Lists!$D$150,ROUND((IF(Brand_Profile!$G$48="",0,IF(ISNUMBER(SEARCH(Brand_Profile!$G$48,Matching_Engine!$BF$57)),1,0))+IF(Brand_Profile!$G$49="",0,IF(ISNUMBER(SEARCH(Brand_Profile!$G$49,Matching_Engine!$BF$57)),1,0))+IF(Brand_Profile!$G$50="",0,IF(ISNUMBER(SEARCH(Brand_Profile!$G$50,Matching_Engine!$BF$57)),1,0))+IF(Brand_Profile!$G$51="",0,IF(ISNUMBER(SEARCH(Brand_Profile!$G$51,Matching_Engine!$BF$57)),1,0))+IF(Brand_Profile!$G$52="",0,IF(ISNUMBER(SEARCH(Brand_Profile!$G$52,Matching_Engine!$BF$57)),1,0)))/Brand_Profile!$G$53*100,0)))</f>
        <v>#REF!</v>
      </c>
      <c r="M57" s="63" t="str">
        <f>IF((IF(ISNUMBER(Matching_Engine!$J$57),Lookup_Lists!$D$332,0)+IF(ISNUMBER(Matching_Engine!$K$57),Lookup_Lists!$D$333,0)+IF(ISNUMBER(Matching_Engine!$L$57),Lookup_Lists!$D$334,0))=0,"N/A",ROUND((IF(ISNUMBER(Matching_Engine!$J$57),Matching_Engine!$J$57*Lookup_Lists!$D$332,0)+IF(ISNUMBER(Matching_Engine!$K$57),Matching_Engine!$K$57*Lookup_Lists!$D$333,0)+IF(ISNUMBER(Matching_Engine!$L$57),Matching_Engine!$L$57*Lookup_Lists!$D$334,0))/(IF(ISNUMBER(Matching_Engine!$J$57),Lookup_Lists!$D$332,0)+IF(ISNUMBER(Matching_Engine!$K$57),Lookup_Lists!$D$333,0)+IF(ISNUMBER(Matching_Engine!$L$57),Lookup_Lists!$D$334,0)),0))</f>
        <v>N/A</v>
      </c>
      <c r="N57" s="42">
        <f>IF(ISNUMBER(Matching_Engine!$M$57),1,0)</f>
        <v>1</v>
      </c>
      <c r="O57" s="65" t="str">
        <f ca="1">IF(NOT(ISNUMBER(IFERROR(INDEX('[1]#REF'!$V$9:'[1]#REF'!$Z$9,1,MATCH(Brand_Profile!$G$11,Lookup_Lists!$F$6:$F$10,0)),""))),"N/A",MIN(100,ROUND((IFERROR(INDEX('[1]#REF'!$V$9:'[1]#REF'!$Z$9,1,MATCH(Brand_Profile!$G$11,Lookup_Lists!$F$6:$F$10,0)),"")+0.5*IF(ISNUMBER(IFERROR(INDEX('[1]#REF'!$V$9:'[1]#REF'!$Z$9,1,MATCH(Brand_Profile!$G$12,Lookup_Lists!$F$6:$F$10,0)),"")),IFERROR(INDEX('[1]#REF'!$V$9:'[1]#REF'!$Z$9,1,MATCH(Brand_Profile!$G$12,Lookup_Lists!$F$6:$F$10,0)),""),0))/Lookup_Lists!$D$142*100,0)))</f>
        <v>N/A</v>
      </c>
      <c r="P57" s="65" t="str">
        <f>IF(Brand_Profile!$G$13="Any",100,IF(NOT(ISNUMBER('[1]#REF'!$AA$9)),"N/A",IF(Brand_Profile!$G$13="Female",MIN(100,ROUND('[1]#REF'!$AA$9/Lookup_Lists!$D$143*100,0)),IF(Brand_Profile!$G$13="Male",MIN(100,ROUND(IF(ISNUMBER('[1]#REF'!$AB$9),'[1]#REF'!$AB$9,100-'[1]#REF'!$AA$9)/Lookup_Lists!$D$143*100,0)),MAX(0,ROUND(100-ABS('[1]#REF'!$AA$9-50)*2,0))))))</f>
        <v>N/A</v>
      </c>
      <c r="Q57" s="65" t="str">
        <f>IF((IF(ISNUMBER(IF(NOT(ISNUMBER('[1]#REF'!$AE$9)),"N/A",IF('[1]#REF'!$AD$9&lt;&gt;Brand_Profile!$G$14,Lookup_Lists!$D$151,MIN(100,ROUND('[1]#REF'!$AE$9/Lookup_Lists!$D$316*100,0))))),Lookup_Lists!$D$118,0)+IF(ISNUMBER(IF(NOT(ISNUMBER('[1]#REF'!$AM$9)),"N/A",MIN(100,ROUND((IF('[1]#REF'!$AG$9=Brand_Profile!$G$15,IF(ISNUMBER('[1]#REF'!$AH$9),'[1]#REF'!$AH$9,0),0)+IF('[1]#REF'!$AI$9=Brand_Profile!$G$15,IF(ISNUMBER('[1]#REF'!$AJ$9),'[1]#REF'!$AJ$9,0),0)+IF('[1]#REF'!$AK$9=Brand_Profile!$G$15,IF(ISNUMBER('[1]#REF'!$AL$9),'[1]#REF'!$AL$9,0),0))/Lookup_Lists!$D$317*100,0)))),Lookup_Lists!$D$120,0))=0,"N/A",ROUND((IF(ISNUMBER(IF(NOT(ISNUMBER('[1]#REF'!$AE$9)),"N/A",IF('[1]#REF'!$AD$9&lt;&gt;Brand_Profile!$G$14,Lookup_Lists!$D$151,MIN(100,ROUND('[1]#REF'!$AE$9/Lookup_Lists!$D$316*100,0))))),IF(NOT(ISNUMBER('[1]#REF'!$AE$9)),"N/A",IF('[1]#REF'!$AD$9&lt;&gt;Brand_Profile!$G$14,Lookup_Lists!$D$151,MIN(100,ROUND('[1]#REF'!$AE$9/Lookup_Lists!$D$316*100,0))))*Lookup_Lists!$D$118,0)+IF(ISNUMBER(IF(NOT(ISNUMBER('[1]#REF'!$AM$9)),"N/A",MIN(100,ROUND((IF('[1]#REF'!$AG$9=Brand_Profile!$G$15,IF(ISNUMBER('[1]#REF'!$AH$9),'[1]#REF'!$AH$9,0),0)+IF('[1]#REF'!$AI$9=Brand_Profile!$G$15,IF(ISNUMBER('[1]#REF'!$AJ$9),'[1]#REF'!$AJ$9,0),0)+IF('[1]#REF'!$AK$9=Brand_Profile!$G$15,IF(ISNUMBER('[1]#REF'!$AL$9),'[1]#REF'!$AL$9,0),0))/Lookup_Lists!$D$317*100,0)))),IF(NOT(ISNUMBER('[1]#REF'!$AM$9)),"N/A",MIN(100,ROUND((IF('[1]#REF'!$AG$9=Brand_Profile!$G$15,IF(ISNUMBER('[1]#REF'!$AH$9),'[1]#REF'!$AH$9,0),0)+IF('[1]#REF'!$AI$9=Brand_Profile!$G$15,IF(ISNUMBER('[1]#REF'!$AJ$9),'[1]#REF'!$AJ$9,0),0)+IF('[1]#REF'!$AK$9=Brand_Profile!$G$15,IF(ISNUMBER('[1]#REF'!$AL$9),'[1]#REF'!$AL$9,0),0))/Lookup_Lists!$D$317*100,0)))*Lookup_Lists!$D$120,0))/(IF(ISNUMBER(IF(NOT(ISNUMBER('[1]#REF'!$AE$9)),"N/A",IF('[1]#REF'!$AD$9&lt;&gt;Brand_Profile!$G$14,Lookup_Lists!$D$151,MIN(100,ROUND('[1]#REF'!$AE$9/Lookup_Lists!$D$316*100,0))))),Lookup_Lists!$D$118,0)+IF(ISNUMBER(IF(NOT(ISNUMBER('[1]#REF'!$AM$9)),"N/A",MIN(100,ROUND((IF('[1]#REF'!$AG$9=Brand_Profile!$G$15,IF(ISNUMBER('[1]#REF'!$AH$9),'[1]#REF'!$AH$9,0),0)+IF('[1]#REF'!$AI$9=Brand_Profile!$G$15,IF(ISNUMBER('[1]#REF'!$AJ$9),'[1]#REF'!$AJ$9,0),0)+IF('[1]#REF'!$AK$9=Brand_Profile!$G$15,IF(ISNUMBER('[1]#REF'!$AL$9),'[1]#REF'!$AL$9,0),0))/Lookup_Lists!$D$317*100,0)))),Lookup_Lists!$D$120,0)),0))</f>
        <v>N/A</v>
      </c>
      <c r="R57" s="65" t="str">
        <f>IF(NOT(ISNUMBER('[1]#REF'!$AN$9)),"N/A",MIN(100,ROUND((IF(ISNUMBER('[1]#REF'!$AO$9),'[1]#REF'!$AO$9*Brand_Profile!$G$17,0)+IF(ISNUMBER('[1]#REF'!$AP$9),'[1]#REF'!$AP$9*Brand_Profile!$G$18,0)+IF(ISNUMBER('[1]#REF'!$AQ$9),'[1]#REF'!$AQ$9*Brand_Profile!$G$19,0)+IF(ISNUMBER('[1]#REF'!$AR$9),'[1]#REF'!$AR$9*Brand_Profile!$G$20,0)+IF(ISNUMBER('[1]#REF'!$AS$9),'[1]#REF'!$AS$9*Brand_Profile!$G$21,0)+IF(ISNUMBER('[1]#REF'!$AT$9),'[1]#REF'!$AT$9*Brand_Profile!$G$22,0)+IF(ISNUMBER('[1]#REF'!$AU$9),'[1]#REF'!$AU$9*Brand_Profile!$G$23,0)+IF(ISNUMBER('[1]#REF'!$AV$9),'[1]#REF'!$AV$9*Brand_Profile!$G$24,0)+IF(ISNUMBER('[1]#REF'!$AW$9),'[1]#REF'!$AW$9*Brand_Profile!$G$25,0)+IF(ISNUMBER('[1]#REF'!$AX$9),'[1]#REF'!$AX$9*Brand_Profile!$G$26,0)+IF(ISNUMBER('[1]#REF'!$AY$9),'[1]#REF'!$AY$9*Brand_Profile!$G$27,0)+IF(ISNUMBER('[1]#REF'!$AZ$9),'[1]#REF'!$AZ$9*Brand_Profile!$G$28,0)+IF(ISNUMBER('[1]#REF'!$BA$9),'[1]#REF'!$BA$9*Brand_Profile!$G$29,0)+IF(ISNUMBER('[1]#REF'!$BB$9),'[1]#REF'!$BB$9*Brand_Profile!$G$30,0)+IF(ISNUMBER('[1]#REF'!$BC$9),'[1]#REF'!$BC$9*Brand_Profile!$G$31,0)+IF(ISNUMBER('[1]#REF'!$BD$9),'[1]#REF'!$BD$9*Brand_Profile!$G$32,0)+IF(ISNUMBER('[1]#REF'!$BE$9),'[1]#REF'!$BE$9*Brand_Profile!$G$33,0)+IF(ISNUMBER('[1]#REF'!$BF$9),'[1]#REF'!$BF$9*Brand_Profile!$G$34,0))/Lookup_Lists!$D$318*100,0)))</f>
        <v>N/A</v>
      </c>
      <c r="S57" s="63">
        <f ca="1">IF((IF(ISNUMBER(Matching_Engine!$O$57),Lookup_Lists!$D$113,0)+IF(ISNUMBER(Matching_Engine!$P$57),Lookup_Lists!$D$114,0)+IF(ISNUMBER(Matching_Engine!$Q$57),Lookup_Lists!$D$115,0)+IF(ISNUMBER(Matching_Engine!$R$57),Lookup_Lists!$D$116,0))=0,"N/A",ROUND((IF(ISNUMBER(Matching_Engine!$O$57),Matching_Engine!$O$57*Lookup_Lists!$D$113,0)+IF(ISNUMBER(Matching_Engine!$P$57),Matching_Engine!$P$57*Lookup_Lists!$D$114,0)+IF(ISNUMBER(Matching_Engine!$Q$57),Matching_Engine!$Q$57*Lookup_Lists!$D$115,0)+IF(ISNUMBER(Matching_Engine!$R$57),Matching_Engine!$R$57*Lookup_Lists!$D$116,0))/(IF(ISNUMBER(Matching_Engine!$O$57),Lookup_Lists!$D$113,0)+IF(ISNUMBER(Matching_Engine!$P$57),Lookup_Lists!$D$114,0)+IF(ISNUMBER(Matching_Engine!$Q$57),Lookup_Lists!$D$115,0)+IF(ISNUMBER(Matching_Engine!$R$57),Lookup_Lists!$D$116,0)),0))</f>
        <v>88</v>
      </c>
      <c r="T57" s="42">
        <f ca="1">IF(ISNUMBER(Matching_Engine!$S$57),1,0)</f>
        <v>1</v>
      </c>
      <c r="U57" s="65" t="e">
        <f>IF(NOT(AND(ISTEXT('[1]#REF'!$M$9),'[1]#REF'!$M$9&lt;&gt;"N/A")),Lookup_Lists!$D$150,IF(Brand_Profile!$G$7='[1]#REF'!$M$9,100,IFERROR(INDEX(Lookup_Lists!$B$349:$J$357,MATCH(Brand_Profile!$G$7,Lookup_Lists!$A$349:$A$357,0),MATCH('[1]#REF'!$M$9,Lookup_Lists!$B$348:$J$348,0)),Lookup_Lists!$D$151)))</f>
        <v>#REF!</v>
      </c>
      <c r="V57" s="65" t="e">
        <f>IF(NOT(AND(ISTEXT('[1]#REF'!$P$9),'[1]#REF'!$P$9&lt;&gt;"N/A")),"N/A",IFERROR(INDEX(Lookup_Lists!$B$349:$J$357,MATCH(Brand_Profile!$G$7,Lookup_Lists!$A$349:$A$357,0),MATCH('[1]#REF'!$P$9,Lookup_Lists!$B$348:$J$348,0)),Lookup_Lists!$D$151))</f>
        <v>#REF!</v>
      </c>
      <c r="W57" s="65" t="e">
        <f>IF(LEN(TRIM(SUBSTITUTE(Matching_Engine!$BE$57,"|","")))=0,"N/A",IF(Brand_Profile!$G$60=0,Lookup_Lists!$D$150,ROUND((IF(Brand_Profile!$G$54="",0,IF(ISNUMBER(SEARCH(Brand_Profile!$G$54,Matching_Engine!$BE$57)),1,0))+IF(Brand_Profile!$G$55="",0,IF(ISNUMBER(SEARCH(Brand_Profile!$G$55,Matching_Engine!$BE$57)),1,0))+IF(Brand_Profile!$G$56="",0,IF(ISNUMBER(SEARCH(Brand_Profile!$G$56,Matching_Engine!$BE$57)),1,0))+IF(Brand_Profile!$G$57="",0,IF(ISNUMBER(SEARCH(Brand_Profile!$G$57,Matching_Engine!$BE$57)),1,0))+IF(Brand_Profile!$G$58="",0,IF(ISNUMBER(SEARCH(Brand_Profile!$G$58,Matching_Engine!$BE$57)),1,0))+IF(Brand_Profile!$G$59="",0,IF(ISNUMBER(SEARCH(Brand_Profile!$G$59,Matching_Engine!$BE$57)),1,0)))/Brand_Profile!$G$60*100,0)))</f>
        <v>#VALUE!</v>
      </c>
      <c r="X57" s="65" t="e">
        <f>IF(NOT(AND(ISTEXT('[1]#REF'!$Q$9),'[1]#REF'!$Q$9&lt;&gt;"N/A")),"N/A",Lookup_Lists!$D$150)</f>
        <v>#REF!</v>
      </c>
      <c r="Y57" s="63">
        <f>IF((IF(ISNUMBER(Matching_Engine!$U$57),Lookup_Lists!$D$335,0)+IF(ISNUMBER(Matching_Engine!$V$57),Lookup_Lists!$D$122,0)+IF(ISNUMBER(Matching_Engine!$W$57),Lookup_Lists!$D$336,0)+IF(ISNUMBER(Matching_Engine!$X$57),Lookup_Lists!$D$124,0))=0,"N/A",ROUND((IF(ISNUMBER(Matching_Engine!$U$57),Matching_Engine!$U$57*Lookup_Lists!$D$335,0)+IF(ISNUMBER(Matching_Engine!$V$57),Matching_Engine!$V$57*Lookup_Lists!$D$122,0)+IF(ISNUMBER(Matching_Engine!$W$57),Matching_Engine!$W$57*Lookup_Lists!$D$336,0)+IF(ISNUMBER(Matching_Engine!$X$57),Matching_Engine!$X$57*Lookup_Lists!$D$124,0))/(IF(ISNUMBER(Matching_Engine!$U$57),Lookup_Lists!$D$335,0)+IF(ISNUMBER(Matching_Engine!$V$57),Lookup_Lists!$D$122,0)+IF(ISNUMBER(Matching_Engine!$W$57),Lookup_Lists!$D$336,0)+IF(ISNUMBER(Matching_Engine!$X$57),Lookup_Lists!$D$124,0)),0))</f>
        <v>39</v>
      </c>
      <c r="Z57" s="42">
        <f>IF(ISNUMBER(Matching_Engine!$Y$57),1,0)</f>
        <v>1</v>
      </c>
      <c r="AA57" s="65" t="e">
        <f>IF(NOT(AND(ISTEXT('[1]#REF'!$Q$9),'[1]#REF'!$Q$9&lt;&gt;"N/A")),"N/A",Lookup_Lists!$D$150)</f>
        <v>#REF!</v>
      </c>
      <c r="AB57" s="65" t="e">
        <f>IF(NOT(AND(ISTEXT('[1]#REF'!$Q$9),'[1]#REF'!$Q$9&lt;&gt;"N/A")),"N/A",Lookup_Lists!$D$150)</f>
        <v>#REF!</v>
      </c>
      <c r="AC57" s="65" t="str">
        <f t="shared" si="0"/>
        <v>N/A</v>
      </c>
      <c r="AD57" s="65" t="e">
        <f>IF(NOT(AND(ISTEXT('[1]#REF'!$Q$9),'[1]#REF'!$Q$9&lt;&gt;"N/A")),"N/A",Lookup_Lists!$D$150)</f>
        <v>#REF!</v>
      </c>
      <c r="AE57" s="63">
        <f>IF((IF(ISNUMBER(Matching_Engine!$AA$57),Lookup_Lists!$D$125,0)+IF(ISNUMBER(Matching_Engine!$AB$57),Lookup_Lists!$D$126,0)+IF(ISNUMBER(Matching_Engine!$AC$57),Lookup_Lists!$D$127,0)+IF(ISNUMBER(Matching_Engine!$AD$57),Lookup_Lists!$D$128,0))=0,"N/A",ROUND((IF(ISNUMBER(Matching_Engine!$AA$57),Matching_Engine!$AA$57*Lookup_Lists!$D$125,0)+IF(ISNUMBER(Matching_Engine!$AB$57),Matching_Engine!$AB$57*Lookup_Lists!$D$126,0)+IF(ISNUMBER(Matching_Engine!$AC$57),Matching_Engine!$AC$57*Lookup_Lists!$D$127,0)+IF(ISNUMBER(Matching_Engine!$AD$57),Matching_Engine!$AD$57*Lookup_Lists!$D$128,0))/(IF(ISNUMBER(Matching_Engine!$AA$57),Lookup_Lists!$D$125,0)+IF(ISNUMBER(Matching_Engine!$AB$57),Lookup_Lists!$D$126,0)+IF(ISNUMBER(Matching_Engine!$AC$57),Lookup_Lists!$D$127,0)+IF(ISNUMBER(Matching_Engine!$AD$57),Lookup_Lists!$D$128,0)),0))</f>
        <v>66</v>
      </c>
      <c r="AF57" s="42">
        <f>IF(ISNUMBER(Matching_Engine!$AE$57),1,0)</f>
        <v>1</v>
      </c>
      <c r="AG57" s="65" t="str">
        <f>IF(NOT(ISNUMBER('[1]#REF'!$BG$9)),"N/A",MIN(100,ROUND('[1]#REF'!$BG$9/IFERROR(INDEX(Lookup_Lists!$B$340:$B$344,MATCH('[1]#REF'!$H$9,Lookup_Lists!$A$340:$A$344,0)),Lookup_Lists!$D$141)*100,0)))</f>
        <v>N/A</v>
      </c>
      <c r="AH57" s="65" t="str">
        <f>IF(NOT(ISNUMBER('[1]#REF'!$BS$9)),"N/A",MIN(100,MAX(0,'[1]#REF'!$BS$9)))</f>
        <v>N/A</v>
      </c>
      <c r="AI57" s="65" t="e">
        <f>IF(OR(NOT(ISNUMBER('[1]#REF'!$BM$9)),NOT(ISNUMBER('[1]#REF'!$BN$9)),'[1]#REF'!$BN$9&lt;Lookup_Lists!$D$320),"N/A",MIN(100,ROUND('[1]#REF'!$BM$9/Lookup_Lists!$D$319*100,0)))</f>
        <v>#REF!</v>
      </c>
      <c r="AJ57" s="65" t="str">
        <f>IF(NOT(ISNUMBER('[1]#REF'!$BR$9)),"N/A",'[1]#REF'!$BR$9)</f>
        <v>N/A</v>
      </c>
      <c r="AK57" s="65" t="str">
        <f>IF(NOT(ISNUMBER('[1]#REF'!$BK$9)),"N/A",MIN(100,ROUND('[1]#REF'!$BK$9/Lookup_Lists!$D$321*100,0)))</f>
        <v>N/A</v>
      </c>
      <c r="AL57" s="65" t="str">
        <f>IF(NOT(ISNUMBER('[1]#REF'!$BP$9)),"N/A",MIN(100,MAX(0,ROUND(('[1]#REF'!$BP$9+2)/(Lookup_Lists!$D$145+2)*100,0))))</f>
        <v>N/A</v>
      </c>
      <c r="AM57" s="63">
        <f>IF((IF(ISNUMBER(Matching_Engine!$AG$57),Lookup_Lists!$D$129,0)+IF(ISNUMBER(Matching_Engine!$AH$57),Lookup_Lists!$D$130,0)+IF(ISNUMBER(Matching_Engine!$AI$57),Lookup_Lists!$D$131,0)+IF(ISNUMBER(Matching_Engine!$AJ$57),Lookup_Lists!$D$132,0)+IF(ISNUMBER(Matching_Engine!$AK$57),Lookup_Lists!$D$133,0)+IF(ISNUMBER(Matching_Engine!$AL$57),Lookup_Lists!$D$134,0))=0,"N/A",ROUND((IF(ISNUMBER(Matching_Engine!$AG$57),Matching_Engine!$AG$57*Lookup_Lists!$D$129,0)+IF(ISNUMBER(Matching_Engine!$AH$57),Matching_Engine!$AH$57*Lookup_Lists!$D$130,0)+IF(ISNUMBER(Matching_Engine!$AI$57),Matching_Engine!$AI$57*Lookup_Lists!$D$131,0)+IF(ISNUMBER(Matching_Engine!$AJ$57),Matching_Engine!$AJ$57*Lookup_Lists!$D$132,0)+IF(ISNUMBER(Matching_Engine!$AK$57),Matching_Engine!$AK$57*Lookup_Lists!$D$133,0)+IF(ISNUMBER(Matching_Engine!$AL$57),Matching_Engine!$AL$57*Lookup_Lists!$D$134,0))/(IF(ISNUMBER(Matching_Engine!$AG$57),Lookup_Lists!$D$129,0)+IF(ISNUMBER(Matching_Engine!$AH$57),Lookup_Lists!$D$130,0)+IF(ISNUMBER(Matching_Engine!$AI$57),Lookup_Lists!$D$131,0)+IF(ISNUMBER(Matching_Engine!$AJ$57),Lookup_Lists!$D$132,0)+IF(ISNUMBER(Matching_Engine!$AK$57),Lookup_Lists!$D$133,0)+IF(ISNUMBER(Matching_Engine!$AL$57),Lookup_Lists!$D$134,0)),0))</f>
        <v>59</v>
      </c>
      <c r="AN57" s="42">
        <f>IF(ISNUMBER(Matching_Engine!$AM$57),1,0)</f>
        <v>0</v>
      </c>
      <c r="AO57" s="65" t="str">
        <f>IF(NOT(ISNUMBER('[1]#REF'!$BT$9)),"N/A",MIN(100,MAX(0,'[1]#REF'!$BT$9)))</f>
        <v>N/A</v>
      </c>
      <c r="AP57" s="65" t="str">
        <f>IF(NOT(ISNUMBER('[1]#REF'!$BU$9)),"N/A",MIN(100,MAX(0,'[1]#REF'!$BU$9)))</f>
        <v>N/A</v>
      </c>
      <c r="AQ57" s="65" t="e">
        <f>IF('[1]#REF'!$I$9="Yes",Lookup_Lists!$D$326,IF('[1]#REF'!$I$9="No",Lookup_Lists!$D$327,"N/A"))</f>
        <v>#REF!</v>
      </c>
      <c r="AR57" s="65" t="str">
        <f>IF(NOT(ISNUMBER('[1]#REF'!$BQ$9)),"N/A",MAX(0,ROUND(100-'[1]#REF'!$BQ$9/Lookup_Lists!$D$328*100,0)))</f>
        <v>N/A</v>
      </c>
      <c r="AS57" s="65" t="e">
        <f>IF(NOT(AND(ISTEXT('[1]#REF'!$BV$9),'[1]#REF'!$BV$9&lt;&gt;"N/A")),"N/A",'[1]#REF'!$BV$9)</f>
        <v>#REF!</v>
      </c>
      <c r="AT57" s="63" t="str">
        <f ca="1">IF((IF(ISNUMBER(Matching_Engine!$AO$57),Lookup_Lists!$D$322,0)+IF(ISNUMBER(Matching_Engine!$AP$57),Lookup_Lists!$D$323,0)+IF(ISNUMBER(Matching_Engine!$AQ$57),Lookup_Lists!$D$324,0)+IF(ISNUMBER(Matching_Engine!$AR$57),Lookup_Lists!$D$325,0))=0,"N/A",ROUND((IF(ISNUMBER(Matching_Engine!$AO$57),Matching_Engine!$AO$57*Lookup_Lists!$D$322,0)+IF(ISNUMBER(Matching_Engine!$AP$57),Matching_Engine!$AP$57*Lookup_Lists!$D$323,0)+IF(ISNUMBER(Matching_Engine!$AQ$57),Matching_Engine!$AQ$57*Lookup_Lists!$D$324,0)+IF(ISNUMBER(Matching_Engine!$AR$57),Matching_Engine!$AR$57*Lookup_Lists!$D$325,0))/(IF(ISNUMBER(Matching_Engine!$AO$57),Lookup_Lists!$D$322,0)+IF(ISNUMBER(Matching_Engine!$AP$57),Lookup_Lists!$D$323,0)+IF(ISNUMBER(Matching_Engine!$AQ$57),Lookup_Lists!$D$324,0)+IF(ISNUMBER(Matching_Engine!$AR$57),Lookup_Lists!$D$325,0)),0))</f>
        <v>N/A</v>
      </c>
      <c r="AU57" s="42">
        <f>IF(ISNUMBER(Matching_Engine!$AT$57),1,0)</f>
        <v>1</v>
      </c>
      <c r="AV57" s="42" t="str">
        <f>IF(NOT(ISNUMBER(Matching_Engine!$AT$57)),"Not Screened",IF(Matching_Engine!$AT$57&gt;=Lookup_Lists!$D$329,"Low Risk",IF(Matching_Engine!$AT$57&gt;=Lookup_Lists!$D$330,"Moderate Risk",IF(Matching_Engine!$AT$57&gt;=Lookup_Lists!$D$331,"Elevated Risk","High Risk"))))</f>
        <v>Low Risk</v>
      </c>
      <c r="AW57" s="42" t="e">
        <f ca="1">IF(NOT(ISNUMBER(Matching_Engine!$AT$57)),"No integrity signal: no audience-analysis row for this account.","Integrity screen only — no content-risk reading exists (comments_analysis: 0 rows). "&amp;IF(ISNUMBER(Matching_Engine!$AO$57),"Authenticity "&amp;Matching_Engine!$AO$57&amp;". ","Authenticity N/A. ")&amp;IF(ISNUMBER(Matching_Engine!$AP$57),"Follower quality "&amp;Matching_Engine!$AP$57&amp;". ","Follower quality N/A. ")&amp;IF('[1]#REF'!$I$9="Yes","Platform-verified.","Not platform-verified."))</f>
        <v>#REF!</v>
      </c>
      <c r="AX57" s="65">
        <f>Matching_Engine!$N$57*Lookup_Lists!$D$104+Matching_Engine!$T$57*Lookup_Lists!$D$105+Matching_Engine!$Z$57*Lookup_Lists!$D$106+Matching_Engine!$AF$57*Lookup_Lists!$D$107+Matching_Engine!$AN$57*Lookup_Lists!$D$108+Matching_Engine!$AU$57*Lookup_Lists!$D$109</f>
        <v>5046</v>
      </c>
      <c r="AY57" s="74" t="e">
        <f ca="1">IF(Matching_Engine!$AX$57=0,"N/A",ROUND((IF(Matching_Engine!$N$57=1,Matching_Engine!$M$57*Lookup_Lists!$D$104,0)+IF(Matching_Engine!$T$57=1,Matching_Engine!$S$57*Lookup_Lists!$D$105,0)+IF(Matching_Engine!$Z$57=1,Matching_Engine!$Y$57*Lookup_Lists!$D$106,0)+IF(Matching_Engine!$AF$57=1,Matching_Engine!$AE$57*Lookup_Lists!$D$107,0)+IF(Matching_Engine!$AN$57=1,Matching_Engine!$AM$57*Lookup_Lists!$D$108,0)+IF(Matching_Engine!$AU$57=1,Matching_Engine!$AT$57*Lookup_Lists!$D$109,0))/Matching_Engine!$AX$57,0))</f>
        <v>#VALUE!</v>
      </c>
      <c r="AZ57" s="42" t="str">
        <f ca="1">IF(NOT(ISNUMBER(Matching_Engine!$AY$57)),"Not Scored",IF(Matching_Engine!$AY$57&gt;=Lookup_Lists!$D$152,"Excellent Match",IF(Matching_Engine!$AY$57&gt;=Lookup_Lists!$D$153,"Strong Match",IF(Matching_Engine!$AY$57&gt;=Lookup_Lists!$D$154,"Good Match",IF(Matching_Engine!$AY$57&gt;=Lookup_Lists!$D$155,"Moderate Match","Low Match")))))</f>
        <v>Not Scored</v>
      </c>
      <c r="BA57" s="65" t="e">
        <f>'[1]#REF'!$BW$9</f>
        <v>#REF!</v>
      </c>
      <c r="BB57" s="42" t="e">
        <f>'[1]#REF'!$BX$9</f>
        <v>#REF!</v>
      </c>
      <c r="BC57" s="65">
        <f ca="1">IF(NOT(ISNUMBER(Matching_Engine!$AY$57)),-1,Matching_Engine!$AY$57*1000+21)</f>
        <v>-1</v>
      </c>
      <c r="BD57" s="42" t="e">
        <f>IF(AND(ISTEXT('[1]#REF'!$S$9),'[1]#REF'!$S$9&lt;&gt;"N/A"),'[1]#REF'!$S$9,"")&amp;" | "&amp;IF(AND(ISTEXT('[1]#REF'!$T$9),'[1]#REF'!$T$9&lt;&gt;"N/A"),'[1]#REF'!$T$9,"")&amp;" | "&amp;IF(AND(ISTEXT('[1]#REF'!$N$9),'[1]#REF'!$N$9&lt;&gt;"N/A"),'[1]#REF'!$N$9,"")&amp;" | "&amp;IF(AND(ISTEXT('[1]#REF'!$K$9),'[1]#REF'!$K$9&lt;&gt;"N/A"),'[1]#REF'!$K$9,"")&amp;" | "&amp;IF(AND(ISTEXT('[1]#REF'!$J$9),'[1]#REF'!$J$9&lt;&gt;"N/A"),'[1]#REF'!$J$9,"")</f>
        <v>#REF!</v>
      </c>
      <c r="BE57" s="42" t="e">
        <f>IF(AND(ISTEXT('[1]#REF'!$T$9),'[1]#REF'!$T$9&lt;&gt;"N/A"),'[1]#REF'!$T$9,"")&amp;" | "&amp;IF(AND(ISTEXT('[1]#REF'!$N$9),'[1]#REF'!$N$9&lt;&gt;"N/A"),'[1]#REF'!$N$9,"")&amp;" | "&amp;IF(AND(ISTEXT('[1]#REF'!$O$9),'[1]#REF'!$O$9&lt;&gt;"N/A"),'[1]#REF'!$O$9,"")&amp;" | "&amp;IF(AND(ISTEXT('[1]#REF'!$S$9),'[1]#REF'!$S$9&lt;&gt;"N/A"),'[1]#REF'!$S$9,"")</f>
        <v>#REF!</v>
      </c>
      <c r="BF57" s="42" t="e">
        <f>IF(AND(ISTEXT('[1]#REF'!$U$9),'[1]#REF'!$U$9&lt;&gt;"N/A"),'[1]#REF'!$U$9,"")</f>
        <v>#REF!</v>
      </c>
      <c r="BG57" s="42" t="str">
        <f>Matching_Engine!$A$57&amp;"|"&amp;Matching_Engine!$C$57</f>
        <v>BRAND-B|KOL-22</v>
      </c>
    </row>
    <row r="58" spans="1:59">
      <c r="A58" s="64" t="s">
        <v>2529</v>
      </c>
      <c r="B58" s="42" t="str">
        <f>Brand_Profile!$G$6</f>
        <v>Active Value</v>
      </c>
      <c r="C58" s="42" t="e">
        <f>'[1]#REF'!$A$10</f>
        <v>#REF!</v>
      </c>
      <c r="D58" s="42" t="e">
        <f>'[1]#REF'!$C$10</f>
        <v>#REF!</v>
      </c>
      <c r="E58" s="42" t="e">
        <f>'[1]#REF'!$D$10</f>
        <v>#REF!</v>
      </c>
      <c r="F58" s="42" t="e">
        <f>'[1]#REF'!$E$10</f>
        <v>#REF!</v>
      </c>
      <c r="G58" s="42" t="e">
        <f>'[1]#REF'!$K$10</f>
        <v>#REF!</v>
      </c>
      <c r="H58" s="72" t="e">
        <f>'[1]#REF'!$G$10</f>
        <v>#REF!</v>
      </c>
      <c r="I58" s="73" t="e">
        <f>'[1]#REF'!$BG$10</f>
        <v>#REF!</v>
      </c>
      <c r="J58" s="65" t="e">
        <f>IF(NOT(AND(ISTEXT('[1]#REF'!$K$10),'[1]#REF'!$K$10&lt;&gt;"N/A")),Lookup_Lists!$D$150,IF(Brand_Profile!$G$7='[1]#REF'!$K$10,100,IFERROR(INDEX(Lookup_Lists!$B$349:$J$357,MATCH(Brand_Profile!$G$7,Lookup_Lists!$A$349:$A$357,0),MATCH('[1]#REF'!$K$10,Lookup_Lists!$B$348:$J$348,0)),Lookup_Lists!$D$151)))</f>
        <v>#REF!</v>
      </c>
      <c r="K58" s="65" t="e">
        <f>IF(LEN(TRIM(SUBSTITUTE(Matching_Engine!$BD$58,"|","")))=0,"N/A",IF(Brand_Profile!$G$47=0,Lookup_Lists!$D$150,ROUND((IF(Brand_Profile!$G$41="",0,IF(ISNUMBER(SEARCH(Brand_Profile!$G$41,Matching_Engine!$BD$58)),1,0))+IF(Brand_Profile!$G$42="",0,IF(ISNUMBER(SEARCH(Brand_Profile!$G$42,Matching_Engine!$BD$58)),1,0))+IF(Brand_Profile!$G$43="",0,IF(ISNUMBER(SEARCH(Brand_Profile!$G$43,Matching_Engine!$BD$58)),1,0))+IF(Brand_Profile!$G$44="",0,IF(ISNUMBER(SEARCH(Brand_Profile!$G$44,Matching_Engine!$BD$58)),1,0))+IF(Brand_Profile!$G$45="",0,IF(ISNUMBER(SEARCH(Brand_Profile!$G$45,Matching_Engine!$BD$58)),1,0))+IF(Brand_Profile!$G$46="",0,IF(ISNUMBER(SEARCH(Brand_Profile!$G$46,Matching_Engine!$BD$58)),1,0)))/Brand_Profile!$G$47*100,0)))</f>
        <v>#VALUE!</v>
      </c>
      <c r="L58" s="65" t="e">
        <f>IF(NOT(AND(ISTEXT('[1]#REF'!$U$10),'[1]#REF'!$U$10&lt;&gt;"N/A")),"N/A",IF(Brand_Profile!$G$53=0,Lookup_Lists!$D$150,ROUND((IF(Brand_Profile!$G$48="",0,IF(ISNUMBER(SEARCH(Brand_Profile!$G$48,Matching_Engine!$BF$58)),1,0))+IF(Brand_Profile!$G$49="",0,IF(ISNUMBER(SEARCH(Brand_Profile!$G$49,Matching_Engine!$BF$58)),1,0))+IF(Brand_Profile!$G$50="",0,IF(ISNUMBER(SEARCH(Brand_Profile!$G$50,Matching_Engine!$BF$58)),1,0))+IF(Brand_Profile!$G$51="",0,IF(ISNUMBER(SEARCH(Brand_Profile!$G$51,Matching_Engine!$BF$58)),1,0))+IF(Brand_Profile!$G$52="",0,IF(ISNUMBER(SEARCH(Brand_Profile!$G$52,Matching_Engine!$BF$58)),1,0)))/Brand_Profile!$G$53*100,0)))</f>
        <v>#REF!</v>
      </c>
      <c r="M58" s="63" t="str">
        <f>IF((IF(ISNUMBER(Matching_Engine!$J$58),Lookup_Lists!$D$332,0)+IF(ISNUMBER(Matching_Engine!$K$58),Lookup_Lists!$D$333,0)+IF(ISNUMBER(Matching_Engine!$L$58),Lookup_Lists!$D$334,0))=0,"N/A",ROUND((IF(ISNUMBER(Matching_Engine!$J$58),Matching_Engine!$J$58*Lookup_Lists!$D$332,0)+IF(ISNUMBER(Matching_Engine!$K$58),Matching_Engine!$K$58*Lookup_Lists!$D$333,0)+IF(ISNUMBER(Matching_Engine!$L$58),Matching_Engine!$L$58*Lookup_Lists!$D$334,0))/(IF(ISNUMBER(Matching_Engine!$J$58),Lookup_Lists!$D$332,0)+IF(ISNUMBER(Matching_Engine!$K$58),Lookup_Lists!$D$333,0)+IF(ISNUMBER(Matching_Engine!$L$58),Lookup_Lists!$D$334,0)),0))</f>
        <v>N/A</v>
      </c>
      <c r="N58" s="42">
        <f>IF(ISNUMBER(Matching_Engine!$M$58),1,0)</f>
        <v>1</v>
      </c>
      <c r="O58" s="65" t="str">
        <f ca="1">IF(NOT(ISNUMBER(IFERROR(INDEX('[1]#REF'!$V$10:'[1]#REF'!$Z$10,1,MATCH(Brand_Profile!$G$11,Lookup_Lists!$F$6:$F$10,0)),""))),"N/A",MIN(100,ROUND((IFERROR(INDEX('[1]#REF'!$V$10:'[1]#REF'!$Z$10,1,MATCH(Brand_Profile!$G$11,Lookup_Lists!$F$6:$F$10,0)),"")+0.5*IF(ISNUMBER(IFERROR(INDEX('[1]#REF'!$V$10:'[1]#REF'!$Z$10,1,MATCH(Brand_Profile!$G$12,Lookup_Lists!$F$6:$F$10,0)),"")),IFERROR(INDEX('[1]#REF'!$V$10:'[1]#REF'!$Z$10,1,MATCH(Brand_Profile!$G$12,Lookup_Lists!$F$6:$F$10,0)),""),0))/Lookup_Lists!$D$142*100,0)))</f>
        <v>N/A</v>
      </c>
      <c r="P58" s="65" t="str">
        <f>IF(Brand_Profile!$G$13="Any",100,IF(NOT(ISNUMBER('[1]#REF'!$AA$10)),"N/A",IF(Brand_Profile!$G$13="Female",MIN(100,ROUND('[1]#REF'!$AA$10/Lookup_Lists!$D$143*100,0)),IF(Brand_Profile!$G$13="Male",MIN(100,ROUND(IF(ISNUMBER('[1]#REF'!$AB$10),'[1]#REF'!$AB$10,100-'[1]#REF'!$AA$10)/Lookup_Lists!$D$143*100,0)),MAX(0,ROUND(100-ABS('[1]#REF'!$AA$10-50)*2,0))))))</f>
        <v>N/A</v>
      </c>
      <c r="Q58" s="65" t="str">
        <f>IF((IF(ISNUMBER(IF(NOT(ISNUMBER('[1]#REF'!$AE$10)),"N/A",IF('[1]#REF'!$AD$10&lt;&gt;Brand_Profile!$G$14,Lookup_Lists!$D$151,MIN(100,ROUND('[1]#REF'!$AE$10/Lookup_Lists!$D$316*100,0))))),Lookup_Lists!$D$118,0)+IF(ISNUMBER(IF(NOT(ISNUMBER('[1]#REF'!$AM$10)),"N/A",MIN(100,ROUND((IF('[1]#REF'!$AG$10=Brand_Profile!$G$15,IF(ISNUMBER('[1]#REF'!$AH$10),'[1]#REF'!$AH$10,0),0)+IF('[1]#REF'!$AI$10=Brand_Profile!$G$15,IF(ISNUMBER('[1]#REF'!$AJ$10),'[1]#REF'!$AJ$10,0),0)+IF('[1]#REF'!$AK$10=Brand_Profile!$G$15,IF(ISNUMBER('[1]#REF'!$AL$10),'[1]#REF'!$AL$10,0),0))/Lookup_Lists!$D$317*100,0)))),Lookup_Lists!$D$120,0))=0,"N/A",ROUND((IF(ISNUMBER(IF(NOT(ISNUMBER('[1]#REF'!$AE$10)),"N/A",IF('[1]#REF'!$AD$10&lt;&gt;Brand_Profile!$G$14,Lookup_Lists!$D$151,MIN(100,ROUND('[1]#REF'!$AE$10/Lookup_Lists!$D$316*100,0))))),IF(NOT(ISNUMBER('[1]#REF'!$AE$10)),"N/A",IF('[1]#REF'!$AD$10&lt;&gt;Brand_Profile!$G$14,Lookup_Lists!$D$151,MIN(100,ROUND('[1]#REF'!$AE$10/Lookup_Lists!$D$316*100,0))))*Lookup_Lists!$D$118,0)+IF(ISNUMBER(IF(NOT(ISNUMBER('[1]#REF'!$AM$10)),"N/A",MIN(100,ROUND((IF('[1]#REF'!$AG$10=Brand_Profile!$G$15,IF(ISNUMBER('[1]#REF'!$AH$10),'[1]#REF'!$AH$10,0),0)+IF('[1]#REF'!$AI$10=Brand_Profile!$G$15,IF(ISNUMBER('[1]#REF'!$AJ$10),'[1]#REF'!$AJ$10,0),0)+IF('[1]#REF'!$AK$10=Brand_Profile!$G$15,IF(ISNUMBER('[1]#REF'!$AL$10),'[1]#REF'!$AL$10,0),0))/Lookup_Lists!$D$317*100,0)))),IF(NOT(ISNUMBER('[1]#REF'!$AM$10)),"N/A",MIN(100,ROUND((IF('[1]#REF'!$AG$10=Brand_Profile!$G$15,IF(ISNUMBER('[1]#REF'!$AH$10),'[1]#REF'!$AH$10,0),0)+IF('[1]#REF'!$AI$10=Brand_Profile!$G$15,IF(ISNUMBER('[1]#REF'!$AJ$10),'[1]#REF'!$AJ$10,0),0)+IF('[1]#REF'!$AK$10=Brand_Profile!$G$15,IF(ISNUMBER('[1]#REF'!$AL$10),'[1]#REF'!$AL$10,0),0))/Lookup_Lists!$D$317*100,0)))*Lookup_Lists!$D$120,0))/(IF(ISNUMBER(IF(NOT(ISNUMBER('[1]#REF'!$AE$10)),"N/A",IF('[1]#REF'!$AD$10&lt;&gt;Brand_Profile!$G$14,Lookup_Lists!$D$151,MIN(100,ROUND('[1]#REF'!$AE$10/Lookup_Lists!$D$316*100,0))))),Lookup_Lists!$D$118,0)+IF(ISNUMBER(IF(NOT(ISNUMBER('[1]#REF'!$AM$10)),"N/A",MIN(100,ROUND((IF('[1]#REF'!$AG$10=Brand_Profile!$G$15,IF(ISNUMBER('[1]#REF'!$AH$10),'[1]#REF'!$AH$10,0),0)+IF('[1]#REF'!$AI$10=Brand_Profile!$G$15,IF(ISNUMBER('[1]#REF'!$AJ$10),'[1]#REF'!$AJ$10,0),0)+IF('[1]#REF'!$AK$10=Brand_Profile!$G$15,IF(ISNUMBER('[1]#REF'!$AL$10),'[1]#REF'!$AL$10,0),0))/Lookup_Lists!$D$317*100,0)))),Lookup_Lists!$D$120,0)),0))</f>
        <v>N/A</v>
      </c>
      <c r="R58" s="65" t="str">
        <f>IF(NOT(ISNUMBER('[1]#REF'!$AN$10)),"N/A",MIN(100,ROUND((IF(ISNUMBER('[1]#REF'!$AO$10),'[1]#REF'!$AO$10*Brand_Profile!$G$17,0)+IF(ISNUMBER('[1]#REF'!$AP$10),'[1]#REF'!$AP$10*Brand_Profile!$G$18,0)+IF(ISNUMBER('[1]#REF'!$AQ$10),'[1]#REF'!$AQ$10*Brand_Profile!$G$19,0)+IF(ISNUMBER('[1]#REF'!$AR$10),'[1]#REF'!$AR$10*Brand_Profile!$G$20,0)+IF(ISNUMBER('[1]#REF'!$AS$10),'[1]#REF'!$AS$10*Brand_Profile!$G$21,0)+IF(ISNUMBER('[1]#REF'!$AT$10),'[1]#REF'!$AT$10*Brand_Profile!$G$22,0)+IF(ISNUMBER('[1]#REF'!$AU$10),'[1]#REF'!$AU$10*Brand_Profile!$G$23,0)+IF(ISNUMBER('[1]#REF'!$AV$10),'[1]#REF'!$AV$10*Brand_Profile!$G$24,0)+IF(ISNUMBER('[1]#REF'!$AW$10),'[1]#REF'!$AW$10*Brand_Profile!$G$25,0)+IF(ISNUMBER('[1]#REF'!$AX$10),'[1]#REF'!$AX$10*Brand_Profile!$G$26,0)+IF(ISNUMBER('[1]#REF'!$AY$10),'[1]#REF'!$AY$10*Brand_Profile!$G$27,0)+IF(ISNUMBER('[1]#REF'!$AZ$10),'[1]#REF'!$AZ$10*Brand_Profile!$G$28,0)+IF(ISNUMBER('[1]#REF'!$BA$10),'[1]#REF'!$BA$10*Brand_Profile!$G$29,0)+IF(ISNUMBER('[1]#REF'!$BB$10),'[1]#REF'!$BB$10*Brand_Profile!$G$30,0)+IF(ISNUMBER('[1]#REF'!$BC$10),'[1]#REF'!$BC$10*Brand_Profile!$G$31,0)+IF(ISNUMBER('[1]#REF'!$BD$10),'[1]#REF'!$BD$10*Brand_Profile!$G$32,0)+IF(ISNUMBER('[1]#REF'!$BE$10),'[1]#REF'!$BE$10*Brand_Profile!$G$33,0)+IF(ISNUMBER('[1]#REF'!$BF$10),'[1]#REF'!$BF$10*Brand_Profile!$G$34,0))/Lookup_Lists!$D$318*100,0)))</f>
        <v>N/A</v>
      </c>
      <c r="S58" s="63">
        <f ca="1">IF((IF(ISNUMBER(Matching_Engine!$O$58),Lookup_Lists!$D$113,0)+IF(ISNUMBER(Matching_Engine!$P$58),Lookup_Lists!$D$114,0)+IF(ISNUMBER(Matching_Engine!$Q$58),Lookup_Lists!$D$115,0)+IF(ISNUMBER(Matching_Engine!$R$58),Lookup_Lists!$D$116,0))=0,"N/A",ROUND((IF(ISNUMBER(Matching_Engine!$O$58),Matching_Engine!$O$58*Lookup_Lists!$D$113,0)+IF(ISNUMBER(Matching_Engine!$P$58),Matching_Engine!$P$58*Lookup_Lists!$D$114,0)+IF(ISNUMBER(Matching_Engine!$Q$58),Matching_Engine!$Q$58*Lookup_Lists!$D$115,0)+IF(ISNUMBER(Matching_Engine!$R$58),Matching_Engine!$R$58*Lookup_Lists!$D$116,0))/(IF(ISNUMBER(Matching_Engine!$O$58),Lookup_Lists!$D$113,0)+IF(ISNUMBER(Matching_Engine!$P$58),Lookup_Lists!$D$114,0)+IF(ISNUMBER(Matching_Engine!$Q$58),Lookup_Lists!$D$115,0)+IF(ISNUMBER(Matching_Engine!$R$58),Lookup_Lists!$D$116,0)),0))</f>
        <v>64</v>
      </c>
      <c r="T58" s="42">
        <f ca="1">IF(ISNUMBER(Matching_Engine!$S$58),1,0)</f>
        <v>1</v>
      </c>
      <c r="U58" s="65" t="e">
        <f>IF(NOT(AND(ISTEXT('[1]#REF'!$M$10),'[1]#REF'!$M$10&lt;&gt;"N/A")),Lookup_Lists!$D$150,IF(Brand_Profile!$G$7='[1]#REF'!$M$10,100,IFERROR(INDEX(Lookup_Lists!$B$349:$J$357,MATCH(Brand_Profile!$G$7,Lookup_Lists!$A$349:$A$357,0),MATCH('[1]#REF'!$M$10,Lookup_Lists!$B$348:$J$348,0)),Lookup_Lists!$D$151)))</f>
        <v>#REF!</v>
      </c>
      <c r="V58" s="65" t="e">
        <f>IF(NOT(AND(ISTEXT('[1]#REF'!$P$10),'[1]#REF'!$P$10&lt;&gt;"N/A")),"N/A",IFERROR(INDEX(Lookup_Lists!$B$349:$J$357,MATCH(Brand_Profile!$G$7,Lookup_Lists!$A$349:$A$357,0),MATCH('[1]#REF'!$P$10,Lookup_Lists!$B$348:$J$348,0)),Lookup_Lists!$D$151))</f>
        <v>#REF!</v>
      </c>
      <c r="W58" s="65" t="e">
        <f>IF(LEN(TRIM(SUBSTITUTE(Matching_Engine!$BE$58,"|","")))=0,"N/A",IF(Brand_Profile!$G$60=0,Lookup_Lists!$D$150,ROUND((IF(Brand_Profile!$G$54="",0,IF(ISNUMBER(SEARCH(Brand_Profile!$G$54,Matching_Engine!$BE$58)),1,0))+IF(Brand_Profile!$G$55="",0,IF(ISNUMBER(SEARCH(Brand_Profile!$G$55,Matching_Engine!$BE$58)),1,0))+IF(Brand_Profile!$G$56="",0,IF(ISNUMBER(SEARCH(Brand_Profile!$G$56,Matching_Engine!$BE$58)),1,0))+IF(Brand_Profile!$G$57="",0,IF(ISNUMBER(SEARCH(Brand_Profile!$G$57,Matching_Engine!$BE$58)),1,0))+IF(Brand_Profile!$G$58="",0,IF(ISNUMBER(SEARCH(Brand_Profile!$G$58,Matching_Engine!$BE$58)),1,0))+IF(Brand_Profile!$G$59="",0,IF(ISNUMBER(SEARCH(Brand_Profile!$G$59,Matching_Engine!$BE$58)),1,0)))/Brand_Profile!$G$60*100,0)))</f>
        <v>#VALUE!</v>
      </c>
      <c r="X58" s="65" t="e">
        <f>IF(NOT(AND(ISTEXT('[1]#REF'!$Q$10),'[1]#REF'!$Q$10&lt;&gt;"N/A")),"N/A",Lookup_Lists!$D$150)</f>
        <v>#REF!</v>
      </c>
      <c r="Y58" s="63">
        <f>IF((IF(ISNUMBER(Matching_Engine!$U$58),Lookup_Lists!$D$335,0)+IF(ISNUMBER(Matching_Engine!$V$58),Lookup_Lists!$D$122,0)+IF(ISNUMBER(Matching_Engine!$W$58),Lookup_Lists!$D$336,0)+IF(ISNUMBER(Matching_Engine!$X$58),Lookup_Lists!$D$124,0))=0,"N/A",ROUND((IF(ISNUMBER(Matching_Engine!$U$58),Matching_Engine!$U$58*Lookup_Lists!$D$335,0)+IF(ISNUMBER(Matching_Engine!$V$58),Matching_Engine!$V$58*Lookup_Lists!$D$122,0)+IF(ISNUMBER(Matching_Engine!$W$58),Matching_Engine!$W$58*Lookup_Lists!$D$336,0)+IF(ISNUMBER(Matching_Engine!$X$58),Matching_Engine!$X$58*Lookup_Lists!$D$124,0))/(IF(ISNUMBER(Matching_Engine!$U$58),Lookup_Lists!$D$335,0)+IF(ISNUMBER(Matching_Engine!$V$58),Lookup_Lists!$D$122,0)+IF(ISNUMBER(Matching_Engine!$W$58),Lookup_Lists!$D$336,0)+IF(ISNUMBER(Matching_Engine!$X$58),Lookup_Lists!$D$124,0)),0))</f>
        <v>23</v>
      </c>
      <c r="Z58" s="42">
        <f>IF(ISNUMBER(Matching_Engine!$Y$58),1,0)</f>
        <v>1</v>
      </c>
      <c r="AA58" s="65" t="e">
        <f>IF(NOT(AND(ISTEXT('[1]#REF'!$Q$10),'[1]#REF'!$Q$10&lt;&gt;"N/A")),"N/A",Lookup_Lists!$D$150)</f>
        <v>#REF!</v>
      </c>
      <c r="AB58" s="65" t="e">
        <f>IF(NOT(AND(ISTEXT('[1]#REF'!$Q$10),'[1]#REF'!$Q$10&lt;&gt;"N/A")),"N/A",Lookup_Lists!$D$150)</f>
        <v>#REF!</v>
      </c>
      <c r="AC58" s="65" t="str">
        <f t="shared" si="0"/>
        <v>N/A</v>
      </c>
      <c r="AD58" s="65" t="e">
        <f>IF(NOT(AND(ISTEXT('[1]#REF'!$Q$10),'[1]#REF'!$Q$10&lt;&gt;"N/A")),"N/A",Lookup_Lists!$D$150)</f>
        <v>#REF!</v>
      </c>
      <c r="AE58" s="63">
        <f>IF((IF(ISNUMBER(Matching_Engine!$AA$58),Lookup_Lists!$D$125,0)+IF(ISNUMBER(Matching_Engine!$AB$58),Lookup_Lists!$D$126,0)+IF(ISNUMBER(Matching_Engine!$AC$58),Lookup_Lists!$D$127,0)+IF(ISNUMBER(Matching_Engine!$AD$58),Lookup_Lists!$D$128,0))=0,"N/A",ROUND((IF(ISNUMBER(Matching_Engine!$AA$58),Matching_Engine!$AA$58*Lookup_Lists!$D$125,0)+IF(ISNUMBER(Matching_Engine!$AB$58),Matching_Engine!$AB$58*Lookup_Lists!$D$126,0)+IF(ISNUMBER(Matching_Engine!$AC$58),Matching_Engine!$AC$58*Lookup_Lists!$D$127,0)+IF(ISNUMBER(Matching_Engine!$AD$58),Matching_Engine!$AD$58*Lookup_Lists!$D$128,0))/(IF(ISNUMBER(Matching_Engine!$AA$58),Lookup_Lists!$D$125,0)+IF(ISNUMBER(Matching_Engine!$AB$58),Lookup_Lists!$D$126,0)+IF(ISNUMBER(Matching_Engine!$AC$58),Lookup_Lists!$D$127,0)+IF(ISNUMBER(Matching_Engine!$AD$58),Lookup_Lists!$D$128,0)),0))</f>
        <v>42</v>
      </c>
      <c r="AF58" s="42">
        <f>IF(ISNUMBER(Matching_Engine!$AE$58),1,0)</f>
        <v>1</v>
      </c>
      <c r="AG58" s="65" t="str">
        <f>IF(NOT(ISNUMBER('[1]#REF'!$BG$10)),"N/A",MIN(100,ROUND('[1]#REF'!$BG$10/IFERROR(INDEX(Lookup_Lists!$B$340:$B$344,MATCH('[1]#REF'!$H$10,Lookup_Lists!$A$340:$A$344,0)),Lookup_Lists!$D$141)*100,0)))</f>
        <v>N/A</v>
      </c>
      <c r="AH58" s="65" t="str">
        <f>IF(NOT(ISNUMBER('[1]#REF'!$BS$10)),"N/A",MIN(100,MAX(0,'[1]#REF'!$BS$10)))</f>
        <v>N/A</v>
      </c>
      <c r="AI58" s="65" t="e">
        <f>IF(OR(NOT(ISNUMBER('[1]#REF'!$BM$10)),NOT(ISNUMBER('[1]#REF'!$BN$10)),'[1]#REF'!$BN$10&lt;Lookup_Lists!$D$320),"N/A",MIN(100,ROUND('[1]#REF'!$BM$10/Lookup_Lists!$D$319*100,0)))</f>
        <v>#REF!</v>
      </c>
      <c r="AJ58" s="65" t="str">
        <f>IF(NOT(ISNUMBER('[1]#REF'!$BR$10)),"N/A",'[1]#REF'!$BR$10)</f>
        <v>N/A</v>
      </c>
      <c r="AK58" s="65" t="str">
        <f>IF(NOT(ISNUMBER('[1]#REF'!$BK$10)),"N/A",MIN(100,ROUND('[1]#REF'!$BK$10/Lookup_Lists!$D$321*100,0)))</f>
        <v>N/A</v>
      </c>
      <c r="AL58" s="65" t="str">
        <f>IF(NOT(ISNUMBER('[1]#REF'!$BP$10)),"N/A",MIN(100,MAX(0,ROUND(('[1]#REF'!$BP$10+2)/(Lookup_Lists!$D$145+2)*100,0))))</f>
        <v>N/A</v>
      </c>
      <c r="AM58" s="63">
        <f>IF((IF(ISNUMBER(Matching_Engine!$AG$58),Lookup_Lists!$D$129,0)+IF(ISNUMBER(Matching_Engine!$AH$58),Lookup_Lists!$D$130,0)+IF(ISNUMBER(Matching_Engine!$AI$58),Lookup_Lists!$D$131,0)+IF(ISNUMBER(Matching_Engine!$AJ$58),Lookup_Lists!$D$132,0)+IF(ISNUMBER(Matching_Engine!$AK$58),Lookup_Lists!$D$133,0)+IF(ISNUMBER(Matching_Engine!$AL$58),Lookup_Lists!$D$134,0))=0,"N/A",ROUND((IF(ISNUMBER(Matching_Engine!$AG$58),Matching_Engine!$AG$58*Lookup_Lists!$D$129,0)+IF(ISNUMBER(Matching_Engine!$AH$58),Matching_Engine!$AH$58*Lookup_Lists!$D$130,0)+IF(ISNUMBER(Matching_Engine!$AI$58),Matching_Engine!$AI$58*Lookup_Lists!$D$131,0)+IF(ISNUMBER(Matching_Engine!$AJ$58),Matching_Engine!$AJ$58*Lookup_Lists!$D$132,0)+IF(ISNUMBER(Matching_Engine!$AK$58),Matching_Engine!$AK$58*Lookup_Lists!$D$133,0)+IF(ISNUMBER(Matching_Engine!$AL$58),Matching_Engine!$AL$58*Lookup_Lists!$D$134,0))/(IF(ISNUMBER(Matching_Engine!$AG$58),Lookup_Lists!$D$129,0)+IF(ISNUMBER(Matching_Engine!$AH$58),Lookup_Lists!$D$130,0)+IF(ISNUMBER(Matching_Engine!$AI$58),Lookup_Lists!$D$131,0)+IF(ISNUMBER(Matching_Engine!$AJ$58),Lookup_Lists!$D$132,0)+IF(ISNUMBER(Matching_Engine!$AK$58),Lookup_Lists!$D$133,0)+IF(ISNUMBER(Matching_Engine!$AL$58),Lookup_Lists!$D$134,0)),0))</f>
        <v>66</v>
      </c>
      <c r="AN58" s="42">
        <f>IF(ISNUMBER(Matching_Engine!$AM$58),1,0)</f>
        <v>0</v>
      </c>
      <c r="AO58" s="65" t="str">
        <f>IF(NOT(ISNUMBER('[1]#REF'!$BT$10)),"N/A",MIN(100,MAX(0,'[1]#REF'!$BT$10)))</f>
        <v>N/A</v>
      </c>
      <c r="AP58" s="65" t="str">
        <f>IF(NOT(ISNUMBER('[1]#REF'!$BU$10)),"N/A",MIN(100,MAX(0,'[1]#REF'!$BU$10)))</f>
        <v>N/A</v>
      </c>
      <c r="AQ58" s="65" t="e">
        <f>IF('[1]#REF'!$I$10="Yes",Lookup_Lists!$D$326,IF('[1]#REF'!$I$10="No",Lookup_Lists!$D$327,"N/A"))</f>
        <v>#REF!</v>
      </c>
      <c r="AR58" s="65" t="str">
        <f>IF(NOT(ISNUMBER('[1]#REF'!$BQ$10)),"N/A",MAX(0,ROUND(100-'[1]#REF'!$BQ$10/Lookup_Lists!$D$328*100,0)))</f>
        <v>N/A</v>
      </c>
      <c r="AS58" s="65" t="e">
        <f>IF(NOT(AND(ISTEXT('[1]#REF'!$BV$10),'[1]#REF'!$BV$10&lt;&gt;"N/A")),"N/A",'[1]#REF'!$BV$10)</f>
        <v>#REF!</v>
      </c>
      <c r="AT58" s="63" t="str">
        <f ca="1">IF((IF(ISNUMBER(Matching_Engine!$AO$58),Lookup_Lists!$D$322,0)+IF(ISNUMBER(Matching_Engine!$AP$58),Lookup_Lists!$D$323,0)+IF(ISNUMBER(Matching_Engine!$AQ$58),Lookup_Lists!$D$324,0)+IF(ISNUMBER(Matching_Engine!$AR$58),Lookup_Lists!$D$325,0))=0,"N/A",ROUND((IF(ISNUMBER(Matching_Engine!$AO$58),Matching_Engine!$AO$58*Lookup_Lists!$D$322,0)+IF(ISNUMBER(Matching_Engine!$AP$58),Matching_Engine!$AP$58*Lookup_Lists!$D$323,0)+IF(ISNUMBER(Matching_Engine!$AQ$58),Matching_Engine!$AQ$58*Lookup_Lists!$D$324,0)+IF(ISNUMBER(Matching_Engine!$AR$58),Matching_Engine!$AR$58*Lookup_Lists!$D$325,0))/(IF(ISNUMBER(Matching_Engine!$AO$58),Lookup_Lists!$D$322,0)+IF(ISNUMBER(Matching_Engine!$AP$58),Lookup_Lists!$D$323,0)+IF(ISNUMBER(Matching_Engine!$AQ$58),Lookup_Lists!$D$324,0)+IF(ISNUMBER(Matching_Engine!$AR$58),Lookup_Lists!$D$325,0)),0))</f>
        <v>N/A</v>
      </c>
      <c r="AU58" s="42">
        <f>IF(ISNUMBER(Matching_Engine!$AT$58),1,0)</f>
        <v>1</v>
      </c>
      <c r="AV58" s="42" t="str">
        <f>IF(NOT(ISNUMBER(Matching_Engine!$AT$58)),"Not Screened",IF(Matching_Engine!$AT$58&gt;=Lookup_Lists!$D$329,"Low Risk",IF(Matching_Engine!$AT$58&gt;=Lookup_Lists!$D$330,"Moderate Risk",IF(Matching_Engine!$AT$58&gt;=Lookup_Lists!$D$331,"Elevated Risk","High Risk"))))</f>
        <v>Low Risk</v>
      </c>
      <c r="AW58" s="42" t="e">
        <f ca="1">IF(NOT(ISNUMBER(Matching_Engine!$AT$58)),"No integrity signal: no audience-analysis row for this account.","Integrity screen only — no content-risk reading exists (comments_analysis: 0 rows). "&amp;IF(ISNUMBER(Matching_Engine!$AO$58),"Authenticity "&amp;Matching_Engine!$AO$58&amp;". ","Authenticity N/A. ")&amp;IF(ISNUMBER(Matching_Engine!$AP$58),"Follower quality "&amp;Matching_Engine!$AP$58&amp;". ","Follower quality N/A. ")&amp;IF('[1]#REF'!$I$10="Yes","Platform-verified.","Not platform-verified."))</f>
        <v>#REF!</v>
      </c>
      <c r="AX58" s="65">
        <f>Matching_Engine!$N$58*Lookup_Lists!$D$104+Matching_Engine!$T$58*Lookup_Lists!$D$105+Matching_Engine!$Z$58*Lookup_Lists!$D$106+Matching_Engine!$AF$58*Lookup_Lists!$D$107+Matching_Engine!$AN$58*Lookup_Lists!$D$108+Matching_Engine!$AU$58*Lookup_Lists!$D$109</f>
        <v>3900</v>
      </c>
      <c r="AY58" s="74" t="e">
        <f ca="1">IF(Matching_Engine!$AX$58=0,"N/A",ROUND((IF(Matching_Engine!$N$58=1,Matching_Engine!$M$58*Lookup_Lists!$D$104,0)+IF(Matching_Engine!$T$58=1,Matching_Engine!$S$58*Lookup_Lists!$D$105,0)+IF(Matching_Engine!$Z$58=1,Matching_Engine!$Y$58*Lookup_Lists!$D$106,0)+IF(Matching_Engine!$AF$58=1,Matching_Engine!$AE$58*Lookup_Lists!$D$107,0)+IF(Matching_Engine!$AN$58=1,Matching_Engine!$AM$58*Lookup_Lists!$D$108,0)+IF(Matching_Engine!$AU$58=1,Matching_Engine!$AT$58*Lookup_Lists!$D$109,0))/Matching_Engine!$AX$58,0))</f>
        <v>#VALUE!</v>
      </c>
      <c r="AZ58" s="42" t="str">
        <f ca="1">IF(NOT(ISNUMBER(Matching_Engine!$AY$58)),"Not Scored",IF(Matching_Engine!$AY$58&gt;=Lookup_Lists!$D$152,"Excellent Match",IF(Matching_Engine!$AY$58&gt;=Lookup_Lists!$D$153,"Strong Match",IF(Matching_Engine!$AY$58&gt;=Lookup_Lists!$D$154,"Good Match",IF(Matching_Engine!$AY$58&gt;=Lookup_Lists!$D$155,"Moderate Match","Low Match")))))</f>
        <v>Not Scored</v>
      </c>
      <c r="BA58" s="65" t="e">
        <f>'[1]#REF'!$BW$10</f>
        <v>#REF!</v>
      </c>
      <c r="BB58" s="42" t="e">
        <f>'[1]#REF'!$BX$10</f>
        <v>#REF!</v>
      </c>
      <c r="BC58" s="65">
        <f ca="1">IF(NOT(ISNUMBER(Matching_Engine!$AY$58)),-1,Matching_Engine!$AY$58*1000+20)</f>
        <v>-1</v>
      </c>
      <c r="BD58" s="42" t="e">
        <f>IF(AND(ISTEXT('[1]#REF'!$S$10),'[1]#REF'!$S$10&lt;&gt;"N/A"),'[1]#REF'!$S$10,"")&amp;" | "&amp;IF(AND(ISTEXT('[1]#REF'!$T$10),'[1]#REF'!$T$10&lt;&gt;"N/A"),'[1]#REF'!$T$10,"")&amp;" | "&amp;IF(AND(ISTEXT('[1]#REF'!$N$10),'[1]#REF'!$N$10&lt;&gt;"N/A"),'[1]#REF'!$N$10,"")&amp;" | "&amp;IF(AND(ISTEXT('[1]#REF'!$K$10),'[1]#REF'!$K$10&lt;&gt;"N/A"),'[1]#REF'!$K$10,"")&amp;" | "&amp;IF(AND(ISTEXT('[1]#REF'!$J$10),'[1]#REF'!$J$10&lt;&gt;"N/A"),'[1]#REF'!$J$10,"")</f>
        <v>#REF!</v>
      </c>
      <c r="BE58" s="42" t="e">
        <f>IF(AND(ISTEXT('[1]#REF'!$T$10),'[1]#REF'!$T$10&lt;&gt;"N/A"),'[1]#REF'!$T$10,"")&amp;" | "&amp;IF(AND(ISTEXT('[1]#REF'!$N$10),'[1]#REF'!$N$10&lt;&gt;"N/A"),'[1]#REF'!$N$10,"")&amp;" | "&amp;IF(AND(ISTEXT('[1]#REF'!$O$10),'[1]#REF'!$O$10&lt;&gt;"N/A"),'[1]#REF'!$O$10,"")&amp;" | "&amp;IF(AND(ISTEXT('[1]#REF'!$S$10),'[1]#REF'!$S$10&lt;&gt;"N/A"),'[1]#REF'!$S$10,"")</f>
        <v>#REF!</v>
      </c>
      <c r="BF58" s="42" t="e">
        <f>IF(AND(ISTEXT('[1]#REF'!$U$10),'[1]#REF'!$U$10&lt;&gt;"N/A"),'[1]#REF'!$U$10,"")</f>
        <v>#REF!</v>
      </c>
      <c r="BG58" s="42" t="str">
        <f>Matching_Engine!$A$58&amp;"|"&amp;Matching_Engine!$C$58</f>
        <v>BRAND-B|KOL-23</v>
      </c>
    </row>
    <row r="59" spans="1:59">
      <c r="A59" s="64" t="s">
        <v>2529</v>
      </c>
      <c r="B59" s="42" t="str">
        <f>Brand_Profile!$G$6</f>
        <v>Active Value</v>
      </c>
      <c r="C59" s="42" t="e">
        <f>'[1]#REF'!$A$11</f>
        <v>#REF!</v>
      </c>
      <c r="D59" s="42" t="e">
        <f>'[1]#REF'!$C$11</f>
        <v>#REF!</v>
      </c>
      <c r="E59" s="42" t="e">
        <f>'[1]#REF'!$D$11</f>
        <v>#REF!</v>
      </c>
      <c r="F59" s="42" t="e">
        <f>'[1]#REF'!$E$11</f>
        <v>#REF!</v>
      </c>
      <c r="G59" s="42" t="e">
        <f>'[1]#REF'!$K$11</f>
        <v>#REF!</v>
      </c>
      <c r="H59" s="72" t="e">
        <f>'[1]#REF'!$G$11</f>
        <v>#REF!</v>
      </c>
      <c r="I59" s="73" t="e">
        <f>'[1]#REF'!$BG$11</f>
        <v>#REF!</v>
      </c>
      <c r="J59" s="65" t="e">
        <f>IF(NOT(AND(ISTEXT('[1]#REF'!$K$11),'[1]#REF'!$K$11&lt;&gt;"N/A")),Lookup_Lists!$D$150,IF(Brand_Profile!$G$7='[1]#REF'!$K$11,100,IFERROR(INDEX(Lookup_Lists!$B$349:$J$357,MATCH(Brand_Profile!$G$7,Lookup_Lists!$A$349:$A$357,0),MATCH('[1]#REF'!$K$11,Lookup_Lists!$B$348:$J$348,0)),Lookup_Lists!$D$151)))</f>
        <v>#REF!</v>
      </c>
      <c r="K59" s="65" t="e">
        <f>IF(LEN(TRIM(SUBSTITUTE(Matching_Engine!$BD$59,"|","")))=0,"N/A",IF(Brand_Profile!$G$47=0,Lookup_Lists!$D$150,ROUND((IF(Brand_Profile!$G$41="",0,IF(ISNUMBER(SEARCH(Brand_Profile!$G$41,Matching_Engine!$BD$59)),1,0))+IF(Brand_Profile!$G$42="",0,IF(ISNUMBER(SEARCH(Brand_Profile!$G$42,Matching_Engine!$BD$59)),1,0))+IF(Brand_Profile!$G$43="",0,IF(ISNUMBER(SEARCH(Brand_Profile!$G$43,Matching_Engine!$BD$59)),1,0))+IF(Brand_Profile!$G$44="",0,IF(ISNUMBER(SEARCH(Brand_Profile!$G$44,Matching_Engine!$BD$59)),1,0))+IF(Brand_Profile!$G$45="",0,IF(ISNUMBER(SEARCH(Brand_Profile!$G$45,Matching_Engine!$BD$59)),1,0))+IF(Brand_Profile!$G$46="",0,IF(ISNUMBER(SEARCH(Brand_Profile!$G$46,Matching_Engine!$BD$59)),1,0)))/Brand_Profile!$G$47*100,0)))</f>
        <v>#VALUE!</v>
      </c>
      <c r="L59" s="65" t="e">
        <f>IF(NOT(AND(ISTEXT('[1]#REF'!$U$11),'[1]#REF'!$U$11&lt;&gt;"N/A")),"N/A",IF(Brand_Profile!$G$53=0,Lookup_Lists!$D$150,ROUND((IF(Brand_Profile!$G$48="",0,IF(ISNUMBER(SEARCH(Brand_Profile!$G$48,Matching_Engine!$BF$59)),1,0))+IF(Brand_Profile!$G$49="",0,IF(ISNUMBER(SEARCH(Brand_Profile!$G$49,Matching_Engine!$BF$59)),1,0))+IF(Brand_Profile!$G$50="",0,IF(ISNUMBER(SEARCH(Brand_Profile!$G$50,Matching_Engine!$BF$59)),1,0))+IF(Brand_Profile!$G$51="",0,IF(ISNUMBER(SEARCH(Brand_Profile!$G$51,Matching_Engine!$BF$59)),1,0))+IF(Brand_Profile!$G$52="",0,IF(ISNUMBER(SEARCH(Brand_Profile!$G$52,Matching_Engine!$BF$59)),1,0)))/Brand_Profile!$G$53*100,0)))</f>
        <v>#REF!</v>
      </c>
      <c r="M59" s="63" t="str">
        <f>IF((IF(ISNUMBER(Matching_Engine!$J$59),Lookup_Lists!$D$332,0)+IF(ISNUMBER(Matching_Engine!$K$59),Lookup_Lists!$D$333,0)+IF(ISNUMBER(Matching_Engine!$L$59),Lookup_Lists!$D$334,0))=0,"N/A",ROUND((IF(ISNUMBER(Matching_Engine!$J$59),Matching_Engine!$J$59*Lookup_Lists!$D$332,0)+IF(ISNUMBER(Matching_Engine!$K$59),Matching_Engine!$K$59*Lookup_Lists!$D$333,0)+IF(ISNUMBER(Matching_Engine!$L$59),Matching_Engine!$L$59*Lookup_Lists!$D$334,0))/(IF(ISNUMBER(Matching_Engine!$J$59),Lookup_Lists!$D$332,0)+IF(ISNUMBER(Matching_Engine!$K$59),Lookup_Lists!$D$333,0)+IF(ISNUMBER(Matching_Engine!$L$59),Lookup_Lists!$D$334,0)),0))</f>
        <v>N/A</v>
      </c>
      <c r="N59" s="42">
        <f>IF(ISNUMBER(Matching_Engine!$M$59),1,0)</f>
        <v>1</v>
      </c>
      <c r="O59" s="65" t="str">
        <f ca="1">IF(NOT(ISNUMBER(IFERROR(INDEX('[1]#REF'!$V$11:'[1]#REF'!$Z$11,1,MATCH(Brand_Profile!$G$11,Lookup_Lists!$F$6:$F$10,0)),""))),"N/A",MIN(100,ROUND((IFERROR(INDEX('[1]#REF'!$V$11:'[1]#REF'!$Z$11,1,MATCH(Brand_Profile!$G$11,Lookup_Lists!$F$6:$F$10,0)),"")+0.5*IF(ISNUMBER(IFERROR(INDEX('[1]#REF'!$V$11:'[1]#REF'!$Z$11,1,MATCH(Brand_Profile!$G$12,Lookup_Lists!$F$6:$F$10,0)),"")),IFERROR(INDEX('[1]#REF'!$V$11:'[1]#REF'!$Z$11,1,MATCH(Brand_Profile!$G$12,Lookup_Lists!$F$6:$F$10,0)),""),0))/Lookup_Lists!$D$142*100,0)))</f>
        <v>N/A</v>
      </c>
      <c r="P59" s="65" t="str">
        <f>IF(Brand_Profile!$G$13="Any",100,IF(NOT(ISNUMBER('[1]#REF'!$AA$11)),"N/A",IF(Brand_Profile!$G$13="Female",MIN(100,ROUND('[1]#REF'!$AA$11/Lookup_Lists!$D$143*100,0)),IF(Brand_Profile!$G$13="Male",MIN(100,ROUND(IF(ISNUMBER('[1]#REF'!$AB$11),'[1]#REF'!$AB$11,100-'[1]#REF'!$AA$11)/Lookup_Lists!$D$143*100,0)),MAX(0,ROUND(100-ABS('[1]#REF'!$AA$11-50)*2,0))))))</f>
        <v>N/A</v>
      </c>
      <c r="Q59" s="65" t="str">
        <f>IF((IF(ISNUMBER(IF(NOT(ISNUMBER('[1]#REF'!$AE$11)),"N/A",IF('[1]#REF'!$AD$11&lt;&gt;Brand_Profile!$G$14,Lookup_Lists!$D$151,MIN(100,ROUND('[1]#REF'!$AE$11/Lookup_Lists!$D$316*100,0))))),Lookup_Lists!$D$118,0)+IF(ISNUMBER(IF(NOT(ISNUMBER('[1]#REF'!$AM$11)),"N/A",MIN(100,ROUND((IF('[1]#REF'!$AG$11=Brand_Profile!$G$15,IF(ISNUMBER('[1]#REF'!$AH$11),'[1]#REF'!$AH$11,0),0)+IF('[1]#REF'!$AI$11=Brand_Profile!$G$15,IF(ISNUMBER('[1]#REF'!$AJ$11),'[1]#REF'!$AJ$11,0),0)+IF('[1]#REF'!$AK$11=Brand_Profile!$G$15,IF(ISNUMBER('[1]#REF'!$AL$11),'[1]#REF'!$AL$11,0),0))/Lookup_Lists!$D$317*100,0)))),Lookup_Lists!$D$120,0))=0,"N/A",ROUND((IF(ISNUMBER(IF(NOT(ISNUMBER('[1]#REF'!$AE$11)),"N/A",IF('[1]#REF'!$AD$11&lt;&gt;Brand_Profile!$G$14,Lookup_Lists!$D$151,MIN(100,ROUND('[1]#REF'!$AE$11/Lookup_Lists!$D$316*100,0))))),IF(NOT(ISNUMBER('[1]#REF'!$AE$11)),"N/A",IF('[1]#REF'!$AD$11&lt;&gt;Brand_Profile!$G$14,Lookup_Lists!$D$151,MIN(100,ROUND('[1]#REF'!$AE$11/Lookup_Lists!$D$316*100,0))))*Lookup_Lists!$D$118,0)+IF(ISNUMBER(IF(NOT(ISNUMBER('[1]#REF'!$AM$11)),"N/A",MIN(100,ROUND((IF('[1]#REF'!$AG$11=Brand_Profile!$G$15,IF(ISNUMBER('[1]#REF'!$AH$11),'[1]#REF'!$AH$11,0),0)+IF('[1]#REF'!$AI$11=Brand_Profile!$G$15,IF(ISNUMBER('[1]#REF'!$AJ$11),'[1]#REF'!$AJ$11,0),0)+IF('[1]#REF'!$AK$11=Brand_Profile!$G$15,IF(ISNUMBER('[1]#REF'!$AL$11),'[1]#REF'!$AL$11,0),0))/Lookup_Lists!$D$317*100,0)))),IF(NOT(ISNUMBER('[1]#REF'!$AM$11)),"N/A",MIN(100,ROUND((IF('[1]#REF'!$AG$11=Brand_Profile!$G$15,IF(ISNUMBER('[1]#REF'!$AH$11),'[1]#REF'!$AH$11,0),0)+IF('[1]#REF'!$AI$11=Brand_Profile!$G$15,IF(ISNUMBER('[1]#REF'!$AJ$11),'[1]#REF'!$AJ$11,0),0)+IF('[1]#REF'!$AK$11=Brand_Profile!$G$15,IF(ISNUMBER('[1]#REF'!$AL$11),'[1]#REF'!$AL$11,0),0))/Lookup_Lists!$D$317*100,0)))*Lookup_Lists!$D$120,0))/(IF(ISNUMBER(IF(NOT(ISNUMBER('[1]#REF'!$AE$11)),"N/A",IF('[1]#REF'!$AD$11&lt;&gt;Brand_Profile!$G$14,Lookup_Lists!$D$151,MIN(100,ROUND('[1]#REF'!$AE$11/Lookup_Lists!$D$316*100,0))))),Lookup_Lists!$D$118,0)+IF(ISNUMBER(IF(NOT(ISNUMBER('[1]#REF'!$AM$11)),"N/A",MIN(100,ROUND((IF('[1]#REF'!$AG$11=Brand_Profile!$G$15,IF(ISNUMBER('[1]#REF'!$AH$11),'[1]#REF'!$AH$11,0),0)+IF('[1]#REF'!$AI$11=Brand_Profile!$G$15,IF(ISNUMBER('[1]#REF'!$AJ$11),'[1]#REF'!$AJ$11,0),0)+IF('[1]#REF'!$AK$11=Brand_Profile!$G$15,IF(ISNUMBER('[1]#REF'!$AL$11),'[1]#REF'!$AL$11,0),0))/Lookup_Lists!$D$317*100,0)))),Lookup_Lists!$D$120,0)),0))</f>
        <v>N/A</v>
      </c>
      <c r="R59" s="65" t="str">
        <f>IF(NOT(ISNUMBER('[1]#REF'!$AN$11)),"N/A",MIN(100,ROUND((IF(ISNUMBER('[1]#REF'!$AO$11),'[1]#REF'!$AO$11*Brand_Profile!$G$17,0)+IF(ISNUMBER('[1]#REF'!$AP$11),'[1]#REF'!$AP$11*Brand_Profile!$G$18,0)+IF(ISNUMBER('[1]#REF'!$AQ$11),'[1]#REF'!$AQ$11*Brand_Profile!$G$19,0)+IF(ISNUMBER('[1]#REF'!$AR$11),'[1]#REF'!$AR$11*Brand_Profile!$G$20,0)+IF(ISNUMBER('[1]#REF'!$AS$11),'[1]#REF'!$AS$11*Brand_Profile!$G$21,0)+IF(ISNUMBER('[1]#REF'!$AT$11),'[1]#REF'!$AT$11*Brand_Profile!$G$22,0)+IF(ISNUMBER('[1]#REF'!$AU$11),'[1]#REF'!$AU$11*Brand_Profile!$G$23,0)+IF(ISNUMBER('[1]#REF'!$AV$11),'[1]#REF'!$AV$11*Brand_Profile!$G$24,0)+IF(ISNUMBER('[1]#REF'!$AW$11),'[1]#REF'!$AW$11*Brand_Profile!$G$25,0)+IF(ISNUMBER('[1]#REF'!$AX$11),'[1]#REF'!$AX$11*Brand_Profile!$G$26,0)+IF(ISNUMBER('[1]#REF'!$AY$11),'[1]#REF'!$AY$11*Brand_Profile!$G$27,0)+IF(ISNUMBER('[1]#REF'!$AZ$11),'[1]#REF'!$AZ$11*Brand_Profile!$G$28,0)+IF(ISNUMBER('[1]#REF'!$BA$11),'[1]#REF'!$BA$11*Brand_Profile!$G$29,0)+IF(ISNUMBER('[1]#REF'!$BB$11),'[1]#REF'!$BB$11*Brand_Profile!$G$30,0)+IF(ISNUMBER('[1]#REF'!$BC$11),'[1]#REF'!$BC$11*Brand_Profile!$G$31,0)+IF(ISNUMBER('[1]#REF'!$BD$11),'[1]#REF'!$BD$11*Brand_Profile!$G$32,0)+IF(ISNUMBER('[1]#REF'!$BE$11),'[1]#REF'!$BE$11*Brand_Profile!$G$33,0)+IF(ISNUMBER('[1]#REF'!$BF$11),'[1]#REF'!$BF$11*Brand_Profile!$G$34,0))/Lookup_Lists!$D$318*100,0)))</f>
        <v>N/A</v>
      </c>
      <c r="S59" s="63">
        <f ca="1">IF((IF(ISNUMBER(Matching_Engine!$O$59),Lookup_Lists!$D$113,0)+IF(ISNUMBER(Matching_Engine!$P$59),Lookup_Lists!$D$114,0)+IF(ISNUMBER(Matching_Engine!$Q$59),Lookup_Lists!$D$115,0)+IF(ISNUMBER(Matching_Engine!$R$59),Lookup_Lists!$D$116,0))=0,"N/A",ROUND((IF(ISNUMBER(Matching_Engine!$O$59),Matching_Engine!$O$59*Lookup_Lists!$D$113,0)+IF(ISNUMBER(Matching_Engine!$P$59),Matching_Engine!$P$59*Lookup_Lists!$D$114,0)+IF(ISNUMBER(Matching_Engine!$Q$59),Matching_Engine!$Q$59*Lookup_Lists!$D$115,0)+IF(ISNUMBER(Matching_Engine!$R$59),Matching_Engine!$R$59*Lookup_Lists!$D$116,0))/(IF(ISNUMBER(Matching_Engine!$O$59),Lookup_Lists!$D$113,0)+IF(ISNUMBER(Matching_Engine!$P$59),Lookup_Lists!$D$114,0)+IF(ISNUMBER(Matching_Engine!$Q$59),Lookup_Lists!$D$115,0)+IF(ISNUMBER(Matching_Engine!$R$59),Lookup_Lists!$D$116,0)),0))</f>
        <v>64</v>
      </c>
      <c r="T59" s="42">
        <f ca="1">IF(ISNUMBER(Matching_Engine!$S$59),1,0)</f>
        <v>1</v>
      </c>
      <c r="U59" s="65" t="e">
        <f>IF(NOT(AND(ISTEXT('[1]#REF'!$M$11),'[1]#REF'!$M$11&lt;&gt;"N/A")),Lookup_Lists!$D$150,IF(Brand_Profile!$G$7='[1]#REF'!$M$11,100,IFERROR(INDEX(Lookup_Lists!$B$349:$J$357,MATCH(Brand_Profile!$G$7,Lookup_Lists!$A$349:$A$357,0),MATCH('[1]#REF'!$M$11,Lookup_Lists!$B$348:$J$348,0)),Lookup_Lists!$D$151)))</f>
        <v>#REF!</v>
      </c>
      <c r="V59" s="65" t="e">
        <f>IF(NOT(AND(ISTEXT('[1]#REF'!$P$11),'[1]#REF'!$P$11&lt;&gt;"N/A")),"N/A",IFERROR(INDEX(Lookup_Lists!$B$349:$J$357,MATCH(Brand_Profile!$G$7,Lookup_Lists!$A$349:$A$357,0),MATCH('[1]#REF'!$P$11,Lookup_Lists!$B$348:$J$348,0)),Lookup_Lists!$D$151))</f>
        <v>#REF!</v>
      </c>
      <c r="W59" s="65" t="e">
        <f>IF(LEN(TRIM(SUBSTITUTE(Matching_Engine!$BE$59,"|","")))=0,"N/A",IF(Brand_Profile!$G$60=0,Lookup_Lists!$D$150,ROUND((IF(Brand_Profile!$G$54="",0,IF(ISNUMBER(SEARCH(Brand_Profile!$G$54,Matching_Engine!$BE$59)),1,0))+IF(Brand_Profile!$G$55="",0,IF(ISNUMBER(SEARCH(Brand_Profile!$G$55,Matching_Engine!$BE$59)),1,0))+IF(Brand_Profile!$G$56="",0,IF(ISNUMBER(SEARCH(Brand_Profile!$G$56,Matching_Engine!$BE$59)),1,0))+IF(Brand_Profile!$G$57="",0,IF(ISNUMBER(SEARCH(Brand_Profile!$G$57,Matching_Engine!$BE$59)),1,0))+IF(Brand_Profile!$G$58="",0,IF(ISNUMBER(SEARCH(Brand_Profile!$G$58,Matching_Engine!$BE$59)),1,0))+IF(Brand_Profile!$G$59="",0,IF(ISNUMBER(SEARCH(Brand_Profile!$G$59,Matching_Engine!$BE$59)),1,0)))/Brand_Profile!$G$60*100,0)))</f>
        <v>#VALUE!</v>
      </c>
      <c r="X59" s="65" t="e">
        <f>IF(NOT(AND(ISTEXT('[1]#REF'!$Q$11),'[1]#REF'!$Q$11&lt;&gt;"N/A")),"N/A",Lookup_Lists!$D$150)</f>
        <v>#REF!</v>
      </c>
      <c r="Y59" s="63">
        <f>IF((IF(ISNUMBER(Matching_Engine!$U$59),Lookup_Lists!$D$335,0)+IF(ISNUMBER(Matching_Engine!$V$59),Lookup_Lists!$D$122,0)+IF(ISNUMBER(Matching_Engine!$W$59),Lookup_Lists!$D$336,0)+IF(ISNUMBER(Matching_Engine!$X$59),Lookup_Lists!$D$124,0))=0,"N/A",ROUND((IF(ISNUMBER(Matching_Engine!$U$59),Matching_Engine!$U$59*Lookup_Lists!$D$335,0)+IF(ISNUMBER(Matching_Engine!$V$59),Matching_Engine!$V$59*Lookup_Lists!$D$122,0)+IF(ISNUMBER(Matching_Engine!$W$59),Matching_Engine!$W$59*Lookup_Lists!$D$336,0)+IF(ISNUMBER(Matching_Engine!$X$59),Matching_Engine!$X$59*Lookup_Lists!$D$124,0))/(IF(ISNUMBER(Matching_Engine!$U$59),Lookup_Lists!$D$335,0)+IF(ISNUMBER(Matching_Engine!$V$59),Lookup_Lists!$D$122,0)+IF(ISNUMBER(Matching_Engine!$W$59),Lookup_Lists!$D$336,0)+IF(ISNUMBER(Matching_Engine!$X$59),Lookup_Lists!$D$124,0)),0))</f>
        <v>26</v>
      </c>
      <c r="Z59" s="42">
        <f>IF(ISNUMBER(Matching_Engine!$Y$59),1,0)</f>
        <v>1</v>
      </c>
      <c r="AA59" s="65" t="e">
        <f>IF(NOT(AND(ISTEXT('[1]#REF'!$Q$11),'[1]#REF'!$Q$11&lt;&gt;"N/A")),"N/A",Lookup_Lists!$D$150)</f>
        <v>#REF!</v>
      </c>
      <c r="AB59" s="65" t="e">
        <f>IF(NOT(AND(ISTEXT('[1]#REF'!$Q$11),'[1]#REF'!$Q$11&lt;&gt;"N/A")),"N/A",Lookup_Lists!$D$150)</f>
        <v>#REF!</v>
      </c>
      <c r="AC59" s="65" t="str">
        <f t="shared" si="0"/>
        <v>N/A</v>
      </c>
      <c r="AD59" s="65" t="e">
        <f>IF(NOT(AND(ISTEXT('[1]#REF'!$Q$11),'[1]#REF'!$Q$11&lt;&gt;"N/A")),"N/A",Lookup_Lists!$D$150)</f>
        <v>#REF!</v>
      </c>
      <c r="AE59" s="63">
        <f>IF((IF(ISNUMBER(Matching_Engine!$AA$59),Lookup_Lists!$D$125,0)+IF(ISNUMBER(Matching_Engine!$AB$59),Lookup_Lists!$D$126,0)+IF(ISNUMBER(Matching_Engine!$AC$59),Lookup_Lists!$D$127,0)+IF(ISNUMBER(Matching_Engine!$AD$59),Lookup_Lists!$D$128,0))=0,"N/A",ROUND((IF(ISNUMBER(Matching_Engine!$AA$59),Matching_Engine!$AA$59*Lookup_Lists!$D$125,0)+IF(ISNUMBER(Matching_Engine!$AB$59),Matching_Engine!$AB$59*Lookup_Lists!$D$126,0)+IF(ISNUMBER(Matching_Engine!$AC$59),Matching_Engine!$AC$59*Lookup_Lists!$D$127,0)+IF(ISNUMBER(Matching_Engine!$AD$59),Matching_Engine!$AD$59*Lookup_Lists!$D$128,0))/(IF(ISNUMBER(Matching_Engine!$AA$59),Lookup_Lists!$D$125,0)+IF(ISNUMBER(Matching_Engine!$AB$59),Lookup_Lists!$D$126,0)+IF(ISNUMBER(Matching_Engine!$AC$59),Lookup_Lists!$D$127,0)+IF(ISNUMBER(Matching_Engine!$AD$59),Lookup_Lists!$D$128,0)),0))</f>
        <v>57</v>
      </c>
      <c r="AF59" s="42">
        <f>IF(ISNUMBER(Matching_Engine!$AE$59),1,0)</f>
        <v>1</v>
      </c>
      <c r="AG59" s="65" t="str">
        <f>IF(NOT(ISNUMBER('[1]#REF'!$BG$11)),"N/A",MIN(100,ROUND('[1]#REF'!$BG$11/IFERROR(INDEX(Lookup_Lists!$B$340:$B$344,MATCH('[1]#REF'!$H$11,Lookup_Lists!$A$340:$A$344,0)),Lookup_Lists!$D$141)*100,0)))</f>
        <v>N/A</v>
      </c>
      <c r="AH59" s="65" t="str">
        <f>IF(NOT(ISNUMBER('[1]#REF'!$BS$11)),"N/A",MIN(100,MAX(0,'[1]#REF'!$BS$11)))</f>
        <v>N/A</v>
      </c>
      <c r="AI59" s="65" t="e">
        <f>IF(OR(NOT(ISNUMBER('[1]#REF'!$BM$11)),NOT(ISNUMBER('[1]#REF'!$BN$11)),'[1]#REF'!$BN$11&lt;Lookup_Lists!$D$320),"N/A",MIN(100,ROUND('[1]#REF'!$BM$11/Lookup_Lists!$D$319*100,0)))</f>
        <v>#REF!</v>
      </c>
      <c r="AJ59" s="65" t="str">
        <f>IF(NOT(ISNUMBER('[1]#REF'!$BR$11)),"N/A",'[1]#REF'!$BR$11)</f>
        <v>N/A</v>
      </c>
      <c r="AK59" s="65" t="str">
        <f>IF(NOT(ISNUMBER('[1]#REF'!$BK$11)),"N/A",MIN(100,ROUND('[1]#REF'!$BK$11/Lookup_Lists!$D$321*100,0)))</f>
        <v>N/A</v>
      </c>
      <c r="AL59" s="65" t="str">
        <f>IF(NOT(ISNUMBER('[1]#REF'!$BP$11)),"N/A",MIN(100,MAX(0,ROUND(('[1]#REF'!$BP$11+2)/(Lookup_Lists!$D$145+2)*100,0))))</f>
        <v>N/A</v>
      </c>
      <c r="AM59" s="63">
        <f>IF((IF(ISNUMBER(Matching_Engine!$AG$59),Lookup_Lists!$D$129,0)+IF(ISNUMBER(Matching_Engine!$AH$59),Lookup_Lists!$D$130,0)+IF(ISNUMBER(Matching_Engine!$AI$59),Lookup_Lists!$D$131,0)+IF(ISNUMBER(Matching_Engine!$AJ$59),Lookup_Lists!$D$132,0)+IF(ISNUMBER(Matching_Engine!$AK$59),Lookup_Lists!$D$133,0)+IF(ISNUMBER(Matching_Engine!$AL$59),Lookup_Lists!$D$134,0))=0,"N/A",ROUND((IF(ISNUMBER(Matching_Engine!$AG$59),Matching_Engine!$AG$59*Lookup_Lists!$D$129,0)+IF(ISNUMBER(Matching_Engine!$AH$59),Matching_Engine!$AH$59*Lookup_Lists!$D$130,0)+IF(ISNUMBER(Matching_Engine!$AI$59),Matching_Engine!$AI$59*Lookup_Lists!$D$131,0)+IF(ISNUMBER(Matching_Engine!$AJ$59),Matching_Engine!$AJ$59*Lookup_Lists!$D$132,0)+IF(ISNUMBER(Matching_Engine!$AK$59),Matching_Engine!$AK$59*Lookup_Lists!$D$133,0)+IF(ISNUMBER(Matching_Engine!$AL$59),Matching_Engine!$AL$59*Lookup_Lists!$D$134,0))/(IF(ISNUMBER(Matching_Engine!$AG$59),Lookup_Lists!$D$129,0)+IF(ISNUMBER(Matching_Engine!$AH$59),Lookup_Lists!$D$130,0)+IF(ISNUMBER(Matching_Engine!$AI$59),Lookup_Lists!$D$131,0)+IF(ISNUMBER(Matching_Engine!$AJ$59),Lookup_Lists!$D$132,0)+IF(ISNUMBER(Matching_Engine!$AK$59),Lookup_Lists!$D$133,0)+IF(ISNUMBER(Matching_Engine!$AL$59),Lookup_Lists!$D$134,0)),0))</f>
        <v>60</v>
      </c>
      <c r="AN59" s="42">
        <f>IF(ISNUMBER(Matching_Engine!$AM$59),1,0)</f>
        <v>0</v>
      </c>
      <c r="AO59" s="65" t="str">
        <f>IF(NOT(ISNUMBER('[1]#REF'!$BT$11)),"N/A",MIN(100,MAX(0,'[1]#REF'!$BT$11)))</f>
        <v>N/A</v>
      </c>
      <c r="AP59" s="65" t="str">
        <f>IF(NOT(ISNUMBER('[1]#REF'!$BU$11)),"N/A",MIN(100,MAX(0,'[1]#REF'!$BU$11)))</f>
        <v>N/A</v>
      </c>
      <c r="AQ59" s="65" t="e">
        <f>IF('[1]#REF'!$I$11="Yes",Lookup_Lists!$D$326,IF('[1]#REF'!$I$11="No",Lookup_Lists!$D$327,"N/A"))</f>
        <v>#REF!</v>
      </c>
      <c r="AR59" s="65" t="str">
        <f>IF(NOT(ISNUMBER('[1]#REF'!$BQ$11)),"N/A",MAX(0,ROUND(100-'[1]#REF'!$BQ$11/Lookup_Lists!$D$328*100,0)))</f>
        <v>N/A</v>
      </c>
      <c r="AS59" s="65" t="e">
        <f>IF(NOT(AND(ISTEXT('[1]#REF'!$BV$11),'[1]#REF'!$BV$11&lt;&gt;"N/A")),"N/A",'[1]#REF'!$BV$11)</f>
        <v>#REF!</v>
      </c>
      <c r="AT59" s="63" t="str">
        <f ca="1">IF((IF(ISNUMBER(Matching_Engine!$AO$59),Lookup_Lists!$D$322,0)+IF(ISNUMBER(Matching_Engine!$AP$59),Lookup_Lists!$D$323,0)+IF(ISNUMBER(Matching_Engine!$AQ$59),Lookup_Lists!$D$324,0)+IF(ISNUMBER(Matching_Engine!$AR$59),Lookup_Lists!$D$325,0))=0,"N/A",ROUND((IF(ISNUMBER(Matching_Engine!$AO$59),Matching_Engine!$AO$59*Lookup_Lists!$D$322,0)+IF(ISNUMBER(Matching_Engine!$AP$59),Matching_Engine!$AP$59*Lookup_Lists!$D$323,0)+IF(ISNUMBER(Matching_Engine!$AQ$59),Matching_Engine!$AQ$59*Lookup_Lists!$D$324,0)+IF(ISNUMBER(Matching_Engine!$AR$59),Matching_Engine!$AR$59*Lookup_Lists!$D$325,0))/(IF(ISNUMBER(Matching_Engine!$AO$59),Lookup_Lists!$D$322,0)+IF(ISNUMBER(Matching_Engine!$AP$59),Lookup_Lists!$D$323,0)+IF(ISNUMBER(Matching_Engine!$AQ$59),Lookup_Lists!$D$324,0)+IF(ISNUMBER(Matching_Engine!$AR$59),Lookup_Lists!$D$325,0)),0))</f>
        <v>N/A</v>
      </c>
      <c r="AU59" s="42">
        <f>IF(ISNUMBER(Matching_Engine!$AT$59),1,0)</f>
        <v>1</v>
      </c>
      <c r="AV59" s="42" t="str">
        <f>IF(NOT(ISNUMBER(Matching_Engine!$AT$59)),"Not Screened",IF(Matching_Engine!$AT$59&gt;=Lookup_Lists!$D$329,"Low Risk",IF(Matching_Engine!$AT$59&gt;=Lookup_Lists!$D$330,"Moderate Risk",IF(Matching_Engine!$AT$59&gt;=Lookup_Lists!$D$331,"Elevated Risk","High Risk"))))</f>
        <v>Low Risk</v>
      </c>
      <c r="AW59" s="42" t="e">
        <f ca="1">IF(NOT(ISNUMBER(Matching_Engine!$AT$59)),"No integrity signal: no audience-analysis row for this account.","Integrity screen only — no content-risk reading exists (comments_analysis: 0 rows). "&amp;IF(ISNUMBER(Matching_Engine!$AO$59),"Authenticity "&amp;Matching_Engine!$AO$59&amp;". ","Authenticity N/A. ")&amp;IF(ISNUMBER(Matching_Engine!$AP$59),"Follower quality "&amp;Matching_Engine!$AP$59&amp;". ","Follower quality N/A. ")&amp;IF('[1]#REF'!$I$11="Yes","Platform-verified.","Not platform-verified."))</f>
        <v>#REF!</v>
      </c>
      <c r="AX59" s="65">
        <f>Matching_Engine!$N$59*Lookup_Lists!$D$104+Matching_Engine!$T$59*Lookup_Lists!$D$105+Matching_Engine!$Z$59*Lookup_Lists!$D$106+Matching_Engine!$AF$59*Lookup_Lists!$D$107+Matching_Engine!$AN$59*Lookup_Lists!$D$108+Matching_Engine!$AU$59*Lookup_Lists!$D$109</f>
        <v>3390</v>
      </c>
      <c r="AY59" s="74" t="e">
        <f ca="1">IF(Matching_Engine!$AX$59=0,"N/A",ROUND((IF(Matching_Engine!$N$59=1,Matching_Engine!$M$59*Lookup_Lists!$D$104,0)+IF(Matching_Engine!$T$59=1,Matching_Engine!$S$59*Lookup_Lists!$D$105,0)+IF(Matching_Engine!$Z$59=1,Matching_Engine!$Y$59*Lookup_Lists!$D$106,0)+IF(Matching_Engine!$AF$59=1,Matching_Engine!$AE$59*Lookup_Lists!$D$107,0)+IF(Matching_Engine!$AN$59=1,Matching_Engine!$AM$59*Lookup_Lists!$D$108,0)+IF(Matching_Engine!$AU$59=1,Matching_Engine!$AT$59*Lookup_Lists!$D$109,0))/Matching_Engine!$AX$59,0))</f>
        <v>#VALUE!</v>
      </c>
      <c r="AZ59" s="42" t="str">
        <f ca="1">IF(NOT(ISNUMBER(Matching_Engine!$AY$59)),"Not Scored",IF(Matching_Engine!$AY$59&gt;=Lookup_Lists!$D$152,"Excellent Match",IF(Matching_Engine!$AY$59&gt;=Lookup_Lists!$D$153,"Strong Match",IF(Matching_Engine!$AY$59&gt;=Lookup_Lists!$D$154,"Good Match",IF(Matching_Engine!$AY$59&gt;=Lookup_Lists!$D$155,"Moderate Match","Low Match")))))</f>
        <v>Low Match</v>
      </c>
      <c r="BA59" s="65" t="e">
        <f>'[1]#REF'!$BW$11</f>
        <v>#REF!</v>
      </c>
      <c r="BB59" s="42" t="e">
        <f>'[1]#REF'!$BX$11</f>
        <v>#REF!</v>
      </c>
      <c r="BC59" s="65">
        <f ca="1">IF(NOT(ISNUMBER(Matching_Engine!$AY$59)),-1,Matching_Engine!$AY$59*1000+19)</f>
        <v>49019</v>
      </c>
      <c r="BD59" s="42" t="e">
        <f>IF(AND(ISTEXT('[1]#REF'!$S$11),'[1]#REF'!$S$11&lt;&gt;"N/A"),'[1]#REF'!$S$11,"")&amp;" | "&amp;IF(AND(ISTEXT('[1]#REF'!$T$11),'[1]#REF'!$T$11&lt;&gt;"N/A"),'[1]#REF'!$T$11,"")&amp;" | "&amp;IF(AND(ISTEXT('[1]#REF'!$N$11),'[1]#REF'!$N$11&lt;&gt;"N/A"),'[1]#REF'!$N$11,"")&amp;" | "&amp;IF(AND(ISTEXT('[1]#REF'!$K$11),'[1]#REF'!$K$11&lt;&gt;"N/A"),'[1]#REF'!$K$11,"")&amp;" | "&amp;IF(AND(ISTEXT('[1]#REF'!$J$11),'[1]#REF'!$J$11&lt;&gt;"N/A"),'[1]#REF'!$J$11,"")</f>
        <v>#REF!</v>
      </c>
      <c r="BE59" s="42" t="e">
        <f>IF(AND(ISTEXT('[1]#REF'!$T$11),'[1]#REF'!$T$11&lt;&gt;"N/A"),'[1]#REF'!$T$11,"")&amp;" | "&amp;IF(AND(ISTEXT('[1]#REF'!$N$11),'[1]#REF'!$N$11&lt;&gt;"N/A"),'[1]#REF'!$N$11,"")&amp;" | "&amp;IF(AND(ISTEXT('[1]#REF'!$O$11),'[1]#REF'!$O$11&lt;&gt;"N/A"),'[1]#REF'!$O$11,"")&amp;" | "&amp;IF(AND(ISTEXT('[1]#REF'!$S$11),'[1]#REF'!$S$11&lt;&gt;"N/A"),'[1]#REF'!$S$11,"")</f>
        <v>#REF!</v>
      </c>
      <c r="BF59" s="42" t="e">
        <f>IF(AND(ISTEXT('[1]#REF'!$U$11),'[1]#REF'!$U$11&lt;&gt;"N/A"),'[1]#REF'!$U$11,"")</f>
        <v>#REF!</v>
      </c>
      <c r="BG59" s="42" t="str">
        <f>Matching_Engine!$A$59&amp;"|"&amp;Matching_Engine!$C$59</f>
        <v>BRAND-B|KOL-24</v>
      </c>
    </row>
    <row r="60" spans="1:59">
      <c r="A60" s="64" t="s">
        <v>2529</v>
      </c>
      <c r="B60" s="42" t="str">
        <f>Brand_Profile!$G$6</f>
        <v>Active Value</v>
      </c>
      <c r="C60" s="42" t="e">
        <f>'[1]#REF'!$A$12</f>
        <v>#REF!</v>
      </c>
      <c r="D60" s="42" t="e">
        <f>'[1]#REF'!$C$12</f>
        <v>#REF!</v>
      </c>
      <c r="E60" s="42" t="e">
        <f>'[1]#REF'!$D$12</f>
        <v>#REF!</v>
      </c>
      <c r="F60" s="42" t="e">
        <f>'[1]#REF'!$E$12</f>
        <v>#REF!</v>
      </c>
      <c r="G60" s="42" t="e">
        <f>'[1]#REF'!$K$12</f>
        <v>#REF!</v>
      </c>
      <c r="H60" s="72" t="e">
        <f>'[1]#REF'!$G$12</f>
        <v>#REF!</v>
      </c>
      <c r="I60" s="73" t="e">
        <f>'[1]#REF'!$BG$12</f>
        <v>#REF!</v>
      </c>
      <c r="J60" s="65" t="e">
        <f>IF(NOT(AND(ISTEXT('[1]#REF'!$K$12),'[1]#REF'!$K$12&lt;&gt;"N/A")),Lookup_Lists!$D$150,IF(Brand_Profile!$G$7='[1]#REF'!$K$12,100,IFERROR(INDEX(Lookup_Lists!$B$349:$J$357,MATCH(Brand_Profile!$G$7,Lookup_Lists!$A$349:$A$357,0),MATCH('[1]#REF'!$K$12,Lookup_Lists!$B$348:$J$348,0)),Lookup_Lists!$D$151)))</f>
        <v>#REF!</v>
      </c>
      <c r="K60" s="65" t="e">
        <f>IF(LEN(TRIM(SUBSTITUTE(Matching_Engine!$BD$60,"|","")))=0,"N/A",IF(Brand_Profile!$G$47=0,Lookup_Lists!$D$150,ROUND((IF(Brand_Profile!$G$41="",0,IF(ISNUMBER(SEARCH(Brand_Profile!$G$41,Matching_Engine!$BD$60)),1,0))+IF(Brand_Profile!$G$42="",0,IF(ISNUMBER(SEARCH(Brand_Profile!$G$42,Matching_Engine!$BD$60)),1,0))+IF(Brand_Profile!$G$43="",0,IF(ISNUMBER(SEARCH(Brand_Profile!$G$43,Matching_Engine!$BD$60)),1,0))+IF(Brand_Profile!$G$44="",0,IF(ISNUMBER(SEARCH(Brand_Profile!$G$44,Matching_Engine!$BD$60)),1,0))+IF(Brand_Profile!$G$45="",0,IF(ISNUMBER(SEARCH(Brand_Profile!$G$45,Matching_Engine!$BD$60)),1,0))+IF(Brand_Profile!$G$46="",0,IF(ISNUMBER(SEARCH(Brand_Profile!$G$46,Matching_Engine!$BD$60)),1,0)))/Brand_Profile!$G$47*100,0)))</f>
        <v>#VALUE!</v>
      </c>
      <c r="L60" s="65" t="e">
        <f>IF(NOT(AND(ISTEXT('[1]#REF'!$U$12),'[1]#REF'!$U$12&lt;&gt;"N/A")),"N/A",IF(Brand_Profile!$G$53=0,Lookup_Lists!$D$150,ROUND((IF(Brand_Profile!$G$48="",0,IF(ISNUMBER(SEARCH(Brand_Profile!$G$48,Matching_Engine!$BF$60)),1,0))+IF(Brand_Profile!$G$49="",0,IF(ISNUMBER(SEARCH(Brand_Profile!$G$49,Matching_Engine!$BF$60)),1,0))+IF(Brand_Profile!$G$50="",0,IF(ISNUMBER(SEARCH(Brand_Profile!$G$50,Matching_Engine!$BF$60)),1,0))+IF(Brand_Profile!$G$51="",0,IF(ISNUMBER(SEARCH(Brand_Profile!$G$51,Matching_Engine!$BF$60)),1,0))+IF(Brand_Profile!$G$52="",0,IF(ISNUMBER(SEARCH(Brand_Profile!$G$52,Matching_Engine!$BF$60)),1,0)))/Brand_Profile!$G$53*100,0)))</f>
        <v>#REF!</v>
      </c>
      <c r="M60" s="63" t="str">
        <f>IF((IF(ISNUMBER(Matching_Engine!$J$60),Lookup_Lists!$D$332,0)+IF(ISNUMBER(Matching_Engine!$K$60),Lookup_Lists!$D$333,0)+IF(ISNUMBER(Matching_Engine!$L$60),Lookup_Lists!$D$334,0))=0,"N/A",ROUND((IF(ISNUMBER(Matching_Engine!$J$60),Matching_Engine!$J$60*Lookup_Lists!$D$332,0)+IF(ISNUMBER(Matching_Engine!$K$60),Matching_Engine!$K$60*Lookup_Lists!$D$333,0)+IF(ISNUMBER(Matching_Engine!$L$60),Matching_Engine!$L$60*Lookup_Lists!$D$334,0))/(IF(ISNUMBER(Matching_Engine!$J$60),Lookup_Lists!$D$332,0)+IF(ISNUMBER(Matching_Engine!$K$60),Lookup_Lists!$D$333,0)+IF(ISNUMBER(Matching_Engine!$L$60),Lookup_Lists!$D$334,0)),0))</f>
        <v>N/A</v>
      </c>
      <c r="N60" s="42">
        <f>IF(ISNUMBER(Matching_Engine!$M$60),1,0)</f>
        <v>1</v>
      </c>
      <c r="O60" s="65" t="str">
        <f ca="1">IF(NOT(ISNUMBER(IFERROR(INDEX('[1]#REF'!$V$12:'[1]#REF'!$Z$12,1,MATCH(Brand_Profile!$G$11,Lookup_Lists!$F$6:$F$10,0)),""))),"N/A",MIN(100,ROUND((IFERROR(INDEX('[1]#REF'!$V$12:'[1]#REF'!$Z$12,1,MATCH(Brand_Profile!$G$11,Lookup_Lists!$F$6:$F$10,0)),"")+0.5*IF(ISNUMBER(IFERROR(INDEX('[1]#REF'!$V$12:'[1]#REF'!$Z$12,1,MATCH(Brand_Profile!$G$12,Lookup_Lists!$F$6:$F$10,0)),"")),IFERROR(INDEX('[1]#REF'!$V$12:'[1]#REF'!$Z$12,1,MATCH(Brand_Profile!$G$12,Lookup_Lists!$F$6:$F$10,0)),""),0))/Lookup_Lists!$D$142*100,0)))</f>
        <v>N/A</v>
      </c>
      <c r="P60" s="65" t="str">
        <f>IF(Brand_Profile!$G$13="Any",100,IF(NOT(ISNUMBER('[1]#REF'!$AA$12)),"N/A",IF(Brand_Profile!$G$13="Female",MIN(100,ROUND('[1]#REF'!$AA$12/Lookup_Lists!$D$143*100,0)),IF(Brand_Profile!$G$13="Male",MIN(100,ROUND(IF(ISNUMBER('[1]#REF'!$AB$12),'[1]#REF'!$AB$12,100-'[1]#REF'!$AA$12)/Lookup_Lists!$D$143*100,0)),MAX(0,ROUND(100-ABS('[1]#REF'!$AA$12-50)*2,0))))))</f>
        <v>N/A</v>
      </c>
      <c r="Q60" s="65" t="str">
        <f>IF((IF(ISNUMBER(IF(NOT(ISNUMBER('[1]#REF'!$AE$12)),"N/A",IF('[1]#REF'!$AD$12&lt;&gt;Brand_Profile!$G$14,Lookup_Lists!$D$151,MIN(100,ROUND('[1]#REF'!$AE$12/Lookup_Lists!$D$316*100,0))))),Lookup_Lists!$D$118,0)+IF(ISNUMBER(IF(NOT(ISNUMBER('[1]#REF'!$AM$12)),"N/A",MIN(100,ROUND((IF('[1]#REF'!$AG$12=Brand_Profile!$G$15,IF(ISNUMBER('[1]#REF'!$AH$12),'[1]#REF'!$AH$12,0),0)+IF('[1]#REF'!$AI$12=Brand_Profile!$G$15,IF(ISNUMBER('[1]#REF'!$AJ$12),'[1]#REF'!$AJ$12,0),0)+IF('[1]#REF'!$AK$12=Brand_Profile!$G$15,IF(ISNUMBER('[1]#REF'!$AL$12),'[1]#REF'!$AL$12,0),0))/Lookup_Lists!$D$317*100,0)))),Lookup_Lists!$D$120,0))=0,"N/A",ROUND((IF(ISNUMBER(IF(NOT(ISNUMBER('[1]#REF'!$AE$12)),"N/A",IF('[1]#REF'!$AD$12&lt;&gt;Brand_Profile!$G$14,Lookup_Lists!$D$151,MIN(100,ROUND('[1]#REF'!$AE$12/Lookup_Lists!$D$316*100,0))))),IF(NOT(ISNUMBER('[1]#REF'!$AE$12)),"N/A",IF('[1]#REF'!$AD$12&lt;&gt;Brand_Profile!$G$14,Lookup_Lists!$D$151,MIN(100,ROUND('[1]#REF'!$AE$12/Lookup_Lists!$D$316*100,0))))*Lookup_Lists!$D$118,0)+IF(ISNUMBER(IF(NOT(ISNUMBER('[1]#REF'!$AM$12)),"N/A",MIN(100,ROUND((IF('[1]#REF'!$AG$12=Brand_Profile!$G$15,IF(ISNUMBER('[1]#REF'!$AH$12),'[1]#REF'!$AH$12,0),0)+IF('[1]#REF'!$AI$12=Brand_Profile!$G$15,IF(ISNUMBER('[1]#REF'!$AJ$12),'[1]#REF'!$AJ$12,0),0)+IF('[1]#REF'!$AK$12=Brand_Profile!$G$15,IF(ISNUMBER('[1]#REF'!$AL$12),'[1]#REF'!$AL$12,0),0))/Lookup_Lists!$D$317*100,0)))),IF(NOT(ISNUMBER('[1]#REF'!$AM$12)),"N/A",MIN(100,ROUND((IF('[1]#REF'!$AG$12=Brand_Profile!$G$15,IF(ISNUMBER('[1]#REF'!$AH$12),'[1]#REF'!$AH$12,0),0)+IF('[1]#REF'!$AI$12=Brand_Profile!$G$15,IF(ISNUMBER('[1]#REF'!$AJ$12),'[1]#REF'!$AJ$12,0),0)+IF('[1]#REF'!$AK$12=Brand_Profile!$G$15,IF(ISNUMBER('[1]#REF'!$AL$12),'[1]#REF'!$AL$12,0),0))/Lookup_Lists!$D$317*100,0)))*Lookup_Lists!$D$120,0))/(IF(ISNUMBER(IF(NOT(ISNUMBER('[1]#REF'!$AE$12)),"N/A",IF('[1]#REF'!$AD$12&lt;&gt;Brand_Profile!$G$14,Lookup_Lists!$D$151,MIN(100,ROUND('[1]#REF'!$AE$12/Lookup_Lists!$D$316*100,0))))),Lookup_Lists!$D$118,0)+IF(ISNUMBER(IF(NOT(ISNUMBER('[1]#REF'!$AM$12)),"N/A",MIN(100,ROUND((IF('[1]#REF'!$AG$12=Brand_Profile!$G$15,IF(ISNUMBER('[1]#REF'!$AH$12),'[1]#REF'!$AH$12,0),0)+IF('[1]#REF'!$AI$12=Brand_Profile!$G$15,IF(ISNUMBER('[1]#REF'!$AJ$12),'[1]#REF'!$AJ$12,0),0)+IF('[1]#REF'!$AK$12=Brand_Profile!$G$15,IF(ISNUMBER('[1]#REF'!$AL$12),'[1]#REF'!$AL$12,0),0))/Lookup_Lists!$D$317*100,0)))),Lookup_Lists!$D$120,0)),0))</f>
        <v>N/A</v>
      </c>
      <c r="R60" s="65" t="str">
        <f>IF(NOT(ISNUMBER('[1]#REF'!$AN$12)),"N/A",MIN(100,ROUND((IF(ISNUMBER('[1]#REF'!$AO$12),'[1]#REF'!$AO$12*Brand_Profile!$G$17,0)+IF(ISNUMBER('[1]#REF'!$AP$12),'[1]#REF'!$AP$12*Brand_Profile!$G$18,0)+IF(ISNUMBER('[1]#REF'!$AQ$12),'[1]#REF'!$AQ$12*Brand_Profile!$G$19,0)+IF(ISNUMBER('[1]#REF'!$AR$12),'[1]#REF'!$AR$12*Brand_Profile!$G$20,0)+IF(ISNUMBER('[1]#REF'!$AS$12),'[1]#REF'!$AS$12*Brand_Profile!$G$21,0)+IF(ISNUMBER('[1]#REF'!$AT$12),'[1]#REF'!$AT$12*Brand_Profile!$G$22,0)+IF(ISNUMBER('[1]#REF'!$AU$12),'[1]#REF'!$AU$12*Brand_Profile!$G$23,0)+IF(ISNUMBER('[1]#REF'!$AV$12),'[1]#REF'!$AV$12*Brand_Profile!$G$24,0)+IF(ISNUMBER('[1]#REF'!$AW$12),'[1]#REF'!$AW$12*Brand_Profile!$G$25,0)+IF(ISNUMBER('[1]#REF'!$AX$12),'[1]#REF'!$AX$12*Brand_Profile!$G$26,0)+IF(ISNUMBER('[1]#REF'!$AY$12),'[1]#REF'!$AY$12*Brand_Profile!$G$27,0)+IF(ISNUMBER('[1]#REF'!$AZ$12),'[1]#REF'!$AZ$12*Brand_Profile!$G$28,0)+IF(ISNUMBER('[1]#REF'!$BA$12),'[1]#REF'!$BA$12*Brand_Profile!$G$29,0)+IF(ISNUMBER('[1]#REF'!$BB$12),'[1]#REF'!$BB$12*Brand_Profile!$G$30,0)+IF(ISNUMBER('[1]#REF'!$BC$12),'[1]#REF'!$BC$12*Brand_Profile!$G$31,0)+IF(ISNUMBER('[1]#REF'!$BD$12),'[1]#REF'!$BD$12*Brand_Profile!$G$32,0)+IF(ISNUMBER('[1]#REF'!$BE$12),'[1]#REF'!$BE$12*Brand_Profile!$G$33,0)+IF(ISNUMBER('[1]#REF'!$BF$12),'[1]#REF'!$BF$12*Brand_Profile!$G$34,0))/Lookup_Lists!$D$318*100,0)))</f>
        <v>N/A</v>
      </c>
      <c r="S60" s="63">
        <f ca="1">IF((IF(ISNUMBER(Matching_Engine!$O$60),Lookup_Lists!$D$113,0)+IF(ISNUMBER(Matching_Engine!$P$60),Lookup_Lists!$D$114,0)+IF(ISNUMBER(Matching_Engine!$Q$60),Lookup_Lists!$D$115,0)+IF(ISNUMBER(Matching_Engine!$R$60),Lookup_Lists!$D$116,0))=0,"N/A",ROUND((IF(ISNUMBER(Matching_Engine!$O$60),Matching_Engine!$O$60*Lookup_Lists!$D$113,0)+IF(ISNUMBER(Matching_Engine!$P$60),Matching_Engine!$P$60*Lookup_Lists!$D$114,0)+IF(ISNUMBER(Matching_Engine!$Q$60),Matching_Engine!$Q$60*Lookup_Lists!$D$115,0)+IF(ISNUMBER(Matching_Engine!$R$60),Matching_Engine!$R$60*Lookup_Lists!$D$116,0))/(IF(ISNUMBER(Matching_Engine!$O$60),Lookup_Lists!$D$113,0)+IF(ISNUMBER(Matching_Engine!$P$60),Lookup_Lists!$D$114,0)+IF(ISNUMBER(Matching_Engine!$Q$60),Lookup_Lists!$D$115,0)+IF(ISNUMBER(Matching_Engine!$R$60),Lookup_Lists!$D$116,0)),0))</f>
        <v>60</v>
      </c>
      <c r="T60" s="42">
        <f ca="1">IF(ISNUMBER(Matching_Engine!$S$60),1,0)</f>
        <v>1</v>
      </c>
      <c r="U60" s="65" t="e">
        <f>IF(NOT(AND(ISTEXT('[1]#REF'!$M$12),'[1]#REF'!$M$12&lt;&gt;"N/A")),Lookup_Lists!$D$150,IF(Brand_Profile!$G$7='[1]#REF'!$M$12,100,IFERROR(INDEX(Lookup_Lists!$B$349:$J$357,MATCH(Brand_Profile!$G$7,Lookup_Lists!$A$349:$A$357,0),MATCH('[1]#REF'!$M$12,Lookup_Lists!$B$348:$J$348,0)),Lookup_Lists!$D$151)))</f>
        <v>#REF!</v>
      </c>
      <c r="V60" s="65" t="e">
        <f>IF(NOT(AND(ISTEXT('[1]#REF'!$P$12),'[1]#REF'!$P$12&lt;&gt;"N/A")),"N/A",IFERROR(INDEX(Lookup_Lists!$B$349:$J$357,MATCH(Brand_Profile!$G$7,Lookup_Lists!$A$349:$A$357,0),MATCH('[1]#REF'!$P$12,Lookup_Lists!$B$348:$J$348,0)),Lookup_Lists!$D$151))</f>
        <v>#REF!</v>
      </c>
      <c r="W60" s="65" t="e">
        <f>IF(LEN(TRIM(SUBSTITUTE(Matching_Engine!$BE$60,"|","")))=0,"N/A",IF(Brand_Profile!$G$60=0,Lookup_Lists!$D$150,ROUND((IF(Brand_Profile!$G$54="",0,IF(ISNUMBER(SEARCH(Brand_Profile!$G$54,Matching_Engine!$BE$60)),1,0))+IF(Brand_Profile!$G$55="",0,IF(ISNUMBER(SEARCH(Brand_Profile!$G$55,Matching_Engine!$BE$60)),1,0))+IF(Brand_Profile!$G$56="",0,IF(ISNUMBER(SEARCH(Brand_Profile!$G$56,Matching_Engine!$BE$60)),1,0))+IF(Brand_Profile!$G$57="",0,IF(ISNUMBER(SEARCH(Brand_Profile!$G$57,Matching_Engine!$BE$60)),1,0))+IF(Brand_Profile!$G$58="",0,IF(ISNUMBER(SEARCH(Brand_Profile!$G$58,Matching_Engine!$BE$60)),1,0))+IF(Brand_Profile!$G$59="",0,IF(ISNUMBER(SEARCH(Brand_Profile!$G$59,Matching_Engine!$BE$60)),1,0)))/Brand_Profile!$G$60*100,0)))</f>
        <v>#VALUE!</v>
      </c>
      <c r="X60" s="65" t="e">
        <f>IF(NOT(AND(ISTEXT('[1]#REF'!$Q$12),'[1]#REF'!$Q$12&lt;&gt;"N/A")),"N/A",Lookup_Lists!$D$150)</f>
        <v>#REF!</v>
      </c>
      <c r="Y60" s="63">
        <f>IF((IF(ISNUMBER(Matching_Engine!$U$60),Lookup_Lists!$D$335,0)+IF(ISNUMBER(Matching_Engine!$V$60),Lookup_Lists!$D$122,0)+IF(ISNUMBER(Matching_Engine!$W$60),Lookup_Lists!$D$336,0)+IF(ISNUMBER(Matching_Engine!$X$60),Lookup_Lists!$D$124,0))=0,"N/A",ROUND((IF(ISNUMBER(Matching_Engine!$U$60),Matching_Engine!$U$60*Lookup_Lists!$D$335,0)+IF(ISNUMBER(Matching_Engine!$V$60),Matching_Engine!$V$60*Lookup_Lists!$D$122,0)+IF(ISNUMBER(Matching_Engine!$W$60),Matching_Engine!$W$60*Lookup_Lists!$D$336,0)+IF(ISNUMBER(Matching_Engine!$X$60),Matching_Engine!$X$60*Lookup_Lists!$D$124,0))/(IF(ISNUMBER(Matching_Engine!$U$60),Lookup_Lists!$D$335,0)+IF(ISNUMBER(Matching_Engine!$V$60),Lookup_Lists!$D$122,0)+IF(ISNUMBER(Matching_Engine!$W$60),Lookup_Lists!$D$336,0)+IF(ISNUMBER(Matching_Engine!$X$60),Lookup_Lists!$D$124,0)),0))</f>
        <v>23</v>
      </c>
      <c r="Z60" s="42">
        <f>IF(ISNUMBER(Matching_Engine!$Y$60),1,0)</f>
        <v>1</v>
      </c>
      <c r="AA60" s="65" t="e">
        <f>IF(NOT(AND(ISTEXT('[1]#REF'!$Q$12),'[1]#REF'!$Q$12&lt;&gt;"N/A")),"N/A",Lookup_Lists!$D$150)</f>
        <v>#REF!</v>
      </c>
      <c r="AB60" s="65" t="e">
        <f>IF(NOT(AND(ISTEXT('[1]#REF'!$Q$12),'[1]#REF'!$Q$12&lt;&gt;"N/A")),"N/A",Lookup_Lists!$D$150)</f>
        <v>#REF!</v>
      </c>
      <c r="AC60" s="65" t="str">
        <f t="shared" si="0"/>
        <v>N/A</v>
      </c>
      <c r="AD60" s="65" t="e">
        <f>IF(NOT(AND(ISTEXT('[1]#REF'!$Q$12),'[1]#REF'!$Q$12&lt;&gt;"N/A")),"N/A",Lookup_Lists!$D$150)</f>
        <v>#REF!</v>
      </c>
      <c r="AE60" s="63">
        <f>IF((IF(ISNUMBER(Matching_Engine!$AA$60),Lookup_Lists!$D$125,0)+IF(ISNUMBER(Matching_Engine!$AB$60),Lookup_Lists!$D$126,0)+IF(ISNUMBER(Matching_Engine!$AC$60),Lookup_Lists!$D$127,0)+IF(ISNUMBER(Matching_Engine!$AD$60),Lookup_Lists!$D$128,0))=0,"N/A",ROUND((IF(ISNUMBER(Matching_Engine!$AA$60),Matching_Engine!$AA$60*Lookup_Lists!$D$125,0)+IF(ISNUMBER(Matching_Engine!$AB$60),Matching_Engine!$AB$60*Lookup_Lists!$D$126,0)+IF(ISNUMBER(Matching_Engine!$AC$60),Matching_Engine!$AC$60*Lookup_Lists!$D$127,0)+IF(ISNUMBER(Matching_Engine!$AD$60),Matching_Engine!$AD$60*Lookup_Lists!$D$128,0))/(IF(ISNUMBER(Matching_Engine!$AA$60),Lookup_Lists!$D$125,0)+IF(ISNUMBER(Matching_Engine!$AB$60),Lookup_Lists!$D$126,0)+IF(ISNUMBER(Matching_Engine!$AC$60),Lookup_Lists!$D$127,0)+IF(ISNUMBER(Matching_Engine!$AD$60),Lookup_Lists!$D$128,0)),0))</f>
        <v>44</v>
      </c>
      <c r="AF60" s="42">
        <f>IF(ISNUMBER(Matching_Engine!$AE$60),1,0)</f>
        <v>1</v>
      </c>
      <c r="AG60" s="65" t="str">
        <f>IF(NOT(ISNUMBER('[1]#REF'!$BG$12)),"N/A",MIN(100,ROUND('[1]#REF'!$BG$12/IFERROR(INDEX(Lookup_Lists!$B$340:$B$344,MATCH('[1]#REF'!$H$12,Lookup_Lists!$A$340:$A$344,0)),Lookup_Lists!$D$141)*100,0)))</f>
        <v>N/A</v>
      </c>
      <c r="AH60" s="65" t="str">
        <f>IF(NOT(ISNUMBER('[1]#REF'!$BS$12)),"N/A",MIN(100,MAX(0,'[1]#REF'!$BS$12)))</f>
        <v>N/A</v>
      </c>
      <c r="AI60" s="65" t="e">
        <f>IF(OR(NOT(ISNUMBER('[1]#REF'!$BM$12)),NOT(ISNUMBER('[1]#REF'!$BN$12)),'[1]#REF'!$BN$12&lt;Lookup_Lists!$D$320),"N/A",MIN(100,ROUND('[1]#REF'!$BM$12/Lookup_Lists!$D$319*100,0)))</f>
        <v>#REF!</v>
      </c>
      <c r="AJ60" s="65" t="str">
        <f>IF(NOT(ISNUMBER('[1]#REF'!$BR$12)),"N/A",'[1]#REF'!$BR$12)</f>
        <v>N/A</v>
      </c>
      <c r="AK60" s="65" t="str">
        <f>IF(NOT(ISNUMBER('[1]#REF'!$BK$12)),"N/A",MIN(100,ROUND('[1]#REF'!$BK$12/Lookup_Lists!$D$321*100,0)))</f>
        <v>N/A</v>
      </c>
      <c r="AL60" s="65" t="str">
        <f>IF(NOT(ISNUMBER('[1]#REF'!$BP$12)),"N/A",MIN(100,MAX(0,ROUND(('[1]#REF'!$BP$12+2)/(Lookup_Lists!$D$145+2)*100,0))))</f>
        <v>N/A</v>
      </c>
      <c r="AM60" s="63">
        <f>IF((IF(ISNUMBER(Matching_Engine!$AG$60),Lookup_Lists!$D$129,0)+IF(ISNUMBER(Matching_Engine!$AH$60),Lookup_Lists!$D$130,0)+IF(ISNUMBER(Matching_Engine!$AI$60),Lookup_Lists!$D$131,0)+IF(ISNUMBER(Matching_Engine!$AJ$60),Lookup_Lists!$D$132,0)+IF(ISNUMBER(Matching_Engine!$AK$60),Lookup_Lists!$D$133,0)+IF(ISNUMBER(Matching_Engine!$AL$60),Lookup_Lists!$D$134,0))=0,"N/A",ROUND((IF(ISNUMBER(Matching_Engine!$AG$60),Matching_Engine!$AG$60*Lookup_Lists!$D$129,0)+IF(ISNUMBER(Matching_Engine!$AH$60),Matching_Engine!$AH$60*Lookup_Lists!$D$130,0)+IF(ISNUMBER(Matching_Engine!$AI$60),Matching_Engine!$AI$60*Lookup_Lists!$D$131,0)+IF(ISNUMBER(Matching_Engine!$AJ$60),Matching_Engine!$AJ$60*Lookup_Lists!$D$132,0)+IF(ISNUMBER(Matching_Engine!$AK$60),Matching_Engine!$AK$60*Lookup_Lists!$D$133,0)+IF(ISNUMBER(Matching_Engine!$AL$60),Matching_Engine!$AL$60*Lookup_Lists!$D$134,0))/(IF(ISNUMBER(Matching_Engine!$AG$60),Lookup_Lists!$D$129,0)+IF(ISNUMBER(Matching_Engine!$AH$60),Lookup_Lists!$D$130,0)+IF(ISNUMBER(Matching_Engine!$AI$60),Lookup_Lists!$D$131,0)+IF(ISNUMBER(Matching_Engine!$AJ$60),Lookup_Lists!$D$132,0)+IF(ISNUMBER(Matching_Engine!$AK$60),Lookup_Lists!$D$133,0)+IF(ISNUMBER(Matching_Engine!$AL$60),Lookup_Lists!$D$134,0)),0))</f>
        <v>76</v>
      </c>
      <c r="AN60" s="42">
        <f>IF(ISNUMBER(Matching_Engine!$AM$60),1,0)</f>
        <v>0</v>
      </c>
      <c r="AO60" s="65" t="str">
        <f>IF(NOT(ISNUMBER('[1]#REF'!$BT$12)),"N/A",MIN(100,MAX(0,'[1]#REF'!$BT$12)))</f>
        <v>N/A</v>
      </c>
      <c r="AP60" s="65" t="str">
        <f>IF(NOT(ISNUMBER('[1]#REF'!$BU$12)),"N/A",MIN(100,MAX(0,'[1]#REF'!$BU$12)))</f>
        <v>N/A</v>
      </c>
      <c r="AQ60" s="65" t="e">
        <f>IF('[1]#REF'!$I$12="Yes",Lookup_Lists!$D$326,IF('[1]#REF'!$I$12="No",Lookup_Lists!$D$327,"N/A"))</f>
        <v>#REF!</v>
      </c>
      <c r="AR60" s="65" t="str">
        <f>IF(NOT(ISNUMBER('[1]#REF'!$BQ$12)),"N/A",MAX(0,ROUND(100-'[1]#REF'!$BQ$12/Lookup_Lists!$D$328*100,0)))</f>
        <v>N/A</v>
      </c>
      <c r="AS60" s="65" t="e">
        <f>IF(NOT(AND(ISTEXT('[1]#REF'!$BV$12),'[1]#REF'!$BV$12&lt;&gt;"N/A")),"N/A",'[1]#REF'!$BV$12)</f>
        <v>#REF!</v>
      </c>
      <c r="AT60" s="63" t="str">
        <f ca="1">IF((IF(ISNUMBER(Matching_Engine!$AO$60),Lookup_Lists!$D$322,0)+IF(ISNUMBER(Matching_Engine!$AP$60),Lookup_Lists!$D$323,0)+IF(ISNUMBER(Matching_Engine!$AQ$60),Lookup_Lists!$D$324,0)+IF(ISNUMBER(Matching_Engine!$AR$60),Lookup_Lists!$D$325,0))=0,"N/A",ROUND((IF(ISNUMBER(Matching_Engine!$AO$60),Matching_Engine!$AO$60*Lookup_Lists!$D$322,0)+IF(ISNUMBER(Matching_Engine!$AP$60),Matching_Engine!$AP$60*Lookup_Lists!$D$323,0)+IF(ISNUMBER(Matching_Engine!$AQ$60),Matching_Engine!$AQ$60*Lookup_Lists!$D$324,0)+IF(ISNUMBER(Matching_Engine!$AR$60),Matching_Engine!$AR$60*Lookup_Lists!$D$325,0))/(IF(ISNUMBER(Matching_Engine!$AO$60),Lookup_Lists!$D$322,0)+IF(ISNUMBER(Matching_Engine!$AP$60),Lookup_Lists!$D$323,0)+IF(ISNUMBER(Matching_Engine!$AQ$60),Lookup_Lists!$D$324,0)+IF(ISNUMBER(Matching_Engine!$AR$60),Lookup_Lists!$D$325,0)),0))</f>
        <v>N/A</v>
      </c>
      <c r="AU60" s="42">
        <f>IF(ISNUMBER(Matching_Engine!$AT$60),1,0)</f>
        <v>1</v>
      </c>
      <c r="AV60" s="42" t="str">
        <f>IF(NOT(ISNUMBER(Matching_Engine!$AT$60)),"Not Screened",IF(Matching_Engine!$AT$60&gt;=Lookup_Lists!$D$329,"Low Risk",IF(Matching_Engine!$AT$60&gt;=Lookup_Lists!$D$330,"Moderate Risk",IF(Matching_Engine!$AT$60&gt;=Lookup_Lists!$D$331,"Elevated Risk","High Risk"))))</f>
        <v>Low Risk</v>
      </c>
      <c r="AW60" s="42" t="e">
        <f ca="1">IF(NOT(ISNUMBER(Matching_Engine!$AT$60)),"No integrity signal: no audience-analysis row for this account.","Integrity screen only — no content-risk reading exists (comments_analysis: 0 rows). "&amp;IF(ISNUMBER(Matching_Engine!$AO$60),"Authenticity "&amp;Matching_Engine!$AO$60&amp;". ","Authenticity N/A. ")&amp;IF(ISNUMBER(Matching_Engine!$AP$60),"Follower quality "&amp;Matching_Engine!$AP$60&amp;". ","Follower quality N/A. ")&amp;IF('[1]#REF'!$I$12="Yes","Platform-verified.","Not platform-verified."))</f>
        <v>#REF!</v>
      </c>
      <c r="AX60" s="65">
        <f>Matching_Engine!$N$60*Lookup_Lists!$D$104+Matching_Engine!$T$60*Lookup_Lists!$D$105+Matching_Engine!$Z$60*Lookup_Lists!$D$106+Matching_Engine!$AF$60*Lookup_Lists!$D$107+Matching_Engine!$AN$60*Lookup_Lists!$D$108+Matching_Engine!$AU$60*Lookup_Lists!$D$109</f>
        <v>4009.5</v>
      </c>
      <c r="AY60" s="74" t="e">
        <f ca="1">IF(Matching_Engine!$AX$60=0,"N/A",ROUND((IF(Matching_Engine!$N$60=1,Matching_Engine!$M$60*Lookup_Lists!$D$104,0)+IF(Matching_Engine!$T$60=1,Matching_Engine!$S$60*Lookup_Lists!$D$105,0)+IF(Matching_Engine!$Z$60=1,Matching_Engine!$Y$60*Lookup_Lists!$D$106,0)+IF(Matching_Engine!$AF$60=1,Matching_Engine!$AE$60*Lookup_Lists!$D$107,0)+IF(Matching_Engine!$AN$60=1,Matching_Engine!$AM$60*Lookup_Lists!$D$108,0)+IF(Matching_Engine!$AU$60=1,Matching_Engine!$AT$60*Lookup_Lists!$D$109,0))/Matching_Engine!$AX$60,0))</f>
        <v>#VALUE!</v>
      </c>
      <c r="AZ60" s="42" t="str">
        <f ca="1">IF(NOT(ISNUMBER(Matching_Engine!$AY$60)),"Not Scored",IF(Matching_Engine!$AY$60&gt;=Lookup_Lists!$D$152,"Excellent Match",IF(Matching_Engine!$AY$60&gt;=Lookup_Lists!$D$153,"Strong Match",IF(Matching_Engine!$AY$60&gt;=Lookup_Lists!$D$154,"Good Match",IF(Matching_Engine!$AY$60&gt;=Lookup_Lists!$D$155,"Moderate Match","Low Match")))))</f>
        <v>Not Scored</v>
      </c>
      <c r="BA60" s="65" t="e">
        <f>'[1]#REF'!$BW$12</f>
        <v>#REF!</v>
      </c>
      <c r="BB60" s="42" t="e">
        <f>'[1]#REF'!$BX$12</f>
        <v>#REF!</v>
      </c>
      <c r="BC60" s="65">
        <f ca="1">IF(NOT(ISNUMBER(Matching_Engine!$AY$60)),-1,Matching_Engine!$AY$60*1000+18)</f>
        <v>-1</v>
      </c>
      <c r="BD60" s="42" t="e">
        <f>IF(AND(ISTEXT('[1]#REF'!$S$12),'[1]#REF'!$S$12&lt;&gt;"N/A"),'[1]#REF'!$S$12,"")&amp;" | "&amp;IF(AND(ISTEXT('[1]#REF'!$T$12),'[1]#REF'!$T$12&lt;&gt;"N/A"),'[1]#REF'!$T$12,"")&amp;" | "&amp;IF(AND(ISTEXT('[1]#REF'!$N$12),'[1]#REF'!$N$12&lt;&gt;"N/A"),'[1]#REF'!$N$12,"")&amp;" | "&amp;IF(AND(ISTEXT('[1]#REF'!$K$12),'[1]#REF'!$K$12&lt;&gt;"N/A"),'[1]#REF'!$K$12,"")&amp;" | "&amp;IF(AND(ISTEXT('[1]#REF'!$J$12),'[1]#REF'!$J$12&lt;&gt;"N/A"),'[1]#REF'!$J$12,"")</f>
        <v>#REF!</v>
      </c>
      <c r="BE60" s="42" t="e">
        <f>IF(AND(ISTEXT('[1]#REF'!$T$12),'[1]#REF'!$T$12&lt;&gt;"N/A"),'[1]#REF'!$T$12,"")&amp;" | "&amp;IF(AND(ISTEXT('[1]#REF'!$N$12),'[1]#REF'!$N$12&lt;&gt;"N/A"),'[1]#REF'!$N$12,"")&amp;" | "&amp;IF(AND(ISTEXT('[1]#REF'!$O$12),'[1]#REF'!$O$12&lt;&gt;"N/A"),'[1]#REF'!$O$12,"")&amp;" | "&amp;IF(AND(ISTEXT('[1]#REF'!$S$12),'[1]#REF'!$S$12&lt;&gt;"N/A"),'[1]#REF'!$S$12,"")</f>
        <v>#REF!</v>
      </c>
      <c r="BF60" s="42" t="e">
        <f>IF(AND(ISTEXT('[1]#REF'!$U$12),'[1]#REF'!$U$12&lt;&gt;"N/A"),'[1]#REF'!$U$12,"")</f>
        <v>#REF!</v>
      </c>
      <c r="BG60" s="42" t="str">
        <f>Matching_Engine!$A$60&amp;"|"&amp;Matching_Engine!$C$60</f>
        <v>BRAND-B|KOL-25</v>
      </c>
    </row>
    <row r="61" spans="1:59">
      <c r="A61" s="64" t="s">
        <v>2529</v>
      </c>
      <c r="B61" s="42" t="str">
        <f>Brand_Profile!$G$6</f>
        <v>Active Value</v>
      </c>
      <c r="C61" s="42" t="e">
        <f>'[1]#REF'!$A$13</f>
        <v>#REF!</v>
      </c>
      <c r="D61" s="42" t="e">
        <f>'[1]#REF'!$C$13</f>
        <v>#REF!</v>
      </c>
      <c r="E61" s="42" t="e">
        <f>'[1]#REF'!$D$13</f>
        <v>#REF!</v>
      </c>
      <c r="F61" s="42" t="e">
        <f>'[1]#REF'!$E$13</f>
        <v>#REF!</v>
      </c>
      <c r="G61" s="42" t="e">
        <f>'[1]#REF'!$K$13</f>
        <v>#REF!</v>
      </c>
      <c r="H61" s="72" t="e">
        <f>'[1]#REF'!$G$13</f>
        <v>#REF!</v>
      </c>
      <c r="I61" s="73" t="e">
        <f>'[1]#REF'!$BG$13</f>
        <v>#REF!</v>
      </c>
      <c r="J61" s="65" t="e">
        <f>IF(NOT(AND(ISTEXT('[1]#REF'!$K$13),'[1]#REF'!$K$13&lt;&gt;"N/A")),Lookup_Lists!$D$150,IF(Brand_Profile!$G$7='[1]#REF'!$K$13,100,IFERROR(INDEX(Lookup_Lists!$B$349:$J$357,MATCH(Brand_Profile!$G$7,Lookup_Lists!$A$349:$A$357,0),MATCH('[1]#REF'!$K$13,Lookup_Lists!$B$348:$J$348,0)),Lookup_Lists!$D$151)))</f>
        <v>#REF!</v>
      </c>
      <c r="K61" s="65" t="e">
        <f>IF(LEN(TRIM(SUBSTITUTE(Matching_Engine!$BD$61,"|","")))=0,"N/A",IF(Brand_Profile!$G$47=0,Lookup_Lists!$D$150,ROUND((IF(Brand_Profile!$G$41="",0,IF(ISNUMBER(SEARCH(Brand_Profile!$G$41,Matching_Engine!$BD$61)),1,0))+IF(Brand_Profile!$G$42="",0,IF(ISNUMBER(SEARCH(Brand_Profile!$G$42,Matching_Engine!$BD$61)),1,0))+IF(Brand_Profile!$G$43="",0,IF(ISNUMBER(SEARCH(Brand_Profile!$G$43,Matching_Engine!$BD$61)),1,0))+IF(Brand_Profile!$G$44="",0,IF(ISNUMBER(SEARCH(Brand_Profile!$G$44,Matching_Engine!$BD$61)),1,0))+IF(Brand_Profile!$G$45="",0,IF(ISNUMBER(SEARCH(Brand_Profile!$G$45,Matching_Engine!$BD$61)),1,0))+IF(Brand_Profile!$G$46="",0,IF(ISNUMBER(SEARCH(Brand_Profile!$G$46,Matching_Engine!$BD$61)),1,0)))/Brand_Profile!$G$47*100,0)))</f>
        <v>#VALUE!</v>
      </c>
      <c r="L61" s="65" t="e">
        <f>IF(NOT(AND(ISTEXT('[1]#REF'!$U$13),'[1]#REF'!$U$13&lt;&gt;"N/A")),"N/A",IF(Brand_Profile!$G$53=0,Lookup_Lists!$D$150,ROUND((IF(Brand_Profile!$G$48="",0,IF(ISNUMBER(SEARCH(Brand_Profile!$G$48,Matching_Engine!$BF$61)),1,0))+IF(Brand_Profile!$G$49="",0,IF(ISNUMBER(SEARCH(Brand_Profile!$G$49,Matching_Engine!$BF$61)),1,0))+IF(Brand_Profile!$G$50="",0,IF(ISNUMBER(SEARCH(Brand_Profile!$G$50,Matching_Engine!$BF$61)),1,0))+IF(Brand_Profile!$G$51="",0,IF(ISNUMBER(SEARCH(Brand_Profile!$G$51,Matching_Engine!$BF$61)),1,0))+IF(Brand_Profile!$G$52="",0,IF(ISNUMBER(SEARCH(Brand_Profile!$G$52,Matching_Engine!$BF$61)),1,0)))/Brand_Profile!$G$53*100,0)))</f>
        <v>#REF!</v>
      </c>
      <c r="M61" s="63" t="str">
        <f>IF((IF(ISNUMBER(Matching_Engine!$J$61),Lookup_Lists!$D$332,0)+IF(ISNUMBER(Matching_Engine!$K$61),Lookup_Lists!$D$333,0)+IF(ISNUMBER(Matching_Engine!$L$61),Lookup_Lists!$D$334,0))=0,"N/A",ROUND((IF(ISNUMBER(Matching_Engine!$J$61),Matching_Engine!$J$61*Lookup_Lists!$D$332,0)+IF(ISNUMBER(Matching_Engine!$K$61),Matching_Engine!$K$61*Lookup_Lists!$D$333,0)+IF(ISNUMBER(Matching_Engine!$L$61),Matching_Engine!$L$61*Lookup_Lists!$D$334,0))/(IF(ISNUMBER(Matching_Engine!$J$61),Lookup_Lists!$D$332,0)+IF(ISNUMBER(Matching_Engine!$K$61),Lookup_Lists!$D$333,0)+IF(ISNUMBER(Matching_Engine!$L$61),Lookup_Lists!$D$334,0)),0))</f>
        <v>N/A</v>
      </c>
      <c r="N61" s="42">
        <f>IF(ISNUMBER(Matching_Engine!$M$61),1,0)</f>
        <v>1</v>
      </c>
      <c r="O61" s="65" t="str">
        <f ca="1">IF(NOT(ISNUMBER(IFERROR(INDEX('[1]#REF'!$V$13:'[1]#REF'!$Z$13,1,MATCH(Brand_Profile!$G$11,Lookup_Lists!$F$6:$F$10,0)),""))),"N/A",MIN(100,ROUND((IFERROR(INDEX('[1]#REF'!$V$13:'[1]#REF'!$Z$13,1,MATCH(Brand_Profile!$G$11,Lookup_Lists!$F$6:$F$10,0)),"")+0.5*IF(ISNUMBER(IFERROR(INDEX('[1]#REF'!$V$13:'[1]#REF'!$Z$13,1,MATCH(Brand_Profile!$G$12,Lookup_Lists!$F$6:$F$10,0)),"")),IFERROR(INDEX('[1]#REF'!$V$13:'[1]#REF'!$Z$13,1,MATCH(Brand_Profile!$G$12,Lookup_Lists!$F$6:$F$10,0)),""),0))/Lookup_Lists!$D$142*100,0)))</f>
        <v>N/A</v>
      </c>
      <c r="P61" s="65" t="str">
        <f>IF(Brand_Profile!$G$13="Any",100,IF(NOT(ISNUMBER('[1]#REF'!$AA$13)),"N/A",IF(Brand_Profile!$G$13="Female",MIN(100,ROUND('[1]#REF'!$AA$13/Lookup_Lists!$D$143*100,0)),IF(Brand_Profile!$G$13="Male",MIN(100,ROUND(IF(ISNUMBER('[1]#REF'!$AB$13),'[1]#REF'!$AB$13,100-'[1]#REF'!$AA$13)/Lookup_Lists!$D$143*100,0)),MAX(0,ROUND(100-ABS('[1]#REF'!$AA$13-50)*2,0))))))</f>
        <v>N/A</v>
      </c>
      <c r="Q61" s="65" t="str">
        <f>IF((IF(ISNUMBER(IF(NOT(ISNUMBER('[1]#REF'!$AE$13)),"N/A",IF('[1]#REF'!$AD$13&lt;&gt;Brand_Profile!$G$14,Lookup_Lists!$D$151,MIN(100,ROUND('[1]#REF'!$AE$13/Lookup_Lists!$D$316*100,0))))),Lookup_Lists!$D$118,0)+IF(ISNUMBER(IF(NOT(ISNUMBER('[1]#REF'!$AM$13)),"N/A",MIN(100,ROUND((IF('[1]#REF'!$AG$13=Brand_Profile!$G$15,IF(ISNUMBER('[1]#REF'!$AH$13),'[1]#REF'!$AH$13,0),0)+IF('[1]#REF'!$AI$13=Brand_Profile!$G$15,IF(ISNUMBER('[1]#REF'!$AJ$13),'[1]#REF'!$AJ$13,0),0)+IF('[1]#REF'!$AK$13=Brand_Profile!$G$15,IF(ISNUMBER('[1]#REF'!$AL$13),'[1]#REF'!$AL$13,0),0))/Lookup_Lists!$D$317*100,0)))),Lookup_Lists!$D$120,0))=0,"N/A",ROUND((IF(ISNUMBER(IF(NOT(ISNUMBER('[1]#REF'!$AE$13)),"N/A",IF('[1]#REF'!$AD$13&lt;&gt;Brand_Profile!$G$14,Lookup_Lists!$D$151,MIN(100,ROUND('[1]#REF'!$AE$13/Lookup_Lists!$D$316*100,0))))),IF(NOT(ISNUMBER('[1]#REF'!$AE$13)),"N/A",IF('[1]#REF'!$AD$13&lt;&gt;Brand_Profile!$G$14,Lookup_Lists!$D$151,MIN(100,ROUND('[1]#REF'!$AE$13/Lookup_Lists!$D$316*100,0))))*Lookup_Lists!$D$118,0)+IF(ISNUMBER(IF(NOT(ISNUMBER('[1]#REF'!$AM$13)),"N/A",MIN(100,ROUND((IF('[1]#REF'!$AG$13=Brand_Profile!$G$15,IF(ISNUMBER('[1]#REF'!$AH$13),'[1]#REF'!$AH$13,0),0)+IF('[1]#REF'!$AI$13=Brand_Profile!$G$15,IF(ISNUMBER('[1]#REF'!$AJ$13),'[1]#REF'!$AJ$13,0),0)+IF('[1]#REF'!$AK$13=Brand_Profile!$G$15,IF(ISNUMBER('[1]#REF'!$AL$13),'[1]#REF'!$AL$13,0),0))/Lookup_Lists!$D$317*100,0)))),IF(NOT(ISNUMBER('[1]#REF'!$AM$13)),"N/A",MIN(100,ROUND((IF('[1]#REF'!$AG$13=Brand_Profile!$G$15,IF(ISNUMBER('[1]#REF'!$AH$13),'[1]#REF'!$AH$13,0),0)+IF('[1]#REF'!$AI$13=Brand_Profile!$G$15,IF(ISNUMBER('[1]#REF'!$AJ$13),'[1]#REF'!$AJ$13,0),0)+IF('[1]#REF'!$AK$13=Brand_Profile!$G$15,IF(ISNUMBER('[1]#REF'!$AL$13),'[1]#REF'!$AL$13,0),0))/Lookup_Lists!$D$317*100,0)))*Lookup_Lists!$D$120,0))/(IF(ISNUMBER(IF(NOT(ISNUMBER('[1]#REF'!$AE$13)),"N/A",IF('[1]#REF'!$AD$13&lt;&gt;Brand_Profile!$G$14,Lookup_Lists!$D$151,MIN(100,ROUND('[1]#REF'!$AE$13/Lookup_Lists!$D$316*100,0))))),Lookup_Lists!$D$118,0)+IF(ISNUMBER(IF(NOT(ISNUMBER('[1]#REF'!$AM$13)),"N/A",MIN(100,ROUND((IF('[1]#REF'!$AG$13=Brand_Profile!$G$15,IF(ISNUMBER('[1]#REF'!$AH$13),'[1]#REF'!$AH$13,0),0)+IF('[1]#REF'!$AI$13=Brand_Profile!$G$15,IF(ISNUMBER('[1]#REF'!$AJ$13),'[1]#REF'!$AJ$13,0),0)+IF('[1]#REF'!$AK$13=Brand_Profile!$G$15,IF(ISNUMBER('[1]#REF'!$AL$13),'[1]#REF'!$AL$13,0),0))/Lookup_Lists!$D$317*100,0)))),Lookup_Lists!$D$120,0)),0))</f>
        <v>N/A</v>
      </c>
      <c r="R61" s="65" t="str">
        <f>IF(NOT(ISNUMBER('[1]#REF'!$AN$13)),"N/A",MIN(100,ROUND((IF(ISNUMBER('[1]#REF'!$AO$13),'[1]#REF'!$AO$13*Brand_Profile!$G$17,0)+IF(ISNUMBER('[1]#REF'!$AP$13),'[1]#REF'!$AP$13*Brand_Profile!$G$18,0)+IF(ISNUMBER('[1]#REF'!$AQ$13),'[1]#REF'!$AQ$13*Brand_Profile!$G$19,0)+IF(ISNUMBER('[1]#REF'!$AR$13),'[1]#REF'!$AR$13*Brand_Profile!$G$20,0)+IF(ISNUMBER('[1]#REF'!$AS$13),'[1]#REF'!$AS$13*Brand_Profile!$G$21,0)+IF(ISNUMBER('[1]#REF'!$AT$13),'[1]#REF'!$AT$13*Brand_Profile!$G$22,0)+IF(ISNUMBER('[1]#REF'!$AU$13),'[1]#REF'!$AU$13*Brand_Profile!$G$23,0)+IF(ISNUMBER('[1]#REF'!$AV$13),'[1]#REF'!$AV$13*Brand_Profile!$G$24,0)+IF(ISNUMBER('[1]#REF'!$AW$13),'[1]#REF'!$AW$13*Brand_Profile!$G$25,0)+IF(ISNUMBER('[1]#REF'!$AX$13),'[1]#REF'!$AX$13*Brand_Profile!$G$26,0)+IF(ISNUMBER('[1]#REF'!$AY$13),'[1]#REF'!$AY$13*Brand_Profile!$G$27,0)+IF(ISNUMBER('[1]#REF'!$AZ$13),'[1]#REF'!$AZ$13*Brand_Profile!$G$28,0)+IF(ISNUMBER('[1]#REF'!$BA$13),'[1]#REF'!$BA$13*Brand_Profile!$G$29,0)+IF(ISNUMBER('[1]#REF'!$BB$13),'[1]#REF'!$BB$13*Brand_Profile!$G$30,0)+IF(ISNUMBER('[1]#REF'!$BC$13),'[1]#REF'!$BC$13*Brand_Profile!$G$31,0)+IF(ISNUMBER('[1]#REF'!$BD$13),'[1]#REF'!$BD$13*Brand_Profile!$G$32,0)+IF(ISNUMBER('[1]#REF'!$BE$13),'[1]#REF'!$BE$13*Brand_Profile!$G$33,0)+IF(ISNUMBER('[1]#REF'!$BF$13),'[1]#REF'!$BF$13*Brand_Profile!$G$34,0))/Lookup_Lists!$D$318*100,0)))</f>
        <v>N/A</v>
      </c>
      <c r="S61" s="63">
        <f ca="1">IF((IF(ISNUMBER(Matching_Engine!$O$61),Lookup_Lists!$D$113,0)+IF(ISNUMBER(Matching_Engine!$P$61),Lookup_Lists!$D$114,0)+IF(ISNUMBER(Matching_Engine!$Q$61),Lookup_Lists!$D$115,0)+IF(ISNUMBER(Matching_Engine!$R$61),Lookup_Lists!$D$116,0))=0,"N/A",ROUND((IF(ISNUMBER(Matching_Engine!$O$61),Matching_Engine!$O$61*Lookup_Lists!$D$113,0)+IF(ISNUMBER(Matching_Engine!$P$61),Matching_Engine!$P$61*Lookup_Lists!$D$114,0)+IF(ISNUMBER(Matching_Engine!$Q$61),Matching_Engine!$Q$61*Lookup_Lists!$D$115,0)+IF(ISNUMBER(Matching_Engine!$R$61),Matching_Engine!$R$61*Lookup_Lists!$D$116,0))/(IF(ISNUMBER(Matching_Engine!$O$61),Lookup_Lists!$D$113,0)+IF(ISNUMBER(Matching_Engine!$P$61),Lookup_Lists!$D$114,0)+IF(ISNUMBER(Matching_Engine!$Q$61),Lookup_Lists!$D$115,0)+IF(ISNUMBER(Matching_Engine!$R$61),Lookup_Lists!$D$116,0)),0))</f>
        <v>55</v>
      </c>
      <c r="T61" s="42">
        <f ca="1">IF(ISNUMBER(Matching_Engine!$S$61),1,0)</f>
        <v>1</v>
      </c>
      <c r="U61" s="65" t="e">
        <f>IF(NOT(AND(ISTEXT('[1]#REF'!$M$13),'[1]#REF'!$M$13&lt;&gt;"N/A")),Lookup_Lists!$D$150,IF(Brand_Profile!$G$7='[1]#REF'!$M$13,100,IFERROR(INDEX(Lookup_Lists!$B$349:$J$357,MATCH(Brand_Profile!$G$7,Lookup_Lists!$A$349:$A$357,0),MATCH('[1]#REF'!$M$13,Lookup_Lists!$B$348:$J$348,0)),Lookup_Lists!$D$151)))</f>
        <v>#REF!</v>
      </c>
      <c r="V61" s="65" t="e">
        <f>IF(NOT(AND(ISTEXT('[1]#REF'!$P$13),'[1]#REF'!$P$13&lt;&gt;"N/A")),"N/A",IFERROR(INDEX(Lookup_Lists!$B$349:$J$357,MATCH(Brand_Profile!$G$7,Lookup_Lists!$A$349:$A$357,0),MATCH('[1]#REF'!$P$13,Lookup_Lists!$B$348:$J$348,0)),Lookup_Lists!$D$151))</f>
        <v>#REF!</v>
      </c>
      <c r="W61" s="65" t="e">
        <f>IF(LEN(TRIM(SUBSTITUTE(Matching_Engine!$BE$61,"|","")))=0,"N/A",IF(Brand_Profile!$G$60=0,Lookup_Lists!$D$150,ROUND((IF(Brand_Profile!$G$54="",0,IF(ISNUMBER(SEARCH(Brand_Profile!$G$54,Matching_Engine!$BE$61)),1,0))+IF(Brand_Profile!$G$55="",0,IF(ISNUMBER(SEARCH(Brand_Profile!$G$55,Matching_Engine!$BE$61)),1,0))+IF(Brand_Profile!$G$56="",0,IF(ISNUMBER(SEARCH(Brand_Profile!$G$56,Matching_Engine!$BE$61)),1,0))+IF(Brand_Profile!$G$57="",0,IF(ISNUMBER(SEARCH(Brand_Profile!$G$57,Matching_Engine!$BE$61)),1,0))+IF(Brand_Profile!$G$58="",0,IF(ISNUMBER(SEARCH(Brand_Profile!$G$58,Matching_Engine!$BE$61)),1,0))+IF(Brand_Profile!$G$59="",0,IF(ISNUMBER(SEARCH(Brand_Profile!$G$59,Matching_Engine!$BE$61)),1,0)))/Brand_Profile!$G$60*100,0)))</f>
        <v>#VALUE!</v>
      </c>
      <c r="X61" s="65" t="e">
        <f>IF(NOT(AND(ISTEXT('[1]#REF'!$Q$13),'[1]#REF'!$Q$13&lt;&gt;"N/A")),"N/A",Lookup_Lists!$D$150)</f>
        <v>#REF!</v>
      </c>
      <c r="Y61" s="63">
        <f>IF((IF(ISNUMBER(Matching_Engine!$U$61),Lookup_Lists!$D$335,0)+IF(ISNUMBER(Matching_Engine!$V$61),Lookup_Lists!$D$122,0)+IF(ISNUMBER(Matching_Engine!$W$61),Lookup_Lists!$D$336,0)+IF(ISNUMBER(Matching_Engine!$X$61),Lookup_Lists!$D$124,0))=0,"N/A",ROUND((IF(ISNUMBER(Matching_Engine!$U$61),Matching_Engine!$U$61*Lookup_Lists!$D$335,0)+IF(ISNUMBER(Matching_Engine!$V$61),Matching_Engine!$V$61*Lookup_Lists!$D$122,0)+IF(ISNUMBER(Matching_Engine!$W$61),Matching_Engine!$W$61*Lookup_Lists!$D$336,0)+IF(ISNUMBER(Matching_Engine!$X$61),Matching_Engine!$X$61*Lookup_Lists!$D$124,0))/(IF(ISNUMBER(Matching_Engine!$U$61),Lookup_Lists!$D$335,0)+IF(ISNUMBER(Matching_Engine!$V$61),Lookup_Lists!$D$122,0)+IF(ISNUMBER(Matching_Engine!$W$61),Lookup_Lists!$D$336,0)+IF(ISNUMBER(Matching_Engine!$X$61),Lookup_Lists!$D$124,0)),0))</f>
        <v>15</v>
      </c>
      <c r="Z61" s="42">
        <f>IF(ISNUMBER(Matching_Engine!$Y$61),1,0)</f>
        <v>1</v>
      </c>
      <c r="AA61" s="65" t="e">
        <f>IF(NOT(AND(ISTEXT('[1]#REF'!$Q$13),'[1]#REF'!$Q$13&lt;&gt;"N/A")),"N/A",Lookup_Lists!$D$150)</f>
        <v>#REF!</v>
      </c>
      <c r="AB61" s="65" t="e">
        <f>IF(NOT(AND(ISTEXT('[1]#REF'!$Q$13),'[1]#REF'!$Q$13&lt;&gt;"N/A")),"N/A",Lookup_Lists!$D$150)</f>
        <v>#REF!</v>
      </c>
      <c r="AC61" s="65" t="str">
        <f t="shared" si="0"/>
        <v>N/A</v>
      </c>
      <c r="AD61" s="65" t="e">
        <f>IF(NOT(AND(ISTEXT('[1]#REF'!$Q$13),'[1]#REF'!$Q$13&lt;&gt;"N/A")),"N/A",Lookup_Lists!$D$150)</f>
        <v>#REF!</v>
      </c>
      <c r="AE61" s="63">
        <f>IF((IF(ISNUMBER(Matching_Engine!$AA$61),Lookup_Lists!$D$125,0)+IF(ISNUMBER(Matching_Engine!$AB$61),Lookup_Lists!$D$126,0)+IF(ISNUMBER(Matching_Engine!$AC$61),Lookup_Lists!$D$127,0)+IF(ISNUMBER(Matching_Engine!$AD$61),Lookup_Lists!$D$128,0))=0,"N/A",ROUND((IF(ISNUMBER(Matching_Engine!$AA$61),Matching_Engine!$AA$61*Lookup_Lists!$D$125,0)+IF(ISNUMBER(Matching_Engine!$AB$61),Matching_Engine!$AB$61*Lookup_Lists!$D$126,0)+IF(ISNUMBER(Matching_Engine!$AC$61),Matching_Engine!$AC$61*Lookup_Lists!$D$127,0)+IF(ISNUMBER(Matching_Engine!$AD$61),Matching_Engine!$AD$61*Lookup_Lists!$D$128,0))/(IF(ISNUMBER(Matching_Engine!$AA$61),Lookup_Lists!$D$125,0)+IF(ISNUMBER(Matching_Engine!$AB$61),Lookup_Lists!$D$126,0)+IF(ISNUMBER(Matching_Engine!$AC$61),Lookup_Lists!$D$127,0)+IF(ISNUMBER(Matching_Engine!$AD$61),Lookup_Lists!$D$128,0)),0))</f>
        <v>54</v>
      </c>
      <c r="AF61" s="42">
        <f>IF(ISNUMBER(Matching_Engine!$AE$61),1,0)</f>
        <v>1</v>
      </c>
      <c r="AG61" s="65" t="str">
        <f>IF(NOT(ISNUMBER('[1]#REF'!$BG$13)),"N/A",MIN(100,ROUND('[1]#REF'!$BG$13/IFERROR(INDEX(Lookup_Lists!$B$340:$B$344,MATCH('[1]#REF'!$H$13,Lookup_Lists!$A$340:$A$344,0)),Lookup_Lists!$D$141)*100,0)))</f>
        <v>N/A</v>
      </c>
      <c r="AH61" s="65" t="str">
        <f>IF(NOT(ISNUMBER('[1]#REF'!$BS$13)),"N/A",MIN(100,MAX(0,'[1]#REF'!$BS$13)))</f>
        <v>N/A</v>
      </c>
      <c r="AI61" s="65" t="e">
        <f>IF(OR(NOT(ISNUMBER('[1]#REF'!$BM$13)),NOT(ISNUMBER('[1]#REF'!$BN$13)),'[1]#REF'!$BN$13&lt;Lookup_Lists!$D$320),"N/A",MIN(100,ROUND('[1]#REF'!$BM$13/Lookup_Lists!$D$319*100,0)))</f>
        <v>#REF!</v>
      </c>
      <c r="AJ61" s="65" t="str">
        <f>IF(NOT(ISNUMBER('[1]#REF'!$BR$13)),"N/A",'[1]#REF'!$BR$13)</f>
        <v>N/A</v>
      </c>
      <c r="AK61" s="65" t="str">
        <f>IF(NOT(ISNUMBER('[1]#REF'!$BK$13)),"N/A",MIN(100,ROUND('[1]#REF'!$BK$13/Lookup_Lists!$D$321*100,0)))</f>
        <v>N/A</v>
      </c>
      <c r="AL61" s="65" t="str">
        <f>IF(NOT(ISNUMBER('[1]#REF'!$BP$13)),"N/A",MIN(100,MAX(0,ROUND(('[1]#REF'!$BP$13+2)/(Lookup_Lists!$D$145+2)*100,0))))</f>
        <v>N/A</v>
      </c>
      <c r="AM61" s="63">
        <f>IF((IF(ISNUMBER(Matching_Engine!$AG$61),Lookup_Lists!$D$129,0)+IF(ISNUMBER(Matching_Engine!$AH$61),Lookup_Lists!$D$130,0)+IF(ISNUMBER(Matching_Engine!$AI$61),Lookup_Lists!$D$131,0)+IF(ISNUMBER(Matching_Engine!$AJ$61),Lookup_Lists!$D$132,0)+IF(ISNUMBER(Matching_Engine!$AK$61),Lookup_Lists!$D$133,0)+IF(ISNUMBER(Matching_Engine!$AL$61),Lookup_Lists!$D$134,0))=0,"N/A",ROUND((IF(ISNUMBER(Matching_Engine!$AG$61),Matching_Engine!$AG$61*Lookup_Lists!$D$129,0)+IF(ISNUMBER(Matching_Engine!$AH$61),Matching_Engine!$AH$61*Lookup_Lists!$D$130,0)+IF(ISNUMBER(Matching_Engine!$AI$61),Matching_Engine!$AI$61*Lookup_Lists!$D$131,0)+IF(ISNUMBER(Matching_Engine!$AJ$61),Matching_Engine!$AJ$61*Lookup_Lists!$D$132,0)+IF(ISNUMBER(Matching_Engine!$AK$61),Matching_Engine!$AK$61*Lookup_Lists!$D$133,0)+IF(ISNUMBER(Matching_Engine!$AL$61),Matching_Engine!$AL$61*Lookup_Lists!$D$134,0))/(IF(ISNUMBER(Matching_Engine!$AG$61),Lookup_Lists!$D$129,0)+IF(ISNUMBER(Matching_Engine!$AH$61),Lookup_Lists!$D$130,0)+IF(ISNUMBER(Matching_Engine!$AI$61),Lookup_Lists!$D$131,0)+IF(ISNUMBER(Matching_Engine!$AJ$61),Lookup_Lists!$D$132,0)+IF(ISNUMBER(Matching_Engine!$AK$61),Lookup_Lists!$D$133,0)+IF(ISNUMBER(Matching_Engine!$AL$61),Lookup_Lists!$D$134,0)),0))</f>
        <v>51</v>
      </c>
      <c r="AN61" s="42">
        <f>IF(ISNUMBER(Matching_Engine!$AM$61),1,0)</f>
        <v>0</v>
      </c>
      <c r="AO61" s="65" t="str">
        <f>IF(NOT(ISNUMBER('[1]#REF'!$BT$13)),"N/A",MIN(100,MAX(0,'[1]#REF'!$BT$13)))</f>
        <v>N/A</v>
      </c>
      <c r="AP61" s="65" t="str">
        <f>IF(NOT(ISNUMBER('[1]#REF'!$BU$13)),"N/A",MIN(100,MAX(0,'[1]#REF'!$BU$13)))</f>
        <v>N/A</v>
      </c>
      <c r="AQ61" s="65" t="e">
        <f>IF('[1]#REF'!$I$13="Yes",Lookup_Lists!$D$326,IF('[1]#REF'!$I$13="No",Lookup_Lists!$D$327,"N/A"))</f>
        <v>#REF!</v>
      </c>
      <c r="AR61" s="65" t="str">
        <f>IF(NOT(ISNUMBER('[1]#REF'!$BQ$13)),"N/A",MAX(0,ROUND(100-'[1]#REF'!$BQ$13/Lookup_Lists!$D$328*100,0)))</f>
        <v>N/A</v>
      </c>
      <c r="AS61" s="65" t="e">
        <f>IF(NOT(AND(ISTEXT('[1]#REF'!$BV$13),'[1]#REF'!$BV$13&lt;&gt;"N/A")),"N/A",'[1]#REF'!$BV$13)</f>
        <v>#REF!</v>
      </c>
      <c r="AT61" s="63" t="str">
        <f ca="1">IF((IF(ISNUMBER(Matching_Engine!$AO$61),Lookup_Lists!$D$322,0)+IF(ISNUMBER(Matching_Engine!$AP$61),Lookup_Lists!$D$323,0)+IF(ISNUMBER(Matching_Engine!$AQ$61),Lookup_Lists!$D$324,0)+IF(ISNUMBER(Matching_Engine!$AR$61),Lookup_Lists!$D$325,0))=0,"N/A",ROUND((IF(ISNUMBER(Matching_Engine!$AO$61),Matching_Engine!$AO$61*Lookup_Lists!$D$322,0)+IF(ISNUMBER(Matching_Engine!$AP$61),Matching_Engine!$AP$61*Lookup_Lists!$D$323,0)+IF(ISNUMBER(Matching_Engine!$AQ$61),Matching_Engine!$AQ$61*Lookup_Lists!$D$324,0)+IF(ISNUMBER(Matching_Engine!$AR$61),Matching_Engine!$AR$61*Lookup_Lists!$D$325,0))/(IF(ISNUMBER(Matching_Engine!$AO$61),Lookup_Lists!$D$322,0)+IF(ISNUMBER(Matching_Engine!$AP$61),Lookup_Lists!$D$323,0)+IF(ISNUMBER(Matching_Engine!$AQ$61),Lookup_Lists!$D$324,0)+IF(ISNUMBER(Matching_Engine!$AR$61),Lookup_Lists!$D$325,0)),0))</f>
        <v>N/A</v>
      </c>
      <c r="AU61" s="42">
        <f>IF(ISNUMBER(Matching_Engine!$AT$61),1,0)</f>
        <v>1</v>
      </c>
      <c r="AV61" s="42" t="str">
        <f>IF(NOT(ISNUMBER(Matching_Engine!$AT$61)),"Not Screened",IF(Matching_Engine!$AT$61&gt;=Lookup_Lists!$D$329,"Low Risk",IF(Matching_Engine!$AT$61&gt;=Lookup_Lists!$D$330,"Moderate Risk",IF(Matching_Engine!$AT$61&gt;=Lookup_Lists!$D$331,"Elevated Risk","High Risk"))))</f>
        <v>Low Risk</v>
      </c>
      <c r="AW61" s="42" t="e">
        <f ca="1">IF(NOT(ISNUMBER(Matching_Engine!$AT$61)),"No integrity signal: no audience-analysis row for this account.","Integrity screen only — no content-risk reading exists (comments_analysis: 0 rows). "&amp;IF(ISNUMBER(Matching_Engine!$AO$61),"Authenticity "&amp;Matching_Engine!$AO$61&amp;". ","Authenticity N/A. ")&amp;IF(ISNUMBER(Matching_Engine!$AP$61),"Follower quality "&amp;Matching_Engine!$AP$61&amp;". ","Follower quality N/A. ")&amp;IF('[1]#REF'!$I$13="Yes","Platform-verified.","Not platform-verified."))</f>
        <v>#REF!</v>
      </c>
      <c r="AX61" s="65">
        <f>Matching_Engine!$N$61*Lookup_Lists!$D$104+Matching_Engine!$T$61*Lookup_Lists!$D$105+Matching_Engine!$Z$61*Lookup_Lists!$D$106+Matching_Engine!$AF$61*Lookup_Lists!$D$107+Matching_Engine!$AN$61*Lookup_Lists!$D$108+Matching_Engine!$AU$61*Lookup_Lists!$D$109</f>
        <v>3379.5</v>
      </c>
      <c r="AY61" s="74" t="e">
        <f ca="1">IF(Matching_Engine!$AX$61=0,"N/A",ROUND((IF(Matching_Engine!$N$61=1,Matching_Engine!$M$61*Lookup_Lists!$D$104,0)+IF(Matching_Engine!$T$61=1,Matching_Engine!$S$61*Lookup_Lists!$D$105,0)+IF(Matching_Engine!$Z$61=1,Matching_Engine!$Y$61*Lookup_Lists!$D$106,0)+IF(Matching_Engine!$AF$61=1,Matching_Engine!$AE$61*Lookup_Lists!$D$107,0)+IF(Matching_Engine!$AN$61=1,Matching_Engine!$AM$61*Lookup_Lists!$D$108,0)+IF(Matching_Engine!$AU$61=1,Matching_Engine!$AT$61*Lookup_Lists!$D$109,0))/Matching_Engine!$AX$61,0))</f>
        <v>#VALUE!</v>
      </c>
      <c r="AZ61" s="42" t="str">
        <f ca="1">IF(NOT(ISNUMBER(Matching_Engine!$AY$61)),"Not Scored",IF(Matching_Engine!$AY$61&gt;=Lookup_Lists!$D$152,"Excellent Match",IF(Matching_Engine!$AY$61&gt;=Lookup_Lists!$D$153,"Strong Match",IF(Matching_Engine!$AY$61&gt;=Lookup_Lists!$D$154,"Good Match",IF(Matching_Engine!$AY$61&gt;=Lookup_Lists!$D$155,"Moderate Match","Low Match")))))</f>
        <v>Not Scored</v>
      </c>
      <c r="BA61" s="65" t="e">
        <f>'[1]#REF'!$BW$13</f>
        <v>#REF!</v>
      </c>
      <c r="BB61" s="42" t="e">
        <f>'[1]#REF'!$BX$13</f>
        <v>#REF!</v>
      </c>
      <c r="BC61" s="65">
        <f ca="1">IF(NOT(ISNUMBER(Matching_Engine!$AY$61)),-1,Matching_Engine!$AY$61*1000+17)</f>
        <v>-1</v>
      </c>
      <c r="BD61" s="42" t="e">
        <f>IF(AND(ISTEXT('[1]#REF'!$S$13),'[1]#REF'!$S$13&lt;&gt;"N/A"),'[1]#REF'!$S$13,"")&amp;" | "&amp;IF(AND(ISTEXT('[1]#REF'!$T$13),'[1]#REF'!$T$13&lt;&gt;"N/A"),'[1]#REF'!$T$13,"")&amp;" | "&amp;IF(AND(ISTEXT('[1]#REF'!$N$13),'[1]#REF'!$N$13&lt;&gt;"N/A"),'[1]#REF'!$N$13,"")&amp;" | "&amp;IF(AND(ISTEXT('[1]#REF'!$K$13),'[1]#REF'!$K$13&lt;&gt;"N/A"),'[1]#REF'!$K$13,"")&amp;" | "&amp;IF(AND(ISTEXT('[1]#REF'!$J$13),'[1]#REF'!$J$13&lt;&gt;"N/A"),'[1]#REF'!$J$13,"")</f>
        <v>#REF!</v>
      </c>
      <c r="BE61" s="42" t="e">
        <f>IF(AND(ISTEXT('[1]#REF'!$T$13),'[1]#REF'!$T$13&lt;&gt;"N/A"),'[1]#REF'!$T$13,"")&amp;" | "&amp;IF(AND(ISTEXT('[1]#REF'!$N$13),'[1]#REF'!$N$13&lt;&gt;"N/A"),'[1]#REF'!$N$13,"")&amp;" | "&amp;IF(AND(ISTEXT('[1]#REF'!$O$13),'[1]#REF'!$O$13&lt;&gt;"N/A"),'[1]#REF'!$O$13,"")&amp;" | "&amp;IF(AND(ISTEXT('[1]#REF'!$S$13),'[1]#REF'!$S$13&lt;&gt;"N/A"),'[1]#REF'!$S$13,"")</f>
        <v>#REF!</v>
      </c>
      <c r="BF61" s="42" t="e">
        <f>IF(AND(ISTEXT('[1]#REF'!$U$13),'[1]#REF'!$U$13&lt;&gt;"N/A"),'[1]#REF'!$U$13,"")</f>
        <v>#REF!</v>
      </c>
      <c r="BG61" s="42" t="str">
        <f>Matching_Engine!$A$61&amp;"|"&amp;Matching_Engine!$C$61</f>
        <v>BRAND-B|KOL-26</v>
      </c>
    </row>
    <row r="62" spans="1:59">
      <c r="A62" s="64" t="s">
        <v>2529</v>
      </c>
      <c r="B62" s="42" t="str">
        <f>Brand_Profile!$G$6</f>
        <v>Active Value</v>
      </c>
      <c r="C62" s="42" t="e">
        <f>'[1]#REF'!$A$14</f>
        <v>#REF!</v>
      </c>
      <c r="D62" s="42" t="e">
        <f>'[1]#REF'!$C$14</f>
        <v>#REF!</v>
      </c>
      <c r="E62" s="42" t="e">
        <f>'[1]#REF'!$D$14</f>
        <v>#REF!</v>
      </c>
      <c r="F62" s="42" t="e">
        <f>'[1]#REF'!$E$14</f>
        <v>#REF!</v>
      </c>
      <c r="G62" s="42" t="e">
        <f>'[1]#REF'!$K$14</f>
        <v>#REF!</v>
      </c>
      <c r="H62" s="72" t="e">
        <f>'[1]#REF'!$G$14</f>
        <v>#REF!</v>
      </c>
      <c r="I62" s="73" t="e">
        <f>'[1]#REF'!$BG$14</f>
        <v>#REF!</v>
      </c>
      <c r="J62" s="65" t="e">
        <f>IF(NOT(AND(ISTEXT('[1]#REF'!$K$14),'[1]#REF'!$K$14&lt;&gt;"N/A")),Lookup_Lists!$D$150,IF(Brand_Profile!$G$7='[1]#REF'!$K$14,100,IFERROR(INDEX(Lookup_Lists!$B$349:$J$357,MATCH(Brand_Profile!$G$7,Lookup_Lists!$A$349:$A$357,0),MATCH('[1]#REF'!$K$14,Lookup_Lists!$B$348:$J$348,0)),Lookup_Lists!$D$151)))</f>
        <v>#REF!</v>
      </c>
      <c r="K62" s="65" t="e">
        <f>IF(LEN(TRIM(SUBSTITUTE(Matching_Engine!$BD$62,"|","")))=0,"N/A",IF(Brand_Profile!$G$47=0,Lookup_Lists!$D$150,ROUND((IF(Brand_Profile!$G$41="",0,IF(ISNUMBER(SEARCH(Brand_Profile!$G$41,Matching_Engine!$BD$62)),1,0))+IF(Brand_Profile!$G$42="",0,IF(ISNUMBER(SEARCH(Brand_Profile!$G$42,Matching_Engine!$BD$62)),1,0))+IF(Brand_Profile!$G$43="",0,IF(ISNUMBER(SEARCH(Brand_Profile!$G$43,Matching_Engine!$BD$62)),1,0))+IF(Brand_Profile!$G$44="",0,IF(ISNUMBER(SEARCH(Brand_Profile!$G$44,Matching_Engine!$BD$62)),1,0))+IF(Brand_Profile!$G$45="",0,IF(ISNUMBER(SEARCH(Brand_Profile!$G$45,Matching_Engine!$BD$62)),1,0))+IF(Brand_Profile!$G$46="",0,IF(ISNUMBER(SEARCH(Brand_Profile!$G$46,Matching_Engine!$BD$62)),1,0)))/Brand_Profile!$G$47*100,0)))</f>
        <v>#VALUE!</v>
      </c>
      <c r="L62" s="65" t="e">
        <f>IF(NOT(AND(ISTEXT('[1]#REF'!$U$14),'[1]#REF'!$U$14&lt;&gt;"N/A")),"N/A",IF(Brand_Profile!$G$53=0,Lookup_Lists!$D$150,ROUND((IF(Brand_Profile!$G$48="",0,IF(ISNUMBER(SEARCH(Brand_Profile!$G$48,Matching_Engine!$BF$62)),1,0))+IF(Brand_Profile!$G$49="",0,IF(ISNUMBER(SEARCH(Brand_Profile!$G$49,Matching_Engine!$BF$62)),1,0))+IF(Brand_Profile!$G$50="",0,IF(ISNUMBER(SEARCH(Brand_Profile!$G$50,Matching_Engine!$BF$62)),1,0))+IF(Brand_Profile!$G$51="",0,IF(ISNUMBER(SEARCH(Brand_Profile!$G$51,Matching_Engine!$BF$62)),1,0))+IF(Brand_Profile!$G$52="",0,IF(ISNUMBER(SEARCH(Brand_Profile!$G$52,Matching_Engine!$BF$62)),1,0)))/Brand_Profile!$G$53*100,0)))</f>
        <v>#REF!</v>
      </c>
      <c r="M62" s="63" t="str">
        <f>IF((IF(ISNUMBER(Matching_Engine!$J$62),Lookup_Lists!$D$332,0)+IF(ISNUMBER(Matching_Engine!$K$62),Lookup_Lists!$D$333,0)+IF(ISNUMBER(Matching_Engine!$L$62),Lookup_Lists!$D$334,0))=0,"N/A",ROUND((IF(ISNUMBER(Matching_Engine!$J$62),Matching_Engine!$J$62*Lookup_Lists!$D$332,0)+IF(ISNUMBER(Matching_Engine!$K$62),Matching_Engine!$K$62*Lookup_Lists!$D$333,0)+IF(ISNUMBER(Matching_Engine!$L$62),Matching_Engine!$L$62*Lookup_Lists!$D$334,0))/(IF(ISNUMBER(Matching_Engine!$J$62),Lookup_Lists!$D$332,0)+IF(ISNUMBER(Matching_Engine!$K$62),Lookup_Lists!$D$333,0)+IF(ISNUMBER(Matching_Engine!$L$62),Lookup_Lists!$D$334,0)),0))</f>
        <v>N/A</v>
      </c>
      <c r="N62" s="42">
        <f>IF(ISNUMBER(Matching_Engine!$M$62),1,0)</f>
        <v>1</v>
      </c>
      <c r="O62" s="65" t="str">
        <f ca="1">IF(NOT(ISNUMBER(IFERROR(INDEX('[1]#REF'!$V$14:'[1]#REF'!$Z$14,1,MATCH(Brand_Profile!$G$11,Lookup_Lists!$F$6:$F$10,0)),""))),"N/A",MIN(100,ROUND((IFERROR(INDEX('[1]#REF'!$V$14:'[1]#REF'!$Z$14,1,MATCH(Brand_Profile!$G$11,Lookup_Lists!$F$6:$F$10,0)),"")+0.5*IF(ISNUMBER(IFERROR(INDEX('[1]#REF'!$V$14:'[1]#REF'!$Z$14,1,MATCH(Brand_Profile!$G$12,Lookup_Lists!$F$6:$F$10,0)),"")),IFERROR(INDEX('[1]#REF'!$V$14:'[1]#REF'!$Z$14,1,MATCH(Brand_Profile!$G$12,Lookup_Lists!$F$6:$F$10,0)),""),0))/Lookup_Lists!$D$142*100,0)))</f>
        <v>N/A</v>
      </c>
      <c r="P62" s="65" t="str">
        <f>IF(Brand_Profile!$G$13="Any",100,IF(NOT(ISNUMBER('[1]#REF'!$AA$14)),"N/A",IF(Brand_Profile!$G$13="Female",MIN(100,ROUND('[1]#REF'!$AA$14/Lookup_Lists!$D$143*100,0)),IF(Brand_Profile!$G$13="Male",MIN(100,ROUND(IF(ISNUMBER('[1]#REF'!$AB$14),'[1]#REF'!$AB$14,100-'[1]#REF'!$AA$14)/Lookup_Lists!$D$143*100,0)),MAX(0,ROUND(100-ABS('[1]#REF'!$AA$14-50)*2,0))))))</f>
        <v>N/A</v>
      </c>
      <c r="Q62" s="65" t="str">
        <f>IF((IF(ISNUMBER(IF(NOT(ISNUMBER('[1]#REF'!$AE$14)),"N/A",IF('[1]#REF'!$AD$14&lt;&gt;Brand_Profile!$G$14,Lookup_Lists!$D$151,MIN(100,ROUND('[1]#REF'!$AE$14/Lookup_Lists!$D$316*100,0))))),Lookup_Lists!$D$118,0)+IF(ISNUMBER(IF(NOT(ISNUMBER('[1]#REF'!$AM$14)),"N/A",MIN(100,ROUND((IF('[1]#REF'!$AG$14=Brand_Profile!$G$15,IF(ISNUMBER('[1]#REF'!$AH$14),'[1]#REF'!$AH$14,0),0)+IF('[1]#REF'!$AI$14=Brand_Profile!$G$15,IF(ISNUMBER('[1]#REF'!$AJ$14),'[1]#REF'!$AJ$14,0),0)+IF('[1]#REF'!$AK$14=Brand_Profile!$G$15,IF(ISNUMBER('[1]#REF'!$AL$14),'[1]#REF'!$AL$14,0),0))/Lookup_Lists!$D$317*100,0)))),Lookup_Lists!$D$120,0))=0,"N/A",ROUND((IF(ISNUMBER(IF(NOT(ISNUMBER('[1]#REF'!$AE$14)),"N/A",IF('[1]#REF'!$AD$14&lt;&gt;Brand_Profile!$G$14,Lookup_Lists!$D$151,MIN(100,ROUND('[1]#REF'!$AE$14/Lookup_Lists!$D$316*100,0))))),IF(NOT(ISNUMBER('[1]#REF'!$AE$14)),"N/A",IF('[1]#REF'!$AD$14&lt;&gt;Brand_Profile!$G$14,Lookup_Lists!$D$151,MIN(100,ROUND('[1]#REF'!$AE$14/Lookup_Lists!$D$316*100,0))))*Lookup_Lists!$D$118,0)+IF(ISNUMBER(IF(NOT(ISNUMBER('[1]#REF'!$AM$14)),"N/A",MIN(100,ROUND((IF('[1]#REF'!$AG$14=Brand_Profile!$G$15,IF(ISNUMBER('[1]#REF'!$AH$14),'[1]#REF'!$AH$14,0),0)+IF('[1]#REF'!$AI$14=Brand_Profile!$G$15,IF(ISNUMBER('[1]#REF'!$AJ$14),'[1]#REF'!$AJ$14,0),0)+IF('[1]#REF'!$AK$14=Brand_Profile!$G$15,IF(ISNUMBER('[1]#REF'!$AL$14),'[1]#REF'!$AL$14,0),0))/Lookup_Lists!$D$317*100,0)))),IF(NOT(ISNUMBER('[1]#REF'!$AM$14)),"N/A",MIN(100,ROUND((IF('[1]#REF'!$AG$14=Brand_Profile!$G$15,IF(ISNUMBER('[1]#REF'!$AH$14),'[1]#REF'!$AH$14,0),0)+IF('[1]#REF'!$AI$14=Brand_Profile!$G$15,IF(ISNUMBER('[1]#REF'!$AJ$14),'[1]#REF'!$AJ$14,0),0)+IF('[1]#REF'!$AK$14=Brand_Profile!$G$15,IF(ISNUMBER('[1]#REF'!$AL$14),'[1]#REF'!$AL$14,0),0))/Lookup_Lists!$D$317*100,0)))*Lookup_Lists!$D$120,0))/(IF(ISNUMBER(IF(NOT(ISNUMBER('[1]#REF'!$AE$14)),"N/A",IF('[1]#REF'!$AD$14&lt;&gt;Brand_Profile!$G$14,Lookup_Lists!$D$151,MIN(100,ROUND('[1]#REF'!$AE$14/Lookup_Lists!$D$316*100,0))))),Lookup_Lists!$D$118,0)+IF(ISNUMBER(IF(NOT(ISNUMBER('[1]#REF'!$AM$14)),"N/A",MIN(100,ROUND((IF('[1]#REF'!$AG$14=Brand_Profile!$G$15,IF(ISNUMBER('[1]#REF'!$AH$14),'[1]#REF'!$AH$14,0),0)+IF('[1]#REF'!$AI$14=Brand_Profile!$G$15,IF(ISNUMBER('[1]#REF'!$AJ$14),'[1]#REF'!$AJ$14,0),0)+IF('[1]#REF'!$AK$14=Brand_Profile!$G$15,IF(ISNUMBER('[1]#REF'!$AL$14),'[1]#REF'!$AL$14,0),0))/Lookup_Lists!$D$317*100,0)))),Lookup_Lists!$D$120,0)),0))</f>
        <v>N/A</v>
      </c>
      <c r="R62" s="65" t="str">
        <f>IF(NOT(ISNUMBER('[1]#REF'!$AN$14)),"N/A",MIN(100,ROUND((IF(ISNUMBER('[1]#REF'!$AO$14),'[1]#REF'!$AO$14*Brand_Profile!$G$17,0)+IF(ISNUMBER('[1]#REF'!$AP$14),'[1]#REF'!$AP$14*Brand_Profile!$G$18,0)+IF(ISNUMBER('[1]#REF'!$AQ$14),'[1]#REF'!$AQ$14*Brand_Profile!$G$19,0)+IF(ISNUMBER('[1]#REF'!$AR$14),'[1]#REF'!$AR$14*Brand_Profile!$G$20,0)+IF(ISNUMBER('[1]#REF'!$AS$14),'[1]#REF'!$AS$14*Brand_Profile!$G$21,0)+IF(ISNUMBER('[1]#REF'!$AT$14),'[1]#REF'!$AT$14*Brand_Profile!$G$22,0)+IF(ISNUMBER('[1]#REF'!$AU$14),'[1]#REF'!$AU$14*Brand_Profile!$G$23,0)+IF(ISNUMBER('[1]#REF'!$AV$14),'[1]#REF'!$AV$14*Brand_Profile!$G$24,0)+IF(ISNUMBER('[1]#REF'!$AW$14),'[1]#REF'!$AW$14*Brand_Profile!$G$25,0)+IF(ISNUMBER('[1]#REF'!$AX$14),'[1]#REF'!$AX$14*Brand_Profile!$G$26,0)+IF(ISNUMBER('[1]#REF'!$AY$14),'[1]#REF'!$AY$14*Brand_Profile!$G$27,0)+IF(ISNUMBER('[1]#REF'!$AZ$14),'[1]#REF'!$AZ$14*Brand_Profile!$G$28,0)+IF(ISNUMBER('[1]#REF'!$BA$14),'[1]#REF'!$BA$14*Brand_Profile!$G$29,0)+IF(ISNUMBER('[1]#REF'!$BB$14),'[1]#REF'!$BB$14*Brand_Profile!$G$30,0)+IF(ISNUMBER('[1]#REF'!$BC$14),'[1]#REF'!$BC$14*Brand_Profile!$G$31,0)+IF(ISNUMBER('[1]#REF'!$BD$14),'[1]#REF'!$BD$14*Brand_Profile!$G$32,0)+IF(ISNUMBER('[1]#REF'!$BE$14),'[1]#REF'!$BE$14*Brand_Profile!$G$33,0)+IF(ISNUMBER('[1]#REF'!$BF$14),'[1]#REF'!$BF$14*Brand_Profile!$G$34,0))/Lookup_Lists!$D$318*100,0)))</f>
        <v>N/A</v>
      </c>
      <c r="S62" s="63">
        <f ca="1">IF((IF(ISNUMBER(Matching_Engine!$O$62),Lookup_Lists!$D$113,0)+IF(ISNUMBER(Matching_Engine!$P$62),Lookup_Lists!$D$114,0)+IF(ISNUMBER(Matching_Engine!$Q$62),Lookup_Lists!$D$115,0)+IF(ISNUMBER(Matching_Engine!$R$62),Lookup_Lists!$D$116,0))=0,"N/A",ROUND((IF(ISNUMBER(Matching_Engine!$O$62),Matching_Engine!$O$62*Lookup_Lists!$D$113,0)+IF(ISNUMBER(Matching_Engine!$P$62),Matching_Engine!$P$62*Lookup_Lists!$D$114,0)+IF(ISNUMBER(Matching_Engine!$Q$62),Matching_Engine!$Q$62*Lookup_Lists!$D$115,0)+IF(ISNUMBER(Matching_Engine!$R$62),Matching_Engine!$R$62*Lookup_Lists!$D$116,0))/(IF(ISNUMBER(Matching_Engine!$O$62),Lookup_Lists!$D$113,0)+IF(ISNUMBER(Matching_Engine!$P$62),Lookup_Lists!$D$114,0)+IF(ISNUMBER(Matching_Engine!$Q$62),Lookup_Lists!$D$115,0)+IF(ISNUMBER(Matching_Engine!$R$62),Lookup_Lists!$D$116,0)),0))</f>
        <v>76</v>
      </c>
      <c r="T62" s="42">
        <f ca="1">IF(ISNUMBER(Matching_Engine!$S$62),1,0)</f>
        <v>1</v>
      </c>
      <c r="U62" s="65" t="e">
        <f>IF(NOT(AND(ISTEXT('[1]#REF'!$M$14),'[1]#REF'!$M$14&lt;&gt;"N/A")),Lookup_Lists!$D$150,IF(Brand_Profile!$G$7='[1]#REF'!$M$14,100,IFERROR(INDEX(Lookup_Lists!$B$349:$J$357,MATCH(Brand_Profile!$G$7,Lookup_Lists!$A$349:$A$357,0),MATCH('[1]#REF'!$M$14,Lookup_Lists!$B$348:$J$348,0)),Lookup_Lists!$D$151)))</f>
        <v>#REF!</v>
      </c>
      <c r="V62" s="65" t="e">
        <f>IF(NOT(AND(ISTEXT('[1]#REF'!$P$14),'[1]#REF'!$P$14&lt;&gt;"N/A")),"N/A",IFERROR(INDEX(Lookup_Lists!$B$349:$J$357,MATCH(Brand_Profile!$G$7,Lookup_Lists!$A$349:$A$357,0),MATCH('[1]#REF'!$P$14,Lookup_Lists!$B$348:$J$348,0)),Lookup_Lists!$D$151))</f>
        <v>#REF!</v>
      </c>
      <c r="W62" s="65" t="e">
        <f>IF(LEN(TRIM(SUBSTITUTE(Matching_Engine!$BE$62,"|","")))=0,"N/A",IF(Brand_Profile!$G$60=0,Lookup_Lists!$D$150,ROUND((IF(Brand_Profile!$G$54="",0,IF(ISNUMBER(SEARCH(Brand_Profile!$G$54,Matching_Engine!$BE$62)),1,0))+IF(Brand_Profile!$G$55="",0,IF(ISNUMBER(SEARCH(Brand_Profile!$G$55,Matching_Engine!$BE$62)),1,0))+IF(Brand_Profile!$G$56="",0,IF(ISNUMBER(SEARCH(Brand_Profile!$G$56,Matching_Engine!$BE$62)),1,0))+IF(Brand_Profile!$G$57="",0,IF(ISNUMBER(SEARCH(Brand_Profile!$G$57,Matching_Engine!$BE$62)),1,0))+IF(Brand_Profile!$G$58="",0,IF(ISNUMBER(SEARCH(Brand_Profile!$G$58,Matching_Engine!$BE$62)),1,0))+IF(Brand_Profile!$G$59="",0,IF(ISNUMBER(SEARCH(Brand_Profile!$G$59,Matching_Engine!$BE$62)),1,0)))/Brand_Profile!$G$60*100,0)))</f>
        <v>#VALUE!</v>
      </c>
      <c r="X62" s="65" t="e">
        <f>IF(NOT(AND(ISTEXT('[1]#REF'!$Q$14),'[1]#REF'!$Q$14&lt;&gt;"N/A")),"N/A",Lookup_Lists!$D$150)</f>
        <v>#REF!</v>
      </c>
      <c r="Y62" s="63">
        <f>IF((IF(ISNUMBER(Matching_Engine!$U$62),Lookup_Lists!$D$335,0)+IF(ISNUMBER(Matching_Engine!$V$62),Lookup_Lists!$D$122,0)+IF(ISNUMBER(Matching_Engine!$W$62),Lookup_Lists!$D$336,0)+IF(ISNUMBER(Matching_Engine!$X$62),Lookup_Lists!$D$124,0))=0,"N/A",ROUND((IF(ISNUMBER(Matching_Engine!$U$62),Matching_Engine!$U$62*Lookup_Lists!$D$335,0)+IF(ISNUMBER(Matching_Engine!$V$62),Matching_Engine!$V$62*Lookup_Lists!$D$122,0)+IF(ISNUMBER(Matching_Engine!$W$62),Matching_Engine!$W$62*Lookup_Lists!$D$336,0)+IF(ISNUMBER(Matching_Engine!$X$62),Matching_Engine!$X$62*Lookup_Lists!$D$124,0))/(IF(ISNUMBER(Matching_Engine!$U$62),Lookup_Lists!$D$335,0)+IF(ISNUMBER(Matching_Engine!$V$62),Lookup_Lists!$D$122,0)+IF(ISNUMBER(Matching_Engine!$W$62),Lookup_Lists!$D$336,0)+IF(ISNUMBER(Matching_Engine!$X$62),Lookup_Lists!$D$124,0)),0))</f>
        <v>30</v>
      </c>
      <c r="Z62" s="42">
        <f>IF(ISNUMBER(Matching_Engine!$Y$62),1,0)</f>
        <v>1</v>
      </c>
      <c r="AA62" s="65" t="e">
        <f>IF(NOT(AND(ISTEXT('[1]#REF'!$Q$14),'[1]#REF'!$Q$14&lt;&gt;"N/A")),"N/A",Lookup_Lists!$D$150)</f>
        <v>#REF!</v>
      </c>
      <c r="AB62" s="65" t="e">
        <f>IF(NOT(AND(ISTEXT('[1]#REF'!$Q$14),'[1]#REF'!$Q$14&lt;&gt;"N/A")),"N/A",Lookup_Lists!$D$150)</f>
        <v>#REF!</v>
      </c>
      <c r="AC62" s="65" t="str">
        <f t="shared" si="0"/>
        <v>N/A</v>
      </c>
      <c r="AD62" s="65" t="e">
        <f>IF(NOT(AND(ISTEXT('[1]#REF'!$Q$14),'[1]#REF'!$Q$14&lt;&gt;"N/A")),"N/A",Lookup_Lists!$D$150)</f>
        <v>#REF!</v>
      </c>
      <c r="AE62" s="63">
        <f>IF((IF(ISNUMBER(Matching_Engine!$AA$62),Lookup_Lists!$D$125,0)+IF(ISNUMBER(Matching_Engine!$AB$62),Lookup_Lists!$D$126,0)+IF(ISNUMBER(Matching_Engine!$AC$62),Lookup_Lists!$D$127,0)+IF(ISNUMBER(Matching_Engine!$AD$62),Lookup_Lists!$D$128,0))=0,"N/A",ROUND((IF(ISNUMBER(Matching_Engine!$AA$62),Matching_Engine!$AA$62*Lookup_Lists!$D$125,0)+IF(ISNUMBER(Matching_Engine!$AB$62),Matching_Engine!$AB$62*Lookup_Lists!$D$126,0)+IF(ISNUMBER(Matching_Engine!$AC$62),Matching_Engine!$AC$62*Lookup_Lists!$D$127,0)+IF(ISNUMBER(Matching_Engine!$AD$62),Matching_Engine!$AD$62*Lookup_Lists!$D$128,0))/(IF(ISNUMBER(Matching_Engine!$AA$62),Lookup_Lists!$D$125,0)+IF(ISNUMBER(Matching_Engine!$AB$62),Lookup_Lists!$D$126,0)+IF(ISNUMBER(Matching_Engine!$AC$62),Lookup_Lists!$D$127,0)+IF(ISNUMBER(Matching_Engine!$AD$62),Lookup_Lists!$D$128,0)),0))</f>
        <v>71</v>
      </c>
      <c r="AF62" s="42">
        <f>IF(ISNUMBER(Matching_Engine!$AE$62),1,0)</f>
        <v>1</v>
      </c>
      <c r="AG62" s="65" t="str">
        <f>IF(NOT(ISNUMBER('[1]#REF'!$BG$14)),"N/A",MIN(100,ROUND('[1]#REF'!$BG$14/IFERROR(INDEX(Lookup_Lists!$B$340:$B$344,MATCH('[1]#REF'!$H$14,Lookup_Lists!$A$340:$A$344,0)),Lookup_Lists!$D$141)*100,0)))</f>
        <v>N/A</v>
      </c>
      <c r="AH62" s="65" t="str">
        <f>IF(NOT(ISNUMBER('[1]#REF'!$BS$14)),"N/A",MIN(100,MAX(0,'[1]#REF'!$BS$14)))</f>
        <v>N/A</v>
      </c>
      <c r="AI62" s="65" t="e">
        <f>IF(OR(NOT(ISNUMBER('[1]#REF'!$BM$14)),NOT(ISNUMBER('[1]#REF'!$BN$14)),'[1]#REF'!$BN$14&lt;Lookup_Lists!$D$320),"N/A",MIN(100,ROUND('[1]#REF'!$BM$14/Lookup_Lists!$D$319*100,0)))</f>
        <v>#REF!</v>
      </c>
      <c r="AJ62" s="65" t="str">
        <f>IF(NOT(ISNUMBER('[1]#REF'!$BR$14)),"N/A",'[1]#REF'!$BR$14)</f>
        <v>N/A</v>
      </c>
      <c r="AK62" s="65" t="str">
        <f>IF(NOT(ISNUMBER('[1]#REF'!$BK$14)),"N/A",MIN(100,ROUND('[1]#REF'!$BK$14/Lookup_Lists!$D$321*100,0)))</f>
        <v>N/A</v>
      </c>
      <c r="AL62" s="65" t="str">
        <f>IF(NOT(ISNUMBER('[1]#REF'!$BP$14)),"N/A",MIN(100,MAX(0,ROUND(('[1]#REF'!$BP$14+2)/(Lookup_Lists!$D$145+2)*100,0))))</f>
        <v>N/A</v>
      </c>
      <c r="AM62" s="63">
        <f>IF((IF(ISNUMBER(Matching_Engine!$AG$62),Lookup_Lists!$D$129,0)+IF(ISNUMBER(Matching_Engine!$AH$62),Lookup_Lists!$D$130,0)+IF(ISNUMBER(Matching_Engine!$AI$62),Lookup_Lists!$D$131,0)+IF(ISNUMBER(Matching_Engine!$AJ$62),Lookup_Lists!$D$132,0)+IF(ISNUMBER(Matching_Engine!$AK$62),Lookup_Lists!$D$133,0)+IF(ISNUMBER(Matching_Engine!$AL$62),Lookup_Lists!$D$134,0))=0,"N/A",ROUND((IF(ISNUMBER(Matching_Engine!$AG$62),Matching_Engine!$AG$62*Lookup_Lists!$D$129,0)+IF(ISNUMBER(Matching_Engine!$AH$62),Matching_Engine!$AH$62*Lookup_Lists!$D$130,0)+IF(ISNUMBER(Matching_Engine!$AI$62),Matching_Engine!$AI$62*Lookup_Lists!$D$131,0)+IF(ISNUMBER(Matching_Engine!$AJ$62),Matching_Engine!$AJ$62*Lookup_Lists!$D$132,0)+IF(ISNUMBER(Matching_Engine!$AK$62),Matching_Engine!$AK$62*Lookup_Lists!$D$133,0)+IF(ISNUMBER(Matching_Engine!$AL$62),Matching_Engine!$AL$62*Lookup_Lists!$D$134,0))/(IF(ISNUMBER(Matching_Engine!$AG$62),Lookup_Lists!$D$129,0)+IF(ISNUMBER(Matching_Engine!$AH$62),Lookup_Lists!$D$130,0)+IF(ISNUMBER(Matching_Engine!$AI$62),Lookup_Lists!$D$131,0)+IF(ISNUMBER(Matching_Engine!$AJ$62),Lookup_Lists!$D$132,0)+IF(ISNUMBER(Matching_Engine!$AK$62),Lookup_Lists!$D$133,0)+IF(ISNUMBER(Matching_Engine!$AL$62),Lookup_Lists!$D$134,0)),0))</f>
        <v>62</v>
      </c>
      <c r="AN62" s="42">
        <f>IF(ISNUMBER(Matching_Engine!$AM$62),1,0)</f>
        <v>0</v>
      </c>
      <c r="AO62" s="65" t="str">
        <f>IF(NOT(ISNUMBER('[1]#REF'!$BT$14)),"N/A",MIN(100,MAX(0,'[1]#REF'!$BT$14)))</f>
        <v>N/A</v>
      </c>
      <c r="AP62" s="65" t="str">
        <f>IF(NOT(ISNUMBER('[1]#REF'!$BU$14)),"N/A",MIN(100,MAX(0,'[1]#REF'!$BU$14)))</f>
        <v>N/A</v>
      </c>
      <c r="AQ62" s="65" t="e">
        <f>IF('[1]#REF'!$I$14="Yes",Lookup_Lists!$D$326,IF('[1]#REF'!$I$14="No",Lookup_Lists!$D$327,"N/A"))</f>
        <v>#REF!</v>
      </c>
      <c r="AR62" s="65" t="str">
        <f>IF(NOT(ISNUMBER('[1]#REF'!$BQ$14)),"N/A",MAX(0,ROUND(100-'[1]#REF'!$BQ$14/Lookup_Lists!$D$328*100,0)))</f>
        <v>N/A</v>
      </c>
      <c r="AS62" s="65" t="e">
        <f>IF(NOT(AND(ISTEXT('[1]#REF'!$BV$14),'[1]#REF'!$BV$14&lt;&gt;"N/A")),"N/A",'[1]#REF'!$BV$14)</f>
        <v>#REF!</v>
      </c>
      <c r="AT62" s="63" t="str">
        <f ca="1">IF((IF(ISNUMBER(Matching_Engine!$AO$62),Lookup_Lists!$D$322,0)+IF(ISNUMBER(Matching_Engine!$AP$62),Lookup_Lists!$D$323,0)+IF(ISNUMBER(Matching_Engine!$AQ$62),Lookup_Lists!$D$324,0)+IF(ISNUMBER(Matching_Engine!$AR$62),Lookup_Lists!$D$325,0))=0,"N/A",ROUND((IF(ISNUMBER(Matching_Engine!$AO$62),Matching_Engine!$AO$62*Lookup_Lists!$D$322,0)+IF(ISNUMBER(Matching_Engine!$AP$62),Matching_Engine!$AP$62*Lookup_Lists!$D$323,0)+IF(ISNUMBER(Matching_Engine!$AQ$62),Matching_Engine!$AQ$62*Lookup_Lists!$D$324,0)+IF(ISNUMBER(Matching_Engine!$AR$62),Matching_Engine!$AR$62*Lookup_Lists!$D$325,0))/(IF(ISNUMBER(Matching_Engine!$AO$62),Lookup_Lists!$D$322,0)+IF(ISNUMBER(Matching_Engine!$AP$62),Lookup_Lists!$D$323,0)+IF(ISNUMBER(Matching_Engine!$AQ$62),Lookup_Lists!$D$324,0)+IF(ISNUMBER(Matching_Engine!$AR$62),Lookup_Lists!$D$325,0)),0))</f>
        <v>N/A</v>
      </c>
      <c r="AU62" s="42">
        <f>IF(ISNUMBER(Matching_Engine!$AT$62),1,0)</f>
        <v>1</v>
      </c>
      <c r="AV62" s="42" t="str">
        <f>IF(NOT(ISNUMBER(Matching_Engine!$AT$62)),"Not Screened",IF(Matching_Engine!$AT$62&gt;=Lookup_Lists!$D$329,"Low Risk",IF(Matching_Engine!$AT$62&gt;=Lookup_Lists!$D$330,"Moderate Risk",IF(Matching_Engine!$AT$62&gt;=Lookup_Lists!$D$331,"Elevated Risk","High Risk"))))</f>
        <v>Low Risk</v>
      </c>
      <c r="AW62" s="42" t="e">
        <f ca="1">IF(NOT(ISNUMBER(Matching_Engine!$AT$62)),"No integrity signal: no audience-analysis row for this account.","Integrity screen only — no content-risk reading exists (comments_analysis: 0 rows). "&amp;IF(ISNUMBER(Matching_Engine!$AO$62),"Authenticity "&amp;Matching_Engine!$AO$62&amp;". ","Authenticity N/A. ")&amp;IF(ISNUMBER(Matching_Engine!$AP$62),"Follower quality "&amp;Matching_Engine!$AP$62&amp;". ","Follower quality N/A. ")&amp;IF('[1]#REF'!$I$14="Yes","Platform-verified.","Not platform-verified."))</f>
        <v>#REF!</v>
      </c>
      <c r="AX62" s="65">
        <f>Matching_Engine!$N$62*Lookup_Lists!$D$104+Matching_Engine!$T$62*Lookup_Lists!$D$105+Matching_Engine!$Z$62*Lookup_Lists!$D$106+Matching_Engine!$AF$62*Lookup_Lists!$D$107+Matching_Engine!$AN$62*Lookup_Lists!$D$108+Matching_Engine!$AU$62*Lookup_Lists!$D$109</f>
        <v>5410</v>
      </c>
      <c r="AY62" s="74" t="e">
        <f ca="1">IF(Matching_Engine!$AX$62=0,"N/A",ROUND((IF(Matching_Engine!$N$62=1,Matching_Engine!$M$62*Lookup_Lists!$D$104,0)+IF(Matching_Engine!$T$62=1,Matching_Engine!$S$62*Lookup_Lists!$D$105,0)+IF(Matching_Engine!$Z$62=1,Matching_Engine!$Y$62*Lookup_Lists!$D$106,0)+IF(Matching_Engine!$AF$62=1,Matching_Engine!$AE$62*Lookup_Lists!$D$107,0)+IF(Matching_Engine!$AN$62=1,Matching_Engine!$AM$62*Lookup_Lists!$D$108,0)+IF(Matching_Engine!$AU$62=1,Matching_Engine!$AT$62*Lookup_Lists!$D$109,0))/Matching_Engine!$AX$62,0))</f>
        <v>#VALUE!</v>
      </c>
      <c r="AZ62" s="42" t="str">
        <f ca="1">IF(NOT(ISNUMBER(Matching_Engine!$AY$62)),"Not Scored",IF(Matching_Engine!$AY$62&gt;=Lookup_Lists!$D$152,"Excellent Match",IF(Matching_Engine!$AY$62&gt;=Lookup_Lists!$D$153,"Strong Match",IF(Matching_Engine!$AY$62&gt;=Lookup_Lists!$D$154,"Good Match",IF(Matching_Engine!$AY$62&gt;=Lookup_Lists!$D$155,"Moderate Match","Low Match")))))</f>
        <v>Moderate Match</v>
      </c>
      <c r="BA62" s="65" t="e">
        <f>'[1]#REF'!$BW$14</f>
        <v>#REF!</v>
      </c>
      <c r="BB62" s="42" t="e">
        <f>'[1]#REF'!$BX$14</f>
        <v>#REF!</v>
      </c>
      <c r="BC62" s="65">
        <f ca="1">IF(NOT(ISNUMBER(Matching_Engine!$AY$62)),-1,Matching_Engine!$AY$62*1000+16)</f>
        <v>62016</v>
      </c>
      <c r="BD62" s="42" t="e">
        <f>IF(AND(ISTEXT('[1]#REF'!$S$14),'[1]#REF'!$S$14&lt;&gt;"N/A"),'[1]#REF'!$S$14,"")&amp;" | "&amp;IF(AND(ISTEXT('[1]#REF'!$T$14),'[1]#REF'!$T$14&lt;&gt;"N/A"),'[1]#REF'!$T$14,"")&amp;" | "&amp;IF(AND(ISTEXT('[1]#REF'!$N$14),'[1]#REF'!$N$14&lt;&gt;"N/A"),'[1]#REF'!$N$14,"")&amp;" | "&amp;IF(AND(ISTEXT('[1]#REF'!$K$14),'[1]#REF'!$K$14&lt;&gt;"N/A"),'[1]#REF'!$K$14,"")&amp;" | "&amp;IF(AND(ISTEXT('[1]#REF'!$J$14),'[1]#REF'!$J$14&lt;&gt;"N/A"),'[1]#REF'!$J$14,"")</f>
        <v>#REF!</v>
      </c>
      <c r="BE62" s="42" t="e">
        <f>IF(AND(ISTEXT('[1]#REF'!$T$14),'[1]#REF'!$T$14&lt;&gt;"N/A"),'[1]#REF'!$T$14,"")&amp;" | "&amp;IF(AND(ISTEXT('[1]#REF'!$N$14),'[1]#REF'!$N$14&lt;&gt;"N/A"),'[1]#REF'!$N$14,"")&amp;" | "&amp;IF(AND(ISTEXT('[1]#REF'!$O$14),'[1]#REF'!$O$14&lt;&gt;"N/A"),'[1]#REF'!$O$14,"")&amp;" | "&amp;IF(AND(ISTEXT('[1]#REF'!$S$14),'[1]#REF'!$S$14&lt;&gt;"N/A"),'[1]#REF'!$S$14,"")</f>
        <v>#REF!</v>
      </c>
      <c r="BF62" s="42" t="e">
        <f>IF(AND(ISTEXT('[1]#REF'!$U$14),'[1]#REF'!$U$14&lt;&gt;"N/A"),'[1]#REF'!$U$14,"")</f>
        <v>#REF!</v>
      </c>
      <c r="BG62" s="42" t="str">
        <f>Matching_Engine!$A$62&amp;"|"&amp;Matching_Engine!$C$62</f>
        <v>BRAND-B|KOL-27</v>
      </c>
    </row>
    <row r="63" spans="1:59">
      <c r="A63" s="64" t="s">
        <v>2529</v>
      </c>
      <c r="B63" s="42" t="str">
        <f>Brand_Profile!$G$6</f>
        <v>Active Value</v>
      </c>
      <c r="C63" s="42" t="e">
        <f>'[1]#REF'!$A$15</f>
        <v>#REF!</v>
      </c>
      <c r="D63" s="42" t="e">
        <f>'[1]#REF'!$C$15</f>
        <v>#REF!</v>
      </c>
      <c r="E63" s="42" t="e">
        <f>'[1]#REF'!$D$15</f>
        <v>#REF!</v>
      </c>
      <c r="F63" s="42" t="e">
        <f>'[1]#REF'!$E$15</f>
        <v>#REF!</v>
      </c>
      <c r="G63" s="42" t="e">
        <f>'[1]#REF'!$K$15</f>
        <v>#REF!</v>
      </c>
      <c r="H63" s="72" t="e">
        <f>'[1]#REF'!$G$15</f>
        <v>#REF!</v>
      </c>
      <c r="I63" s="73" t="e">
        <f>'[1]#REF'!$BG$15</f>
        <v>#REF!</v>
      </c>
      <c r="J63" s="65" t="e">
        <f>IF(NOT(AND(ISTEXT('[1]#REF'!$K$15),'[1]#REF'!$K$15&lt;&gt;"N/A")),Lookup_Lists!$D$150,IF(Brand_Profile!$G$7='[1]#REF'!$K$15,100,IFERROR(INDEX(Lookup_Lists!$B$349:$J$357,MATCH(Brand_Profile!$G$7,Lookup_Lists!$A$349:$A$357,0),MATCH('[1]#REF'!$K$15,Lookup_Lists!$B$348:$J$348,0)),Lookup_Lists!$D$151)))</f>
        <v>#REF!</v>
      </c>
      <c r="K63" s="65" t="e">
        <f>IF(LEN(TRIM(SUBSTITUTE(Matching_Engine!$BD$63,"|","")))=0,"N/A",IF(Brand_Profile!$G$47=0,Lookup_Lists!$D$150,ROUND((IF(Brand_Profile!$G$41="",0,IF(ISNUMBER(SEARCH(Brand_Profile!$G$41,Matching_Engine!$BD$63)),1,0))+IF(Brand_Profile!$G$42="",0,IF(ISNUMBER(SEARCH(Brand_Profile!$G$42,Matching_Engine!$BD$63)),1,0))+IF(Brand_Profile!$G$43="",0,IF(ISNUMBER(SEARCH(Brand_Profile!$G$43,Matching_Engine!$BD$63)),1,0))+IF(Brand_Profile!$G$44="",0,IF(ISNUMBER(SEARCH(Brand_Profile!$G$44,Matching_Engine!$BD$63)),1,0))+IF(Brand_Profile!$G$45="",0,IF(ISNUMBER(SEARCH(Brand_Profile!$G$45,Matching_Engine!$BD$63)),1,0))+IF(Brand_Profile!$G$46="",0,IF(ISNUMBER(SEARCH(Brand_Profile!$G$46,Matching_Engine!$BD$63)),1,0)))/Brand_Profile!$G$47*100,0)))</f>
        <v>#VALUE!</v>
      </c>
      <c r="L63" s="65" t="e">
        <f>IF(NOT(AND(ISTEXT('[1]#REF'!$U$15),'[1]#REF'!$U$15&lt;&gt;"N/A")),"N/A",IF(Brand_Profile!$G$53=0,Lookup_Lists!$D$150,ROUND((IF(Brand_Profile!$G$48="",0,IF(ISNUMBER(SEARCH(Brand_Profile!$G$48,Matching_Engine!$BF$63)),1,0))+IF(Brand_Profile!$G$49="",0,IF(ISNUMBER(SEARCH(Brand_Profile!$G$49,Matching_Engine!$BF$63)),1,0))+IF(Brand_Profile!$G$50="",0,IF(ISNUMBER(SEARCH(Brand_Profile!$G$50,Matching_Engine!$BF$63)),1,0))+IF(Brand_Profile!$G$51="",0,IF(ISNUMBER(SEARCH(Brand_Profile!$G$51,Matching_Engine!$BF$63)),1,0))+IF(Brand_Profile!$G$52="",0,IF(ISNUMBER(SEARCH(Brand_Profile!$G$52,Matching_Engine!$BF$63)),1,0)))/Brand_Profile!$G$53*100,0)))</f>
        <v>#REF!</v>
      </c>
      <c r="M63" s="63" t="str">
        <f>IF((IF(ISNUMBER(Matching_Engine!$J$63),Lookup_Lists!$D$332,0)+IF(ISNUMBER(Matching_Engine!$K$63),Lookup_Lists!$D$333,0)+IF(ISNUMBER(Matching_Engine!$L$63),Lookup_Lists!$D$334,0))=0,"N/A",ROUND((IF(ISNUMBER(Matching_Engine!$J$63),Matching_Engine!$J$63*Lookup_Lists!$D$332,0)+IF(ISNUMBER(Matching_Engine!$K$63),Matching_Engine!$K$63*Lookup_Lists!$D$333,0)+IF(ISNUMBER(Matching_Engine!$L$63),Matching_Engine!$L$63*Lookup_Lists!$D$334,0))/(IF(ISNUMBER(Matching_Engine!$J$63),Lookup_Lists!$D$332,0)+IF(ISNUMBER(Matching_Engine!$K$63),Lookup_Lists!$D$333,0)+IF(ISNUMBER(Matching_Engine!$L$63),Lookup_Lists!$D$334,0)),0))</f>
        <v>N/A</v>
      </c>
      <c r="N63" s="42">
        <f>IF(ISNUMBER(Matching_Engine!$M$63),1,0)</f>
        <v>1</v>
      </c>
      <c r="O63" s="65" t="str">
        <f ca="1">IF(NOT(ISNUMBER(IFERROR(INDEX('[1]#REF'!$V$15:'[1]#REF'!$Z$15,1,MATCH(Brand_Profile!$G$11,Lookup_Lists!$F$6:$F$10,0)),""))),"N/A",MIN(100,ROUND((IFERROR(INDEX('[1]#REF'!$V$15:'[1]#REF'!$Z$15,1,MATCH(Brand_Profile!$G$11,Lookup_Lists!$F$6:$F$10,0)),"")+0.5*IF(ISNUMBER(IFERROR(INDEX('[1]#REF'!$V$15:'[1]#REF'!$Z$15,1,MATCH(Brand_Profile!$G$12,Lookup_Lists!$F$6:$F$10,0)),"")),IFERROR(INDEX('[1]#REF'!$V$15:'[1]#REF'!$Z$15,1,MATCH(Brand_Profile!$G$12,Lookup_Lists!$F$6:$F$10,0)),""),0))/Lookup_Lists!$D$142*100,0)))</f>
        <v>N/A</v>
      </c>
      <c r="P63" s="65" t="str">
        <f>IF(Brand_Profile!$G$13="Any",100,IF(NOT(ISNUMBER('[1]#REF'!$AA$15)),"N/A",IF(Brand_Profile!$G$13="Female",MIN(100,ROUND('[1]#REF'!$AA$15/Lookup_Lists!$D$143*100,0)),IF(Brand_Profile!$G$13="Male",MIN(100,ROUND(IF(ISNUMBER('[1]#REF'!$AB$15),'[1]#REF'!$AB$15,100-'[1]#REF'!$AA$15)/Lookup_Lists!$D$143*100,0)),MAX(0,ROUND(100-ABS('[1]#REF'!$AA$15-50)*2,0))))))</f>
        <v>N/A</v>
      </c>
      <c r="Q63" s="65" t="str">
        <f>IF((IF(ISNUMBER(IF(NOT(ISNUMBER('[1]#REF'!$AE$15)),"N/A",IF('[1]#REF'!$AD$15&lt;&gt;Brand_Profile!$G$14,Lookup_Lists!$D$151,MIN(100,ROUND('[1]#REF'!$AE$15/Lookup_Lists!$D$316*100,0))))),Lookup_Lists!$D$118,0)+IF(ISNUMBER(IF(NOT(ISNUMBER('[1]#REF'!$AM$15)),"N/A",MIN(100,ROUND((IF('[1]#REF'!$AG$15=Brand_Profile!$G$15,IF(ISNUMBER('[1]#REF'!$AH$15),'[1]#REF'!$AH$15,0),0)+IF('[1]#REF'!$AI$15=Brand_Profile!$G$15,IF(ISNUMBER('[1]#REF'!$AJ$15),'[1]#REF'!$AJ$15,0),0)+IF('[1]#REF'!$AK$15=Brand_Profile!$G$15,IF(ISNUMBER('[1]#REF'!$AL$15),'[1]#REF'!$AL$15,0),0))/Lookup_Lists!$D$317*100,0)))),Lookup_Lists!$D$120,0))=0,"N/A",ROUND((IF(ISNUMBER(IF(NOT(ISNUMBER('[1]#REF'!$AE$15)),"N/A",IF('[1]#REF'!$AD$15&lt;&gt;Brand_Profile!$G$14,Lookup_Lists!$D$151,MIN(100,ROUND('[1]#REF'!$AE$15/Lookup_Lists!$D$316*100,0))))),IF(NOT(ISNUMBER('[1]#REF'!$AE$15)),"N/A",IF('[1]#REF'!$AD$15&lt;&gt;Brand_Profile!$G$14,Lookup_Lists!$D$151,MIN(100,ROUND('[1]#REF'!$AE$15/Lookup_Lists!$D$316*100,0))))*Lookup_Lists!$D$118,0)+IF(ISNUMBER(IF(NOT(ISNUMBER('[1]#REF'!$AM$15)),"N/A",MIN(100,ROUND((IF('[1]#REF'!$AG$15=Brand_Profile!$G$15,IF(ISNUMBER('[1]#REF'!$AH$15),'[1]#REF'!$AH$15,0),0)+IF('[1]#REF'!$AI$15=Brand_Profile!$G$15,IF(ISNUMBER('[1]#REF'!$AJ$15),'[1]#REF'!$AJ$15,0),0)+IF('[1]#REF'!$AK$15=Brand_Profile!$G$15,IF(ISNUMBER('[1]#REF'!$AL$15),'[1]#REF'!$AL$15,0),0))/Lookup_Lists!$D$317*100,0)))),IF(NOT(ISNUMBER('[1]#REF'!$AM$15)),"N/A",MIN(100,ROUND((IF('[1]#REF'!$AG$15=Brand_Profile!$G$15,IF(ISNUMBER('[1]#REF'!$AH$15),'[1]#REF'!$AH$15,0),0)+IF('[1]#REF'!$AI$15=Brand_Profile!$G$15,IF(ISNUMBER('[1]#REF'!$AJ$15),'[1]#REF'!$AJ$15,0),0)+IF('[1]#REF'!$AK$15=Brand_Profile!$G$15,IF(ISNUMBER('[1]#REF'!$AL$15),'[1]#REF'!$AL$15,0),0))/Lookup_Lists!$D$317*100,0)))*Lookup_Lists!$D$120,0))/(IF(ISNUMBER(IF(NOT(ISNUMBER('[1]#REF'!$AE$15)),"N/A",IF('[1]#REF'!$AD$15&lt;&gt;Brand_Profile!$G$14,Lookup_Lists!$D$151,MIN(100,ROUND('[1]#REF'!$AE$15/Lookup_Lists!$D$316*100,0))))),Lookup_Lists!$D$118,0)+IF(ISNUMBER(IF(NOT(ISNUMBER('[1]#REF'!$AM$15)),"N/A",MIN(100,ROUND((IF('[1]#REF'!$AG$15=Brand_Profile!$G$15,IF(ISNUMBER('[1]#REF'!$AH$15),'[1]#REF'!$AH$15,0),0)+IF('[1]#REF'!$AI$15=Brand_Profile!$G$15,IF(ISNUMBER('[1]#REF'!$AJ$15),'[1]#REF'!$AJ$15,0),0)+IF('[1]#REF'!$AK$15=Brand_Profile!$G$15,IF(ISNUMBER('[1]#REF'!$AL$15),'[1]#REF'!$AL$15,0),0))/Lookup_Lists!$D$317*100,0)))),Lookup_Lists!$D$120,0)),0))</f>
        <v>N/A</v>
      </c>
      <c r="R63" s="65" t="str">
        <f>IF(NOT(ISNUMBER('[1]#REF'!$AN$15)),"N/A",MIN(100,ROUND((IF(ISNUMBER('[1]#REF'!$AO$15),'[1]#REF'!$AO$15*Brand_Profile!$G$17,0)+IF(ISNUMBER('[1]#REF'!$AP$15),'[1]#REF'!$AP$15*Brand_Profile!$G$18,0)+IF(ISNUMBER('[1]#REF'!$AQ$15),'[1]#REF'!$AQ$15*Brand_Profile!$G$19,0)+IF(ISNUMBER('[1]#REF'!$AR$15),'[1]#REF'!$AR$15*Brand_Profile!$G$20,0)+IF(ISNUMBER('[1]#REF'!$AS$15),'[1]#REF'!$AS$15*Brand_Profile!$G$21,0)+IF(ISNUMBER('[1]#REF'!$AT$15),'[1]#REF'!$AT$15*Brand_Profile!$G$22,0)+IF(ISNUMBER('[1]#REF'!$AU$15),'[1]#REF'!$AU$15*Brand_Profile!$G$23,0)+IF(ISNUMBER('[1]#REF'!$AV$15),'[1]#REF'!$AV$15*Brand_Profile!$G$24,0)+IF(ISNUMBER('[1]#REF'!$AW$15),'[1]#REF'!$AW$15*Brand_Profile!$G$25,0)+IF(ISNUMBER('[1]#REF'!$AX$15),'[1]#REF'!$AX$15*Brand_Profile!$G$26,0)+IF(ISNUMBER('[1]#REF'!$AY$15),'[1]#REF'!$AY$15*Brand_Profile!$G$27,0)+IF(ISNUMBER('[1]#REF'!$AZ$15),'[1]#REF'!$AZ$15*Brand_Profile!$G$28,0)+IF(ISNUMBER('[1]#REF'!$BA$15),'[1]#REF'!$BA$15*Brand_Profile!$G$29,0)+IF(ISNUMBER('[1]#REF'!$BB$15),'[1]#REF'!$BB$15*Brand_Profile!$G$30,0)+IF(ISNUMBER('[1]#REF'!$BC$15),'[1]#REF'!$BC$15*Brand_Profile!$G$31,0)+IF(ISNUMBER('[1]#REF'!$BD$15),'[1]#REF'!$BD$15*Brand_Profile!$G$32,0)+IF(ISNUMBER('[1]#REF'!$BE$15),'[1]#REF'!$BE$15*Brand_Profile!$G$33,0)+IF(ISNUMBER('[1]#REF'!$BF$15),'[1]#REF'!$BF$15*Brand_Profile!$G$34,0))/Lookup_Lists!$D$318*100,0)))</f>
        <v>N/A</v>
      </c>
      <c r="S63" s="63">
        <f ca="1">IF((IF(ISNUMBER(Matching_Engine!$O$63),Lookup_Lists!$D$113,0)+IF(ISNUMBER(Matching_Engine!$P$63),Lookup_Lists!$D$114,0)+IF(ISNUMBER(Matching_Engine!$Q$63),Lookup_Lists!$D$115,0)+IF(ISNUMBER(Matching_Engine!$R$63),Lookup_Lists!$D$116,0))=0,"N/A",ROUND((IF(ISNUMBER(Matching_Engine!$O$63),Matching_Engine!$O$63*Lookup_Lists!$D$113,0)+IF(ISNUMBER(Matching_Engine!$P$63),Matching_Engine!$P$63*Lookup_Lists!$D$114,0)+IF(ISNUMBER(Matching_Engine!$Q$63),Matching_Engine!$Q$63*Lookup_Lists!$D$115,0)+IF(ISNUMBER(Matching_Engine!$R$63),Matching_Engine!$R$63*Lookup_Lists!$D$116,0))/(IF(ISNUMBER(Matching_Engine!$O$63),Lookup_Lists!$D$113,0)+IF(ISNUMBER(Matching_Engine!$P$63),Lookup_Lists!$D$114,0)+IF(ISNUMBER(Matching_Engine!$Q$63),Lookup_Lists!$D$115,0)+IF(ISNUMBER(Matching_Engine!$R$63),Lookup_Lists!$D$116,0)),0))</f>
        <v>76</v>
      </c>
      <c r="T63" s="42">
        <f ca="1">IF(ISNUMBER(Matching_Engine!$S$63),1,0)</f>
        <v>1</v>
      </c>
      <c r="U63" s="65" t="e">
        <f>IF(NOT(AND(ISTEXT('[1]#REF'!$M$15),'[1]#REF'!$M$15&lt;&gt;"N/A")),Lookup_Lists!$D$150,IF(Brand_Profile!$G$7='[1]#REF'!$M$15,100,IFERROR(INDEX(Lookup_Lists!$B$349:$J$357,MATCH(Brand_Profile!$G$7,Lookup_Lists!$A$349:$A$357,0),MATCH('[1]#REF'!$M$15,Lookup_Lists!$B$348:$J$348,0)),Lookup_Lists!$D$151)))</f>
        <v>#REF!</v>
      </c>
      <c r="V63" s="65" t="e">
        <f>IF(NOT(AND(ISTEXT('[1]#REF'!$P$15),'[1]#REF'!$P$15&lt;&gt;"N/A")),"N/A",IFERROR(INDEX(Lookup_Lists!$B$349:$J$357,MATCH(Brand_Profile!$G$7,Lookup_Lists!$A$349:$A$357,0),MATCH('[1]#REF'!$P$15,Lookup_Lists!$B$348:$J$348,0)),Lookup_Lists!$D$151))</f>
        <v>#REF!</v>
      </c>
      <c r="W63" s="65" t="e">
        <f>IF(LEN(TRIM(SUBSTITUTE(Matching_Engine!$BE$63,"|","")))=0,"N/A",IF(Brand_Profile!$G$60=0,Lookup_Lists!$D$150,ROUND((IF(Brand_Profile!$G$54="",0,IF(ISNUMBER(SEARCH(Brand_Profile!$G$54,Matching_Engine!$BE$63)),1,0))+IF(Brand_Profile!$G$55="",0,IF(ISNUMBER(SEARCH(Brand_Profile!$G$55,Matching_Engine!$BE$63)),1,0))+IF(Brand_Profile!$G$56="",0,IF(ISNUMBER(SEARCH(Brand_Profile!$G$56,Matching_Engine!$BE$63)),1,0))+IF(Brand_Profile!$G$57="",0,IF(ISNUMBER(SEARCH(Brand_Profile!$G$57,Matching_Engine!$BE$63)),1,0))+IF(Brand_Profile!$G$58="",0,IF(ISNUMBER(SEARCH(Brand_Profile!$G$58,Matching_Engine!$BE$63)),1,0))+IF(Brand_Profile!$G$59="",0,IF(ISNUMBER(SEARCH(Brand_Profile!$G$59,Matching_Engine!$BE$63)),1,0)))/Brand_Profile!$G$60*100,0)))</f>
        <v>#VALUE!</v>
      </c>
      <c r="X63" s="65" t="e">
        <f>IF(NOT(AND(ISTEXT('[1]#REF'!$Q$15),'[1]#REF'!$Q$15&lt;&gt;"N/A")),"N/A",Lookup_Lists!$D$150)</f>
        <v>#REF!</v>
      </c>
      <c r="Y63" s="63">
        <f>IF((IF(ISNUMBER(Matching_Engine!$U$63),Lookup_Lists!$D$335,0)+IF(ISNUMBER(Matching_Engine!$V$63),Lookup_Lists!$D$122,0)+IF(ISNUMBER(Matching_Engine!$W$63),Lookup_Lists!$D$336,0)+IF(ISNUMBER(Matching_Engine!$X$63),Lookup_Lists!$D$124,0))=0,"N/A",ROUND((IF(ISNUMBER(Matching_Engine!$U$63),Matching_Engine!$U$63*Lookup_Lists!$D$335,0)+IF(ISNUMBER(Matching_Engine!$V$63),Matching_Engine!$V$63*Lookup_Lists!$D$122,0)+IF(ISNUMBER(Matching_Engine!$W$63),Matching_Engine!$W$63*Lookup_Lists!$D$336,0)+IF(ISNUMBER(Matching_Engine!$X$63),Matching_Engine!$X$63*Lookup_Lists!$D$124,0))/(IF(ISNUMBER(Matching_Engine!$U$63),Lookup_Lists!$D$335,0)+IF(ISNUMBER(Matching_Engine!$V$63),Lookup_Lists!$D$122,0)+IF(ISNUMBER(Matching_Engine!$W$63),Lookup_Lists!$D$336,0)+IF(ISNUMBER(Matching_Engine!$X$63),Lookup_Lists!$D$124,0)),0))</f>
        <v>34</v>
      </c>
      <c r="Z63" s="42">
        <f>IF(ISNUMBER(Matching_Engine!$Y$63),1,0)</f>
        <v>1</v>
      </c>
      <c r="AA63" s="65" t="e">
        <f>IF(NOT(AND(ISTEXT('[1]#REF'!$Q$15),'[1]#REF'!$Q$15&lt;&gt;"N/A")),"N/A",Lookup_Lists!$D$150)</f>
        <v>#REF!</v>
      </c>
      <c r="AB63" s="65" t="e">
        <f>IF(NOT(AND(ISTEXT('[1]#REF'!$Q$15),'[1]#REF'!$Q$15&lt;&gt;"N/A")),"N/A",Lookup_Lists!$D$150)</f>
        <v>#REF!</v>
      </c>
      <c r="AC63" s="65" t="str">
        <f t="shared" si="0"/>
        <v>N/A</v>
      </c>
      <c r="AD63" s="65" t="e">
        <f>IF(NOT(AND(ISTEXT('[1]#REF'!$Q$15),'[1]#REF'!$Q$15&lt;&gt;"N/A")),"N/A",Lookup_Lists!$D$150)</f>
        <v>#REF!</v>
      </c>
      <c r="AE63" s="63">
        <f>IF((IF(ISNUMBER(Matching_Engine!$AA$63),Lookup_Lists!$D$125,0)+IF(ISNUMBER(Matching_Engine!$AB$63),Lookup_Lists!$D$126,0)+IF(ISNUMBER(Matching_Engine!$AC$63),Lookup_Lists!$D$127,0)+IF(ISNUMBER(Matching_Engine!$AD$63),Lookup_Lists!$D$128,0))=0,"N/A",ROUND((IF(ISNUMBER(Matching_Engine!$AA$63),Matching_Engine!$AA$63*Lookup_Lists!$D$125,0)+IF(ISNUMBER(Matching_Engine!$AB$63),Matching_Engine!$AB$63*Lookup_Lists!$D$126,0)+IF(ISNUMBER(Matching_Engine!$AC$63),Matching_Engine!$AC$63*Lookup_Lists!$D$127,0)+IF(ISNUMBER(Matching_Engine!$AD$63),Matching_Engine!$AD$63*Lookup_Lists!$D$128,0))/(IF(ISNUMBER(Matching_Engine!$AA$63),Lookup_Lists!$D$125,0)+IF(ISNUMBER(Matching_Engine!$AB$63),Lookup_Lists!$D$126,0)+IF(ISNUMBER(Matching_Engine!$AC$63),Lookup_Lists!$D$127,0)+IF(ISNUMBER(Matching_Engine!$AD$63),Lookup_Lists!$D$128,0)),0))</f>
        <v>51</v>
      </c>
      <c r="AF63" s="42">
        <f>IF(ISNUMBER(Matching_Engine!$AE$63),1,0)</f>
        <v>1</v>
      </c>
      <c r="AG63" s="65" t="str">
        <f>IF(NOT(ISNUMBER('[1]#REF'!$BG$15)),"N/A",MIN(100,ROUND('[1]#REF'!$BG$15/IFERROR(INDEX(Lookup_Lists!$B$340:$B$344,MATCH('[1]#REF'!$H$15,Lookup_Lists!$A$340:$A$344,0)),Lookup_Lists!$D$141)*100,0)))</f>
        <v>N/A</v>
      </c>
      <c r="AH63" s="65" t="str">
        <f>IF(NOT(ISNUMBER('[1]#REF'!$BS$15)),"N/A",MIN(100,MAX(0,'[1]#REF'!$BS$15)))</f>
        <v>N/A</v>
      </c>
      <c r="AI63" s="65" t="e">
        <f>IF(OR(NOT(ISNUMBER('[1]#REF'!$BM$15)),NOT(ISNUMBER('[1]#REF'!$BN$15)),'[1]#REF'!$BN$15&lt;Lookup_Lists!$D$320),"N/A",MIN(100,ROUND('[1]#REF'!$BM$15/Lookup_Lists!$D$319*100,0)))</f>
        <v>#REF!</v>
      </c>
      <c r="AJ63" s="65" t="str">
        <f>IF(NOT(ISNUMBER('[1]#REF'!$BR$15)),"N/A",'[1]#REF'!$BR$15)</f>
        <v>N/A</v>
      </c>
      <c r="AK63" s="65" t="str">
        <f>IF(NOT(ISNUMBER('[1]#REF'!$BK$15)),"N/A",MIN(100,ROUND('[1]#REF'!$BK$15/Lookup_Lists!$D$321*100,0)))</f>
        <v>N/A</v>
      </c>
      <c r="AL63" s="65" t="str">
        <f>IF(NOT(ISNUMBER('[1]#REF'!$BP$15)),"N/A",MIN(100,MAX(0,ROUND(('[1]#REF'!$BP$15+2)/(Lookup_Lists!$D$145+2)*100,0))))</f>
        <v>N/A</v>
      </c>
      <c r="AM63" s="63">
        <f>IF((IF(ISNUMBER(Matching_Engine!$AG$63),Lookup_Lists!$D$129,0)+IF(ISNUMBER(Matching_Engine!$AH$63),Lookup_Lists!$D$130,0)+IF(ISNUMBER(Matching_Engine!$AI$63),Lookup_Lists!$D$131,0)+IF(ISNUMBER(Matching_Engine!$AJ$63),Lookup_Lists!$D$132,0)+IF(ISNUMBER(Matching_Engine!$AK$63),Lookup_Lists!$D$133,0)+IF(ISNUMBER(Matching_Engine!$AL$63),Lookup_Lists!$D$134,0))=0,"N/A",ROUND((IF(ISNUMBER(Matching_Engine!$AG$63),Matching_Engine!$AG$63*Lookup_Lists!$D$129,0)+IF(ISNUMBER(Matching_Engine!$AH$63),Matching_Engine!$AH$63*Lookup_Lists!$D$130,0)+IF(ISNUMBER(Matching_Engine!$AI$63),Matching_Engine!$AI$63*Lookup_Lists!$D$131,0)+IF(ISNUMBER(Matching_Engine!$AJ$63),Matching_Engine!$AJ$63*Lookup_Lists!$D$132,0)+IF(ISNUMBER(Matching_Engine!$AK$63),Matching_Engine!$AK$63*Lookup_Lists!$D$133,0)+IF(ISNUMBER(Matching_Engine!$AL$63),Matching_Engine!$AL$63*Lookup_Lists!$D$134,0))/(IF(ISNUMBER(Matching_Engine!$AG$63),Lookup_Lists!$D$129,0)+IF(ISNUMBER(Matching_Engine!$AH$63),Lookup_Lists!$D$130,0)+IF(ISNUMBER(Matching_Engine!$AI$63),Lookup_Lists!$D$131,0)+IF(ISNUMBER(Matching_Engine!$AJ$63),Lookup_Lists!$D$132,0)+IF(ISNUMBER(Matching_Engine!$AK$63),Lookup_Lists!$D$133,0)+IF(ISNUMBER(Matching_Engine!$AL$63),Lookup_Lists!$D$134,0)),0))</f>
        <v>78</v>
      </c>
      <c r="AN63" s="42">
        <f>IF(ISNUMBER(Matching_Engine!$AM$63),1,0)</f>
        <v>0</v>
      </c>
      <c r="AO63" s="65" t="str">
        <f>IF(NOT(ISNUMBER('[1]#REF'!$BT$15)),"N/A",MIN(100,MAX(0,'[1]#REF'!$BT$15)))</f>
        <v>N/A</v>
      </c>
      <c r="AP63" s="65" t="str">
        <f>IF(NOT(ISNUMBER('[1]#REF'!$BU$15)),"N/A",MIN(100,MAX(0,'[1]#REF'!$BU$15)))</f>
        <v>N/A</v>
      </c>
      <c r="AQ63" s="65" t="e">
        <f>IF('[1]#REF'!$I$15="Yes",Lookup_Lists!$D$326,IF('[1]#REF'!$I$15="No",Lookup_Lists!$D$327,"N/A"))</f>
        <v>#REF!</v>
      </c>
      <c r="AR63" s="65" t="str">
        <f>IF(NOT(ISNUMBER('[1]#REF'!$BQ$15)),"N/A",MAX(0,ROUND(100-'[1]#REF'!$BQ$15/Lookup_Lists!$D$328*100,0)))</f>
        <v>N/A</v>
      </c>
      <c r="AS63" s="65" t="e">
        <f>IF(NOT(AND(ISTEXT('[1]#REF'!$BV$15),'[1]#REF'!$BV$15&lt;&gt;"N/A")),"N/A",'[1]#REF'!$BV$15)</f>
        <v>#REF!</v>
      </c>
      <c r="AT63" s="63" t="str">
        <f ca="1">IF((IF(ISNUMBER(Matching_Engine!$AO$63),Lookup_Lists!$D$322,0)+IF(ISNUMBER(Matching_Engine!$AP$63),Lookup_Lists!$D$323,0)+IF(ISNUMBER(Matching_Engine!$AQ$63),Lookup_Lists!$D$324,0)+IF(ISNUMBER(Matching_Engine!$AR$63),Lookup_Lists!$D$325,0))=0,"N/A",ROUND((IF(ISNUMBER(Matching_Engine!$AO$63),Matching_Engine!$AO$63*Lookup_Lists!$D$322,0)+IF(ISNUMBER(Matching_Engine!$AP$63),Matching_Engine!$AP$63*Lookup_Lists!$D$323,0)+IF(ISNUMBER(Matching_Engine!$AQ$63),Matching_Engine!$AQ$63*Lookup_Lists!$D$324,0)+IF(ISNUMBER(Matching_Engine!$AR$63),Matching_Engine!$AR$63*Lookup_Lists!$D$325,0))/(IF(ISNUMBER(Matching_Engine!$AO$63),Lookup_Lists!$D$322,0)+IF(ISNUMBER(Matching_Engine!$AP$63),Lookup_Lists!$D$323,0)+IF(ISNUMBER(Matching_Engine!$AQ$63),Lookup_Lists!$D$324,0)+IF(ISNUMBER(Matching_Engine!$AR$63),Lookup_Lists!$D$325,0)),0))</f>
        <v>N/A</v>
      </c>
      <c r="AU63" s="42">
        <f>IF(ISNUMBER(Matching_Engine!$AT$63),1,0)</f>
        <v>1</v>
      </c>
      <c r="AV63" s="42" t="str">
        <f>IF(NOT(ISNUMBER(Matching_Engine!$AT$63)),"Not Screened",IF(Matching_Engine!$AT$63&gt;=Lookup_Lists!$D$329,"Low Risk",IF(Matching_Engine!$AT$63&gt;=Lookup_Lists!$D$330,"Moderate Risk",IF(Matching_Engine!$AT$63&gt;=Lookup_Lists!$D$331,"Elevated Risk","High Risk"))))</f>
        <v>Low Risk</v>
      </c>
      <c r="AW63" s="42" t="e">
        <f ca="1">IF(NOT(ISNUMBER(Matching_Engine!$AT$63)),"No integrity signal: no audience-analysis row for this account.","Integrity screen only — no content-risk reading exists (comments_analysis: 0 rows). "&amp;IF(ISNUMBER(Matching_Engine!$AO$63),"Authenticity "&amp;Matching_Engine!$AO$63&amp;". ","Authenticity N/A. ")&amp;IF(ISNUMBER(Matching_Engine!$AP$63),"Follower quality "&amp;Matching_Engine!$AP$63&amp;". ","Follower quality N/A. ")&amp;IF('[1]#REF'!$I$15="Yes","Platform-verified.","Not platform-verified."))</f>
        <v>#REF!</v>
      </c>
      <c r="AX63" s="65">
        <f>Matching_Engine!$N$63*Lookup_Lists!$D$104+Matching_Engine!$T$63*Lookup_Lists!$D$105+Matching_Engine!$Z$63*Lookup_Lists!$D$106+Matching_Engine!$AF$63*Lookup_Lists!$D$107+Matching_Engine!$AN$63*Lookup_Lists!$D$108+Matching_Engine!$AU$63*Lookup_Lists!$D$109</f>
        <v>5310</v>
      </c>
      <c r="AY63" s="74" t="e">
        <f ca="1">IF(Matching_Engine!$AX$63=0,"N/A",ROUND((IF(Matching_Engine!$N$63=1,Matching_Engine!$M$63*Lookup_Lists!$D$104,0)+IF(Matching_Engine!$T$63=1,Matching_Engine!$S$63*Lookup_Lists!$D$105,0)+IF(Matching_Engine!$Z$63=1,Matching_Engine!$Y$63*Lookup_Lists!$D$106,0)+IF(Matching_Engine!$AF$63=1,Matching_Engine!$AE$63*Lookup_Lists!$D$107,0)+IF(Matching_Engine!$AN$63=1,Matching_Engine!$AM$63*Lookup_Lists!$D$108,0)+IF(Matching_Engine!$AU$63=1,Matching_Engine!$AT$63*Lookup_Lists!$D$109,0))/Matching_Engine!$AX$63,0))</f>
        <v>#VALUE!</v>
      </c>
      <c r="AZ63" s="42" t="str">
        <f ca="1">IF(NOT(ISNUMBER(Matching_Engine!$AY$63)),"Not Scored",IF(Matching_Engine!$AY$63&gt;=Lookup_Lists!$D$152,"Excellent Match",IF(Matching_Engine!$AY$63&gt;=Lookup_Lists!$D$153,"Strong Match",IF(Matching_Engine!$AY$63&gt;=Lookup_Lists!$D$154,"Good Match",IF(Matching_Engine!$AY$63&gt;=Lookup_Lists!$D$155,"Moderate Match","Low Match")))))</f>
        <v>Not Scored</v>
      </c>
      <c r="BA63" s="65" t="e">
        <f>'[1]#REF'!$BW$15</f>
        <v>#REF!</v>
      </c>
      <c r="BB63" s="42" t="e">
        <f>'[1]#REF'!$BX$15</f>
        <v>#REF!</v>
      </c>
      <c r="BC63" s="65">
        <f ca="1">IF(NOT(ISNUMBER(Matching_Engine!$AY$63)),-1,Matching_Engine!$AY$63*1000+15)</f>
        <v>-1</v>
      </c>
      <c r="BD63" s="42" t="e">
        <f>IF(AND(ISTEXT('[1]#REF'!$S$15),'[1]#REF'!$S$15&lt;&gt;"N/A"),'[1]#REF'!$S$15,"")&amp;" | "&amp;IF(AND(ISTEXT('[1]#REF'!$T$15),'[1]#REF'!$T$15&lt;&gt;"N/A"),'[1]#REF'!$T$15,"")&amp;" | "&amp;IF(AND(ISTEXT('[1]#REF'!$N$15),'[1]#REF'!$N$15&lt;&gt;"N/A"),'[1]#REF'!$N$15,"")&amp;" | "&amp;IF(AND(ISTEXT('[1]#REF'!$K$15),'[1]#REF'!$K$15&lt;&gt;"N/A"),'[1]#REF'!$K$15,"")&amp;" | "&amp;IF(AND(ISTEXT('[1]#REF'!$J$15),'[1]#REF'!$J$15&lt;&gt;"N/A"),'[1]#REF'!$J$15,"")</f>
        <v>#REF!</v>
      </c>
      <c r="BE63" s="42" t="e">
        <f>IF(AND(ISTEXT('[1]#REF'!$T$15),'[1]#REF'!$T$15&lt;&gt;"N/A"),'[1]#REF'!$T$15,"")&amp;" | "&amp;IF(AND(ISTEXT('[1]#REF'!$N$15),'[1]#REF'!$N$15&lt;&gt;"N/A"),'[1]#REF'!$N$15,"")&amp;" | "&amp;IF(AND(ISTEXT('[1]#REF'!$O$15),'[1]#REF'!$O$15&lt;&gt;"N/A"),'[1]#REF'!$O$15,"")&amp;" | "&amp;IF(AND(ISTEXT('[1]#REF'!$S$15),'[1]#REF'!$S$15&lt;&gt;"N/A"),'[1]#REF'!$S$15,"")</f>
        <v>#REF!</v>
      </c>
      <c r="BF63" s="42" t="e">
        <f>IF(AND(ISTEXT('[1]#REF'!$U$15),'[1]#REF'!$U$15&lt;&gt;"N/A"),'[1]#REF'!$U$15,"")</f>
        <v>#REF!</v>
      </c>
      <c r="BG63" s="42" t="str">
        <f>Matching_Engine!$A$63&amp;"|"&amp;Matching_Engine!$C$63</f>
        <v>BRAND-B|KOL-28</v>
      </c>
    </row>
    <row r="64" spans="1:59">
      <c r="A64" s="64" t="s">
        <v>2529</v>
      </c>
      <c r="B64" s="42" t="str">
        <f>Brand_Profile!$G$6</f>
        <v>Active Value</v>
      </c>
      <c r="C64" s="42" t="e">
        <f>'[1]#REF'!$A$16</f>
        <v>#REF!</v>
      </c>
      <c r="D64" s="42" t="e">
        <f>'[1]#REF'!$C$16</f>
        <v>#REF!</v>
      </c>
      <c r="E64" s="42" t="e">
        <f>'[1]#REF'!$D$16</f>
        <v>#REF!</v>
      </c>
      <c r="F64" s="42" t="e">
        <f>'[1]#REF'!$E$16</f>
        <v>#REF!</v>
      </c>
      <c r="G64" s="42" t="e">
        <f>'[1]#REF'!$K$16</f>
        <v>#REF!</v>
      </c>
      <c r="H64" s="72" t="e">
        <f>'[1]#REF'!$G$16</f>
        <v>#REF!</v>
      </c>
      <c r="I64" s="73" t="e">
        <f>'[1]#REF'!$BG$16</f>
        <v>#REF!</v>
      </c>
      <c r="J64" s="65" t="e">
        <f>IF(NOT(AND(ISTEXT('[1]#REF'!$K$16),'[1]#REF'!$K$16&lt;&gt;"N/A")),Lookup_Lists!$D$150,IF(Brand_Profile!$G$7='[1]#REF'!$K$16,100,IFERROR(INDEX(Lookup_Lists!$B$349:$J$357,MATCH(Brand_Profile!$G$7,Lookup_Lists!$A$349:$A$357,0),MATCH('[1]#REF'!$K$16,Lookup_Lists!$B$348:$J$348,0)),Lookup_Lists!$D$151)))</f>
        <v>#REF!</v>
      </c>
      <c r="K64" s="65" t="e">
        <f>IF(LEN(TRIM(SUBSTITUTE(Matching_Engine!$BD$64,"|","")))=0,"N/A",IF(Brand_Profile!$G$47=0,Lookup_Lists!$D$150,ROUND((IF(Brand_Profile!$G$41="",0,IF(ISNUMBER(SEARCH(Brand_Profile!$G$41,Matching_Engine!$BD$64)),1,0))+IF(Brand_Profile!$G$42="",0,IF(ISNUMBER(SEARCH(Brand_Profile!$G$42,Matching_Engine!$BD$64)),1,0))+IF(Brand_Profile!$G$43="",0,IF(ISNUMBER(SEARCH(Brand_Profile!$G$43,Matching_Engine!$BD$64)),1,0))+IF(Brand_Profile!$G$44="",0,IF(ISNUMBER(SEARCH(Brand_Profile!$G$44,Matching_Engine!$BD$64)),1,0))+IF(Brand_Profile!$G$45="",0,IF(ISNUMBER(SEARCH(Brand_Profile!$G$45,Matching_Engine!$BD$64)),1,0))+IF(Brand_Profile!$G$46="",0,IF(ISNUMBER(SEARCH(Brand_Profile!$G$46,Matching_Engine!$BD$64)),1,0)))/Brand_Profile!$G$47*100,0)))</f>
        <v>#VALUE!</v>
      </c>
      <c r="L64" s="65" t="e">
        <f>IF(NOT(AND(ISTEXT('[1]#REF'!$U$16),'[1]#REF'!$U$16&lt;&gt;"N/A")),"N/A",IF(Brand_Profile!$G$53=0,Lookup_Lists!$D$150,ROUND((IF(Brand_Profile!$G$48="",0,IF(ISNUMBER(SEARCH(Brand_Profile!$G$48,Matching_Engine!$BF$64)),1,0))+IF(Brand_Profile!$G$49="",0,IF(ISNUMBER(SEARCH(Brand_Profile!$G$49,Matching_Engine!$BF$64)),1,0))+IF(Brand_Profile!$G$50="",0,IF(ISNUMBER(SEARCH(Brand_Profile!$G$50,Matching_Engine!$BF$64)),1,0))+IF(Brand_Profile!$G$51="",0,IF(ISNUMBER(SEARCH(Brand_Profile!$G$51,Matching_Engine!$BF$64)),1,0))+IF(Brand_Profile!$G$52="",0,IF(ISNUMBER(SEARCH(Brand_Profile!$G$52,Matching_Engine!$BF$64)),1,0)))/Brand_Profile!$G$53*100,0)))</f>
        <v>#REF!</v>
      </c>
      <c r="M64" s="63" t="str">
        <f>IF((IF(ISNUMBER(Matching_Engine!$J$64),Lookup_Lists!$D$332,0)+IF(ISNUMBER(Matching_Engine!$K$64),Lookup_Lists!$D$333,0)+IF(ISNUMBER(Matching_Engine!$L$64),Lookup_Lists!$D$334,0))=0,"N/A",ROUND((IF(ISNUMBER(Matching_Engine!$J$64),Matching_Engine!$J$64*Lookup_Lists!$D$332,0)+IF(ISNUMBER(Matching_Engine!$K$64),Matching_Engine!$K$64*Lookup_Lists!$D$333,0)+IF(ISNUMBER(Matching_Engine!$L$64),Matching_Engine!$L$64*Lookup_Lists!$D$334,0))/(IF(ISNUMBER(Matching_Engine!$J$64),Lookup_Lists!$D$332,0)+IF(ISNUMBER(Matching_Engine!$K$64),Lookup_Lists!$D$333,0)+IF(ISNUMBER(Matching_Engine!$L$64),Lookup_Lists!$D$334,0)),0))</f>
        <v>N/A</v>
      </c>
      <c r="N64" s="42">
        <f>IF(ISNUMBER(Matching_Engine!$M$64),1,0)</f>
        <v>1</v>
      </c>
      <c r="O64" s="65" t="str">
        <f ca="1">IF(NOT(ISNUMBER(IFERROR(INDEX('[1]#REF'!$V$16:'[1]#REF'!$Z$16,1,MATCH(Brand_Profile!$G$11,Lookup_Lists!$F$6:$F$10,0)),""))),"N/A",MIN(100,ROUND((IFERROR(INDEX('[1]#REF'!$V$16:'[1]#REF'!$Z$16,1,MATCH(Brand_Profile!$G$11,Lookup_Lists!$F$6:$F$10,0)),"")+0.5*IF(ISNUMBER(IFERROR(INDEX('[1]#REF'!$V$16:'[1]#REF'!$Z$16,1,MATCH(Brand_Profile!$G$12,Lookup_Lists!$F$6:$F$10,0)),"")),IFERROR(INDEX('[1]#REF'!$V$16:'[1]#REF'!$Z$16,1,MATCH(Brand_Profile!$G$12,Lookup_Lists!$F$6:$F$10,0)),""),0))/Lookup_Lists!$D$142*100,0)))</f>
        <v>N/A</v>
      </c>
      <c r="P64" s="65" t="str">
        <f>IF(Brand_Profile!$G$13="Any",100,IF(NOT(ISNUMBER('[1]#REF'!$AA$16)),"N/A",IF(Brand_Profile!$G$13="Female",MIN(100,ROUND('[1]#REF'!$AA$16/Lookup_Lists!$D$143*100,0)),IF(Brand_Profile!$G$13="Male",MIN(100,ROUND(IF(ISNUMBER('[1]#REF'!$AB$16),'[1]#REF'!$AB$16,100-'[1]#REF'!$AA$16)/Lookup_Lists!$D$143*100,0)),MAX(0,ROUND(100-ABS('[1]#REF'!$AA$16-50)*2,0))))))</f>
        <v>N/A</v>
      </c>
      <c r="Q64" s="65" t="str">
        <f>IF((IF(ISNUMBER(IF(NOT(ISNUMBER('[1]#REF'!$AE$16)),"N/A",IF('[1]#REF'!$AD$16&lt;&gt;Brand_Profile!$G$14,Lookup_Lists!$D$151,MIN(100,ROUND('[1]#REF'!$AE$16/Lookup_Lists!$D$316*100,0))))),Lookup_Lists!$D$118,0)+IF(ISNUMBER(IF(NOT(ISNUMBER('[1]#REF'!$AM$16)),"N/A",MIN(100,ROUND((IF('[1]#REF'!$AG$16=Brand_Profile!$G$15,IF(ISNUMBER('[1]#REF'!$AH$16),'[1]#REF'!$AH$16,0),0)+IF('[1]#REF'!$AI$16=Brand_Profile!$G$15,IF(ISNUMBER('[1]#REF'!$AJ$16),'[1]#REF'!$AJ$16,0),0)+IF('[1]#REF'!$AK$16=Brand_Profile!$G$15,IF(ISNUMBER('[1]#REF'!$AL$16),'[1]#REF'!$AL$16,0),0))/Lookup_Lists!$D$317*100,0)))),Lookup_Lists!$D$120,0))=0,"N/A",ROUND((IF(ISNUMBER(IF(NOT(ISNUMBER('[1]#REF'!$AE$16)),"N/A",IF('[1]#REF'!$AD$16&lt;&gt;Brand_Profile!$G$14,Lookup_Lists!$D$151,MIN(100,ROUND('[1]#REF'!$AE$16/Lookup_Lists!$D$316*100,0))))),IF(NOT(ISNUMBER('[1]#REF'!$AE$16)),"N/A",IF('[1]#REF'!$AD$16&lt;&gt;Brand_Profile!$G$14,Lookup_Lists!$D$151,MIN(100,ROUND('[1]#REF'!$AE$16/Lookup_Lists!$D$316*100,0))))*Lookup_Lists!$D$118,0)+IF(ISNUMBER(IF(NOT(ISNUMBER('[1]#REF'!$AM$16)),"N/A",MIN(100,ROUND((IF('[1]#REF'!$AG$16=Brand_Profile!$G$15,IF(ISNUMBER('[1]#REF'!$AH$16),'[1]#REF'!$AH$16,0),0)+IF('[1]#REF'!$AI$16=Brand_Profile!$G$15,IF(ISNUMBER('[1]#REF'!$AJ$16),'[1]#REF'!$AJ$16,0),0)+IF('[1]#REF'!$AK$16=Brand_Profile!$G$15,IF(ISNUMBER('[1]#REF'!$AL$16),'[1]#REF'!$AL$16,0),0))/Lookup_Lists!$D$317*100,0)))),IF(NOT(ISNUMBER('[1]#REF'!$AM$16)),"N/A",MIN(100,ROUND((IF('[1]#REF'!$AG$16=Brand_Profile!$G$15,IF(ISNUMBER('[1]#REF'!$AH$16),'[1]#REF'!$AH$16,0),0)+IF('[1]#REF'!$AI$16=Brand_Profile!$G$15,IF(ISNUMBER('[1]#REF'!$AJ$16),'[1]#REF'!$AJ$16,0),0)+IF('[1]#REF'!$AK$16=Brand_Profile!$G$15,IF(ISNUMBER('[1]#REF'!$AL$16),'[1]#REF'!$AL$16,0),0))/Lookup_Lists!$D$317*100,0)))*Lookup_Lists!$D$120,0))/(IF(ISNUMBER(IF(NOT(ISNUMBER('[1]#REF'!$AE$16)),"N/A",IF('[1]#REF'!$AD$16&lt;&gt;Brand_Profile!$G$14,Lookup_Lists!$D$151,MIN(100,ROUND('[1]#REF'!$AE$16/Lookup_Lists!$D$316*100,0))))),Lookup_Lists!$D$118,0)+IF(ISNUMBER(IF(NOT(ISNUMBER('[1]#REF'!$AM$16)),"N/A",MIN(100,ROUND((IF('[1]#REF'!$AG$16=Brand_Profile!$G$15,IF(ISNUMBER('[1]#REF'!$AH$16),'[1]#REF'!$AH$16,0),0)+IF('[1]#REF'!$AI$16=Brand_Profile!$G$15,IF(ISNUMBER('[1]#REF'!$AJ$16),'[1]#REF'!$AJ$16,0),0)+IF('[1]#REF'!$AK$16=Brand_Profile!$G$15,IF(ISNUMBER('[1]#REF'!$AL$16),'[1]#REF'!$AL$16,0),0))/Lookup_Lists!$D$317*100,0)))),Lookup_Lists!$D$120,0)),0))</f>
        <v>N/A</v>
      </c>
      <c r="R64" s="65" t="str">
        <f>IF(NOT(ISNUMBER('[1]#REF'!$AN$16)),"N/A",MIN(100,ROUND((IF(ISNUMBER('[1]#REF'!$AO$16),'[1]#REF'!$AO$16*Brand_Profile!$G$17,0)+IF(ISNUMBER('[1]#REF'!$AP$16),'[1]#REF'!$AP$16*Brand_Profile!$G$18,0)+IF(ISNUMBER('[1]#REF'!$AQ$16),'[1]#REF'!$AQ$16*Brand_Profile!$G$19,0)+IF(ISNUMBER('[1]#REF'!$AR$16),'[1]#REF'!$AR$16*Brand_Profile!$G$20,0)+IF(ISNUMBER('[1]#REF'!$AS$16),'[1]#REF'!$AS$16*Brand_Profile!$G$21,0)+IF(ISNUMBER('[1]#REF'!$AT$16),'[1]#REF'!$AT$16*Brand_Profile!$G$22,0)+IF(ISNUMBER('[1]#REF'!$AU$16),'[1]#REF'!$AU$16*Brand_Profile!$G$23,0)+IF(ISNUMBER('[1]#REF'!$AV$16),'[1]#REF'!$AV$16*Brand_Profile!$G$24,0)+IF(ISNUMBER('[1]#REF'!$AW$16),'[1]#REF'!$AW$16*Brand_Profile!$G$25,0)+IF(ISNUMBER('[1]#REF'!$AX$16),'[1]#REF'!$AX$16*Brand_Profile!$G$26,0)+IF(ISNUMBER('[1]#REF'!$AY$16),'[1]#REF'!$AY$16*Brand_Profile!$G$27,0)+IF(ISNUMBER('[1]#REF'!$AZ$16),'[1]#REF'!$AZ$16*Brand_Profile!$G$28,0)+IF(ISNUMBER('[1]#REF'!$BA$16),'[1]#REF'!$BA$16*Brand_Profile!$G$29,0)+IF(ISNUMBER('[1]#REF'!$BB$16),'[1]#REF'!$BB$16*Brand_Profile!$G$30,0)+IF(ISNUMBER('[1]#REF'!$BC$16),'[1]#REF'!$BC$16*Brand_Profile!$G$31,0)+IF(ISNUMBER('[1]#REF'!$BD$16),'[1]#REF'!$BD$16*Brand_Profile!$G$32,0)+IF(ISNUMBER('[1]#REF'!$BE$16),'[1]#REF'!$BE$16*Brand_Profile!$G$33,0)+IF(ISNUMBER('[1]#REF'!$BF$16),'[1]#REF'!$BF$16*Brand_Profile!$G$34,0))/Lookup_Lists!$D$318*100,0)))</f>
        <v>N/A</v>
      </c>
      <c r="S64" s="63">
        <f ca="1">IF((IF(ISNUMBER(Matching_Engine!$O$64),Lookup_Lists!$D$113,0)+IF(ISNUMBER(Matching_Engine!$P$64),Lookup_Lists!$D$114,0)+IF(ISNUMBER(Matching_Engine!$Q$64),Lookup_Lists!$D$115,0)+IF(ISNUMBER(Matching_Engine!$R$64),Lookup_Lists!$D$116,0))=0,"N/A",ROUND((IF(ISNUMBER(Matching_Engine!$O$64),Matching_Engine!$O$64*Lookup_Lists!$D$113,0)+IF(ISNUMBER(Matching_Engine!$P$64),Matching_Engine!$P$64*Lookup_Lists!$D$114,0)+IF(ISNUMBER(Matching_Engine!$Q$64),Matching_Engine!$Q$64*Lookup_Lists!$D$115,0)+IF(ISNUMBER(Matching_Engine!$R$64),Matching_Engine!$R$64*Lookup_Lists!$D$116,0))/(IF(ISNUMBER(Matching_Engine!$O$64),Lookup_Lists!$D$113,0)+IF(ISNUMBER(Matching_Engine!$P$64),Lookup_Lists!$D$114,0)+IF(ISNUMBER(Matching_Engine!$Q$64),Lookup_Lists!$D$115,0)+IF(ISNUMBER(Matching_Engine!$R$64),Lookup_Lists!$D$116,0)),0))</f>
        <v>88</v>
      </c>
      <c r="T64" s="42">
        <f ca="1">IF(ISNUMBER(Matching_Engine!$S$64),1,0)</f>
        <v>1</v>
      </c>
      <c r="U64" s="65" t="e">
        <f>IF(NOT(AND(ISTEXT('[1]#REF'!$M$16),'[1]#REF'!$M$16&lt;&gt;"N/A")),Lookup_Lists!$D$150,IF(Brand_Profile!$G$7='[1]#REF'!$M$16,100,IFERROR(INDEX(Lookup_Lists!$B$349:$J$357,MATCH(Brand_Profile!$G$7,Lookup_Lists!$A$349:$A$357,0),MATCH('[1]#REF'!$M$16,Lookup_Lists!$B$348:$J$348,0)),Lookup_Lists!$D$151)))</f>
        <v>#REF!</v>
      </c>
      <c r="V64" s="65" t="e">
        <f>IF(NOT(AND(ISTEXT('[1]#REF'!$P$16),'[1]#REF'!$P$16&lt;&gt;"N/A")),"N/A",IFERROR(INDEX(Lookup_Lists!$B$349:$J$357,MATCH(Brand_Profile!$G$7,Lookup_Lists!$A$349:$A$357,0),MATCH('[1]#REF'!$P$16,Lookup_Lists!$B$348:$J$348,0)),Lookup_Lists!$D$151))</f>
        <v>#REF!</v>
      </c>
      <c r="W64" s="65" t="e">
        <f>IF(LEN(TRIM(SUBSTITUTE(Matching_Engine!$BE$64,"|","")))=0,"N/A",IF(Brand_Profile!$G$60=0,Lookup_Lists!$D$150,ROUND((IF(Brand_Profile!$G$54="",0,IF(ISNUMBER(SEARCH(Brand_Profile!$G$54,Matching_Engine!$BE$64)),1,0))+IF(Brand_Profile!$G$55="",0,IF(ISNUMBER(SEARCH(Brand_Profile!$G$55,Matching_Engine!$BE$64)),1,0))+IF(Brand_Profile!$G$56="",0,IF(ISNUMBER(SEARCH(Brand_Profile!$G$56,Matching_Engine!$BE$64)),1,0))+IF(Brand_Profile!$G$57="",0,IF(ISNUMBER(SEARCH(Brand_Profile!$G$57,Matching_Engine!$BE$64)),1,0))+IF(Brand_Profile!$G$58="",0,IF(ISNUMBER(SEARCH(Brand_Profile!$G$58,Matching_Engine!$BE$64)),1,0))+IF(Brand_Profile!$G$59="",0,IF(ISNUMBER(SEARCH(Brand_Profile!$G$59,Matching_Engine!$BE$64)),1,0)))/Brand_Profile!$G$60*100,0)))</f>
        <v>#VALUE!</v>
      </c>
      <c r="X64" s="65" t="e">
        <f>IF(NOT(AND(ISTEXT('[1]#REF'!$Q$16),'[1]#REF'!$Q$16&lt;&gt;"N/A")),"N/A",Lookup_Lists!$D$150)</f>
        <v>#REF!</v>
      </c>
      <c r="Y64" s="63">
        <f>IF((IF(ISNUMBER(Matching_Engine!$U$64),Lookup_Lists!$D$335,0)+IF(ISNUMBER(Matching_Engine!$V$64),Lookup_Lists!$D$122,0)+IF(ISNUMBER(Matching_Engine!$W$64),Lookup_Lists!$D$336,0)+IF(ISNUMBER(Matching_Engine!$X$64),Lookup_Lists!$D$124,0))=0,"N/A",ROUND((IF(ISNUMBER(Matching_Engine!$U$64),Matching_Engine!$U$64*Lookup_Lists!$D$335,0)+IF(ISNUMBER(Matching_Engine!$V$64),Matching_Engine!$V$64*Lookup_Lists!$D$122,0)+IF(ISNUMBER(Matching_Engine!$W$64),Matching_Engine!$W$64*Lookup_Lists!$D$336,0)+IF(ISNUMBER(Matching_Engine!$X$64),Matching_Engine!$X$64*Lookup_Lists!$D$124,0))/(IF(ISNUMBER(Matching_Engine!$U$64),Lookup_Lists!$D$335,0)+IF(ISNUMBER(Matching_Engine!$V$64),Lookup_Lists!$D$122,0)+IF(ISNUMBER(Matching_Engine!$W$64),Lookup_Lists!$D$336,0)+IF(ISNUMBER(Matching_Engine!$X$64),Lookup_Lists!$D$124,0)),0))</f>
        <v>100</v>
      </c>
      <c r="Z64" s="42">
        <f>IF(ISNUMBER(Matching_Engine!$Y$64),1,0)</f>
        <v>1</v>
      </c>
      <c r="AA64" s="65" t="e">
        <f>IF(NOT(AND(ISTEXT('[1]#REF'!$Q$16),'[1]#REF'!$Q$16&lt;&gt;"N/A")),"N/A",Lookup_Lists!$D$150)</f>
        <v>#REF!</v>
      </c>
      <c r="AB64" s="65" t="e">
        <f>IF(NOT(AND(ISTEXT('[1]#REF'!$Q$16),'[1]#REF'!$Q$16&lt;&gt;"N/A")),"N/A",Lookup_Lists!$D$150)</f>
        <v>#REF!</v>
      </c>
      <c r="AC64" s="65" t="str">
        <f t="shared" si="0"/>
        <v>N/A</v>
      </c>
      <c r="AD64" s="65" t="e">
        <f>IF(NOT(AND(ISTEXT('[1]#REF'!$Q$16),'[1]#REF'!$Q$16&lt;&gt;"N/A")),"N/A",Lookup_Lists!$D$150)</f>
        <v>#REF!</v>
      </c>
      <c r="AE64" s="63">
        <f>IF((IF(ISNUMBER(Matching_Engine!$AA$64),Lookup_Lists!$D$125,0)+IF(ISNUMBER(Matching_Engine!$AB$64),Lookup_Lists!$D$126,0)+IF(ISNUMBER(Matching_Engine!$AC$64),Lookup_Lists!$D$127,0)+IF(ISNUMBER(Matching_Engine!$AD$64),Lookup_Lists!$D$128,0))=0,"N/A",ROUND((IF(ISNUMBER(Matching_Engine!$AA$64),Matching_Engine!$AA$64*Lookup_Lists!$D$125,0)+IF(ISNUMBER(Matching_Engine!$AB$64),Matching_Engine!$AB$64*Lookup_Lists!$D$126,0)+IF(ISNUMBER(Matching_Engine!$AC$64),Matching_Engine!$AC$64*Lookup_Lists!$D$127,0)+IF(ISNUMBER(Matching_Engine!$AD$64),Matching_Engine!$AD$64*Lookup_Lists!$D$128,0))/(IF(ISNUMBER(Matching_Engine!$AA$64),Lookup_Lists!$D$125,0)+IF(ISNUMBER(Matching_Engine!$AB$64),Lookup_Lists!$D$126,0)+IF(ISNUMBER(Matching_Engine!$AC$64),Lookup_Lists!$D$127,0)+IF(ISNUMBER(Matching_Engine!$AD$64),Lookup_Lists!$D$128,0)),0))</f>
        <v>66</v>
      </c>
      <c r="AF64" s="42">
        <f>IF(ISNUMBER(Matching_Engine!$AE$64),1,0)</f>
        <v>1</v>
      </c>
      <c r="AG64" s="65" t="str">
        <f>IF(NOT(ISNUMBER('[1]#REF'!$BG$16)),"N/A",MIN(100,ROUND('[1]#REF'!$BG$16/IFERROR(INDEX(Lookup_Lists!$B$340:$B$344,MATCH('[1]#REF'!$H$16,Lookup_Lists!$A$340:$A$344,0)),Lookup_Lists!$D$141)*100,0)))</f>
        <v>N/A</v>
      </c>
      <c r="AH64" s="65" t="str">
        <f>IF(NOT(ISNUMBER('[1]#REF'!$BS$16)),"N/A",MIN(100,MAX(0,'[1]#REF'!$BS$16)))</f>
        <v>N/A</v>
      </c>
      <c r="AI64" s="65" t="e">
        <f>IF(OR(NOT(ISNUMBER('[1]#REF'!$BM$16)),NOT(ISNUMBER('[1]#REF'!$BN$16)),'[1]#REF'!$BN$16&lt;Lookup_Lists!$D$320),"N/A",MIN(100,ROUND('[1]#REF'!$BM$16/Lookup_Lists!$D$319*100,0)))</f>
        <v>#REF!</v>
      </c>
      <c r="AJ64" s="65" t="str">
        <f>IF(NOT(ISNUMBER('[1]#REF'!$BR$16)),"N/A",'[1]#REF'!$BR$16)</f>
        <v>N/A</v>
      </c>
      <c r="AK64" s="65" t="str">
        <f>IF(NOT(ISNUMBER('[1]#REF'!$BK$16)),"N/A",MIN(100,ROUND('[1]#REF'!$BK$16/Lookup_Lists!$D$321*100,0)))</f>
        <v>N/A</v>
      </c>
      <c r="AL64" s="65" t="str">
        <f>IF(NOT(ISNUMBER('[1]#REF'!$BP$16)),"N/A",MIN(100,MAX(0,ROUND(('[1]#REF'!$BP$16+2)/(Lookup_Lists!$D$145+2)*100,0))))</f>
        <v>N/A</v>
      </c>
      <c r="AM64" s="63">
        <f>IF((IF(ISNUMBER(Matching_Engine!$AG$64),Lookup_Lists!$D$129,0)+IF(ISNUMBER(Matching_Engine!$AH$64),Lookup_Lists!$D$130,0)+IF(ISNUMBER(Matching_Engine!$AI$64),Lookup_Lists!$D$131,0)+IF(ISNUMBER(Matching_Engine!$AJ$64),Lookup_Lists!$D$132,0)+IF(ISNUMBER(Matching_Engine!$AK$64),Lookup_Lists!$D$133,0)+IF(ISNUMBER(Matching_Engine!$AL$64),Lookup_Lists!$D$134,0))=0,"N/A",ROUND((IF(ISNUMBER(Matching_Engine!$AG$64),Matching_Engine!$AG$64*Lookup_Lists!$D$129,0)+IF(ISNUMBER(Matching_Engine!$AH$64),Matching_Engine!$AH$64*Lookup_Lists!$D$130,0)+IF(ISNUMBER(Matching_Engine!$AI$64),Matching_Engine!$AI$64*Lookup_Lists!$D$131,0)+IF(ISNUMBER(Matching_Engine!$AJ$64),Matching_Engine!$AJ$64*Lookup_Lists!$D$132,0)+IF(ISNUMBER(Matching_Engine!$AK$64),Matching_Engine!$AK$64*Lookup_Lists!$D$133,0)+IF(ISNUMBER(Matching_Engine!$AL$64),Matching_Engine!$AL$64*Lookup_Lists!$D$134,0))/(IF(ISNUMBER(Matching_Engine!$AG$64),Lookup_Lists!$D$129,0)+IF(ISNUMBER(Matching_Engine!$AH$64),Lookup_Lists!$D$130,0)+IF(ISNUMBER(Matching_Engine!$AI$64),Lookup_Lists!$D$131,0)+IF(ISNUMBER(Matching_Engine!$AJ$64),Lookup_Lists!$D$132,0)+IF(ISNUMBER(Matching_Engine!$AK$64),Lookup_Lists!$D$133,0)+IF(ISNUMBER(Matching_Engine!$AL$64),Lookup_Lists!$D$134,0)),0))</f>
        <v>66</v>
      </c>
      <c r="AN64" s="42">
        <f>IF(ISNUMBER(Matching_Engine!$AM$64),1,0)</f>
        <v>0</v>
      </c>
      <c r="AO64" s="65" t="str">
        <f>IF(NOT(ISNUMBER('[1]#REF'!$BT$16)),"N/A",MIN(100,MAX(0,'[1]#REF'!$BT$16)))</f>
        <v>N/A</v>
      </c>
      <c r="AP64" s="65" t="str">
        <f>IF(NOT(ISNUMBER('[1]#REF'!$BU$16)),"N/A",MIN(100,MAX(0,'[1]#REF'!$BU$16)))</f>
        <v>N/A</v>
      </c>
      <c r="AQ64" s="65" t="e">
        <f>IF('[1]#REF'!$I$16="Yes",Lookup_Lists!$D$326,IF('[1]#REF'!$I$16="No",Lookup_Lists!$D$327,"N/A"))</f>
        <v>#REF!</v>
      </c>
      <c r="AR64" s="65" t="str">
        <f>IF(NOT(ISNUMBER('[1]#REF'!$BQ$16)),"N/A",MAX(0,ROUND(100-'[1]#REF'!$BQ$16/Lookup_Lists!$D$328*100,0)))</f>
        <v>N/A</v>
      </c>
      <c r="AS64" s="65" t="e">
        <f>IF(NOT(AND(ISTEXT('[1]#REF'!$BV$16),'[1]#REF'!$BV$16&lt;&gt;"N/A")),"N/A",'[1]#REF'!$BV$16)</f>
        <v>#REF!</v>
      </c>
      <c r="AT64" s="63" t="str">
        <f ca="1">IF((IF(ISNUMBER(Matching_Engine!$AO$64),Lookup_Lists!$D$322,0)+IF(ISNUMBER(Matching_Engine!$AP$64),Lookup_Lists!$D$323,0)+IF(ISNUMBER(Matching_Engine!$AQ$64),Lookup_Lists!$D$324,0)+IF(ISNUMBER(Matching_Engine!$AR$64),Lookup_Lists!$D$325,0))=0,"N/A",ROUND((IF(ISNUMBER(Matching_Engine!$AO$64),Matching_Engine!$AO$64*Lookup_Lists!$D$322,0)+IF(ISNUMBER(Matching_Engine!$AP$64),Matching_Engine!$AP$64*Lookup_Lists!$D$323,0)+IF(ISNUMBER(Matching_Engine!$AQ$64),Matching_Engine!$AQ$64*Lookup_Lists!$D$324,0)+IF(ISNUMBER(Matching_Engine!$AR$64),Matching_Engine!$AR$64*Lookup_Lists!$D$325,0))/(IF(ISNUMBER(Matching_Engine!$AO$64),Lookup_Lists!$D$322,0)+IF(ISNUMBER(Matching_Engine!$AP$64),Lookup_Lists!$D$323,0)+IF(ISNUMBER(Matching_Engine!$AQ$64),Lookup_Lists!$D$324,0)+IF(ISNUMBER(Matching_Engine!$AR$64),Lookup_Lists!$D$325,0)),0))</f>
        <v>N/A</v>
      </c>
      <c r="AU64" s="42">
        <f>IF(ISNUMBER(Matching_Engine!$AT$64),1,0)</f>
        <v>1</v>
      </c>
      <c r="AV64" s="42" t="str">
        <f>IF(NOT(ISNUMBER(Matching_Engine!$AT$64)),"Not Screened",IF(Matching_Engine!$AT$64&gt;=Lookup_Lists!$D$329,"Low Risk",IF(Matching_Engine!$AT$64&gt;=Lookup_Lists!$D$330,"Moderate Risk",IF(Matching_Engine!$AT$64&gt;=Lookup_Lists!$D$331,"Elevated Risk","High Risk"))))</f>
        <v>Low Risk</v>
      </c>
      <c r="AW64" s="42" t="e">
        <f ca="1">IF(NOT(ISNUMBER(Matching_Engine!$AT$64)),"No integrity signal: no audience-analysis row for this account.","Integrity screen only — no content-risk reading exists (comments_analysis: 0 rows). "&amp;IF(ISNUMBER(Matching_Engine!$AO$64),"Authenticity "&amp;Matching_Engine!$AO$64&amp;". ","Authenticity N/A. ")&amp;IF(ISNUMBER(Matching_Engine!$AP$64),"Follower quality "&amp;Matching_Engine!$AP$64&amp;". ","Follower quality N/A. ")&amp;IF('[1]#REF'!$I$16="Yes","Platform-verified.","Not platform-verified."))</f>
        <v>#REF!</v>
      </c>
      <c r="AX64" s="65">
        <f>Matching_Engine!$N$64*Lookup_Lists!$D$104+Matching_Engine!$T$64*Lookup_Lists!$D$105+Matching_Engine!$Z$64*Lookup_Lists!$D$106+Matching_Engine!$AF$64*Lookup_Lists!$D$107+Matching_Engine!$AN$64*Lookup_Lists!$D$108+Matching_Engine!$AU$64*Lookup_Lists!$D$109</f>
        <v>8140</v>
      </c>
      <c r="AY64" s="74" t="e">
        <f ca="1">IF(Matching_Engine!$AX$64=0,"N/A",ROUND((IF(Matching_Engine!$N$64=1,Matching_Engine!$M$64*Lookup_Lists!$D$104,0)+IF(Matching_Engine!$T$64=1,Matching_Engine!$S$64*Lookup_Lists!$D$105,0)+IF(Matching_Engine!$Z$64=1,Matching_Engine!$Y$64*Lookup_Lists!$D$106,0)+IF(Matching_Engine!$AF$64=1,Matching_Engine!$AE$64*Lookup_Lists!$D$107,0)+IF(Matching_Engine!$AN$64=1,Matching_Engine!$AM$64*Lookup_Lists!$D$108,0)+IF(Matching_Engine!$AU$64=1,Matching_Engine!$AT$64*Lookup_Lists!$D$109,0))/Matching_Engine!$AX$64,0))</f>
        <v>#VALUE!</v>
      </c>
      <c r="AZ64" s="42" t="str">
        <f ca="1">IF(NOT(ISNUMBER(Matching_Engine!$AY$64)),"Not Scored",IF(Matching_Engine!$AY$64&gt;=Lookup_Lists!$D$152,"Excellent Match",IF(Matching_Engine!$AY$64&gt;=Lookup_Lists!$D$153,"Strong Match",IF(Matching_Engine!$AY$64&gt;=Lookup_Lists!$D$154,"Good Match",IF(Matching_Engine!$AY$64&gt;=Lookup_Lists!$D$155,"Moderate Match","Low Match")))))</f>
        <v>Excellent Match</v>
      </c>
      <c r="BA64" s="65" t="e">
        <f>'[1]#REF'!$BW$16</f>
        <v>#REF!</v>
      </c>
      <c r="BB64" s="42" t="e">
        <f>'[1]#REF'!$BX$16</f>
        <v>#REF!</v>
      </c>
      <c r="BC64" s="65">
        <f ca="1">IF(NOT(ISNUMBER(Matching_Engine!$AY$64)),-1,Matching_Engine!$AY$64*1000+14)</f>
        <v>91014</v>
      </c>
      <c r="BD64" s="42" t="e">
        <f>IF(AND(ISTEXT('[1]#REF'!$S$16),'[1]#REF'!$S$16&lt;&gt;"N/A"),'[1]#REF'!$S$16,"")&amp;" | "&amp;IF(AND(ISTEXT('[1]#REF'!$T$16),'[1]#REF'!$T$16&lt;&gt;"N/A"),'[1]#REF'!$T$16,"")&amp;" | "&amp;IF(AND(ISTEXT('[1]#REF'!$N$16),'[1]#REF'!$N$16&lt;&gt;"N/A"),'[1]#REF'!$N$16,"")&amp;" | "&amp;IF(AND(ISTEXT('[1]#REF'!$K$16),'[1]#REF'!$K$16&lt;&gt;"N/A"),'[1]#REF'!$K$16,"")&amp;" | "&amp;IF(AND(ISTEXT('[1]#REF'!$J$16),'[1]#REF'!$J$16&lt;&gt;"N/A"),'[1]#REF'!$J$16,"")</f>
        <v>#REF!</v>
      </c>
      <c r="BE64" s="42" t="e">
        <f>IF(AND(ISTEXT('[1]#REF'!$T$16),'[1]#REF'!$T$16&lt;&gt;"N/A"),'[1]#REF'!$T$16,"")&amp;" | "&amp;IF(AND(ISTEXT('[1]#REF'!$N$16),'[1]#REF'!$N$16&lt;&gt;"N/A"),'[1]#REF'!$N$16,"")&amp;" | "&amp;IF(AND(ISTEXT('[1]#REF'!$O$16),'[1]#REF'!$O$16&lt;&gt;"N/A"),'[1]#REF'!$O$16,"")&amp;" | "&amp;IF(AND(ISTEXT('[1]#REF'!$S$16),'[1]#REF'!$S$16&lt;&gt;"N/A"),'[1]#REF'!$S$16,"")</f>
        <v>#REF!</v>
      </c>
      <c r="BF64" s="42" t="e">
        <f>IF(AND(ISTEXT('[1]#REF'!$U$16),'[1]#REF'!$U$16&lt;&gt;"N/A"),'[1]#REF'!$U$16,"")</f>
        <v>#REF!</v>
      </c>
      <c r="BG64" s="42" t="str">
        <f>Matching_Engine!$A$64&amp;"|"&amp;Matching_Engine!$C$64</f>
        <v>BRAND-B|KOL-29</v>
      </c>
    </row>
    <row r="65" spans="1:59">
      <c r="A65" s="64" t="s">
        <v>2529</v>
      </c>
      <c r="B65" s="42" t="str">
        <f>Brand_Profile!$G$6</f>
        <v>Active Value</v>
      </c>
      <c r="C65" s="42" t="e">
        <f>'[1]#REF'!$A$17</f>
        <v>#REF!</v>
      </c>
      <c r="D65" s="42" t="e">
        <f>'[1]#REF'!$C$17</f>
        <v>#REF!</v>
      </c>
      <c r="E65" s="42" t="e">
        <f>'[1]#REF'!$D$17</f>
        <v>#REF!</v>
      </c>
      <c r="F65" s="42" t="e">
        <f>'[1]#REF'!$E$17</f>
        <v>#REF!</v>
      </c>
      <c r="G65" s="42" t="e">
        <f>'[1]#REF'!$K$17</f>
        <v>#REF!</v>
      </c>
      <c r="H65" s="72" t="e">
        <f>'[1]#REF'!$G$17</f>
        <v>#REF!</v>
      </c>
      <c r="I65" s="73" t="e">
        <f>'[1]#REF'!$BG$17</f>
        <v>#REF!</v>
      </c>
      <c r="J65" s="65" t="e">
        <f>IF(NOT(AND(ISTEXT('[1]#REF'!$K$17),'[1]#REF'!$K$17&lt;&gt;"N/A")),Lookup_Lists!$D$150,IF(Brand_Profile!$G$7='[1]#REF'!$K$17,100,IFERROR(INDEX(Lookup_Lists!$B$349:$J$357,MATCH(Brand_Profile!$G$7,Lookup_Lists!$A$349:$A$357,0),MATCH('[1]#REF'!$K$17,Lookup_Lists!$B$348:$J$348,0)),Lookup_Lists!$D$151)))</f>
        <v>#REF!</v>
      </c>
      <c r="K65" s="65" t="e">
        <f>IF(LEN(TRIM(SUBSTITUTE(Matching_Engine!$BD$65,"|","")))=0,"N/A",IF(Brand_Profile!$G$47=0,Lookup_Lists!$D$150,ROUND((IF(Brand_Profile!$G$41="",0,IF(ISNUMBER(SEARCH(Brand_Profile!$G$41,Matching_Engine!$BD$65)),1,0))+IF(Brand_Profile!$G$42="",0,IF(ISNUMBER(SEARCH(Brand_Profile!$G$42,Matching_Engine!$BD$65)),1,0))+IF(Brand_Profile!$G$43="",0,IF(ISNUMBER(SEARCH(Brand_Profile!$G$43,Matching_Engine!$BD$65)),1,0))+IF(Brand_Profile!$G$44="",0,IF(ISNUMBER(SEARCH(Brand_Profile!$G$44,Matching_Engine!$BD$65)),1,0))+IF(Brand_Profile!$G$45="",0,IF(ISNUMBER(SEARCH(Brand_Profile!$G$45,Matching_Engine!$BD$65)),1,0))+IF(Brand_Profile!$G$46="",0,IF(ISNUMBER(SEARCH(Brand_Profile!$G$46,Matching_Engine!$BD$65)),1,0)))/Brand_Profile!$G$47*100,0)))</f>
        <v>#VALUE!</v>
      </c>
      <c r="L65" s="65" t="e">
        <f>IF(NOT(AND(ISTEXT('[1]#REF'!$U$17),'[1]#REF'!$U$17&lt;&gt;"N/A")),"N/A",IF(Brand_Profile!$G$53=0,Lookup_Lists!$D$150,ROUND((IF(Brand_Profile!$G$48="",0,IF(ISNUMBER(SEARCH(Brand_Profile!$G$48,Matching_Engine!$BF$65)),1,0))+IF(Brand_Profile!$G$49="",0,IF(ISNUMBER(SEARCH(Brand_Profile!$G$49,Matching_Engine!$BF$65)),1,0))+IF(Brand_Profile!$G$50="",0,IF(ISNUMBER(SEARCH(Brand_Profile!$G$50,Matching_Engine!$BF$65)),1,0))+IF(Brand_Profile!$G$51="",0,IF(ISNUMBER(SEARCH(Brand_Profile!$G$51,Matching_Engine!$BF$65)),1,0))+IF(Brand_Profile!$G$52="",0,IF(ISNUMBER(SEARCH(Brand_Profile!$G$52,Matching_Engine!$BF$65)),1,0)))/Brand_Profile!$G$53*100,0)))</f>
        <v>#REF!</v>
      </c>
      <c r="M65" s="63" t="str">
        <f>IF((IF(ISNUMBER(Matching_Engine!$J$65),Lookup_Lists!$D$332,0)+IF(ISNUMBER(Matching_Engine!$K$65),Lookup_Lists!$D$333,0)+IF(ISNUMBER(Matching_Engine!$L$65),Lookup_Lists!$D$334,0))=0,"N/A",ROUND((IF(ISNUMBER(Matching_Engine!$J$65),Matching_Engine!$J$65*Lookup_Lists!$D$332,0)+IF(ISNUMBER(Matching_Engine!$K$65),Matching_Engine!$K$65*Lookup_Lists!$D$333,0)+IF(ISNUMBER(Matching_Engine!$L$65),Matching_Engine!$L$65*Lookup_Lists!$D$334,0))/(IF(ISNUMBER(Matching_Engine!$J$65),Lookup_Lists!$D$332,0)+IF(ISNUMBER(Matching_Engine!$K$65),Lookup_Lists!$D$333,0)+IF(ISNUMBER(Matching_Engine!$L$65),Lookup_Lists!$D$334,0)),0))</f>
        <v>N/A</v>
      </c>
      <c r="N65" s="42">
        <f>IF(ISNUMBER(Matching_Engine!$M$65),1,0)</f>
        <v>1</v>
      </c>
      <c r="O65" s="65" t="str">
        <f ca="1">IF(NOT(ISNUMBER(IFERROR(INDEX('[1]#REF'!$V$17:'[1]#REF'!$Z$17,1,MATCH(Brand_Profile!$G$11,Lookup_Lists!$F$6:$F$10,0)),""))),"N/A",MIN(100,ROUND((IFERROR(INDEX('[1]#REF'!$V$17:'[1]#REF'!$Z$17,1,MATCH(Brand_Profile!$G$11,Lookup_Lists!$F$6:$F$10,0)),"")+0.5*IF(ISNUMBER(IFERROR(INDEX('[1]#REF'!$V$17:'[1]#REF'!$Z$17,1,MATCH(Brand_Profile!$G$12,Lookup_Lists!$F$6:$F$10,0)),"")),IFERROR(INDEX('[1]#REF'!$V$17:'[1]#REF'!$Z$17,1,MATCH(Brand_Profile!$G$12,Lookup_Lists!$F$6:$F$10,0)),""),0))/Lookup_Lists!$D$142*100,0)))</f>
        <v>N/A</v>
      </c>
      <c r="P65" s="65" t="str">
        <f>IF(Brand_Profile!$G$13="Any",100,IF(NOT(ISNUMBER('[1]#REF'!$AA$17)),"N/A",IF(Brand_Profile!$G$13="Female",MIN(100,ROUND('[1]#REF'!$AA$17/Lookup_Lists!$D$143*100,0)),IF(Brand_Profile!$G$13="Male",MIN(100,ROUND(IF(ISNUMBER('[1]#REF'!$AB$17),'[1]#REF'!$AB$17,100-'[1]#REF'!$AA$17)/Lookup_Lists!$D$143*100,0)),MAX(0,ROUND(100-ABS('[1]#REF'!$AA$17-50)*2,0))))))</f>
        <v>N/A</v>
      </c>
      <c r="Q65" s="65" t="str">
        <f>IF((IF(ISNUMBER(IF(NOT(ISNUMBER('[1]#REF'!$AE$17)),"N/A",IF('[1]#REF'!$AD$17&lt;&gt;Brand_Profile!$G$14,Lookup_Lists!$D$151,MIN(100,ROUND('[1]#REF'!$AE$17/Lookup_Lists!$D$316*100,0))))),Lookup_Lists!$D$118,0)+IF(ISNUMBER(IF(NOT(ISNUMBER('[1]#REF'!$AM$17)),"N/A",MIN(100,ROUND((IF('[1]#REF'!$AG$17=Brand_Profile!$G$15,IF(ISNUMBER('[1]#REF'!$AH$17),'[1]#REF'!$AH$17,0),0)+IF('[1]#REF'!$AI$17=Brand_Profile!$G$15,IF(ISNUMBER('[1]#REF'!$AJ$17),'[1]#REF'!$AJ$17,0),0)+IF('[1]#REF'!$AK$17=Brand_Profile!$G$15,IF(ISNUMBER('[1]#REF'!$AL$17),'[1]#REF'!$AL$17,0),0))/Lookup_Lists!$D$317*100,0)))),Lookup_Lists!$D$120,0))=0,"N/A",ROUND((IF(ISNUMBER(IF(NOT(ISNUMBER('[1]#REF'!$AE$17)),"N/A",IF('[1]#REF'!$AD$17&lt;&gt;Brand_Profile!$G$14,Lookup_Lists!$D$151,MIN(100,ROUND('[1]#REF'!$AE$17/Lookup_Lists!$D$316*100,0))))),IF(NOT(ISNUMBER('[1]#REF'!$AE$17)),"N/A",IF('[1]#REF'!$AD$17&lt;&gt;Brand_Profile!$G$14,Lookup_Lists!$D$151,MIN(100,ROUND('[1]#REF'!$AE$17/Lookup_Lists!$D$316*100,0))))*Lookup_Lists!$D$118,0)+IF(ISNUMBER(IF(NOT(ISNUMBER('[1]#REF'!$AM$17)),"N/A",MIN(100,ROUND((IF('[1]#REF'!$AG$17=Brand_Profile!$G$15,IF(ISNUMBER('[1]#REF'!$AH$17),'[1]#REF'!$AH$17,0),0)+IF('[1]#REF'!$AI$17=Brand_Profile!$G$15,IF(ISNUMBER('[1]#REF'!$AJ$17),'[1]#REF'!$AJ$17,0),0)+IF('[1]#REF'!$AK$17=Brand_Profile!$G$15,IF(ISNUMBER('[1]#REF'!$AL$17),'[1]#REF'!$AL$17,0),0))/Lookup_Lists!$D$317*100,0)))),IF(NOT(ISNUMBER('[1]#REF'!$AM$17)),"N/A",MIN(100,ROUND((IF('[1]#REF'!$AG$17=Brand_Profile!$G$15,IF(ISNUMBER('[1]#REF'!$AH$17),'[1]#REF'!$AH$17,0),0)+IF('[1]#REF'!$AI$17=Brand_Profile!$G$15,IF(ISNUMBER('[1]#REF'!$AJ$17),'[1]#REF'!$AJ$17,0),0)+IF('[1]#REF'!$AK$17=Brand_Profile!$G$15,IF(ISNUMBER('[1]#REF'!$AL$17),'[1]#REF'!$AL$17,0),0))/Lookup_Lists!$D$317*100,0)))*Lookup_Lists!$D$120,0))/(IF(ISNUMBER(IF(NOT(ISNUMBER('[1]#REF'!$AE$17)),"N/A",IF('[1]#REF'!$AD$17&lt;&gt;Brand_Profile!$G$14,Lookup_Lists!$D$151,MIN(100,ROUND('[1]#REF'!$AE$17/Lookup_Lists!$D$316*100,0))))),Lookup_Lists!$D$118,0)+IF(ISNUMBER(IF(NOT(ISNUMBER('[1]#REF'!$AM$17)),"N/A",MIN(100,ROUND((IF('[1]#REF'!$AG$17=Brand_Profile!$G$15,IF(ISNUMBER('[1]#REF'!$AH$17),'[1]#REF'!$AH$17,0),0)+IF('[1]#REF'!$AI$17=Brand_Profile!$G$15,IF(ISNUMBER('[1]#REF'!$AJ$17),'[1]#REF'!$AJ$17,0),0)+IF('[1]#REF'!$AK$17=Brand_Profile!$G$15,IF(ISNUMBER('[1]#REF'!$AL$17),'[1]#REF'!$AL$17,0),0))/Lookup_Lists!$D$317*100,0)))),Lookup_Lists!$D$120,0)),0))</f>
        <v>N/A</v>
      </c>
      <c r="R65" s="65" t="str">
        <f>IF(NOT(ISNUMBER('[1]#REF'!$AN$17)),"N/A",MIN(100,ROUND((IF(ISNUMBER('[1]#REF'!$AO$17),'[1]#REF'!$AO$17*Brand_Profile!$G$17,0)+IF(ISNUMBER('[1]#REF'!$AP$17),'[1]#REF'!$AP$17*Brand_Profile!$G$18,0)+IF(ISNUMBER('[1]#REF'!$AQ$17),'[1]#REF'!$AQ$17*Brand_Profile!$G$19,0)+IF(ISNUMBER('[1]#REF'!$AR$17),'[1]#REF'!$AR$17*Brand_Profile!$G$20,0)+IF(ISNUMBER('[1]#REF'!$AS$17),'[1]#REF'!$AS$17*Brand_Profile!$G$21,0)+IF(ISNUMBER('[1]#REF'!$AT$17),'[1]#REF'!$AT$17*Brand_Profile!$G$22,0)+IF(ISNUMBER('[1]#REF'!$AU$17),'[1]#REF'!$AU$17*Brand_Profile!$G$23,0)+IF(ISNUMBER('[1]#REF'!$AV$17),'[1]#REF'!$AV$17*Brand_Profile!$G$24,0)+IF(ISNUMBER('[1]#REF'!$AW$17),'[1]#REF'!$AW$17*Brand_Profile!$G$25,0)+IF(ISNUMBER('[1]#REF'!$AX$17),'[1]#REF'!$AX$17*Brand_Profile!$G$26,0)+IF(ISNUMBER('[1]#REF'!$AY$17),'[1]#REF'!$AY$17*Brand_Profile!$G$27,0)+IF(ISNUMBER('[1]#REF'!$AZ$17),'[1]#REF'!$AZ$17*Brand_Profile!$G$28,0)+IF(ISNUMBER('[1]#REF'!$BA$17),'[1]#REF'!$BA$17*Brand_Profile!$G$29,0)+IF(ISNUMBER('[1]#REF'!$BB$17),'[1]#REF'!$BB$17*Brand_Profile!$G$30,0)+IF(ISNUMBER('[1]#REF'!$BC$17),'[1]#REF'!$BC$17*Brand_Profile!$G$31,0)+IF(ISNUMBER('[1]#REF'!$BD$17),'[1]#REF'!$BD$17*Brand_Profile!$G$32,0)+IF(ISNUMBER('[1]#REF'!$BE$17),'[1]#REF'!$BE$17*Brand_Profile!$G$33,0)+IF(ISNUMBER('[1]#REF'!$BF$17),'[1]#REF'!$BF$17*Brand_Profile!$G$34,0))/Lookup_Lists!$D$318*100,0)))</f>
        <v>N/A</v>
      </c>
      <c r="S65" s="63">
        <f ca="1">IF((IF(ISNUMBER(Matching_Engine!$O$65),Lookup_Lists!$D$113,0)+IF(ISNUMBER(Matching_Engine!$P$65),Lookup_Lists!$D$114,0)+IF(ISNUMBER(Matching_Engine!$Q$65),Lookup_Lists!$D$115,0)+IF(ISNUMBER(Matching_Engine!$R$65),Lookup_Lists!$D$116,0))=0,"N/A",ROUND((IF(ISNUMBER(Matching_Engine!$O$65),Matching_Engine!$O$65*Lookup_Lists!$D$113,0)+IF(ISNUMBER(Matching_Engine!$P$65),Matching_Engine!$P$65*Lookup_Lists!$D$114,0)+IF(ISNUMBER(Matching_Engine!$Q$65),Matching_Engine!$Q$65*Lookup_Lists!$D$115,0)+IF(ISNUMBER(Matching_Engine!$R$65),Matching_Engine!$R$65*Lookup_Lists!$D$116,0))/(IF(ISNUMBER(Matching_Engine!$O$65),Lookup_Lists!$D$113,0)+IF(ISNUMBER(Matching_Engine!$P$65),Lookup_Lists!$D$114,0)+IF(ISNUMBER(Matching_Engine!$Q$65),Lookup_Lists!$D$115,0)+IF(ISNUMBER(Matching_Engine!$R$65),Lookup_Lists!$D$116,0)),0))</f>
        <v>53</v>
      </c>
      <c r="T65" s="42">
        <f ca="1">IF(ISNUMBER(Matching_Engine!$S$65),1,0)</f>
        <v>1</v>
      </c>
      <c r="U65" s="65" t="e">
        <f>IF(NOT(AND(ISTEXT('[1]#REF'!$M$17),'[1]#REF'!$M$17&lt;&gt;"N/A")),Lookup_Lists!$D$150,IF(Brand_Profile!$G$7='[1]#REF'!$M$17,100,IFERROR(INDEX(Lookup_Lists!$B$349:$J$357,MATCH(Brand_Profile!$G$7,Lookup_Lists!$A$349:$A$357,0),MATCH('[1]#REF'!$M$17,Lookup_Lists!$B$348:$J$348,0)),Lookup_Lists!$D$151)))</f>
        <v>#REF!</v>
      </c>
      <c r="V65" s="65" t="e">
        <f>IF(NOT(AND(ISTEXT('[1]#REF'!$P$17),'[1]#REF'!$P$17&lt;&gt;"N/A")),"N/A",IFERROR(INDEX(Lookup_Lists!$B$349:$J$357,MATCH(Brand_Profile!$G$7,Lookup_Lists!$A$349:$A$357,0),MATCH('[1]#REF'!$P$17,Lookup_Lists!$B$348:$J$348,0)),Lookup_Lists!$D$151))</f>
        <v>#REF!</v>
      </c>
      <c r="W65" s="65" t="e">
        <f>IF(LEN(TRIM(SUBSTITUTE(Matching_Engine!$BE$65,"|","")))=0,"N/A",IF(Brand_Profile!$G$60=0,Lookup_Lists!$D$150,ROUND((IF(Brand_Profile!$G$54="",0,IF(ISNUMBER(SEARCH(Brand_Profile!$G$54,Matching_Engine!$BE$65)),1,0))+IF(Brand_Profile!$G$55="",0,IF(ISNUMBER(SEARCH(Brand_Profile!$G$55,Matching_Engine!$BE$65)),1,0))+IF(Brand_Profile!$G$56="",0,IF(ISNUMBER(SEARCH(Brand_Profile!$G$56,Matching_Engine!$BE$65)),1,0))+IF(Brand_Profile!$G$57="",0,IF(ISNUMBER(SEARCH(Brand_Profile!$G$57,Matching_Engine!$BE$65)),1,0))+IF(Brand_Profile!$G$58="",0,IF(ISNUMBER(SEARCH(Brand_Profile!$G$58,Matching_Engine!$BE$65)),1,0))+IF(Brand_Profile!$G$59="",0,IF(ISNUMBER(SEARCH(Brand_Profile!$G$59,Matching_Engine!$BE$65)),1,0)))/Brand_Profile!$G$60*100,0)))</f>
        <v>#VALUE!</v>
      </c>
      <c r="X65" s="65" t="e">
        <f>IF(NOT(AND(ISTEXT('[1]#REF'!$Q$17),'[1]#REF'!$Q$17&lt;&gt;"N/A")),"N/A",Lookup_Lists!$D$150)</f>
        <v>#REF!</v>
      </c>
      <c r="Y65" s="63">
        <f>IF((IF(ISNUMBER(Matching_Engine!$U$65),Lookup_Lists!$D$335,0)+IF(ISNUMBER(Matching_Engine!$V$65),Lookup_Lists!$D$122,0)+IF(ISNUMBER(Matching_Engine!$W$65),Lookup_Lists!$D$336,0)+IF(ISNUMBER(Matching_Engine!$X$65),Lookup_Lists!$D$124,0))=0,"N/A",ROUND((IF(ISNUMBER(Matching_Engine!$U$65),Matching_Engine!$U$65*Lookup_Lists!$D$335,0)+IF(ISNUMBER(Matching_Engine!$V$65),Matching_Engine!$V$65*Lookup_Lists!$D$122,0)+IF(ISNUMBER(Matching_Engine!$W$65),Matching_Engine!$W$65*Lookup_Lists!$D$336,0)+IF(ISNUMBER(Matching_Engine!$X$65),Matching_Engine!$X$65*Lookup_Lists!$D$124,0))/(IF(ISNUMBER(Matching_Engine!$U$65),Lookup_Lists!$D$335,0)+IF(ISNUMBER(Matching_Engine!$V$65),Lookup_Lists!$D$122,0)+IF(ISNUMBER(Matching_Engine!$W$65),Lookup_Lists!$D$336,0)+IF(ISNUMBER(Matching_Engine!$X$65),Lookup_Lists!$D$124,0)),0))</f>
        <v>13</v>
      </c>
      <c r="Z65" s="42">
        <f>IF(ISNUMBER(Matching_Engine!$Y$65),1,0)</f>
        <v>1</v>
      </c>
      <c r="AA65" s="65" t="e">
        <f>IF(NOT(AND(ISTEXT('[1]#REF'!$Q$17),'[1]#REF'!$Q$17&lt;&gt;"N/A")),"N/A",Lookup_Lists!$D$150)</f>
        <v>#REF!</v>
      </c>
      <c r="AB65" s="65" t="e">
        <f>IF(NOT(AND(ISTEXT('[1]#REF'!$Q$17),'[1]#REF'!$Q$17&lt;&gt;"N/A")),"N/A",Lookup_Lists!$D$150)</f>
        <v>#REF!</v>
      </c>
      <c r="AC65" s="65" t="str">
        <f t="shared" si="0"/>
        <v>N/A</v>
      </c>
      <c r="AD65" s="65" t="e">
        <f>IF(NOT(AND(ISTEXT('[1]#REF'!$Q$17),'[1]#REF'!$Q$17&lt;&gt;"N/A")),"N/A",Lookup_Lists!$D$150)</f>
        <v>#REF!</v>
      </c>
      <c r="AE65" s="63">
        <f>IF((IF(ISNUMBER(Matching_Engine!$AA$65),Lookup_Lists!$D$125,0)+IF(ISNUMBER(Matching_Engine!$AB$65),Lookup_Lists!$D$126,0)+IF(ISNUMBER(Matching_Engine!$AC$65),Lookup_Lists!$D$127,0)+IF(ISNUMBER(Matching_Engine!$AD$65),Lookup_Lists!$D$128,0))=0,"N/A",ROUND((IF(ISNUMBER(Matching_Engine!$AA$65),Matching_Engine!$AA$65*Lookup_Lists!$D$125,0)+IF(ISNUMBER(Matching_Engine!$AB$65),Matching_Engine!$AB$65*Lookup_Lists!$D$126,0)+IF(ISNUMBER(Matching_Engine!$AC$65),Matching_Engine!$AC$65*Lookup_Lists!$D$127,0)+IF(ISNUMBER(Matching_Engine!$AD$65),Matching_Engine!$AD$65*Lookup_Lists!$D$128,0))/(IF(ISNUMBER(Matching_Engine!$AA$65),Lookup_Lists!$D$125,0)+IF(ISNUMBER(Matching_Engine!$AB$65),Lookup_Lists!$D$126,0)+IF(ISNUMBER(Matching_Engine!$AC$65),Lookup_Lists!$D$127,0)+IF(ISNUMBER(Matching_Engine!$AD$65),Lookup_Lists!$D$128,0)),0))</f>
        <v>48</v>
      </c>
      <c r="AF65" s="42">
        <f>IF(ISNUMBER(Matching_Engine!$AE$65),1,0)</f>
        <v>1</v>
      </c>
      <c r="AG65" s="65" t="str">
        <f>IF(NOT(ISNUMBER('[1]#REF'!$BG$17)),"N/A",MIN(100,ROUND('[1]#REF'!$BG$17/IFERROR(INDEX(Lookup_Lists!$B$340:$B$344,MATCH('[1]#REF'!$H$17,Lookup_Lists!$A$340:$A$344,0)),Lookup_Lists!$D$141)*100,0)))</f>
        <v>N/A</v>
      </c>
      <c r="AH65" s="65" t="str">
        <f>IF(NOT(ISNUMBER('[1]#REF'!$BS$17)),"N/A",MIN(100,MAX(0,'[1]#REF'!$BS$17)))</f>
        <v>N/A</v>
      </c>
      <c r="AI65" s="65" t="e">
        <f>IF(OR(NOT(ISNUMBER('[1]#REF'!$BM$17)),NOT(ISNUMBER('[1]#REF'!$BN$17)),'[1]#REF'!$BN$17&lt;Lookup_Lists!$D$320),"N/A",MIN(100,ROUND('[1]#REF'!$BM$17/Lookup_Lists!$D$319*100,0)))</f>
        <v>#REF!</v>
      </c>
      <c r="AJ65" s="65" t="str">
        <f>IF(NOT(ISNUMBER('[1]#REF'!$BR$17)),"N/A",'[1]#REF'!$BR$17)</f>
        <v>N/A</v>
      </c>
      <c r="AK65" s="65" t="str">
        <f>IF(NOT(ISNUMBER('[1]#REF'!$BK$17)),"N/A",MIN(100,ROUND('[1]#REF'!$BK$17/Lookup_Lists!$D$321*100,0)))</f>
        <v>N/A</v>
      </c>
      <c r="AL65" s="65" t="str">
        <f>IF(NOT(ISNUMBER('[1]#REF'!$BP$17)),"N/A",MIN(100,MAX(0,ROUND(('[1]#REF'!$BP$17+2)/(Lookup_Lists!$D$145+2)*100,0))))</f>
        <v>N/A</v>
      </c>
      <c r="AM65" s="63">
        <f>IF((IF(ISNUMBER(Matching_Engine!$AG$65),Lookup_Lists!$D$129,0)+IF(ISNUMBER(Matching_Engine!$AH$65),Lookup_Lists!$D$130,0)+IF(ISNUMBER(Matching_Engine!$AI$65),Lookup_Lists!$D$131,0)+IF(ISNUMBER(Matching_Engine!$AJ$65),Lookup_Lists!$D$132,0)+IF(ISNUMBER(Matching_Engine!$AK$65),Lookup_Lists!$D$133,0)+IF(ISNUMBER(Matching_Engine!$AL$65),Lookup_Lists!$D$134,0))=0,"N/A",ROUND((IF(ISNUMBER(Matching_Engine!$AG$65),Matching_Engine!$AG$65*Lookup_Lists!$D$129,0)+IF(ISNUMBER(Matching_Engine!$AH$65),Matching_Engine!$AH$65*Lookup_Lists!$D$130,0)+IF(ISNUMBER(Matching_Engine!$AI$65),Matching_Engine!$AI$65*Lookup_Lists!$D$131,0)+IF(ISNUMBER(Matching_Engine!$AJ$65),Matching_Engine!$AJ$65*Lookup_Lists!$D$132,0)+IF(ISNUMBER(Matching_Engine!$AK$65),Matching_Engine!$AK$65*Lookup_Lists!$D$133,0)+IF(ISNUMBER(Matching_Engine!$AL$65),Matching_Engine!$AL$65*Lookup_Lists!$D$134,0))/(IF(ISNUMBER(Matching_Engine!$AG$65),Lookup_Lists!$D$129,0)+IF(ISNUMBER(Matching_Engine!$AH$65),Lookup_Lists!$D$130,0)+IF(ISNUMBER(Matching_Engine!$AI$65),Lookup_Lists!$D$131,0)+IF(ISNUMBER(Matching_Engine!$AJ$65),Lookup_Lists!$D$132,0)+IF(ISNUMBER(Matching_Engine!$AK$65),Lookup_Lists!$D$133,0)+IF(ISNUMBER(Matching_Engine!$AL$65),Lookup_Lists!$D$134,0)),0))</f>
        <v>62</v>
      </c>
      <c r="AN65" s="42">
        <f>IF(ISNUMBER(Matching_Engine!$AM$65),1,0)</f>
        <v>0</v>
      </c>
      <c r="AO65" s="65" t="str">
        <f>IF(NOT(ISNUMBER('[1]#REF'!$BT$17)),"N/A",MIN(100,MAX(0,'[1]#REF'!$BT$17)))</f>
        <v>N/A</v>
      </c>
      <c r="AP65" s="65" t="str">
        <f>IF(NOT(ISNUMBER('[1]#REF'!$BU$17)),"N/A",MIN(100,MAX(0,'[1]#REF'!$BU$17)))</f>
        <v>N/A</v>
      </c>
      <c r="AQ65" s="65" t="e">
        <f>IF('[1]#REF'!$I$17="Yes",Lookup_Lists!$D$326,IF('[1]#REF'!$I$17="No",Lookup_Lists!$D$327,"N/A"))</f>
        <v>#REF!</v>
      </c>
      <c r="AR65" s="65" t="str">
        <f>IF(NOT(ISNUMBER('[1]#REF'!$BQ$17)),"N/A",MAX(0,ROUND(100-'[1]#REF'!$BQ$17/Lookup_Lists!$D$328*100,0)))</f>
        <v>N/A</v>
      </c>
      <c r="AS65" s="65" t="e">
        <f>IF(NOT(AND(ISTEXT('[1]#REF'!$BV$17),'[1]#REF'!$BV$17&lt;&gt;"N/A")),"N/A",'[1]#REF'!$BV$17)</f>
        <v>#REF!</v>
      </c>
      <c r="AT65" s="63" t="str">
        <f ca="1">IF((IF(ISNUMBER(Matching_Engine!$AO$65),Lookup_Lists!$D$322,0)+IF(ISNUMBER(Matching_Engine!$AP$65),Lookup_Lists!$D$323,0)+IF(ISNUMBER(Matching_Engine!$AQ$65),Lookup_Lists!$D$324,0)+IF(ISNUMBER(Matching_Engine!$AR$65),Lookup_Lists!$D$325,0))=0,"N/A",ROUND((IF(ISNUMBER(Matching_Engine!$AO$65),Matching_Engine!$AO$65*Lookup_Lists!$D$322,0)+IF(ISNUMBER(Matching_Engine!$AP$65),Matching_Engine!$AP$65*Lookup_Lists!$D$323,0)+IF(ISNUMBER(Matching_Engine!$AQ$65),Matching_Engine!$AQ$65*Lookup_Lists!$D$324,0)+IF(ISNUMBER(Matching_Engine!$AR$65),Matching_Engine!$AR$65*Lookup_Lists!$D$325,0))/(IF(ISNUMBER(Matching_Engine!$AO$65),Lookup_Lists!$D$322,0)+IF(ISNUMBER(Matching_Engine!$AP$65),Lookup_Lists!$D$323,0)+IF(ISNUMBER(Matching_Engine!$AQ$65),Lookup_Lists!$D$324,0)+IF(ISNUMBER(Matching_Engine!$AR$65),Lookup_Lists!$D$325,0)),0))</f>
        <v>N/A</v>
      </c>
      <c r="AU65" s="42">
        <f>IF(ISNUMBER(Matching_Engine!$AT$65),1,0)</f>
        <v>1</v>
      </c>
      <c r="AV65" s="42" t="str">
        <f>IF(NOT(ISNUMBER(Matching_Engine!$AT$65)),"Not Screened",IF(Matching_Engine!$AT$65&gt;=Lookup_Lists!$D$329,"Low Risk",IF(Matching_Engine!$AT$65&gt;=Lookup_Lists!$D$330,"Moderate Risk",IF(Matching_Engine!$AT$65&gt;=Lookup_Lists!$D$331,"Elevated Risk","High Risk"))))</f>
        <v>Low Risk</v>
      </c>
      <c r="AW65" s="42" t="e">
        <f ca="1">IF(NOT(ISNUMBER(Matching_Engine!$AT$65)),"No integrity signal: no audience-analysis row for this account.","Integrity screen only — no content-risk reading exists (comments_analysis: 0 rows). "&amp;IF(ISNUMBER(Matching_Engine!$AO$65),"Authenticity "&amp;Matching_Engine!$AO$65&amp;". ","Authenticity N/A. ")&amp;IF(ISNUMBER(Matching_Engine!$AP$65),"Follower quality "&amp;Matching_Engine!$AP$65&amp;". ","Follower quality N/A. ")&amp;IF('[1]#REF'!$I$17="Yes","Platform-verified.","Not platform-verified."))</f>
        <v>#REF!</v>
      </c>
      <c r="AX65" s="65">
        <f>Matching_Engine!$N$65*Lookup_Lists!$D$104+Matching_Engine!$T$65*Lookup_Lists!$D$105+Matching_Engine!$Z$65*Lookup_Lists!$D$106+Matching_Engine!$AF$65*Lookup_Lists!$D$107+Matching_Engine!$AN$65*Lookup_Lists!$D$108+Matching_Engine!$AU$65*Lookup_Lists!$D$109</f>
        <v>3109.5</v>
      </c>
      <c r="AY65" s="74" t="e">
        <f ca="1">IF(Matching_Engine!$AX$65=0,"N/A",ROUND((IF(Matching_Engine!$N$65=1,Matching_Engine!$M$65*Lookup_Lists!$D$104,0)+IF(Matching_Engine!$T$65=1,Matching_Engine!$S$65*Lookup_Lists!$D$105,0)+IF(Matching_Engine!$Z$65=1,Matching_Engine!$Y$65*Lookup_Lists!$D$106,0)+IF(Matching_Engine!$AF$65=1,Matching_Engine!$AE$65*Lookup_Lists!$D$107,0)+IF(Matching_Engine!$AN$65=1,Matching_Engine!$AM$65*Lookup_Lists!$D$108,0)+IF(Matching_Engine!$AU$65=1,Matching_Engine!$AT$65*Lookup_Lists!$D$109,0))/Matching_Engine!$AX$65,0))</f>
        <v>#VALUE!</v>
      </c>
      <c r="AZ65" s="42" t="str">
        <f ca="1">IF(NOT(ISNUMBER(Matching_Engine!$AY$65)),"Not Scored",IF(Matching_Engine!$AY$65&gt;=Lookup_Lists!$D$152,"Excellent Match",IF(Matching_Engine!$AY$65&gt;=Lookup_Lists!$D$153,"Strong Match",IF(Matching_Engine!$AY$65&gt;=Lookup_Lists!$D$154,"Good Match",IF(Matching_Engine!$AY$65&gt;=Lookup_Lists!$D$155,"Moderate Match","Low Match")))))</f>
        <v>Not Scored</v>
      </c>
      <c r="BA65" s="65" t="e">
        <f>'[1]#REF'!$BW$17</f>
        <v>#REF!</v>
      </c>
      <c r="BB65" s="42" t="e">
        <f>'[1]#REF'!$BX$17</f>
        <v>#REF!</v>
      </c>
      <c r="BC65" s="65">
        <f ca="1">IF(NOT(ISNUMBER(Matching_Engine!$AY$65)),-1,Matching_Engine!$AY$65*1000+13)</f>
        <v>-1</v>
      </c>
      <c r="BD65" s="42" t="e">
        <f>IF(AND(ISTEXT('[1]#REF'!$S$17),'[1]#REF'!$S$17&lt;&gt;"N/A"),'[1]#REF'!$S$17,"")&amp;" | "&amp;IF(AND(ISTEXT('[1]#REF'!$T$17),'[1]#REF'!$T$17&lt;&gt;"N/A"),'[1]#REF'!$T$17,"")&amp;" | "&amp;IF(AND(ISTEXT('[1]#REF'!$N$17),'[1]#REF'!$N$17&lt;&gt;"N/A"),'[1]#REF'!$N$17,"")&amp;" | "&amp;IF(AND(ISTEXT('[1]#REF'!$K$17),'[1]#REF'!$K$17&lt;&gt;"N/A"),'[1]#REF'!$K$17,"")&amp;" | "&amp;IF(AND(ISTEXT('[1]#REF'!$J$17),'[1]#REF'!$J$17&lt;&gt;"N/A"),'[1]#REF'!$J$17,"")</f>
        <v>#REF!</v>
      </c>
      <c r="BE65" s="42" t="e">
        <f>IF(AND(ISTEXT('[1]#REF'!$T$17),'[1]#REF'!$T$17&lt;&gt;"N/A"),'[1]#REF'!$T$17,"")&amp;" | "&amp;IF(AND(ISTEXT('[1]#REF'!$N$17),'[1]#REF'!$N$17&lt;&gt;"N/A"),'[1]#REF'!$N$17,"")&amp;" | "&amp;IF(AND(ISTEXT('[1]#REF'!$O$17),'[1]#REF'!$O$17&lt;&gt;"N/A"),'[1]#REF'!$O$17,"")&amp;" | "&amp;IF(AND(ISTEXT('[1]#REF'!$S$17),'[1]#REF'!$S$17&lt;&gt;"N/A"),'[1]#REF'!$S$17,"")</f>
        <v>#REF!</v>
      </c>
      <c r="BF65" s="42" t="e">
        <f>IF(AND(ISTEXT('[1]#REF'!$U$17),'[1]#REF'!$U$17&lt;&gt;"N/A"),'[1]#REF'!$U$17,"")</f>
        <v>#REF!</v>
      </c>
      <c r="BG65" s="42" t="str">
        <f>Matching_Engine!$A$65&amp;"|"&amp;Matching_Engine!$C$65</f>
        <v>BRAND-B|KOL-30</v>
      </c>
    </row>
    <row r="66" spans="1:59">
      <c r="A66" s="64" t="s">
        <v>2529</v>
      </c>
      <c r="B66" s="42" t="str">
        <f>Brand_Profile!$G$6</f>
        <v>Active Value</v>
      </c>
      <c r="C66" s="42" t="e">
        <f>'[1]#REF'!$A$18</f>
        <v>#REF!</v>
      </c>
      <c r="D66" s="42" t="e">
        <f>'[1]#REF'!$C$18</f>
        <v>#REF!</v>
      </c>
      <c r="E66" s="42" t="e">
        <f>'[1]#REF'!$D$18</f>
        <v>#REF!</v>
      </c>
      <c r="F66" s="42" t="e">
        <f>'[1]#REF'!$E$18</f>
        <v>#REF!</v>
      </c>
      <c r="G66" s="42" t="e">
        <f>'[1]#REF'!$K$18</f>
        <v>#REF!</v>
      </c>
      <c r="H66" s="72" t="e">
        <f>'[1]#REF'!$G$18</f>
        <v>#REF!</v>
      </c>
      <c r="I66" s="73" t="e">
        <f>'[1]#REF'!$BG$18</f>
        <v>#REF!</v>
      </c>
      <c r="J66" s="65" t="e">
        <f>IF(NOT(AND(ISTEXT('[1]#REF'!$K$18),'[1]#REF'!$K$18&lt;&gt;"N/A")),Lookup_Lists!$D$150,IF(Brand_Profile!$G$7='[1]#REF'!$K$18,100,IFERROR(INDEX(Lookup_Lists!$B$349:$J$357,MATCH(Brand_Profile!$G$7,Lookup_Lists!$A$349:$A$357,0),MATCH('[1]#REF'!$K$18,Lookup_Lists!$B$348:$J$348,0)),Lookup_Lists!$D$151)))</f>
        <v>#REF!</v>
      </c>
      <c r="K66" s="65" t="e">
        <f>IF(LEN(TRIM(SUBSTITUTE(Matching_Engine!$BD$66,"|","")))=0,"N/A",IF(Brand_Profile!$G$47=0,Lookup_Lists!$D$150,ROUND((IF(Brand_Profile!$G$41="",0,IF(ISNUMBER(SEARCH(Brand_Profile!$G$41,Matching_Engine!$BD$66)),1,0))+IF(Brand_Profile!$G$42="",0,IF(ISNUMBER(SEARCH(Brand_Profile!$G$42,Matching_Engine!$BD$66)),1,0))+IF(Brand_Profile!$G$43="",0,IF(ISNUMBER(SEARCH(Brand_Profile!$G$43,Matching_Engine!$BD$66)),1,0))+IF(Brand_Profile!$G$44="",0,IF(ISNUMBER(SEARCH(Brand_Profile!$G$44,Matching_Engine!$BD$66)),1,0))+IF(Brand_Profile!$G$45="",0,IF(ISNUMBER(SEARCH(Brand_Profile!$G$45,Matching_Engine!$BD$66)),1,0))+IF(Brand_Profile!$G$46="",0,IF(ISNUMBER(SEARCH(Brand_Profile!$G$46,Matching_Engine!$BD$66)),1,0)))/Brand_Profile!$G$47*100,0)))</f>
        <v>#VALUE!</v>
      </c>
      <c r="L66" s="65" t="e">
        <f>IF(NOT(AND(ISTEXT('[1]#REF'!$U$18),'[1]#REF'!$U$18&lt;&gt;"N/A")),"N/A",IF(Brand_Profile!$G$53=0,Lookup_Lists!$D$150,ROUND((IF(Brand_Profile!$G$48="",0,IF(ISNUMBER(SEARCH(Brand_Profile!$G$48,Matching_Engine!$BF$66)),1,0))+IF(Brand_Profile!$G$49="",0,IF(ISNUMBER(SEARCH(Brand_Profile!$G$49,Matching_Engine!$BF$66)),1,0))+IF(Brand_Profile!$G$50="",0,IF(ISNUMBER(SEARCH(Brand_Profile!$G$50,Matching_Engine!$BF$66)),1,0))+IF(Brand_Profile!$G$51="",0,IF(ISNUMBER(SEARCH(Brand_Profile!$G$51,Matching_Engine!$BF$66)),1,0))+IF(Brand_Profile!$G$52="",0,IF(ISNUMBER(SEARCH(Brand_Profile!$G$52,Matching_Engine!$BF$66)),1,0)))/Brand_Profile!$G$53*100,0)))</f>
        <v>#REF!</v>
      </c>
      <c r="M66" s="63" t="str">
        <f>IF((IF(ISNUMBER(Matching_Engine!$J$66),Lookup_Lists!$D$332,0)+IF(ISNUMBER(Matching_Engine!$K$66),Lookup_Lists!$D$333,0)+IF(ISNUMBER(Matching_Engine!$L$66),Lookup_Lists!$D$334,0))=0,"N/A",ROUND((IF(ISNUMBER(Matching_Engine!$J$66),Matching_Engine!$J$66*Lookup_Lists!$D$332,0)+IF(ISNUMBER(Matching_Engine!$K$66),Matching_Engine!$K$66*Lookup_Lists!$D$333,0)+IF(ISNUMBER(Matching_Engine!$L$66),Matching_Engine!$L$66*Lookup_Lists!$D$334,0))/(IF(ISNUMBER(Matching_Engine!$J$66),Lookup_Lists!$D$332,0)+IF(ISNUMBER(Matching_Engine!$K$66),Lookup_Lists!$D$333,0)+IF(ISNUMBER(Matching_Engine!$L$66),Lookup_Lists!$D$334,0)),0))</f>
        <v>N/A</v>
      </c>
      <c r="N66" s="42">
        <f>IF(ISNUMBER(Matching_Engine!$M$66),1,0)</f>
        <v>1</v>
      </c>
      <c r="O66" s="65" t="str">
        <f ca="1">IF(NOT(ISNUMBER(IFERROR(INDEX('[1]#REF'!$V$18:'[1]#REF'!$Z$18,1,MATCH(Brand_Profile!$G$11,Lookup_Lists!$F$6:$F$10,0)),""))),"N/A",MIN(100,ROUND((IFERROR(INDEX('[1]#REF'!$V$18:'[1]#REF'!$Z$18,1,MATCH(Brand_Profile!$G$11,Lookup_Lists!$F$6:$F$10,0)),"")+0.5*IF(ISNUMBER(IFERROR(INDEX('[1]#REF'!$V$18:'[1]#REF'!$Z$18,1,MATCH(Brand_Profile!$G$12,Lookup_Lists!$F$6:$F$10,0)),"")),IFERROR(INDEX('[1]#REF'!$V$18:'[1]#REF'!$Z$18,1,MATCH(Brand_Profile!$G$12,Lookup_Lists!$F$6:$F$10,0)),""),0))/Lookup_Lists!$D$142*100,0)))</f>
        <v>N/A</v>
      </c>
      <c r="P66" s="65" t="str">
        <f>IF(Brand_Profile!$G$13="Any",100,IF(NOT(ISNUMBER('[1]#REF'!$AA$18)),"N/A",IF(Brand_Profile!$G$13="Female",MIN(100,ROUND('[1]#REF'!$AA$18/Lookup_Lists!$D$143*100,0)),IF(Brand_Profile!$G$13="Male",MIN(100,ROUND(IF(ISNUMBER('[1]#REF'!$AB$18),'[1]#REF'!$AB$18,100-'[1]#REF'!$AA$18)/Lookup_Lists!$D$143*100,0)),MAX(0,ROUND(100-ABS('[1]#REF'!$AA$18-50)*2,0))))))</f>
        <v>N/A</v>
      </c>
      <c r="Q66" s="65" t="str">
        <f>IF((IF(ISNUMBER(IF(NOT(ISNUMBER('[1]#REF'!$AE$18)),"N/A",IF('[1]#REF'!$AD$18&lt;&gt;Brand_Profile!$G$14,Lookup_Lists!$D$151,MIN(100,ROUND('[1]#REF'!$AE$18/Lookup_Lists!$D$316*100,0))))),Lookup_Lists!$D$118,0)+IF(ISNUMBER(IF(NOT(ISNUMBER('[1]#REF'!$AM$18)),"N/A",MIN(100,ROUND((IF('[1]#REF'!$AG$18=Brand_Profile!$G$15,IF(ISNUMBER('[1]#REF'!$AH$18),'[1]#REF'!$AH$18,0),0)+IF('[1]#REF'!$AI$18=Brand_Profile!$G$15,IF(ISNUMBER('[1]#REF'!$AJ$18),'[1]#REF'!$AJ$18,0),0)+IF('[1]#REF'!$AK$18=Brand_Profile!$G$15,IF(ISNUMBER('[1]#REF'!$AL$18),'[1]#REF'!$AL$18,0),0))/Lookup_Lists!$D$317*100,0)))),Lookup_Lists!$D$120,0))=0,"N/A",ROUND((IF(ISNUMBER(IF(NOT(ISNUMBER('[1]#REF'!$AE$18)),"N/A",IF('[1]#REF'!$AD$18&lt;&gt;Brand_Profile!$G$14,Lookup_Lists!$D$151,MIN(100,ROUND('[1]#REF'!$AE$18/Lookup_Lists!$D$316*100,0))))),IF(NOT(ISNUMBER('[1]#REF'!$AE$18)),"N/A",IF('[1]#REF'!$AD$18&lt;&gt;Brand_Profile!$G$14,Lookup_Lists!$D$151,MIN(100,ROUND('[1]#REF'!$AE$18/Lookup_Lists!$D$316*100,0))))*Lookup_Lists!$D$118,0)+IF(ISNUMBER(IF(NOT(ISNUMBER('[1]#REF'!$AM$18)),"N/A",MIN(100,ROUND((IF('[1]#REF'!$AG$18=Brand_Profile!$G$15,IF(ISNUMBER('[1]#REF'!$AH$18),'[1]#REF'!$AH$18,0),0)+IF('[1]#REF'!$AI$18=Brand_Profile!$G$15,IF(ISNUMBER('[1]#REF'!$AJ$18),'[1]#REF'!$AJ$18,0),0)+IF('[1]#REF'!$AK$18=Brand_Profile!$G$15,IF(ISNUMBER('[1]#REF'!$AL$18),'[1]#REF'!$AL$18,0),0))/Lookup_Lists!$D$317*100,0)))),IF(NOT(ISNUMBER('[1]#REF'!$AM$18)),"N/A",MIN(100,ROUND((IF('[1]#REF'!$AG$18=Brand_Profile!$G$15,IF(ISNUMBER('[1]#REF'!$AH$18),'[1]#REF'!$AH$18,0),0)+IF('[1]#REF'!$AI$18=Brand_Profile!$G$15,IF(ISNUMBER('[1]#REF'!$AJ$18),'[1]#REF'!$AJ$18,0),0)+IF('[1]#REF'!$AK$18=Brand_Profile!$G$15,IF(ISNUMBER('[1]#REF'!$AL$18),'[1]#REF'!$AL$18,0),0))/Lookup_Lists!$D$317*100,0)))*Lookup_Lists!$D$120,0))/(IF(ISNUMBER(IF(NOT(ISNUMBER('[1]#REF'!$AE$18)),"N/A",IF('[1]#REF'!$AD$18&lt;&gt;Brand_Profile!$G$14,Lookup_Lists!$D$151,MIN(100,ROUND('[1]#REF'!$AE$18/Lookup_Lists!$D$316*100,0))))),Lookup_Lists!$D$118,0)+IF(ISNUMBER(IF(NOT(ISNUMBER('[1]#REF'!$AM$18)),"N/A",MIN(100,ROUND((IF('[1]#REF'!$AG$18=Brand_Profile!$G$15,IF(ISNUMBER('[1]#REF'!$AH$18),'[1]#REF'!$AH$18,0),0)+IF('[1]#REF'!$AI$18=Brand_Profile!$G$15,IF(ISNUMBER('[1]#REF'!$AJ$18),'[1]#REF'!$AJ$18,0),0)+IF('[1]#REF'!$AK$18=Brand_Profile!$G$15,IF(ISNUMBER('[1]#REF'!$AL$18),'[1]#REF'!$AL$18,0),0))/Lookup_Lists!$D$317*100,0)))),Lookup_Lists!$D$120,0)),0))</f>
        <v>N/A</v>
      </c>
      <c r="R66" s="65" t="str">
        <f>IF(NOT(ISNUMBER('[1]#REF'!$AN$18)),"N/A",MIN(100,ROUND((IF(ISNUMBER('[1]#REF'!$AO$18),'[1]#REF'!$AO$18*Brand_Profile!$G$17,0)+IF(ISNUMBER('[1]#REF'!$AP$18),'[1]#REF'!$AP$18*Brand_Profile!$G$18,0)+IF(ISNUMBER('[1]#REF'!$AQ$18),'[1]#REF'!$AQ$18*Brand_Profile!$G$19,0)+IF(ISNUMBER('[1]#REF'!$AR$18),'[1]#REF'!$AR$18*Brand_Profile!$G$20,0)+IF(ISNUMBER('[1]#REF'!$AS$18),'[1]#REF'!$AS$18*Brand_Profile!$G$21,0)+IF(ISNUMBER('[1]#REF'!$AT$18),'[1]#REF'!$AT$18*Brand_Profile!$G$22,0)+IF(ISNUMBER('[1]#REF'!$AU$18),'[1]#REF'!$AU$18*Brand_Profile!$G$23,0)+IF(ISNUMBER('[1]#REF'!$AV$18),'[1]#REF'!$AV$18*Brand_Profile!$G$24,0)+IF(ISNUMBER('[1]#REF'!$AW$18),'[1]#REF'!$AW$18*Brand_Profile!$G$25,0)+IF(ISNUMBER('[1]#REF'!$AX$18),'[1]#REF'!$AX$18*Brand_Profile!$G$26,0)+IF(ISNUMBER('[1]#REF'!$AY$18),'[1]#REF'!$AY$18*Brand_Profile!$G$27,0)+IF(ISNUMBER('[1]#REF'!$AZ$18),'[1]#REF'!$AZ$18*Brand_Profile!$G$28,0)+IF(ISNUMBER('[1]#REF'!$BA$18),'[1]#REF'!$BA$18*Brand_Profile!$G$29,0)+IF(ISNUMBER('[1]#REF'!$BB$18),'[1]#REF'!$BB$18*Brand_Profile!$G$30,0)+IF(ISNUMBER('[1]#REF'!$BC$18),'[1]#REF'!$BC$18*Brand_Profile!$G$31,0)+IF(ISNUMBER('[1]#REF'!$BD$18),'[1]#REF'!$BD$18*Brand_Profile!$G$32,0)+IF(ISNUMBER('[1]#REF'!$BE$18),'[1]#REF'!$BE$18*Brand_Profile!$G$33,0)+IF(ISNUMBER('[1]#REF'!$BF$18),'[1]#REF'!$BF$18*Brand_Profile!$G$34,0))/Lookup_Lists!$D$318*100,0)))</f>
        <v>N/A</v>
      </c>
      <c r="S66" s="63">
        <f ca="1">IF((IF(ISNUMBER(Matching_Engine!$O$66),Lookup_Lists!$D$113,0)+IF(ISNUMBER(Matching_Engine!$P$66),Lookup_Lists!$D$114,0)+IF(ISNUMBER(Matching_Engine!$Q$66),Lookup_Lists!$D$115,0)+IF(ISNUMBER(Matching_Engine!$R$66),Lookup_Lists!$D$116,0))=0,"N/A",ROUND((IF(ISNUMBER(Matching_Engine!$O$66),Matching_Engine!$O$66*Lookup_Lists!$D$113,0)+IF(ISNUMBER(Matching_Engine!$P$66),Matching_Engine!$P$66*Lookup_Lists!$D$114,0)+IF(ISNUMBER(Matching_Engine!$Q$66),Matching_Engine!$Q$66*Lookup_Lists!$D$115,0)+IF(ISNUMBER(Matching_Engine!$R$66),Matching_Engine!$R$66*Lookup_Lists!$D$116,0))/(IF(ISNUMBER(Matching_Engine!$O$66),Lookup_Lists!$D$113,0)+IF(ISNUMBER(Matching_Engine!$P$66),Lookup_Lists!$D$114,0)+IF(ISNUMBER(Matching_Engine!$Q$66),Lookup_Lists!$D$115,0)+IF(ISNUMBER(Matching_Engine!$R$66),Lookup_Lists!$D$116,0)),0))</f>
        <v>61</v>
      </c>
      <c r="T66" s="42">
        <f ca="1">IF(ISNUMBER(Matching_Engine!$S$66),1,0)</f>
        <v>1</v>
      </c>
      <c r="U66" s="65" t="e">
        <f>IF(NOT(AND(ISTEXT('[1]#REF'!$M$18),'[1]#REF'!$M$18&lt;&gt;"N/A")),Lookup_Lists!$D$150,IF(Brand_Profile!$G$7='[1]#REF'!$M$18,100,IFERROR(INDEX(Lookup_Lists!$B$349:$J$357,MATCH(Brand_Profile!$G$7,Lookup_Lists!$A$349:$A$357,0),MATCH('[1]#REF'!$M$18,Lookup_Lists!$B$348:$J$348,0)),Lookup_Lists!$D$151)))</f>
        <v>#REF!</v>
      </c>
      <c r="V66" s="65" t="e">
        <f>IF(NOT(AND(ISTEXT('[1]#REF'!$P$18),'[1]#REF'!$P$18&lt;&gt;"N/A")),"N/A",IFERROR(INDEX(Lookup_Lists!$B$349:$J$357,MATCH(Brand_Profile!$G$7,Lookup_Lists!$A$349:$A$357,0),MATCH('[1]#REF'!$P$18,Lookup_Lists!$B$348:$J$348,0)),Lookup_Lists!$D$151))</f>
        <v>#REF!</v>
      </c>
      <c r="W66" s="65" t="e">
        <f>IF(LEN(TRIM(SUBSTITUTE(Matching_Engine!$BE$66,"|","")))=0,"N/A",IF(Brand_Profile!$G$60=0,Lookup_Lists!$D$150,ROUND((IF(Brand_Profile!$G$54="",0,IF(ISNUMBER(SEARCH(Brand_Profile!$G$54,Matching_Engine!$BE$66)),1,0))+IF(Brand_Profile!$G$55="",0,IF(ISNUMBER(SEARCH(Brand_Profile!$G$55,Matching_Engine!$BE$66)),1,0))+IF(Brand_Profile!$G$56="",0,IF(ISNUMBER(SEARCH(Brand_Profile!$G$56,Matching_Engine!$BE$66)),1,0))+IF(Brand_Profile!$G$57="",0,IF(ISNUMBER(SEARCH(Brand_Profile!$G$57,Matching_Engine!$BE$66)),1,0))+IF(Brand_Profile!$G$58="",0,IF(ISNUMBER(SEARCH(Brand_Profile!$G$58,Matching_Engine!$BE$66)),1,0))+IF(Brand_Profile!$G$59="",0,IF(ISNUMBER(SEARCH(Brand_Profile!$G$59,Matching_Engine!$BE$66)),1,0)))/Brand_Profile!$G$60*100,0)))</f>
        <v>#VALUE!</v>
      </c>
      <c r="X66" s="65" t="e">
        <f>IF(NOT(AND(ISTEXT('[1]#REF'!$Q$18),'[1]#REF'!$Q$18&lt;&gt;"N/A")),"N/A",Lookup_Lists!$D$150)</f>
        <v>#REF!</v>
      </c>
      <c r="Y66" s="63">
        <f>IF((IF(ISNUMBER(Matching_Engine!$U$66),Lookup_Lists!$D$335,0)+IF(ISNUMBER(Matching_Engine!$V$66),Lookup_Lists!$D$122,0)+IF(ISNUMBER(Matching_Engine!$W$66),Lookup_Lists!$D$336,0)+IF(ISNUMBER(Matching_Engine!$X$66),Lookup_Lists!$D$124,0))=0,"N/A",ROUND((IF(ISNUMBER(Matching_Engine!$U$66),Matching_Engine!$U$66*Lookup_Lists!$D$335,0)+IF(ISNUMBER(Matching_Engine!$V$66),Matching_Engine!$V$66*Lookup_Lists!$D$122,0)+IF(ISNUMBER(Matching_Engine!$W$66),Matching_Engine!$W$66*Lookup_Lists!$D$336,0)+IF(ISNUMBER(Matching_Engine!$X$66),Matching_Engine!$X$66*Lookup_Lists!$D$124,0))/(IF(ISNUMBER(Matching_Engine!$U$66),Lookup_Lists!$D$335,0)+IF(ISNUMBER(Matching_Engine!$V$66),Lookup_Lists!$D$122,0)+IF(ISNUMBER(Matching_Engine!$W$66),Lookup_Lists!$D$336,0)+IF(ISNUMBER(Matching_Engine!$X$66),Lookup_Lists!$D$124,0)),0))</f>
        <v>10</v>
      </c>
      <c r="Z66" s="42">
        <f>IF(ISNUMBER(Matching_Engine!$Y$66),1,0)</f>
        <v>1</v>
      </c>
      <c r="AA66" s="65" t="e">
        <f>IF(NOT(AND(ISTEXT('[1]#REF'!$Q$18),'[1]#REF'!$Q$18&lt;&gt;"N/A")),"N/A",Lookup_Lists!$D$150)</f>
        <v>#REF!</v>
      </c>
      <c r="AB66" s="65" t="e">
        <f>IF(NOT(AND(ISTEXT('[1]#REF'!$Q$18),'[1]#REF'!$Q$18&lt;&gt;"N/A")),"N/A",Lookup_Lists!$D$150)</f>
        <v>#REF!</v>
      </c>
      <c r="AC66" s="65" t="str">
        <f t="shared" si="0"/>
        <v>N/A</v>
      </c>
      <c r="AD66" s="65" t="e">
        <f>IF(NOT(AND(ISTEXT('[1]#REF'!$Q$18),'[1]#REF'!$Q$18&lt;&gt;"N/A")),"N/A",Lookup_Lists!$D$150)</f>
        <v>#REF!</v>
      </c>
      <c r="AE66" s="63">
        <f>IF((IF(ISNUMBER(Matching_Engine!$AA$66),Lookup_Lists!$D$125,0)+IF(ISNUMBER(Matching_Engine!$AB$66),Lookup_Lists!$D$126,0)+IF(ISNUMBER(Matching_Engine!$AC$66),Lookup_Lists!$D$127,0)+IF(ISNUMBER(Matching_Engine!$AD$66),Lookup_Lists!$D$128,0))=0,"N/A",ROUND((IF(ISNUMBER(Matching_Engine!$AA$66),Matching_Engine!$AA$66*Lookup_Lists!$D$125,0)+IF(ISNUMBER(Matching_Engine!$AB$66),Matching_Engine!$AB$66*Lookup_Lists!$D$126,0)+IF(ISNUMBER(Matching_Engine!$AC$66),Matching_Engine!$AC$66*Lookup_Lists!$D$127,0)+IF(ISNUMBER(Matching_Engine!$AD$66),Matching_Engine!$AD$66*Lookup_Lists!$D$128,0))/(IF(ISNUMBER(Matching_Engine!$AA$66),Lookup_Lists!$D$125,0)+IF(ISNUMBER(Matching_Engine!$AB$66),Lookup_Lists!$D$126,0)+IF(ISNUMBER(Matching_Engine!$AC$66),Lookup_Lists!$D$127,0)+IF(ISNUMBER(Matching_Engine!$AD$66),Lookup_Lists!$D$128,0)),0))</f>
        <v>36</v>
      </c>
      <c r="AF66" s="42">
        <f>IF(ISNUMBER(Matching_Engine!$AE$66),1,0)</f>
        <v>1</v>
      </c>
      <c r="AG66" s="65" t="str">
        <f>IF(NOT(ISNUMBER('[1]#REF'!$BG$18)),"N/A",MIN(100,ROUND('[1]#REF'!$BG$18/IFERROR(INDEX(Lookup_Lists!$B$340:$B$344,MATCH('[1]#REF'!$H$18,Lookup_Lists!$A$340:$A$344,0)),Lookup_Lists!$D$141)*100,0)))</f>
        <v>N/A</v>
      </c>
      <c r="AH66" s="65" t="str">
        <f>IF(NOT(ISNUMBER('[1]#REF'!$BS$18)),"N/A",MIN(100,MAX(0,'[1]#REF'!$BS$18)))</f>
        <v>N/A</v>
      </c>
      <c r="AI66" s="65" t="e">
        <f>IF(OR(NOT(ISNUMBER('[1]#REF'!$BM$18)),NOT(ISNUMBER('[1]#REF'!$BN$18)),'[1]#REF'!$BN$18&lt;Lookup_Lists!$D$320),"N/A",MIN(100,ROUND('[1]#REF'!$BM$18/Lookup_Lists!$D$319*100,0)))</f>
        <v>#REF!</v>
      </c>
      <c r="AJ66" s="65" t="str">
        <f>IF(NOT(ISNUMBER('[1]#REF'!$BR$18)),"N/A",'[1]#REF'!$BR$18)</f>
        <v>N/A</v>
      </c>
      <c r="AK66" s="65" t="str">
        <f>IF(NOT(ISNUMBER('[1]#REF'!$BK$18)),"N/A",MIN(100,ROUND('[1]#REF'!$BK$18/Lookup_Lists!$D$321*100,0)))</f>
        <v>N/A</v>
      </c>
      <c r="AL66" s="65" t="str">
        <f>IF(NOT(ISNUMBER('[1]#REF'!$BP$18)),"N/A",MIN(100,MAX(0,ROUND(('[1]#REF'!$BP$18+2)/(Lookup_Lists!$D$145+2)*100,0))))</f>
        <v>N/A</v>
      </c>
      <c r="AM66" s="63">
        <f>IF((IF(ISNUMBER(Matching_Engine!$AG$66),Lookup_Lists!$D$129,0)+IF(ISNUMBER(Matching_Engine!$AH$66),Lookup_Lists!$D$130,0)+IF(ISNUMBER(Matching_Engine!$AI$66),Lookup_Lists!$D$131,0)+IF(ISNUMBER(Matching_Engine!$AJ$66),Lookup_Lists!$D$132,0)+IF(ISNUMBER(Matching_Engine!$AK$66),Lookup_Lists!$D$133,0)+IF(ISNUMBER(Matching_Engine!$AL$66),Lookup_Lists!$D$134,0))=0,"N/A",ROUND((IF(ISNUMBER(Matching_Engine!$AG$66),Matching_Engine!$AG$66*Lookup_Lists!$D$129,0)+IF(ISNUMBER(Matching_Engine!$AH$66),Matching_Engine!$AH$66*Lookup_Lists!$D$130,0)+IF(ISNUMBER(Matching_Engine!$AI$66),Matching_Engine!$AI$66*Lookup_Lists!$D$131,0)+IF(ISNUMBER(Matching_Engine!$AJ$66),Matching_Engine!$AJ$66*Lookup_Lists!$D$132,0)+IF(ISNUMBER(Matching_Engine!$AK$66),Matching_Engine!$AK$66*Lookup_Lists!$D$133,0)+IF(ISNUMBER(Matching_Engine!$AL$66),Matching_Engine!$AL$66*Lookup_Lists!$D$134,0))/(IF(ISNUMBER(Matching_Engine!$AG$66),Lookup_Lists!$D$129,0)+IF(ISNUMBER(Matching_Engine!$AH$66),Lookup_Lists!$D$130,0)+IF(ISNUMBER(Matching_Engine!$AI$66),Lookup_Lists!$D$131,0)+IF(ISNUMBER(Matching_Engine!$AJ$66),Lookup_Lists!$D$132,0)+IF(ISNUMBER(Matching_Engine!$AK$66),Lookup_Lists!$D$133,0)+IF(ISNUMBER(Matching_Engine!$AL$66),Lookup_Lists!$D$134,0)),0))</f>
        <v>66</v>
      </c>
      <c r="AN66" s="42">
        <f>IF(ISNUMBER(Matching_Engine!$AM$66),1,0)</f>
        <v>0</v>
      </c>
      <c r="AO66" s="65" t="str">
        <f>IF(NOT(ISNUMBER('[1]#REF'!$BT$18)),"N/A",MIN(100,MAX(0,'[1]#REF'!$BT$18)))</f>
        <v>N/A</v>
      </c>
      <c r="AP66" s="65" t="str">
        <f>IF(NOT(ISNUMBER('[1]#REF'!$BU$18)),"N/A",MIN(100,MAX(0,'[1]#REF'!$BU$18)))</f>
        <v>N/A</v>
      </c>
      <c r="AQ66" s="65" t="e">
        <f>IF('[1]#REF'!$I$18="Yes",Lookup_Lists!$D$326,IF('[1]#REF'!$I$18="No",Lookup_Lists!$D$327,"N/A"))</f>
        <v>#REF!</v>
      </c>
      <c r="AR66" s="65" t="str">
        <f>IF(NOT(ISNUMBER('[1]#REF'!$BQ$18)),"N/A",MAX(0,ROUND(100-'[1]#REF'!$BQ$18/Lookup_Lists!$D$328*100,0)))</f>
        <v>N/A</v>
      </c>
      <c r="AS66" s="65" t="e">
        <f>IF(NOT(AND(ISTEXT('[1]#REF'!$BV$18),'[1]#REF'!$BV$18&lt;&gt;"N/A")),"N/A",'[1]#REF'!$BV$18)</f>
        <v>#REF!</v>
      </c>
      <c r="AT66" s="63" t="str">
        <f ca="1">IF((IF(ISNUMBER(Matching_Engine!$AO$66),Lookup_Lists!$D$322,0)+IF(ISNUMBER(Matching_Engine!$AP$66),Lookup_Lists!$D$323,0)+IF(ISNUMBER(Matching_Engine!$AQ$66),Lookup_Lists!$D$324,0)+IF(ISNUMBER(Matching_Engine!$AR$66),Lookup_Lists!$D$325,0))=0,"N/A",ROUND((IF(ISNUMBER(Matching_Engine!$AO$66),Matching_Engine!$AO$66*Lookup_Lists!$D$322,0)+IF(ISNUMBER(Matching_Engine!$AP$66),Matching_Engine!$AP$66*Lookup_Lists!$D$323,0)+IF(ISNUMBER(Matching_Engine!$AQ$66),Matching_Engine!$AQ$66*Lookup_Lists!$D$324,0)+IF(ISNUMBER(Matching_Engine!$AR$66),Matching_Engine!$AR$66*Lookup_Lists!$D$325,0))/(IF(ISNUMBER(Matching_Engine!$AO$66),Lookup_Lists!$D$322,0)+IF(ISNUMBER(Matching_Engine!$AP$66),Lookup_Lists!$D$323,0)+IF(ISNUMBER(Matching_Engine!$AQ$66),Lookup_Lists!$D$324,0)+IF(ISNUMBER(Matching_Engine!$AR$66),Lookup_Lists!$D$325,0)),0))</f>
        <v>N/A</v>
      </c>
      <c r="AU66" s="42">
        <f>IF(ISNUMBER(Matching_Engine!$AT$66),1,0)</f>
        <v>1</v>
      </c>
      <c r="AV66" s="42" t="str">
        <f>IF(NOT(ISNUMBER(Matching_Engine!$AT$66)),"Not Screened",IF(Matching_Engine!$AT$66&gt;=Lookup_Lists!$D$329,"Low Risk",IF(Matching_Engine!$AT$66&gt;=Lookup_Lists!$D$330,"Moderate Risk",IF(Matching_Engine!$AT$66&gt;=Lookup_Lists!$D$331,"Elevated Risk","High Risk"))))</f>
        <v>Low Risk</v>
      </c>
      <c r="AW66" s="42" t="e">
        <f ca="1">IF(NOT(ISNUMBER(Matching_Engine!$AT$66)),"No integrity signal: no audience-analysis row for this account.","Integrity screen only — no content-risk reading exists (comments_analysis: 0 rows). "&amp;IF(ISNUMBER(Matching_Engine!$AO$66),"Authenticity "&amp;Matching_Engine!$AO$66&amp;". ","Authenticity N/A. ")&amp;IF(ISNUMBER(Matching_Engine!$AP$66),"Follower quality "&amp;Matching_Engine!$AP$66&amp;". ","Follower quality N/A. ")&amp;IF('[1]#REF'!$I$18="Yes","Platform-verified.","Not platform-verified."))</f>
        <v>#REF!</v>
      </c>
      <c r="AX66" s="65">
        <f>Matching_Engine!$N$66*Lookup_Lists!$D$104+Matching_Engine!$T$66*Lookup_Lists!$D$105+Matching_Engine!$Z$66*Lookup_Lists!$D$106+Matching_Engine!$AF$66*Lookup_Lists!$D$107+Matching_Engine!$AN$66*Lookup_Lists!$D$108+Matching_Engine!$AU$66*Lookup_Lists!$D$109</f>
        <v>3580</v>
      </c>
      <c r="AY66" s="74" t="e">
        <f ca="1">IF(Matching_Engine!$AX$66=0,"N/A",ROUND((IF(Matching_Engine!$N$66=1,Matching_Engine!$M$66*Lookup_Lists!$D$104,0)+IF(Matching_Engine!$T$66=1,Matching_Engine!$S$66*Lookup_Lists!$D$105,0)+IF(Matching_Engine!$Z$66=1,Matching_Engine!$Y$66*Lookup_Lists!$D$106,0)+IF(Matching_Engine!$AF$66=1,Matching_Engine!$AE$66*Lookup_Lists!$D$107,0)+IF(Matching_Engine!$AN$66=1,Matching_Engine!$AM$66*Lookup_Lists!$D$108,0)+IF(Matching_Engine!$AU$66=1,Matching_Engine!$AT$66*Lookup_Lists!$D$109,0))/Matching_Engine!$AX$66,0))</f>
        <v>#VALUE!</v>
      </c>
      <c r="AZ66" s="42" t="str">
        <f ca="1">IF(NOT(ISNUMBER(Matching_Engine!$AY$66)),"Not Scored",IF(Matching_Engine!$AY$66&gt;=Lookup_Lists!$D$152,"Excellent Match",IF(Matching_Engine!$AY$66&gt;=Lookup_Lists!$D$153,"Strong Match",IF(Matching_Engine!$AY$66&gt;=Lookup_Lists!$D$154,"Good Match",IF(Matching_Engine!$AY$66&gt;=Lookup_Lists!$D$155,"Moderate Match","Low Match")))))</f>
        <v>Not Scored</v>
      </c>
      <c r="BA66" s="65" t="e">
        <f>'[1]#REF'!$BW$18</f>
        <v>#REF!</v>
      </c>
      <c r="BB66" s="42" t="e">
        <f>'[1]#REF'!$BX$18</f>
        <v>#REF!</v>
      </c>
      <c r="BC66" s="65">
        <f ca="1">IF(NOT(ISNUMBER(Matching_Engine!$AY$66)),-1,Matching_Engine!$AY$66*1000+12)</f>
        <v>-1</v>
      </c>
      <c r="BD66" s="42" t="e">
        <f>IF(AND(ISTEXT('[1]#REF'!$S$18),'[1]#REF'!$S$18&lt;&gt;"N/A"),'[1]#REF'!$S$18,"")&amp;" | "&amp;IF(AND(ISTEXT('[1]#REF'!$T$18),'[1]#REF'!$T$18&lt;&gt;"N/A"),'[1]#REF'!$T$18,"")&amp;" | "&amp;IF(AND(ISTEXT('[1]#REF'!$N$18),'[1]#REF'!$N$18&lt;&gt;"N/A"),'[1]#REF'!$N$18,"")&amp;" | "&amp;IF(AND(ISTEXT('[1]#REF'!$K$18),'[1]#REF'!$K$18&lt;&gt;"N/A"),'[1]#REF'!$K$18,"")&amp;" | "&amp;IF(AND(ISTEXT('[1]#REF'!$J$18),'[1]#REF'!$J$18&lt;&gt;"N/A"),'[1]#REF'!$J$18,"")</f>
        <v>#REF!</v>
      </c>
      <c r="BE66" s="42" t="e">
        <f>IF(AND(ISTEXT('[1]#REF'!$T$18),'[1]#REF'!$T$18&lt;&gt;"N/A"),'[1]#REF'!$T$18,"")&amp;" | "&amp;IF(AND(ISTEXT('[1]#REF'!$N$18),'[1]#REF'!$N$18&lt;&gt;"N/A"),'[1]#REF'!$N$18,"")&amp;" | "&amp;IF(AND(ISTEXT('[1]#REF'!$O$18),'[1]#REF'!$O$18&lt;&gt;"N/A"),'[1]#REF'!$O$18,"")&amp;" | "&amp;IF(AND(ISTEXT('[1]#REF'!$S$18),'[1]#REF'!$S$18&lt;&gt;"N/A"),'[1]#REF'!$S$18,"")</f>
        <v>#REF!</v>
      </c>
      <c r="BF66" s="42" t="e">
        <f>IF(AND(ISTEXT('[1]#REF'!$U$18),'[1]#REF'!$U$18&lt;&gt;"N/A"),'[1]#REF'!$U$18,"")</f>
        <v>#REF!</v>
      </c>
      <c r="BG66" s="42" t="str">
        <f>Matching_Engine!$A$66&amp;"|"&amp;Matching_Engine!$C$66</f>
        <v>BRAND-C|KOL-01</v>
      </c>
    </row>
    <row r="67" spans="1:59">
      <c r="A67" s="64" t="s">
        <v>2529</v>
      </c>
      <c r="B67" s="42" t="str">
        <f>Brand_Profile!$G$6</f>
        <v>Active Value</v>
      </c>
      <c r="C67" s="42" t="e">
        <f>'[1]#REF'!$A$19</f>
        <v>#REF!</v>
      </c>
      <c r="D67" s="42" t="e">
        <f>'[1]#REF'!$C$19</f>
        <v>#REF!</v>
      </c>
      <c r="E67" s="42" t="e">
        <f>'[1]#REF'!$D$19</f>
        <v>#REF!</v>
      </c>
      <c r="F67" s="42" t="e">
        <f>'[1]#REF'!$E$19</f>
        <v>#REF!</v>
      </c>
      <c r="G67" s="42" t="e">
        <f>'[1]#REF'!$K$19</f>
        <v>#REF!</v>
      </c>
      <c r="H67" s="72" t="e">
        <f>'[1]#REF'!$G$19</f>
        <v>#REF!</v>
      </c>
      <c r="I67" s="73" t="e">
        <f>'[1]#REF'!$BG$19</f>
        <v>#REF!</v>
      </c>
      <c r="J67" s="65" t="e">
        <f>IF(NOT(AND(ISTEXT('[1]#REF'!$K$19),'[1]#REF'!$K$19&lt;&gt;"N/A")),Lookup_Lists!$D$150,IF(Brand_Profile!$G$7='[1]#REF'!$K$19,100,IFERROR(INDEX(Lookup_Lists!$B$349:$J$357,MATCH(Brand_Profile!$G$7,Lookup_Lists!$A$349:$A$357,0),MATCH('[1]#REF'!$K$19,Lookup_Lists!$B$348:$J$348,0)),Lookup_Lists!$D$151)))</f>
        <v>#REF!</v>
      </c>
      <c r="K67" s="65" t="e">
        <f>IF(LEN(TRIM(SUBSTITUTE(Matching_Engine!$BD$67,"|","")))=0,"N/A",IF(Brand_Profile!$G$47=0,Lookup_Lists!$D$150,ROUND((IF(Brand_Profile!$G$41="",0,IF(ISNUMBER(SEARCH(Brand_Profile!$G$41,Matching_Engine!$BD$67)),1,0))+IF(Brand_Profile!$G$42="",0,IF(ISNUMBER(SEARCH(Brand_Profile!$G$42,Matching_Engine!$BD$67)),1,0))+IF(Brand_Profile!$G$43="",0,IF(ISNUMBER(SEARCH(Brand_Profile!$G$43,Matching_Engine!$BD$67)),1,0))+IF(Brand_Profile!$G$44="",0,IF(ISNUMBER(SEARCH(Brand_Profile!$G$44,Matching_Engine!$BD$67)),1,0))+IF(Brand_Profile!$G$45="",0,IF(ISNUMBER(SEARCH(Brand_Profile!$G$45,Matching_Engine!$BD$67)),1,0))+IF(Brand_Profile!$G$46="",0,IF(ISNUMBER(SEARCH(Brand_Profile!$G$46,Matching_Engine!$BD$67)),1,0)))/Brand_Profile!$G$47*100,0)))</f>
        <v>#VALUE!</v>
      </c>
      <c r="L67" s="65" t="e">
        <f>IF(NOT(AND(ISTEXT('[1]#REF'!$U$19),'[1]#REF'!$U$19&lt;&gt;"N/A")),"N/A",IF(Brand_Profile!$G$53=0,Lookup_Lists!$D$150,ROUND((IF(Brand_Profile!$G$48="",0,IF(ISNUMBER(SEARCH(Brand_Profile!$G$48,Matching_Engine!$BF$67)),1,0))+IF(Brand_Profile!$G$49="",0,IF(ISNUMBER(SEARCH(Brand_Profile!$G$49,Matching_Engine!$BF$67)),1,0))+IF(Brand_Profile!$G$50="",0,IF(ISNUMBER(SEARCH(Brand_Profile!$G$50,Matching_Engine!$BF$67)),1,0))+IF(Brand_Profile!$G$51="",0,IF(ISNUMBER(SEARCH(Brand_Profile!$G$51,Matching_Engine!$BF$67)),1,0))+IF(Brand_Profile!$G$52="",0,IF(ISNUMBER(SEARCH(Brand_Profile!$G$52,Matching_Engine!$BF$67)),1,0)))/Brand_Profile!$G$53*100,0)))</f>
        <v>#REF!</v>
      </c>
      <c r="M67" s="63" t="str">
        <f>IF((IF(ISNUMBER(Matching_Engine!$J$67),Lookup_Lists!$D$332,0)+IF(ISNUMBER(Matching_Engine!$K$67),Lookup_Lists!$D$333,0)+IF(ISNUMBER(Matching_Engine!$L$67),Lookup_Lists!$D$334,0))=0,"N/A",ROUND((IF(ISNUMBER(Matching_Engine!$J$67),Matching_Engine!$J$67*Lookup_Lists!$D$332,0)+IF(ISNUMBER(Matching_Engine!$K$67),Matching_Engine!$K$67*Lookup_Lists!$D$333,0)+IF(ISNUMBER(Matching_Engine!$L$67),Matching_Engine!$L$67*Lookup_Lists!$D$334,0))/(IF(ISNUMBER(Matching_Engine!$J$67),Lookup_Lists!$D$332,0)+IF(ISNUMBER(Matching_Engine!$K$67),Lookup_Lists!$D$333,0)+IF(ISNUMBER(Matching_Engine!$L$67),Lookup_Lists!$D$334,0)),0))</f>
        <v>N/A</v>
      </c>
      <c r="N67" s="42">
        <f>IF(ISNUMBER(Matching_Engine!$M$67),1,0)</f>
        <v>1</v>
      </c>
      <c r="O67" s="65" t="str">
        <f ca="1">IF(NOT(ISNUMBER(IFERROR(INDEX('[1]#REF'!$V$19:'[1]#REF'!$Z$19,1,MATCH(Brand_Profile!$G$11,Lookup_Lists!$F$6:$F$10,0)),""))),"N/A",MIN(100,ROUND((IFERROR(INDEX('[1]#REF'!$V$19:'[1]#REF'!$Z$19,1,MATCH(Brand_Profile!$G$11,Lookup_Lists!$F$6:$F$10,0)),"")+0.5*IF(ISNUMBER(IFERROR(INDEX('[1]#REF'!$V$19:'[1]#REF'!$Z$19,1,MATCH(Brand_Profile!$G$12,Lookup_Lists!$F$6:$F$10,0)),"")),IFERROR(INDEX('[1]#REF'!$V$19:'[1]#REF'!$Z$19,1,MATCH(Brand_Profile!$G$12,Lookup_Lists!$F$6:$F$10,0)),""),0))/Lookup_Lists!$D$142*100,0)))</f>
        <v>N/A</v>
      </c>
      <c r="P67" s="65" t="str">
        <f>IF(Brand_Profile!$G$13="Any",100,IF(NOT(ISNUMBER('[1]#REF'!$AA$19)),"N/A",IF(Brand_Profile!$G$13="Female",MIN(100,ROUND('[1]#REF'!$AA$19/Lookup_Lists!$D$143*100,0)),IF(Brand_Profile!$G$13="Male",MIN(100,ROUND(IF(ISNUMBER('[1]#REF'!$AB$19),'[1]#REF'!$AB$19,100-'[1]#REF'!$AA$19)/Lookup_Lists!$D$143*100,0)),MAX(0,ROUND(100-ABS('[1]#REF'!$AA$19-50)*2,0))))))</f>
        <v>N/A</v>
      </c>
      <c r="Q67" s="65" t="str">
        <f>IF((IF(ISNUMBER(IF(NOT(ISNUMBER('[1]#REF'!$AE$19)),"N/A",IF('[1]#REF'!$AD$19&lt;&gt;Brand_Profile!$G$14,Lookup_Lists!$D$151,MIN(100,ROUND('[1]#REF'!$AE$19/Lookup_Lists!$D$316*100,0))))),Lookup_Lists!$D$118,0)+IF(ISNUMBER(IF(NOT(ISNUMBER('[1]#REF'!$AM$19)),"N/A",MIN(100,ROUND((IF('[1]#REF'!$AG$19=Brand_Profile!$G$15,IF(ISNUMBER('[1]#REF'!$AH$19),'[1]#REF'!$AH$19,0),0)+IF('[1]#REF'!$AI$19=Brand_Profile!$G$15,IF(ISNUMBER('[1]#REF'!$AJ$19),'[1]#REF'!$AJ$19,0),0)+IF('[1]#REF'!$AK$19=Brand_Profile!$G$15,IF(ISNUMBER('[1]#REF'!$AL$19),'[1]#REF'!$AL$19,0),0))/Lookup_Lists!$D$317*100,0)))),Lookup_Lists!$D$120,0))=0,"N/A",ROUND((IF(ISNUMBER(IF(NOT(ISNUMBER('[1]#REF'!$AE$19)),"N/A",IF('[1]#REF'!$AD$19&lt;&gt;Brand_Profile!$G$14,Lookup_Lists!$D$151,MIN(100,ROUND('[1]#REF'!$AE$19/Lookup_Lists!$D$316*100,0))))),IF(NOT(ISNUMBER('[1]#REF'!$AE$19)),"N/A",IF('[1]#REF'!$AD$19&lt;&gt;Brand_Profile!$G$14,Lookup_Lists!$D$151,MIN(100,ROUND('[1]#REF'!$AE$19/Lookup_Lists!$D$316*100,0))))*Lookup_Lists!$D$118,0)+IF(ISNUMBER(IF(NOT(ISNUMBER('[1]#REF'!$AM$19)),"N/A",MIN(100,ROUND((IF('[1]#REF'!$AG$19=Brand_Profile!$G$15,IF(ISNUMBER('[1]#REF'!$AH$19),'[1]#REF'!$AH$19,0),0)+IF('[1]#REF'!$AI$19=Brand_Profile!$G$15,IF(ISNUMBER('[1]#REF'!$AJ$19),'[1]#REF'!$AJ$19,0),0)+IF('[1]#REF'!$AK$19=Brand_Profile!$G$15,IF(ISNUMBER('[1]#REF'!$AL$19),'[1]#REF'!$AL$19,0),0))/Lookup_Lists!$D$317*100,0)))),IF(NOT(ISNUMBER('[1]#REF'!$AM$19)),"N/A",MIN(100,ROUND((IF('[1]#REF'!$AG$19=Brand_Profile!$G$15,IF(ISNUMBER('[1]#REF'!$AH$19),'[1]#REF'!$AH$19,0),0)+IF('[1]#REF'!$AI$19=Brand_Profile!$G$15,IF(ISNUMBER('[1]#REF'!$AJ$19),'[1]#REF'!$AJ$19,0),0)+IF('[1]#REF'!$AK$19=Brand_Profile!$G$15,IF(ISNUMBER('[1]#REF'!$AL$19),'[1]#REF'!$AL$19,0),0))/Lookup_Lists!$D$317*100,0)))*Lookup_Lists!$D$120,0))/(IF(ISNUMBER(IF(NOT(ISNUMBER('[1]#REF'!$AE$19)),"N/A",IF('[1]#REF'!$AD$19&lt;&gt;Brand_Profile!$G$14,Lookup_Lists!$D$151,MIN(100,ROUND('[1]#REF'!$AE$19/Lookup_Lists!$D$316*100,0))))),Lookup_Lists!$D$118,0)+IF(ISNUMBER(IF(NOT(ISNUMBER('[1]#REF'!$AM$19)),"N/A",MIN(100,ROUND((IF('[1]#REF'!$AG$19=Brand_Profile!$G$15,IF(ISNUMBER('[1]#REF'!$AH$19),'[1]#REF'!$AH$19,0),0)+IF('[1]#REF'!$AI$19=Brand_Profile!$G$15,IF(ISNUMBER('[1]#REF'!$AJ$19),'[1]#REF'!$AJ$19,0),0)+IF('[1]#REF'!$AK$19=Brand_Profile!$G$15,IF(ISNUMBER('[1]#REF'!$AL$19),'[1]#REF'!$AL$19,0),0))/Lookup_Lists!$D$317*100,0)))),Lookup_Lists!$D$120,0)),0))</f>
        <v>N/A</v>
      </c>
      <c r="R67" s="65" t="str">
        <f>IF(NOT(ISNUMBER('[1]#REF'!$AN$19)),"N/A",MIN(100,ROUND((IF(ISNUMBER('[1]#REF'!$AO$19),'[1]#REF'!$AO$19*Brand_Profile!$G$17,0)+IF(ISNUMBER('[1]#REF'!$AP$19),'[1]#REF'!$AP$19*Brand_Profile!$G$18,0)+IF(ISNUMBER('[1]#REF'!$AQ$19),'[1]#REF'!$AQ$19*Brand_Profile!$G$19,0)+IF(ISNUMBER('[1]#REF'!$AR$19),'[1]#REF'!$AR$19*Brand_Profile!$G$20,0)+IF(ISNUMBER('[1]#REF'!$AS$19),'[1]#REF'!$AS$19*Brand_Profile!$G$21,0)+IF(ISNUMBER('[1]#REF'!$AT$19),'[1]#REF'!$AT$19*Brand_Profile!$G$22,0)+IF(ISNUMBER('[1]#REF'!$AU$19),'[1]#REF'!$AU$19*Brand_Profile!$G$23,0)+IF(ISNUMBER('[1]#REF'!$AV$19),'[1]#REF'!$AV$19*Brand_Profile!$G$24,0)+IF(ISNUMBER('[1]#REF'!$AW$19),'[1]#REF'!$AW$19*Brand_Profile!$G$25,0)+IF(ISNUMBER('[1]#REF'!$AX$19),'[1]#REF'!$AX$19*Brand_Profile!$G$26,0)+IF(ISNUMBER('[1]#REF'!$AY$19),'[1]#REF'!$AY$19*Brand_Profile!$G$27,0)+IF(ISNUMBER('[1]#REF'!$AZ$19),'[1]#REF'!$AZ$19*Brand_Profile!$G$28,0)+IF(ISNUMBER('[1]#REF'!$BA$19),'[1]#REF'!$BA$19*Brand_Profile!$G$29,0)+IF(ISNUMBER('[1]#REF'!$BB$19),'[1]#REF'!$BB$19*Brand_Profile!$G$30,0)+IF(ISNUMBER('[1]#REF'!$BC$19),'[1]#REF'!$BC$19*Brand_Profile!$G$31,0)+IF(ISNUMBER('[1]#REF'!$BD$19),'[1]#REF'!$BD$19*Brand_Profile!$G$32,0)+IF(ISNUMBER('[1]#REF'!$BE$19),'[1]#REF'!$BE$19*Brand_Profile!$G$33,0)+IF(ISNUMBER('[1]#REF'!$BF$19),'[1]#REF'!$BF$19*Brand_Profile!$G$34,0))/Lookup_Lists!$D$318*100,0)))</f>
        <v>N/A</v>
      </c>
      <c r="S67" s="63">
        <f ca="1">IF((IF(ISNUMBER(Matching_Engine!$O$67),Lookup_Lists!$D$113,0)+IF(ISNUMBER(Matching_Engine!$P$67),Lookup_Lists!$D$114,0)+IF(ISNUMBER(Matching_Engine!$Q$67),Lookup_Lists!$D$115,0)+IF(ISNUMBER(Matching_Engine!$R$67),Lookup_Lists!$D$116,0))=0,"N/A",ROUND((IF(ISNUMBER(Matching_Engine!$O$67),Matching_Engine!$O$67*Lookup_Lists!$D$113,0)+IF(ISNUMBER(Matching_Engine!$P$67),Matching_Engine!$P$67*Lookup_Lists!$D$114,0)+IF(ISNUMBER(Matching_Engine!$Q$67),Matching_Engine!$Q$67*Lookup_Lists!$D$115,0)+IF(ISNUMBER(Matching_Engine!$R$67),Matching_Engine!$R$67*Lookup_Lists!$D$116,0))/(IF(ISNUMBER(Matching_Engine!$O$67),Lookup_Lists!$D$113,0)+IF(ISNUMBER(Matching_Engine!$P$67),Lookup_Lists!$D$114,0)+IF(ISNUMBER(Matching_Engine!$Q$67),Lookup_Lists!$D$115,0)+IF(ISNUMBER(Matching_Engine!$R$67),Lookup_Lists!$D$116,0)),0))</f>
        <v>60</v>
      </c>
      <c r="T67" s="42">
        <f ca="1">IF(ISNUMBER(Matching_Engine!$S$67),1,0)</f>
        <v>1</v>
      </c>
      <c r="U67" s="65" t="e">
        <f>IF(NOT(AND(ISTEXT('[1]#REF'!$M$19),'[1]#REF'!$M$19&lt;&gt;"N/A")),Lookup_Lists!$D$150,IF(Brand_Profile!$G$7='[1]#REF'!$M$19,100,IFERROR(INDEX(Lookup_Lists!$B$349:$J$357,MATCH(Brand_Profile!$G$7,Lookup_Lists!$A$349:$A$357,0),MATCH('[1]#REF'!$M$19,Lookup_Lists!$B$348:$J$348,0)),Lookup_Lists!$D$151)))</f>
        <v>#REF!</v>
      </c>
      <c r="V67" s="65" t="e">
        <f>IF(NOT(AND(ISTEXT('[1]#REF'!$P$19),'[1]#REF'!$P$19&lt;&gt;"N/A")),"N/A",IFERROR(INDEX(Lookup_Lists!$B$349:$J$357,MATCH(Brand_Profile!$G$7,Lookup_Lists!$A$349:$A$357,0),MATCH('[1]#REF'!$P$19,Lookup_Lists!$B$348:$J$348,0)),Lookup_Lists!$D$151))</f>
        <v>#REF!</v>
      </c>
      <c r="W67" s="65" t="e">
        <f>IF(LEN(TRIM(SUBSTITUTE(Matching_Engine!$BE$67,"|","")))=0,"N/A",IF(Brand_Profile!$G$60=0,Lookup_Lists!$D$150,ROUND((IF(Brand_Profile!$G$54="",0,IF(ISNUMBER(SEARCH(Brand_Profile!$G$54,Matching_Engine!$BE$67)),1,0))+IF(Brand_Profile!$G$55="",0,IF(ISNUMBER(SEARCH(Brand_Profile!$G$55,Matching_Engine!$BE$67)),1,0))+IF(Brand_Profile!$G$56="",0,IF(ISNUMBER(SEARCH(Brand_Profile!$G$56,Matching_Engine!$BE$67)),1,0))+IF(Brand_Profile!$G$57="",0,IF(ISNUMBER(SEARCH(Brand_Profile!$G$57,Matching_Engine!$BE$67)),1,0))+IF(Brand_Profile!$G$58="",0,IF(ISNUMBER(SEARCH(Brand_Profile!$G$58,Matching_Engine!$BE$67)),1,0))+IF(Brand_Profile!$G$59="",0,IF(ISNUMBER(SEARCH(Brand_Profile!$G$59,Matching_Engine!$BE$67)),1,0)))/Brand_Profile!$G$60*100,0)))</f>
        <v>#VALUE!</v>
      </c>
      <c r="X67" s="65" t="e">
        <f>IF(NOT(AND(ISTEXT('[1]#REF'!$Q$19),'[1]#REF'!$Q$19&lt;&gt;"N/A")),"N/A",Lookup_Lists!$D$150)</f>
        <v>#REF!</v>
      </c>
      <c r="Y67" s="63">
        <f>IF((IF(ISNUMBER(Matching_Engine!$U$67),Lookup_Lists!$D$335,0)+IF(ISNUMBER(Matching_Engine!$V$67),Lookup_Lists!$D$122,0)+IF(ISNUMBER(Matching_Engine!$W$67),Lookup_Lists!$D$336,0)+IF(ISNUMBER(Matching_Engine!$X$67),Lookup_Lists!$D$124,0))=0,"N/A",ROUND((IF(ISNUMBER(Matching_Engine!$U$67),Matching_Engine!$U$67*Lookup_Lists!$D$335,0)+IF(ISNUMBER(Matching_Engine!$V$67),Matching_Engine!$V$67*Lookup_Lists!$D$122,0)+IF(ISNUMBER(Matching_Engine!$W$67),Matching_Engine!$W$67*Lookup_Lists!$D$336,0)+IF(ISNUMBER(Matching_Engine!$X$67),Matching_Engine!$X$67*Lookup_Lists!$D$124,0))/(IF(ISNUMBER(Matching_Engine!$U$67),Lookup_Lists!$D$335,0)+IF(ISNUMBER(Matching_Engine!$V$67),Lookup_Lists!$D$122,0)+IF(ISNUMBER(Matching_Engine!$W$67),Lookup_Lists!$D$336,0)+IF(ISNUMBER(Matching_Engine!$X$67),Lookup_Lists!$D$124,0)),0))</f>
        <v>10</v>
      </c>
      <c r="Z67" s="42">
        <f>IF(ISNUMBER(Matching_Engine!$Y$67),1,0)</f>
        <v>1</v>
      </c>
      <c r="AA67" s="65" t="e">
        <f>IF(NOT(AND(ISTEXT('[1]#REF'!$Q$19),'[1]#REF'!$Q$19&lt;&gt;"N/A")),"N/A",Lookup_Lists!$D$150)</f>
        <v>#REF!</v>
      </c>
      <c r="AB67" s="65" t="e">
        <f>IF(NOT(AND(ISTEXT('[1]#REF'!$Q$19),'[1]#REF'!$Q$19&lt;&gt;"N/A")),"N/A",Lookup_Lists!$D$150)</f>
        <v>#REF!</v>
      </c>
      <c r="AC67" s="65" t="str">
        <f t="shared" si="0"/>
        <v>N/A</v>
      </c>
      <c r="AD67" s="65" t="e">
        <f>IF(NOT(AND(ISTEXT('[1]#REF'!$Q$19),'[1]#REF'!$Q$19&lt;&gt;"N/A")),"N/A",Lookup_Lists!$D$150)</f>
        <v>#REF!</v>
      </c>
      <c r="AE67" s="63">
        <f>IF((IF(ISNUMBER(Matching_Engine!$AA$67),Lookup_Lists!$D$125,0)+IF(ISNUMBER(Matching_Engine!$AB$67),Lookup_Lists!$D$126,0)+IF(ISNUMBER(Matching_Engine!$AC$67),Lookup_Lists!$D$127,0)+IF(ISNUMBER(Matching_Engine!$AD$67),Lookup_Lists!$D$128,0))=0,"N/A",ROUND((IF(ISNUMBER(Matching_Engine!$AA$67),Matching_Engine!$AA$67*Lookup_Lists!$D$125,0)+IF(ISNUMBER(Matching_Engine!$AB$67),Matching_Engine!$AB$67*Lookup_Lists!$D$126,0)+IF(ISNUMBER(Matching_Engine!$AC$67),Matching_Engine!$AC$67*Lookup_Lists!$D$127,0)+IF(ISNUMBER(Matching_Engine!$AD$67),Matching_Engine!$AD$67*Lookup_Lists!$D$128,0))/(IF(ISNUMBER(Matching_Engine!$AA$67),Lookup_Lists!$D$125,0)+IF(ISNUMBER(Matching_Engine!$AB$67),Lookup_Lists!$D$126,0)+IF(ISNUMBER(Matching_Engine!$AC$67),Lookup_Lists!$D$127,0)+IF(ISNUMBER(Matching_Engine!$AD$67),Lookup_Lists!$D$128,0)),0))</f>
        <v>41</v>
      </c>
      <c r="AF67" s="42">
        <f>IF(ISNUMBER(Matching_Engine!$AE$67),1,0)</f>
        <v>1</v>
      </c>
      <c r="AG67" s="65" t="str">
        <f>IF(NOT(ISNUMBER('[1]#REF'!$BG$19)),"N/A",MIN(100,ROUND('[1]#REF'!$BG$19/IFERROR(INDEX(Lookup_Lists!$B$340:$B$344,MATCH('[1]#REF'!$H$19,Lookup_Lists!$A$340:$A$344,0)),Lookup_Lists!$D$141)*100,0)))</f>
        <v>N/A</v>
      </c>
      <c r="AH67" s="65" t="str">
        <f>IF(NOT(ISNUMBER('[1]#REF'!$BS$19)),"N/A",MIN(100,MAX(0,'[1]#REF'!$BS$19)))</f>
        <v>N/A</v>
      </c>
      <c r="AI67" s="65" t="e">
        <f>IF(OR(NOT(ISNUMBER('[1]#REF'!$BM$19)),NOT(ISNUMBER('[1]#REF'!$BN$19)),'[1]#REF'!$BN$19&lt;Lookup_Lists!$D$320),"N/A",MIN(100,ROUND('[1]#REF'!$BM$19/Lookup_Lists!$D$319*100,0)))</f>
        <v>#REF!</v>
      </c>
      <c r="AJ67" s="65" t="str">
        <f>IF(NOT(ISNUMBER('[1]#REF'!$BR$19)),"N/A",'[1]#REF'!$BR$19)</f>
        <v>N/A</v>
      </c>
      <c r="AK67" s="65" t="str">
        <f>IF(NOT(ISNUMBER('[1]#REF'!$BK$19)),"N/A",MIN(100,ROUND('[1]#REF'!$BK$19/Lookup_Lists!$D$321*100,0)))</f>
        <v>N/A</v>
      </c>
      <c r="AL67" s="65" t="str">
        <f>IF(NOT(ISNUMBER('[1]#REF'!$BP$19)),"N/A",MIN(100,MAX(0,ROUND(('[1]#REF'!$BP$19+2)/(Lookup_Lists!$D$145+2)*100,0))))</f>
        <v>N/A</v>
      </c>
      <c r="AM67" s="63">
        <f>IF((IF(ISNUMBER(Matching_Engine!$AG$67),Lookup_Lists!$D$129,0)+IF(ISNUMBER(Matching_Engine!$AH$67),Lookup_Lists!$D$130,0)+IF(ISNUMBER(Matching_Engine!$AI$67),Lookup_Lists!$D$131,0)+IF(ISNUMBER(Matching_Engine!$AJ$67),Lookup_Lists!$D$132,0)+IF(ISNUMBER(Matching_Engine!$AK$67),Lookup_Lists!$D$133,0)+IF(ISNUMBER(Matching_Engine!$AL$67),Lookup_Lists!$D$134,0))=0,"N/A",ROUND((IF(ISNUMBER(Matching_Engine!$AG$67),Matching_Engine!$AG$67*Lookup_Lists!$D$129,0)+IF(ISNUMBER(Matching_Engine!$AH$67),Matching_Engine!$AH$67*Lookup_Lists!$D$130,0)+IF(ISNUMBER(Matching_Engine!$AI$67),Matching_Engine!$AI$67*Lookup_Lists!$D$131,0)+IF(ISNUMBER(Matching_Engine!$AJ$67),Matching_Engine!$AJ$67*Lookup_Lists!$D$132,0)+IF(ISNUMBER(Matching_Engine!$AK$67),Matching_Engine!$AK$67*Lookup_Lists!$D$133,0)+IF(ISNUMBER(Matching_Engine!$AL$67),Matching_Engine!$AL$67*Lookup_Lists!$D$134,0))/(IF(ISNUMBER(Matching_Engine!$AG$67),Lookup_Lists!$D$129,0)+IF(ISNUMBER(Matching_Engine!$AH$67),Lookup_Lists!$D$130,0)+IF(ISNUMBER(Matching_Engine!$AI$67),Lookup_Lists!$D$131,0)+IF(ISNUMBER(Matching_Engine!$AJ$67),Lookup_Lists!$D$132,0)+IF(ISNUMBER(Matching_Engine!$AK$67),Lookup_Lists!$D$133,0)+IF(ISNUMBER(Matching_Engine!$AL$67),Lookup_Lists!$D$134,0)),0))</f>
        <v>85</v>
      </c>
      <c r="AN67" s="42">
        <f>IF(ISNUMBER(Matching_Engine!$AM$67),1,0)</f>
        <v>0</v>
      </c>
      <c r="AO67" s="65" t="str">
        <f>IF(NOT(ISNUMBER('[1]#REF'!$BT$19)),"N/A",MIN(100,MAX(0,'[1]#REF'!$BT$19)))</f>
        <v>N/A</v>
      </c>
      <c r="AP67" s="65" t="str">
        <f>IF(NOT(ISNUMBER('[1]#REF'!$BU$19)),"N/A",MIN(100,MAX(0,'[1]#REF'!$BU$19)))</f>
        <v>N/A</v>
      </c>
      <c r="AQ67" s="65" t="e">
        <f>IF('[1]#REF'!$I$19="Yes",Lookup_Lists!$D$326,IF('[1]#REF'!$I$19="No",Lookup_Lists!$D$327,"N/A"))</f>
        <v>#REF!</v>
      </c>
      <c r="AR67" s="65" t="str">
        <f>IF(NOT(ISNUMBER('[1]#REF'!$BQ$19)),"N/A",MAX(0,ROUND(100-'[1]#REF'!$BQ$19/Lookup_Lists!$D$328*100,0)))</f>
        <v>N/A</v>
      </c>
      <c r="AS67" s="65" t="e">
        <f>IF(NOT(AND(ISTEXT('[1]#REF'!$BV$19),'[1]#REF'!$BV$19&lt;&gt;"N/A")),"N/A",'[1]#REF'!$BV$19)</f>
        <v>#REF!</v>
      </c>
      <c r="AT67" s="63" t="str">
        <f ca="1">IF((IF(ISNUMBER(Matching_Engine!$AO$67),Lookup_Lists!$D$322,0)+IF(ISNUMBER(Matching_Engine!$AP$67),Lookup_Lists!$D$323,0)+IF(ISNUMBER(Matching_Engine!$AQ$67),Lookup_Lists!$D$324,0)+IF(ISNUMBER(Matching_Engine!$AR$67),Lookup_Lists!$D$325,0))=0,"N/A",ROUND((IF(ISNUMBER(Matching_Engine!$AO$67),Matching_Engine!$AO$67*Lookup_Lists!$D$322,0)+IF(ISNUMBER(Matching_Engine!$AP$67),Matching_Engine!$AP$67*Lookup_Lists!$D$323,0)+IF(ISNUMBER(Matching_Engine!$AQ$67),Matching_Engine!$AQ$67*Lookup_Lists!$D$324,0)+IF(ISNUMBER(Matching_Engine!$AR$67),Matching_Engine!$AR$67*Lookup_Lists!$D$325,0))/(IF(ISNUMBER(Matching_Engine!$AO$67),Lookup_Lists!$D$322,0)+IF(ISNUMBER(Matching_Engine!$AP$67),Lookup_Lists!$D$323,0)+IF(ISNUMBER(Matching_Engine!$AQ$67),Lookup_Lists!$D$324,0)+IF(ISNUMBER(Matching_Engine!$AR$67),Lookup_Lists!$D$325,0)),0))</f>
        <v>N/A</v>
      </c>
      <c r="AU67" s="42">
        <f>IF(ISNUMBER(Matching_Engine!$AT$67),1,0)</f>
        <v>1</v>
      </c>
      <c r="AV67" s="42" t="str">
        <f>IF(NOT(ISNUMBER(Matching_Engine!$AT$67)),"Not Screened",IF(Matching_Engine!$AT$67&gt;=Lookup_Lists!$D$329,"Low Risk",IF(Matching_Engine!$AT$67&gt;=Lookup_Lists!$D$330,"Moderate Risk",IF(Matching_Engine!$AT$67&gt;=Lookup_Lists!$D$331,"Elevated Risk","High Risk"))))</f>
        <v>Low Risk</v>
      </c>
      <c r="AW67" s="42" t="e">
        <f ca="1">IF(NOT(ISNUMBER(Matching_Engine!$AT$67)),"No integrity signal: no audience-analysis row for this account.","Integrity screen only — no content-risk reading exists (comments_analysis: 0 rows). "&amp;IF(ISNUMBER(Matching_Engine!$AO$67),"Authenticity "&amp;Matching_Engine!$AO$67&amp;". ","Authenticity N/A. ")&amp;IF(ISNUMBER(Matching_Engine!$AP$67),"Follower quality "&amp;Matching_Engine!$AP$67&amp;". ","Follower quality N/A. ")&amp;IF('[1]#REF'!$I$19="Yes","Platform-verified.","Not platform-verified."))</f>
        <v>#REF!</v>
      </c>
      <c r="AX67" s="65">
        <f>Matching_Engine!$N$67*Lookup_Lists!$D$104+Matching_Engine!$T$67*Lookup_Lists!$D$105+Matching_Engine!$Z$67*Lookup_Lists!$D$106+Matching_Engine!$AF$67*Lookup_Lists!$D$107+Matching_Engine!$AN$67*Lookup_Lists!$D$108+Matching_Engine!$AU$67*Lookup_Lists!$D$109</f>
        <v>3430</v>
      </c>
      <c r="AY67" s="74" t="e">
        <f ca="1">IF(Matching_Engine!$AX$67=0,"N/A",ROUND((IF(Matching_Engine!$N$67=1,Matching_Engine!$M$67*Lookup_Lists!$D$104,0)+IF(Matching_Engine!$T$67=1,Matching_Engine!$S$67*Lookup_Lists!$D$105,0)+IF(Matching_Engine!$Z$67=1,Matching_Engine!$Y$67*Lookup_Lists!$D$106,0)+IF(Matching_Engine!$AF$67=1,Matching_Engine!$AE$67*Lookup_Lists!$D$107,0)+IF(Matching_Engine!$AN$67=1,Matching_Engine!$AM$67*Lookup_Lists!$D$108,0)+IF(Matching_Engine!$AU$67=1,Matching_Engine!$AT$67*Lookup_Lists!$D$109,0))/Matching_Engine!$AX$67,0))</f>
        <v>#VALUE!</v>
      </c>
      <c r="AZ67" s="42" t="str">
        <f ca="1">IF(NOT(ISNUMBER(Matching_Engine!$AY$67)),"Not Scored",IF(Matching_Engine!$AY$67&gt;=Lookup_Lists!$D$152,"Excellent Match",IF(Matching_Engine!$AY$67&gt;=Lookup_Lists!$D$153,"Strong Match",IF(Matching_Engine!$AY$67&gt;=Lookup_Lists!$D$154,"Good Match",IF(Matching_Engine!$AY$67&gt;=Lookup_Lists!$D$155,"Moderate Match","Low Match")))))</f>
        <v>Low Match</v>
      </c>
      <c r="BA67" s="65" t="e">
        <f>'[1]#REF'!$BW$19</f>
        <v>#REF!</v>
      </c>
      <c r="BB67" s="42" t="e">
        <f>'[1]#REF'!$BX$19</f>
        <v>#REF!</v>
      </c>
      <c r="BC67" s="65">
        <f ca="1">IF(NOT(ISNUMBER(Matching_Engine!$AY$67)),-1,Matching_Engine!$AY$67*1000+11)</f>
        <v>47011</v>
      </c>
      <c r="BD67" s="42" t="e">
        <f>IF(AND(ISTEXT('[1]#REF'!$S$19),'[1]#REF'!$S$19&lt;&gt;"N/A"),'[1]#REF'!$S$19,"")&amp;" | "&amp;IF(AND(ISTEXT('[1]#REF'!$T$19),'[1]#REF'!$T$19&lt;&gt;"N/A"),'[1]#REF'!$T$19,"")&amp;" | "&amp;IF(AND(ISTEXT('[1]#REF'!$N$19),'[1]#REF'!$N$19&lt;&gt;"N/A"),'[1]#REF'!$N$19,"")&amp;" | "&amp;IF(AND(ISTEXT('[1]#REF'!$K$19),'[1]#REF'!$K$19&lt;&gt;"N/A"),'[1]#REF'!$K$19,"")&amp;" | "&amp;IF(AND(ISTEXT('[1]#REF'!$J$19),'[1]#REF'!$J$19&lt;&gt;"N/A"),'[1]#REF'!$J$19,"")</f>
        <v>#REF!</v>
      </c>
      <c r="BE67" s="42" t="e">
        <f>IF(AND(ISTEXT('[1]#REF'!$T$19),'[1]#REF'!$T$19&lt;&gt;"N/A"),'[1]#REF'!$T$19,"")&amp;" | "&amp;IF(AND(ISTEXT('[1]#REF'!$N$19),'[1]#REF'!$N$19&lt;&gt;"N/A"),'[1]#REF'!$N$19,"")&amp;" | "&amp;IF(AND(ISTEXT('[1]#REF'!$O$19),'[1]#REF'!$O$19&lt;&gt;"N/A"),'[1]#REF'!$O$19,"")&amp;" | "&amp;IF(AND(ISTEXT('[1]#REF'!$S$19),'[1]#REF'!$S$19&lt;&gt;"N/A"),'[1]#REF'!$S$19,"")</f>
        <v>#REF!</v>
      </c>
      <c r="BF67" s="42" t="e">
        <f>IF(AND(ISTEXT('[1]#REF'!$U$19),'[1]#REF'!$U$19&lt;&gt;"N/A"),'[1]#REF'!$U$19,"")</f>
        <v>#REF!</v>
      </c>
      <c r="BG67" s="42" t="str">
        <f>Matching_Engine!$A$67&amp;"|"&amp;Matching_Engine!$C$67</f>
        <v>BRAND-C|KOL-02</v>
      </c>
    </row>
    <row r="68" spans="1:59">
      <c r="A68" s="64" t="s">
        <v>2529</v>
      </c>
      <c r="B68" s="42" t="str">
        <f>Brand_Profile!$G$6</f>
        <v>Active Value</v>
      </c>
      <c r="C68" s="42" t="e">
        <f>'[1]#REF'!$A$20</f>
        <v>#REF!</v>
      </c>
      <c r="D68" s="42" t="e">
        <f>'[1]#REF'!$C$20</f>
        <v>#REF!</v>
      </c>
      <c r="E68" s="42" t="e">
        <f>'[1]#REF'!$D$20</f>
        <v>#REF!</v>
      </c>
      <c r="F68" s="42" t="e">
        <f>'[1]#REF'!$E$20</f>
        <v>#REF!</v>
      </c>
      <c r="G68" s="42" t="e">
        <f>'[1]#REF'!$K$20</f>
        <v>#REF!</v>
      </c>
      <c r="H68" s="72" t="e">
        <f>'[1]#REF'!$G$20</f>
        <v>#REF!</v>
      </c>
      <c r="I68" s="73" t="e">
        <f>'[1]#REF'!$BG$20</f>
        <v>#REF!</v>
      </c>
      <c r="J68" s="65" t="e">
        <f>IF(NOT(AND(ISTEXT('[1]#REF'!$K$20),'[1]#REF'!$K$20&lt;&gt;"N/A")),Lookup_Lists!$D$150,IF(Brand_Profile!$G$7='[1]#REF'!$K$20,100,IFERROR(INDEX(Lookup_Lists!$B$349:$J$357,MATCH(Brand_Profile!$G$7,Lookup_Lists!$A$349:$A$357,0),MATCH('[1]#REF'!$K$20,Lookup_Lists!$B$348:$J$348,0)),Lookup_Lists!$D$151)))</f>
        <v>#REF!</v>
      </c>
      <c r="K68" s="65" t="e">
        <f>IF(LEN(TRIM(SUBSTITUTE(Matching_Engine!$BD$68,"|","")))=0,"N/A",IF(Brand_Profile!$G$47=0,Lookup_Lists!$D$150,ROUND((IF(Brand_Profile!$G$41="",0,IF(ISNUMBER(SEARCH(Brand_Profile!$G$41,Matching_Engine!$BD$68)),1,0))+IF(Brand_Profile!$G$42="",0,IF(ISNUMBER(SEARCH(Brand_Profile!$G$42,Matching_Engine!$BD$68)),1,0))+IF(Brand_Profile!$G$43="",0,IF(ISNUMBER(SEARCH(Brand_Profile!$G$43,Matching_Engine!$BD$68)),1,0))+IF(Brand_Profile!$G$44="",0,IF(ISNUMBER(SEARCH(Brand_Profile!$G$44,Matching_Engine!$BD$68)),1,0))+IF(Brand_Profile!$G$45="",0,IF(ISNUMBER(SEARCH(Brand_Profile!$G$45,Matching_Engine!$BD$68)),1,0))+IF(Brand_Profile!$G$46="",0,IF(ISNUMBER(SEARCH(Brand_Profile!$G$46,Matching_Engine!$BD$68)),1,0)))/Brand_Profile!$G$47*100,0)))</f>
        <v>#VALUE!</v>
      </c>
      <c r="L68" s="65" t="e">
        <f>IF(NOT(AND(ISTEXT('[1]#REF'!$U$20),'[1]#REF'!$U$20&lt;&gt;"N/A")),"N/A",IF(Brand_Profile!$G$53=0,Lookup_Lists!$D$150,ROUND((IF(Brand_Profile!$G$48="",0,IF(ISNUMBER(SEARCH(Brand_Profile!$G$48,Matching_Engine!$BF$68)),1,0))+IF(Brand_Profile!$G$49="",0,IF(ISNUMBER(SEARCH(Brand_Profile!$G$49,Matching_Engine!$BF$68)),1,0))+IF(Brand_Profile!$G$50="",0,IF(ISNUMBER(SEARCH(Brand_Profile!$G$50,Matching_Engine!$BF$68)),1,0))+IF(Brand_Profile!$G$51="",0,IF(ISNUMBER(SEARCH(Brand_Profile!$G$51,Matching_Engine!$BF$68)),1,0))+IF(Brand_Profile!$G$52="",0,IF(ISNUMBER(SEARCH(Brand_Profile!$G$52,Matching_Engine!$BF$68)),1,0)))/Brand_Profile!$G$53*100,0)))</f>
        <v>#REF!</v>
      </c>
      <c r="M68" s="63" t="str">
        <f>IF((IF(ISNUMBER(Matching_Engine!$J$68),Lookup_Lists!$D$332,0)+IF(ISNUMBER(Matching_Engine!$K$68),Lookup_Lists!$D$333,0)+IF(ISNUMBER(Matching_Engine!$L$68),Lookup_Lists!$D$334,0))=0,"N/A",ROUND((IF(ISNUMBER(Matching_Engine!$J$68),Matching_Engine!$J$68*Lookup_Lists!$D$332,0)+IF(ISNUMBER(Matching_Engine!$K$68),Matching_Engine!$K$68*Lookup_Lists!$D$333,0)+IF(ISNUMBER(Matching_Engine!$L$68),Matching_Engine!$L$68*Lookup_Lists!$D$334,0))/(IF(ISNUMBER(Matching_Engine!$J$68),Lookup_Lists!$D$332,0)+IF(ISNUMBER(Matching_Engine!$K$68),Lookup_Lists!$D$333,0)+IF(ISNUMBER(Matching_Engine!$L$68),Lookup_Lists!$D$334,0)),0))</f>
        <v>N/A</v>
      </c>
      <c r="N68" s="42">
        <f>IF(ISNUMBER(Matching_Engine!$M$68),1,0)</f>
        <v>1</v>
      </c>
      <c r="O68" s="65" t="str">
        <f ca="1">IF(NOT(ISNUMBER(IFERROR(INDEX('[1]#REF'!$V$20:'[1]#REF'!$Z$20,1,MATCH(Brand_Profile!$G$11,Lookup_Lists!$F$6:$F$10,0)),""))),"N/A",MIN(100,ROUND((IFERROR(INDEX('[1]#REF'!$V$20:'[1]#REF'!$Z$20,1,MATCH(Brand_Profile!$G$11,Lookup_Lists!$F$6:$F$10,0)),"")+0.5*IF(ISNUMBER(IFERROR(INDEX('[1]#REF'!$V$20:'[1]#REF'!$Z$20,1,MATCH(Brand_Profile!$G$12,Lookup_Lists!$F$6:$F$10,0)),"")),IFERROR(INDEX('[1]#REF'!$V$20:'[1]#REF'!$Z$20,1,MATCH(Brand_Profile!$G$12,Lookup_Lists!$F$6:$F$10,0)),""),0))/Lookup_Lists!$D$142*100,0)))</f>
        <v>N/A</v>
      </c>
      <c r="P68" s="65" t="str">
        <f>IF(Brand_Profile!$G$13="Any",100,IF(NOT(ISNUMBER('[1]#REF'!$AA$20)),"N/A",IF(Brand_Profile!$G$13="Female",MIN(100,ROUND('[1]#REF'!$AA$20/Lookup_Lists!$D$143*100,0)),IF(Brand_Profile!$G$13="Male",MIN(100,ROUND(IF(ISNUMBER('[1]#REF'!$AB$20),'[1]#REF'!$AB$20,100-'[1]#REF'!$AA$20)/Lookup_Lists!$D$143*100,0)),MAX(0,ROUND(100-ABS('[1]#REF'!$AA$20-50)*2,0))))))</f>
        <v>N/A</v>
      </c>
      <c r="Q68" s="65" t="str">
        <f>IF((IF(ISNUMBER(IF(NOT(ISNUMBER('[1]#REF'!$AE$20)),"N/A",IF('[1]#REF'!$AD$20&lt;&gt;Brand_Profile!$G$14,Lookup_Lists!$D$151,MIN(100,ROUND('[1]#REF'!$AE$20/Lookup_Lists!$D$316*100,0))))),Lookup_Lists!$D$118,0)+IF(ISNUMBER(IF(NOT(ISNUMBER('[1]#REF'!$AM$20)),"N/A",MIN(100,ROUND((IF('[1]#REF'!$AG$20=Brand_Profile!$G$15,IF(ISNUMBER('[1]#REF'!$AH$20),'[1]#REF'!$AH$20,0),0)+IF('[1]#REF'!$AI$20=Brand_Profile!$G$15,IF(ISNUMBER('[1]#REF'!$AJ$20),'[1]#REF'!$AJ$20,0),0)+IF('[1]#REF'!$AK$20=Brand_Profile!$G$15,IF(ISNUMBER('[1]#REF'!$AL$20),'[1]#REF'!$AL$20,0),0))/Lookup_Lists!$D$317*100,0)))),Lookup_Lists!$D$120,0))=0,"N/A",ROUND((IF(ISNUMBER(IF(NOT(ISNUMBER('[1]#REF'!$AE$20)),"N/A",IF('[1]#REF'!$AD$20&lt;&gt;Brand_Profile!$G$14,Lookup_Lists!$D$151,MIN(100,ROUND('[1]#REF'!$AE$20/Lookup_Lists!$D$316*100,0))))),IF(NOT(ISNUMBER('[1]#REF'!$AE$20)),"N/A",IF('[1]#REF'!$AD$20&lt;&gt;Brand_Profile!$G$14,Lookup_Lists!$D$151,MIN(100,ROUND('[1]#REF'!$AE$20/Lookup_Lists!$D$316*100,0))))*Lookup_Lists!$D$118,0)+IF(ISNUMBER(IF(NOT(ISNUMBER('[1]#REF'!$AM$20)),"N/A",MIN(100,ROUND((IF('[1]#REF'!$AG$20=Brand_Profile!$G$15,IF(ISNUMBER('[1]#REF'!$AH$20),'[1]#REF'!$AH$20,0),0)+IF('[1]#REF'!$AI$20=Brand_Profile!$G$15,IF(ISNUMBER('[1]#REF'!$AJ$20),'[1]#REF'!$AJ$20,0),0)+IF('[1]#REF'!$AK$20=Brand_Profile!$G$15,IF(ISNUMBER('[1]#REF'!$AL$20),'[1]#REF'!$AL$20,0),0))/Lookup_Lists!$D$317*100,0)))),IF(NOT(ISNUMBER('[1]#REF'!$AM$20)),"N/A",MIN(100,ROUND((IF('[1]#REF'!$AG$20=Brand_Profile!$G$15,IF(ISNUMBER('[1]#REF'!$AH$20),'[1]#REF'!$AH$20,0),0)+IF('[1]#REF'!$AI$20=Brand_Profile!$G$15,IF(ISNUMBER('[1]#REF'!$AJ$20),'[1]#REF'!$AJ$20,0),0)+IF('[1]#REF'!$AK$20=Brand_Profile!$G$15,IF(ISNUMBER('[1]#REF'!$AL$20),'[1]#REF'!$AL$20,0),0))/Lookup_Lists!$D$317*100,0)))*Lookup_Lists!$D$120,0))/(IF(ISNUMBER(IF(NOT(ISNUMBER('[1]#REF'!$AE$20)),"N/A",IF('[1]#REF'!$AD$20&lt;&gt;Brand_Profile!$G$14,Lookup_Lists!$D$151,MIN(100,ROUND('[1]#REF'!$AE$20/Lookup_Lists!$D$316*100,0))))),Lookup_Lists!$D$118,0)+IF(ISNUMBER(IF(NOT(ISNUMBER('[1]#REF'!$AM$20)),"N/A",MIN(100,ROUND((IF('[1]#REF'!$AG$20=Brand_Profile!$G$15,IF(ISNUMBER('[1]#REF'!$AH$20),'[1]#REF'!$AH$20,0),0)+IF('[1]#REF'!$AI$20=Brand_Profile!$G$15,IF(ISNUMBER('[1]#REF'!$AJ$20),'[1]#REF'!$AJ$20,0),0)+IF('[1]#REF'!$AK$20=Brand_Profile!$G$15,IF(ISNUMBER('[1]#REF'!$AL$20),'[1]#REF'!$AL$20,0),0))/Lookup_Lists!$D$317*100,0)))),Lookup_Lists!$D$120,0)),0))</f>
        <v>N/A</v>
      </c>
      <c r="R68" s="65" t="str">
        <f>IF(NOT(ISNUMBER('[1]#REF'!$AN$20)),"N/A",MIN(100,ROUND((IF(ISNUMBER('[1]#REF'!$AO$20),'[1]#REF'!$AO$20*Brand_Profile!$G$17,0)+IF(ISNUMBER('[1]#REF'!$AP$20),'[1]#REF'!$AP$20*Brand_Profile!$G$18,0)+IF(ISNUMBER('[1]#REF'!$AQ$20),'[1]#REF'!$AQ$20*Brand_Profile!$G$19,0)+IF(ISNUMBER('[1]#REF'!$AR$20),'[1]#REF'!$AR$20*Brand_Profile!$G$20,0)+IF(ISNUMBER('[1]#REF'!$AS$20),'[1]#REF'!$AS$20*Brand_Profile!$G$21,0)+IF(ISNUMBER('[1]#REF'!$AT$20),'[1]#REF'!$AT$20*Brand_Profile!$G$22,0)+IF(ISNUMBER('[1]#REF'!$AU$20),'[1]#REF'!$AU$20*Brand_Profile!$G$23,0)+IF(ISNUMBER('[1]#REF'!$AV$20),'[1]#REF'!$AV$20*Brand_Profile!$G$24,0)+IF(ISNUMBER('[1]#REF'!$AW$20),'[1]#REF'!$AW$20*Brand_Profile!$G$25,0)+IF(ISNUMBER('[1]#REF'!$AX$20),'[1]#REF'!$AX$20*Brand_Profile!$G$26,0)+IF(ISNUMBER('[1]#REF'!$AY$20),'[1]#REF'!$AY$20*Brand_Profile!$G$27,0)+IF(ISNUMBER('[1]#REF'!$AZ$20),'[1]#REF'!$AZ$20*Brand_Profile!$G$28,0)+IF(ISNUMBER('[1]#REF'!$BA$20),'[1]#REF'!$BA$20*Brand_Profile!$G$29,0)+IF(ISNUMBER('[1]#REF'!$BB$20),'[1]#REF'!$BB$20*Brand_Profile!$G$30,0)+IF(ISNUMBER('[1]#REF'!$BC$20),'[1]#REF'!$BC$20*Brand_Profile!$G$31,0)+IF(ISNUMBER('[1]#REF'!$BD$20),'[1]#REF'!$BD$20*Brand_Profile!$G$32,0)+IF(ISNUMBER('[1]#REF'!$BE$20),'[1]#REF'!$BE$20*Brand_Profile!$G$33,0)+IF(ISNUMBER('[1]#REF'!$BF$20),'[1]#REF'!$BF$20*Brand_Profile!$G$34,0))/Lookup_Lists!$D$318*100,0)))</f>
        <v>N/A</v>
      </c>
      <c r="S68" s="63">
        <f ca="1">IF((IF(ISNUMBER(Matching_Engine!$O$68),Lookup_Lists!$D$113,0)+IF(ISNUMBER(Matching_Engine!$P$68),Lookup_Lists!$D$114,0)+IF(ISNUMBER(Matching_Engine!$Q$68),Lookup_Lists!$D$115,0)+IF(ISNUMBER(Matching_Engine!$R$68),Lookup_Lists!$D$116,0))=0,"N/A",ROUND((IF(ISNUMBER(Matching_Engine!$O$68),Matching_Engine!$O$68*Lookup_Lists!$D$113,0)+IF(ISNUMBER(Matching_Engine!$P$68),Matching_Engine!$P$68*Lookup_Lists!$D$114,0)+IF(ISNUMBER(Matching_Engine!$Q$68),Matching_Engine!$Q$68*Lookup_Lists!$D$115,0)+IF(ISNUMBER(Matching_Engine!$R$68),Matching_Engine!$R$68*Lookup_Lists!$D$116,0))/(IF(ISNUMBER(Matching_Engine!$O$68),Lookup_Lists!$D$113,0)+IF(ISNUMBER(Matching_Engine!$P$68),Lookup_Lists!$D$114,0)+IF(ISNUMBER(Matching_Engine!$Q$68),Lookup_Lists!$D$115,0)+IF(ISNUMBER(Matching_Engine!$R$68),Lookup_Lists!$D$116,0)),0))</f>
        <v>57</v>
      </c>
      <c r="T68" s="42">
        <f ca="1">IF(ISNUMBER(Matching_Engine!$S$68),1,0)</f>
        <v>1</v>
      </c>
      <c r="U68" s="65" t="e">
        <f>IF(NOT(AND(ISTEXT('[1]#REF'!$M$20),'[1]#REF'!$M$20&lt;&gt;"N/A")),Lookup_Lists!$D$150,IF(Brand_Profile!$G$7='[1]#REF'!$M$20,100,IFERROR(INDEX(Lookup_Lists!$B$349:$J$357,MATCH(Brand_Profile!$G$7,Lookup_Lists!$A$349:$A$357,0),MATCH('[1]#REF'!$M$20,Lookup_Lists!$B$348:$J$348,0)),Lookup_Lists!$D$151)))</f>
        <v>#REF!</v>
      </c>
      <c r="V68" s="65" t="e">
        <f>IF(NOT(AND(ISTEXT('[1]#REF'!$P$20),'[1]#REF'!$P$20&lt;&gt;"N/A")),"N/A",IFERROR(INDEX(Lookup_Lists!$B$349:$J$357,MATCH(Brand_Profile!$G$7,Lookup_Lists!$A$349:$A$357,0),MATCH('[1]#REF'!$P$20,Lookup_Lists!$B$348:$J$348,0)),Lookup_Lists!$D$151))</f>
        <v>#REF!</v>
      </c>
      <c r="W68" s="65" t="e">
        <f>IF(LEN(TRIM(SUBSTITUTE(Matching_Engine!$BE$68,"|","")))=0,"N/A",IF(Brand_Profile!$G$60=0,Lookup_Lists!$D$150,ROUND((IF(Brand_Profile!$G$54="",0,IF(ISNUMBER(SEARCH(Brand_Profile!$G$54,Matching_Engine!$BE$68)),1,0))+IF(Brand_Profile!$G$55="",0,IF(ISNUMBER(SEARCH(Brand_Profile!$G$55,Matching_Engine!$BE$68)),1,0))+IF(Brand_Profile!$G$56="",0,IF(ISNUMBER(SEARCH(Brand_Profile!$G$56,Matching_Engine!$BE$68)),1,0))+IF(Brand_Profile!$G$57="",0,IF(ISNUMBER(SEARCH(Brand_Profile!$G$57,Matching_Engine!$BE$68)),1,0))+IF(Brand_Profile!$G$58="",0,IF(ISNUMBER(SEARCH(Brand_Profile!$G$58,Matching_Engine!$BE$68)),1,0))+IF(Brand_Profile!$G$59="",0,IF(ISNUMBER(SEARCH(Brand_Profile!$G$59,Matching_Engine!$BE$68)),1,0)))/Brand_Profile!$G$60*100,0)))</f>
        <v>#VALUE!</v>
      </c>
      <c r="X68" s="65" t="e">
        <f>IF(NOT(AND(ISTEXT('[1]#REF'!$Q$20),'[1]#REF'!$Q$20&lt;&gt;"N/A")),"N/A",Lookup_Lists!$D$150)</f>
        <v>#REF!</v>
      </c>
      <c r="Y68" s="63">
        <f>IF((IF(ISNUMBER(Matching_Engine!$U$68),Lookup_Lists!$D$335,0)+IF(ISNUMBER(Matching_Engine!$V$68),Lookup_Lists!$D$122,0)+IF(ISNUMBER(Matching_Engine!$W$68),Lookup_Lists!$D$336,0)+IF(ISNUMBER(Matching_Engine!$X$68),Lookup_Lists!$D$124,0))=0,"N/A",ROUND((IF(ISNUMBER(Matching_Engine!$U$68),Matching_Engine!$U$68*Lookup_Lists!$D$335,0)+IF(ISNUMBER(Matching_Engine!$V$68),Matching_Engine!$V$68*Lookup_Lists!$D$122,0)+IF(ISNUMBER(Matching_Engine!$W$68),Matching_Engine!$W$68*Lookup_Lists!$D$336,0)+IF(ISNUMBER(Matching_Engine!$X$68),Matching_Engine!$X$68*Lookup_Lists!$D$124,0))/(IF(ISNUMBER(Matching_Engine!$U$68),Lookup_Lists!$D$335,0)+IF(ISNUMBER(Matching_Engine!$V$68),Lookup_Lists!$D$122,0)+IF(ISNUMBER(Matching_Engine!$W$68),Lookup_Lists!$D$336,0)+IF(ISNUMBER(Matching_Engine!$X$68),Lookup_Lists!$D$124,0)),0))</f>
        <v>17</v>
      </c>
      <c r="Z68" s="42">
        <f>IF(ISNUMBER(Matching_Engine!$Y$68),1,0)</f>
        <v>1</v>
      </c>
      <c r="AA68" s="65" t="e">
        <f>IF(NOT(AND(ISTEXT('[1]#REF'!$Q$20),'[1]#REF'!$Q$20&lt;&gt;"N/A")),"N/A",Lookup_Lists!$D$150)</f>
        <v>#REF!</v>
      </c>
      <c r="AB68" s="65" t="e">
        <f>IF(NOT(AND(ISTEXT('[1]#REF'!$Q$20),'[1]#REF'!$Q$20&lt;&gt;"N/A")),"N/A",Lookup_Lists!$D$150)</f>
        <v>#REF!</v>
      </c>
      <c r="AC68" s="65" t="str">
        <f t="shared" si="0"/>
        <v>N/A</v>
      </c>
      <c r="AD68" s="65" t="e">
        <f>IF(NOT(AND(ISTEXT('[1]#REF'!$Q$20),'[1]#REF'!$Q$20&lt;&gt;"N/A")),"N/A",Lookup_Lists!$D$150)</f>
        <v>#REF!</v>
      </c>
      <c r="AE68" s="63">
        <f>IF((IF(ISNUMBER(Matching_Engine!$AA$68),Lookup_Lists!$D$125,0)+IF(ISNUMBER(Matching_Engine!$AB$68),Lookup_Lists!$D$126,0)+IF(ISNUMBER(Matching_Engine!$AC$68),Lookup_Lists!$D$127,0)+IF(ISNUMBER(Matching_Engine!$AD$68),Lookup_Lists!$D$128,0))=0,"N/A",ROUND((IF(ISNUMBER(Matching_Engine!$AA$68),Matching_Engine!$AA$68*Lookup_Lists!$D$125,0)+IF(ISNUMBER(Matching_Engine!$AB$68),Matching_Engine!$AB$68*Lookup_Lists!$D$126,0)+IF(ISNUMBER(Matching_Engine!$AC$68),Matching_Engine!$AC$68*Lookup_Lists!$D$127,0)+IF(ISNUMBER(Matching_Engine!$AD$68),Matching_Engine!$AD$68*Lookup_Lists!$D$128,0))/(IF(ISNUMBER(Matching_Engine!$AA$68),Lookup_Lists!$D$125,0)+IF(ISNUMBER(Matching_Engine!$AB$68),Lookup_Lists!$D$126,0)+IF(ISNUMBER(Matching_Engine!$AC$68),Lookup_Lists!$D$127,0)+IF(ISNUMBER(Matching_Engine!$AD$68),Lookup_Lists!$D$128,0)),0))</f>
        <v>46</v>
      </c>
      <c r="AF68" s="42">
        <f>IF(ISNUMBER(Matching_Engine!$AE$68),1,0)</f>
        <v>1</v>
      </c>
      <c r="AG68" s="65" t="str">
        <f>IF(NOT(ISNUMBER('[1]#REF'!$BG$20)),"N/A",MIN(100,ROUND('[1]#REF'!$BG$20/IFERROR(INDEX(Lookup_Lists!$B$340:$B$344,MATCH('[1]#REF'!$H$20,Lookup_Lists!$A$340:$A$344,0)),Lookup_Lists!$D$141)*100,0)))</f>
        <v>N/A</v>
      </c>
      <c r="AH68" s="65" t="str">
        <f>IF(NOT(ISNUMBER('[1]#REF'!$BS$20)),"N/A",MIN(100,MAX(0,'[1]#REF'!$BS$20)))</f>
        <v>N/A</v>
      </c>
      <c r="AI68" s="65" t="e">
        <f>IF(OR(NOT(ISNUMBER('[1]#REF'!$BM$20)),NOT(ISNUMBER('[1]#REF'!$BN$20)),'[1]#REF'!$BN$20&lt;Lookup_Lists!$D$320),"N/A",MIN(100,ROUND('[1]#REF'!$BM$20/Lookup_Lists!$D$319*100,0)))</f>
        <v>#REF!</v>
      </c>
      <c r="AJ68" s="65" t="str">
        <f>IF(NOT(ISNUMBER('[1]#REF'!$BR$20)),"N/A",'[1]#REF'!$BR$20)</f>
        <v>N/A</v>
      </c>
      <c r="AK68" s="65" t="str">
        <f>IF(NOT(ISNUMBER('[1]#REF'!$BK$20)),"N/A",MIN(100,ROUND('[1]#REF'!$BK$20/Lookup_Lists!$D$321*100,0)))</f>
        <v>N/A</v>
      </c>
      <c r="AL68" s="65" t="str">
        <f>IF(NOT(ISNUMBER('[1]#REF'!$BP$20)),"N/A",MIN(100,MAX(0,ROUND(('[1]#REF'!$BP$20+2)/(Lookup_Lists!$D$145+2)*100,0))))</f>
        <v>N/A</v>
      </c>
      <c r="AM68" s="63">
        <f>IF((IF(ISNUMBER(Matching_Engine!$AG$68),Lookup_Lists!$D$129,0)+IF(ISNUMBER(Matching_Engine!$AH$68),Lookup_Lists!$D$130,0)+IF(ISNUMBER(Matching_Engine!$AI$68),Lookup_Lists!$D$131,0)+IF(ISNUMBER(Matching_Engine!$AJ$68),Lookup_Lists!$D$132,0)+IF(ISNUMBER(Matching_Engine!$AK$68),Lookup_Lists!$D$133,0)+IF(ISNUMBER(Matching_Engine!$AL$68),Lookup_Lists!$D$134,0))=0,"N/A",ROUND((IF(ISNUMBER(Matching_Engine!$AG$68),Matching_Engine!$AG$68*Lookup_Lists!$D$129,0)+IF(ISNUMBER(Matching_Engine!$AH$68),Matching_Engine!$AH$68*Lookup_Lists!$D$130,0)+IF(ISNUMBER(Matching_Engine!$AI$68),Matching_Engine!$AI$68*Lookup_Lists!$D$131,0)+IF(ISNUMBER(Matching_Engine!$AJ$68),Matching_Engine!$AJ$68*Lookup_Lists!$D$132,0)+IF(ISNUMBER(Matching_Engine!$AK$68),Matching_Engine!$AK$68*Lookup_Lists!$D$133,0)+IF(ISNUMBER(Matching_Engine!$AL$68),Matching_Engine!$AL$68*Lookup_Lists!$D$134,0))/(IF(ISNUMBER(Matching_Engine!$AG$68),Lookup_Lists!$D$129,0)+IF(ISNUMBER(Matching_Engine!$AH$68),Lookup_Lists!$D$130,0)+IF(ISNUMBER(Matching_Engine!$AI$68),Lookup_Lists!$D$131,0)+IF(ISNUMBER(Matching_Engine!$AJ$68),Lookup_Lists!$D$132,0)+IF(ISNUMBER(Matching_Engine!$AK$68),Lookup_Lists!$D$133,0)+IF(ISNUMBER(Matching_Engine!$AL$68),Lookup_Lists!$D$134,0)),0))</f>
        <v>63</v>
      </c>
      <c r="AN68" s="42">
        <f>IF(ISNUMBER(Matching_Engine!$AM$68),1,0)</f>
        <v>0</v>
      </c>
      <c r="AO68" s="65" t="str">
        <f>IF(NOT(ISNUMBER('[1]#REF'!$BT$20)),"N/A",MIN(100,MAX(0,'[1]#REF'!$BT$20)))</f>
        <v>N/A</v>
      </c>
      <c r="AP68" s="65" t="str">
        <f>IF(NOT(ISNUMBER('[1]#REF'!$BU$20)),"N/A",MIN(100,MAX(0,'[1]#REF'!$BU$20)))</f>
        <v>N/A</v>
      </c>
      <c r="AQ68" s="65" t="e">
        <f>IF('[1]#REF'!$I$20="Yes",Lookup_Lists!$D$326,IF('[1]#REF'!$I$20="No",Lookup_Lists!$D$327,"N/A"))</f>
        <v>#REF!</v>
      </c>
      <c r="AR68" s="65" t="str">
        <f>IF(NOT(ISNUMBER('[1]#REF'!$BQ$20)),"N/A",MAX(0,ROUND(100-'[1]#REF'!$BQ$20/Lookup_Lists!$D$328*100,0)))</f>
        <v>N/A</v>
      </c>
      <c r="AS68" s="65" t="e">
        <f>IF(NOT(AND(ISTEXT('[1]#REF'!$BV$20),'[1]#REF'!$BV$20&lt;&gt;"N/A")),"N/A",'[1]#REF'!$BV$20)</f>
        <v>#REF!</v>
      </c>
      <c r="AT68" s="63" t="str">
        <f ca="1">IF((IF(ISNUMBER(Matching_Engine!$AO$68),Lookup_Lists!$D$322,0)+IF(ISNUMBER(Matching_Engine!$AP$68),Lookup_Lists!$D$323,0)+IF(ISNUMBER(Matching_Engine!$AQ$68),Lookup_Lists!$D$324,0)+IF(ISNUMBER(Matching_Engine!$AR$68),Lookup_Lists!$D$325,0))=0,"N/A",ROUND((IF(ISNUMBER(Matching_Engine!$AO$68),Matching_Engine!$AO$68*Lookup_Lists!$D$322,0)+IF(ISNUMBER(Matching_Engine!$AP$68),Matching_Engine!$AP$68*Lookup_Lists!$D$323,0)+IF(ISNUMBER(Matching_Engine!$AQ$68),Matching_Engine!$AQ$68*Lookup_Lists!$D$324,0)+IF(ISNUMBER(Matching_Engine!$AR$68),Matching_Engine!$AR$68*Lookup_Lists!$D$325,0))/(IF(ISNUMBER(Matching_Engine!$AO$68),Lookup_Lists!$D$322,0)+IF(ISNUMBER(Matching_Engine!$AP$68),Lookup_Lists!$D$323,0)+IF(ISNUMBER(Matching_Engine!$AQ$68),Lookup_Lists!$D$324,0)+IF(ISNUMBER(Matching_Engine!$AR$68),Lookup_Lists!$D$325,0)),0))</f>
        <v>N/A</v>
      </c>
      <c r="AU68" s="42">
        <f>IF(ISNUMBER(Matching_Engine!$AT$68),1,0)</f>
        <v>1</v>
      </c>
      <c r="AV68" s="42" t="str">
        <f>IF(NOT(ISNUMBER(Matching_Engine!$AT$68)),"Not Screened",IF(Matching_Engine!$AT$68&gt;=Lookup_Lists!$D$329,"Low Risk",IF(Matching_Engine!$AT$68&gt;=Lookup_Lists!$D$330,"Moderate Risk",IF(Matching_Engine!$AT$68&gt;=Lookup_Lists!$D$331,"Elevated Risk","High Risk"))))</f>
        <v>Low Risk</v>
      </c>
      <c r="AW68" s="42" t="e">
        <f ca="1">IF(NOT(ISNUMBER(Matching_Engine!$AT$68)),"No integrity signal: no audience-analysis row for this account.","Integrity screen only — no content-risk reading exists (comments_analysis: 0 rows). "&amp;IF(ISNUMBER(Matching_Engine!$AO$68),"Authenticity "&amp;Matching_Engine!$AO$68&amp;". ","Authenticity N/A. ")&amp;IF(ISNUMBER(Matching_Engine!$AP$68),"Follower quality "&amp;Matching_Engine!$AP$68&amp;". ","Follower quality N/A. ")&amp;IF('[1]#REF'!$I$20="Yes","Platform-verified.","Not platform-verified."))</f>
        <v>#REF!</v>
      </c>
      <c r="AX68" s="65">
        <f>Matching_Engine!$N$68*Lookup_Lists!$D$104+Matching_Engine!$T$68*Lookup_Lists!$D$105+Matching_Engine!$Z$68*Lookup_Lists!$D$106+Matching_Engine!$AF$68*Lookup_Lists!$D$107+Matching_Engine!$AN$68*Lookup_Lists!$D$108+Matching_Engine!$AU$68*Lookup_Lists!$D$109</f>
        <v>5120</v>
      </c>
      <c r="AY68" s="74" t="e">
        <f ca="1">IF(Matching_Engine!$AX$68=0,"N/A",ROUND((IF(Matching_Engine!$N$68=1,Matching_Engine!$M$68*Lookup_Lists!$D$104,0)+IF(Matching_Engine!$T$68=1,Matching_Engine!$S$68*Lookup_Lists!$D$105,0)+IF(Matching_Engine!$Z$68=1,Matching_Engine!$Y$68*Lookup_Lists!$D$106,0)+IF(Matching_Engine!$AF$68=1,Matching_Engine!$AE$68*Lookup_Lists!$D$107,0)+IF(Matching_Engine!$AN$68=1,Matching_Engine!$AM$68*Lookup_Lists!$D$108,0)+IF(Matching_Engine!$AU$68=1,Matching_Engine!$AT$68*Lookup_Lists!$D$109,0))/Matching_Engine!$AX$68,0))</f>
        <v>#VALUE!</v>
      </c>
      <c r="AZ68" s="42" t="str">
        <f ca="1">IF(NOT(ISNUMBER(Matching_Engine!$AY$68)),"Not Scored",IF(Matching_Engine!$AY$68&gt;=Lookup_Lists!$D$152,"Excellent Match",IF(Matching_Engine!$AY$68&gt;=Lookup_Lists!$D$153,"Strong Match",IF(Matching_Engine!$AY$68&gt;=Lookup_Lists!$D$154,"Good Match",IF(Matching_Engine!$AY$68&gt;=Lookup_Lists!$D$155,"Moderate Match","Low Match")))))</f>
        <v>Not Scored</v>
      </c>
      <c r="BA68" s="65" t="e">
        <f>'[1]#REF'!$BW$20</f>
        <v>#REF!</v>
      </c>
      <c r="BB68" s="42" t="e">
        <f>'[1]#REF'!$BX$20</f>
        <v>#REF!</v>
      </c>
      <c r="BC68" s="65">
        <f ca="1">IF(NOT(ISNUMBER(Matching_Engine!$AY$68)),-1,Matching_Engine!$AY$68*1000+10)</f>
        <v>-1</v>
      </c>
      <c r="BD68" s="42" t="e">
        <f>IF(AND(ISTEXT('[1]#REF'!$S$20),'[1]#REF'!$S$20&lt;&gt;"N/A"),'[1]#REF'!$S$20,"")&amp;" | "&amp;IF(AND(ISTEXT('[1]#REF'!$T$20),'[1]#REF'!$T$20&lt;&gt;"N/A"),'[1]#REF'!$T$20,"")&amp;" | "&amp;IF(AND(ISTEXT('[1]#REF'!$N$20),'[1]#REF'!$N$20&lt;&gt;"N/A"),'[1]#REF'!$N$20,"")&amp;" | "&amp;IF(AND(ISTEXT('[1]#REF'!$K$20),'[1]#REF'!$K$20&lt;&gt;"N/A"),'[1]#REF'!$K$20,"")&amp;" | "&amp;IF(AND(ISTEXT('[1]#REF'!$J$20),'[1]#REF'!$J$20&lt;&gt;"N/A"),'[1]#REF'!$J$20,"")</f>
        <v>#REF!</v>
      </c>
      <c r="BE68" s="42" t="e">
        <f>IF(AND(ISTEXT('[1]#REF'!$T$20),'[1]#REF'!$T$20&lt;&gt;"N/A"),'[1]#REF'!$T$20,"")&amp;" | "&amp;IF(AND(ISTEXT('[1]#REF'!$N$20),'[1]#REF'!$N$20&lt;&gt;"N/A"),'[1]#REF'!$N$20,"")&amp;" | "&amp;IF(AND(ISTEXT('[1]#REF'!$O$20),'[1]#REF'!$O$20&lt;&gt;"N/A"),'[1]#REF'!$O$20,"")&amp;" | "&amp;IF(AND(ISTEXT('[1]#REF'!$S$20),'[1]#REF'!$S$20&lt;&gt;"N/A"),'[1]#REF'!$S$20,"")</f>
        <v>#REF!</v>
      </c>
      <c r="BF68" s="42" t="e">
        <f>IF(AND(ISTEXT('[1]#REF'!$U$20),'[1]#REF'!$U$20&lt;&gt;"N/A"),'[1]#REF'!$U$20,"")</f>
        <v>#REF!</v>
      </c>
      <c r="BG68" s="42" t="str">
        <f>Matching_Engine!$A$68&amp;"|"&amp;Matching_Engine!$C$68</f>
        <v>BRAND-C|KOL-03</v>
      </c>
    </row>
    <row r="69" spans="1:59">
      <c r="A69" s="64" t="s">
        <v>2529</v>
      </c>
      <c r="B69" s="42" t="str">
        <f>Brand_Profile!$G$6</f>
        <v>Active Value</v>
      </c>
      <c r="C69" s="42" t="e">
        <f>'[1]#REF'!$A$21</f>
        <v>#REF!</v>
      </c>
      <c r="D69" s="42" t="e">
        <f>'[1]#REF'!$C$21</f>
        <v>#REF!</v>
      </c>
      <c r="E69" s="42" t="e">
        <f>'[1]#REF'!$D$21</f>
        <v>#REF!</v>
      </c>
      <c r="F69" s="42" t="e">
        <f>'[1]#REF'!$E$21</f>
        <v>#REF!</v>
      </c>
      <c r="G69" s="42" t="e">
        <f>'[1]#REF'!$K$21</f>
        <v>#REF!</v>
      </c>
      <c r="H69" s="72" t="e">
        <f>'[1]#REF'!$G$21</f>
        <v>#REF!</v>
      </c>
      <c r="I69" s="73" t="e">
        <f>'[1]#REF'!$BG$21</f>
        <v>#REF!</v>
      </c>
      <c r="J69" s="65" t="e">
        <f>IF(NOT(AND(ISTEXT('[1]#REF'!$K$21),'[1]#REF'!$K$21&lt;&gt;"N/A")),Lookup_Lists!$D$150,IF(Brand_Profile!$G$7='[1]#REF'!$K$21,100,IFERROR(INDEX(Lookup_Lists!$B$349:$J$357,MATCH(Brand_Profile!$G$7,Lookup_Lists!$A$349:$A$357,0),MATCH('[1]#REF'!$K$21,Lookup_Lists!$B$348:$J$348,0)),Lookup_Lists!$D$151)))</f>
        <v>#REF!</v>
      </c>
      <c r="K69" s="65" t="e">
        <f>IF(LEN(TRIM(SUBSTITUTE(Matching_Engine!$BD$69,"|","")))=0,"N/A",IF(Brand_Profile!$G$47=0,Lookup_Lists!$D$150,ROUND((IF(Brand_Profile!$G$41="",0,IF(ISNUMBER(SEARCH(Brand_Profile!$G$41,Matching_Engine!$BD$69)),1,0))+IF(Brand_Profile!$G$42="",0,IF(ISNUMBER(SEARCH(Brand_Profile!$G$42,Matching_Engine!$BD$69)),1,0))+IF(Brand_Profile!$G$43="",0,IF(ISNUMBER(SEARCH(Brand_Profile!$G$43,Matching_Engine!$BD$69)),1,0))+IF(Brand_Profile!$G$44="",0,IF(ISNUMBER(SEARCH(Brand_Profile!$G$44,Matching_Engine!$BD$69)),1,0))+IF(Brand_Profile!$G$45="",0,IF(ISNUMBER(SEARCH(Brand_Profile!$G$45,Matching_Engine!$BD$69)),1,0))+IF(Brand_Profile!$G$46="",0,IF(ISNUMBER(SEARCH(Brand_Profile!$G$46,Matching_Engine!$BD$69)),1,0)))/Brand_Profile!$G$47*100,0)))</f>
        <v>#VALUE!</v>
      </c>
      <c r="L69" s="65" t="e">
        <f>IF(NOT(AND(ISTEXT('[1]#REF'!$U$21),'[1]#REF'!$U$21&lt;&gt;"N/A")),"N/A",IF(Brand_Profile!$G$53=0,Lookup_Lists!$D$150,ROUND((IF(Brand_Profile!$G$48="",0,IF(ISNUMBER(SEARCH(Brand_Profile!$G$48,Matching_Engine!$BF$69)),1,0))+IF(Brand_Profile!$G$49="",0,IF(ISNUMBER(SEARCH(Brand_Profile!$G$49,Matching_Engine!$BF$69)),1,0))+IF(Brand_Profile!$G$50="",0,IF(ISNUMBER(SEARCH(Brand_Profile!$G$50,Matching_Engine!$BF$69)),1,0))+IF(Brand_Profile!$G$51="",0,IF(ISNUMBER(SEARCH(Brand_Profile!$G$51,Matching_Engine!$BF$69)),1,0))+IF(Brand_Profile!$G$52="",0,IF(ISNUMBER(SEARCH(Brand_Profile!$G$52,Matching_Engine!$BF$69)),1,0)))/Brand_Profile!$G$53*100,0)))</f>
        <v>#REF!</v>
      </c>
      <c r="M69" s="63" t="str">
        <f>IF((IF(ISNUMBER(Matching_Engine!$J$69),Lookup_Lists!$D$332,0)+IF(ISNUMBER(Matching_Engine!$K$69),Lookup_Lists!$D$333,0)+IF(ISNUMBER(Matching_Engine!$L$69),Lookup_Lists!$D$334,0))=0,"N/A",ROUND((IF(ISNUMBER(Matching_Engine!$J$69),Matching_Engine!$J$69*Lookup_Lists!$D$332,0)+IF(ISNUMBER(Matching_Engine!$K$69),Matching_Engine!$K$69*Lookup_Lists!$D$333,0)+IF(ISNUMBER(Matching_Engine!$L$69),Matching_Engine!$L$69*Lookup_Lists!$D$334,0))/(IF(ISNUMBER(Matching_Engine!$J$69),Lookup_Lists!$D$332,0)+IF(ISNUMBER(Matching_Engine!$K$69),Lookup_Lists!$D$333,0)+IF(ISNUMBER(Matching_Engine!$L$69),Lookup_Lists!$D$334,0)),0))</f>
        <v>N/A</v>
      </c>
      <c r="N69" s="42">
        <f>IF(ISNUMBER(Matching_Engine!$M$69),1,0)</f>
        <v>1</v>
      </c>
      <c r="O69" s="65" t="str">
        <f ca="1">IF(NOT(ISNUMBER(IFERROR(INDEX('[1]#REF'!$V$21:'[1]#REF'!$Z$21,1,MATCH(Brand_Profile!$G$11,Lookup_Lists!$F$6:$F$10,0)),""))),"N/A",MIN(100,ROUND((IFERROR(INDEX('[1]#REF'!$V$21:'[1]#REF'!$Z$21,1,MATCH(Brand_Profile!$G$11,Lookup_Lists!$F$6:$F$10,0)),"")+0.5*IF(ISNUMBER(IFERROR(INDEX('[1]#REF'!$V$21:'[1]#REF'!$Z$21,1,MATCH(Brand_Profile!$G$12,Lookup_Lists!$F$6:$F$10,0)),"")),IFERROR(INDEX('[1]#REF'!$V$21:'[1]#REF'!$Z$21,1,MATCH(Brand_Profile!$G$12,Lookup_Lists!$F$6:$F$10,0)),""),0))/Lookup_Lists!$D$142*100,0)))</f>
        <v>N/A</v>
      </c>
      <c r="P69" s="65" t="str">
        <f>IF(Brand_Profile!$G$13="Any",100,IF(NOT(ISNUMBER('[1]#REF'!$AA$21)),"N/A",IF(Brand_Profile!$G$13="Female",MIN(100,ROUND('[1]#REF'!$AA$21/Lookup_Lists!$D$143*100,0)),IF(Brand_Profile!$G$13="Male",MIN(100,ROUND(IF(ISNUMBER('[1]#REF'!$AB$21),'[1]#REF'!$AB$21,100-'[1]#REF'!$AA$21)/Lookup_Lists!$D$143*100,0)),MAX(0,ROUND(100-ABS('[1]#REF'!$AA$21-50)*2,0))))))</f>
        <v>N/A</v>
      </c>
      <c r="Q69" s="65" t="str">
        <f>IF((IF(ISNUMBER(IF(NOT(ISNUMBER('[1]#REF'!$AE$21)),"N/A",IF('[1]#REF'!$AD$21&lt;&gt;Brand_Profile!$G$14,Lookup_Lists!$D$151,MIN(100,ROUND('[1]#REF'!$AE$21/Lookup_Lists!$D$316*100,0))))),Lookup_Lists!$D$118,0)+IF(ISNUMBER(IF(NOT(ISNUMBER('[1]#REF'!$AM$21)),"N/A",MIN(100,ROUND((IF('[1]#REF'!$AG$21=Brand_Profile!$G$15,IF(ISNUMBER('[1]#REF'!$AH$21),'[1]#REF'!$AH$21,0),0)+IF('[1]#REF'!$AI$21=Brand_Profile!$G$15,IF(ISNUMBER('[1]#REF'!$AJ$21),'[1]#REF'!$AJ$21,0),0)+IF('[1]#REF'!$AK$21=Brand_Profile!$G$15,IF(ISNUMBER('[1]#REF'!$AL$21),'[1]#REF'!$AL$21,0),0))/Lookup_Lists!$D$317*100,0)))),Lookup_Lists!$D$120,0))=0,"N/A",ROUND((IF(ISNUMBER(IF(NOT(ISNUMBER('[1]#REF'!$AE$21)),"N/A",IF('[1]#REF'!$AD$21&lt;&gt;Brand_Profile!$G$14,Lookup_Lists!$D$151,MIN(100,ROUND('[1]#REF'!$AE$21/Lookup_Lists!$D$316*100,0))))),IF(NOT(ISNUMBER('[1]#REF'!$AE$21)),"N/A",IF('[1]#REF'!$AD$21&lt;&gt;Brand_Profile!$G$14,Lookup_Lists!$D$151,MIN(100,ROUND('[1]#REF'!$AE$21/Lookup_Lists!$D$316*100,0))))*Lookup_Lists!$D$118,0)+IF(ISNUMBER(IF(NOT(ISNUMBER('[1]#REF'!$AM$21)),"N/A",MIN(100,ROUND((IF('[1]#REF'!$AG$21=Brand_Profile!$G$15,IF(ISNUMBER('[1]#REF'!$AH$21),'[1]#REF'!$AH$21,0),0)+IF('[1]#REF'!$AI$21=Brand_Profile!$G$15,IF(ISNUMBER('[1]#REF'!$AJ$21),'[1]#REF'!$AJ$21,0),0)+IF('[1]#REF'!$AK$21=Brand_Profile!$G$15,IF(ISNUMBER('[1]#REF'!$AL$21),'[1]#REF'!$AL$21,0),0))/Lookup_Lists!$D$317*100,0)))),IF(NOT(ISNUMBER('[1]#REF'!$AM$21)),"N/A",MIN(100,ROUND((IF('[1]#REF'!$AG$21=Brand_Profile!$G$15,IF(ISNUMBER('[1]#REF'!$AH$21),'[1]#REF'!$AH$21,0),0)+IF('[1]#REF'!$AI$21=Brand_Profile!$G$15,IF(ISNUMBER('[1]#REF'!$AJ$21),'[1]#REF'!$AJ$21,0),0)+IF('[1]#REF'!$AK$21=Brand_Profile!$G$15,IF(ISNUMBER('[1]#REF'!$AL$21),'[1]#REF'!$AL$21,0),0))/Lookup_Lists!$D$317*100,0)))*Lookup_Lists!$D$120,0))/(IF(ISNUMBER(IF(NOT(ISNUMBER('[1]#REF'!$AE$21)),"N/A",IF('[1]#REF'!$AD$21&lt;&gt;Brand_Profile!$G$14,Lookup_Lists!$D$151,MIN(100,ROUND('[1]#REF'!$AE$21/Lookup_Lists!$D$316*100,0))))),Lookup_Lists!$D$118,0)+IF(ISNUMBER(IF(NOT(ISNUMBER('[1]#REF'!$AM$21)),"N/A",MIN(100,ROUND((IF('[1]#REF'!$AG$21=Brand_Profile!$G$15,IF(ISNUMBER('[1]#REF'!$AH$21),'[1]#REF'!$AH$21,0),0)+IF('[1]#REF'!$AI$21=Brand_Profile!$G$15,IF(ISNUMBER('[1]#REF'!$AJ$21),'[1]#REF'!$AJ$21,0),0)+IF('[1]#REF'!$AK$21=Brand_Profile!$G$15,IF(ISNUMBER('[1]#REF'!$AL$21),'[1]#REF'!$AL$21,0),0))/Lookup_Lists!$D$317*100,0)))),Lookup_Lists!$D$120,0)),0))</f>
        <v>N/A</v>
      </c>
      <c r="R69" s="65" t="str">
        <f>IF(NOT(ISNUMBER('[1]#REF'!$AN$21)),"N/A",MIN(100,ROUND((IF(ISNUMBER('[1]#REF'!$AO$21),'[1]#REF'!$AO$21*Brand_Profile!$G$17,0)+IF(ISNUMBER('[1]#REF'!$AP$21),'[1]#REF'!$AP$21*Brand_Profile!$G$18,0)+IF(ISNUMBER('[1]#REF'!$AQ$21),'[1]#REF'!$AQ$21*Brand_Profile!$G$19,0)+IF(ISNUMBER('[1]#REF'!$AR$21),'[1]#REF'!$AR$21*Brand_Profile!$G$20,0)+IF(ISNUMBER('[1]#REF'!$AS$21),'[1]#REF'!$AS$21*Brand_Profile!$G$21,0)+IF(ISNUMBER('[1]#REF'!$AT$21),'[1]#REF'!$AT$21*Brand_Profile!$G$22,0)+IF(ISNUMBER('[1]#REF'!$AU$21),'[1]#REF'!$AU$21*Brand_Profile!$G$23,0)+IF(ISNUMBER('[1]#REF'!$AV$21),'[1]#REF'!$AV$21*Brand_Profile!$G$24,0)+IF(ISNUMBER('[1]#REF'!$AW$21),'[1]#REF'!$AW$21*Brand_Profile!$G$25,0)+IF(ISNUMBER('[1]#REF'!$AX$21),'[1]#REF'!$AX$21*Brand_Profile!$G$26,0)+IF(ISNUMBER('[1]#REF'!$AY$21),'[1]#REF'!$AY$21*Brand_Profile!$G$27,0)+IF(ISNUMBER('[1]#REF'!$AZ$21),'[1]#REF'!$AZ$21*Brand_Profile!$G$28,0)+IF(ISNUMBER('[1]#REF'!$BA$21),'[1]#REF'!$BA$21*Brand_Profile!$G$29,0)+IF(ISNUMBER('[1]#REF'!$BB$21),'[1]#REF'!$BB$21*Brand_Profile!$G$30,0)+IF(ISNUMBER('[1]#REF'!$BC$21),'[1]#REF'!$BC$21*Brand_Profile!$G$31,0)+IF(ISNUMBER('[1]#REF'!$BD$21),'[1]#REF'!$BD$21*Brand_Profile!$G$32,0)+IF(ISNUMBER('[1]#REF'!$BE$21),'[1]#REF'!$BE$21*Brand_Profile!$G$33,0)+IF(ISNUMBER('[1]#REF'!$BF$21),'[1]#REF'!$BF$21*Brand_Profile!$G$34,0))/Lookup_Lists!$D$318*100,0)))</f>
        <v>N/A</v>
      </c>
      <c r="S69" s="63">
        <f ca="1">IF((IF(ISNUMBER(Matching_Engine!$O$69),Lookup_Lists!$D$113,0)+IF(ISNUMBER(Matching_Engine!$P$69),Lookup_Lists!$D$114,0)+IF(ISNUMBER(Matching_Engine!$Q$69),Lookup_Lists!$D$115,0)+IF(ISNUMBER(Matching_Engine!$R$69),Lookup_Lists!$D$116,0))=0,"N/A",ROUND((IF(ISNUMBER(Matching_Engine!$O$69),Matching_Engine!$O$69*Lookup_Lists!$D$113,0)+IF(ISNUMBER(Matching_Engine!$P$69),Matching_Engine!$P$69*Lookup_Lists!$D$114,0)+IF(ISNUMBER(Matching_Engine!$Q$69),Matching_Engine!$Q$69*Lookup_Lists!$D$115,0)+IF(ISNUMBER(Matching_Engine!$R$69),Matching_Engine!$R$69*Lookup_Lists!$D$116,0))/(IF(ISNUMBER(Matching_Engine!$O$69),Lookup_Lists!$D$113,0)+IF(ISNUMBER(Matching_Engine!$P$69),Lookup_Lists!$D$114,0)+IF(ISNUMBER(Matching_Engine!$Q$69),Lookup_Lists!$D$115,0)+IF(ISNUMBER(Matching_Engine!$R$69),Lookup_Lists!$D$116,0)),0))</f>
        <v>61</v>
      </c>
      <c r="T69" s="42">
        <f ca="1">IF(ISNUMBER(Matching_Engine!$S$69),1,0)</f>
        <v>1</v>
      </c>
      <c r="U69" s="65" t="e">
        <f>IF(NOT(AND(ISTEXT('[1]#REF'!$M$21),'[1]#REF'!$M$21&lt;&gt;"N/A")),Lookup_Lists!$D$150,IF(Brand_Profile!$G$7='[1]#REF'!$M$21,100,IFERROR(INDEX(Lookup_Lists!$B$349:$J$357,MATCH(Brand_Profile!$G$7,Lookup_Lists!$A$349:$A$357,0),MATCH('[1]#REF'!$M$21,Lookup_Lists!$B$348:$J$348,0)),Lookup_Lists!$D$151)))</f>
        <v>#REF!</v>
      </c>
      <c r="V69" s="65" t="e">
        <f>IF(NOT(AND(ISTEXT('[1]#REF'!$P$21),'[1]#REF'!$P$21&lt;&gt;"N/A")),"N/A",IFERROR(INDEX(Lookup_Lists!$B$349:$J$357,MATCH(Brand_Profile!$G$7,Lookup_Lists!$A$349:$A$357,0),MATCH('[1]#REF'!$P$21,Lookup_Lists!$B$348:$J$348,0)),Lookup_Lists!$D$151))</f>
        <v>#REF!</v>
      </c>
      <c r="W69" s="65" t="e">
        <f>IF(LEN(TRIM(SUBSTITUTE(Matching_Engine!$BE$69,"|","")))=0,"N/A",IF(Brand_Profile!$G$60=0,Lookup_Lists!$D$150,ROUND((IF(Brand_Profile!$G$54="",0,IF(ISNUMBER(SEARCH(Brand_Profile!$G$54,Matching_Engine!$BE$69)),1,0))+IF(Brand_Profile!$G$55="",0,IF(ISNUMBER(SEARCH(Brand_Profile!$G$55,Matching_Engine!$BE$69)),1,0))+IF(Brand_Profile!$G$56="",0,IF(ISNUMBER(SEARCH(Brand_Profile!$G$56,Matching_Engine!$BE$69)),1,0))+IF(Brand_Profile!$G$57="",0,IF(ISNUMBER(SEARCH(Brand_Profile!$G$57,Matching_Engine!$BE$69)),1,0))+IF(Brand_Profile!$G$58="",0,IF(ISNUMBER(SEARCH(Brand_Profile!$G$58,Matching_Engine!$BE$69)),1,0))+IF(Brand_Profile!$G$59="",0,IF(ISNUMBER(SEARCH(Brand_Profile!$G$59,Matching_Engine!$BE$69)),1,0)))/Brand_Profile!$G$60*100,0)))</f>
        <v>#VALUE!</v>
      </c>
      <c r="X69" s="65" t="e">
        <f>IF(NOT(AND(ISTEXT('[1]#REF'!$Q$21),'[1]#REF'!$Q$21&lt;&gt;"N/A")),"N/A",Lookup_Lists!$D$150)</f>
        <v>#REF!</v>
      </c>
      <c r="Y69" s="63">
        <f>IF((IF(ISNUMBER(Matching_Engine!$U$69),Lookup_Lists!$D$335,0)+IF(ISNUMBER(Matching_Engine!$V$69),Lookup_Lists!$D$122,0)+IF(ISNUMBER(Matching_Engine!$W$69),Lookup_Lists!$D$336,0)+IF(ISNUMBER(Matching_Engine!$X$69),Lookup_Lists!$D$124,0))=0,"N/A",ROUND((IF(ISNUMBER(Matching_Engine!$U$69),Matching_Engine!$U$69*Lookup_Lists!$D$335,0)+IF(ISNUMBER(Matching_Engine!$V$69),Matching_Engine!$V$69*Lookup_Lists!$D$122,0)+IF(ISNUMBER(Matching_Engine!$W$69),Matching_Engine!$W$69*Lookup_Lists!$D$336,0)+IF(ISNUMBER(Matching_Engine!$X$69),Matching_Engine!$X$69*Lookup_Lists!$D$124,0))/(IF(ISNUMBER(Matching_Engine!$U$69),Lookup_Lists!$D$335,0)+IF(ISNUMBER(Matching_Engine!$V$69),Lookup_Lists!$D$122,0)+IF(ISNUMBER(Matching_Engine!$W$69),Lookup_Lists!$D$336,0)+IF(ISNUMBER(Matching_Engine!$X$69),Lookup_Lists!$D$124,0)),0))</f>
        <v>30</v>
      </c>
      <c r="Z69" s="42">
        <f>IF(ISNUMBER(Matching_Engine!$Y$69),1,0)</f>
        <v>1</v>
      </c>
      <c r="AA69" s="65" t="e">
        <f>IF(NOT(AND(ISTEXT('[1]#REF'!$Q$21),'[1]#REF'!$Q$21&lt;&gt;"N/A")),"N/A",Lookup_Lists!$D$150)</f>
        <v>#REF!</v>
      </c>
      <c r="AB69" s="65" t="e">
        <f>IF(NOT(AND(ISTEXT('[1]#REF'!$Q$21),'[1]#REF'!$Q$21&lt;&gt;"N/A")),"N/A",Lookup_Lists!$D$150)</f>
        <v>#REF!</v>
      </c>
      <c r="AC69" s="65" t="str">
        <f t="shared" si="0"/>
        <v>N/A</v>
      </c>
      <c r="AD69" s="65" t="e">
        <f>IF(NOT(AND(ISTEXT('[1]#REF'!$Q$21),'[1]#REF'!$Q$21&lt;&gt;"N/A")),"N/A",Lookup_Lists!$D$150)</f>
        <v>#REF!</v>
      </c>
      <c r="AE69" s="63">
        <f>IF((IF(ISNUMBER(Matching_Engine!$AA$69),Lookup_Lists!$D$125,0)+IF(ISNUMBER(Matching_Engine!$AB$69),Lookup_Lists!$D$126,0)+IF(ISNUMBER(Matching_Engine!$AC$69),Lookup_Lists!$D$127,0)+IF(ISNUMBER(Matching_Engine!$AD$69),Lookup_Lists!$D$128,0))=0,"N/A",ROUND((IF(ISNUMBER(Matching_Engine!$AA$69),Matching_Engine!$AA$69*Lookup_Lists!$D$125,0)+IF(ISNUMBER(Matching_Engine!$AB$69),Matching_Engine!$AB$69*Lookup_Lists!$D$126,0)+IF(ISNUMBER(Matching_Engine!$AC$69),Matching_Engine!$AC$69*Lookup_Lists!$D$127,0)+IF(ISNUMBER(Matching_Engine!$AD$69),Matching_Engine!$AD$69*Lookup_Lists!$D$128,0))/(IF(ISNUMBER(Matching_Engine!$AA$69),Lookup_Lists!$D$125,0)+IF(ISNUMBER(Matching_Engine!$AB$69),Lookup_Lists!$D$126,0)+IF(ISNUMBER(Matching_Engine!$AC$69),Lookup_Lists!$D$127,0)+IF(ISNUMBER(Matching_Engine!$AD$69),Lookup_Lists!$D$128,0)),0))</f>
        <v>57</v>
      </c>
      <c r="AF69" s="42">
        <f>IF(ISNUMBER(Matching_Engine!$AE$69),1,0)</f>
        <v>1</v>
      </c>
      <c r="AG69" s="65" t="str">
        <f>IF(NOT(ISNUMBER('[1]#REF'!$BG$21)),"N/A",MIN(100,ROUND('[1]#REF'!$BG$21/IFERROR(INDEX(Lookup_Lists!$B$340:$B$344,MATCH('[1]#REF'!$H$21,Lookup_Lists!$A$340:$A$344,0)),Lookup_Lists!$D$141)*100,0)))</f>
        <v>N/A</v>
      </c>
      <c r="AH69" s="65" t="str">
        <f>IF(NOT(ISNUMBER('[1]#REF'!$BS$21)),"N/A",MIN(100,MAX(0,'[1]#REF'!$BS$21)))</f>
        <v>N/A</v>
      </c>
      <c r="AI69" s="65" t="e">
        <f>IF(OR(NOT(ISNUMBER('[1]#REF'!$BM$21)),NOT(ISNUMBER('[1]#REF'!$BN$21)),'[1]#REF'!$BN$21&lt;Lookup_Lists!$D$320),"N/A",MIN(100,ROUND('[1]#REF'!$BM$21/Lookup_Lists!$D$319*100,0)))</f>
        <v>#REF!</v>
      </c>
      <c r="AJ69" s="65" t="str">
        <f>IF(NOT(ISNUMBER('[1]#REF'!$BR$21)),"N/A",'[1]#REF'!$BR$21)</f>
        <v>N/A</v>
      </c>
      <c r="AK69" s="65" t="str">
        <f>IF(NOT(ISNUMBER('[1]#REF'!$BK$21)),"N/A",MIN(100,ROUND('[1]#REF'!$BK$21/Lookup_Lists!$D$321*100,0)))</f>
        <v>N/A</v>
      </c>
      <c r="AL69" s="65" t="str">
        <f>IF(NOT(ISNUMBER('[1]#REF'!$BP$21)),"N/A",MIN(100,MAX(0,ROUND(('[1]#REF'!$BP$21+2)/(Lookup_Lists!$D$145+2)*100,0))))</f>
        <v>N/A</v>
      </c>
      <c r="AM69" s="63">
        <f>IF((IF(ISNUMBER(Matching_Engine!$AG$69),Lookup_Lists!$D$129,0)+IF(ISNUMBER(Matching_Engine!$AH$69),Lookup_Lists!$D$130,0)+IF(ISNUMBER(Matching_Engine!$AI$69),Lookup_Lists!$D$131,0)+IF(ISNUMBER(Matching_Engine!$AJ$69),Lookup_Lists!$D$132,0)+IF(ISNUMBER(Matching_Engine!$AK$69),Lookup_Lists!$D$133,0)+IF(ISNUMBER(Matching_Engine!$AL$69),Lookup_Lists!$D$134,0))=0,"N/A",ROUND((IF(ISNUMBER(Matching_Engine!$AG$69),Matching_Engine!$AG$69*Lookup_Lists!$D$129,0)+IF(ISNUMBER(Matching_Engine!$AH$69),Matching_Engine!$AH$69*Lookup_Lists!$D$130,0)+IF(ISNUMBER(Matching_Engine!$AI$69),Matching_Engine!$AI$69*Lookup_Lists!$D$131,0)+IF(ISNUMBER(Matching_Engine!$AJ$69),Matching_Engine!$AJ$69*Lookup_Lists!$D$132,0)+IF(ISNUMBER(Matching_Engine!$AK$69),Matching_Engine!$AK$69*Lookup_Lists!$D$133,0)+IF(ISNUMBER(Matching_Engine!$AL$69),Matching_Engine!$AL$69*Lookup_Lists!$D$134,0))/(IF(ISNUMBER(Matching_Engine!$AG$69),Lookup_Lists!$D$129,0)+IF(ISNUMBER(Matching_Engine!$AH$69),Lookup_Lists!$D$130,0)+IF(ISNUMBER(Matching_Engine!$AI$69),Lookup_Lists!$D$131,0)+IF(ISNUMBER(Matching_Engine!$AJ$69),Lookup_Lists!$D$132,0)+IF(ISNUMBER(Matching_Engine!$AK$69),Lookup_Lists!$D$133,0)+IF(ISNUMBER(Matching_Engine!$AL$69),Lookup_Lists!$D$134,0)),0))</f>
        <v>87</v>
      </c>
      <c r="AN69" s="42">
        <f>IF(ISNUMBER(Matching_Engine!$AM$69),1,0)</f>
        <v>0</v>
      </c>
      <c r="AO69" s="65" t="str">
        <f>IF(NOT(ISNUMBER('[1]#REF'!$BT$21)),"N/A",MIN(100,MAX(0,'[1]#REF'!$BT$21)))</f>
        <v>N/A</v>
      </c>
      <c r="AP69" s="65" t="str">
        <f>IF(NOT(ISNUMBER('[1]#REF'!$BU$21)),"N/A",MIN(100,MAX(0,'[1]#REF'!$BU$21)))</f>
        <v>N/A</v>
      </c>
      <c r="AQ69" s="65" t="e">
        <f>IF('[1]#REF'!$I$21="Yes",Lookup_Lists!$D$326,IF('[1]#REF'!$I$21="No",Lookup_Lists!$D$327,"N/A"))</f>
        <v>#REF!</v>
      </c>
      <c r="AR69" s="65" t="str">
        <f>IF(NOT(ISNUMBER('[1]#REF'!$BQ$21)),"N/A",MAX(0,ROUND(100-'[1]#REF'!$BQ$21/Lookup_Lists!$D$328*100,0)))</f>
        <v>N/A</v>
      </c>
      <c r="AS69" s="65" t="e">
        <f>IF(NOT(AND(ISTEXT('[1]#REF'!$BV$21),'[1]#REF'!$BV$21&lt;&gt;"N/A")),"N/A",'[1]#REF'!$BV$21)</f>
        <v>#REF!</v>
      </c>
      <c r="AT69" s="63" t="str">
        <f ca="1">IF((IF(ISNUMBER(Matching_Engine!$AO$69),Lookup_Lists!$D$322,0)+IF(ISNUMBER(Matching_Engine!$AP$69),Lookup_Lists!$D$323,0)+IF(ISNUMBER(Matching_Engine!$AQ$69),Lookup_Lists!$D$324,0)+IF(ISNUMBER(Matching_Engine!$AR$69),Lookup_Lists!$D$325,0))=0,"N/A",ROUND((IF(ISNUMBER(Matching_Engine!$AO$69),Matching_Engine!$AO$69*Lookup_Lists!$D$322,0)+IF(ISNUMBER(Matching_Engine!$AP$69),Matching_Engine!$AP$69*Lookup_Lists!$D$323,0)+IF(ISNUMBER(Matching_Engine!$AQ$69),Matching_Engine!$AQ$69*Lookup_Lists!$D$324,0)+IF(ISNUMBER(Matching_Engine!$AR$69),Matching_Engine!$AR$69*Lookup_Lists!$D$325,0))/(IF(ISNUMBER(Matching_Engine!$AO$69),Lookup_Lists!$D$322,0)+IF(ISNUMBER(Matching_Engine!$AP$69),Lookup_Lists!$D$323,0)+IF(ISNUMBER(Matching_Engine!$AQ$69),Lookup_Lists!$D$324,0)+IF(ISNUMBER(Matching_Engine!$AR$69),Lookup_Lists!$D$325,0)),0))</f>
        <v>N/A</v>
      </c>
      <c r="AU69" s="42">
        <f>IF(ISNUMBER(Matching_Engine!$AT$69),1,0)</f>
        <v>1</v>
      </c>
      <c r="AV69" s="42" t="str">
        <f>IF(NOT(ISNUMBER(Matching_Engine!$AT$69)),"Not Screened",IF(Matching_Engine!$AT$69&gt;=Lookup_Lists!$D$329,"Low Risk",IF(Matching_Engine!$AT$69&gt;=Lookup_Lists!$D$330,"Moderate Risk",IF(Matching_Engine!$AT$69&gt;=Lookup_Lists!$D$331,"Elevated Risk","High Risk"))))</f>
        <v>Low Risk</v>
      </c>
      <c r="AW69" s="42" t="e">
        <f ca="1">IF(NOT(ISNUMBER(Matching_Engine!$AT$69)),"No integrity signal: no audience-analysis row for this account.","Integrity screen only — no content-risk reading exists (comments_analysis: 0 rows). "&amp;IF(ISNUMBER(Matching_Engine!$AO$69),"Authenticity "&amp;Matching_Engine!$AO$69&amp;". ","Authenticity N/A. ")&amp;IF(ISNUMBER(Matching_Engine!$AP$69),"Follower quality "&amp;Matching_Engine!$AP$69&amp;". ","Follower quality N/A. ")&amp;IF('[1]#REF'!$I$21="Yes","Platform-verified.","Not platform-verified."))</f>
        <v>#REF!</v>
      </c>
      <c r="AX69" s="65">
        <f>Matching_Engine!$N$69*Lookup_Lists!$D$104+Matching_Engine!$T$69*Lookup_Lists!$D$105+Matching_Engine!$Z$69*Lookup_Lists!$D$106+Matching_Engine!$AF$69*Lookup_Lists!$D$107+Matching_Engine!$AN$69*Lookup_Lists!$D$108+Matching_Engine!$AU$69*Lookup_Lists!$D$109</f>
        <v>5558.5</v>
      </c>
      <c r="AY69" s="74" t="e">
        <f ca="1">IF(Matching_Engine!$AX$69=0,"N/A",ROUND((IF(Matching_Engine!$N$69=1,Matching_Engine!$M$69*Lookup_Lists!$D$104,0)+IF(Matching_Engine!$T$69=1,Matching_Engine!$S$69*Lookup_Lists!$D$105,0)+IF(Matching_Engine!$Z$69=1,Matching_Engine!$Y$69*Lookup_Lists!$D$106,0)+IF(Matching_Engine!$AF$69=1,Matching_Engine!$AE$69*Lookup_Lists!$D$107,0)+IF(Matching_Engine!$AN$69=1,Matching_Engine!$AM$69*Lookup_Lists!$D$108,0)+IF(Matching_Engine!$AU$69=1,Matching_Engine!$AT$69*Lookup_Lists!$D$109,0))/Matching_Engine!$AX$69,0))</f>
        <v>#VALUE!</v>
      </c>
      <c r="AZ69" s="42" t="str">
        <f ca="1">IF(NOT(ISNUMBER(Matching_Engine!$AY$69)),"Not Scored",IF(Matching_Engine!$AY$69&gt;=Lookup_Lists!$D$152,"Excellent Match",IF(Matching_Engine!$AY$69&gt;=Lookup_Lists!$D$153,"Strong Match",IF(Matching_Engine!$AY$69&gt;=Lookup_Lists!$D$154,"Good Match",IF(Matching_Engine!$AY$69&gt;=Lookup_Lists!$D$155,"Moderate Match","Low Match")))))</f>
        <v>Not Scored</v>
      </c>
      <c r="BA69" s="65" t="e">
        <f>'[1]#REF'!$BW$21</f>
        <v>#REF!</v>
      </c>
      <c r="BB69" s="42" t="e">
        <f>'[1]#REF'!$BX$21</f>
        <v>#REF!</v>
      </c>
      <c r="BC69" s="65">
        <f ca="1">IF(NOT(ISNUMBER(Matching_Engine!$AY$69)),-1,Matching_Engine!$AY$69*1000+9)</f>
        <v>-1</v>
      </c>
      <c r="BD69" s="42" t="e">
        <f>IF(AND(ISTEXT('[1]#REF'!$S$21),'[1]#REF'!$S$21&lt;&gt;"N/A"),'[1]#REF'!$S$21,"")&amp;" | "&amp;IF(AND(ISTEXT('[1]#REF'!$T$21),'[1]#REF'!$T$21&lt;&gt;"N/A"),'[1]#REF'!$T$21,"")&amp;" | "&amp;IF(AND(ISTEXT('[1]#REF'!$N$21),'[1]#REF'!$N$21&lt;&gt;"N/A"),'[1]#REF'!$N$21,"")&amp;" | "&amp;IF(AND(ISTEXT('[1]#REF'!$K$21),'[1]#REF'!$K$21&lt;&gt;"N/A"),'[1]#REF'!$K$21,"")&amp;" | "&amp;IF(AND(ISTEXT('[1]#REF'!$J$21),'[1]#REF'!$J$21&lt;&gt;"N/A"),'[1]#REF'!$J$21,"")</f>
        <v>#REF!</v>
      </c>
      <c r="BE69" s="42" t="e">
        <f>IF(AND(ISTEXT('[1]#REF'!$T$21),'[1]#REF'!$T$21&lt;&gt;"N/A"),'[1]#REF'!$T$21,"")&amp;" | "&amp;IF(AND(ISTEXT('[1]#REF'!$N$21),'[1]#REF'!$N$21&lt;&gt;"N/A"),'[1]#REF'!$N$21,"")&amp;" | "&amp;IF(AND(ISTEXT('[1]#REF'!$O$21),'[1]#REF'!$O$21&lt;&gt;"N/A"),'[1]#REF'!$O$21,"")&amp;" | "&amp;IF(AND(ISTEXT('[1]#REF'!$S$21),'[1]#REF'!$S$21&lt;&gt;"N/A"),'[1]#REF'!$S$21,"")</f>
        <v>#REF!</v>
      </c>
      <c r="BF69" s="42" t="e">
        <f>IF(AND(ISTEXT('[1]#REF'!$U$21),'[1]#REF'!$U$21&lt;&gt;"N/A"),'[1]#REF'!$U$21,"")</f>
        <v>#REF!</v>
      </c>
      <c r="BG69" s="42" t="str">
        <f>Matching_Engine!$A$69&amp;"|"&amp;Matching_Engine!$C$69</f>
        <v>BRAND-C|KOL-04</v>
      </c>
    </row>
    <row r="70" spans="1:59">
      <c r="A70" s="64" t="s">
        <v>2529</v>
      </c>
      <c r="B70" s="42" t="str">
        <f>Brand_Profile!$G$6</f>
        <v>Active Value</v>
      </c>
      <c r="C70" s="42" t="e">
        <f>'[1]#REF'!$A$22</f>
        <v>#REF!</v>
      </c>
      <c r="D70" s="42" t="e">
        <f>'[1]#REF'!$C$22</f>
        <v>#REF!</v>
      </c>
      <c r="E70" s="42" t="e">
        <f>'[1]#REF'!$D$22</f>
        <v>#REF!</v>
      </c>
      <c r="F70" s="42" t="e">
        <f>'[1]#REF'!$E$22</f>
        <v>#REF!</v>
      </c>
      <c r="G70" s="42" t="e">
        <f>'[1]#REF'!$K$22</f>
        <v>#REF!</v>
      </c>
      <c r="H70" s="72" t="e">
        <f>'[1]#REF'!$G$22</f>
        <v>#REF!</v>
      </c>
      <c r="I70" s="73" t="e">
        <f>'[1]#REF'!$BG$22</f>
        <v>#REF!</v>
      </c>
      <c r="J70" s="65" t="e">
        <f>IF(NOT(AND(ISTEXT('[1]#REF'!$K$22),'[1]#REF'!$K$22&lt;&gt;"N/A")),Lookup_Lists!$D$150,IF(Brand_Profile!$G$7='[1]#REF'!$K$22,100,IFERROR(INDEX(Lookup_Lists!$B$349:$J$357,MATCH(Brand_Profile!$G$7,Lookup_Lists!$A$349:$A$357,0),MATCH('[1]#REF'!$K$22,Lookup_Lists!$B$348:$J$348,0)),Lookup_Lists!$D$151)))</f>
        <v>#REF!</v>
      </c>
      <c r="K70" s="65" t="e">
        <f>IF(LEN(TRIM(SUBSTITUTE(Matching_Engine!$BD$70,"|","")))=0,"N/A",IF(Brand_Profile!$G$47=0,Lookup_Lists!$D$150,ROUND((IF(Brand_Profile!$G$41="",0,IF(ISNUMBER(SEARCH(Brand_Profile!$G$41,Matching_Engine!$BD$70)),1,0))+IF(Brand_Profile!$G$42="",0,IF(ISNUMBER(SEARCH(Brand_Profile!$G$42,Matching_Engine!$BD$70)),1,0))+IF(Brand_Profile!$G$43="",0,IF(ISNUMBER(SEARCH(Brand_Profile!$G$43,Matching_Engine!$BD$70)),1,0))+IF(Brand_Profile!$G$44="",0,IF(ISNUMBER(SEARCH(Brand_Profile!$G$44,Matching_Engine!$BD$70)),1,0))+IF(Brand_Profile!$G$45="",0,IF(ISNUMBER(SEARCH(Brand_Profile!$G$45,Matching_Engine!$BD$70)),1,0))+IF(Brand_Profile!$G$46="",0,IF(ISNUMBER(SEARCH(Brand_Profile!$G$46,Matching_Engine!$BD$70)),1,0)))/Brand_Profile!$G$47*100,0)))</f>
        <v>#VALUE!</v>
      </c>
      <c r="L70" s="65" t="e">
        <f>IF(NOT(AND(ISTEXT('[1]#REF'!$U$22),'[1]#REF'!$U$22&lt;&gt;"N/A")),"N/A",IF(Brand_Profile!$G$53=0,Lookup_Lists!$D$150,ROUND((IF(Brand_Profile!$G$48="",0,IF(ISNUMBER(SEARCH(Brand_Profile!$G$48,Matching_Engine!$BF$70)),1,0))+IF(Brand_Profile!$G$49="",0,IF(ISNUMBER(SEARCH(Brand_Profile!$G$49,Matching_Engine!$BF$70)),1,0))+IF(Brand_Profile!$G$50="",0,IF(ISNUMBER(SEARCH(Brand_Profile!$G$50,Matching_Engine!$BF$70)),1,0))+IF(Brand_Profile!$G$51="",0,IF(ISNUMBER(SEARCH(Brand_Profile!$G$51,Matching_Engine!$BF$70)),1,0))+IF(Brand_Profile!$G$52="",0,IF(ISNUMBER(SEARCH(Brand_Profile!$G$52,Matching_Engine!$BF$70)),1,0)))/Brand_Profile!$G$53*100,0)))</f>
        <v>#REF!</v>
      </c>
      <c r="M70" s="63" t="str">
        <f>IF((IF(ISNUMBER(Matching_Engine!$J$70),Lookup_Lists!$D$332,0)+IF(ISNUMBER(Matching_Engine!$K$70),Lookup_Lists!$D$333,0)+IF(ISNUMBER(Matching_Engine!$L$70),Lookup_Lists!$D$334,0))=0,"N/A",ROUND((IF(ISNUMBER(Matching_Engine!$J$70),Matching_Engine!$J$70*Lookup_Lists!$D$332,0)+IF(ISNUMBER(Matching_Engine!$K$70),Matching_Engine!$K$70*Lookup_Lists!$D$333,0)+IF(ISNUMBER(Matching_Engine!$L$70),Matching_Engine!$L$70*Lookup_Lists!$D$334,0))/(IF(ISNUMBER(Matching_Engine!$J$70),Lookup_Lists!$D$332,0)+IF(ISNUMBER(Matching_Engine!$K$70),Lookup_Lists!$D$333,0)+IF(ISNUMBER(Matching_Engine!$L$70),Lookup_Lists!$D$334,0)),0))</f>
        <v>N/A</v>
      </c>
      <c r="N70" s="42">
        <f>IF(ISNUMBER(Matching_Engine!$M$70),1,0)</f>
        <v>1</v>
      </c>
      <c r="O70" s="65" t="str">
        <f ca="1">IF(NOT(ISNUMBER(IFERROR(INDEX('[1]#REF'!$V$22:'[1]#REF'!$Z$22,1,MATCH(Brand_Profile!$G$11,Lookup_Lists!$F$6:$F$10,0)),""))),"N/A",MIN(100,ROUND((IFERROR(INDEX('[1]#REF'!$V$22:'[1]#REF'!$Z$22,1,MATCH(Brand_Profile!$G$11,Lookup_Lists!$F$6:$F$10,0)),"")+0.5*IF(ISNUMBER(IFERROR(INDEX('[1]#REF'!$V$22:'[1]#REF'!$Z$22,1,MATCH(Brand_Profile!$G$12,Lookup_Lists!$F$6:$F$10,0)),"")),IFERROR(INDEX('[1]#REF'!$V$22:'[1]#REF'!$Z$22,1,MATCH(Brand_Profile!$G$12,Lookup_Lists!$F$6:$F$10,0)),""),0))/Lookup_Lists!$D$142*100,0)))</f>
        <v>N/A</v>
      </c>
      <c r="P70" s="65" t="str">
        <f>IF(Brand_Profile!$G$13="Any",100,IF(NOT(ISNUMBER('[1]#REF'!$AA$22)),"N/A",IF(Brand_Profile!$G$13="Female",MIN(100,ROUND('[1]#REF'!$AA$22/Lookup_Lists!$D$143*100,0)),IF(Brand_Profile!$G$13="Male",MIN(100,ROUND(IF(ISNUMBER('[1]#REF'!$AB$22),'[1]#REF'!$AB$22,100-'[1]#REF'!$AA$22)/Lookup_Lists!$D$143*100,0)),MAX(0,ROUND(100-ABS('[1]#REF'!$AA$22-50)*2,0))))))</f>
        <v>N/A</v>
      </c>
      <c r="Q70" s="65" t="str">
        <f>IF((IF(ISNUMBER(IF(NOT(ISNUMBER('[1]#REF'!$AE$22)),"N/A",IF('[1]#REF'!$AD$22&lt;&gt;Brand_Profile!$G$14,Lookup_Lists!$D$151,MIN(100,ROUND('[1]#REF'!$AE$22/Lookup_Lists!$D$316*100,0))))),Lookup_Lists!$D$118,0)+IF(ISNUMBER(IF(NOT(ISNUMBER('[1]#REF'!$AM$22)),"N/A",MIN(100,ROUND((IF('[1]#REF'!$AG$22=Brand_Profile!$G$15,IF(ISNUMBER('[1]#REF'!$AH$22),'[1]#REF'!$AH$22,0),0)+IF('[1]#REF'!$AI$22=Brand_Profile!$G$15,IF(ISNUMBER('[1]#REF'!$AJ$22),'[1]#REF'!$AJ$22,0),0)+IF('[1]#REF'!$AK$22=Brand_Profile!$G$15,IF(ISNUMBER('[1]#REF'!$AL$22),'[1]#REF'!$AL$22,0),0))/Lookup_Lists!$D$317*100,0)))),Lookup_Lists!$D$120,0))=0,"N/A",ROUND((IF(ISNUMBER(IF(NOT(ISNUMBER('[1]#REF'!$AE$22)),"N/A",IF('[1]#REF'!$AD$22&lt;&gt;Brand_Profile!$G$14,Lookup_Lists!$D$151,MIN(100,ROUND('[1]#REF'!$AE$22/Lookup_Lists!$D$316*100,0))))),IF(NOT(ISNUMBER('[1]#REF'!$AE$22)),"N/A",IF('[1]#REF'!$AD$22&lt;&gt;Brand_Profile!$G$14,Lookup_Lists!$D$151,MIN(100,ROUND('[1]#REF'!$AE$22/Lookup_Lists!$D$316*100,0))))*Lookup_Lists!$D$118,0)+IF(ISNUMBER(IF(NOT(ISNUMBER('[1]#REF'!$AM$22)),"N/A",MIN(100,ROUND((IF('[1]#REF'!$AG$22=Brand_Profile!$G$15,IF(ISNUMBER('[1]#REF'!$AH$22),'[1]#REF'!$AH$22,0),0)+IF('[1]#REF'!$AI$22=Brand_Profile!$G$15,IF(ISNUMBER('[1]#REF'!$AJ$22),'[1]#REF'!$AJ$22,0),0)+IF('[1]#REF'!$AK$22=Brand_Profile!$G$15,IF(ISNUMBER('[1]#REF'!$AL$22),'[1]#REF'!$AL$22,0),0))/Lookup_Lists!$D$317*100,0)))),IF(NOT(ISNUMBER('[1]#REF'!$AM$22)),"N/A",MIN(100,ROUND((IF('[1]#REF'!$AG$22=Brand_Profile!$G$15,IF(ISNUMBER('[1]#REF'!$AH$22),'[1]#REF'!$AH$22,0),0)+IF('[1]#REF'!$AI$22=Brand_Profile!$G$15,IF(ISNUMBER('[1]#REF'!$AJ$22),'[1]#REF'!$AJ$22,0),0)+IF('[1]#REF'!$AK$22=Brand_Profile!$G$15,IF(ISNUMBER('[1]#REF'!$AL$22),'[1]#REF'!$AL$22,0),0))/Lookup_Lists!$D$317*100,0)))*Lookup_Lists!$D$120,0))/(IF(ISNUMBER(IF(NOT(ISNUMBER('[1]#REF'!$AE$22)),"N/A",IF('[1]#REF'!$AD$22&lt;&gt;Brand_Profile!$G$14,Lookup_Lists!$D$151,MIN(100,ROUND('[1]#REF'!$AE$22/Lookup_Lists!$D$316*100,0))))),Lookup_Lists!$D$118,0)+IF(ISNUMBER(IF(NOT(ISNUMBER('[1]#REF'!$AM$22)),"N/A",MIN(100,ROUND((IF('[1]#REF'!$AG$22=Brand_Profile!$G$15,IF(ISNUMBER('[1]#REF'!$AH$22),'[1]#REF'!$AH$22,0),0)+IF('[1]#REF'!$AI$22=Brand_Profile!$G$15,IF(ISNUMBER('[1]#REF'!$AJ$22),'[1]#REF'!$AJ$22,0),0)+IF('[1]#REF'!$AK$22=Brand_Profile!$G$15,IF(ISNUMBER('[1]#REF'!$AL$22),'[1]#REF'!$AL$22,0),0))/Lookup_Lists!$D$317*100,0)))),Lookup_Lists!$D$120,0)),0))</f>
        <v>N/A</v>
      </c>
      <c r="R70" s="65" t="str">
        <f>IF(NOT(ISNUMBER('[1]#REF'!$AN$22)),"N/A",MIN(100,ROUND((IF(ISNUMBER('[1]#REF'!$AO$22),'[1]#REF'!$AO$22*Brand_Profile!$G$17,0)+IF(ISNUMBER('[1]#REF'!$AP$22),'[1]#REF'!$AP$22*Brand_Profile!$G$18,0)+IF(ISNUMBER('[1]#REF'!$AQ$22),'[1]#REF'!$AQ$22*Brand_Profile!$G$19,0)+IF(ISNUMBER('[1]#REF'!$AR$22),'[1]#REF'!$AR$22*Brand_Profile!$G$20,0)+IF(ISNUMBER('[1]#REF'!$AS$22),'[1]#REF'!$AS$22*Brand_Profile!$G$21,0)+IF(ISNUMBER('[1]#REF'!$AT$22),'[1]#REF'!$AT$22*Brand_Profile!$G$22,0)+IF(ISNUMBER('[1]#REF'!$AU$22),'[1]#REF'!$AU$22*Brand_Profile!$G$23,0)+IF(ISNUMBER('[1]#REF'!$AV$22),'[1]#REF'!$AV$22*Brand_Profile!$G$24,0)+IF(ISNUMBER('[1]#REF'!$AW$22),'[1]#REF'!$AW$22*Brand_Profile!$G$25,0)+IF(ISNUMBER('[1]#REF'!$AX$22),'[1]#REF'!$AX$22*Brand_Profile!$G$26,0)+IF(ISNUMBER('[1]#REF'!$AY$22),'[1]#REF'!$AY$22*Brand_Profile!$G$27,0)+IF(ISNUMBER('[1]#REF'!$AZ$22),'[1]#REF'!$AZ$22*Brand_Profile!$G$28,0)+IF(ISNUMBER('[1]#REF'!$BA$22),'[1]#REF'!$BA$22*Brand_Profile!$G$29,0)+IF(ISNUMBER('[1]#REF'!$BB$22),'[1]#REF'!$BB$22*Brand_Profile!$G$30,0)+IF(ISNUMBER('[1]#REF'!$BC$22),'[1]#REF'!$BC$22*Brand_Profile!$G$31,0)+IF(ISNUMBER('[1]#REF'!$BD$22),'[1]#REF'!$BD$22*Brand_Profile!$G$32,0)+IF(ISNUMBER('[1]#REF'!$BE$22),'[1]#REF'!$BE$22*Brand_Profile!$G$33,0)+IF(ISNUMBER('[1]#REF'!$BF$22),'[1]#REF'!$BF$22*Brand_Profile!$G$34,0))/Lookup_Lists!$D$318*100,0)))</f>
        <v>N/A</v>
      </c>
      <c r="S70" s="63">
        <f ca="1">IF((IF(ISNUMBER(Matching_Engine!$O$70),Lookup_Lists!$D$113,0)+IF(ISNUMBER(Matching_Engine!$P$70),Lookup_Lists!$D$114,0)+IF(ISNUMBER(Matching_Engine!$Q$70),Lookup_Lists!$D$115,0)+IF(ISNUMBER(Matching_Engine!$R$70),Lookup_Lists!$D$116,0))=0,"N/A",ROUND((IF(ISNUMBER(Matching_Engine!$O$70),Matching_Engine!$O$70*Lookup_Lists!$D$113,0)+IF(ISNUMBER(Matching_Engine!$P$70),Matching_Engine!$P$70*Lookup_Lists!$D$114,0)+IF(ISNUMBER(Matching_Engine!$Q$70),Matching_Engine!$Q$70*Lookup_Lists!$D$115,0)+IF(ISNUMBER(Matching_Engine!$R$70),Matching_Engine!$R$70*Lookup_Lists!$D$116,0))/(IF(ISNUMBER(Matching_Engine!$O$70),Lookup_Lists!$D$113,0)+IF(ISNUMBER(Matching_Engine!$P$70),Lookup_Lists!$D$114,0)+IF(ISNUMBER(Matching_Engine!$Q$70),Lookup_Lists!$D$115,0)+IF(ISNUMBER(Matching_Engine!$R$70),Lookup_Lists!$D$116,0)),0))</f>
        <v>91</v>
      </c>
      <c r="T70" s="42">
        <f ca="1">IF(ISNUMBER(Matching_Engine!$S$70),1,0)</f>
        <v>1</v>
      </c>
      <c r="U70" s="65" t="e">
        <f>IF(NOT(AND(ISTEXT('[1]#REF'!$M$22),'[1]#REF'!$M$22&lt;&gt;"N/A")),Lookup_Lists!$D$150,IF(Brand_Profile!$G$7='[1]#REF'!$M$22,100,IFERROR(INDEX(Lookup_Lists!$B$349:$J$357,MATCH(Brand_Profile!$G$7,Lookup_Lists!$A$349:$A$357,0),MATCH('[1]#REF'!$M$22,Lookup_Lists!$B$348:$J$348,0)),Lookup_Lists!$D$151)))</f>
        <v>#REF!</v>
      </c>
      <c r="V70" s="65" t="e">
        <f>IF(NOT(AND(ISTEXT('[1]#REF'!$P$22),'[1]#REF'!$P$22&lt;&gt;"N/A")),"N/A",IFERROR(INDEX(Lookup_Lists!$B$349:$J$357,MATCH(Brand_Profile!$G$7,Lookup_Lists!$A$349:$A$357,0),MATCH('[1]#REF'!$P$22,Lookup_Lists!$B$348:$J$348,0)),Lookup_Lists!$D$151))</f>
        <v>#REF!</v>
      </c>
      <c r="W70" s="65" t="e">
        <f>IF(LEN(TRIM(SUBSTITUTE(Matching_Engine!$BE$70,"|","")))=0,"N/A",IF(Brand_Profile!$G$60=0,Lookup_Lists!$D$150,ROUND((IF(Brand_Profile!$G$54="",0,IF(ISNUMBER(SEARCH(Brand_Profile!$G$54,Matching_Engine!$BE$70)),1,0))+IF(Brand_Profile!$G$55="",0,IF(ISNUMBER(SEARCH(Brand_Profile!$G$55,Matching_Engine!$BE$70)),1,0))+IF(Brand_Profile!$G$56="",0,IF(ISNUMBER(SEARCH(Brand_Profile!$G$56,Matching_Engine!$BE$70)),1,0))+IF(Brand_Profile!$G$57="",0,IF(ISNUMBER(SEARCH(Brand_Profile!$G$57,Matching_Engine!$BE$70)),1,0))+IF(Brand_Profile!$G$58="",0,IF(ISNUMBER(SEARCH(Brand_Profile!$G$58,Matching_Engine!$BE$70)),1,0))+IF(Brand_Profile!$G$59="",0,IF(ISNUMBER(SEARCH(Brand_Profile!$G$59,Matching_Engine!$BE$70)),1,0)))/Brand_Profile!$G$60*100,0)))</f>
        <v>#VALUE!</v>
      </c>
      <c r="X70" s="65" t="e">
        <f>IF(NOT(AND(ISTEXT('[1]#REF'!$Q$22),'[1]#REF'!$Q$22&lt;&gt;"N/A")),"N/A",Lookup_Lists!$D$150)</f>
        <v>#REF!</v>
      </c>
      <c r="Y70" s="63">
        <f>IF((IF(ISNUMBER(Matching_Engine!$U$70),Lookup_Lists!$D$335,0)+IF(ISNUMBER(Matching_Engine!$V$70),Lookup_Lists!$D$122,0)+IF(ISNUMBER(Matching_Engine!$W$70),Lookup_Lists!$D$336,0)+IF(ISNUMBER(Matching_Engine!$X$70),Lookup_Lists!$D$124,0))=0,"N/A",ROUND((IF(ISNUMBER(Matching_Engine!$U$70),Matching_Engine!$U$70*Lookup_Lists!$D$335,0)+IF(ISNUMBER(Matching_Engine!$V$70),Matching_Engine!$V$70*Lookup_Lists!$D$122,0)+IF(ISNUMBER(Matching_Engine!$W$70),Matching_Engine!$W$70*Lookup_Lists!$D$336,0)+IF(ISNUMBER(Matching_Engine!$X$70),Matching_Engine!$X$70*Lookup_Lists!$D$124,0))/(IF(ISNUMBER(Matching_Engine!$U$70),Lookup_Lists!$D$335,0)+IF(ISNUMBER(Matching_Engine!$V$70),Lookup_Lists!$D$122,0)+IF(ISNUMBER(Matching_Engine!$W$70),Lookup_Lists!$D$336,0)+IF(ISNUMBER(Matching_Engine!$X$70),Lookup_Lists!$D$124,0)),0))</f>
        <v>82</v>
      </c>
      <c r="Z70" s="42">
        <f>IF(ISNUMBER(Matching_Engine!$Y$70),1,0)</f>
        <v>1</v>
      </c>
      <c r="AA70" s="65" t="e">
        <f>IF(NOT(AND(ISTEXT('[1]#REF'!$Q$22),'[1]#REF'!$Q$22&lt;&gt;"N/A")),"N/A",Lookup_Lists!$D$150)</f>
        <v>#REF!</v>
      </c>
      <c r="AB70" s="65" t="e">
        <f>IF(NOT(AND(ISTEXT('[1]#REF'!$Q$22),'[1]#REF'!$Q$22&lt;&gt;"N/A")),"N/A",Lookup_Lists!$D$150)</f>
        <v>#REF!</v>
      </c>
      <c r="AC70" s="65" t="str">
        <f t="shared" ref="AC70:AC125" si="1">"N/A"</f>
        <v>N/A</v>
      </c>
      <c r="AD70" s="65" t="e">
        <f>IF(NOT(AND(ISTEXT('[1]#REF'!$Q$22),'[1]#REF'!$Q$22&lt;&gt;"N/A")),"N/A",Lookup_Lists!$D$150)</f>
        <v>#REF!</v>
      </c>
      <c r="AE70" s="63">
        <f>IF((IF(ISNUMBER(Matching_Engine!$AA$70),Lookup_Lists!$D$125,0)+IF(ISNUMBER(Matching_Engine!$AB$70),Lookup_Lists!$D$126,0)+IF(ISNUMBER(Matching_Engine!$AC$70),Lookup_Lists!$D$127,0)+IF(ISNUMBER(Matching_Engine!$AD$70),Lookup_Lists!$D$128,0))=0,"N/A",ROUND((IF(ISNUMBER(Matching_Engine!$AA$70),Matching_Engine!$AA$70*Lookup_Lists!$D$125,0)+IF(ISNUMBER(Matching_Engine!$AB$70),Matching_Engine!$AB$70*Lookup_Lists!$D$126,0)+IF(ISNUMBER(Matching_Engine!$AC$70),Matching_Engine!$AC$70*Lookup_Lists!$D$127,0)+IF(ISNUMBER(Matching_Engine!$AD$70),Matching_Engine!$AD$70*Lookup_Lists!$D$128,0))/(IF(ISNUMBER(Matching_Engine!$AA$70),Lookup_Lists!$D$125,0)+IF(ISNUMBER(Matching_Engine!$AB$70),Lookup_Lists!$D$126,0)+IF(ISNUMBER(Matching_Engine!$AC$70),Lookup_Lists!$D$127,0)+IF(ISNUMBER(Matching_Engine!$AD$70),Lookup_Lists!$D$128,0)),0))</f>
        <v>78</v>
      </c>
      <c r="AF70" s="42">
        <f>IF(ISNUMBER(Matching_Engine!$AE$70),1,0)</f>
        <v>1</v>
      </c>
      <c r="AG70" s="65" t="str">
        <f>IF(NOT(ISNUMBER('[1]#REF'!$BG$22)),"N/A",MIN(100,ROUND('[1]#REF'!$BG$22/IFERROR(INDEX(Lookup_Lists!$B$340:$B$344,MATCH('[1]#REF'!$H$22,Lookup_Lists!$A$340:$A$344,0)),Lookup_Lists!$D$141)*100,0)))</f>
        <v>N/A</v>
      </c>
      <c r="AH70" s="65" t="str">
        <f>IF(NOT(ISNUMBER('[1]#REF'!$BS$22)),"N/A",MIN(100,MAX(0,'[1]#REF'!$BS$22)))</f>
        <v>N/A</v>
      </c>
      <c r="AI70" s="65" t="e">
        <f>IF(OR(NOT(ISNUMBER('[1]#REF'!$BM$22)),NOT(ISNUMBER('[1]#REF'!$BN$22)),'[1]#REF'!$BN$22&lt;Lookup_Lists!$D$320),"N/A",MIN(100,ROUND('[1]#REF'!$BM$22/Lookup_Lists!$D$319*100,0)))</f>
        <v>#REF!</v>
      </c>
      <c r="AJ70" s="65" t="str">
        <f>IF(NOT(ISNUMBER('[1]#REF'!$BR$22)),"N/A",'[1]#REF'!$BR$22)</f>
        <v>N/A</v>
      </c>
      <c r="AK70" s="65" t="str">
        <f>IF(NOT(ISNUMBER('[1]#REF'!$BK$22)),"N/A",MIN(100,ROUND('[1]#REF'!$BK$22/Lookup_Lists!$D$321*100,0)))</f>
        <v>N/A</v>
      </c>
      <c r="AL70" s="65" t="str">
        <f>IF(NOT(ISNUMBER('[1]#REF'!$BP$22)),"N/A",MIN(100,MAX(0,ROUND(('[1]#REF'!$BP$22+2)/(Lookup_Lists!$D$145+2)*100,0))))</f>
        <v>N/A</v>
      </c>
      <c r="AM70" s="63">
        <f>IF((IF(ISNUMBER(Matching_Engine!$AG$70),Lookup_Lists!$D$129,0)+IF(ISNUMBER(Matching_Engine!$AH$70),Lookup_Lists!$D$130,0)+IF(ISNUMBER(Matching_Engine!$AI$70),Lookup_Lists!$D$131,0)+IF(ISNUMBER(Matching_Engine!$AJ$70),Lookup_Lists!$D$132,0)+IF(ISNUMBER(Matching_Engine!$AK$70),Lookup_Lists!$D$133,0)+IF(ISNUMBER(Matching_Engine!$AL$70),Lookup_Lists!$D$134,0))=0,"N/A",ROUND((IF(ISNUMBER(Matching_Engine!$AG$70),Matching_Engine!$AG$70*Lookup_Lists!$D$129,0)+IF(ISNUMBER(Matching_Engine!$AH$70),Matching_Engine!$AH$70*Lookup_Lists!$D$130,0)+IF(ISNUMBER(Matching_Engine!$AI$70),Matching_Engine!$AI$70*Lookup_Lists!$D$131,0)+IF(ISNUMBER(Matching_Engine!$AJ$70),Matching_Engine!$AJ$70*Lookup_Lists!$D$132,0)+IF(ISNUMBER(Matching_Engine!$AK$70),Matching_Engine!$AK$70*Lookup_Lists!$D$133,0)+IF(ISNUMBER(Matching_Engine!$AL$70),Matching_Engine!$AL$70*Lookup_Lists!$D$134,0))/(IF(ISNUMBER(Matching_Engine!$AG$70),Lookup_Lists!$D$129,0)+IF(ISNUMBER(Matching_Engine!$AH$70),Lookup_Lists!$D$130,0)+IF(ISNUMBER(Matching_Engine!$AI$70),Lookup_Lists!$D$131,0)+IF(ISNUMBER(Matching_Engine!$AJ$70),Lookup_Lists!$D$132,0)+IF(ISNUMBER(Matching_Engine!$AK$70),Lookup_Lists!$D$133,0)+IF(ISNUMBER(Matching_Engine!$AL$70),Lookup_Lists!$D$134,0)),0))</f>
        <v>72</v>
      </c>
      <c r="AN70" s="42">
        <f>IF(ISNUMBER(Matching_Engine!$AM$70),1,0)</f>
        <v>0</v>
      </c>
      <c r="AO70" s="65" t="str">
        <f>IF(NOT(ISNUMBER('[1]#REF'!$BT$22)),"N/A",MIN(100,MAX(0,'[1]#REF'!$BT$22)))</f>
        <v>N/A</v>
      </c>
      <c r="AP70" s="65" t="str">
        <f>IF(NOT(ISNUMBER('[1]#REF'!$BU$22)),"N/A",MIN(100,MAX(0,'[1]#REF'!$BU$22)))</f>
        <v>N/A</v>
      </c>
      <c r="AQ70" s="65" t="e">
        <f>IF('[1]#REF'!$I$22="Yes",Lookup_Lists!$D$326,IF('[1]#REF'!$I$22="No",Lookup_Lists!$D$327,"N/A"))</f>
        <v>#REF!</v>
      </c>
      <c r="AR70" s="65" t="str">
        <f>IF(NOT(ISNUMBER('[1]#REF'!$BQ$22)),"N/A",MAX(0,ROUND(100-'[1]#REF'!$BQ$22/Lookup_Lists!$D$328*100,0)))</f>
        <v>N/A</v>
      </c>
      <c r="AS70" s="65" t="e">
        <f>IF(NOT(AND(ISTEXT('[1]#REF'!$BV$22),'[1]#REF'!$BV$22&lt;&gt;"N/A")),"N/A",'[1]#REF'!$BV$22)</f>
        <v>#REF!</v>
      </c>
      <c r="AT70" s="63" t="str">
        <f ca="1">IF((IF(ISNUMBER(Matching_Engine!$AO$70),Lookup_Lists!$D$322,0)+IF(ISNUMBER(Matching_Engine!$AP$70),Lookup_Lists!$D$323,0)+IF(ISNUMBER(Matching_Engine!$AQ$70),Lookup_Lists!$D$324,0)+IF(ISNUMBER(Matching_Engine!$AR$70),Lookup_Lists!$D$325,0))=0,"N/A",ROUND((IF(ISNUMBER(Matching_Engine!$AO$70),Matching_Engine!$AO$70*Lookup_Lists!$D$322,0)+IF(ISNUMBER(Matching_Engine!$AP$70),Matching_Engine!$AP$70*Lookup_Lists!$D$323,0)+IF(ISNUMBER(Matching_Engine!$AQ$70),Matching_Engine!$AQ$70*Lookup_Lists!$D$324,0)+IF(ISNUMBER(Matching_Engine!$AR$70),Matching_Engine!$AR$70*Lookup_Lists!$D$325,0))/(IF(ISNUMBER(Matching_Engine!$AO$70),Lookup_Lists!$D$322,0)+IF(ISNUMBER(Matching_Engine!$AP$70),Lookup_Lists!$D$323,0)+IF(ISNUMBER(Matching_Engine!$AQ$70),Lookup_Lists!$D$324,0)+IF(ISNUMBER(Matching_Engine!$AR$70),Lookup_Lists!$D$325,0)),0))</f>
        <v>N/A</v>
      </c>
      <c r="AU70" s="42">
        <f>IF(ISNUMBER(Matching_Engine!$AT$70),1,0)</f>
        <v>1</v>
      </c>
      <c r="AV70" s="42" t="str">
        <f>IF(NOT(ISNUMBER(Matching_Engine!$AT$70)),"Not Screened",IF(Matching_Engine!$AT$70&gt;=Lookup_Lists!$D$329,"Low Risk",IF(Matching_Engine!$AT$70&gt;=Lookup_Lists!$D$330,"Moderate Risk",IF(Matching_Engine!$AT$70&gt;=Lookup_Lists!$D$331,"Elevated Risk","High Risk"))))</f>
        <v>Low Risk</v>
      </c>
      <c r="AW70" s="42" t="e">
        <f ca="1">IF(NOT(ISNUMBER(Matching_Engine!$AT$70)),"No integrity signal: no audience-analysis row for this account.","Integrity screen only — no content-risk reading exists (comments_analysis: 0 rows). "&amp;IF(ISNUMBER(Matching_Engine!$AO$70),"Authenticity "&amp;Matching_Engine!$AO$70&amp;". ","Authenticity N/A. ")&amp;IF(ISNUMBER(Matching_Engine!$AP$70),"Follower quality "&amp;Matching_Engine!$AP$70&amp;". ","Follower quality N/A. ")&amp;IF('[1]#REF'!$I$22="Yes","Platform-verified.","Not platform-verified."))</f>
        <v>#REF!</v>
      </c>
      <c r="AX70" s="65">
        <f>Matching_Engine!$N$70*Lookup_Lists!$D$104+Matching_Engine!$T$70*Lookup_Lists!$D$105+Matching_Engine!$Z$70*Lookup_Lists!$D$106+Matching_Engine!$AF$70*Lookup_Lists!$D$107+Matching_Engine!$AN$70*Lookup_Lists!$D$108+Matching_Engine!$AU$70*Lookup_Lists!$D$109</f>
        <v>7609.5</v>
      </c>
      <c r="AY70" s="74" t="e">
        <f ca="1">IF(Matching_Engine!$AX$70=0,"N/A",ROUND((IF(Matching_Engine!$N$70=1,Matching_Engine!$M$70*Lookup_Lists!$D$104,0)+IF(Matching_Engine!$T$70=1,Matching_Engine!$S$70*Lookup_Lists!$D$105,0)+IF(Matching_Engine!$Z$70=1,Matching_Engine!$Y$70*Lookup_Lists!$D$106,0)+IF(Matching_Engine!$AF$70=1,Matching_Engine!$AE$70*Lookup_Lists!$D$107,0)+IF(Matching_Engine!$AN$70=1,Matching_Engine!$AM$70*Lookup_Lists!$D$108,0)+IF(Matching_Engine!$AU$70=1,Matching_Engine!$AT$70*Lookup_Lists!$D$109,0))/Matching_Engine!$AX$70,0))</f>
        <v>#VALUE!</v>
      </c>
      <c r="AZ70" s="42" t="str">
        <f ca="1">IF(NOT(ISNUMBER(Matching_Engine!$AY$70)),"Not Scored",IF(Matching_Engine!$AY$70&gt;=Lookup_Lists!$D$152,"Excellent Match",IF(Matching_Engine!$AY$70&gt;=Lookup_Lists!$D$153,"Strong Match",IF(Matching_Engine!$AY$70&gt;=Lookup_Lists!$D$154,"Good Match",IF(Matching_Engine!$AY$70&gt;=Lookup_Lists!$D$155,"Moderate Match","Low Match")))))</f>
        <v>Not Scored</v>
      </c>
      <c r="BA70" s="65" t="e">
        <f>'[1]#REF'!$BW$22</f>
        <v>#REF!</v>
      </c>
      <c r="BB70" s="42" t="e">
        <f>'[1]#REF'!$BX$22</f>
        <v>#REF!</v>
      </c>
      <c r="BC70" s="65">
        <f ca="1">IF(NOT(ISNUMBER(Matching_Engine!$AY$70)),-1,Matching_Engine!$AY$70*1000+8)</f>
        <v>-1</v>
      </c>
      <c r="BD70" s="42" t="e">
        <f>IF(AND(ISTEXT('[1]#REF'!$S$22),'[1]#REF'!$S$22&lt;&gt;"N/A"),'[1]#REF'!$S$22,"")&amp;" | "&amp;IF(AND(ISTEXT('[1]#REF'!$T$22),'[1]#REF'!$T$22&lt;&gt;"N/A"),'[1]#REF'!$T$22,"")&amp;" | "&amp;IF(AND(ISTEXT('[1]#REF'!$N$22),'[1]#REF'!$N$22&lt;&gt;"N/A"),'[1]#REF'!$N$22,"")&amp;" | "&amp;IF(AND(ISTEXT('[1]#REF'!$K$22),'[1]#REF'!$K$22&lt;&gt;"N/A"),'[1]#REF'!$K$22,"")&amp;" | "&amp;IF(AND(ISTEXT('[1]#REF'!$J$22),'[1]#REF'!$J$22&lt;&gt;"N/A"),'[1]#REF'!$J$22,"")</f>
        <v>#REF!</v>
      </c>
      <c r="BE70" s="42" t="e">
        <f>IF(AND(ISTEXT('[1]#REF'!$T$22),'[1]#REF'!$T$22&lt;&gt;"N/A"),'[1]#REF'!$T$22,"")&amp;" | "&amp;IF(AND(ISTEXT('[1]#REF'!$N$22),'[1]#REF'!$N$22&lt;&gt;"N/A"),'[1]#REF'!$N$22,"")&amp;" | "&amp;IF(AND(ISTEXT('[1]#REF'!$O$22),'[1]#REF'!$O$22&lt;&gt;"N/A"),'[1]#REF'!$O$22,"")&amp;" | "&amp;IF(AND(ISTEXT('[1]#REF'!$S$22),'[1]#REF'!$S$22&lt;&gt;"N/A"),'[1]#REF'!$S$22,"")</f>
        <v>#REF!</v>
      </c>
      <c r="BF70" s="42" t="e">
        <f>IF(AND(ISTEXT('[1]#REF'!$U$22),'[1]#REF'!$U$22&lt;&gt;"N/A"),'[1]#REF'!$U$22,"")</f>
        <v>#REF!</v>
      </c>
      <c r="BG70" s="42" t="str">
        <f>Matching_Engine!$A$70&amp;"|"&amp;Matching_Engine!$C$70</f>
        <v>BRAND-C|KOL-05</v>
      </c>
    </row>
    <row r="71" spans="1:59">
      <c r="A71" s="64" t="s">
        <v>2529</v>
      </c>
      <c r="B71" s="42" t="str">
        <f>Brand_Profile!$G$6</f>
        <v>Active Value</v>
      </c>
      <c r="C71" s="42" t="e">
        <f>'[1]#REF'!$A$23</f>
        <v>#REF!</v>
      </c>
      <c r="D71" s="42" t="e">
        <f>'[1]#REF'!$C$23</f>
        <v>#REF!</v>
      </c>
      <c r="E71" s="42" t="e">
        <f>'[1]#REF'!$D$23</f>
        <v>#REF!</v>
      </c>
      <c r="F71" s="42" t="e">
        <f>'[1]#REF'!$E$23</f>
        <v>#REF!</v>
      </c>
      <c r="G71" s="42" t="e">
        <f>'[1]#REF'!$K$23</f>
        <v>#REF!</v>
      </c>
      <c r="H71" s="72" t="e">
        <f>'[1]#REF'!$G$23</f>
        <v>#REF!</v>
      </c>
      <c r="I71" s="73" t="e">
        <f>'[1]#REF'!$BG$23</f>
        <v>#REF!</v>
      </c>
      <c r="J71" s="65" t="e">
        <f>IF(NOT(AND(ISTEXT('[1]#REF'!$K$23),'[1]#REF'!$K$23&lt;&gt;"N/A")),Lookup_Lists!$D$150,IF(Brand_Profile!$G$7='[1]#REF'!$K$23,100,IFERROR(INDEX(Lookup_Lists!$B$349:$J$357,MATCH(Brand_Profile!$G$7,Lookup_Lists!$A$349:$A$357,0),MATCH('[1]#REF'!$K$23,Lookup_Lists!$B$348:$J$348,0)),Lookup_Lists!$D$151)))</f>
        <v>#REF!</v>
      </c>
      <c r="K71" s="65" t="e">
        <f>IF(LEN(TRIM(SUBSTITUTE(Matching_Engine!$BD$71,"|","")))=0,"N/A",IF(Brand_Profile!$G$47=0,Lookup_Lists!$D$150,ROUND((IF(Brand_Profile!$G$41="",0,IF(ISNUMBER(SEARCH(Brand_Profile!$G$41,Matching_Engine!$BD$71)),1,0))+IF(Brand_Profile!$G$42="",0,IF(ISNUMBER(SEARCH(Brand_Profile!$G$42,Matching_Engine!$BD$71)),1,0))+IF(Brand_Profile!$G$43="",0,IF(ISNUMBER(SEARCH(Brand_Profile!$G$43,Matching_Engine!$BD$71)),1,0))+IF(Brand_Profile!$G$44="",0,IF(ISNUMBER(SEARCH(Brand_Profile!$G$44,Matching_Engine!$BD$71)),1,0))+IF(Brand_Profile!$G$45="",0,IF(ISNUMBER(SEARCH(Brand_Profile!$G$45,Matching_Engine!$BD$71)),1,0))+IF(Brand_Profile!$G$46="",0,IF(ISNUMBER(SEARCH(Brand_Profile!$G$46,Matching_Engine!$BD$71)),1,0)))/Brand_Profile!$G$47*100,0)))</f>
        <v>#VALUE!</v>
      </c>
      <c r="L71" s="65" t="e">
        <f>IF(NOT(AND(ISTEXT('[1]#REF'!$U$23),'[1]#REF'!$U$23&lt;&gt;"N/A")),"N/A",IF(Brand_Profile!$G$53=0,Lookup_Lists!$D$150,ROUND((IF(Brand_Profile!$G$48="",0,IF(ISNUMBER(SEARCH(Brand_Profile!$G$48,Matching_Engine!$BF$71)),1,0))+IF(Brand_Profile!$G$49="",0,IF(ISNUMBER(SEARCH(Brand_Profile!$G$49,Matching_Engine!$BF$71)),1,0))+IF(Brand_Profile!$G$50="",0,IF(ISNUMBER(SEARCH(Brand_Profile!$G$50,Matching_Engine!$BF$71)),1,0))+IF(Brand_Profile!$G$51="",0,IF(ISNUMBER(SEARCH(Brand_Profile!$G$51,Matching_Engine!$BF$71)),1,0))+IF(Brand_Profile!$G$52="",0,IF(ISNUMBER(SEARCH(Brand_Profile!$G$52,Matching_Engine!$BF$71)),1,0)))/Brand_Profile!$G$53*100,0)))</f>
        <v>#REF!</v>
      </c>
      <c r="M71" s="63" t="str">
        <f>IF((IF(ISNUMBER(Matching_Engine!$J$71),Lookup_Lists!$D$332,0)+IF(ISNUMBER(Matching_Engine!$K$71),Lookup_Lists!$D$333,0)+IF(ISNUMBER(Matching_Engine!$L$71),Lookup_Lists!$D$334,0))=0,"N/A",ROUND((IF(ISNUMBER(Matching_Engine!$J$71),Matching_Engine!$J$71*Lookup_Lists!$D$332,0)+IF(ISNUMBER(Matching_Engine!$K$71),Matching_Engine!$K$71*Lookup_Lists!$D$333,0)+IF(ISNUMBER(Matching_Engine!$L$71),Matching_Engine!$L$71*Lookup_Lists!$D$334,0))/(IF(ISNUMBER(Matching_Engine!$J$71),Lookup_Lists!$D$332,0)+IF(ISNUMBER(Matching_Engine!$K$71),Lookup_Lists!$D$333,0)+IF(ISNUMBER(Matching_Engine!$L$71),Lookup_Lists!$D$334,0)),0))</f>
        <v>N/A</v>
      </c>
      <c r="N71" s="42">
        <f>IF(ISNUMBER(Matching_Engine!$M$71),1,0)</f>
        <v>1</v>
      </c>
      <c r="O71" s="65" t="str">
        <f ca="1">IF(NOT(ISNUMBER(IFERROR(INDEX('[1]#REF'!$V$23:'[1]#REF'!$Z$23,1,MATCH(Brand_Profile!$G$11,Lookup_Lists!$F$6:$F$10,0)),""))),"N/A",MIN(100,ROUND((IFERROR(INDEX('[1]#REF'!$V$23:'[1]#REF'!$Z$23,1,MATCH(Brand_Profile!$G$11,Lookup_Lists!$F$6:$F$10,0)),"")+0.5*IF(ISNUMBER(IFERROR(INDEX('[1]#REF'!$V$23:'[1]#REF'!$Z$23,1,MATCH(Brand_Profile!$G$12,Lookup_Lists!$F$6:$F$10,0)),"")),IFERROR(INDEX('[1]#REF'!$V$23:'[1]#REF'!$Z$23,1,MATCH(Brand_Profile!$G$12,Lookup_Lists!$F$6:$F$10,0)),""),0))/Lookup_Lists!$D$142*100,0)))</f>
        <v>N/A</v>
      </c>
      <c r="P71" s="65" t="str">
        <f>IF(Brand_Profile!$G$13="Any",100,IF(NOT(ISNUMBER('[1]#REF'!$AA$23)),"N/A",IF(Brand_Profile!$G$13="Female",MIN(100,ROUND('[1]#REF'!$AA$23/Lookup_Lists!$D$143*100,0)),IF(Brand_Profile!$G$13="Male",MIN(100,ROUND(IF(ISNUMBER('[1]#REF'!$AB$23),'[1]#REF'!$AB$23,100-'[1]#REF'!$AA$23)/Lookup_Lists!$D$143*100,0)),MAX(0,ROUND(100-ABS('[1]#REF'!$AA$23-50)*2,0))))))</f>
        <v>N/A</v>
      </c>
      <c r="Q71" s="65" t="str">
        <f>IF((IF(ISNUMBER(IF(NOT(ISNUMBER('[1]#REF'!$AE$23)),"N/A",IF('[1]#REF'!$AD$23&lt;&gt;Brand_Profile!$G$14,Lookup_Lists!$D$151,MIN(100,ROUND('[1]#REF'!$AE$23/Lookup_Lists!$D$316*100,0))))),Lookup_Lists!$D$118,0)+IF(ISNUMBER(IF(NOT(ISNUMBER('[1]#REF'!$AM$23)),"N/A",MIN(100,ROUND((IF('[1]#REF'!$AG$23=Brand_Profile!$G$15,IF(ISNUMBER('[1]#REF'!$AH$23),'[1]#REF'!$AH$23,0),0)+IF('[1]#REF'!$AI$23=Brand_Profile!$G$15,IF(ISNUMBER('[1]#REF'!$AJ$23),'[1]#REF'!$AJ$23,0),0)+IF('[1]#REF'!$AK$23=Brand_Profile!$G$15,IF(ISNUMBER('[1]#REF'!$AL$23),'[1]#REF'!$AL$23,0),0))/Lookup_Lists!$D$317*100,0)))),Lookup_Lists!$D$120,0))=0,"N/A",ROUND((IF(ISNUMBER(IF(NOT(ISNUMBER('[1]#REF'!$AE$23)),"N/A",IF('[1]#REF'!$AD$23&lt;&gt;Brand_Profile!$G$14,Lookup_Lists!$D$151,MIN(100,ROUND('[1]#REF'!$AE$23/Lookup_Lists!$D$316*100,0))))),IF(NOT(ISNUMBER('[1]#REF'!$AE$23)),"N/A",IF('[1]#REF'!$AD$23&lt;&gt;Brand_Profile!$G$14,Lookup_Lists!$D$151,MIN(100,ROUND('[1]#REF'!$AE$23/Lookup_Lists!$D$316*100,0))))*Lookup_Lists!$D$118,0)+IF(ISNUMBER(IF(NOT(ISNUMBER('[1]#REF'!$AM$23)),"N/A",MIN(100,ROUND((IF('[1]#REF'!$AG$23=Brand_Profile!$G$15,IF(ISNUMBER('[1]#REF'!$AH$23),'[1]#REF'!$AH$23,0),0)+IF('[1]#REF'!$AI$23=Brand_Profile!$G$15,IF(ISNUMBER('[1]#REF'!$AJ$23),'[1]#REF'!$AJ$23,0),0)+IF('[1]#REF'!$AK$23=Brand_Profile!$G$15,IF(ISNUMBER('[1]#REF'!$AL$23),'[1]#REF'!$AL$23,0),0))/Lookup_Lists!$D$317*100,0)))),IF(NOT(ISNUMBER('[1]#REF'!$AM$23)),"N/A",MIN(100,ROUND((IF('[1]#REF'!$AG$23=Brand_Profile!$G$15,IF(ISNUMBER('[1]#REF'!$AH$23),'[1]#REF'!$AH$23,0),0)+IF('[1]#REF'!$AI$23=Brand_Profile!$G$15,IF(ISNUMBER('[1]#REF'!$AJ$23),'[1]#REF'!$AJ$23,0),0)+IF('[1]#REF'!$AK$23=Brand_Profile!$G$15,IF(ISNUMBER('[1]#REF'!$AL$23),'[1]#REF'!$AL$23,0),0))/Lookup_Lists!$D$317*100,0)))*Lookup_Lists!$D$120,0))/(IF(ISNUMBER(IF(NOT(ISNUMBER('[1]#REF'!$AE$23)),"N/A",IF('[1]#REF'!$AD$23&lt;&gt;Brand_Profile!$G$14,Lookup_Lists!$D$151,MIN(100,ROUND('[1]#REF'!$AE$23/Lookup_Lists!$D$316*100,0))))),Lookup_Lists!$D$118,0)+IF(ISNUMBER(IF(NOT(ISNUMBER('[1]#REF'!$AM$23)),"N/A",MIN(100,ROUND((IF('[1]#REF'!$AG$23=Brand_Profile!$G$15,IF(ISNUMBER('[1]#REF'!$AH$23),'[1]#REF'!$AH$23,0),0)+IF('[1]#REF'!$AI$23=Brand_Profile!$G$15,IF(ISNUMBER('[1]#REF'!$AJ$23),'[1]#REF'!$AJ$23,0),0)+IF('[1]#REF'!$AK$23=Brand_Profile!$G$15,IF(ISNUMBER('[1]#REF'!$AL$23),'[1]#REF'!$AL$23,0),0))/Lookup_Lists!$D$317*100,0)))),Lookup_Lists!$D$120,0)),0))</f>
        <v>N/A</v>
      </c>
      <c r="R71" s="65" t="str">
        <f>IF(NOT(ISNUMBER('[1]#REF'!$AN$23)),"N/A",MIN(100,ROUND((IF(ISNUMBER('[1]#REF'!$AO$23),'[1]#REF'!$AO$23*Brand_Profile!$G$17,0)+IF(ISNUMBER('[1]#REF'!$AP$23),'[1]#REF'!$AP$23*Brand_Profile!$G$18,0)+IF(ISNUMBER('[1]#REF'!$AQ$23),'[1]#REF'!$AQ$23*Brand_Profile!$G$19,0)+IF(ISNUMBER('[1]#REF'!$AR$23),'[1]#REF'!$AR$23*Brand_Profile!$G$20,0)+IF(ISNUMBER('[1]#REF'!$AS$23),'[1]#REF'!$AS$23*Brand_Profile!$G$21,0)+IF(ISNUMBER('[1]#REF'!$AT$23),'[1]#REF'!$AT$23*Brand_Profile!$G$22,0)+IF(ISNUMBER('[1]#REF'!$AU$23),'[1]#REF'!$AU$23*Brand_Profile!$G$23,0)+IF(ISNUMBER('[1]#REF'!$AV$23),'[1]#REF'!$AV$23*Brand_Profile!$G$24,0)+IF(ISNUMBER('[1]#REF'!$AW$23),'[1]#REF'!$AW$23*Brand_Profile!$G$25,0)+IF(ISNUMBER('[1]#REF'!$AX$23),'[1]#REF'!$AX$23*Brand_Profile!$G$26,0)+IF(ISNUMBER('[1]#REF'!$AY$23),'[1]#REF'!$AY$23*Brand_Profile!$G$27,0)+IF(ISNUMBER('[1]#REF'!$AZ$23),'[1]#REF'!$AZ$23*Brand_Profile!$G$28,0)+IF(ISNUMBER('[1]#REF'!$BA$23),'[1]#REF'!$BA$23*Brand_Profile!$G$29,0)+IF(ISNUMBER('[1]#REF'!$BB$23),'[1]#REF'!$BB$23*Brand_Profile!$G$30,0)+IF(ISNUMBER('[1]#REF'!$BC$23),'[1]#REF'!$BC$23*Brand_Profile!$G$31,0)+IF(ISNUMBER('[1]#REF'!$BD$23),'[1]#REF'!$BD$23*Brand_Profile!$G$32,0)+IF(ISNUMBER('[1]#REF'!$BE$23),'[1]#REF'!$BE$23*Brand_Profile!$G$33,0)+IF(ISNUMBER('[1]#REF'!$BF$23),'[1]#REF'!$BF$23*Brand_Profile!$G$34,0))/Lookup_Lists!$D$318*100,0)))</f>
        <v>N/A</v>
      </c>
      <c r="S71" s="63">
        <f ca="1">IF((IF(ISNUMBER(Matching_Engine!$O$71),Lookup_Lists!$D$113,0)+IF(ISNUMBER(Matching_Engine!$P$71),Lookup_Lists!$D$114,0)+IF(ISNUMBER(Matching_Engine!$Q$71),Lookup_Lists!$D$115,0)+IF(ISNUMBER(Matching_Engine!$R$71),Lookup_Lists!$D$116,0))=0,"N/A",ROUND((IF(ISNUMBER(Matching_Engine!$O$71),Matching_Engine!$O$71*Lookup_Lists!$D$113,0)+IF(ISNUMBER(Matching_Engine!$P$71),Matching_Engine!$P$71*Lookup_Lists!$D$114,0)+IF(ISNUMBER(Matching_Engine!$Q$71),Matching_Engine!$Q$71*Lookup_Lists!$D$115,0)+IF(ISNUMBER(Matching_Engine!$R$71),Matching_Engine!$R$71*Lookup_Lists!$D$116,0))/(IF(ISNUMBER(Matching_Engine!$O$71),Lookup_Lists!$D$113,0)+IF(ISNUMBER(Matching_Engine!$P$71),Lookup_Lists!$D$114,0)+IF(ISNUMBER(Matching_Engine!$Q$71),Lookup_Lists!$D$115,0)+IF(ISNUMBER(Matching_Engine!$R$71),Lookup_Lists!$D$116,0)),0))</f>
        <v>71</v>
      </c>
      <c r="T71" s="42">
        <f ca="1">IF(ISNUMBER(Matching_Engine!$S$71),1,0)</f>
        <v>1</v>
      </c>
      <c r="U71" s="65" t="e">
        <f>IF(NOT(AND(ISTEXT('[1]#REF'!$M$23),'[1]#REF'!$M$23&lt;&gt;"N/A")),Lookup_Lists!$D$150,IF(Brand_Profile!$G$7='[1]#REF'!$M$23,100,IFERROR(INDEX(Lookup_Lists!$B$349:$J$357,MATCH(Brand_Profile!$G$7,Lookup_Lists!$A$349:$A$357,0),MATCH('[1]#REF'!$M$23,Lookup_Lists!$B$348:$J$348,0)),Lookup_Lists!$D$151)))</f>
        <v>#REF!</v>
      </c>
      <c r="V71" s="65" t="e">
        <f>IF(NOT(AND(ISTEXT('[1]#REF'!$P$23),'[1]#REF'!$P$23&lt;&gt;"N/A")),"N/A",IFERROR(INDEX(Lookup_Lists!$B$349:$J$357,MATCH(Brand_Profile!$G$7,Lookup_Lists!$A$349:$A$357,0),MATCH('[1]#REF'!$P$23,Lookup_Lists!$B$348:$J$348,0)),Lookup_Lists!$D$151))</f>
        <v>#REF!</v>
      </c>
      <c r="W71" s="65" t="e">
        <f>IF(LEN(TRIM(SUBSTITUTE(Matching_Engine!$BE$71,"|","")))=0,"N/A",IF(Brand_Profile!$G$60=0,Lookup_Lists!$D$150,ROUND((IF(Brand_Profile!$G$54="",0,IF(ISNUMBER(SEARCH(Brand_Profile!$G$54,Matching_Engine!$BE$71)),1,0))+IF(Brand_Profile!$G$55="",0,IF(ISNUMBER(SEARCH(Brand_Profile!$G$55,Matching_Engine!$BE$71)),1,0))+IF(Brand_Profile!$G$56="",0,IF(ISNUMBER(SEARCH(Brand_Profile!$G$56,Matching_Engine!$BE$71)),1,0))+IF(Brand_Profile!$G$57="",0,IF(ISNUMBER(SEARCH(Brand_Profile!$G$57,Matching_Engine!$BE$71)),1,0))+IF(Brand_Profile!$G$58="",0,IF(ISNUMBER(SEARCH(Brand_Profile!$G$58,Matching_Engine!$BE$71)),1,0))+IF(Brand_Profile!$G$59="",0,IF(ISNUMBER(SEARCH(Brand_Profile!$G$59,Matching_Engine!$BE$71)),1,0)))/Brand_Profile!$G$60*100,0)))</f>
        <v>#VALUE!</v>
      </c>
      <c r="X71" s="65" t="e">
        <f>IF(NOT(AND(ISTEXT('[1]#REF'!$Q$23),'[1]#REF'!$Q$23&lt;&gt;"N/A")),"N/A",Lookup_Lists!$D$150)</f>
        <v>#REF!</v>
      </c>
      <c r="Y71" s="63">
        <f>IF((IF(ISNUMBER(Matching_Engine!$U$71),Lookup_Lists!$D$335,0)+IF(ISNUMBER(Matching_Engine!$V$71),Lookup_Lists!$D$122,0)+IF(ISNUMBER(Matching_Engine!$W$71),Lookup_Lists!$D$336,0)+IF(ISNUMBER(Matching_Engine!$X$71),Lookup_Lists!$D$124,0))=0,"N/A",ROUND((IF(ISNUMBER(Matching_Engine!$U$71),Matching_Engine!$U$71*Lookup_Lists!$D$335,0)+IF(ISNUMBER(Matching_Engine!$V$71),Matching_Engine!$V$71*Lookup_Lists!$D$122,0)+IF(ISNUMBER(Matching_Engine!$W$71),Matching_Engine!$W$71*Lookup_Lists!$D$336,0)+IF(ISNUMBER(Matching_Engine!$X$71),Matching_Engine!$X$71*Lookup_Lists!$D$124,0))/(IF(ISNUMBER(Matching_Engine!$U$71),Lookup_Lists!$D$335,0)+IF(ISNUMBER(Matching_Engine!$V$71),Lookup_Lists!$D$122,0)+IF(ISNUMBER(Matching_Engine!$W$71),Lookup_Lists!$D$336,0)+IF(ISNUMBER(Matching_Engine!$X$71),Lookup_Lists!$D$124,0)),0))</f>
        <v>53</v>
      </c>
      <c r="Z71" s="42">
        <f>IF(ISNUMBER(Matching_Engine!$Y$71),1,0)</f>
        <v>1</v>
      </c>
      <c r="AA71" s="65" t="e">
        <f>IF(NOT(AND(ISTEXT('[1]#REF'!$Q$23),'[1]#REF'!$Q$23&lt;&gt;"N/A")),"N/A",Lookup_Lists!$D$150)</f>
        <v>#REF!</v>
      </c>
      <c r="AB71" s="65" t="e">
        <f>IF(NOT(AND(ISTEXT('[1]#REF'!$Q$23),'[1]#REF'!$Q$23&lt;&gt;"N/A")),"N/A",Lookup_Lists!$D$150)</f>
        <v>#REF!</v>
      </c>
      <c r="AC71" s="65" t="str">
        <f t="shared" si="1"/>
        <v>N/A</v>
      </c>
      <c r="AD71" s="65" t="e">
        <f>IF(NOT(AND(ISTEXT('[1]#REF'!$Q$23),'[1]#REF'!$Q$23&lt;&gt;"N/A")),"N/A",Lookup_Lists!$D$150)</f>
        <v>#REF!</v>
      </c>
      <c r="AE71" s="63">
        <f>IF((IF(ISNUMBER(Matching_Engine!$AA$71),Lookup_Lists!$D$125,0)+IF(ISNUMBER(Matching_Engine!$AB$71),Lookup_Lists!$D$126,0)+IF(ISNUMBER(Matching_Engine!$AC$71),Lookup_Lists!$D$127,0)+IF(ISNUMBER(Matching_Engine!$AD$71),Lookup_Lists!$D$128,0))=0,"N/A",ROUND((IF(ISNUMBER(Matching_Engine!$AA$71),Matching_Engine!$AA$71*Lookup_Lists!$D$125,0)+IF(ISNUMBER(Matching_Engine!$AB$71),Matching_Engine!$AB$71*Lookup_Lists!$D$126,0)+IF(ISNUMBER(Matching_Engine!$AC$71),Matching_Engine!$AC$71*Lookup_Lists!$D$127,0)+IF(ISNUMBER(Matching_Engine!$AD$71),Matching_Engine!$AD$71*Lookup_Lists!$D$128,0))/(IF(ISNUMBER(Matching_Engine!$AA$71),Lookup_Lists!$D$125,0)+IF(ISNUMBER(Matching_Engine!$AB$71),Lookup_Lists!$D$126,0)+IF(ISNUMBER(Matching_Engine!$AC$71),Lookup_Lists!$D$127,0)+IF(ISNUMBER(Matching_Engine!$AD$71),Lookup_Lists!$D$128,0)),0))</f>
        <v>67</v>
      </c>
      <c r="AF71" s="42">
        <f>IF(ISNUMBER(Matching_Engine!$AE$71),1,0)</f>
        <v>1</v>
      </c>
      <c r="AG71" s="65" t="str">
        <f>IF(NOT(ISNUMBER('[1]#REF'!$BG$23)),"N/A",MIN(100,ROUND('[1]#REF'!$BG$23/IFERROR(INDEX(Lookup_Lists!$B$340:$B$344,MATCH('[1]#REF'!$H$23,Lookup_Lists!$A$340:$A$344,0)),Lookup_Lists!$D$141)*100,0)))</f>
        <v>N/A</v>
      </c>
      <c r="AH71" s="65" t="str">
        <f>IF(NOT(ISNUMBER('[1]#REF'!$BS$23)),"N/A",MIN(100,MAX(0,'[1]#REF'!$BS$23)))</f>
        <v>N/A</v>
      </c>
      <c r="AI71" s="65" t="e">
        <f>IF(OR(NOT(ISNUMBER('[1]#REF'!$BM$23)),NOT(ISNUMBER('[1]#REF'!$BN$23)),'[1]#REF'!$BN$23&lt;Lookup_Lists!$D$320),"N/A",MIN(100,ROUND('[1]#REF'!$BM$23/Lookup_Lists!$D$319*100,0)))</f>
        <v>#REF!</v>
      </c>
      <c r="AJ71" s="65" t="str">
        <f>IF(NOT(ISNUMBER('[1]#REF'!$BR$23)),"N/A",'[1]#REF'!$BR$23)</f>
        <v>N/A</v>
      </c>
      <c r="AK71" s="65" t="str">
        <f>IF(NOT(ISNUMBER('[1]#REF'!$BK$23)),"N/A",MIN(100,ROUND('[1]#REF'!$BK$23/Lookup_Lists!$D$321*100,0)))</f>
        <v>N/A</v>
      </c>
      <c r="AL71" s="65" t="str">
        <f>IF(NOT(ISNUMBER('[1]#REF'!$BP$23)),"N/A",MIN(100,MAX(0,ROUND(('[1]#REF'!$BP$23+2)/(Lookup_Lists!$D$145+2)*100,0))))</f>
        <v>N/A</v>
      </c>
      <c r="AM71" s="63">
        <f>IF((IF(ISNUMBER(Matching_Engine!$AG$71),Lookup_Lists!$D$129,0)+IF(ISNUMBER(Matching_Engine!$AH$71),Lookup_Lists!$D$130,0)+IF(ISNUMBER(Matching_Engine!$AI$71),Lookup_Lists!$D$131,0)+IF(ISNUMBER(Matching_Engine!$AJ$71),Lookup_Lists!$D$132,0)+IF(ISNUMBER(Matching_Engine!$AK$71),Lookup_Lists!$D$133,0)+IF(ISNUMBER(Matching_Engine!$AL$71),Lookup_Lists!$D$134,0))=0,"N/A",ROUND((IF(ISNUMBER(Matching_Engine!$AG$71),Matching_Engine!$AG$71*Lookup_Lists!$D$129,0)+IF(ISNUMBER(Matching_Engine!$AH$71),Matching_Engine!$AH$71*Lookup_Lists!$D$130,0)+IF(ISNUMBER(Matching_Engine!$AI$71),Matching_Engine!$AI$71*Lookup_Lists!$D$131,0)+IF(ISNUMBER(Matching_Engine!$AJ$71),Matching_Engine!$AJ$71*Lookup_Lists!$D$132,0)+IF(ISNUMBER(Matching_Engine!$AK$71),Matching_Engine!$AK$71*Lookup_Lists!$D$133,0)+IF(ISNUMBER(Matching_Engine!$AL$71),Matching_Engine!$AL$71*Lookup_Lists!$D$134,0))/(IF(ISNUMBER(Matching_Engine!$AG$71),Lookup_Lists!$D$129,0)+IF(ISNUMBER(Matching_Engine!$AH$71),Lookup_Lists!$D$130,0)+IF(ISNUMBER(Matching_Engine!$AI$71),Lookup_Lists!$D$131,0)+IF(ISNUMBER(Matching_Engine!$AJ$71),Lookup_Lists!$D$132,0)+IF(ISNUMBER(Matching_Engine!$AK$71),Lookup_Lists!$D$133,0)+IF(ISNUMBER(Matching_Engine!$AL$71),Lookup_Lists!$D$134,0)),0))</f>
        <v>65</v>
      </c>
      <c r="AN71" s="42">
        <f>IF(ISNUMBER(Matching_Engine!$AM$71),1,0)</f>
        <v>0</v>
      </c>
      <c r="AO71" s="65" t="str">
        <f>IF(NOT(ISNUMBER('[1]#REF'!$BT$23)),"N/A",MIN(100,MAX(0,'[1]#REF'!$BT$23)))</f>
        <v>N/A</v>
      </c>
      <c r="AP71" s="65" t="str">
        <f>IF(NOT(ISNUMBER('[1]#REF'!$BU$23)),"N/A",MIN(100,MAX(0,'[1]#REF'!$BU$23)))</f>
        <v>N/A</v>
      </c>
      <c r="AQ71" s="65" t="e">
        <f>IF('[1]#REF'!$I$23="Yes",Lookup_Lists!$D$326,IF('[1]#REF'!$I$23="No",Lookup_Lists!$D$327,"N/A"))</f>
        <v>#REF!</v>
      </c>
      <c r="AR71" s="65" t="str">
        <f>IF(NOT(ISNUMBER('[1]#REF'!$BQ$23)),"N/A",MAX(0,ROUND(100-'[1]#REF'!$BQ$23/Lookup_Lists!$D$328*100,0)))</f>
        <v>N/A</v>
      </c>
      <c r="AS71" s="65" t="e">
        <f>IF(NOT(AND(ISTEXT('[1]#REF'!$BV$23),'[1]#REF'!$BV$23&lt;&gt;"N/A")),"N/A",'[1]#REF'!$BV$23)</f>
        <v>#REF!</v>
      </c>
      <c r="AT71" s="63" t="str">
        <f ca="1">IF((IF(ISNUMBER(Matching_Engine!$AO$71),Lookup_Lists!$D$322,0)+IF(ISNUMBER(Matching_Engine!$AP$71),Lookup_Lists!$D$323,0)+IF(ISNUMBER(Matching_Engine!$AQ$71),Lookup_Lists!$D$324,0)+IF(ISNUMBER(Matching_Engine!$AR$71),Lookup_Lists!$D$325,0))=0,"N/A",ROUND((IF(ISNUMBER(Matching_Engine!$AO$71),Matching_Engine!$AO$71*Lookup_Lists!$D$322,0)+IF(ISNUMBER(Matching_Engine!$AP$71),Matching_Engine!$AP$71*Lookup_Lists!$D$323,0)+IF(ISNUMBER(Matching_Engine!$AQ$71),Matching_Engine!$AQ$71*Lookup_Lists!$D$324,0)+IF(ISNUMBER(Matching_Engine!$AR$71),Matching_Engine!$AR$71*Lookup_Lists!$D$325,0))/(IF(ISNUMBER(Matching_Engine!$AO$71),Lookup_Lists!$D$322,0)+IF(ISNUMBER(Matching_Engine!$AP$71),Lookup_Lists!$D$323,0)+IF(ISNUMBER(Matching_Engine!$AQ$71),Lookup_Lists!$D$324,0)+IF(ISNUMBER(Matching_Engine!$AR$71),Lookup_Lists!$D$325,0)),0))</f>
        <v>N/A</v>
      </c>
      <c r="AU71" s="42">
        <f>IF(ISNUMBER(Matching_Engine!$AT$71),1,0)</f>
        <v>1</v>
      </c>
      <c r="AV71" s="42" t="str">
        <f>IF(NOT(ISNUMBER(Matching_Engine!$AT$71)),"Not Screened",IF(Matching_Engine!$AT$71&gt;=Lookup_Lists!$D$329,"Low Risk",IF(Matching_Engine!$AT$71&gt;=Lookup_Lists!$D$330,"Moderate Risk",IF(Matching_Engine!$AT$71&gt;=Lookup_Lists!$D$331,"Elevated Risk","High Risk"))))</f>
        <v>Low Risk</v>
      </c>
      <c r="AW71" s="42" t="e">
        <f ca="1">IF(NOT(ISNUMBER(Matching_Engine!$AT$71)),"No integrity signal: no audience-analysis row for this account.","Integrity screen only — no content-risk reading exists (comments_analysis: 0 rows). "&amp;IF(ISNUMBER(Matching_Engine!$AO$71),"Authenticity "&amp;Matching_Engine!$AO$71&amp;". ","Authenticity N/A. ")&amp;IF(ISNUMBER(Matching_Engine!$AP$71),"Follower quality "&amp;Matching_Engine!$AP$71&amp;". ","Follower quality N/A. ")&amp;IF('[1]#REF'!$I$23="Yes","Platform-verified.","Not platform-verified."))</f>
        <v>#REF!</v>
      </c>
      <c r="AX71" s="65">
        <f>Matching_Engine!$N$71*Lookup_Lists!$D$104+Matching_Engine!$T$71*Lookup_Lists!$D$105+Matching_Engine!$Z$71*Lookup_Lists!$D$106+Matching_Engine!$AF$71*Lookup_Lists!$D$107+Matching_Engine!$AN$71*Lookup_Lists!$D$108+Matching_Engine!$AU$71*Lookup_Lists!$D$109</f>
        <v>7279.5</v>
      </c>
      <c r="AY71" s="74" t="e">
        <f ca="1">IF(Matching_Engine!$AX$71=0,"N/A",ROUND((IF(Matching_Engine!$N$71=1,Matching_Engine!$M$71*Lookup_Lists!$D$104,0)+IF(Matching_Engine!$T$71=1,Matching_Engine!$S$71*Lookup_Lists!$D$105,0)+IF(Matching_Engine!$Z$71=1,Matching_Engine!$Y$71*Lookup_Lists!$D$106,0)+IF(Matching_Engine!$AF$71=1,Matching_Engine!$AE$71*Lookup_Lists!$D$107,0)+IF(Matching_Engine!$AN$71=1,Matching_Engine!$AM$71*Lookup_Lists!$D$108,0)+IF(Matching_Engine!$AU$71=1,Matching_Engine!$AT$71*Lookup_Lists!$D$109,0))/Matching_Engine!$AX$71,0))</f>
        <v>#VALUE!</v>
      </c>
      <c r="AZ71" s="42" t="str">
        <f ca="1">IF(NOT(ISNUMBER(Matching_Engine!$AY$71)),"Not Scored",IF(Matching_Engine!$AY$71&gt;=Lookup_Lists!$D$152,"Excellent Match",IF(Matching_Engine!$AY$71&gt;=Lookup_Lists!$D$153,"Strong Match",IF(Matching_Engine!$AY$71&gt;=Lookup_Lists!$D$154,"Good Match",IF(Matching_Engine!$AY$71&gt;=Lookup_Lists!$D$155,"Moderate Match","Low Match")))))</f>
        <v>Good Match</v>
      </c>
      <c r="BA71" s="65" t="e">
        <f>'[1]#REF'!$BW$23</f>
        <v>#REF!</v>
      </c>
      <c r="BB71" s="42" t="e">
        <f>'[1]#REF'!$BX$23</f>
        <v>#REF!</v>
      </c>
      <c r="BC71" s="65">
        <f ca="1">IF(NOT(ISNUMBER(Matching_Engine!$AY$71)),-1,Matching_Engine!$AY$71*1000+7)</f>
        <v>74007</v>
      </c>
      <c r="BD71" s="42" t="e">
        <f>IF(AND(ISTEXT('[1]#REF'!$S$23),'[1]#REF'!$S$23&lt;&gt;"N/A"),'[1]#REF'!$S$23,"")&amp;" | "&amp;IF(AND(ISTEXT('[1]#REF'!$T$23),'[1]#REF'!$T$23&lt;&gt;"N/A"),'[1]#REF'!$T$23,"")&amp;" | "&amp;IF(AND(ISTEXT('[1]#REF'!$N$23),'[1]#REF'!$N$23&lt;&gt;"N/A"),'[1]#REF'!$N$23,"")&amp;" | "&amp;IF(AND(ISTEXT('[1]#REF'!$K$23),'[1]#REF'!$K$23&lt;&gt;"N/A"),'[1]#REF'!$K$23,"")&amp;" | "&amp;IF(AND(ISTEXT('[1]#REF'!$J$23),'[1]#REF'!$J$23&lt;&gt;"N/A"),'[1]#REF'!$J$23,"")</f>
        <v>#REF!</v>
      </c>
      <c r="BE71" s="42" t="e">
        <f>IF(AND(ISTEXT('[1]#REF'!$T$23),'[1]#REF'!$T$23&lt;&gt;"N/A"),'[1]#REF'!$T$23,"")&amp;" | "&amp;IF(AND(ISTEXT('[1]#REF'!$N$23),'[1]#REF'!$N$23&lt;&gt;"N/A"),'[1]#REF'!$N$23,"")&amp;" | "&amp;IF(AND(ISTEXT('[1]#REF'!$O$23),'[1]#REF'!$O$23&lt;&gt;"N/A"),'[1]#REF'!$O$23,"")&amp;" | "&amp;IF(AND(ISTEXT('[1]#REF'!$S$23),'[1]#REF'!$S$23&lt;&gt;"N/A"),'[1]#REF'!$S$23,"")</f>
        <v>#REF!</v>
      </c>
      <c r="BF71" s="42" t="e">
        <f>IF(AND(ISTEXT('[1]#REF'!$U$23),'[1]#REF'!$U$23&lt;&gt;"N/A"),'[1]#REF'!$U$23,"")</f>
        <v>#REF!</v>
      </c>
      <c r="BG71" s="42" t="str">
        <f>Matching_Engine!$A$71&amp;"|"&amp;Matching_Engine!$C$71</f>
        <v>BRAND-C|KOL-06</v>
      </c>
    </row>
    <row r="72" spans="1:59">
      <c r="A72" s="64" t="s">
        <v>2529</v>
      </c>
      <c r="B72" s="42" t="str">
        <f>Brand_Profile!$G$6</f>
        <v>Active Value</v>
      </c>
      <c r="C72" s="42" t="e">
        <f>'[1]#REF'!$A$24</f>
        <v>#REF!</v>
      </c>
      <c r="D72" s="42" t="e">
        <f>'[1]#REF'!$C$24</f>
        <v>#REF!</v>
      </c>
      <c r="E72" s="42" t="e">
        <f>'[1]#REF'!$D$24</f>
        <v>#REF!</v>
      </c>
      <c r="F72" s="42" t="e">
        <f>'[1]#REF'!$E$24</f>
        <v>#REF!</v>
      </c>
      <c r="G72" s="42" t="e">
        <f>'[1]#REF'!$K$24</f>
        <v>#REF!</v>
      </c>
      <c r="H72" s="72" t="e">
        <f>'[1]#REF'!$G$24</f>
        <v>#REF!</v>
      </c>
      <c r="I72" s="73" t="e">
        <f>'[1]#REF'!$BG$24</f>
        <v>#REF!</v>
      </c>
      <c r="J72" s="65" t="e">
        <f>IF(NOT(AND(ISTEXT('[1]#REF'!$K$24),'[1]#REF'!$K$24&lt;&gt;"N/A")),Lookup_Lists!$D$150,IF(Brand_Profile!$G$7='[1]#REF'!$K$24,100,IFERROR(INDEX(Lookup_Lists!$B$349:$J$357,MATCH(Brand_Profile!$G$7,Lookup_Lists!$A$349:$A$357,0),MATCH('[1]#REF'!$K$24,Lookup_Lists!$B$348:$J$348,0)),Lookup_Lists!$D$151)))</f>
        <v>#REF!</v>
      </c>
      <c r="K72" s="65" t="e">
        <f>IF(LEN(TRIM(SUBSTITUTE(Matching_Engine!$BD$72,"|","")))=0,"N/A",IF(Brand_Profile!$G$47=0,Lookup_Lists!$D$150,ROUND((IF(Brand_Profile!$G$41="",0,IF(ISNUMBER(SEARCH(Brand_Profile!$G$41,Matching_Engine!$BD$72)),1,0))+IF(Brand_Profile!$G$42="",0,IF(ISNUMBER(SEARCH(Brand_Profile!$G$42,Matching_Engine!$BD$72)),1,0))+IF(Brand_Profile!$G$43="",0,IF(ISNUMBER(SEARCH(Brand_Profile!$G$43,Matching_Engine!$BD$72)),1,0))+IF(Brand_Profile!$G$44="",0,IF(ISNUMBER(SEARCH(Brand_Profile!$G$44,Matching_Engine!$BD$72)),1,0))+IF(Brand_Profile!$G$45="",0,IF(ISNUMBER(SEARCH(Brand_Profile!$G$45,Matching_Engine!$BD$72)),1,0))+IF(Brand_Profile!$G$46="",0,IF(ISNUMBER(SEARCH(Brand_Profile!$G$46,Matching_Engine!$BD$72)),1,0)))/Brand_Profile!$G$47*100,0)))</f>
        <v>#VALUE!</v>
      </c>
      <c r="L72" s="65" t="e">
        <f>IF(NOT(AND(ISTEXT('[1]#REF'!$U$24),'[1]#REF'!$U$24&lt;&gt;"N/A")),"N/A",IF(Brand_Profile!$G$53=0,Lookup_Lists!$D$150,ROUND((IF(Brand_Profile!$G$48="",0,IF(ISNUMBER(SEARCH(Brand_Profile!$G$48,Matching_Engine!$BF$72)),1,0))+IF(Brand_Profile!$G$49="",0,IF(ISNUMBER(SEARCH(Brand_Profile!$G$49,Matching_Engine!$BF$72)),1,0))+IF(Brand_Profile!$G$50="",0,IF(ISNUMBER(SEARCH(Brand_Profile!$G$50,Matching_Engine!$BF$72)),1,0))+IF(Brand_Profile!$G$51="",0,IF(ISNUMBER(SEARCH(Brand_Profile!$G$51,Matching_Engine!$BF$72)),1,0))+IF(Brand_Profile!$G$52="",0,IF(ISNUMBER(SEARCH(Brand_Profile!$G$52,Matching_Engine!$BF$72)),1,0)))/Brand_Profile!$G$53*100,0)))</f>
        <v>#REF!</v>
      </c>
      <c r="M72" s="63" t="str">
        <f>IF((IF(ISNUMBER(Matching_Engine!$J$72),Lookup_Lists!$D$332,0)+IF(ISNUMBER(Matching_Engine!$K$72),Lookup_Lists!$D$333,0)+IF(ISNUMBER(Matching_Engine!$L$72),Lookup_Lists!$D$334,0))=0,"N/A",ROUND((IF(ISNUMBER(Matching_Engine!$J$72),Matching_Engine!$J$72*Lookup_Lists!$D$332,0)+IF(ISNUMBER(Matching_Engine!$K$72),Matching_Engine!$K$72*Lookup_Lists!$D$333,0)+IF(ISNUMBER(Matching_Engine!$L$72),Matching_Engine!$L$72*Lookup_Lists!$D$334,0))/(IF(ISNUMBER(Matching_Engine!$J$72),Lookup_Lists!$D$332,0)+IF(ISNUMBER(Matching_Engine!$K$72),Lookup_Lists!$D$333,0)+IF(ISNUMBER(Matching_Engine!$L$72),Lookup_Lists!$D$334,0)),0))</f>
        <v>N/A</v>
      </c>
      <c r="N72" s="42">
        <f>IF(ISNUMBER(Matching_Engine!$M$72),1,0)</f>
        <v>1</v>
      </c>
      <c r="O72" s="65" t="str">
        <f ca="1">IF(NOT(ISNUMBER(IFERROR(INDEX('[1]#REF'!$V$24:'[1]#REF'!$Z$24,1,MATCH(Brand_Profile!$G$11,Lookup_Lists!$F$6:$F$10,0)),""))),"N/A",MIN(100,ROUND((IFERROR(INDEX('[1]#REF'!$V$24:'[1]#REF'!$Z$24,1,MATCH(Brand_Profile!$G$11,Lookup_Lists!$F$6:$F$10,0)),"")+0.5*IF(ISNUMBER(IFERROR(INDEX('[1]#REF'!$V$24:'[1]#REF'!$Z$24,1,MATCH(Brand_Profile!$G$12,Lookup_Lists!$F$6:$F$10,0)),"")),IFERROR(INDEX('[1]#REF'!$V$24:'[1]#REF'!$Z$24,1,MATCH(Brand_Profile!$G$12,Lookup_Lists!$F$6:$F$10,0)),""),0))/Lookup_Lists!$D$142*100,0)))</f>
        <v>N/A</v>
      </c>
      <c r="P72" s="65" t="str">
        <f>IF(Brand_Profile!$G$13="Any",100,IF(NOT(ISNUMBER('[1]#REF'!$AA$24)),"N/A",IF(Brand_Profile!$G$13="Female",MIN(100,ROUND('[1]#REF'!$AA$24/Lookup_Lists!$D$143*100,0)),IF(Brand_Profile!$G$13="Male",MIN(100,ROUND(IF(ISNUMBER('[1]#REF'!$AB$24),'[1]#REF'!$AB$24,100-'[1]#REF'!$AA$24)/Lookup_Lists!$D$143*100,0)),MAX(0,ROUND(100-ABS('[1]#REF'!$AA$24-50)*2,0))))))</f>
        <v>N/A</v>
      </c>
      <c r="Q72" s="65" t="str">
        <f>IF((IF(ISNUMBER(IF(NOT(ISNUMBER('[1]#REF'!$AE$24)),"N/A",IF('[1]#REF'!$AD$24&lt;&gt;Brand_Profile!$G$14,Lookup_Lists!$D$151,MIN(100,ROUND('[1]#REF'!$AE$24/Lookup_Lists!$D$316*100,0))))),Lookup_Lists!$D$118,0)+IF(ISNUMBER(IF(NOT(ISNUMBER('[1]#REF'!$AM$24)),"N/A",MIN(100,ROUND((IF('[1]#REF'!$AG$24=Brand_Profile!$G$15,IF(ISNUMBER('[1]#REF'!$AH$24),'[1]#REF'!$AH$24,0),0)+IF('[1]#REF'!$AI$24=Brand_Profile!$G$15,IF(ISNUMBER('[1]#REF'!$AJ$24),'[1]#REF'!$AJ$24,0),0)+IF('[1]#REF'!$AK$24=Brand_Profile!$G$15,IF(ISNUMBER('[1]#REF'!$AL$24),'[1]#REF'!$AL$24,0),0))/Lookup_Lists!$D$317*100,0)))),Lookup_Lists!$D$120,0))=0,"N/A",ROUND((IF(ISNUMBER(IF(NOT(ISNUMBER('[1]#REF'!$AE$24)),"N/A",IF('[1]#REF'!$AD$24&lt;&gt;Brand_Profile!$G$14,Lookup_Lists!$D$151,MIN(100,ROUND('[1]#REF'!$AE$24/Lookup_Lists!$D$316*100,0))))),IF(NOT(ISNUMBER('[1]#REF'!$AE$24)),"N/A",IF('[1]#REF'!$AD$24&lt;&gt;Brand_Profile!$G$14,Lookup_Lists!$D$151,MIN(100,ROUND('[1]#REF'!$AE$24/Lookup_Lists!$D$316*100,0))))*Lookup_Lists!$D$118,0)+IF(ISNUMBER(IF(NOT(ISNUMBER('[1]#REF'!$AM$24)),"N/A",MIN(100,ROUND((IF('[1]#REF'!$AG$24=Brand_Profile!$G$15,IF(ISNUMBER('[1]#REF'!$AH$24),'[1]#REF'!$AH$24,0),0)+IF('[1]#REF'!$AI$24=Brand_Profile!$G$15,IF(ISNUMBER('[1]#REF'!$AJ$24),'[1]#REF'!$AJ$24,0),0)+IF('[1]#REF'!$AK$24=Brand_Profile!$G$15,IF(ISNUMBER('[1]#REF'!$AL$24),'[1]#REF'!$AL$24,0),0))/Lookup_Lists!$D$317*100,0)))),IF(NOT(ISNUMBER('[1]#REF'!$AM$24)),"N/A",MIN(100,ROUND((IF('[1]#REF'!$AG$24=Brand_Profile!$G$15,IF(ISNUMBER('[1]#REF'!$AH$24),'[1]#REF'!$AH$24,0),0)+IF('[1]#REF'!$AI$24=Brand_Profile!$G$15,IF(ISNUMBER('[1]#REF'!$AJ$24),'[1]#REF'!$AJ$24,0),0)+IF('[1]#REF'!$AK$24=Brand_Profile!$G$15,IF(ISNUMBER('[1]#REF'!$AL$24),'[1]#REF'!$AL$24,0),0))/Lookup_Lists!$D$317*100,0)))*Lookup_Lists!$D$120,0))/(IF(ISNUMBER(IF(NOT(ISNUMBER('[1]#REF'!$AE$24)),"N/A",IF('[1]#REF'!$AD$24&lt;&gt;Brand_Profile!$G$14,Lookup_Lists!$D$151,MIN(100,ROUND('[1]#REF'!$AE$24/Lookup_Lists!$D$316*100,0))))),Lookup_Lists!$D$118,0)+IF(ISNUMBER(IF(NOT(ISNUMBER('[1]#REF'!$AM$24)),"N/A",MIN(100,ROUND((IF('[1]#REF'!$AG$24=Brand_Profile!$G$15,IF(ISNUMBER('[1]#REF'!$AH$24),'[1]#REF'!$AH$24,0),0)+IF('[1]#REF'!$AI$24=Brand_Profile!$G$15,IF(ISNUMBER('[1]#REF'!$AJ$24),'[1]#REF'!$AJ$24,0),0)+IF('[1]#REF'!$AK$24=Brand_Profile!$G$15,IF(ISNUMBER('[1]#REF'!$AL$24),'[1]#REF'!$AL$24,0),0))/Lookup_Lists!$D$317*100,0)))),Lookup_Lists!$D$120,0)),0))</f>
        <v>N/A</v>
      </c>
      <c r="R72" s="65" t="str">
        <f>IF(NOT(ISNUMBER('[1]#REF'!$AN$24)),"N/A",MIN(100,ROUND((IF(ISNUMBER('[1]#REF'!$AO$24),'[1]#REF'!$AO$24*Brand_Profile!$G$17,0)+IF(ISNUMBER('[1]#REF'!$AP$24),'[1]#REF'!$AP$24*Brand_Profile!$G$18,0)+IF(ISNUMBER('[1]#REF'!$AQ$24),'[1]#REF'!$AQ$24*Brand_Profile!$G$19,0)+IF(ISNUMBER('[1]#REF'!$AR$24),'[1]#REF'!$AR$24*Brand_Profile!$G$20,0)+IF(ISNUMBER('[1]#REF'!$AS$24),'[1]#REF'!$AS$24*Brand_Profile!$G$21,0)+IF(ISNUMBER('[1]#REF'!$AT$24),'[1]#REF'!$AT$24*Brand_Profile!$G$22,0)+IF(ISNUMBER('[1]#REF'!$AU$24),'[1]#REF'!$AU$24*Brand_Profile!$G$23,0)+IF(ISNUMBER('[1]#REF'!$AV$24),'[1]#REF'!$AV$24*Brand_Profile!$G$24,0)+IF(ISNUMBER('[1]#REF'!$AW$24),'[1]#REF'!$AW$24*Brand_Profile!$G$25,0)+IF(ISNUMBER('[1]#REF'!$AX$24),'[1]#REF'!$AX$24*Brand_Profile!$G$26,0)+IF(ISNUMBER('[1]#REF'!$AY$24),'[1]#REF'!$AY$24*Brand_Profile!$G$27,0)+IF(ISNUMBER('[1]#REF'!$AZ$24),'[1]#REF'!$AZ$24*Brand_Profile!$G$28,0)+IF(ISNUMBER('[1]#REF'!$BA$24),'[1]#REF'!$BA$24*Brand_Profile!$G$29,0)+IF(ISNUMBER('[1]#REF'!$BB$24),'[1]#REF'!$BB$24*Brand_Profile!$G$30,0)+IF(ISNUMBER('[1]#REF'!$BC$24),'[1]#REF'!$BC$24*Brand_Profile!$G$31,0)+IF(ISNUMBER('[1]#REF'!$BD$24),'[1]#REF'!$BD$24*Brand_Profile!$G$32,0)+IF(ISNUMBER('[1]#REF'!$BE$24),'[1]#REF'!$BE$24*Brand_Profile!$G$33,0)+IF(ISNUMBER('[1]#REF'!$BF$24),'[1]#REF'!$BF$24*Brand_Profile!$G$34,0))/Lookup_Lists!$D$318*100,0)))</f>
        <v>N/A</v>
      </c>
      <c r="S72" s="63">
        <f ca="1">IF((IF(ISNUMBER(Matching_Engine!$O$72),Lookup_Lists!$D$113,0)+IF(ISNUMBER(Matching_Engine!$P$72),Lookup_Lists!$D$114,0)+IF(ISNUMBER(Matching_Engine!$Q$72),Lookup_Lists!$D$115,0)+IF(ISNUMBER(Matching_Engine!$R$72),Lookup_Lists!$D$116,0))=0,"N/A",ROUND((IF(ISNUMBER(Matching_Engine!$O$72),Matching_Engine!$O$72*Lookup_Lists!$D$113,0)+IF(ISNUMBER(Matching_Engine!$P$72),Matching_Engine!$P$72*Lookup_Lists!$D$114,0)+IF(ISNUMBER(Matching_Engine!$Q$72),Matching_Engine!$Q$72*Lookup_Lists!$D$115,0)+IF(ISNUMBER(Matching_Engine!$R$72),Matching_Engine!$R$72*Lookup_Lists!$D$116,0))/(IF(ISNUMBER(Matching_Engine!$O$72),Lookup_Lists!$D$113,0)+IF(ISNUMBER(Matching_Engine!$P$72),Lookup_Lists!$D$114,0)+IF(ISNUMBER(Matching_Engine!$Q$72),Lookup_Lists!$D$115,0)+IF(ISNUMBER(Matching_Engine!$R$72),Lookup_Lists!$D$116,0)),0))</f>
        <v>61</v>
      </c>
      <c r="T72" s="42">
        <f ca="1">IF(ISNUMBER(Matching_Engine!$S$72),1,0)</f>
        <v>1</v>
      </c>
      <c r="U72" s="65" t="e">
        <f>IF(NOT(AND(ISTEXT('[1]#REF'!$M$24),'[1]#REF'!$M$24&lt;&gt;"N/A")),Lookup_Lists!$D$150,IF(Brand_Profile!$G$7='[1]#REF'!$M$24,100,IFERROR(INDEX(Lookup_Lists!$B$349:$J$357,MATCH(Brand_Profile!$G$7,Lookup_Lists!$A$349:$A$357,0),MATCH('[1]#REF'!$M$24,Lookup_Lists!$B$348:$J$348,0)),Lookup_Lists!$D$151)))</f>
        <v>#REF!</v>
      </c>
      <c r="V72" s="65" t="e">
        <f>IF(NOT(AND(ISTEXT('[1]#REF'!$P$24),'[1]#REF'!$P$24&lt;&gt;"N/A")),"N/A",IFERROR(INDEX(Lookup_Lists!$B$349:$J$357,MATCH(Brand_Profile!$G$7,Lookup_Lists!$A$349:$A$357,0),MATCH('[1]#REF'!$P$24,Lookup_Lists!$B$348:$J$348,0)),Lookup_Lists!$D$151))</f>
        <v>#REF!</v>
      </c>
      <c r="W72" s="65" t="e">
        <f>IF(LEN(TRIM(SUBSTITUTE(Matching_Engine!$BE$72,"|","")))=0,"N/A",IF(Brand_Profile!$G$60=0,Lookup_Lists!$D$150,ROUND((IF(Brand_Profile!$G$54="",0,IF(ISNUMBER(SEARCH(Brand_Profile!$G$54,Matching_Engine!$BE$72)),1,0))+IF(Brand_Profile!$G$55="",0,IF(ISNUMBER(SEARCH(Brand_Profile!$G$55,Matching_Engine!$BE$72)),1,0))+IF(Brand_Profile!$G$56="",0,IF(ISNUMBER(SEARCH(Brand_Profile!$G$56,Matching_Engine!$BE$72)),1,0))+IF(Brand_Profile!$G$57="",0,IF(ISNUMBER(SEARCH(Brand_Profile!$G$57,Matching_Engine!$BE$72)),1,0))+IF(Brand_Profile!$G$58="",0,IF(ISNUMBER(SEARCH(Brand_Profile!$G$58,Matching_Engine!$BE$72)),1,0))+IF(Brand_Profile!$G$59="",0,IF(ISNUMBER(SEARCH(Brand_Profile!$G$59,Matching_Engine!$BE$72)),1,0)))/Brand_Profile!$G$60*100,0)))</f>
        <v>#VALUE!</v>
      </c>
      <c r="X72" s="65" t="e">
        <f>IF(NOT(AND(ISTEXT('[1]#REF'!$Q$24),'[1]#REF'!$Q$24&lt;&gt;"N/A")),"N/A",Lookup_Lists!$D$150)</f>
        <v>#REF!</v>
      </c>
      <c r="Y72" s="63">
        <f>IF((IF(ISNUMBER(Matching_Engine!$U$72),Lookup_Lists!$D$335,0)+IF(ISNUMBER(Matching_Engine!$V$72),Lookup_Lists!$D$122,0)+IF(ISNUMBER(Matching_Engine!$W$72),Lookup_Lists!$D$336,0)+IF(ISNUMBER(Matching_Engine!$X$72),Lookup_Lists!$D$124,0))=0,"N/A",ROUND((IF(ISNUMBER(Matching_Engine!$U$72),Matching_Engine!$U$72*Lookup_Lists!$D$335,0)+IF(ISNUMBER(Matching_Engine!$V$72),Matching_Engine!$V$72*Lookup_Lists!$D$122,0)+IF(ISNUMBER(Matching_Engine!$W$72),Matching_Engine!$W$72*Lookup_Lists!$D$336,0)+IF(ISNUMBER(Matching_Engine!$X$72),Matching_Engine!$X$72*Lookup_Lists!$D$124,0))/(IF(ISNUMBER(Matching_Engine!$U$72),Lookup_Lists!$D$335,0)+IF(ISNUMBER(Matching_Engine!$V$72),Lookup_Lists!$D$122,0)+IF(ISNUMBER(Matching_Engine!$W$72),Lookup_Lists!$D$336,0)+IF(ISNUMBER(Matching_Engine!$X$72),Lookup_Lists!$D$124,0)),0))</f>
        <v>10</v>
      </c>
      <c r="Z72" s="42">
        <f>IF(ISNUMBER(Matching_Engine!$Y$72),1,0)</f>
        <v>1</v>
      </c>
      <c r="AA72" s="65" t="e">
        <f>IF(NOT(AND(ISTEXT('[1]#REF'!$Q$24),'[1]#REF'!$Q$24&lt;&gt;"N/A")),"N/A",Lookup_Lists!$D$150)</f>
        <v>#REF!</v>
      </c>
      <c r="AB72" s="65" t="e">
        <f>IF(NOT(AND(ISTEXT('[1]#REF'!$Q$24),'[1]#REF'!$Q$24&lt;&gt;"N/A")),"N/A",Lookup_Lists!$D$150)</f>
        <v>#REF!</v>
      </c>
      <c r="AC72" s="65" t="str">
        <f t="shared" si="1"/>
        <v>N/A</v>
      </c>
      <c r="AD72" s="65" t="e">
        <f>IF(NOT(AND(ISTEXT('[1]#REF'!$Q$24),'[1]#REF'!$Q$24&lt;&gt;"N/A")),"N/A",Lookup_Lists!$D$150)</f>
        <v>#REF!</v>
      </c>
      <c r="AE72" s="63">
        <f>IF((IF(ISNUMBER(Matching_Engine!$AA$72),Lookup_Lists!$D$125,0)+IF(ISNUMBER(Matching_Engine!$AB$72),Lookup_Lists!$D$126,0)+IF(ISNUMBER(Matching_Engine!$AC$72),Lookup_Lists!$D$127,0)+IF(ISNUMBER(Matching_Engine!$AD$72),Lookup_Lists!$D$128,0))=0,"N/A",ROUND((IF(ISNUMBER(Matching_Engine!$AA$72),Matching_Engine!$AA$72*Lookup_Lists!$D$125,0)+IF(ISNUMBER(Matching_Engine!$AB$72),Matching_Engine!$AB$72*Lookup_Lists!$D$126,0)+IF(ISNUMBER(Matching_Engine!$AC$72),Matching_Engine!$AC$72*Lookup_Lists!$D$127,0)+IF(ISNUMBER(Matching_Engine!$AD$72),Matching_Engine!$AD$72*Lookup_Lists!$D$128,0))/(IF(ISNUMBER(Matching_Engine!$AA$72),Lookup_Lists!$D$125,0)+IF(ISNUMBER(Matching_Engine!$AB$72),Lookup_Lists!$D$126,0)+IF(ISNUMBER(Matching_Engine!$AC$72),Lookup_Lists!$D$127,0)+IF(ISNUMBER(Matching_Engine!$AD$72),Lookup_Lists!$D$128,0)),0))</f>
        <v>33</v>
      </c>
      <c r="AF72" s="42">
        <f>IF(ISNUMBER(Matching_Engine!$AE$72),1,0)</f>
        <v>1</v>
      </c>
      <c r="AG72" s="65" t="str">
        <f>IF(NOT(ISNUMBER('[1]#REF'!$BG$24)),"N/A",MIN(100,ROUND('[1]#REF'!$BG$24/IFERROR(INDEX(Lookup_Lists!$B$340:$B$344,MATCH('[1]#REF'!$H$24,Lookup_Lists!$A$340:$A$344,0)),Lookup_Lists!$D$141)*100,0)))</f>
        <v>N/A</v>
      </c>
      <c r="AH72" s="65" t="str">
        <f>IF(NOT(ISNUMBER('[1]#REF'!$BS$24)),"N/A",MIN(100,MAX(0,'[1]#REF'!$BS$24)))</f>
        <v>N/A</v>
      </c>
      <c r="AI72" s="65" t="e">
        <f>IF(OR(NOT(ISNUMBER('[1]#REF'!$BM$24)),NOT(ISNUMBER('[1]#REF'!$BN$24)),'[1]#REF'!$BN$24&lt;Lookup_Lists!$D$320),"N/A",MIN(100,ROUND('[1]#REF'!$BM$24/Lookup_Lists!$D$319*100,0)))</f>
        <v>#REF!</v>
      </c>
      <c r="AJ72" s="65" t="str">
        <f>IF(NOT(ISNUMBER('[1]#REF'!$BR$24)),"N/A",'[1]#REF'!$BR$24)</f>
        <v>N/A</v>
      </c>
      <c r="AK72" s="65" t="str">
        <f>IF(NOT(ISNUMBER('[1]#REF'!$BK$24)),"N/A",MIN(100,ROUND('[1]#REF'!$BK$24/Lookup_Lists!$D$321*100,0)))</f>
        <v>N/A</v>
      </c>
      <c r="AL72" s="65" t="str">
        <f>IF(NOT(ISNUMBER('[1]#REF'!$BP$24)),"N/A",MIN(100,MAX(0,ROUND(('[1]#REF'!$BP$24+2)/(Lookup_Lists!$D$145+2)*100,0))))</f>
        <v>N/A</v>
      </c>
      <c r="AM72" s="63">
        <f>IF((IF(ISNUMBER(Matching_Engine!$AG$72),Lookup_Lists!$D$129,0)+IF(ISNUMBER(Matching_Engine!$AH$72),Lookup_Lists!$D$130,0)+IF(ISNUMBER(Matching_Engine!$AI$72),Lookup_Lists!$D$131,0)+IF(ISNUMBER(Matching_Engine!$AJ$72),Lookup_Lists!$D$132,0)+IF(ISNUMBER(Matching_Engine!$AK$72),Lookup_Lists!$D$133,0)+IF(ISNUMBER(Matching_Engine!$AL$72),Lookup_Lists!$D$134,0))=0,"N/A",ROUND((IF(ISNUMBER(Matching_Engine!$AG$72),Matching_Engine!$AG$72*Lookup_Lists!$D$129,0)+IF(ISNUMBER(Matching_Engine!$AH$72),Matching_Engine!$AH$72*Lookup_Lists!$D$130,0)+IF(ISNUMBER(Matching_Engine!$AI$72),Matching_Engine!$AI$72*Lookup_Lists!$D$131,0)+IF(ISNUMBER(Matching_Engine!$AJ$72),Matching_Engine!$AJ$72*Lookup_Lists!$D$132,0)+IF(ISNUMBER(Matching_Engine!$AK$72),Matching_Engine!$AK$72*Lookup_Lists!$D$133,0)+IF(ISNUMBER(Matching_Engine!$AL$72),Matching_Engine!$AL$72*Lookup_Lists!$D$134,0))/(IF(ISNUMBER(Matching_Engine!$AG$72),Lookup_Lists!$D$129,0)+IF(ISNUMBER(Matching_Engine!$AH$72),Lookup_Lists!$D$130,0)+IF(ISNUMBER(Matching_Engine!$AI$72),Lookup_Lists!$D$131,0)+IF(ISNUMBER(Matching_Engine!$AJ$72),Lookup_Lists!$D$132,0)+IF(ISNUMBER(Matching_Engine!$AK$72),Lookup_Lists!$D$133,0)+IF(ISNUMBER(Matching_Engine!$AL$72),Lookup_Lists!$D$134,0)),0))</f>
        <v>73</v>
      </c>
      <c r="AN72" s="42">
        <f>IF(ISNUMBER(Matching_Engine!$AM$72),1,0)</f>
        <v>0</v>
      </c>
      <c r="AO72" s="65" t="str">
        <f>IF(NOT(ISNUMBER('[1]#REF'!$BT$24)),"N/A",MIN(100,MAX(0,'[1]#REF'!$BT$24)))</f>
        <v>N/A</v>
      </c>
      <c r="AP72" s="65" t="str">
        <f>IF(NOT(ISNUMBER('[1]#REF'!$BU$24)),"N/A",MIN(100,MAX(0,'[1]#REF'!$BU$24)))</f>
        <v>N/A</v>
      </c>
      <c r="AQ72" s="65" t="e">
        <f>IF('[1]#REF'!$I$24="Yes",Lookup_Lists!$D$326,IF('[1]#REF'!$I$24="No",Lookup_Lists!$D$327,"N/A"))</f>
        <v>#REF!</v>
      </c>
      <c r="AR72" s="65" t="str">
        <f>IF(NOT(ISNUMBER('[1]#REF'!$BQ$24)),"N/A",MAX(0,ROUND(100-'[1]#REF'!$BQ$24/Lookup_Lists!$D$328*100,0)))</f>
        <v>N/A</v>
      </c>
      <c r="AS72" s="65" t="e">
        <f>IF(NOT(AND(ISTEXT('[1]#REF'!$BV$24),'[1]#REF'!$BV$24&lt;&gt;"N/A")),"N/A",'[1]#REF'!$BV$24)</f>
        <v>#REF!</v>
      </c>
      <c r="AT72" s="63" t="str">
        <f ca="1">IF((IF(ISNUMBER(Matching_Engine!$AO$72),Lookup_Lists!$D$322,0)+IF(ISNUMBER(Matching_Engine!$AP$72),Lookup_Lists!$D$323,0)+IF(ISNUMBER(Matching_Engine!$AQ$72),Lookup_Lists!$D$324,0)+IF(ISNUMBER(Matching_Engine!$AR$72),Lookup_Lists!$D$325,0))=0,"N/A",ROUND((IF(ISNUMBER(Matching_Engine!$AO$72),Matching_Engine!$AO$72*Lookup_Lists!$D$322,0)+IF(ISNUMBER(Matching_Engine!$AP$72),Matching_Engine!$AP$72*Lookup_Lists!$D$323,0)+IF(ISNUMBER(Matching_Engine!$AQ$72),Matching_Engine!$AQ$72*Lookup_Lists!$D$324,0)+IF(ISNUMBER(Matching_Engine!$AR$72),Matching_Engine!$AR$72*Lookup_Lists!$D$325,0))/(IF(ISNUMBER(Matching_Engine!$AO$72),Lookup_Lists!$D$322,0)+IF(ISNUMBER(Matching_Engine!$AP$72),Lookup_Lists!$D$323,0)+IF(ISNUMBER(Matching_Engine!$AQ$72),Lookup_Lists!$D$324,0)+IF(ISNUMBER(Matching_Engine!$AR$72),Lookup_Lists!$D$325,0)),0))</f>
        <v>N/A</v>
      </c>
      <c r="AU72" s="42">
        <f>IF(ISNUMBER(Matching_Engine!$AT$72),1,0)</f>
        <v>1</v>
      </c>
      <c r="AV72" s="42" t="str">
        <f>IF(NOT(ISNUMBER(Matching_Engine!$AT$72)),"Not Screened",IF(Matching_Engine!$AT$72&gt;=Lookup_Lists!$D$329,"Low Risk",IF(Matching_Engine!$AT$72&gt;=Lookup_Lists!$D$330,"Moderate Risk",IF(Matching_Engine!$AT$72&gt;=Lookup_Lists!$D$331,"Elevated Risk","High Risk"))))</f>
        <v>Low Risk</v>
      </c>
      <c r="AW72" s="42" t="e">
        <f ca="1">IF(NOT(ISNUMBER(Matching_Engine!$AT$72)),"No integrity signal: no audience-analysis row for this account.","Integrity screen only — no content-risk reading exists (comments_analysis: 0 rows). "&amp;IF(ISNUMBER(Matching_Engine!$AO$72),"Authenticity "&amp;Matching_Engine!$AO$72&amp;". ","Authenticity N/A. ")&amp;IF(ISNUMBER(Matching_Engine!$AP$72),"Follower quality "&amp;Matching_Engine!$AP$72&amp;". ","Follower quality N/A. ")&amp;IF('[1]#REF'!$I$24="Yes","Platform-verified.","Not platform-verified."))</f>
        <v>#REF!</v>
      </c>
      <c r="AX72" s="65">
        <f>Matching_Engine!$N$72*Lookup_Lists!$D$104+Matching_Engine!$T$72*Lookup_Lists!$D$105+Matching_Engine!$Z$72*Lookup_Lists!$D$106+Matching_Engine!$AF$72*Lookup_Lists!$D$107+Matching_Engine!$AN$72*Lookup_Lists!$D$108+Matching_Engine!$AU$72*Lookup_Lists!$D$109</f>
        <v>3390</v>
      </c>
      <c r="AY72" s="74" t="e">
        <f ca="1">IF(Matching_Engine!$AX$72=0,"N/A",ROUND((IF(Matching_Engine!$N$72=1,Matching_Engine!$M$72*Lookup_Lists!$D$104,0)+IF(Matching_Engine!$T$72=1,Matching_Engine!$S$72*Lookup_Lists!$D$105,0)+IF(Matching_Engine!$Z$72=1,Matching_Engine!$Y$72*Lookup_Lists!$D$106,0)+IF(Matching_Engine!$AF$72=1,Matching_Engine!$AE$72*Lookup_Lists!$D$107,0)+IF(Matching_Engine!$AN$72=1,Matching_Engine!$AM$72*Lookup_Lists!$D$108,0)+IF(Matching_Engine!$AU$72=1,Matching_Engine!$AT$72*Lookup_Lists!$D$109,0))/Matching_Engine!$AX$72,0))</f>
        <v>#VALUE!</v>
      </c>
      <c r="AZ72" s="42" t="str">
        <f ca="1">IF(NOT(ISNUMBER(Matching_Engine!$AY$72)),"Not Scored",IF(Matching_Engine!$AY$72&gt;=Lookup_Lists!$D$152,"Excellent Match",IF(Matching_Engine!$AY$72&gt;=Lookup_Lists!$D$153,"Strong Match",IF(Matching_Engine!$AY$72&gt;=Lookup_Lists!$D$154,"Good Match",IF(Matching_Engine!$AY$72&gt;=Lookup_Lists!$D$155,"Moderate Match","Low Match")))))</f>
        <v>Not Scored</v>
      </c>
      <c r="BA72" s="65" t="e">
        <f>'[1]#REF'!$BW$24</f>
        <v>#REF!</v>
      </c>
      <c r="BB72" s="42" t="e">
        <f>'[1]#REF'!$BX$24</f>
        <v>#REF!</v>
      </c>
      <c r="BC72" s="65">
        <f ca="1">IF(NOT(ISNUMBER(Matching_Engine!$AY$72)),-1,Matching_Engine!$AY$72*1000+6)</f>
        <v>-1</v>
      </c>
      <c r="BD72" s="42" t="e">
        <f>IF(AND(ISTEXT('[1]#REF'!$S$24),'[1]#REF'!$S$24&lt;&gt;"N/A"),'[1]#REF'!$S$24,"")&amp;" | "&amp;IF(AND(ISTEXT('[1]#REF'!$T$24),'[1]#REF'!$T$24&lt;&gt;"N/A"),'[1]#REF'!$T$24,"")&amp;" | "&amp;IF(AND(ISTEXT('[1]#REF'!$N$24),'[1]#REF'!$N$24&lt;&gt;"N/A"),'[1]#REF'!$N$24,"")&amp;" | "&amp;IF(AND(ISTEXT('[1]#REF'!$K$24),'[1]#REF'!$K$24&lt;&gt;"N/A"),'[1]#REF'!$K$24,"")&amp;" | "&amp;IF(AND(ISTEXT('[1]#REF'!$J$24),'[1]#REF'!$J$24&lt;&gt;"N/A"),'[1]#REF'!$J$24,"")</f>
        <v>#REF!</v>
      </c>
      <c r="BE72" s="42" t="e">
        <f>IF(AND(ISTEXT('[1]#REF'!$T$24),'[1]#REF'!$T$24&lt;&gt;"N/A"),'[1]#REF'!$T$24,"")&amp;" | "&amp;IF(AND(ISTEXT('[1]#REF'!$N$24),'[1]#REF'!$N$24&lt;&gt;"N/A"),'[1]#REF'!$N$24,"")&amp;" | "&amp;IF(AND(ISTEXT('[1]#REF'!$O$24),'[1]#REF'!$O$24&lt;&gt;"N/A"),'[1]#REF'!$O$24,"")&amp;" | "&amp;IF(AND(ISTEXT('[1]#REF'!$S$24),'[1]#REF'!$S$24&lt;&gt;"N/A"),'[1]#REF'!$S$24,"")</f>
        <v>#REF!</v>
      </c>
      <c r="BF72" s="42" t="e">
        <f>IF(AND(ISTEXT('[1]#REF'!$U$24),'[1]#REF'!$U$24&lt;&gt;"N/A"),'[1]#REF'!$U$24,"")</f>
        <v>#REF!</v>
      </c>
      <c r="BG72" s="42" t="str">
        <f>Matching_Engine!$A$72&amp;"|"&amp;Matching_Engine!$C$72</f>
        <v>BRAND-C|KOL-07</v>
      </c>
    </row>
    <row r="73" spans="1:59">
      <c r="A73" s="64" t="s">
        <v>2529</v>
      </c>
      <c r="B73" s="42" t="str">
        <f>Brand_Profile!$G$6</f>
        <v>Active Value</v>
      </c>
      <c r="C73" s="42" t="e">
        <f>'[1]#REF'!$A$25</f>
        <v>#REF!</v>
      </c>
      <c r="D73" s="42" t="e">
        <f>'[1]#REF'!$C$25</f>
        <v>#REF!</v>
      </c>
      <c r="E73" s="42" t="e">
        <f>'[1]#REF'!$D$25</f>
        <v>#REF!</v>
      </c>
      <c r="F73" s="42" t="e">
        <f>'[1]#REF'!$E$25</f>
        <v>#REF!</v>
      </c>
      <c r="G73" s="42" t="e">
        <f>'[1]#REF'!$K$25</f>
        <v>#REF!</v>
      </c>
      <c r="H73" s="72" t="e">
        <f>'[1]#REF'!$G$25</f>
        <v>#REF!</v>
      </c>
      <c r="I73" s="73" t="e">
        <f>'[1]#REF'!$BG$25</f>
        <v>#REF!</v>
      </c>
      <c r="J73" s="65" t="e">
        <f>IF(NOT(AND(ISTEXT('[1]#REF'!$K$25),'[1]#REF'!$K$25&lt;&gt;"N/A")),Lookup_Lists!$D$150,IF(Brand_Profile!$G$7='[1]#REF'!$K$25,100,IFERROR(INDEX(Lookup_Lists!$B$349:$J$357,MATCH(Brand_Profile!$G$7,Lookup_Lists!$A$349:$A$357,0),MATCH('[1]#REF'!$K$25,Lookup_Lists!$B$348:$J$348,0)),Lookup_Lists!$D$151)))</f>
        <v>#REF!</v>
      </c>
      <c r="K73" s="65" t="e">
        <f>IF(LEN(TRIM(SUBSTITUTE(Matching_Engine!$BD$73,"|","")))=0,"N/A",IF(Brand_Profile!$G$47=0,Lookup_Lists!$D$150,ROUND((IF(Brand_Profile!$G$41="",0,IF(ISNUMBER(SEARCH(Brand_Profile!$G$41,Matching_Engine!$BD$73)),1,0))+IF(Brand_Profile!$G$42="",0,IF(ISNUMBER(SEARCH(Brand_Profile!$G$42,Matching_Engine!$BD$73)),1,0))+IF(Brand_Profile!$G$43="",0,IF(ISNUMBER(SEARCH(Brand_Profile!$G$43,Matching_Engine!$BD$73)),1,0))+IF(Brand_Profile!$G$44="",0,IF(ISNUMBER(SEARCH(Brand_Profile!$G$44,Matching_Engine!$BD$73)),1,0))+IF(Brand_Profile!$G$45="",0,IF(ISNUMBER(SEARCH(Brand_Profile!$G$45,Matching_Engine!$BD$73)),1,0))+IF(Brand_Profile!$G$46="",0,IF(ISNUMBER(SEARCH(Brand_Profile!$G$46,Matching_Engine!$BD$73)),1,0)))/Brand_Profile!$G$47*100,0)))</f>
        <v>#VALUE!</v>
      </c>
      <c r="L73" s="65" t="e">
        <f>IF(NOT(AND(ISTEXT('[1]#REF'!$U$25),'[1]#REF'!$U$25&lt;&gt;"N/A")),"N/A",IF(Brand_Profile!$G$53=0,Lookup_Lists!$D$150,ROUND((IF(Brand_Profile!$G$48="",0,IF(ISNUMBER(SEARCH(Brand_Profile!$G$48,Matching_Engine!$BF$73)),1,0))+IF(Brand_Profile!$G$49="",0,IF(ISNUMBER(SEARCH(Brand_Profile!$G$49,Matching_Engine!$BF$73)),1,0))+IF(Brand_Profile!$G$50="",0,IF(ISNUMBER(SEARCH(Brand_Profile!$G$50,Matching_Engine!$BF$73)),1,0))+IF(Brand_Profile!$G$51="",0,IF(ISNUMBER(SEARCH(Brand_Profile!$G$51,Matching_Engine!$BF$73)),1,0))+IF(Brand_Profile!$G$52="",0,IF(ISNUMBER(SEARCH(Brand_Profile!$G$52,Matching_Engine!$BF$73)),1,0)))/Brand_Profile!$G$53*100,0)))</f>
        <v>#REF!</v>
      </c>
      <c r="M73" s="63" t="str">
        <f>IF((IF(ISNUMBER(Matching_Engine!$J$73),Lookup_Lists!$D$332,0)+IF(ISNUMBER(Matching_Engine!$K$73),Lookup_Lists!$D$333,0)+IF(ISNUMBER(Matching_Engine!$L$73),Lookup_Lists!$D$334,0))=0,"N/A",ROUND((IF(ISNUMBER(Matching_Engine!$J$73),Matching_Engine!$J$73*Lookup_Lists!$D$332,0)+IF(ISNUMBER(Matching_Engine!$K$73),Matching_Engine!$K$73*Lookup_Lists!$D$333,0)+IF(ISNUMBER(Matching_Engine!$L$73),Matching_Engine!$L$73*Lookup_Lists!$D$334,0))/(IF(ISNUMBER(Matching_Engine!$J$73),Lookup_Lists!$D$332,0)+IF(ISNUMBER(Matching_Engine!$K$73),Lookup_Lists!$D$333,0)+IF(ISNUMBER(Matching_Engine!$L$73),Lookup_Lists!$D$334,0)),0))</f>
        <v>N/A</v>
      </c>
      <c r="N73" s="42">
        <f>IF(ISNUMBER(Matching_Engine!$M$73),1,0)</f>
        <v>1</v>
      </c>
      <c r="O73" s="65" t="str">
        <f ca="1">IF(NOT(ISNUMBER(IFERROR(INDEX('[1]#REF'!$V$25:'[1]#REF'!$Z$25,1,MATCH(Brand_Profile!$G$11,Lookup_Lists!$F$6:$F$10,0)),""))),"N/A",MIN(100,ROUND((IFERROR(INDEX('[1]#REF'!$V$25:'[1]#REF'!$Z$25,1,MATCH(Brand_Profile!$G$11,Lookup_Lists!$F$6:$F$10,0)),"")+0.5*IF(ISNUMBER(IFERROR(INDEX('[1]#REF'!$V$25:'[1]#REF'!$Z$25,1,MATCH(Brand_Profile!$G$12,Lookup_Lists!$F$6:$F$10,0)),"")),IFERROR(INDEX('[1]#REF'!$V$25:'[1]#REF'!$Z$25,1,MATCH(Brand_Profile!$G$12,Lookup_Lists!$F$6:$F$10,0)),""),0))/Lookup_Lists!$D$142*100,0)))</f>
        <v>N/A</v>
      </c>
      <c r="P73" s="65" t="str">
        <f>IF(Brand_Profile!$G$13="Any",100,IF(NOT(ISNUMBER('[1]#REF'!$AA$25)),"N/A",IF(Brand_Profile!$G$13="Female",MIN(100,ROUND('[1]#REF'!$AA$25/Lookup_Lists!$D$143*100,0)),IF(Brand_Profile!$G$13="Male",MIN(100,ROUND(IF(ISNUMBER('[1]#REF'!$AB$25),'[1]#REF'!$AB$25,100-'[1]#REF'!$AA$25)/Lookup_Lists!$D$143*100,0)),MAX(0,ROUND(100-ABS('[1]#REF'!$AA$25-50)*2,0))))))</f>
        <v>N/A</v>
      </c>
      <c r="Q73" s="65" t="str">
        <f>IF((IF(ISNUMBER(IF(NOT(ISNUMBER('[1]#REF'!$AE$25)),"N/A",IF('[1]#REF'!$AD$25&lt;&gt;Brand_Profile!$G$14,Lookup_Lists!$D$151,MIN(100,ROUND('[1]#REF'!$AE$25/Lookup_Lists!$D$316*100,0))))),Lookup_Lists!$D$118,0)+IF(ISNUMBER(IF(NOT(ISNUMBER('[1]#REF'!$AM$25)),"N/A",MIN(100,ROUND((IF('[1]#REF'!$AG$25=Brand_Profile!$G$15,IF(ISNUMBER('[1]#REF'!$AH$25),'[1]#REF'!$AH$25,0),0)+IF('[1]#REF'!$AI$25=Brand_Profile!$G$15,IF(ISNUMBER('[1]#REF'!$AJ$25),'[1]#REF'!$AJ$25,0),0)+IF('[1]#REF'!$AK$25=Brand_Profile!$G$15,IF(ISNUMBER('[1]#REF'!$AL$25),'[1]#REF'!$AL$25,0),0))/Lookup_Lists!$D$317*100,0)))),Lookup_Lists!$D$120,0))=0,"N/A",ROUND((IF(ISNUMBER(IF(NOT(ISNUMBER('[1]#REF'!$AE$25)),"N/A",IF('[1]#REF'!$AD$25&lt;&gt;Brand_Profile!$G$14,Lookup_Lists!$D$151,MIN(100,ROUND('[1]#REF'!$AE$25/Lookup_Lists!$D$316*100,0))))),IF(NOT(ISNUMBER('[1]#REF'!$AE$25)),"N/A",IF('[1]#REF'!$AD$25&lt;&gt;Brand_Profile!$G$14,Lookup_Lists!$D$151,MIN(100,ROUND('[1]#REF'!$AE$25/Lookup_Lists!$D$316*100,0))))*Lookup_Lists!$D$118,0)+IF(ISNUMBER(IF(NOT(ISNUMBER('[1]#REF'!$AM$25)),"N/A",MIN(100,ROUND((IF('[1]#REF'!$AG$25=Brand_Profile!$G$15,IF(ISNUMBER('[1]#REF'!$AH$25),'[1]#REF'!$AH$25,0),0)+IF('[1]#REF'!$AI$25=Brand_Profile!$G$15,IF(ISNUMBER('[1]#REF'!$AJ$25),'[1]#REF'!$AJ$25,0),0)+IF('[1]#REF'!$AK$25=Brand_Profile!$G$15,IF(ISNUMBER('[1]#REF'!$AL$25),'[1]#REF'!$AL$25,0),0))/Lookup_Lists!$D$317*100,0)))),IF(NOT(ISNUMBER('[1]#REF'!$AM$25)),"N/A",MIN(100,ROUND((IF('[1]#REF'!$AG$25=Brand_Profile!$G$15,IF(ISNUMBER('[1]#REF'!$AH$25),'[1]#REF'!$AH$25,0),0)+IF('[1]#REF'!$AI$25=Brand_Profile!$G$15,IF(ISNUMBER('[1]#REF'!$AJ$25),'[1]#REF'!$AJ$25,0),0)+IF('[1]#REF'!$AK$25=Brand_Profile!$G$15,IF(ISNUMBER('[1]#REF'!$AL$25),'[1]#REF'!$AL$25,0),0))/Lookup_Lists!$D$317*100,0)))*Lookup_Lists!$D$120,0))/(IF(ISNUMBER(IF(NOT(ISNUMBER('[1]#REF'!$AE$25)),"N/A",IF('[1]#REF'!$AD$25&lt;&gt;Brand_Profile!$G$14,Lookup_Lists!$D$151,MIN(100,ROUND('[1]#REF'!$AE$25/Lookup_Lists!$D$316*100,0))))),Lookup_Lists!$D$118,0)+IF(ISNUMBER(IF(NOT(ISNUMBER('[1]#REF'!$AM$25)),"N/A",MIN(100,ROUND((IF('[1]#REF'!$AG$25=Brand_Profile!$G$15,IF(ISNUMBER('[1]#REF'!$AH$25),'[1]#REF'!$AH$25,0),0)+IF('[1]#REF'!$AI$25=Brand_Profile!$G$15,IF(ISNUMBER('[1]#REF'!$AJ$25),'[1]#REF'!$AJ$25,0),0)+IF('[1]#REF'!$AK$25=Brand_Profile!$G$15,IF(ISNUMBER('[1]#REF'!$AL$25),'[1]#REF'!$AL$25,0),0))/Lookup_Lists!$D$317*100,0)))),Lookup_Lists!$D$120,0)),0))</f>
        <v>N/A</v>
      </c>
      <c r="R73" s="65" t="str">
        <f>IF(NOT(ISNUMBER('[1]#REF'!$AN$25)),"N/A",MIN(100,ROUND((IF(ISNUMBER('[1]#REF'!$AO$25),'[1]#REF'!$AO$25*Brand_Profile!$G$17,0)+IF(ISNUMBER('[1]#REF'!$AP$25),'[1]#REF'!$AP$25*Brand_Profile!$G$18,0)+IF(ISNUMBER('[1]#REF'!$AQ$25),'[1]#REF'!$AQ$25*Brand_Profile!$G$19,0)+IF(ISNUMBER('[1]#REF'!$AR$25),'[1]#REF'!$AR$25*Brand_Profile!$G$20,0)+IF(ISNUMBER('[1]#REF'!$AS$25),'[1]#REF'!$AS$25*Brand_Profile!$G$21,0)+IF(ISNUMBER('[1]#REF'!$AT$25),'[1]#REF'!$AT$25*Brand_Profile!$G$22,0)+IF(ISNUMBER('[1]#REF'!$AU$25),'[1]#REF'!$AU$25*Brand_Profile!$G$23,0)+IF(ISNUMBER('[1]#REF'!$AV$25),'[1]#REF'!$AV$25*Brand_Profile!$G$24,0)+IF(ISNUMBER('[1]#REF'!$AW$25),'[1]#REF'!$AW$25*Brand_Profile!$G$25,0)+IF(ISNUMBER('[1]#REF'!$AX$25),'[1]#REF'!$AX$25*Brand_Profile!$G$26,0)+IF(ISNUMBER('[1]#REF'!$AY$25),'[1]#REF'!$AY$25*Brand_Profile!$G$27,0)+IF(ISNUMBER('[1]#REF'!$AZ$25),'[1]#REF'!$AZ$25*Brand_Profile!$G$28,0)+IF(ISNUMBER('[1]#REF'!$BA$25),'[1]#REF'!$BA$25*Brand_Profile!$G$29,0)+IF(ISNUMBER('[1]#REF'!$BB$25),'[1]#REF'!$BB$25*Brand_Profile!$G$30,0)+IF(ISNUMBER('[1]#REF'!$BC$25),'[1]#REF'!$BC$25*Brand_Profile!$G$31,0)+IF(ISNUMBER('[1]#REF'!$BD$25),'[1]#REF'!$BD$25*Brand_Profile!$G$32,0)+IF(ISNUMBER('[1]#REF'!$BE$25),'[1]#REF'!$BE$25*Brand_Profile!$G$33,0)+IF(ISNUMBER('[1]#REF'!$BF$25),'[1]#REF'!$BF$25*Brand_Profile!$G$34,0))/Lookup_Lists!$D$318*100,0)))</f>
        <v>N/A</v>
      </c>
      <c r="S73" s="63">
        <f ca="1">IF((IF(ISNUMBER(Matching_Engine!$O$73),Lookup_Lists!$D$113,0)+IF(ISNUMBER(Matching_Engine!$P$73),Lookup_Lists!$D$114,0)+IF(ISNUMBER(Matching_Engine!$Q$73),Lookup_Lists!$D$115,0)+IF(ISNUMBER(Matching_Engine!$R$73),Lookup_Lists!$D$116,0))=0,"N/A",ROUND((IF(ISNUMBER(Matching_Engine!$O$73),Matching_Engine!$O$73*Lookup_Lists!$D$113,0)+IF(ISNUMBER(Matching_Engine!$P$73),Matching_Engine!$P$73*Lookup_Lists!$D$114,0)+IF(ISNUMBER(Matching_Engine!$Q$73),Matching_Engine!$Q$73*Lookup_Lists!$D$115,0)+IF(ISNUMBER(Matching_Engine!$R$73),Matching_Engine!$R$73*Lookup_Lists!$D$116,0))/(IF(ISNUMBER(Matching_Engine!$O$73),Lookup_Lists!$D$113,0)+IF(ISNUMBER(Matching_Engine!$P$73),Lookup_Lists!$D$114,0)+IF(ISNUMBER(Matching_Engine!$Q$73),Lookup_Lists!$D$115,0)+IF(ISNUMBER(Matching_Engine!$R$73),Lookup_Lists!$D$116,0)),0))</f>
        <v>62</v>
      </c>
      <c r="T73" s="42">
        <f ca="1">IF(ISNUMBER(Matching_Engine!$S$73),1,0)</f>
        <v>1</v>
      </c>
      <c r="U73" s="65" t="e">
        <f>IF(NOT(AND(ISTEXT('[1]#REF'!$M$25),'[1]#REF'!$M$25&lt;&gt;"N/A")),Lookup_Lists!$D$150,IF(Brand_Profile!$G$7='[1]#REF'!$M$25,100,IFERROR(INDEX(Lookup_Lists!$B$349:$J$357,MATCH(Brand_Profile!$G$7,Lookup_Lists!$A$349:$A$357,0),MATCH('[1]#REF'!$M$25,Lookup_Lists!$B$348:$J$348,0)),Lookup_Lists!$D$151)))</f>
        <v>#REF!</v>
      </c>
      <c r="V73" s="65" t="e">
        <f>IF(NOT(AND(ISTEXT('[1]#REF'!$P$25),'[1]#REF'!$P$25&lt;&gt;"N/A")),"N/A",IFERROR(INDEX(Lookup_Lists!$B$349:$J$357,MATCH(Brand_Profile!$G$7,Lookup_Lists!$A$349:$A$357,0),MATCH('[1]#REF'!$P$25,Lookup_Lists!$B$348:$J$348,0)),Lookup_Lists!$D$151))</f>
        <v>#REF!</v>
      </c>
      <c r="W73" s="65" t="e">
        <f>IF(LEN(TRIM(SUBSTITUTE(Matching_Engine!$BE$73,"|","")))=0,"N/A",IF(Brand_Profile!$G$60=0,Lookup_Lists!$D$150,ROUND((IF(Brand_Profile!$G$54="",0,IF(ISNUMBER(SEARCH(Brand_Profile!$G$54,Matching_Engine!$BE$73)),1,0))+IF(Brand_Profile!$G$55="",0,IF(ISNUMBER(SEARCH(Brand_Profile!$G$55,Matching_Engine!$BE$73)),1,0))+IF(Brand_Profile!$G$56="",0,IF(ISNUMBER(SEARCH(Brand_Profile!$G$56,Matching_Engine!$BE$73)),1,0))+IF(Brand_Profile!$G$57="",0,IF(ISNUMBER(SEARCH(Brand_Profile!$G$57,Matching_Engine!$BE$73)),1,0))+IF(Brand_Profile!$G$58="",0,IF(ISNUMBER(SEARCH(Brand_Profile!$G$58,Matching_Engine!$BE$73)),1,0))+IF(Brand_Profile!$G$59="",0,IF(ISNUMBER(SEARCH(Brand_Profile!$G$59,Matching_Engine!$BE$73)),1,0)))/Brand_Profile!$G$60*100,0)))</f>
        <v>#VALUE!</v>
      </c>
      <c r="X73" s="65" t="e">
        <f>IF(NOT(AND(ISTEXT('[1]#REF'!$Q$25),'[1]#REF'!$Q$25&lt;&gt;"N/A")),"N/A",Lookup_Lists!$D$150)</f>
        <v>#REF!</v>
      </c>
      <c r="Y73" s="63">
        <f>IF((IF(ISNUMBER(Matching_Engine!$U$73),Lookup_Lists!$D$335,0)+IF(ISNUMBER(Matching_Engine!$V$73),Lookup_Lists!$D$122,0)+IF(ISNUMBER(Matching_Engine!$W$73),Lookup_Lists!$D$336,0)+IF(ISNUMBER(Matching_Engine!$X$73),Lookup_Lists!$D$124,0))=0,"N/A",ROUND((IF(ISNUMBER(Matching_Engine!$U$73),Matching_Engine!$U$73*Lookup_Lists!$D$335,0)+IF(ISNUMBER(Matching_Engine!$V$73),Matching_Engine!$V$73*Lookup_Lists!$D$122,0)+IF(ISNUMBER(Matching_Engine!$W$73),Matching_Engine!$W$73*Lookup_Lists!$D$336,0)+IF(ISNUMBER(Matching_Engine!$X$73),Matching_Engine!$X$73*Lookup_Lists!$D$124,0))/(IF(ISNUMBER(Matching_Engine!$U$73),Lookup_Lists!$D$335,0)+IF(ISNUMBER(Matching_Engine!$V$73),Lookup_Lists!$D$122,0)+IF(ISNUMBER(Matching_Engine!$W$73),Lookup_Lists!$D$336,0)+IF(ISNUMBER(Matching_Engine!$X$73),Lookup_Lists!$D$124,0)),0))</f>
        <v>10</v>
      </c>
      <c r="Z73" s="42">
        <f>IF(ISNUMBER(Matching_Engine!$Y$73),1,0)</f>
        <v>1</v>
      </c>
      <c r="AA73" s="65" t="e">
        <f>IF(NOT(AND(ISTEXT('[1]#REF'!$Q$25),'[1]#REF'!$Q$25&lt;&gt;"N/A")),"N/A",Lookup_Lists!$D$150)</f>
        <v>#REF!</v>
      </c>
      <c r="AB73" s="65" t="e">
        <f>IF(NOT(AND(ISTEXT('[1]#REF'!$Q$25),'[1]#REF'!$Q$25&lt;&gt;"N/A")),"N/A",Lookup_Lists!$D$150)</f>
        <v>#REF!</v>
      </c>
      <c r="AC73" s="65" t="str">
        <f t="shared" si="1"/>
        <v>N/A</v>
      </c>
      <c r="AD73" s="65" t="e">
        <f>IF(NOT(AND(ISTEXT('[1]#REF'!$Q$25),'[1]#REF'!$Q$25&lt;&gt;"N/A")),"N/A",Lookup_Lists!$D$150)</f>
        <v>#REF!</v>
      </c>
      <c r="AE73" s="63">
        <f>IF((IF(ISNUMBER(Matching_Engine!$AA$73),Lookup_Lists!$D$125,0)+IF(ISNUMBER(Matching_Engine!$AB$73),Lookup_Lists!$D$126,0)+IF(ISNUMBER(Matching_Engine!$AC$73),Lookup_Lists!$D$127,0)+IF(ISNUMBER(Matching_Engine!$AD$73),Lookup_Lists!$D$128,0))=0,"N/A",ROUND((IF(ISNUMBER(Matching_Engine!$AA$73),Matching_Engine!$AA$73*Lookup_Lists!$D$125,0)+IF(ISNUMBER(Matching_Engine!$AB$73),Matching_Engine!$AB$73*Lookup_Lists!$D$126,0)+IF(ISNUMBER(Matching_Engine!$AC$73),Matching_Engine!$AC$73*Lookup_Lists!$D$127,0)+IF(ISNUMBER(Matching_Engine!$AD$73),Matching_Engine!$AD$73*Lookup_Lists!$D$128,0))/(IF(ISNUMBER(Matching_Engine!$AA$73),Lookup_Lists!$D$125,0)+IF(ISNUMBER(Matching_Engine!$AB$73),Lookup_Lists!$D$126,0)+IF(ISNUMBER(Matching_Engine!$AC$73),Lookup_Lists!$D$127,0)+IF(ISNUMBER(Matching_Engine!$AD$73),Lookup_Lists!$D$128,0)),0))</f>
        <v>40</v>
      </c>
      <c r="AF73" s="42">
        <f>IF(ISNUMBER(Matching_Engine!$AE$73),1,0)</f>
        <v>1</v>
      </c>
      <c r="AG73" s="65" t="str">
        <f>IF(NOT(ISNUMBER('[1]#REF'!$BG$25)),"N/A",MIN(100,ROUND('[1]#REF'!$BG$25/IFERROR(INDEX(Lookup_Lists!$B$340:$B$344,MATCH('[1]#REF'!$H$25,Lookup_Lists!$A$340:$A$344,0)),Lookup_Lists!$D$141)*100,0)))</f>
        <v>N/A</v>
      </c>
      <c r="AH73" s="65" t="str">
        <f>IF(NOT(ISNUMBER('[1]#REF'!$BS$25)),"N/A",MIN(100,MAX(0,'[1]#REF'!$BS$25)))</f>
        <v>N/A</v>
      </c>
      <c r="AI73" s="65" t="e">
        <f>IF(OR(NOT(ISNUMBER('[1]#REF'!$BM$25)),NOT(ISNUMBER('[1]#REF'!$BN$25)),'[1]#REF'!$BN$25&lt;Lookup_Lists!$D$320),"N/A",MIN(100,ROUND('[1]#REF'!$BM$25/Lookup_Lists!$D$319*100,0)))</f>
        <v>#REF!</v>
      </c>
      <c r="AJ73" s="65" t="str">
        <f>IF(NOT(ISNUMBER('[1]#REF'!$BR$25)),"N/A",'[1]#REF'!$BR$25)</f>
        <v>N/A</v>
      </c>
      <c r="AK73" s="65" t="str">
        <f>IF(NOT(ISNUMBER('[1]#REF'!$BK$25)),"N/A",MIN(100,ROUND('[1]#REF'!$BK$25/Lookup_Lists!$D$321*100,0)))</f>
        <v>N/A</v>
      </c>
      <c r="AL73" s="65" t="str">
        <f>IF(NOT(ISNUMBER('[1]#REF'!$BP$25)),"N/A",MIN(100,MAX(0,ROUND(('[1]#REF'!$BP$25+2)/(Lookup_Lists!$D$145+2)*100,0))))</f>
        <v>N/A</v>
      </c>
      <c r="AM73" s="63">
        <f>IF((IF(ISNUMBER(Matching_Engine!$AG$73),Lookup_Lists!$D$129,0)+IF(ISNUMBER(Matching_Engine!$AH$73),Lookup_Lists!$D$130,0)+IF(ISNUMBER(Matching_Engine!$AI$73),Lookup_Lists!$D$131,0)+IF(ISNUMBER(Matching_Engine!$AJ$73),Lookup_Lists!$D$132,0)+IF(ISNUMBER(Matching_Engine!$AK$73),Lookup_Lists!$D$133,0)+IF(ISNUMBER(Matching_Engine!$AL$73),Lookup_Lists!$D$134,0))=0,"N/A",ROUND((IF(ISNUMBER(Matching_Engine!$AG$73),Matching_Engine!$AG$73*Lookup_Lists!$D$129,0)+IF(ISNUMBER(Matching_Engine!$AH$73),Matching_Engine!$AH$73*Lookup_Lists!$D$130,0)+IF(ISNUMBER(Matching_Engine!$AI$73),Matching_Engine!$AI$73*Lookup_Lists!$D$131,0)+IF(ISNUMBER(Matching_Engine!$AJ$73),Matching_Engine!$AJ$73*Lookup_Lists!$D$132,0)+IF(ISNUMBER(Matching_Engine!$AK$73),Matching_Engine!$AK$73*Lookup_Lists!$D$133,0)+IF(ISNUMBER(Matching_Engine!$AL$73),Matching_Engine!$AL$73*Lookup_Lists!$D$134,0))/(IF(ISNUMBER(Matching_Engine!$AG$73),Lookup_Lists!$D$129,0)+IF(ISNUMBER(Matching_Engine!$AH$73),Lookup_Lists!$D$130,0)+IF(ISNUMBER(Matching_Engine!$AI$73),Lookup_Lists!$D$131,0)+IF(ISNUMBER(Matching_Engine!$AJ$73),Lookup_Lists!$D$132,0)+IF(ISNUMBER(Matching_Engine!$AK$73),Lookup_Lists!$D$133,0)+IF(ISNUMBER(Matching_Engine!$AL$73),Lookup_Lists!$D$134,0)),0))</f>
        <v>71</v>
      </c>
      <c r="AN73" s="42">
        <f>IF(ISNUMBER(Matching_Engine!$AM$73),1,0)</f>
        <v>0</v>
      </c>
      <c r="AO73" s="65" t="str">
        <f>IF(NOT(ISNUMBER('[1]#REF'!$BT$25)),"N/A",MIN(100,MAX(0,'[1]#REF'!$BT$25)))</f>
        <v>N/A</v>
      </c>
      <c r="AP73" s="65" t="str">
        <f>IF(NOT(ISNUMBER('[1]#REF'!$BU$25)),"N/A",MIN(100,MAX(0,'[1]#REF'!$BU$25)))</f>
        <v>N/A</v>
      </c>
      <c r="AQ73" s="65" t="e">
        <f>IF('[1]#REF'!$I$25="Yes",Lookup_Lists!$D$326,IF('[1]#REF'!$I$25="No",Lookup_Lists!$D$327,"N/A"))</f>
        <v>#REF!</v>
      </c>
      <c r="AR73" s="65" t="str">
        <f>IF(NOT(ISNUMBER('[1]#REF'!$BQ$25)),"N/A",MAX(0,ROUND(100-'[1]#REF'!$BQ$25/Lookup_Lists!$D$328*100,0)))</f>
        <v>N/A</v>
      </c>
      <c r="AS73" s="65" t="e">
        <f>IF(NOT(AND(ISTEXT('[1]#REF'!$BV$25),'[1]#REF'!$BV$25&lt;&gt;"N/A")),"N/A",'[1]#REF'!$BV$25)</f>
        <v>#REF!</v>
      </c>
      <c r="AT73" s="63" t="str">
        <f ca="1">IF((IF(ISNUMBER(Matching_Engine!$AO$73),Lookup_Lists!$D$322,0)+IF(ISNUMBER(Matching_Engine!$AP$73),Lookup_Lists!$D$323,0)+IF(ISNUMBER(Matching_Engine!$AQ$73),Lookup_Lists!$D$324,0)+IF(ISNUMBER(Matching_Engine!$AR$73),Lookup_Lists!$D$325,0))=0,"N/A",ROUND((IF(ISNUMBER(Matching_Engine!$AO$73),Matching_Engine!$AO$73*Lookup_Lists!$D$322,0)+IF(ISNUMBER(Matching_Engine!$AP$73),Matching_Engine!$AP$73*Lookup_Lists!$D$323,0)+IF(ISNUMBER(Matching_Engine!$AQ$73),Matching_Engine!$AQ$73*Lookup_Lists!$D$324,0)+IF(ISNUMBER(Matching_Engine!$AR$73),Matching_Engine!$AR$73*Lookup_Lists!$D$325,0))/(IF(ISNUMBER(Matching_Engine!$AO$73),Lookup_Lists!$D$322,0)+IF(ISNUMBER(Matching_Engine!$AP$73),Lookup_Lists!$D$323,0)+IF(ISNUMBER(Matching_Engine!$AQ$73),Lookup_Lists!$D$324,0)+IF(ISNUMBER(Matching_Engine!$AR$73),Lookup_Lists!$D$325,0)),0))</f>
        <v>N/A</v>
      </c>
      <c r="AU73" s="42">
        <f>IF(ISNUMBER(Matching_Engine!$AT$73),1,0)</f>
        <v>1</v>
      </c>
      <c r="AV73" s="42" t="str">
        <f>IF(NOT(ISNUMBER(Matching_Engine!$AT$73)),"Not Screened",IF(Matching_Engine!$AT$73&gt;=Lookup_Lists!$D$329,"Low Risk",IF(Matching_Engine!$AT$73&gt;=Lookup_Lists!$D$330,"Moderate Risk",IF(Matching_Engine!$AT$73&gt;=Lookup_Lists!$D$331,"Elevated Risk","High Risk"))))</f>
        <v>Low Risk</v>
      </c>
      <c r="AW73" s="42" t="e">
        <f ca="1">IF(NOT(ISNUMBER(Matching_Engine!$AT$73)),"No integrity signal: no audience-analysis row for this account.","Integrity screen only — no content-risk reading exists (comments_analysis: 0 rows). "&amp;IF(ISNUMBER(Matching_Engine!$AO$73),"Authenticity "&amp;Matching_Engine!$AO$73&amp;". ","Authenticity N/A. ")&amp;IF(ISNUMBER(Matching_Engine!$AP$73),"Follower quality "&amp;Matching_Engine!$AP$73&amp;". ","Follower quality N/A. ")&amp;IF('[1]#REF'!$I$25="Yes","Platform-verified.","Not platform-verified."))</f>
        <v>#REF!</v>
      </c>
      <c r="AX73" s="65">
        <f>Matching_Engine!$N$73*Lookup_Lists!$D$104+Matching_Engine!$T$73*Lookup_Lists!$D$105+Matching_Engine!$Z$73*Lookup_Lists!$D$106+Matching_Engine!$AF$73*Lookup_Lists!$D$107+Matching_Engine!$AN$73*Lookup_Lists!$D$108+Matching_Engine!$AU$73*Lookup_Lists!$D$109</f>
        <v>3819.5</v>
      </c>
      <c r="AY73" s="74" t="e">
        <f ca="1">IF(Matching_Engine!$AX$73=0,"N/A",ROUND((IF(Matching_Engine!$N$73=1,Matching_Engine!$M$73*Lookup_Lists!$D$104,0)+IF(Matching_Engine!$T$73=1,Matching_Engine!$S$73*Lookup_Lists!$D$105,0)+IF(Matching_Engine!$Z$73=1,Matching_Engine!$Y$73*Lookup_Lists!$D$106,0)+IF(Matching_Engine!$AF$73=1,Matching_Engine!$AE$73*Lookup_Lists!$D$107,0)+IF(Matching_Engine!$AN$73=1,Matching_Engine!$AM$73*Lookup_Lists!$D$108,0)+IF(Matching_Engine!$AU$73=1,Matching_Engine!$AT$73*Lookup_Lists!$D$109,0))/Matching_Engine!$AX$73,0))</f>
        <v>#VALUE!</v>
      </c>
      <c r="AZ73" s="42" t="str">
        <f ca="1">IF(NOT(ISNUMBER(Matching_Engine!$AY$73)),"Not Scored",IF(Matching_Engine!$AY$73&gt;=Lookup_Lists!$D$152,"Excellent Match",IF(Matching_Engine!$AY$73&gt;=Lookup_Lists!$D$153,"Strong Match",IF(Matching_Engine!$AY$73&gt;=Lookup_Lists!$D$154,"Good Match",IF(Matching_Engine!$AY$73&gt;=Lookup_Lists!$D$155,"Moderate Match","Low Match")))))</f>
        <v>Low Match</v>
      </c>
      <c r="BA73" s="65" t="e">
        <f>'[1]#REF'!$BW$25</f>
        <v>#REF!</v>
      </c>
      <c r="BB73" s="42" t="e">
        <f>'[1]#REF'!$BX$25</f>
        <v>#REF!</v>
      </c>
      <c r="BC73" s="65">
        <f ca="1">IF(NOT(ISNUMBER(Matching_Engine!$AY$73)),-1,Matching_Engine!$AY$73*1000+5)</f>
        <v>47005</v>
      </c>
      <c r="BD73" s="42" t="e">
        <f>IF(AND(ISTEXT('[1]#REF'!$S$25),'[1]#REF'!$S$25&lt;&gt;"N/A"),'[1]#REF'!$S$25,"")&amp;" | "&amp;IF(AND(ISTEXT('[1]#REF'!$T$25),'[1]#REF'!$T$25&lt;&gt;"N/A"),'[1]#REF'!$T$25,"")&amp;" | "&amp;IF(AND(ISTEXT('[1]#REF'!$N$25),'[1]#REF'!$N$25&lt;&gt;"N/A"),'[1]#REF'!$N$25,"")&amp;" | "&amp;IF(AND(ISTEXT('[1]#REF'!$K$25),'[1]#REF'!$K$25&lt;&gt;"N/A"),'[1]#REF'!$K$25,"")&amp;" | "&amp;IF(AND(ISTEXT('[1]#REF'!$J$25),'[1]#REF'!$J$25&lt;&gt;"N/A"),'[1]#REF'!$J$25,"")</f>
        <v>#REF!</v>
      </c>
      <c r="BE73" s="42" t="e">
        <f>IF(AND(ISTEXT('[1]#REF'!$T$25),'[1]#REF'!$T$25&lt;&gt;"N/A"),'[1]#REF'!$T$25,"")&amp;" | "&amp;IF(AND(ISTEXT('[1]#REF'!$N$25),'[1]#REF'!$N$25&lt;&gt;"N/A"),'[1]#REF'!$N$25,"")&amp;" | "&amp;IF(AND(ISTEXT('[1]#REF'!$O$25),'[1]#REF'!$O$25&lt;&gt;"N/A"),'[1]#REF'!$O$25,"")&amp;" | "&amp;IF(AND(ISTEXT('[1]#REF'!$S$25),'[1]#REF'!$S$25&lt;&gt;"N/A"),'[1]#REF'!$S$25,"")</f>
        <v>#REF!</v>
      </c>
      <c r="BF73" s="42" t="e">
        <f>IF(AND(ISTEXT('[1]#REF'!$U$25),'[1]#REF'!$U$25&lt;&gt;"N/A"),'[1]#REF'!$U$25,"")</f>
        <v>#REF!</v>
      </c>
      <c r="BG73" s="42" t="str">
        <f>Matching_Engine!$A$73&amp;"|"&amp;Matching_Engine!$C$73</f>
        <v>BRAND-C|KOL-08</v>
      </c>
    </row>
    <row r="74" spans="1:59">
      <c r="A74" s="64" t="s">
        <v>2529</v>
      </c>
      <c r="B74" s="42" t="str">
        <f>Brand_Profile!$G$6</f>
        <v>Active Value</v>
      </c>
      <c r="C74" s="42" t="e">
        <f>'[1]#REF'!$A$26</f>
        <v>#REF!</v>
      </c>
      <c r="D74" s="42" t="e">
        <f>'[1]#REF'!$C$26</f>
        <v>#REF!</v>
      </c>
      <c r="E74" s="42" t="e">
        <f>'[1]#REF'!$D$26</f>
        <v>#REF!</v>
      </c>
      <c r="F74" s="42" t="e">
        <f>'[1]#REF'!$E$26</f>
        <v>#REF!</v>
      </c>
      <c r="G74" s="42" t="e">
        <f>'[1]#REF'!$K$26</f>
        <v>#REF!</v>
      </c>
      <c r="H74" s="72" t="e">
        <f>'[1]#REF'!$G$26</f>
        <v>#REF!</v>
      </c>
      <c r="I74" s="73" t="e">
        <f>'[1]#REF'!$BG$26</f>
        <v>#REF!</v>
      </c>
      <c r="J74" s="65" t="e">
        <f>IF(NOT(AND(ISTEXT('[1]#REF'!$K$26),'[1]#REF'!$K$26&lt;&gt;"N/A")),Lookup_Lists!$D$150,IF(Brand_Profile!$G$7='[1]#REF'!$K$26,100,IFERROR(INDEX(Lookup_Lists!$B$349:$J$357,MATCH(Brand_Profile!$G$7,Lookup_Lists!$A$349:$A$357,0),MATCH('[1]#REF'!$K$26,Lookup_Lists!$B$348:$J$348,0)),Lookup_Lists!$D$151)))</f>
        <v>#REF!</v>
      </c>
      <c r="K74" s="65" t="e">
        <f>IF(LEN(TRIM(SUBSTITUTE(Matching_Engine!$BD$74,"|","")))=0,"N/A",IF(Brand_Profile!$G$47=0,Lookup_Lists!$D$150,ROUND((IF(Brand_Profile!$G$41="",0,IF(ISNUMBER(SEARCH(Brand_Profile!$G$41,Matching_Engine!$BD$74)),1,0))+IF(Brand_Profile!$G$42="",0,IF(ISNUMBER(SEARCH(Brand_Profile!$G$42,Matching_Engine!$BD$74)),1,0))+IF(Brand_Profile!$G$43="",0,IF(ISNUMBER(SEARCH(Brand_Profile!$G$43,Matching_Engine!$BD$74)),1,0))+IF(Brand_Profile!$G$44="",0,IF(ISNUMBER(SEARCH(Brand_Profile!$G$44,Matching_Engine!$BD$74)),1,0))+IF(Brand_Profile!$G$45="",0,IF(ISNUMBER(SEARCH(Brand_Profile!$G$45,Matching_Engine!$BD$74)),1,0))+IF(Brand_Profile!$G$46="",0,IF(ISNUMBER(SEARCH(Brand_Profile!$G$46,Matching_Engine!$BD$74)),1,0)))/Brand_Profile!$G$47*100,0)))</f>
        <v>#VALUE!</v>
      </c>
      <c r="L74" s="65" t="e">
        <f>IF(NOT(AND(ISTEXT('[1]#REF'!$U$26),'[1]#REF'!$U$26&lt;&gt;"N/A")),"N/A",IF(Brand_Profile!$G$53=0,Lookup_Lists!$D$150,ROUND((IF(Brand_Profile!$G$48="",0,IF(ISNUMBER(SEARCH(Brand_Profile!$G$48,Matching_Engine!$BF$74)),1,0))+IF(Brand_Profile!$G$49="",0,IF(ISNUMBER(SEARCH(Brand_Profile!$G$49,Matching_Engine!$BF$74)),1,0))+IF(Brand_Profile!$G$50="",0,IF(ISNUMBER(SEARCH(Brand_Profile!$G$50,Matching_Engine!$BF$74)),1,0))+IF(Brand_Profile!$G$51="",0,IF(ISNUMBER(SEARCH(Brand_Profile!$G$51,Matching_Engine!$BF$74)),1,0))+IF(Brand_Profile!$G$52="",0,IF(ISNUMBER(SEARCH(Brand_Profile!$G$52,Matching_Engine!$BF$74)),1,0)))/Brand_Profile!$G$53*100,0)))</f>
        <v>#REF!</v>
      </c>
      <c r="M74" s="63" t="str">
        <f>IF((IF(ISNUMBER(Matching_Engine!$J$74),Lookup_Lists!$D$332,0)+IF(ISNUMBER(Matching_Engine!$K$74),Lookup_Lists!$D$333,0)+IF(ISNUMBER(Matching_Engine!$L$74),Lookup_Lists!$D$334,0))=0,"N/A",ROUND((IF(ISNUMBER(Matching_Engine!$J$74),Matching_Engine!$J$74*Lookup_Lists!$D$332,0)+IF(ISNUMBER(Matching_Engine!$K$74),Matching_Engine!$K$74*Lookup_Lists!$D$333,0)+IF(ISNUMBER(Matching_Engine!$L$74),Matching_Engine!$L$74*Lookup_Lists!$D$334,0))/(IF(ISNUMBER(Matching_Engine!$J$74),Lookup_Lists!$D$332,0)+IF(ISNUMBER(Matching_Engine!$K$74),Lookup_Lists!$D$333,0)+IF(ISNUMBER(Matching_Engine!$L$74),Lookup_Lists!$D$334,0)),0))</f>
        <v>N/A</v>
      </c>
      <c r="N74" s="42">
        <f>IF(ISNUMBER(Matching_Engine!$M$74),1,0)</f>
        <v>1</v>
      </c>
      <c r="O74" s="65" t="str">
        <f ca="1">IF(NOT(ISNUMBER(IFERROR(INDEX('[1]#REF'!$V$26:'[1]#REF'!$Z$26,1,MATCH(Brand_Profile!$G$11,Lookup_Lists!$F$6:$F$10,0)),""))),"N/A",MIN(100,ROUND((IFERROR(INDEX('[1]#REF'!$V$26:'[1]#REF'!$Z$26,1,MATCH(Brand_Profile!$G$11,Lookup_Lists!$F$6:$F$10,0)),"")+0.5*IF(ISNUMBER(IFERROR(INDEX('[1]#REF'!$V$26:'[1]#REF'!$Z$26,1,MATCH(Brand_Profile!$G$12,Lookup_Lists!$F$6:$F$10,0)),"")),IFERROR(INDEX('[1]#REF'!$V$26:'[1]#REF'!$Z$26,1,MATCH(Brand_Profile!$G$12,Lookup_Lists!$F$6:$F$10,0)),""),0))/Lookup_Lists!$D$142*100,0)))</f>
        <v>N/A</v>
      </c>
      <c r="P74" s="65" t="str">
        <f>IF(Brand_Profile!$G$13="Any",100,IF(NOT(ISNUMBER('[1]#REF'!$AA$26)),"N/A",IF(Brand_Profile!$G$13="Female",MIN(100,ROUND('[1]#REF'!$AA$26/Lookup_Lists!$D$143*100,0)),IF(Brand_Profile!$G$13="Male",MIN(100,ROUND(IF(ISNUMBER('[1]#REF'!$AB$26),'[1]#REF'!$AB$26,100-'[1]#REF'!$AA$26)/Lookup_Lists!$D$143*100,0)),MAX(0,ROUND(100-ABS('[1]#REF'!$AA$26-50)*2,0))))))</f>
        <v>N/A</v>
      </c>
      <c r="Q74" s="65" t="str">
        <f>IF((IF(ISNUMBER(IF(NOT(ISNUMBER('[1]#REF'!$AE$26)),"N/A",IF('[1]#REF'!$AD$26&lt;&gt;Brand_Profile!$G$14,Lookup_Lists!$D$151,MIN(100,ROUND('[1]#REF'!$AE$26/Lookup_Lists!$D$316*100,0))))),Lookup_Lists!$D$118,0)+IF(ISNUMBER(IF(NOT(ISNUMBER('[1]#REF'!$AM$26)),"N/A",MIN(100,ROUND((IF('[1]#REF'!$AG$26=Brand_Profile!$G$15,IF(ISNUMBER('[1]#REF'!$AH$26),'[1]#REF'!$AH$26,0),0)+IF('[1]#REF'!$AI$26=Brand_Profile!$G$15,IF(ISNUMBER('[1]#REF'!$AJ$26),'[1]#REF'!$AJ$26,0),0)+IF('[1]#REF'!$AK$26=Brand_Profile!$G$15,IF(ISNUMBER('[1]#REF'!$AL$26),'[1]#REF'!$AL$26,0),0))/Lookup_Lists!$D$317*100,0)))),Lookup_Lists!$D$120,0))=0,"N/A",ROUND((IF(ISNUMBER(IF(NOT(ISNUMBER('[1]#REF'!$AE$26)),"N/A",IF('[1]#REF'!$AD$26&lt;&gt;Brand_Profile!$G$14,Lookup_Lists!$D$151,MIN(100,ROUND('[1]#REF'!$AE$26/Lookup_Lists!$D$316*100,0))))),IF(NOT(ISNUMBER('[1]#REF'!$AE$26)),"N/A",IF('[1]#REF'!$AD$26&lt;&gt;Brand_Profile!$G$14,Lookup_Lists!$D$151,MIN(100,ROUND('[1]#REF'!$AE$26/Lookup_Lists!$D$316*100,0))))*Lookup_Lists!$D$118,0)+IF(ISNUMBER(IF(NOT(ISNUMBER('[1]#REF'!$AM$26)),"N/A",MIN(100,ROUND((IF('[1]#REF'!$AG$26=Brand_Profile!$G$15,IF(ISNUMBER('[1]#REF'!$AH$26),'[1]#REF'!$AH$26,0),0)+IF('[1]#REF'!$AI$26=Brand_Profile!$G$15,IF(ISNUMBER('[1]#REF'!$AJ$26),'[1]#REF'!$AJ$26,0),0)+IF('[1]#REF'!$AK$26=Brand_Profile!$G$15,IF(ISNUMBER('[1]#REF'!$AL$26),'[1]#REF'!$AL$26,0),0))/Lookup_Lists!$D$317*100,0)))),IF(NOT(ISNUMBER('[1]#REF'!$AM$26)),"N/A",MIN(100,ROUND((IF('[1]#REF'!$AG$26=Brand_Profile!$G$15,IF(ISNUMBER('[1]#REF'!$AH$26),'[1]#REF'!$AH$26,0),0)+IF('[1]#REF'!$AI$26=Brand_Profile!$G$15,IF(ISNUMBER('[1]#REF'!$AJ$26),'[1]#REF'!$AJ$26,0),0)+IF('[1]#REF'!$AK$26=Brand_Profile!$G$15,IF(ISNUMBER('[1]#REF'!$AL$26),'[1]#REF'!$AL$26,0),0))/Lookup_Lists!$D$317*100,0)))*Lookup_Lists!$D$120,0))/(IF(ISNUMBER(IF(NOT(ISNUMBER('[1]#REF'!$AE$26)),"N/A",IF('[1]#REF'!$AD$26&lt;&gt;Brand_Profile!$G$14,Lookup_Lists!$D$151,MIN(100,ROUND('[1]#REF'!$AE$26/Lookup_Lists!$D$316*100,0))))),Lookup_Lists!$D$118,0)+IF(ISNUMBER(IF(NOT(ISNUMBER('[1]#REF'!$AM$26)),"N/A",MIN(100,ROUND((IF('[1]#REF'!$AG$26=Brand_Profile!$G$15,IF(ISNUMBER('[1]#REF'!$AH$26),'[1]#REF'!$AH$26,0),0)+IF('[1]#REF'!$AI$26=Brand_Profile!$G$15,IF(ISNUMBER('[1]#REF'!$AJ$26),'[1]#REF'!$AJ$26,0),0)+IF('[1]#REF'!$AK$26=Brand_Profile!$G$15,IF(ISNUMBER('[1]#REF'!$AL$26),'[1]#REF'!$AL$26,0),0))/Lookup_Lists!$D$317*100,0)))),Lookup_Lists!$D$120,0)),0))</f>
        <v>N/A</v>
      </c>
      <c r="R74" s="65" t="str">
        <f>IF(NOT(ISNUMBER('[1]#REF'!$AN$26)),"N/A",MIN(100,ROUND((IF(ISNUMBER('[1]#REF'!$AO$26),'[1]#REF'!$AO$26*Brand_Profile!$G$17,0)+IF(ISNUMBER('[1]#REF'!$AP$26),'[1]#REF'!$AP$26*Brand_Profile!$G$18,0)+IF(ISNUMBER('[1]#REF'!$AQ$26),'[1]#REF'!$AQ$26*Brand_Profile!$G$19,0)+IF(ISNUMBER('[1]#REF'!$AR$26),'[1]#REF'!$AR$26*Brand_Profile!$G$20,0)+IF(ISNUMBER('[1]#REF'!$AS$26),'[1]#REF'!$AS$26*Brand_Profile!$G$21,0)+IF(ISNUMBER('[1]#REF'!$AT$26),'[1]#REF'!$AT$26*Brand_Profile!$G$22,0)+IF(ISNUMBER('[1]#REF'!$AU$26),'[1]#REF'!$AU$26*Brand_Profile!$G$23,0)+IF(ISNUMBER('[1]#REF'!$AV$26),'[1]#REF'!$AV$26*Brand_Profile!$G$24,0)+IF(ISNUMBER('[1]#REF'!$AW$26),'[1]#REF'!$AW$26*Brand_Profile!$G$25,0)+IF(ISNUMBER('[1]#REF'!$AX$26),'[1]#REF'!$AX$26*Brand_Profile!$G$26,0)+IF(ISNUMBER('[1]#REF'!$AY$26),'[1]#REF'!$AY$26*Brand_Profile!$G$27,0)+IF(ISNUMBER('[1]#REF'!$AZ$26),'[1]#REF'!$AZ$26*Brand_Profile!$G$28,0)+IF(ISNUMBER('[1]#REF'!$BA$26),'[1]#REF'!$BA$26*Brand_Profile!$G$29,0)+IF(ISNUMBER('[1]#REF'!$BB$26),'[1]#REF'!$BB$26*Brand_Profile!$G$30,0)+IF(ISNUMBER('[1]#REF'!$BC$26),'[1]#REF'!$BC$26*Brand_Profile!$G$31,0)+IF(ISNUMBER('[1]#REF'!$BD$26),'[1]#REF'!$BD$26*Brand_Profile!$G$32,0)+IF(ISNUMBER('[1]#REF'!$BE$26),'[1]#REF'!$BE$26*Brand_Profile!$G$33,0)+IF(ISNUMBER('[1]#REF'!$BF$26),'[1]#REF'!$BF$26*Brand_Profile!$G$34,0))/Lookup_Lists!$D$318*100,0)))</f>
        <v>N/A</v>
      </c>
      <c r="S74" s="63">
        <f ca="1">IF((IF(ISNUMBER(Matching_Engine!$O$74),Lookup_Lists!$D$113,0)+IF(ISNUMBER(Matching_Engine!$P$74),Lookup_Lists!$D$114,0)+IF(ISNUMBER(Matching_Engine!$Q$74),Lookup_Lists!$D$115,0)+IF(ISNUMBER(Matching_Engine!$R$74),Lookup_Lists!$D$116,0))=0,"N/A",ROUND((IF(ISNUMBER(Matching_Engine!$O$74),Matching_Engine!$O$74*Lookup_Lists!$D$113,0)+IF(ISNUMBER(Matching_Engine!$P$74),Matching_Engine!$P$74*Lookup_Lists!$D$114,0)+IF(ISNUMBER(Matching_Engine!$Q$74),Matching_Engine!$Q$74*Lookup_Lists!$D$115,0)+IF(ISNUMBER(Matching_Engine!$R$74),Matching_Engine!$R$74*Lookup_Lists!$D$116,0))/(IF(ISNUMBER(Matching_Engine!$O$74),Lookup_Lists!$D$113,0)+IF(ISNUMBER(Matching_Engine!$P$74),Lookup_Lists!$D$114,0)+IF(ISNUMBER(Matching_Engine!$Q$74),Lookup_Lists!$D$115,0)+IF(ISNUMBER(Matching_Engine!$R$74),Lookup_Lists!$D$116,0)),0))</f>
        <v>70</v>
      </c>
      <c r="T74" s="42">
        <f ca="1">IF(ISNUMBER(Matching_Engine!$S$74),1,0)</f>
        <v>1</v>
      </c>
      <c r="U74" s="65" t="e">
        <f>IF(NOT(AND(ISTEXT('[1]#REF'!$M$26),'[1]#REF'!$M$26&lt;&gt;"N/A")),Lookup_Lists!$D$150,IF(Brand_Profile!$G$7='[1]#REF'!$M$26,100,IFERROR(INDEX(Lookup_Lists!$B$349:$J$357,MATCH(Brand_Profile!$G$7,Lookup_Lists!$A$349:$A$357,0),MATCH('[1]#REF'!$M$26,Lookup_Lists!$B$348:$J$348,0)),Lookup_Lists!$D$151)))</f>
        <v>#REF!</v>
      </c>
      <c r="V74" s="65" t="e">
        <f>IF(NOT(AND(ISTEXT('[1]#REF'!$P$26),'[1]#REF'!$P$26&lt;&gt;"N/A")),"N/A",IFERROR(INDEX(Lookup_Lists!$B$349:$J$357,MATCH(Brand_Profile!$G$7,Lookup_Lists!$A$349:$A$357,0),MATCH('[1]#REF'!$P$26,Lookup_Lists!$B$348:$J$348,0)),Lookup_Lists!$D$151))</f>
        <v>#REF!</v>
      </c>
      <c r="W74" s="65" t="e">
        <f>IF(LEN(TRIM(SUBSTITUTE(Matching_Engine!$BE$74,"|","")))=0,"N/A",IF(Brand_Profile!$G$60=0,Lookup_Lists!$D$150,ROUND((IF(Brand_Profile!$G$54="",0,IF(ISNUMBER(SEARCH(Brand_Profile!$G$54,Matching_Engine!$BE$74)),1,0))+IF(Brand_Profile!$G$55="",0,IF(ISNUMBER(SEARCH(Brand_Profile!$G$55,Matching_Engine!$BE$74)),1,0))+IF(Brand_Profile!$G$56="",0,IF(ISNUMBER(SEARCH(Brand_Profile!$G$56,Matching_Engine!$BE$74)),1,0))+IF(Brand_Profile!$G$57="",0,IF(ISNUMBER(SEARCH(Brand_Profile!$G$57,Matching_Engine!$BE$74)),1,0))+IF(Brand_Profile!$G$58="",0,IF(ISNUMBER(SEARCH(Brand_Profile!$G$58,Matching_Engine!$BE$74)),1,0))+IF(Brand_Profile!$G$59="",0,IF(ISNUMBER(SEARCH(Brand_Profile!$G$59,Matching_Engine!$BE$74)),1,0)))/Brand_Profile!$G$60*100,0)))</f>
        <v>#VALUE!</v>
      </c>
      <c r="X74" s="65" t="e">
        <f>IF(NOT(AND(ISTEXT('[1]#REF'!$Q$26),'[1]#REF'!$Q$26&lt;&gt;"N/A")),"N/A",Lookup_Lists!$D$150)</f>
        <v>#REF!</v>
      </c>
      <c r="Y74" s="63">
        <f>IF((IF(ISNUMBER(Matching_Engine!$U$74),Lookup_Lists!$D$335,0)+IF(ISNUMBER(Matching_Engine!$V$74),Lookup_Lists!$D$122,0)+IF(ISNUMBER(Matching_Engine!$W$74),Lookup_Lists!$D$336,0)+IF(ISNUMBER(Matching_Engine!$X$74),Lookup_Lists!$D$124,0))=0,"N/A",ROUND((IF(ISNUMBER(Matching_Engine!$U$74),Matching_Engine!$U$74*Lookup_Lists!$D$335,0)+IF(ISNUMBER(Matching_Engine!$V$74),Matching_Engine!$V$74*Lookup_Lists!$D$122,0)+IF(ISNUMBER(Matching_Engine!$W$74),Matching_Engine!$W$74*Lookup_Lists!$D$336,0)+IF(ISNUMBER(Matching_Engine!$X$74),Matching_Engine!$X$74*Lookup_Lists!$D$124,0))/(IF(ISNUMBER(Matching_Engine!$U$74),Lookup_Lists!$D$335,0)+IF(ISNUMBER(Matching_Engine!$V$74),Lookup_Lists!$D$122,0)+IF(ISNUMBER(Matching_Engine!$W$74),Lookup_Lists!$D$336,0)+IF(ISNUMBER(Matching_Engine!$X$74),Lookup_Lists!$D$124,0)),0))</f>
        <v>23</v>
      </c>
      <c r="Z74" s="42">
        <f>IF(ISNUMBER(Matching_Engine!$Y$74),1,0)</f>
        <v>1</v>
      </c>
      <c r="AA74" s="65" t="e">
        <f>IF(NOT(AND(ISTEXT('[1]#REF'!$Q$26),'[1]#REF'!$Q$26&lt;&gt;"N/A")),"N/A",Lookup_Lists!$D$150)</f>
        <v>#REF!</v>
      </c>
      <c r="AB74" s="65" t="e">
        <f>IF(NOT(AND(ISTEXT('[1]#REF'!$Q$26),'[1]#REF'!$Q$26&lt;&gt;"N/A")),"N/A",Lookup_Lists!$D$150)</f>
        <v>#REF!</v>
      </c>
      <c r="AC74" s="65" t="str">
        <f t="shared" si="1"/>
        <v>N/A</v>
      </c>
      <c r="AD74" s="65" t="e">
        <f>IF(NOT(AND(ISTEXT('[1]#REF'!$Q$26),'[1]#REF'!$Q$26&lt;&gt;"N/A")),"N/A",Lookup_Lists!$D$150)</f>
        <v>#REF!</v>
      </c>
      <c r="AE74" s="63">
        <f>IF((IF(ISNUMBER(Matching_Engine!$AA$74),Lookup_Lists!$D$125,0)+IF(ISNUMBER(Matching_Engine!$AB$74),Lookup_Lists!$D$126,0)+IF(ISNUMBER(Matching_Engine!$AC$74),Lookup_Lists!$D$127,0)+IF(ISNUMBER(Matching_Engine!$AD$74),Lookup_Lists!$D$128,0))=0,"N/A",ROUND((IF(ISNUMBER(Matching_Engine!$AA$74),Matching_Engine!$AA$74*Lookup_Lists!$D$125,0)+IF(ISNUMBER(Matching_Engine!$AB$74),Matching_Engine!$AB$74*Lookup_Lists!$D$126,0)+IF(ISNUMBER(Matching_Engine!$AC$74),Matching_Engine!$AC$74*Lookup_Lists!$D$127,0)+IF(ISNUMBER(Matching_Engine!$AD$74),Matching_Engine!$AD$74*Lookup_Lists!$D$128,0))/(IF(ISNUMBER(Matching_Engine!$AA$74),Lookup_Lists!$D$125,0)+IF(ISNUMBER(Matching_Engine!$AB$74),Lookup_Lists!$D$126,0)+IF(ISNUMBER(Matching_Engine!$AC$74),Lookup_Lists!$D$127,0)+IF(ISNUMBER(Matching_Engine!$AD$74),Lookup_Lists!$D$128,0)),0))</f>
        <v>50</v>
      </c>
      <c r="AF74" s="42">
        <f>IF(ISNUMBER(Matching_Engine!$AE$74),1,0)</f>
        <v>1</v>
      </c>
      <c r="AG74" s="65" t="str">
        <f>IF(NOT(ISNUMBER('[1]#REF'!$BG$26)),"N/A",MIN(100,ROUND('[1]#REF'!$BG$26/IFERROR(INDEX(Lookup_Lists!$B$340:$B$344,MATCH('[1]#REF'!$H$26,Lookup_Lists!$A$340:$A$344,0)),Lookup_Lists!$D$141)*100,0)))</f>
        <v>N/A</v>
      </c>
      <c r="AH74" s="65" t="str">
        <f>IF(NOT(ISNUMBER('[1]#REF'!$BS$26)),"N/A",MIN(100,MAX(0,'[1]#REF'!$BS$26)))</f>
        <v>N/A</v>
      </c>
      <c r="AI74" s="65" t="e">
        <f>IF(OR(NOT(ISNUMBER('[1]#REF'!$BM$26)),NOT(ISNUMBER('[1]#REF'!$BN$26)),'[1]#REF'!$BN$26&lt;Lookup_Lists!$D$320),"N/A",MIN(100,ROUND('[1]#REF'!$BM$26/Lookup_Lists!$D$319*100,0)))</f>
        <v>#REF!</v>
      </c>
      <c r="AJ74" s="65" t="str">
        <f>IF(NOT(ISNUMBER('[1]#REF'!$BR$26)),"N/A",'[1]#REF'!$BR$26)</f>
        <v>N/A</v>
      </c>
      <c r="AK74" s="65" t="str">
        <f>IF(NOT(ISNUMBER('[1]#REF'!$BK$26)),"N/A",MIN(100,ROUND('[1]#REF'!$BK$26/Lookup_Lists!$D$321*100,0)))</f>
        <v>N/A</v>
      </c>
      <c r="AL74" s="65" t="str">
        <f>IF(NOT(ISNUMBER('[1]#REF'!$BP$26)),"N/A",MIN(100,MAX(0,ROUND(('[1]#REF'!$BP$26+2)/(Lookup_Lists!$D$145+2)*100,0))))</f>
        <v>N/A</v>
      </c>
      <c r="AM74" s="63">
        <f>IF((IF(ISNUMBER(Matching_Engine!$AG$74),Lookup_Lists!$D$129,0)+IF(ISNUMBER(Matching_Engine!$AH$74),Lookup_Lists!$D$130,0)+IF(ISNUMBER(Matching_Engine!$AI$74),Lookup_Lists!$D$131,0)+IF(ISNUMBER(Matching_Engine!$AJ$74),Lookup_Lists!$D$132,0)+IF(ISNUMBER(Matching_Engine!$AK$74),Lookup_Lists!$D$133,0)+IF(ISNUMBER(Matching_Engine!$AL$74),Lookup_Lists!$D$134,0))=0,"N/A",ROUND((IF(ISNUMBER(Matching_Engine!$AG$74),Matching_Engine!$AG$74*Lookup_Lists!$D$129,0)+IF(ISNUMBER(Matching_Engine!$AH$74),Matching_Engine!$AH$74*Lookup_Lists!$D$130,0)+IF(ISNUMBER(Matching_Engine!$AI$74),Matching_Engine!$AI$74*Lookup_Lists!$D$131,0)+IF(ISNUMBER(Matching_Engine!$AJ$74),Matching_Engine!$AJ$74*Lookup_Lists!$D$132,0)+IF(ISNUMBER(Matching_Engine!$AK$74),Matching_Engine!$AK$74*Lookup_Lists!$D$133,0)+IF(ISNUMBER(Matching_Engine!$AL$74),Matching_Engine!$AL$74*Lookup_Lists!$D$134,0))/(IF(ISNUMBER(Matching_Engine!$AG$74),Lookup_Lists!$D$129,0)+IF(ISNUMBER(Matching_Engine!$AH$74),Lookup_Lists!$D$130,0)+IF(ISNUMBER(Matching_Engine!$AI$74),Lookup_Lists!$D$131,0)+IF(ISNUMBER(Matching_Engine!$AJ$74),Lookup_Lists!$D$132,0)+IF(ISNUMBER(Matching_Engine!$AK$74),Lookup_Lists!$D$133,0)+IF(ISNUMBER(Matching_Engine!$AL$74),Lookup_Lists!$D$134,0)),0))</f>
        <v>89</v>
      </c>
      <c r="AN74" s="42">
        <f>IF(ISNUMBER(Matching_Engine!$AM$74),1,0)</f>
        <v>0</v>
      </c>
      <c r="AO74" s="65" t="str">
        <f>IF(NOT(ISNUMBER('[1]#REF'!$BT$26)),"N/A",MIN(100,MAX(0,'[1]#REF'!$BT$26)))</f>
        <v>N/A</v>
      </c>
      <c r="AP74" s="65" t="str">
        <f>IF(NOT(ISNUMBER('[1]#REF'!$BU$26)),"N/A",MIN(100,MAX(0,'[1]#REF'!$BU$26)))</f>
        <v>N/A</v>
      </c>
      <c r="AQ74" s="65" t="e">
        <f>IF('[1]#REF'!$I$26="Yes",Lookup_Lists!$D$326,IF('[1]#REF'!$I$26="No",Lookup_Lists!$D$327,"N/A"))</f>
        <v>#REF!</v>
      </c>
      <c r="AR74" s="65" t="str">
        <f>IF(NOT(ISNUMBER('[1]#REF'!$BQ$26)),"N/A",MAX(0,ROUND(100-'[1]#REF'!$BQ$26/Lookup_Lists!$D$328*100,0)))</f>
        <v>N/A</v>
      </c>
      <c r="AS74" s="65" t="e">
        <f>IF(NOT(AND(ISTEXT('[1]#REF'!$BV$26),'[1]#REF'!$BV$26&lt;&gt;"N/A")),"N/A",'[1]#REF'!$BV$26)</f>
        <v>#REF!</v>
      </c>
      <c r="AT74" s="63" t="str">
        <f ca="1">IF((IF(ISNUMBER(Matching_Engine!$AO$74),Lookup_Lists!$D$322,0)+IF(ISNUMBER(Matching_Engine!$AP$74),Lookup_Lists!$D$323,0)+IF(ISNUMBER(Matching_Engine!$AQ$74),Lookup_Lists!$D$324,0)+IF(ISNUMBER(Matching_Engine!$AR$74),Lookup_Lists!$D$325,0))=0,"N/A",ROUND((IF(ISNUMBER(Matching_Engine!$AO$74),Matching_Engine!$AO$74*Lookup_Lists!$D$322,0)+IF(ISNUMBER(Matching_Engine!$AP$74),Matching_Engine!$AP$74*Lookup_Lists!$D$323,0)+IF(ISNUMBER(Matching_Engine!$AQ$74),Matching_Engine!$AQ$74*Lookup_Lists!$D$324,0)+IF(ISNUMBER(Matching_Engine!$AR$74),Matching_Engine!$AR$74*Lookup_Lists!$D$325,0))/(IF(ISNUMBER(Matching_Engine!$AO$74),Lookup_Lists!$D$322,0)+IF(ISNUMBER(Matching_Engine!$AP$74),Lookup_Lists!$D$323,0)+IF(ISNUMBER(Matching_Engine!$AQ$74),Lookup_Lists!$D$324,0)+IF(ISNUMBER(Matching_Engine!$AR$74),Lookup_Lists!$D$325,0)),0))</f>
        <v>N/A</v>
      </c>
      <c r="AU74" s="42">
        <f>IF(ISNUMBER(Matching_Engine!$AT$74),1,0)</f>
        <v>1</v>
      </c>
      <c r="AV74" s="42" t="str">
        <f>IF(NOT(ISNUMBER(Matching_Engine!$AT$74)),"Not Screened",IF(Matching_Engine!$AT$74&gt;=Lookup_Lists!$D$329,"Low Risk",IF(Matching_Engine!$AT$74&gt;=Lookup_Lists!$D$330,"Moderate Risk",IF(Matching_Engine!$AT$74&gt;=Lookup_Lists!$D$331,"Elevated Risk","High Risk"))))</f>
        <v>Low Risk</v>
      </c>
      <c r="AW74" s="42" t="e">
        <f ca="1">IF(NOT(ISNUMBER(Matching_Engine!$AT$74)),"No integrity signal: no audience-analysis row for this account.","Integrity screen only — no content-risk reading exists (comments_analysis: 0 rows). "&amp;IF(ISNUMBER(Matching_Engine!$AO$74),"Authenticity "&amp;Matching_Engine!$AO$74&amp;". ","Authenticity N/A. ")&amp;IF(ISNUMBER(Matching_Engine!$AP$74),"Follower quality "&amp;Matching_Engine!$AP$74&amp;". ","Follower quality N/A. ")&amp;IF('[1]#REF'!$I$26="Yes","Platform-verified.","Not platform-verified."))</f>
        <v>#REF!</v>
      </c>
      <c r="AX74" s="65">
        <f>Matching_Engine!$N$74*Lookup_Lists!$D$104+Matching_Engine!$T$74*Lookup_Lists!$D$105+Matching_Engine!$Z$74*Lookup_Lists!$D$106+Matching_Engine!$AF$74*Lookup_Lists!$D$107+Matching_Engine!$AN$74*Lookup_Lists!$D$108+Matching_Engine!$AU$74*Lookup_Lists!$D$109</f>
        <v>3990</v>
      </c>
      <c r="AY74" s="74" t="e">
        <f ca="1">IF(Matching_Engine!$AX$74=0,"N/A",ROUND((IF(Matching_Engine!$N$74=1,Matching_Engine!$M$74*Lookup_Lists!$D$104,0)+IF(Matching_Engine!$T$74=1,Matching_Engine!$S$74*Lookup_Lists!$D$105,0)+IF(Matching_Engine!$Z$74=1,Matching_Engine!$Y$74*Lookup_Lists!$D$106,0)+IF(Matching_Engine!$AF$74=1,Matching_Engine!$AE$74*Lookup_Lists!$D$107,0)+IF(Matching_Engine!$AN$74=1,Matching_Engine!$AM$74*Lookup_Lists!$D$108,0)+IF(Matching_Engine!$AU$74=1,Matching_Engine!$AT$74*Lookup_Lists!$D$109,0))/Matching_Engine!$AX$74,0))</f>
        <v>#VALUE!</v>
      </c>
      <c r="AZ74" s="42" t="str">
        <f ca="1">IF(NOT(ISNUMBER(Matching_Engine!$AY$74)),"Not Scored",IF(Matching_Engine!$AY$74&gt;=Lookup_Lists!$D$152,"Excellent Match",IF(Matching_Engine!$AY$74&gt;=Lookup_Lists!$D$153,"Strong Match",IF(Matching_Engine!$AY$74&gt;=Lookup_Lists!$D$154,"Good Match",IF(Matching_Engine!$AY$74&gt;=Lookup_Lists!$D$155,"Moderate Match","Low Match")))))</f>
        <v>Not Scored</v>
      </c>
      <c r="BA74" s="65" t="e">
        <f>'[1]#REF'!$BW$26</f>
        <v>#REF!</v>
      </c>
      <c r="BB74" s="42" t="e">
        <f>'[1]#REF'!$BX$26</f>
        <v>#REF!</v>
      </c>
      <c r="BC74" s="65">
        <f ca="1">IF(NOT(ISNUMBER(Matching_Engine!$AY$74)),-1,Matching_Engine!$AY$74*1000+4)</f>
        <v>-1</v>
      </c>
      <c r="BD74" s="42" t="e">
        <f>IF(AND(ISTEXT('[1]#REF'!$S$26),'[1]#REF'!$S$26&lt;&gt;"N/A"),'[1]#REF'!$S$26,"")&amp;" | "&amp;IF(AND(ISTEXT('[1]#REF'!$T$26),'[1]#REF'!$T$26&lt;&gt;"N/A"),'[1]#REF'!$T$26,"")&amp;" | "&amp;IF(AND(ISTEXT('[1]#REF'!$N$26),'[1]#REF'!$N$26&lt;&gt;"N/A"),'[1]#REF'!$N$26,"")&amp;" | "&amp;IF(AND(ISTEXT('[1]#REF'!$K$26),'[1]#REF'!$K$26&lt;&gt;"N/A"),'[1]#REF'!$K$26,"")&amp;" | "&amp;IF(AND(ISTEXT('[1]#REF'!$J$26),'[1]#REF'!$J$26&lt;&gt;"N/A"),'[1]#REF'!$J$26,"")</f>
        <v>#REF!</v>
      </c>
      <c r="BE74" s="42" t="e">
        <f>IF(AND(ISTEXT('[1]#REF'!$T$26),'[1]#REF'!$T$26&lt;&gt;"N/A"),'[1]#REF'!$T$26,"")&amp;" | "&amp;IF(AND(ISTEXT('[1]#REF'!$N$26),'[1]#REF'!$N$26&lt;&gt;"N/A"),'[1]#REF'!$N$26,"")&amp;" | "&amp;IF(AND(ISTEXT('[1]#REF'!$O$26),'[1]#REF'!$O$26&lt;&gt;"N/A"),'[1]#REF'!$O$26,"")&amp;" | "&amp;IF(AND(ISTEXT('[1]#REF'!$S$26),'[1]#REF'!$S$26&lt;&gt;"N/A"),'[1]#REF'!$S$26,"")</f>
        <v>#REF!</v>
      </c>
      <c r="BF74" s="42" t="e">
        <f>IF(AND(ISTEXT('[1]#REF'!$U$26),'[1]#REF'!$U$26&lt;&gt;"N/A"),'[1]#REF'!$U$26,"")</f>
        <v>#REF!</v>
      </c>
      <c r="BG74" s="42" t="str">
        <f>Matching_Engine!$A$74&amp;"|"&amp;Matching_Engine!$C$74</f>
        <v>BRAND-C|KOL-09</v>
      </c>
    </row>
    <row r="75" spans="1:59">
      <c r="A75" s="64" t="s">
        <v>2529</v>
      </c>
      <c r="B75" s="42" t="str">
        <f>Brand_Profile!$G$6</f>
        <v>Active Value</v>
      </c>
      <c r="C75" s="42" t="e">
        <f>'[1]#REF'!$A$27</f>
        <v>#REF!</v>
      </c>
      <c r="D75" s="42" t="e">
        <f>'[1]#REF'!$C$27</f>
        <v>#REF!</v>
      </c>
      <c r="E75" s="42" t="e">
        <f>'[1]#REF'!$D$27</f>
        <v>#REF!</v>
      </c>
      <c r="F75" s="42" t="e">
        <f>'[1]#REF'!$E$27</f>
        <v>#REF!</v>
      </c>
      <c r="G75" s="42" t="e">
        <f>'[1]#REF'!$K$27</f>
        <v>#REF!</v>
      </c>
      <c r="H75" s="72" t="e">
        <f>'[1]#REF'!$G$27</f>
        <v>#REF!</v>
      </c>
      <c r="I75" s="73" t="e">
        <f>'[1]#REF'!$BG$27</f>
        <v>#REF!</v>
      </c>
      <c r="J75" s="65" t="e">
        <f>IF(NOT(AND(ISTEXT('[1]#REF'!$K$27),'[1]#REF'!$K$27&lt;&gt;"N/A")),Lookup_Lists!$D$150,IF(Brand_Profile!$G$7='[1]#REF'!$K$27,100,IFERROR(INDEX(Lookup_Lists!$B$349:$J$357,MATCH(Brand_Profile!$G$7,Lookup_Lists!$A$349:$A$357,0),MATCH('[1]#REF'!$K$27,Lookup_Lists!$B$348:$J$348,0)),Lookup_Lists!$D$151)))</f>
        <v>#REF!</v>
      </c>
      <c r="K75" s="65" t="e">
        <f>IF(LEN(TRIM(SUBSTITUTE(Matching_Engine!$BD$75,"|","")))=0,"N/A",IF(Brand_Profile!$G$47=0,Lookup_Lists!$D$150,ROUND((IF(Brand_Profile!$G$41="",0,IF(ISNUMBER(SEARCH(Brand_Profile!$G$41,Matching_Engine!$BD$75)),1,0))+IF(Brand_Profile!$G$42="",0,IF(ISNUMBER(SEARCH(Brand_Profile!$G$42,Matching_Engine!$BD$75)),1,0))+IF(Brand_Profile!$G$43="",0,IF(ISNUMBER(SEARCH(Brand_Profile!$G$43,Matching_Engine!$BD$75)),1,0))+IF(Brand_Profile!$G$44="",0,IF(ISNUMBER(SEARCH(Brand_Profile!$G$44,Matching_Engine!$BD$75)),1,0))+IF(Brand_Profile!$G$45="",0,IF(ISNUMBER(SEARCH(Brand_Profile!$G$45,Matching_Engine!$BD$75)),1,0))+IF(Brand_Profile!$G$46="",0,IF(ISNUMBER(SEARCH(Brand_Profile!$G$46,Matching_Engine!$BD$75)),1,0)))/Brand_Profile!$G$47*100,0)))</f>
        <v>#VALUE!</v>
      </c>
      <c r="L75" s="65" t="e">
        <f>IF(NOT(AND(ISTEXT('[1]#REF'!$U$27),'[1]#REF'!$U$27&lt;&gt;"N/A")),"N/A",IF(Brand_Profile!$G$53=0,Lookup_Lists!$D$150,ROUND((IF(Brand_Profile!$G$48="",0,IF(ISNUMBER(SEARCH(Brand_Profile!$G$48,Matching_Engine!$BF$75)),1,0))+IF(Brand_Profile!$G$49="",0,IF(ISNUMBER(SEARCH(Brand_Profile!$G$49,Matching_Engine!$BF$75)),1,0))+IF(Brand_Profile!$G$50="",0,IF(ISNUMBER(SEARCH(Brand_Profile!$G$50,Matching_Engine!$BF$75)),1,0))+IF(Brand_Profile!$G$51="",0,IF(ISNUMBER(SEARCH(Brand_Profile!$G$51,Matching_Engine!$BF$75)),1,0))+IF(Brand_Profile!$G$52="",0,IF(ISNUMBER(SEARCH(Brand_Profile!$G$52,Matching_Engine!$BF$75)),1,0)))/Brand_Profile!$G$53*100,0)))</f>
        <v>#REF!</v>
      </c>
      <c r="M75" s="63" t="str">
        <f>IF((IF(ISNUMBER(Matching_Engine!$J$75),Lookup_Lists!$D$332,0)+IF(ISNUMBER(Matching_Engine!$K$75),Lookup_Lists!$D$333,0)+IF(ISNUMBER(Matching_Engine!$L$75),Lookup_Lists!$D$334,0))=0,"N/A",ROUND((IF(ISNUMBER(Matching_Engine!$J$75),Matching_Engine!$J$75*Lookup_Lists!$D$332,0)+IF(ISNUMBER(Matching_Engine!$K$75),Matching_Engine!$K$75*Lookup_Lists!$D$333,0)+IF(ISNUMBER(Matching_Engine!$L$75),Matching_Engine!$L$75*Lookup_Lists!$D$334,0))/(IF(ISNUMBER(Matching_Engine!$J$75),Lookup_Lists!$D$332,0)+IF(ISNUMBER(Matching_Engine!$K$75),Lookup_Lists!$D$333,0)+IF(ISNUMBER(Matching_Engine!$L$75),Lookup_Lists!$D$334,0)),0))</f>
        <v>N/A</v>
      </c>
      <c r="N75" s="42">
        <f>IF(ISNUMBER(Matching_Engine!$M$75),1,0)</f>
        <v>1</v>
      </c>
      <c r="O75" s="65" t="str">
        <f ca="1">IF(NOT(ISNUMBER(IFERROR(INDEX('[1]#REF'!$V$27:'[1]#REF'!$Z$27,1,MATCH(Brand_Profile!$G$11,Lookup_Lists!$F$6:$F$10,0)),""))),"N/A",MIN(100,ROUND((IFERROR(INDEX('[1]#REF'!$V$27:'[1]#REF'!$Z$27,1,MATCH(Brand_Profile!$G$11,Lookup_Lists!$F$6:$F$10,0)),"")+0.5*IF(ISNUMBER(IFERROR(INDEX('[1]#REF'!$V$27:'[1]#REF'!$Z$27,1,MATCH(Brand_Profile!$G$12,Lookup_Lists!$F$6:$F$10,0)),"")),IFERROR(INDEX('[1]#REF'!$V$27:'[1]#REF'!$Z$27,1,MATCH(Brand_Profile!$G$12,Lookup_Lists!$F$6:$F$10,0)),""),0))/Lookup_Lists!$D$142*100,0)))</f>
        <v>N/A</v>
      </c>
      <c r="P75" s="65" t="str">
        <f>IF(Brand_Profile!$G$13="Any",100,IF(NOT(ISNUMBER('[1]#REF'!$AA$27)),"N/A",IF(Brand_Profile!$G$13="Female",MIN(100,ROUND('[1]#REF'!$AA$27/Lookup_Lists!$D$143*100,0)),IF(Brand_Profile!$G$13="Male",MIN(100,ROUND(IF(ISNUMBER('[1]#REF'!$AB$27),'[1]#REF'!$AB$27,100-'[1]#REF'!$AA$27)/Lookup_Lists!$D$143*100,0)),MAX(0,ROUND(100-ABS('[1]#REF'!$AA$27-50)*2,0))))))</f>
        <v>N/A</v>
      </c>
      <c r="Q75" s="65" t="str">
        <f>IF((IF(ISNUMBER(IF(NOT(ISNUMBER('[1]#REF'!$AE$27)),"N/A",IF('[1]#REF'!$AD$27&lt;&gt;Brand_Profile!$G$14,Lookup_Lists!$D$151,MIN(100,ROUND('[1]#REF'!$AE$27/Lookup_Lists!$D$316*100,0))))),Lookup_Lists!$D$118,0)+IF(ISNUMBER(IF(NOT(ISNUMBER('[1]#REF'!$AM$27)),"N/A",MIN(100,ROUND((IF('[1]#REF'!$AG$27=Brand_Profile!$G$15,IF(ISNUMBER('[1]#REF'!$AH$27),'[1]#REF'!$AH$27,0),0)+IF('[1]#REF'!$AI$27=Brand_Profile!$G$15,IF(ISNUMBER('[1]#REF'!$AJ$27),'[1]#REF'!$AJ$27,0),0)+IF('[1]#REF'!$AK$27=Brand_Profile!$G$15,IF(ISNUMBER('[1]#REF'!$AL$27),'[1]#REF'!$AL$27,0),0))/Lookup_Lists!$D$317*100,0)))),Lookup_Lists!$D$120,0))=0,"N/A",ROUND((IF(ISNUMBER(IF(NOT(ISNUMBER('[1]#REF'!$AE$27)),"N/A",IF('[1]#REF'!$AD$27&lt;&gt;Brand_Profile!$G$14,Lookup_Lists!$D$151,MIN(100,ROUND('[1]#REF'!$AE$27/Lookup_Lists!$D$316*100,0))))),IF(NOT(ISNUMBER('[1]#REF'!$AE$27)),"N/A",IF('[1]#REF'!$AD$27&lt;&gt;Brand_Profile!$G$14,Lookup_Lists!$D$151,MIN(100,ROUND('[1]#REF'!$AE$27/Lookup_Lists!$D$316*100,0))))*Lookup_Lists!$D$118,0)+IF(ISNUMBER(IF(NOT(ISNUMBER('[1]#REF'!$AM$27)),"N/A",MIN(100,ROUND((IF('[1]#REF'!$AG$27=Brand_Profile!$G$15,IF(ISNUMBER('[1]#REF'!$AH$27),'[1]#REF'!$AH$27,0),0)+IF('[1]#REF'!$AI$27=Brand_Profile!$G$15,IF(ISNUMBER('[1]#REF'!$AJ$27),'[1]#REF'!$AJ$27,0),0)+IF('[1]#REF'!$AK$27=Brand_Profile!$G$15,IF(ISNUMBER('[1]#REF'!$AL$27),'[1]#REF'!$AL$27,0),0))/Lookup_Lists!$D$317*100,0)))),IF(NOT(ISNUMBER('[1]#REF'!$AM$27)),"N/A",MIN(100,ROUND((IF('[1]#REF'!$AG$27=Brand_Profile!$G$15,IF(ISNUMBER('[1]#REF'!$AH$27),'[1]#REF'!$AH$27,0),0)+IF('[1]#REF'!$AI$27=Brand_Profile!$G$15,IF(ISNUMBER('[1]#REF'!$AJ$27),'[1]#REF'!$AJ$27,0),0)+IF('[1]#REF'!$AK$27=Brand_Profile!$G$15,IF(ISNUMBER('[1]#REF'!$AL$27),'[1]#REF'!$AL$27,0),0))/Lookup_Lists!$D$317*100,0)))*Lookup_Lists!$D$120,0))/(IF(ISNUMBER(IF(NOT(ISNUMBER('[1]#REF'!$AE$27)),"N/A",IF('[1]#REF'!$AD$27&lt;&gt;Brand_Profile!$G$14,Lookup_Lists!$D$151,MIN(100,ROUND('[1]#REF'!$AE$27/Lookup_Lists!$D$316*100,0))))),Lookup_Lists!$D$118,0)+IF(ISNUMBER(IF(NOT(ISNUMBER('[1]#REF'!$AM$27)),"N/A",MIN(100,ROUND((IF('[1]#REF'!$AG$27=Brand_Profile!$G$15,IF(ISNUMBER('[1]#REF'!$AH$27),'[1]#REF'!$AH$27,0),0)+IF('[1]#REF'!$AI$27=Brand_Profile!$G$15,IF(ISNUMBER('[1]#REF'!$AJ$27),'[1]#REF'!$AJ$27,0),0)+IF('[1]#REF'!$AK$27=Brand_Profile!$G$15,IF(ISNUMBER('[1]#REF'!$AL$27),'[1]#REF'!$AL$27,0),0))/Lookup_Lists!$D$317*100,0)))),Lookup_Lists!$D$120,0)),0))</f>
        <v>N/A</v>
      </c>
      <c r="R75" s="65" t="str">
        <f>IF(NOT(ISNUMBER('[1]#REF'!$AN$27)),"N/A",MIN(100,ROUND((IF(ISNUMBER('[1]#REF'!$AO$27),'[1]#REF'!$AO$27*Brand_Profile!$G$17,0)+IF(ISNUMBER('[1]#REF'!$AP$27),'[1]#REF'!$AP$27*Brand_Profile!$G$18,0)+IF(ISNUMBER('[1]#REF'!$AQ$27),'[1]#REF'!$AQ$27*Brand_Profile!$G$19,0)+IF(ISNUMBER('[1]#REF'!$AR$27),'[1]#REF'!$AR$27*Brand_Profile!$G$20,0)+IF(ISNUMBER('[1]#REF'!$AS$27),'[1]#REF'!$AS$27*Brand_Profile!$G$21,0)+IF(ISNUMBER('[1]#REF'!$AT$27),'[1]#REF'!$AT$27*Brand_Profile!$G$22,0)+IF(ISNUMBER('[1]#REF'!$AU$27),'[1]#REF'!$AU$27*Brand_Profile!$G$23,0)+IF(ISNUMBER('[1]#REF'!$AV$27),'[1]#REF'!$AV$27*Brand_Profile!$G$24,0)+IF(ISNUMBER('[1]#REF'!$AW$27),'[1]#REF'!$AW$27*Brand_Profile!$G$25,0)+IF(ISNUMBER('[1]#REF'!$AX$27),'[1]#REF'!$AX$27*Brand_Profile!$G$26,0)+IF(ISNUMBER('[1]#REF'!$AY$27),'[1]#REF'!$AY$27*Brand_Profile!$G$27,0)+IF(ISNUMBER('[1]#REF'!$AZ$27),'[1]#REF'!$AZ$27*Brand_Profile!$G$28,0)+IF(ISNUMBER('[1]#REF'!$BA$27),'[1]#REF'!$BA$27*Brand_Profile!$G$29,0)+IF(ISNUMBER('[1]#REF'!$BB$27),'[1]#REF'!$BB$27*Brand_Profile!$G$30,0)+IF(ISNUMBER('[1]#REF'!$BC$27),'[1]#REF'!$BC$27*Brand_Profile!$G$31,0)+IF(ISNUMBER('[1]#REF'!$BD$27),'[1]#REF'!$BD$27*Brand_Profile!$G$32,0)+IF(ISNUMBER('[1]#REF'!$BE$27),'[1]#REF'!$BE$27*Brand_Profile!$G$33,0)+IF(ISNUMBER('[1]#REF'!$BF$27),'[1]#REF'!$BF$27*Brand_Profile!$G$34,0))/Lookup_Lists!$D$318*100,0)))</f>
        <v>N/A</v>
      </c>
      <c r="S75" s="63">
        <f ca="1">IF((IF(ISNUMBER(Matching_Engine!$O$75),Lookup_Lists!$D$113,0)+IF(ISNUMBER(Matching_Engine!$P$75),Lookup_Lists!$D$114,0)+IF(ISNUMBER(Matching_Engine!$Q$75),Lookup_Lists!$D$115,0)+IF(ISNUMBER(Matching_Engine!$R$75),Lookup_Lists!$D$116,0))=0,"N/A",ROUND((IF(ISNUMBER(Matching_Engine!$O$75),Matching_Engine!$O$75*Lookup_Lists!$D$113,0)+IF(ISNUMBER(Matching_Engine!$P$75),Matching_Engine!$P$75*Lookup_Lists!$D$114,0)+IF(ISNUMBER(Matching_Engine!$Q$75),Matching_Engine!$Q$75*Lookup_Lists!$D$115,0)+IF(ISNUMBER(Matching_Engine!$R$75),Matching_Engine!$R$75*Lookup_Lists!$D$116,0))/(IF(ISNUMBER(Matching_Engine!$O$75),Lookup_Lists!$D$113,0)+IF(ISNUMBER(Matching_Engine!$P$75),Lookup_Lists!$D$114,0)+IF(ISNUMBER(Matching_Engine!$Q$75),Lookup_Lists!$D$115,0)+IF(ISNUMBER(Matching_Engine!$R$75),Lookup_Lists!$D$116,0)),0))</f>
        <v>75</v>
      </c>
      <c r="T75" s="42">
        <f ca="1">IF(ISNUMBER(Matching_Engine!$S$75),1,0)</f>
        <v>1</v>
      </c>
      <c r="U75" s="65" t="e">
        <f>IF(NOT(AND(ISTEXT('[1]#REF'!$M$27),'[1]#REF'!$M$27&lt;&gt;"N/A")),Lookup_Lists!$D$150,IF(Brand_Profile!$G$7='[1]#REF'!$M$27,100,IFERROR(INDEX(Lookup_Lists!$B$349:$J$357,MATCH(Brand_Profile!$G$7,Lookup_Lists!$A$349:$A$357,0),MATCH('[1]#REF'!$M$27,Lookup_Lists!$B$348:$J$348,0)),Lookup_Lists!$D$151)))</f>
        <v>#REF!</v>
      </c>
      <c r="V75" s="65" t="e">
        <f>IF(NOT(AND(ISTEXT('[1]#REF'!$P$27),'[1]#REF'!$P$27&lt;&gt;"N/A")),"N/A",IFERROR(INDEX(Lookup_Lists!$B$349:$J$357,MATCH(Brand_Profile!$G$7,Lookup_Lists!$A$349:$A$357,0),MATCH('[1]#REF'!$P$27,Lookup_Lists!$B$348:$J$348,0)),Lookup_Lists!$D$151))</f>
        <v>#REF!</v>
      </c>
      <c r="W75" s="65" t="e">
        <f>IF(LEN(TRIM(SUBSTITUTE(Matching_Engine!$BE$75,"|","")))=0,"N/A",IF(Brand_Profile!$G$60=0,Lookup_Lists!$D$150,ROUND((IF(Brand_Profile!$G$54="",0,IF(ISNUMBER(SEARCH(Brand_Profile!$G$54,Matching_Engine!$BE$75)),1,0))+IF(Brand_Profile!$G$55="",0,IF(ISNUMBER(SEARCH(Brand_Profile!$G$55,Matching_Engine!$BE$75)),1,0))+IF(Brand_Profile!$G$56="",0,IF(ISNUMBER(SEARCH(Brand_Profile!$G$56,Matching_Engine!$BE$75)),1,0))+IF(Brand_Profile!$G$57="",0,IF(ISNUMBER(SEARCH(Brand_Profile!$G$57,Matching_Engine!$BE$75)),1,0))+IF(Brand_Profile!$G$58="",0,IF(ISNUMBER(SEARCH(Brand_Profile!$G$58,Matching_Engine!$BE$75)),1,0))+IF(Brand_Profile!$G$59="",0,IF(ISNUMBER(SEARCH(Brand_Profile!$G$59,Matching_Engine!$BE$75)),1,0)))/Brand_Profile!$G$60*100,0)))</f>
        <v>#VALUE!</v>
      </c>
      <c r="X75" s="65" t="e">
        <f>IF(NOT(AND(ISTEXT('[1]#REF'!$Q$27),'[1]#REF'!$Q$27&lt;&gt;"N/A")),"N/A",Lookup_Lists!$D$150)</f>
        <v>#REF!</v>
      </c>
      <c r="Y75" s="63">
        <f>IF((IF(ISNUMBER(Matching_Engine!$U$75),Lookup_Lists!$D$335,0)+IF(ISNUMBER(Matching_Engine!$V$75),Lookup_Lists!$D$122,0)+IF(ISNUMBER(Matching_Engine!$W$75),Lookup_Lists!$D$336,0)+IF(ISNUMBER(Matching_Engine!$X$75),Lookup_Lists!$D$124,0))=0,"N/A",ROUND((IF(ISNUMBER(Matching_Engine!$U$75),Matching_Engine!$U$75*Lookup_Lists!$D$335,0)+IF(ISNUMBER(Matching_Engine!$V$75),Matching_Engine!$V$75*Lookup_Lists!$D$122,0)+IF(ISNUMBER(Matching_Engine!$W$75),Matching_Engine!$W$75*Lookup_Lists!$D$336,0)+IF(ISNUMBER(Matching_Engine!$X$75),Matching_Engine!$X$75*Lookup_Lists!$D$124,0))/(IF(ISNUMBER(Matching_Engine!$U$75),Lookup_Lists!$D$335,0)+IF(ISNUMBER(Matching_Engine!$V$75),Lookup_Lists!$D$122,0)+IF(ISNUMBER(Matching_Engine!$W$75),Lookup_Lists!$D$336,0)+IF(ISNUMBER(Matching_Engine!$X$75),Lookup_Lists!$D$124,0)),0))</f>
        <v>36</v>
      </c>
      <c r="Z75" s="42">
        <f>IF(ISNUMBER(Matching_Engine!$Y$75),1,0)</f>
        <v>1</v>
      </c>
      <c r="AA75" s="65" t="e">
        <f>IF(NOT(AND(ISTEXT('[1]#REF'!$Q$27),'[1]#REF'!$Q$27&lt;&gt;"N/A")),"N/A",Lookup_Lists!$D$150)</f>
        <v>#REF!</v>
      </c>
      <c r="AB75" s="65" t="e">
        <f>IF(NOT(AND(ISTEXT('[1]#REF'!$Q$27),'[1]#REF'!$Q$27&lt;&gt;"N/A")),"N/A",Lookup_Lists!$D$150)</f>
        <v>#REF!</v>
      </c>
      <c r="AC75" s="65" t="str">
        <f t="shared" si="1"/>
        <v>N/A</v>
      </c>
      <c r="AD75" s="65" t="e">
        <f>IF(NOT(AND(ISTEXT('[1]#REF'!$Q$27),'[1]#REF'!$Q$27&lt;&gt;"N/A")),"N/A",Lookup_Lists!$D$150)</f>
        <v>#REF!</v>
      </c>
      <c r="AE75" s="63">
        <f>IF((IF(ISNUMBER(Matching_Engine!$AA$75),Lookup_Lists!$D$125,0)+IF(ISNUMBER(Matching_Engine!$AB$75),Lookup_Lists!$D$126,0)+IF(ISNUMBER(Matching_Engine!$AC$75),Lookup_Lists!$D$127,0)+IF(ISNUMBER(Matching_Engine!$AD$75),Lookup_Lists!$D$128,0))=0,"N/A",ROUND((IF(ISNUMBER(Matching_Engine!$AA$75),Matching_Engine!$AA$75*Lookup_Lists!$D$125,0)+IF(ISNUMBER(Matching_Engine!$AB$75),Matching_Engine!$AB$75*Lookup_Lists!$D$126,0)+IF(ISNUMBER(Matching_Engine!$AC$75),Matching_Engine!$AC$75*Lookup_Lists!$D$127,0)+IF(ISNUMBER(Matching_Engine!$AD$75),Matching_Engine!$AD$75*Lookup_Lists!$D$128,0))/(IF(ISNUMBER(Matching_Engine!$AA$75),Lookup_Lists!$D$125,0)+IF(ISNUMBER(Matching_Engine!$AB$75),Lookup_Lists!$D$126,0)+IF(ISNUMBER(Matching_Engine!$AC$75),Lookup_Lists!$D$127,0)+IF(ISNUMBER(Matching_Engine!$AD$75),Lookup_Lists!$D$128,0)),0))</f>
        <v>46</v>
      </c>
      <c r="AF75" s="42">
        <f>IF(ISNUMBER(Matching_Engine!$AE$75),1,0)</f>
        <v>1</v>
      </c>
      <c r="AG75" s="65" t="str">
        <f>IF(NOT(ISNUMBER('[1]#REF'!$BG$27)),"N/A",MIN(100,ROUND('[1]#REF'!$BG$27/IFERROR(INDEX(Lookup_Lists!$B$340:$B$344,MATCH('[1]#REF'!$H$27,Lookup_Lists!$A$340:$A$344,0)),Lookup_Lists!$D$141)*100,0)))</f>
        <v>N/A</v>
      </c>
      <c r="AH75" s="65" t="str">
        <f>IF(NOT(ISNUMBER('[1]#REF'!$BS$27)),"N/A",MIN(100,MAX(0,'[1]#REF'!$BS$27)))</f>
        <v>N/A</v>
      </c>
      <c r="AI75" s="65" t="e">
        <f>IF(OR(NOT(ISNUMBER('[1]#REF'!$BM$27)),NOT(ISNUMBER('[1]#REF'!$BN$27)),'[1]#REF'!$BN$27&lt;Lookup_Lists!$D$320),"N/A",MIN(100,ROUND('[1]#REF'!$BM$27/Lookup_Lists!$D$319*100,0)))</f>
        <v>#REF!</v>
      </c>
      <c r="AJ75" s="65" t="str">
        <f>IF(NOT(ISNUMBER('[1]#REF'!$BR$27)),"N/A",'[1]#REF'!$BR$27)</f>
        <v>N/A</v>
      </c>
      <c r="AK75" s="65" t="str">
        <f>IF(NOT(ISNUMBER('[1]#REF'!$BK$27)),"N/A",MIN(100,ROUND('[1]#REF'!$BK$27/Lookup_Lists!$D$321*100,0)))</f>
        <v>N/A</v>
      </c>
      <c r="AL75" s="65" t="str">
        <f>IF(NOT(ISNUMBER('[1]#REF'!$BP$27)),"N/A",MIN(100,MAX(0,ROUND(('[1]#REF'!$BP$27+2)/(Lookup_Lists!$D$145+2)*100,0))))</f>
        <v>N/A</v>
      </c>
      <c r="AM75" s="63">
        <f>IF((IF(ISNUMBER(Matching_Engine!$AG$75),Lookup_Lists!$D$129,0)+IF(ISNUMBER(Matching_Engine!$AH$75),Lookup_Lists!$D$130,0)+IF(ISNUMBER(Matching_Engine!$AI$75),Lookup_Lists!$D$131,0)+IF(ISNUMBER(Matching_Engine!$AJ$75),Lookup_Lists!$D$132,0)+IF(ISNUMBER(Matching_Engine!$AK$75),Lookup_Lists!$D$133,0)+IF(ISNUMBER(Matching_Engine!$AL$75),Lookup_Lists!$D$134,0))=0,"N/A",ROUND((IF(ISNUMBER(Matching_Engine!$AG$75),Matching_Engine!$AG$75*Lookup_Lists!$D$129,0)+IF(ISNUMBER(Matching_Engine!$AH$75),Matching_Engine!$AH$75*Lookup_Lists!$D$130,0)+IF(ISNUMBER(Matching_Engine!$AI$75),Matching_Engine!$AI$75*Lookup_Lists!$D$131,0)+IF(ISNUMBER(Matching_Engine!$AJ$75),Matching_Engine!$AJ$75*Lookup_Lists!$D$132,0)+IF(ISNUMBER(Matching_Engine!$AK$75),Matching_Engine!$AK$75*Lookup_Lists!$D$133,0)+IF(ISNUMBER(Matching_Engine!$AL$75),Matching_Engine!$AL$75*Lookup_Lists!$D$134,0))/(IF(ISNUMBER(Matching_Engine!$AG$75),Lookup_Lists!$D$129,0)+IF(ISNUMBER(Matching_Engine!$AH$75),Lookup_Lists!$D$130,0)+IF(ISNUMBER(Matching_Engine!$AI$75),Lookup_Lists!$D$131,0)+IF(ISNUMBER(Matching_Engine!$AJ$75),Lookup_Lists!$D$132,0)+IF(ISNUMBER(Matching_Engine!$AK$75),Lookup_Lists!$D$133,0)+IF(ISNUMBER(Matching_Engine!$AL$75),Lookup_Lists!$D$134,0)),0))</f>
        <v>66</v>
      </c>
      <c r="AN75" s="42">
        <f>IF(ISNUMBER(Matching_Engine!$AM$75),1,0)</f>
        <v>0</v>
      </c>
      <c r="AO75" s="65" t="str">
        <f>IF(NOT(ISNUMBER('[1]#REF'!$BT$27)),"N/A",MIN(100,MAX(0,'[1]#REF'!$BT$27)))</f>
        <v>N/A</v>
      </c>
      <c r="AP75" s="65" t="str">
        <f>IF(NOT(ISNUMBER('[1]#REF'!$BU$27)),"N/A",MIN(100,MAX(0,'[1]#REF'!$BU$27)))</f>
        <v>N/A</v>
      </c>
      <c r="AQ75" s="65" t="e">
        <f>IF('[1]#REF'!$I$27="Yes",Lookup_Lists!$D$326,IF('[1]#REF'!$I$27="No",Lookup_Lists!$D$327,"N/A"))</f>
        <v>#REF!</v>
      </c>
      <c r="AR75" s="65" t="str">
        <f>IF(NOT(ISNUMBER('[1]#REF'!$BQ$27)),"N/A",MAX(0,ROUND(100-'[1]#REF'!$BQ$27/Lookup_Lists!$D$328*100,0)))</f>
        <v>N/A</v>
      </c>
      <c r="AS75" s="65" t="e">
        <f>IF(NOT(AND(ISTEXT('[1]#REF'!$BV$27),'[1]#REF'!$BV$27&lt;&gt;"N/A")),"N/A",'[1]#REF'!$BV$27)</f>
        <v>#REF!</v>
      </c>
      <c r="AT75" s="63" t="str">
        <f ca="1">IF((IF(ISNUMBER(Matching_Engine!$AO$75),Lookup_Lists!$D$322,0)+IF(ISNUMBER(Matching_Engine!$AP$75),Lookup_Lists!$D$323,0)+IF(ISNUMBER(Matching_Engine!$AQ$75),Lookup_Lists!$D$324,0)+IF(ISNUMBER(Matching_Engine!$AR$75),Lookup_Lists!$D$325,0))=0,"N/A",ROUND((IF(ISNUMBER(Matching_Engine!$AO$75),Matching_Engine!$AO$75*Lookup_Lists!$D$322,0)+IF(ISNUMBER(Matching_Engine!$AP$75),Matching_Engine!$AP$75*Lookup_Lists!$D$323,0)+IF(ISNUMBER(Matching_Engine!$AQ$75),Matching_Engine!$AQ$75*Lookup_Lists!$D$324,0)+IF(ISNUMBER(Matching_Engine!$AR$75),Matching_Engine!$AR$75*Lookup_Lists!$D$325,0))/(IF(ISNUMBER(Matching_Engine!$AO$75),Lookup_Lists!$D$322,0)+IF(ISNUMBER(Matching_Engine!$AP$75),Lookup_Lists!$D$323,0)+IF(ISNUMBER(Matching_Engine!$AQ$75),Lookup_Lists!$D$324,0)+IF(ISNUMBER(Matching_Engine!$AR$75),Lookup_Lists!$D$325,0)),0))</f>
        <v>N/A</v>
      </c>
      <c r="AU75" s="42">
        <f>IF(ISNUMBER(Matching_Engine!$AT$75),1,0)</f>
        <v>1</v>
      </c>
      <c r="AV75" s="42" t="str">
        <f>IF(NOT(ISNUMBER(Matching_Engine!$AT$75)),"Not Screened",IF(Matching_Engine!$AT$75&gt;=Lookup_Lists!$D$329,"Low Risk",IF(Matching_Engine!$AT$75&gt;=Lookup_Lists!$D$330,"Moderate Risk",IF(Matching_Engine!$AT$75&gt;=Lookup_Lists!$D$331,"Elevated Risk","High Risk"))))</f>
        <v>Low Risk</v>
      </c>
      <c r="AW75" s="42" t="e">
        <f ca="1">IF(NOT(ISNUMBER(Matching_Engine!$AT$75)),"No integrity signal: no audience-analysis row for this account.","Integrity screen only — no content-risk reading exists (comments_analysis: 0 rows). "&amp;IF(ISNUMBER(Matching_Engine!$AO$75),"Authenticity "&amp;Matching_Engine!$AO$75&amp;". ","Authenticity N/A. ")&amp;IF(ISNUMBER(Matching_Engine!$AP$75),"Follower quality "&amp;Matching_Engine!$AP$75&amp;". ","Follower quality N/A. ")&amp;IF('[1]#REF'!$I$27="Yes","Platform-verified.","Not platform-verified."))</f>
        <v>#REF!</v>
      </c>
      <c r="AX75" s="65">
        <f>Matching_Engine!$N$75*Lookup_Lists!$D$104+Matching_Engine!$T$75*Lookup_Lists!$D$105+Matching_Engine!$Z$75*Lookup_Lists!$D$106+Matching_Engine!$AF$75*Lookup_Lists!$D$107+Matching_Engine!$AN$75*Lookup_Lists!$D$108+Matching_Engine!$AU$75*Lookup_Lists!$D$109</f>
        <v>4110</v>
      </c>
      <c r="AY75" s="74" t="e">
        <f ca="1">IF(Matching_Engine!$AX$75=0,"N/A",ROUND((IF(Matching_Engine!$N$75=1,Matching_Engine!$M$75*Lookup_Lists!$D$104,0)+IF(Matching_Engine!$T$75=1,Matching_Engine!$S$75*Lookup_Lists!$D$105,0)+IF(Matching_Engine!$Z$75=1,Matching_Engine!$Y$75*Lookup_Lists!$D$106,0)+IF(Matching_Engine!$AF$75=1,Matching_Engine!$AE$75*Lookup_Lists!$D$107,0)+IF(Matching_Engine!$AN$75=1,Matching_Engine!$AM$75*Lookup_Lists!$D$108,0)+IF(Matching_Engine!$AU$75=1,Matching_Engine!$AT$75*Lookup_Lists!$D$109,0))/Matching_Engine!$AX$75,0))</f>
        <v>#VALUE!</v>
      </c>
      <c r="AZ75" s="42" t="str">
        <f ca="1">IF(NOT(ISNUMBER(Matching_Engine!$AY$75)),"Not Scored",IF(Matching_Engine!$AY$75&gt;=Lookup_Lists!$D$152,"Excellent Match",IF(Matching_Engine!$AY$75&gt;=Lookup_Lists!$D$153,"Strong Match",IF(Matching_Engine!$AY$75&gt;=Lookup_Lists!$D$154,"Good Match",IF(Matching_Engine!$AY$75&gt;=Lookup_Lists!$D$155,"Moderate Match","Low Match")))))</f>
        <v>Low Match</v>
      </c>
      <c r="BA75" s="65" t="e">
        <f>'[1]#REF'!$BW$27</f>
        <v>#REF!</v>
      </c>
      <c r="BB75" s="42" t="e">
        <f>'[1]#REF'!$BX$27</f>
        <v>#REF!</v>
      </c>
      <c r="BC75" s="65">
        <f ca="1">IF(NOT(ISNUMBER(Matching_Engine!$AY$75)),-1,Matching_Engine!$AY$75*1000+3)</f>
        <v>56003</v>
      </c>
      <c r="BD75" s="42" t="e">
        <f>IF(AND(ISTEXT('[1]#REF'!$S$27),'[1]#REF'!$S$27&lt;&gt;"N/A"),'[1]#REF'!$S$27,"")&amp;" | "&amp;IF(AND(ISTEXT('[1]#REF'!$T$27),'[1]#REF'!$T$27&lt;&gt;"N/A"),'[1]#REF'!$T$27,"")&amp;" | "&amp;IF(AND(ISTEXT('[1]#REF'!$N$27),'[1]#REF'!$N$27&lt;&gt;"N/A"),'[1]#REF'!$N$27,"")&amp;" | "&amp;IF(AND(ISTEXT('[1]#REF'!$K$27),'[1]#REF'!$K$27&lt;&gt;"N/A"),'[1]#REF'!$K$27,"")&amp;" | "&amp;IF(AND(ISTEXT('[1]#REF'!$J$27),'[1]#REF'!$J$27&lt;&gt;"N/A"),'[1]#REF'!$J$27,"")</f>
        <v>#REF!</v>
      </c>
      <c r="BE75" s="42" t="e">
        <f>IF(AND(ISTEXT('[1]#REF'!$T$27),'[1]#REF'!$T$27&lt;&gt;"N/A"),'[1]#REF'!$T$27,"")&amp;" | "&amp;IF(AND(ISTEXT('[1]#REF'!$N$27),'[1]#REF'!$N$27&lt;&gt;"N/A"),'[1]#REF'!$N$27,"")&amp;" | "&amp;IF(AND(ISTEXT('[1]#REF'!$O$27),'[1]#REF'!$O$27&lt;&gt;"N/A"),'[1]#REF'!$O$27,"")&amp;" | "&amp;IF(AND(ISTEXT('[1]#REF'!$S$27),'[1]#REF'!$S$27&lt;&gt;"N/A"),'[1]#REF'!$S$27,"")</f>
        <v>#REF!</v>
      </c>
      <c r="BF75" s="42" t="e">
        <f>IF(AND(ISTEXT('[1]#REF'!$U$27),'[1]#REF'!$U$27&lt;&gt;"N/A"),'[1]#REF'!$U$27,"")</f>
        <v>#REF!</v>
      </c>
      <c r="BG75" s="42" t="str">
        <f>Matching_Engine!$A$75&amp;"|"&amp;Matching_Engine!$C$75</f>
        <v>BRAND-C|KOL-10</v>
      </c>
    </row>
    <row r="76" spans="1:59">
      <c r="A76" s="64" t="s">
        <v>2529</v>
      </c>
      <c r="B76" s="42" t="str">
        <f>Brand_Profile!$G$6</f>
        <v>Active Value</v>
      </c>
      <c r="C76" s="42" t="e">
        <f>'[1]#REF'!$A$28</f>
        <v>#REF!</v>
      </c>
      <c r="D76" s="42" t="e">
        <f>'[1]#REF'!$C$28</f>
        <v>#REF!</v>
      </c>
      <c r="E76" s="42" t="e">
        <f>'[1]#REF'!$D$28</f>
        <v>#REF!</v>
      </c>
      <c r="F76" s="42" t="e">
        <f>'[1]#REF'!$E$28</f>
        <v>#REF!</v>
      </c>
      <c r="G76" s="42" t="e">
        <f>'[1]#REF'!$K$28</f>
        <v>#REF!</v>
      </c>
      <c r="H76" s="72" t="e">
        <f>'[1]#REF'!$G$28</f>
        <v>#REF!</v>
      </c>
      <c r="I76" s="73" t="e">
        <f>'[1]#REF'!$BG$28</f>
        <v>#REF!</v>
      </c>
      <c r="J76" s="65" t="e">
        <f>IF(NOT(AND(ISTEXT('[1]#REF'!$K$28),'[1]#REF'!$K$28&lt;&gt;"N/A")),Lookup_Lists!$D$150,IF(Brand_Profile!$G$7='[1]#REF'!$K$28,100,IFERROR(INDEX(Lookup_Lists!$B$349:$J$357,MATCH(Brand_Profile!$G$7,Lookup_Lists!$A$349:$A$357,0),MATCH('[1]#REF'!$K$28,Lookup_Lists!$B$348:$J$348,0)),Lookup_Lists!$D$151)))</f>
        <v>#REF!</v>
      </c>
      <c r="K76" s="65" t="e">
        <f>IF(LEN(TRIM(SUBSTITUTE(Matching_Engine!$BD$76,"|","")))=0,"N/A",IF(Brand_Profile!$G$47=0,Lookup_Lists!$D$150,ROUND((IF(Brand_Profile!$G$41="",0,IF(ISNUMBER(SEARCH(Brand_Profile!$G$41,Matching_Engine!$BD$76)),1,0))+IF(Brand_Profile!$G$42="",0,IF(ISNUMBER(SEARCH(Brand_Profile!$G$42,Matching_Engine!$BD$76)),1,0))+IF(Brand_Profile!$G$43="",0,IF(ISNUMBER(SEARCH(Brand_Profile!$G$43,Matching_Engine!$BD$76)),1,0))+IF(Brand_Profile!$G$44="",0,IF(ISNUMBER(SEARCH(Brand_Profile!$G$44,Matching_Engine!$BD$76)),1,0))+IF(Brand_Profile!$G$45="",0,IF(ISNUMBER(SEARCH(Brand_Profile!$G$45,Matching_Engine!$BD$76)),1,0))+IF(Brand_Profile!$G$46="",0,IF(ISNUMBER(SEARCH(Brand_Profile!$G$46,Matching_Engine!$BD$76)),1,0)))/Brand_Profile!$G$47*100,0)))</f>
        <v>#VALUE!</v>
      </c>
      <c r="L76" s="65" t="e">
        <f>IF(NOT(AND(ISTEXT('[1]#REF'!$U$28),'[1]#REF'!$U$28&lt;&gt;"N/A")),"N/A",IF(Brand_Profile!$G$53=0,Lookup_Lists!$D$150,ROUND((IF(Brand_Profile!$G$48="",0,IF(ISNUMBER(SEARCH(Brand_Profile!$G$48,Matching_Engine!$BF$76)),1,0))+IF(Brand_Profile!$G$49="",0,IF(ISNUMBER(SEARCH(Brand_Profile!$G$49,Matching_Engine!$BF$76)),1,0))+IF(Brand_Profile!$G$50="",0,IF(ISNUMBER(SEARCH(Brand_Profile!$G$50,Matching_Engine!$BF$76)),1,0))+IF(Brand_Profile!$G$51="",0,IF(ISNUMBER(SEARCH(Brand_Profile!$G$51,Matching_Engine!$BF$76)),1,0))+IF(Brand_Profile!$G$52="",0,IF(ISNUMBER(SEARCH(Brand_Profile!$G$52,Matching_Engine!$BF$76)),1,0)))/Brand_Profile!$G$53*100,0)))</f>
        <v>#REF!</v>
      </c>
      <c r="M76" s="63" t="str">
        <f>IF((IF(ISNUMBER(Matching_Engine!$J$76),Lookup_Lists!$D$332,0)+IF(ISNUMBER(Matching_Engine!$K$76),Lookup_Lists!$D$333,0)+IF(ISNUMBER(Matching_Engine!$L$76),Lookup_Lists!$D$334,0))=0,"N/A",ROUND((IF(ISNUMBER(Matching_Engine!$J$76),Matching_Engine!$J$76*Lookup_Lists!$D$332,0)+IF(ISNUMBER(Matching_Engine!$K$76),Matching_Engine!$K$76*Lookup_Lists!$D$333,0)+IF(ISNUMBER(Matching_Engine!$L$76),Matching_Engine!$L$76*Lookup_Lists!$D$334,0))/(IF(ISNUMBER(Matching_Engine!$J$76),Lookup_Lists!$D$332,0)+IF(ISNUMBER(Matching_Engine!$K$76),Lookup_Lists!$D$333,0)+IF(ISNUMBER(Matching_Engine!$L$76),Lookup_Lists!$D$334,0)),0))</f>
        <v>N/A</v>
      </c>
      <c r="N76" s="42">
        <f>IF(ISNUMBER(Matching_Engine!$M$76),1,0)</f>
        <v>1</v>
      </c>
      <c r="O76" s="65" t="str">
        <f ca="1">IF(NOT(ISNUMBER(IFERROR(INDEX('[1]#REF'!$V$28:'[1]#REF'!$Z$28,1,MATCH(Brand_Profile!$G$11,Lookup_Lists!$F$6:$F$10,0)),""))),"N/A",MIN(100,ROUND((IFERROR(INDEX('[1]#REF'!$V$28:'[1]#REF'!$Z$28,1,MATCH(Brand_Profile!$G$11,Lookup_Lists!$F$6:$F$10,0)),"")+0.5*IF(ISNUMBER(IFERROR(INDEX('[1]#REF'!$V$28:'[1]#REF'!$Z$28,1,MATCH(Brand_Profile!$G$12,Lookup_Lists!$F$6:$F$10,0)),"")),IFERROR(INDEX('[1]#REF'!$V$28:'[1]#REF'!$Z$28,1,MATCH(Brand_Profile!$G$12,Lookup_Lists!$F$6:$F$10,0)),""),0))/Lookup_Lists!$D$142*100,0)))</f>
        <v>N/A</v>
      </c>
      <c r="P76" s="65" t="str">
        <f>IF(Brand_Profile!$G$13="Any",100,IF(NOT(ISNUMBER('[1]#REF'!$AA$28)),"N/A",IF(Brand_Profile!$G$13="Female",MIN(100,ROUND('[1]#REF'!$AA$28/Lookup_Lists!$D$143*100,0)),IF(Brand_Profile!$G$13="Male",MIN(100,ROUND(IF(ISNUMBER('[1]#REF'!$AB$28),'[1]#REF'!$AB$28,100-'[1]#REF'!$AA$28)/Lookup_Lists!$D$143*100,0)),MAX(0,ROUND(100-ABS('[1]#REF'!$AA$28-50)*2,0))))))</f>
        <v>N/A</v>
      </c>
      <c r="Q76" s="65" t="str">
        <f>IF((IF(ISNUMBER(IF(NOT(ISNUMBER('[1]#REF'!$AE$28)),"N/A",IF('[1]#REF'!$AD$28&lt;&gt;Brand_Profile!$G$14,Lookup_Lists!$D$151,MIN(100,ROUND('[1]#REF'!$AE$28/Lookup_Lists!$D$316*100,0))))),Lookup_Lists!$D$118,0)+IF(ISNUMBER(IF(NOT(ISNUMBER('[1]#REF'!$AM$28)),"N/A",MIN(100,ROUND((IF('[1]#REF'!$AG$28=Brand_Profile!$G$15,IF(ISNUMBER('[1]#REF'!$AH$28),'[1]#REF'!$AH$28,0),0)+IF('[1]#REF'!$AI$28=Brand_Profile!$G$15,IF(ISNUMBER('[1]#REF'!$AJ$28),'[1]#REF'!$AJ$28,0),0)+IF('[1]#REF'!$AK$28=Brand_Profile!$G$15,IF(ISNUMBER('[1]#REF'!$AL$28),'[1]#REF'!$AL$28,0),0))/Lookup_Lists!$D$317*100,0)))),Lookup_Lists!$D$120,0))=0,"N/A",ROUND((IF(ISNUMBER(IF(NOT(ISNUMBER('[1]#REF'!$AE$28)),"N/A",IF('[1]#REF'!$AD$28&lt;&gt;Brand_Profile!$G$14,Lookup_Lists!$D$151,MIN(100,ROUND('[1]#REF'!$AE$28/Lookup_Lists!$D$316*100,0))))),IF(NOT(ISNUMBER('[1]#REF'!$AE$28)),"N/A",IF('[1]#REF'!$AD$28&lt;&gt;Brand_Profile!$G$14,Lookup_Lists!$D$151,MIN(100,ROUND('[1]#REF'!$AE$28/Lookup_Lists!$D$316*100,0))))*Lookup_Lists!$D$118,0)+IF(ISNUMBER(IF(NOT(ISNUMBER('[1]#REF'!$AM$28)),"N/A",MIN(100,ROUND((IF('[1]#REF'!$AG$28=Brand_Profile!$G$15,IF(ISNUMBER('[1]#REF'!$AH$28),'[1]#REF'!$AH$28,0),0)+IF('[1]#REF'!$AI$28=Brand_Profile!$G$15,IF(ISNUMBER('[1]#REF'!$AJ$28),'[1]#REF'!$AJ$28,0),0)+IF('[1]#REF'!$AK$28=Brand_Profile!$G$15,IF(ISNUMBER('[1]#REF'!$AL$28),'[1]#REF'!$AL$28,0),0))/Lookup_Lists!$D$317*100,0)))),IF(NOT(ISNUMBER('[1]#REF'!$AM$28)),"N/A",MIN(100,ROUND((IF('[1]#REF'!$AG$28=Brand_Profile!$G$15,IF(ISNUMBER('[1]#REF'!$AH$28),'[1]#REF'!$AH$28,0),0)+IF('[1]#REF'!$AI$28=Brand_Profile!$G$15,IF(ISNUMBER('[1]#REF'!$AJ$28),'[1]#REF'!$AJ$28,0),0)+IF('[1]#REF'!$AK$28=Brand_Profile!$G$15,IF(ISNUMBER('[1]#REF'!$AL$28),'[1]#REF'!$AL$28,0),0))/Lookup_Lists!$D$317*100,0)))*Lookup_Lists!$D$120,0))/(IF(ISNUMBER(IF(NOT(ISNUMBER('[1]#REF'!$AE$28)),"N/A",IF('[1]#REF'!$AD$28&lt;&gt;Brand_Profile!$G$14,Lookup_Lists!$D$151,MIN(100,ROUND('[1]#REF'!$AE$28/Lookup_Lists!$D$316*100,0))))),Lookup_Lists!$D$118,0)+IF(ISNUMBER(IF(NOT(ISNUMBER('[1]#REF'!$AM$28)),"N/A",MIN(100,ROUND((IF('[1]#REF'!$AG$28=Brand_Profile!$G$15,IF(ISNUMBER('[1]#REF'!$AH$28),'[1]#REF'!$AH$28,0),0)+IF('[1]#REF'!$AI$28=Brand_Profile!$G$15,IF(ISNUMBER('[1]#REF'!$AJ$28),'[1]#REF'!$AJ$28,0),0)+IF('[1]#REF'!$AK$28=Brand_Profile!$G$15,IF(ISNUMBER('[1]#REF'!$AL$28),'[1]#REF'!$AL$28,0),0))/Lookup_Lists!$D$317*100,0)))),Lookup_Lists!$D$120,0)),0))</f>
        <v>N/A</v>
      </c>
      <c r="R76" s="65" t="str">
        <f>IF(NOT(ISNUMBER('[1]#REF'!$AN$28)),"N/A",MIN(100,ROUND((IF(ISNUMBER('[1]#REF'!$AO$28),'[1]#REF'!$AO$28*Brand_Profile!$G$17,0)+IF(ISNUMBER('[1]#REF'!$AP$28),'[1]#REF'!$AP$28*Brand_Profile!$G$18,0)+IF(ISNUMBER('[1]#REF'!$AQ$28),'[1]#REF'!$AQ$28*Brand_Profile!$G$19,0)+IF(ISNUMBER('[1]#REF'!$AR$28),'[1]#REF'!$AR$28*Brand_Profile!$G$20,0)+IF(ISNUMBER('[1]#REF'!$AS$28),'[1]#REF'!$AS$28*Brand_Profile!$G$21,0)+IF(ISNUMBER('[1]#REF'!$AT$28),'[1]#REF'!$AT$28*Brand_Profile!$G$22,0)+IF(ISNUMBER('[1]#REF'!$AU$28),'[1]#REF'!$AU$28*Brand_Profile!$G$23,0)+IF(ISNUMBER('[1]#REF'!$AV$28),'[1]#REF'!$AV$28*Brand_Profile!$G$24,0)+IF(ISNUMBER('[1]#REF'!$AW$28),'[1]#REF'!$AW$28*Brand_Profile!$G$25,0)+IF(ISNUMBER('[1]#REF'!$AX$28),'[1]#REF'!$AX$28*Brand_Profile!$G$26,0)+IF(ISNUMBER('[1]#REF'!$AY$28),'[1]#REF'!$AY$28*Brand_Profile!$G$27,0)+IF(ISNUMBER('[1]#REF'!$AZ$28),'[1]#REF'!$AZ$28*Brand_Profile!$G$28,0)+IF(ISNUMBER('[1]#REF'!$BA$28),'[1]#REF'!$BA$28*Brand_Profile!$G$29,0)+IF(ISNUMBER('[1]#REF'!$BB$28),'[1]#REF'!$BB$28*Brand_Profile!$G$30,0)+IF(ISNUMBER('[1]#REF'!$BC$28),'[1]#REF'!$BC$28*Brand_Profile!$G$31,0)+IF(ISNUMBER('[1]#REF'!$BD$28),'[1]#REF'!$BD$28*Brand_Profile!$G$32,0)+IF(ISNUMBER('[1]#REF'!$BE$28),'[1]#REF'!$BE$28*Brand_Profile!$G$33,0)+IF(ISNUMBER('[1]#REF'!$BF$28),'[1]#REF'!$BF$28*Brand_Profile!$G$34,0))/Lookup_Lists!$D$318*100,0)))</f>
        <v>N/A</v>
      </c>
      <c r="S76" s="63">
        <f ca="1">IF((IF(ISNUMBER(Matching_Engine!$O$76),Lookup_Lists!$D$113,0)+IF(ISNUMBER(Matching_Engine!$P$76),Lookup_Lists!$D$114,0)+IF(ISNUMBER(Matching_Engine!$Q$76),Lookup_Lists!$D$115,0)+IF(ISNUMBER(Matching_Engine!$R$76),Lookup_Lists!$D$116,0))=0,"N/A",ROUND((IF(ISNUMBER(Matching_Engine!$O$76),Matching_Engine!$O$76*Lookup_Lists!$D$113,0)+IF(ISNUMBER(Matching_Engine!$P$76),Matching_Engine!$P$76*Lookup_Lists!$D$114,0)+IF(ISNUMBER(Matching_Engine!$Q$76),Matching_Engine!$Q$76*Lookup_Lists!$D$115,0)+IF(ISNUMBER(Matching_Engine!$R$76),Matching_Engine!$R$76*Lookup_Lists!$D$116,0))/(IF(ISNUMBER(Matching_Engine!$O$76),Lookup_Lists!$D$113,0)+IF(ISNUMBER(Matching_Engine!$P$76),Lookup_Lists!$D$114,0)+IF(ISNUMBER(Matching_Engine!$Q$76),Lookup_Lists!$D$115,0)+IF(ISNUMBER(Matching_Engine!$R$76),Lookup_Lists!$D$116,0)),0))</f>
        <v>69</v>
      </c>
      <c r="T76" s="42">
        <f ca="1">IF(ISNUMBER(Matching_Engine!$S$76),1,0)</f>
        <v>1</v>
      </c>
      <c r="U76" s="65" t="e">
        <f>IF(NOT(AND(ISTEXT('[1]#REF'!$M$28),'[1]#REF'!$M$28&lt;&gt;"N/A")),Lookup_Lists!$D$150,IF(Brand_Profile!$G$7='[1]#REF'!$M$28,100,IFERROR(INDEX(Lookup_Lists!$B$349:$J$357,MATCH(Brand_Profile!$G$7,Lookup_Lists!$A$349:$A$357,0),MATCH('[1]#REF'!$M$28,Lookup_Lists!$B$348:$J$348,0)),Lookup_Lists!$D$151)))</f>
        <v>#REF!</v>
      </c>
      <c r="V76" s="65" t="e">
        <f>IF(NOT(AND(ISTEXT('[1]#REF'!$P$28),'[1]#REF'!$P$28&lt;&gt;"N/A")),"N/A",IFERROR(INDEX(Lookup_Lists!$B$349:$J$357,MATCH(Brand_Profile!$G$7,Lookup_Lists!$A$349:$A$357,0),MATCH('[1]#REF'!$P$28,Lookup_Lists!$B$348:$J$348,0)),Lookup_Lists!$D$151))</f>
        <v>#REF!</v>
      </c>
      <c r="W76" s="65" t="e">
        <f>IF(LEN(TRIM(SUBSTITUTE(Matching_Engine!$BE$76,"|","")))=0,"N/A",IF(Brand_Profile!$G$60=0,Lookup_Lists!$D$150,ROUND((IF(Brand_Profile!$G$54="",0,IF(ISNUMBER(SEARCH(Brand_Profile!$G$54,Matching_Engine!$BE$76)),1,0))+IF(Brand_Profile!$G$55="",0,IF(ISNUMBER(SEARCH(Brand_Profile!$G$55,Matching_Engine!$BE$76)),1,0))+IF(Brand_Profile!$G$56="",0,IF(ISNUMBER(SEARCH(Brand_Profile!$G$56,Matching_Engine!$BE$76)),1,0))+IF(Brand_Profile!$G$57="",0,IF(ISNUMBER(SEARCH(Brand_Profile!$G$57,Matching_Engine!$BE$76)),1,0))+IF(Brand_Profile!$G$58="",0,IF(ISNUMBER(SEARCH(Brand_Profile!$G$58,Matching_Engine!$BE$76)),1,0))+IF(Brand_Profile!$G$59="",0,IF(ISNUMBER(SEARCH(Brand_Profile!$G$59,Matching_Engine!$BE$76)),1,0)))/Brand_Profile!$G$60*100,0)))</f>
        <v>#VALUE!</v>
      </c>
      <c r="X76" s="65" t="e">
        <f>IF(NOT(AND(ISTEXT('[1]#REF'!$Q$28),'[1]#REF'!$Q$28&lt;&gt;"N/A")),"N/A",Lookup_Lists!$D$150)</f>
        <v>#REF!</v>
      </c>
      <c r="Y76" s="63">
        <f>IF((IF(ISNUMBER(Matching_Engine!$U$76),Lookup_Lists!$D$335,0)+IF(ISNUMBER(Matching_Engine!$V$76),Lookup_Lists!$D$122,0)+IF(ISNUMBER(Matching_Engine!$W$76),Lookup_Lists!$D$336,0)+IF(ISNUMBER(Matching_Engine!$X$76),Lookup_Lists!$D$124,0))=0,"N/A",ROUND((IF(ISNUMBER(Matching_Engine!$U$76),Matching_Engine!$U$76*Lookup_Lists!$D$335,0)+IF(ISNUMBER(Matching_Engine!$V$76),Matching_Engine!$V$76*Lookup_Lists!$D$122,0)+IF(ISNUMBER(Matching_Engine!$W$76),Matching_Engine!$W$76*Lookup_Lists!$D$336,0)+IF(ISNUMBER(Matching_Engine!$X$76),Matching_Engine!$X$76*Lookup_Lists!$D$124,0))/(IF(ISNUMBER(Matching_Engine!$U$76),Lookup_Lists!$D$335,0)+IF(ISNUMBER(Matching_Engine!$V$76),Lookup_Lists!$D$122,0)+IF(ISNUMBER(Matching_Engine!$W$76),Lookup_Lists!$D$336,0)+IF(ISNUMBER(Matching_Engine!$X$76),Lookup_Lists!$D$124,0)),0))</f>
        <v>35</v>
      </c>
      <c r="Z76" s="42">
        <f>IF(ISNUMBER(Matching_Engine!$Y$76),1,0)</f>
        <v>1</v>
      </c>
      <c r="AA76" s="65" t="e">
        <f>IF(NOT(AND(ISTEXT('[1]#REF'!$Q$28),'[1]#REF'!$Q$28&lt;&gt;"N/A")),"N/A",Lookup_Lists!$D$150)</f>
        <v>#REF!</v>
      </c>
      <c r="AB76" s="65" t="e">
        <f>IF(NOT(AND(ISTEXT('[1]#REF'!$Q$28),'[1]#REF'!$Q$28&lt;&gt;"N/A")),"N/A",Lookup_Lists!$D$150)</f>
        <v>#REF!</v>
      </c>
      <c r="AC76" s="65" t="str">
        <f t="shared" si="1"/>
        <v>N/A</v>
      </c>
      <c r="AD76" s="65" t="e">
        <f>IF(NOT(AND(ISTEXT('[1]#REF'!$Q$28),'[1]#REF'!$Q$28&lt;&gt;"N/A")),"N/A",Lookup_Lists!$D$150)</f>
        <v>#REF!</v>
      </c>
      <c r="AE76" s="63">
        <f>IF((IF(ISNUMBER(Matching_Engine!$AA$76),Lookup_Lists!$D$125,0)+IF(ISNUMBER(Matching_Engine!$AB$76),Lookup_Lists!$D$126,0)+IF(ISNUMBER(Matching_Engine!$AC$76),Lookup_Lists!$D$127,0)+IF(ISNUMBER(Matching_Engine!$AD$76),Lookup_Lists!$D$128,0))=0,"N/A",ROUND((IF(ISNUMBER(Matching_Engine!$AA$76),Matching_Engine!$AA$76*Lookup_Lists!$D$125,0)+IF(ISNUMBER(Matching_Engine!$AB$76),Matching_Engine!$AB$76*Lookup_Lists!$D$126,0)+IF(ISNUMBER(Matching_Engine!$AC$76),Matching_Engine!$AC$76*Lookup_Lists!$D$127,0)+IF(ISNUMBER(Matching_Engine!$AD$76),Matching_Engine!$AD$76*Lookup_Lists!$D$128,0))/(IF(ISNUMBER(Matching_Engine!$AA$76),Lookup_Lists!$D$125,0)+IF(ISNUMBER(Matching_Engine!$AB$76),Lookup_Lists!$D$126,0)+IF(ISNUMBER(Matching_Engine!$AC$76),Lookup_Lists!$D$127,0)+IF(ISNUMBER(Matching_Engine!$AD$76),Lookup_Lists!$D$128,0)),0))</f>
        <v>30</v>
      </c>
      <c r="AF76" s="42">
        <f>IF(ISNUMBER(Matching_Engine!$AE$76),1,0)</f>
        <v>1</v>
      </c>
      <c r="AG76" s="65" t="str">
        <f>IF(NOT(ISNUMBER('[1]#REF'!$BG$28)),"N/A",MIN(100,ROUND('[1]#REF'!$BG$28/IFERROR(INDEX(Lookup_Lists!$B$340:$B$344,MATCH('[1]#REF'!$H$28,Lookup_Lists!$A$340:$A$344,0)),Lookup_Lists!$D$141)*100,0)))</f>
        <v>N/A</v>
      </c>
      <c r="AH76" s="65" t="str">
        <f>IF(NOT(ISNUMBER('[1]#REF'!$BS$28)),"N/A",MIN(100,MAX(0,'[1]#REF'!$BS$28)))</f>
        <v>N/A</v>
      </c>
      <c r="AI76" s="65" t="e">
        <f>IF(OR(NOT(ISNUMBER('[1]#REF'!$BM$28)),NOT(ISNUMBER('[1]#REF'!$BN$28)),'[1]#REF'!$BN$28&lt;Lookup_Lists!$D$320),"N/A",MIN(100,ROUND('[1]#REF'!$BM$28/Lookup_Lists!$D$319*100,0)))</f>
        <v>#REF!</v>
      </c>
      <c r="AJ76" s="65" t="str">
        <f>IF(NOT(ISNUMBER('[1]#REF'!$BR$28)),"N/A",'[1]#REF'!$BR$28)</f>
        <v>N/A</v>
      </c>
      <c r="AK76" s="65" t="str">
        <f>IF(NOT(ISNUMBER('[1]#REF'!$BK$28)),"N/A",MIN(100,ROUND('[1]#REF'!$BK$28/Lookup_Lists!$D$321*100,0)))</f>
        <v>N/A</v>
      </c>
      <c r="AL76" s="65" t="str">
        <f>IF(NOT(ISNUMBER('[1]#REF'!$BP$28)),"N/A",MIN(100,MAX(0,ROUND(('[1]#REF'!$BP$28+2)/(Lookup_Lists!$D$145+2)*100,0))))</f>
        <v>N/A</v>
      </c>
      <c r="AM76" s="63">
        <f>IF((IF(ISNUMBER(Matching_Engine!$AG$76),Lookup_Lists!$D$129,0)+IF(ISNUMBER(Matching_Engine!$AH$76),Lookup_Lists!$D$130,0)+IF(ISNUMBER(Matching_Engine!$AI$76),Lookup_Lists!$D$131,0)+IF(ISNUMBER(Matching_Engine!$AJ$76),Lookup_Lists!$D$132,0)+IF(ISNUMBER(Matching_Engine!$AK$76),Lookup_Lists!$D$133,0)+IF(ISNUMBER(Matching_Engine!$AL$76),Lookup_Lists!$D$134,0))=0,"N/A",ROUND((IF(ISNUMBER(Matching_Engine!$AG$76),Matching_Engine!$AG$76*Lookup_Lists!$D$129,0)+IF(ISNUMBER(Matching_Engine!$AH$76),Matching_Engine!$AH$76*Lookup_Lists!$D$130,0)+IF(ISNUMBER(Matching_Engine!$AI$76),Matching_Engine!$AI$76*Lookup_Lists!$D$131,0)+IF(ISNUMBER(Matching_Engine!$AJ$76),Matching_Engine!$AJ$76*Lookup_Lists!$D$132,0)+IF(ISNUMBER(Matching_Engine!$AK$76),Matching_Engine!$AK$76*Lookup_Lists!$D$133,0)+IF(ISNUMBER(Matching_Engine!$AL$76),Matching_Engine!$AL$76*Lookup_Lists!$D$134,0))/(IF(ISNUMBER(Matching_Engine!$AG$76),Lookup_Lists!$D$129,0)+IF(ISNUMBER(Matching_Engine!$AH$76),Lookup_Lists!$D$130,0)+IF(ISNUMBER(Matching_Engine!$AI$76),Lookup_Lists!$D$131,0)+IF(ISNUMBER(Matching_Engine!$AJ$76),Lookup_Lists!$D$132,0)+IF(ISNUMBER(Matching_Engine!$AK$76),Lookup_Lists!$D$133,0)+IF(ISNUMBER(Matching_Engine!$AL$76),Lookup_Lists!$D$134,0)),0))</f>
        <v>58</v>
      </c>
      <c r="AN76" s="42">
        <f>IF(ISNUMBER(Matching_Engine!$AM$76),1,0)</f>
        <v>0</v>
      </c>
      <c r="AO76" s="65" t="str">
        <f>IF(NOT(ISNUMBER('[1]#REF'!$BT$28)),"N/A",MIN(100,MAX(0,'[1]#REF'!$BT$28)))</f>
        <v>N/A</v>
      </c>
      <c r="AP76" s="65" t="str">
        <f>IF(NOT(ISNUMBER('[1]#REF'!$BU$28)),"N/A",MIN(100,MAX(0,'[1]#REF'!$BU$28)))</f>
        <v>N/A</v>
      </c>
      <c r="AQ76" s="65" t="e">
        <f>IF('[1]#REF'!$I$28="Yes",Lookup_Lists!$D$326,IF('[1]#REF'!$I$28="No",Lookup_Lists!$D$327,"N/A"))</f>
        <v>#REF!</v>
      </c>
      <c r="AR76" s="65" t="str">
        <f>IF(NOT(ISNUMBER('[1]#REF'!$BQ$28)),"N/A",MAX(0,ROUND(100-'[1]#REF'!$BQ$28/Lookup_Lists!$D$328*100,0)))</f>
        <v>N/A</v>
      </c>
      <c r="AS76" s="65" t="e">
        <f>IF(NOT(AND(ISTEXT('[1]#REF'!$BV$28),'[1]#REF'!$BV$28&lt;&gt;"N/A")),"N/A",'[1]#REF'!$BV$28)</f>
        <v>#REF!</v>
      </c>
      <c r="AT76" s="63" t="str">
        <f ca="1">IF((IF(ISNUMBER(Matching_Engine!$AO$76),Lookup_Lists!$D$322,0)+IF(ISNUMBER(Matching_Engine!$AP$76),Lookup_Lists!$D$323,0)+IF(ISNUMBER(Matching_Engine!$AQ$76),Lookup_Lists!$D$324,0)+IF(ISNUMBER(Matching_Engine!$AR$76),Lookup_Lists!$D$325,0))=0,"N/A",ROUND((IF(ISNUMBER(Matching_Engine!$AO$76),Matching_Engine!$AO$76*Lookup_Lists!$D$322,0)+IF(ISNUMBER(Matching_Engine!$AP$76),Matching_Engine!$AP$76*Lookup_Lists!$D$323,0)+IF(ISNUMBER(Matching_Engine!$AQ$76),Matching_Engine!$AQ$76*Lookup_Lists!$D$324,0)+IF(ISNUMBER(Matching_Engine!$AR$76),Matching_Engine!$AR$76*Lookup_Lists!$D$325,0))/(IF(ISNUMBER(Matching_Engine!$AO$76),Lookup_Lists!$D$322,0)+IF(ISNUMBER(Matching_Engine!$AP$76),Lookup_Lists!$D$323,0)+IF(ISNUMBER(Matching_Engine!$AQ$76),Lookup_Lists!$D$324,0)+IF(ISNUMBER(Matching_Engine!$AR$76),Lookup_Lists!$D$325,0)),0))</f>
        <v>N/A</v>
      </c>
      <c r="AU76" s="42">
        <f>IF(ISNUMBER(Matching_Engine!$AT$76),1,0)</f>
        <v>1</v>
      </c>
      <c r="AV76" s="42" t="str">
        <f>IF(NOT(ISNUMBER(Matching_Engine!$AT$76)),"Not Screened",IF(Matching_Engine!$AT$76&gt;=Lookup_Lists!$D$329,"Low Risk",IF(Matching_Engine!$AT$76&gt;=Lookup_Lists!$D$330,"Moderate Risk",IF(Matching_Engine!$AT$76&gt;=Lookup_Lists!$D$331,"Elevated Risk","High Risk"))))</f>
        <v>Low Risk</v>
      </c>
      <c r="AW76" s="42" t="e">
        <f ca="1">IF(NOT(ISNUMBER(Matching_Engine!$AT$76)),"No integrity signal: no audience-analysis row for this account.","Integrity screen only — no content-risk reading exists (comments_analysis: 0 rows). "&amp;IF(ISNUMBER(Matching_Engine!$AO$76),"Authenticity "&amp;Matching_Engine!$AO$76&amp;". ","Authenticity N/A. ")&amp;IF(ISNUMBER(Matching_Engine!$AP$76),"Follower quality "&amp;Matching_Engine!$AP$76&amp;". ","Follower quality N/A. ")&amp;IF('[1]#REF'!$I$28="Yes","Platform-verified.","Not platform-verified."))</f>
        <v>#REF!</v>
      </c>
      <c r="AX76" s="65">
        <f>Matching_Engine!$N$76*Lookup_Lists!$D$104+Matching_Engine!$T$76*Lookup_Lists!$D$105+Matching_Engine!$Z$76*Lookup_Lists!$D$106+Matching_Engine!$AF$76*Lookup_Lists!$D$107+Matching_Engine!$AN$76*Lookup_Lists!$D$108+Matching_Engine!$AU$76*Lookup_Lists!$D$109</f>
        <v>6019.5</v>
      </c>
      <c r="AY76" s="74" t="e">
        <f ca="1">IF(Matching_Engine!$AX$76=0,"N/A",ROUND((IF(Matching_Engine!$N$76=1,Matching_Engine!$M$76*Lookup_Lists!$D$104,0)+IF(Matching_Engine!$T$76=1,Matching_Engine!$S$76*Lookup_Lists!$D$105,0)+IF(Matching_Engine!$Z$76=1,Matching_Engine!$Y$76*Lookup_Lists!$D$106,0)+IF(Matching_Engine!$AF$76=1,Matching_Engine!$AE$76*Lookup_Lists!$D$107,0)+IF(Matching_Engine!$AN$76=1,Matching_Engine!$AM$76*Lookup_Lists!$D$108,0)+IF(Matching_Engine!$AU$76=1,Matching_Engine!$AT$76*Lookup_Lists!$D$109,0))/Matching_Engine!$AX$76,0))</f>
        <v>#VALUE!</v>
      </c>
      <c r="AZ76" s="42" t="str">
        <f ca="1">IF(NOT(ISNUMBER(Matching_Engine!$AY$76)),"Not Scored",IF(Matching_Engine!$AY$76&gt;=Lookup_Lists!$D$152,"Excellent Match",IF(Matching_Engine!$AY$76&gt;=Lookup_Lists!$D$153,"Strong Match",IF(Matching_Engine!$AY$76&gt;=Lookup_Lists!$D$154,"Good Match",IF(Matching_Engine!$AY$76&gt;=Lookup_Lists!$D$155,"Moderate Match","Low Match")))))</f>
        <v>Not Scored</v>
      </c>
      <c r="BA76" s="65" t="e">
        <f>'[1]#REF'!$BW$28</f>
        <v>#REF!</v>
      </c>
      <c r="BB76" s="42" t="e">
        <f>'[1]#REF'!$BX$28</f>
        <v>#REF!</v>
      </c>
      <c r="BC76" s="65">
        <f ca="1">IF(NOT(ISNUMBER(Matching_Engine!$AY$76)),-1,Matching_Engine!$AY$76*1000+2)</f>
        <v>-1</v>
      </c>
      <c r="BD76" s="42" t="e">
        <f>IF(AND(ISTEXT('[1]#REF'!$S$28),'[1]#REF'!$S$28&lt;&gt;"N/A"),'[1]#REF'!$S$28,"")&amp;" | "&amp;IF(AND(ISTEXT('[1]#REF'!$T$28),'[1]#REF'!$T$28&lt;&gt;"N/A"),'[1]#REF'!$T$28,"")&amp;" | "&amp;IF(AND(ISTEXT('[1]#REF'!$N$28),'[1]#REF'!$N$28&lt;&gt;"N/A"),'[1]#REF'!$N$28,"")&amp;" | "&amp;IF(AND(ISTEXT('[1]#REF'!$K$28),'[1]#REF'!$K$28&lt;&gt;"N/A"),'[1]#REF'!$K$28,"")&amp;" | "&amp;IF(AND(ISTEXT('[1]#REF'!$J$28),'[1]#REF'!$J$28&lt;&gt;"N/A"),'[1]#REF'!$J$28,"")</f>
        <v>#REF!</v>
      </c>
      <c r="BE76" s="42" t="e">
        <f>IF(AND(ISTEXT('[1]#REF'!$T$28),'[1]#REF'!$T$28&lt;&gt;"N/A"),'[1]#REF'!$T$28,"")&amp;" | "&amp;IF(AND(ISTEXT('[1]#REF'!$N$28),'[1]#REF'!$N$28&lt;&gt;"N/A"),'[1]#REF'!$N$28,"")&amp;" | "&amp;IF(AND(ISTEXT('[1]#REF'!$O$28),'[1]#REF'!$O$28&lt;&gt;"N/A"),'[1]#REF'!$O$28,"")&amp;" | "&amp;IF(AND(ISTEXT('[1]#REF'!$S$28),'[1]#REF'!$S$28&lt;&gt;"N/A"),'[1]#REF'!$S$28,"")</f>
        <v>#REF!</v>
      </c>
      <c r="BF76" s="42" t="e">
        <f>IF(AND(ISTEXT('[1]#REF'!$U$28),'[1]#REF'!$U$28&lt;&gt;"N/A"),'[1]#REF'!$U$28,"")</f>
        <v>#REF!</v>
      </c>
      <c r="BG76" s="42" t="str">
        <f>Matching_Engine!$A$76&amp;"|"&amp;Matching_Engine!$C$76</f>
        <v>BRAND-C|KOL-11</v>
      </c>
    </row>
    <row r="77" spans="1:59">
      <c r="A77" s="64" t="s">
        <v>2529</v>
      </c>
      <c r="B77" s="42" t="str">
        <f>Brand_Profile!$G$6</f>
        <v>Active Value</v>
      </c>
      <c r="C77" s="42" t="e">
        <f>'[1]#REF'!$A$29</f>
        <v>#REF!</v>
      </c>
      <c r="D77" s="42" t="e">
        <f>'[1]#REF'!$C$29</f>
        <v>#REF!</v>
      </c>
      <c r="E77" s="42" t="e">
        <f>'[1]#REF'!$D$29</f>
        <v>#REF!</v>
      </c>
      <c r="F77" s="42" t="e">
        <f>'[1]#REF'!$E$29</f>
        <v>#REF!</v>
      </c>
      <c r="G77" s="42" t="e">
        <f>'[1]#REF'!$K$29</f>
        <v>#REF!</v>
      </c>
      <c r="H77" s="72" t="e">
        <f>'[1]#REF'!$G$29</f>
        <v>#REF!</v>
      </c>
      <c r="I77" s="73" t="e">
        <f>'[1]#REF'!$BG$29</f>
        <v>#REF!</v>
      </c>
      <c r="J77" s="65" t="e">
        <f>IF(NOT(AND(ISTEXT('[1]#REF'!$K$29),'[1]#REF'!$K$29&lt;&gt;"N/A")),Lookup_Lists!$D$150,IF(Brand_Profile!$G$7='[1]#REF'!$K$29,100,IFERROR(INDEX(Lookup_Lists!$B$349:$J$357,MATCH(Brand_Profile!$G$7,Lookup_Lists!$A$349:$A$357,0),MATCH('[1]#REF'!$K$29,Lookup_Lists!$B$348:$J$348,0)),Lookup_Lists!$D$151)))</f>
        <v>#REF!</v>
      </c>
      <c r="K77" s="65" t="e">
        <f>IF(LEN(TRIM(SUBSTITUTE(Matching_Engine!$BD$77,"|","")))=0,"N/A",IF(Brand_Profile!$G$47=0,Lookup_Lists!$D$150,ROUND((IF(Brand_Profile!$G$41="",0,IF(ISNUMBER(SEARCH(Brand_Profile!$G$41,Matching_Engine!$BD$77)),1,0))+IF(Brand_Profile!$G$42="",0,IF(ISNUMBER(SEARCH(Brand_Profile!$G$42,Matching_Engine!$BD$77)),1,0))+IF(Brand_Profile!$G$43="",0,IF(ISNUMBER(SEARCH(Brand_Profile!$G$43,Matching_Engine!$BD$77)),1,0))+IF(Brand_Profile!$G$44="",0,IF(ISNUMBER(SEARCH(Brand_Profile!$G$44,Matching_Engine!$BD$77)),1,0))+IF(Brand_Profile!$G$45="",0,IF(ISNUMBER(SEARCH(Brand_Profile!$G$45,Matching_Engine!$BD$77)),1,0))+IF(Brand_Profile!$G$46="",0,IF(ISNUMBER(SEARCH(Brand_Profile!$G$46,Matching_Engine!$BD$77)),1,0)))/Brand_Profile!$G$47*100,0)))</f>
        <v>#VALUE!</v>
      </c>
      <c r="L77" s="65" t="e">
        <f>IF(NOT(AND(ISTEXT('[1]#REF'!$U$29),'[1]#REF'!$U$29&lt;&gt;"N/A")),"N/A",IF(Brand_Profile!$G$53=0,Lookup_Lists!$D$150,ROUND((IF(Brand_Profile!$G$48="",0,IF(ISNUMBER(SEARCH(Brand_Profile!$G$48,Matching_Engine!$BF$77)),1,0))+IF(Brand_Profile!$G$49="",0,IF(ISNUMBER(SEARCH(Brand_Profile!$G$49,Matching_Engine!$BF$77)),1,0))+IF(Brand_Profile!$G$50="",0,IF(ISNUMBER(SEARCH(Brand_Profile!$G$50,Matching_Engine!$BF$77)),1,0))+IF(Brand_Profile!$G$51="",0,IF(ISNUMBER(SEARCH(Brand_Profile!$G$51,Matching_Engine!$BF$77)),1,0))+IF(Brand_Profile!$G$52="",0,IF(ISNUMBER(SEARCH(Brand_Profile!$G$52,Matching_Engine!$BF$77)),1,0)))/Brand_Profile!$G$53*100,0)))</f>
        <v>#REF!</v>
      </c>
      <c r="M77" s="63" t="str">
        <f>IF((IF(ISNUMBER(Matching_Engine!$J$77),Lookup_Lists!$D$332,0)+IF(ISNUMBER(Matching_Engine!$K$77),Lookup_Lists!$D$333,0)+IF(ISNUMBER(Matching_Engine!$L$77),Lookup_Lists!$D$334,0))=0,"N/A",ROUND((IF(ISNUMBER(Matching_Engine!$J$77),Matching_Engine!$J$77*Lookup_Lists!$D$332,0)+IF(ISNUMBER(Matching_Engine!$K$77),Matching_Engine!$K$77*Lookup_Lists!$D$333,0)+IF(ISNUMBER(Matching_Engine!$L$77),Matching_Engine!$L$77*Lookup_Lists!$D$334,0))/(IF(ISNUMBER(Matching_Engine!$J$77),Lookup_Lists!$D$332,0)+IF(ISNUMBER(Matching_Engine!$K$77),Lookup_Lists!$D$333,0)+IF(ISNUMBER(Matching_Engine!$L$77),Lookup_Lists!$D$334,0)),0))</f>
        <v>N/A</v>
      </c>
      <c r="N77" s="42">
        <f>IF(ISNUMBER(Matching_Engine!$M$77),1,0)</f>
        <v>1</v>
      </c>
      <c r="O77" s="65" t="str">
        <f ca="1">IF(NOT(ISNUMBER(IFERROR(INDEX('[1]#REF'!$V$29:'[1]#REF'!$Z$29,1,MATCH(Brand_Profile!$G$11,Lookup_Lists!$F$6:$F$10,0)),""))),"N/A",MIN(100,ROUND((IFERROR(INDEX('[1]#REF'!$V$29:'[1]#REF'!$Z$29,1,MATCH(Brand_Profile!$G$11,Lookup_Lists!$F$6:$F$10,0)),"")+0.5*IF(ISNUMBER(IFERROR(INDEX('[1]#REF'!$V$29:'[1]#REF'!$Z$29,1,MATCH(Brand_Profile!$G$12,Lookup_Lists!$F$6:$F$10,0)),"")),IFERROR(INDEX('[1]#REF'!$V$29:'[1]#REF'!$Z$29,1,MATCH(Brand_Profile!$G$12,Lookup_Lists!$F$6:$F$10,0)),""),0))/Lookup_Lists!$D$142*100,0)))</f>
        <v>N/A</v>
      </c>
      <c r="P77" s="65" t="str">
        <f>IF(Brand_Profile!$G$13="Any",100,IF(NOT(ISNUMBER('[1]#REF'!$AA$29)),"N/A",IF(Brand_Profile!$G$13="Female",MIN(100,ROUND('[1]#REF'!$AA$29/Lookup_Lists!$D$143*100,0)),IF(Brand_Profile!$G$13="Male",MIN(100,ROUND(IF(ISNUMBER('[1]#REF'!$AB$29),'[1]#REF'!$AB$29,100-'[1]#REF'!$AA$29)/Lookup_Lists!$D$143*100,0)),MAX(0,ROUND(100-ABS('[1]#REF'!$AA$29-50)*2,0))))))</f>
        <v>N/A</v>
      </c>
      <c r="Q77" s="65" t="str">
        <f>IF((IF(ISNUMBER(IF(NOT(ISNUMBER('[1]#REF'!$AE$29)),"N/A",IF('[1]#REF'!$AD$29&lt;&gt;Brand_Profile!$G$14,Lookup_Lists!$D$151,MIN(100,ROUND('[1]#REF'!$AE$29/Lookup_Lists!$D$316*100,0))))),Lookup_Lists!$D$118,0)+IF(ISNUMBER(IF(NOT(ISNUMBER('[1]#REF'!$AM$29)),"N/A",MIN(100,ROUND((IF('[1]#REF'!$AG$29=Brand_Profile!$G$15,IF(ISNUMBER('[1]#REF'!$AH$29),'[1]#REF'!$AH$29,0),0)+IF('[1]#REF'!$AI$29=Brand_Profile!$G$15,IF(ISNUMBER('[1]#REF'!$AJ$29),'[1]#REF'!$AJ$29,0),0)+IF('[1]#REF'!$AK$29=Brand_Profile!$G$15,IF(ISNUMBER('[1]#REF'!$AL$29),'[1]#REF'!$AL$29,0),0))/Lookup_Lists!$D$317*100,0)))),Lookup_Lists!$D$120,0))=0,"N/A",ROUND((IF(ISNUMBER(IF(NOT(ISNUMBER('[1]#REF'!$AE$29)),"N/A",IF('[1]#REF'!$AD$29&lt;&gt;Brand_Profile!$G$14,Lookup_Lists!$D$151,MIN(100,ROUND('[1]#REF'!$AE$29/Lookup_Lists!$D$316*100,0))))),IF(NOT(ISNUMBER('[1]#REF'!$AE$29)),"N/A",IF('[1]#REF'!$AD$29&lt;&gt;Brand_Profile!$G$14,Lookup_Lists!$D$151,MIN(100,ROUND('[1]#REF'!$AE$29/Lookup_Lists!$D$316*100,0))))*Lookup_Lists!$D$118,0)+IF(ISNUMBER(IF(NOT(ISNUMBER('[1]#REF'!$AM$29)),"N/A",MIN(100,ROUND((IF('[1]#REF'!$AG$29=Brand_Profile!$G$15,IF(ISNUMBER('[1]#REF'!$AH$29),'[1]#REF'!$AH$29,0),0)+IF('[1]#REF'!$AI$29=Brand_Profile!$G$15,IF(ISNUMBER('[1]#REF'!$AJ$29),'[1]#REF'!$AJ$29,0),0)+IF('[1]#REF'!$AK$29=Brand_Profile!$G$15,IF(ISNUMBER('[1]#REF'!$AL$29),'[1]#REF'!$AL$29,0),0))/Lookup_Lists!$D$317*100,0)))),IF(NOT(ISNUMBER('[1]#REF'!$AM$29)),"N/A",MIN(100,ROUND((IF('[1]#REF'!$AG$29=Brand_Profile!$G$15,IF(ISNUMBER('[1]#REF'!$AH$29),'[1]#REF'!$AH$29,0),0)+IF('[1]#REF'!$AI$29=Brand_Profile!$G$15,IF(ISNUMBER('[1]#REF'!$AJ$29),'[1]#REF'!$AJ$29,0),0)+IF('[1]#REF'!$AK$29=Brand_Profile!$G$15,IF(ISNUMBER('[1]#REF'!$AL$29),'[1]#REF'!$AL$29,0),0))/Lookup_Lists!$D$317*100,0)))*Lookup_Lists!$D$120,0))/(IF(ISNUMBER(IF(NOT(ISNUMBER('[1]#REF'!$AE$29)),"N/A",IF('[1]#REF'!$AD$29&lt;&gt;Brand_Profile!$G$14,Lookup_Lists!$D$151,MIN(100,ROUND('[1]#REF'!$AE$29/Lookup_Lists!$D$316*100,0))))),Lookup_Lists!$D$118,0)+IF(ISNUMBER(IF(NOT(ISNUMBER('[1]#REF'!$AM$29)),"N/A",MIN(100,ROUND((IF('[1]#REF'!$AG$29=Brand_Profile!$G$15,IF(ISNUMBER('[1]#REF'!$AH$29),'[1]#REF'!$AH$29,0),0)+IF('[1]#REF'!$AI$29=Brand_Profile!$G$15,IF(ISNUMBER('[1]#REF'!$AJ$29),'[1]#REF'!$AJ$29,0),0)+IF('[1]#REF'!$AK$29=Brand_Profile!$G$15,IF(ISNUMBER('[1]#REF'!$AL$29),'[1]#REF'!$AL$29,0),0))/Lookup_Lists!$D$317*100,0)))),Lookup_Lists!$D$120,0)),0))</f>
        <v>N/A</v>
      </c>
      <c r="R77" s="65" t="str">
        <f>IF(NOT(ISNUMBER('[1]#REF'!$AN$29)),"N/A",MIN(100,ROUND((IF(ISNUMBER('[1]#REF'!$AO$29),'[1]#REF'!$AO$29*Brand_Profile!$G$17,0)+IF(ISNUMBER('[1]#REF'!$AP$29),'[1]#REF'!$AP$29*Brand_Profile!$G$18,0)+IF(ISNUMBER('[1]#REF'!$AQ$29),'[1]#REF'!$AQ$29*Brand_Profile!$G$19,0)+IF(ISNUMBER('[1]#REF'!$AR$29),'[1]#REF'!$AR$29*Brand_Profile!$G$20,0)+IF(ISNUMBER('[1]#REF'!$AS$29),'[1]#REF'!$AS$29*Brand_Profile!$G$21,0)+IF(ISNUMBER('[1]#REF'!$AT$29),'[1]#REF'!$AT$29*Brand_Profile!$G$22,0)+IF(ISNUMBER('[1]#REF'!$AU$29),'[1]#REF'!$AU$29*Brand_Profile!$G$23,0)+IF(ISNUMBER('[1]#REF'!$AV$29),'[1]#REF'!$AV$29*Brand_Profile!$G$24,0)+IF(ISNUMBER('[1]#REF'!$AW$29),'[1]#REF'!$AW$29*Brand_Profile!$G$25,0)+IF(ISNUMBER('[1]#REF'!$AX$29),'[1]#REF'!$AX$29*Brand_Profile!$G$26,0)+IF(ISNUMBER('[1]#REF'!$AY$29),'[1]#REF'!$AY$29*Brand_Profile!$G$27,0)+IF(ISNUMBER('[1]#REF'!$AZ$29),'[1]#REF'!$AZ$29*Brand_Profile!$G$28,0)+IF(ISNUMBER('[1]#REF'!$BA$29),'[1]#REF'!$BA$29*Brand_Profile!$G$29,0)+IF(ISNUMBER('[1]#REF'!$BB$29),'[1]#REF'!$BB$29*Brand_Profile!$G$30,0)+IF(ISNUMBER('[1]#REF'!$BC$29),'[1]#REF'!$BC$29*Brand_Profile!$G$31,0)+IF(ISNUMBER('[1]#REF'!$BD$29),'[1]#REF'!$BD$29*Brand_Profile!$G$32,0)+IF(ISNUMBER('[1]#REF'!$BE$29),'[1]#REF'!$BE$29*Brand_Profile!$G$33,0)+IF(ISNUMBER('[1]#REF'!$BF$29),'[1]#REF'!$BF$29*Brand_Profile!$G$34,0))/Lookup_Lists!$D$318*100,0)))</f>
        <v>N/A</v>
      </c>
      <c r="S77" s="63">
        <f ca="1">IF((IF(ISNUMBER(Matching_Engine!$O$77),Lookup_Lists!$D$113,0)+IF(ISNUMBER(Matching_Engine!$P$77),Lookup_Lists!$D$114,0)+IF(ISNUMBER(Matching_Engine!$Q$77),Lookup_Lists!$D$115,0)+IF(ISNUMBER(Matching_Engine!$R$77),Lookup_Lists!$D$116,0))=0,"N/A",ROUND((IF(ISNUMBER(Matching_Engine!$O$77),Matching_Engine!$O$77*Lookup_Lists!$D$113,0)+IF(ISNUMBER(Matching_Engine!$P$77),Matching_Engine!$P$77*Lookup_Lists!$D$114,0)+IF(ISNUMBER(Matching_Engine!$Q$77),Matching_Engine!$Q$77*Lookup_Lists!$D$115,0)+IF(ISNUMBER(Matching_Engine!$R$77),Matching_Engine!$R$77*Lookup_Lists!$D$116,0))/(IF(ISNUMBER(Matching_Engine!$O$77),Lookup_Lists!$D$113,0)+IF(ISNUMBER(Matching_Engine!$P$77),Lookup_Lists!$D$114,0)+IF(ISNUMBER(Matching_Engine!$Q$77),Lookup_Lists!$D$115,0)+IF(ISNUMBER(Matching_Engine!$R$77),Lookup_Lists!$D$116,0)),0))</f>
        <v>67</v>
      </c>
      <c r="T77" s="42">
        <f ca="1">IF(ISNUMBER(Matching_Engine!$S$77),1,0)</f>
        <v>1</v>
      </c>
      <c r="U77" s="65" t="e">
        <f>IF(NOT(AND(ISTEXT('[1]#REF'!$M$29),'[1]#REF'!$M$29&lt;&gt;"N/A")),Lookup_Lists!$D$150,IF(Brand_Profile!$G$7='[1]#REF'!$M$29,100,IFERROR(INDEX(Lookup_Lists!$B$349:$J$357,MATCH(Brand_Profile!$G$7,Lookup_Lists!$A$349:$A$357,0),MATCH('[1]#REF'!$M$29,Lookup_Lists!$B$348:$J$348,0)),Lookup_Lists!$D$151)))</f>
        <v>#REF!</v>
      </c>
      <c r="V77" s="65" t="e">
        <f>IF(NOT(AND(ISTEXT('[1]#REF'!$P$29),'[1]#REF'!$P$29&lt;&gt;"N/A")),"N/A",IFERROR(INDEX(Lookup_Lists!$B$349:$J$357,MATCH(Brand_Profile!$G$7,Lookup_Lists!$A$349:$A$357,0),MATCH('[1]#REF'!$P$29,Lookup_Lists!$B$348:$J$348,0)),Lookup_Lists!$D$151))</f>
        <v>#REF!</v>
      </c>
      <c r="W77" s="65" t="e">
        <f>IF(LEN(TRIM(SUBSTITUTE(Matching_Engine!$BE$77,"|","")))=0,"N/A",IF(Brand_Profile!$G$60=0,Lookup_Lists!$D$150,ROUND((IF(Brand_Profile!$G$54="",0,IF(ISNUMBER(SEARCH(Brand_Profile!$G$54,Matching_Engine!$BE$77)),1,0))+IF(Brand_Profile!$G$55="",0,IF(ISNUMBER(SEARCH(Brand_Profile!$G$55,Matching_Engine!$BE$77)),1,0))+IF(Brand_Profile!$G$56="",0,IF(ISNUMBER(SEARCH(Brand_Profile!$G$56,Matching_Engine!$BE$77)),1,0))+IF(Brand_Profile!$G$57="",0,IF(ISNUMBER(SEARCH(Brand_Profile!$G$57,Matching_Engine!$BE$77)),1,0))+IF(Brand_Profile!$G$58="",0,IF(ISNUMBER(SEARCH(Brand_Profile!$G$58,Matching_Engine!$BE$77)),1,0))+IF(Brand_Profile!$G$59="",0,IF(ISNUMBER(SEARCH(Brand_Profile!$G$59,Matching_Engine!$BE$77)),1,0)))/Brand_Profile!$G$60*100,0)))</f>
        <v>#VALUE!</v>
      </c>
      <c r="X77" s="65" t="e">
        <f>IF(NOT(AND(ISTEXT('[1]#REF'!$Q$29),'[1]#REF'!$Q$29&lt;&gt;"N/A")),"N/A",Lookup_Lists!$D$150)</f>
        <v>#REF!</v>
      </c>
      <c r="Y77" s="63">
        <f>IF((IF(ISNUMBER(Matching_Engine!$U$77),Lookup_Lists!$D$335,0)+IF(ISNUMBER(Matching_Engine!$V$77),Lookup_Lists!$D$122,0)+IF(ISNUMBER(Matching_Engine!$W$77),Lookup_Lists!$D$336,0)+IF(ISNUMBER(Matching_Engine!$X$77),Lookup_Lists!$D$124,0))=0,"N/A",ROUND((IF(ISNUMBER(Matching_Engine!$U$77),Matching_Engine!$U$77*Lookup_Lists!$D$335,0)+IF(ISNUMBER(Matching_Engine!$V$77),Matching_Engine!$V$77*Lookup_Lists!$D$122,0)+IF(ISNUMBER(Matching_Engine!$W$77),Matching_Engine!$W$77*Lookup_Lists!$D$336,0)+IF(ISNUMBER(Matching_Engine!$X$77),Matching_Engine!$X$77*Lookup_Lists!$D$124,0))/(IF(ISNUMBER(Matching_Engine!$U$77),Lookup_Lists!$D$335,0)+IF(ISNUMBER(Matching_Engine!$V$77),Lookup_Lists!$D$122,0)+IF(ISNUMBER(Matching_Engine!$W$77),Lookup_Lists!$D$336,0)+IF(ISNUMBER(Matching_Engine!$X$77),Lookup_Lists!$D$124,0)),0))</f>
        <v>35</v>
      </c>
      <c r="Z77" s="42">
        <f>IF(ISNUMBER(Matching_Engine!$Y$77),1,0)</f>
        <v>1</v>
      </c>
      <c r="AA77" s="65" t="e">
        <f>IF(NOT(AND(ISTEXT('[1]#REF'!$Q$29),'[1]#REF'!$Q$29&lt;&gt;"N/A")),"N/A",Lookup_Lists!$D$150)</f>
        <v>#REF!</v>
      </c>
      <c r="AB77" s="65" t="e">
        <f>IF(NOT(AND(ISTEXT('[1]#REF'!$Q$29),'[1]#REF'!$Q$29&lt;&gt;"N/A")),"N/A",Lookup_Lists!$D$150)</f>
        <v>#REF!</v>
      </c>
      <c r="AC77" s="65" t="str">
        <f t="shared" si="1"/>
        <v>N/A</v>
      </c>
      <c r="AD77" s="65" t="e">
        <f>IF(NOT(AND(ISTEXT('[1]#REF'!$Q$29),'[1]#REF'!$Q$29&lt;&gt;"N/A")),"N/A",Lookup_Lists!$D$150)</f>
        <v>#REF!</v>
      </c>
      <c r="AE77" s="63">
        <f>IF((IF(ISNUMBER(Matching_Engine!$AA$77),Lookup_Lists!$D$125,0)+IF(ISNUMBER(Matching_Engine!$AB$77),Lookup_Lists!$D$126,0)+IF(ISNUMBER(Matching_Engine!$AC$77),Lookup_Lists!$D$127,0)+IF(ISNUMBER(Matching_Engine!$AD$77),Lookup_Lists!$D$128,0))=0,"N/A",ROUND((IF(ISNUMBER(Matching_Engine!$AA$77),Matching_Engine!$AA$77*Lookup_Lists!$D$125,0)+IF(ISNUMBER(Matching_Engine!$AB$77),Matching_Engine!$AB$77*Lookup_Lists!$D$126,0)+IF(ISNUMBER(Matching_Engine!$AC$77),Matching_Engine!$AC$77*Lookup_Lists!$D$127,0)+IF(ISNUMBER(Matching_Engine!$AD$77),Matching_Engine!$AD$77*Lookup_Lists!$D$128,0))/(IF(ISNUMBER(Matching_Engine!$AA$77),Lookup_Lists!$D$125,0)+IF(ISNUMBER(Matching_Engine!$AB$77),Lookup_Lists!$D$126,0)+IF(ISNUMBER(Matching_Engine!$AC$77),Lookup_Lists!$D$127,0)+IF(ISNUMBER(Matching_Engine!$AD$77),Lookup_Lists!$D$128,0)),0))</f>
        <v>49</v>
      </c>
      <c r="AF77" s="42">
        <f>IF(ISNUMBER(Matching_Engine!$AE$77),1,0)</f>
        <v>1</v>
      </c>
      <c r="AG77" s="65" t="str">
        <f>IF(NOT(ISNUMBER('[1]#REF'!$BG$29)),"N/A",MIN(100,ROUND('[1]#REF'!$BG$29/IFERROR(INDEX(Lookup_Lists!$B$340:$B$344,MATCH('[1]#REF'!$H$29,Lookup_Lists!$A$340:$A$344,0)),Lookup_Lists!$D$141)*100,0)))</f>
        <v>N/A</v>
      </c>
      <c r="AH77" s="65" t="str">
        <f>IF(NOT(ISNUMBER('[1]#REF'!$BS$29)),"N/A",MIN(100,MAX(0,'[1]#REF'!$BS$29)))</f>
        <v>N/A</v>
      </c>
      <c r="AI77" s="65" t="e">
        <f>IF(OR(NOT(ISNUMBER('[1]#REF'!$BM$29)),NOT(ISNUMBER('[1]#REF'!$BN$29)),'[1]#REF'!$BN$29&lt;Lookup_Lists!$D$320),"N/A",MIN(100,ROUND('[1]#REF'!$BM$29/Lookup_Lists!$D$319*100,0)))</f>
        <v>#REF!</v>
      </c>
      <c r="AJ77" s="65" t="str">
        <f>IF(NOT(ISNUMBER('[1]#REF'!$BR$29)),"N/A",'[1]#REF'!$BR$29)</f>
        <v>N/A</v>
      </c>
      <c r="AK77" s="65" t="str">
        <f>IF(NOT(ISNUMBER('[1]#REF'!$BK$29)),"N/A",MIN(100,ROUND('[1]#REF'!$BK$29/Lookup_Lists!$D$321*100,0)))</f>
        <v>N/A</v>
      </c>
      <c r="AL77" s="65" t="str">
        <f>IF(NOT(ISNUMBER('[1]#REF'!$BP$29)),"N/A",MIN(100,MAX(0,ROUND(('[1]#REF'!$BP$29+2)/(Lookup_Lists!$D$145+2)*100,0))))</f>
        <v>N/A</v>
      </c>
      <c r="AM77" s="63">
        <f>IF((IF(ISNUMBER(Matching_Engine!$AG$77),Lookup_Lists!$D$129,0)+IF(ISNUMBER(Matching_Engine!$AH$77),Lookup_Lists!$D$130,0)+IF(ISNUMBER(Matching_Engine!$AI$77),Lookup_Lists!$D$131,0)+IF(ISNUMBER(Matching_Engine!$AJ$77),Lookup_Lists!$D$132,0)+IF(ISNUMBER(Matching_Engine!$AK$77),Lookup_Lists!$D$133,0)+IF(ISNUMBER(Matching_Engine!$AL$77),Lookup_Lists!$D$134,0))=0,"N/A",ROUND((IF(ISNUMBER(Matching_Engine!$AG$77),Matching_Engine!$AG$77*Lookup_Lists!$D$129,0)+IF(ISNUMBER(Matching_Engine!$AH$77),Matching_Engine!$AH$77*Lookup_Lists!$D$130,0)+IF(ISNUMBER(Matching_Engine!$AI$77),Matching_Engine!$AI$77*Lookup_Lists!$D$131,0)+IF(ISNUMBER(Matching_Engine!$AJ$77),Matching_Engine!$AJ$77*Lookup_Lists!$D$132,0)+IF(ISNUMBER(Matching_Engine!$AK$77),Matching_Engine!$AK$77*Lookup_Lists!$D$133,0)+IF(ISNUMBER(Matching_Engine!$AL$77),Matching_Engine!$AL$77*Lookup_Lists!$D$134,0))/(IF(ISNUMBER(Matching_Engine!$AG$77),Lookup_Lists!$D$129,0)+IF(ISNUMBER(Matching_Engine!$AH$77),Lookup_Lists!$D$130,0)+IF(ISNUMBER(Matching_Engine!$AI$77),Lookup_Lists!$D$131,0)+IF(ISNUMBER(Matching_Engine!$AJ$77),Lookup_Lists!$D$132,0)+IF(ISNUMBER(Matching_Engine!$AK$77),Lookup_Lists!$D$133,0)+IF(ISNUMBER(Matching_Engine!$AL$77),Lookup_Lists!$D$134,0)),0))</f>
        <v>80</v>
      </c>
      <c r="AN77" s="42">
        <f>IF(ISNUMBER(Matching_Engine!$AM$77),1,0)</f>
        <v>0</v>
      </c>
      <c r="AO77" s="65" t="str">
        <f>IF(NOT(ISNUMBER('[1]#REF'!$BT$29)),"N/A",MIN(100,MAX(0,'[1]#REF'!$BT$29)))</f>
        <v>N/A</v>
      </c>
      <c r="AP77" s="65" t="str">
        <f>IF(NOT(ISNUMBER('[1]#REF'!$BU$29)),"N/A",MIN(100,MAX(0,'[1]#REF'!$BU$29)))</f>
        <v>N/A</v>
      </c>
      <c r="AQ77" s="65" t="e">
        <f>IF('[1]#REF'!$I$29="Yes",Lookup_Lists!$D$326,IF('[1]#REF'!$I$29="No",Lookup_Lists!$D$327,"N/A"))</f>
        <v>#REF!</v>
      </c>
      <c r="AR77" s="65" t="str">
        <f>IF(NOT(ISNUMBER('[1]#REF'!$BQ$29)),"N/A",MAX(0,ROUND(100-'[1]#REF'!$BQ$29/Lookup_Lists!$D$328*100,0)))</f>
        <v>N/A</v>
      </c>
      <c r="AS77" s="65" t="e">
        <f>IF(NOT(AND(ISTEXT('[1]#REF'!$BV$29),'[1]#REF'!$BV$29&lt;&gt;"N/A")),"N/A",'[1]#REF'!$BV$29)</f>
        <v>#REF!</v>
      </c>
      <c r="AT77" s="63" t="str">
        <f ca="1">IF((IF(ISNUMBER(Matching_Engine!$AO$77),Lookup_Lists!$D$322,0)+IF(ISNUMBER(Matching_Engine!$AP$77),Lookup_Lists!$D$323,0)+IF(ISNUMBER(Matching_Engine!$AQ$77),Lookup_Lists!$D$324,0)+IF(ISNUMBER(Matching_Engine!$AR$77),Lookup_Lists!$D$325,0))=0,"N/A",ROUND((IF(ISNUMBER(Matching_Engine!$AO$77),Matching_Engine!$AO$77*Lookup_Lists!$D$322,0)+IF(ISNUMBER(Matching_Engine!$AP$77),Matching_Engine!$AP$77*Lookup_Lists!$D$323,0)+IF(ISNUMBER(Matching_Engine!$AQ$77),Matching_Engine!$AQ$77*Lookup_Lists!$D$324,0)+IF(ISNUMBER(Matching_Engine!$AR$77),Matching_Engine!$AR$77*Lookup_Lists!$D$325,0))/(IF(ISNUMBER(Matching_Engine!$AO$77),Lookup_Lists!$D$322,0)+IF(ISNUMBER(Matching_Engine!$AP$77),Lookup_Lists!$D$323,0)+IF(ISNUMBER(Matching_Engine!$AQ$77),Lookup_Lists!$D$324,0)+IF(ISNUMBER(Matching_Engine!$AR$77),Lookup_Lists!$D$325,0)),0))</f>
        <v>N/A</v>
      </c>
      <c r="AU77" s="42">
        <f>IF(ISNUMBER(Matching_Engine!$AT$77),1,0)</f>
        <v>1</v>
      </c>
      <c r="AV77" s="42" t="str">
        <f>IF(NOT(ISNUMBER(Matching_Engine!$AT$77)),"Not Screened",IF(Matching_Engine!$AT$77&gt;=Lookup_Lists!$D$329,"Low Risk",IF(Matching_Engine!$AT$77&gt;=Lookup_Lists!$D$330,"Moderate Risk",IF(Matching_Engine!$AT$77&gt;=Lookup_Lists!$D$331,"Elevated Risk","High Risk"))))</f>
        <v>Low Risk</v>
      </c>
      <c r="AW77" s="42" t="e">
        <f ca="1">IF(NOT(ISNUMBER(Matching_Engine!$AT$77)),"No integrity signal: no audience-analysis row for this account.","Integrity screen only — no content-risk reading exists (comments_analysis: 0 rows). "&amp;IF(ISNUMBER(Matching_Engine!$AO$77),"Authenticity "&amp;Matching_Engine!$AO$77&amp;". ","Authenticity N/A. ")&amp;IF(ISNUMBER(Matching_Engine!$AP$77),"Follower quality "&amp;Matching_Engine!$AP$77&amp;". ","Follower quality N/A. ")&amp;IF('[1]#REF'!$I$29="Yes","Platform-verified.","Not platform-verified."))</f>
        <v>#REF!</v>
      </c>
      <c r="AX77" s="65">
        <f>Matching_Engine!$N$77*Lookup_Lists!$D$104+Matching_Engine!$T$77*Lookup_Lists!$D$105+Matching_Engine!$Z$77*Lookup_Lists!$D$106+Matching_Engine!$AF$77*Lookup_Lists!$D$107+Matching_Engine!$AN$77*Lookup_Lists!$D$108+Matching_Engine!$AU$77*Lookup_Lists!$D$109</f>
        <v>6330</v>
      </c>
      <c r="AY77" s="74" t="e">
        <f ca="1">IF(Matching_Engine!$AX$77=0,"N/A",ROUND((IF(Matching_Engine!$N$77=1,Matching_Engine!$M$77*Lookup_Lists!$D$104,0)+IF(Matching_Engine!$T$77=1,Matching_Engine!$S$77*Lookup_Lists!$D$105,0)+IF(Matching_Engine!$Z$77=1,Matching_Engine!$Y$77*Lookup_Lists!$D$106,0)+IF(Matching_Engine!$AF$77=1,Matching_Engine!$AE$77*Lookup_Lists!$D$107,0)+IF(Matching_Engine!$AN$77=1,Matching_Engine!$AM$77*Lookup_Lists!$D$108,0)+IF(Matching_Engine!$AU$77=1,Matching_Engine!$AT$77*Lookup_Lists!$D$109,0))/Matching_Engine!$AX$77,0))</f>
        <v>#VALUE!</v>
      </c>
      <c r="AZ77" s="42" t="str">
        <f ca="1">IF(NOT(ISNUMBER(Matching_Engine!$AY$77)),"Not Scored",IF(Matching_Engine!$AY$77&gt;=Lookup_Lists!$D$152,"Excellent Match",IF(Matching_Engine!$AY$77&gt;=Lookup_Lists!$D$153,"Strong Match",IF(Matching_Engine!$AY$77&gt;=Lookup_Lists!$D$154,"Good Match",IF(Matching_Engine!$AY$77&gt;=Lookup_Lists!$D$155,"Moderate Match","Low Match")))))</f>
        <v>Not Scored</v>
      </c>
      <c r="BA77" s="65" t="e">
        <f>'[1]#REF'!$BW$29</f>
        <v>#REF!</v>
      </c>
      <c r="BB77" s="42" t="e">
        <f>'[1]#REF'!$BX$29</f>
        <v>#REF!</v>
      </c>
      <c r="BC77" s="65">
        <f ca="1">IF(NOT(ISNUMBER(Matching_Engine!$AY$77)),-1,Matching_Engine!$AY$77*1000+1)</f>
        <v>-1</v>
      </c>
      <c r="BD77" s="42" t="e">
        <f>IF(AND(ISTEXT('[1]#REF'!$S$29),'[1]#REF'!$S$29&lt;&gt;"N/A"),'[1]#REF'!$S$29,"")&amp;" | "&amp;IF(AND(ISTEXT('[1]#REF'!$T$29),'[1]#REF'!$T$29&lt;&gt;"N/A"),'[1]#REF'!$T$29,"")&amp;" | "&amp;IF(AND(ISTEXT('[1]#REF'!$N$29),'[1]#REF'!$N$29&lt;&gt;"N/A"),'[1]#REF'!$N$29,"")&amp;" | "&amp;IF(AND(ISTEXT('[1]#REF'!$K$29),'[1]#REF'!$K$29&lt;&gt;"N/A"),'[1]#REF'!$K$29,"")&amp;" | "&amp;IF(AND(ISTEXT('[1]#REF'!$J$29),'[1]#REF'!$J$29&lt;&gt;"N/A"),'[1]#REF'!$J$29,"")</f>
        <v>#REF!</v>
      </c>
      <c r="BE77" s="42" t="e">
        <f>IF(AND(ISTEXT('[1]#REF'!$T$29),'[1]#REF'!$T$29&lt;&gt;"N/A"),'[1]#REF'!$T$29,"")&amp;" | "&amp;IF(AND(ISTEXT('[1]#REF'!$N$29),'[1]#REF'!$N$29&lt;&gt;"N/A"),'[1]#REF'!$N$29,"")&amp;" | "&amp;IF(AND(ISTEXT('[1]#REF'!$O$29),'[1]#REF'!$O$29&lt;&gt;"N/A"),'[1]#REF'!$O$29,"")&amp;" | "&amp;IF(AND(ISTEXT('[1]#REF'!$S$29),'[1]#REF'!$S$29&lt;&gt;"N/A"),'[1]#REF'!$S$29,"")</f>
        <v>#REF!</v>
      </c>
      <c r="BF77" s="42" t="e">
        <f>IF(AND(ISTEXT('[1]#REF'!$U$29),'[1]#REF'!$U$29&lt;&gt;"N/A"),'[1]#REF'!$U$29,"")</f>
        <v>#REF!</v>
      </c>
      <c r="BG77" s="42" t="str">
        <f>Matching_Engine!$A$77&amp;"|"&amp;Matching_Engine!$C$77</f>
        <v>BRAND-C|KOL-12</v>
      </c>
    </row>
    <row r="78" spans="1:59">
      <c r="A78" s="64" t="s">
        <v>2530</v>
      </c>
      <c r="B78" s="42" t="str">
        <f>Brand_Profile!$H$6</f>
        <v>Input type / allowed values</v>
      </c>
      <c r="C78" s="42" t="e">
        <f>'[1]#REF'!$A$6</f>
        <v>#REF!</v>
      </c>
      <c r="D78" s="42" t="e">
        <f>'[1]#REF'!$C$6</f>
        <v>#REF!</v>
      </c>
      <c r="E78" s="42" t="e">
        <f>'[1]#REF'!$D$6</f>
        <v>#REF!</v>
      </c>
      <c r="F78" s="42" t="e">
        <f>'[1]#REF'!$E$6</f>
        <v>#REF!</v>
      </c>
      <c r="G78" s="42" t="e">
        <f>'[1]#REF'!$K$6</f>
        <v>#REF!</v>
      </c>
      <c r="H78" s="72" t="e">
        <f>'[1]#REF'!$G$6</f>
        <v>#REF!</v>
      </c>
      <c r="I78" s="73" t="e">
        <f>'[1]#REF'!$BG$6</f>
        <v>#REF!</v>
      </c>
      <c r="J78" s="65" t="e">
        <f>IF(NOT(AND(ISTEXT('[1]#REF'!$K$6),'[1]#REF'!$K$6&lt;&gt;"N/A")),Lookup_Lists!$D$150,IF(Brand_Profile!$H$7='[1]#REF'!$K$6,100,IFERROR(INDEX(Lookup_Lists!$B$349:$J$357,MATCH(Brand_Profile!$H$7,Lookup_Lists!$A$349:$A$357,0),MATCH('[1]#REF'!$K$6,Lookup_Lists!$B$348:$J$348,0)),Lookup_Lists!$D$151)))</f>
        <v>#REF!</v>
      </c>
      <c r="K78" s="65" t="e">
        <f>IF(LEN(TRIM(SUBSTITUTE(Matching_Engine!$BD$78,"|","")))=0,"N/A",IF(Brand_Profile!$H$47=0,Lookup_Lists!$D$150,ROUND((IF(Brand_Profile!$H$41="",0,IF(ISNUMBER(SEARCH(Brand_Profile!$H$41,Matching_Engine!$BD$78)),1,0))+IF(Brand_Profile!$H$42="",0,IF(ISNUMBER(SEARCH(Brand_Profile!$H$42,Matching_Engine!$BD$78)),1,0))+IF(Brand_Profile!$H$43="",0,IF(ISNUMBER(SEARCH(Brand_Profile!$H$43,Matching_Engine!$BD$78)),1,0))+IF(Brand_Profile!$H$44="",0,IF(ISNUMBER(SEARCH(Brand_Profile!$H$44,Matching_Engine!$BD$78)),1,0))+IF(Brand_Profile!$H$45="",0,IF(ISNUMBER(SEARCH(Brand_Profile!$H$45,Matching_Engine!$BD$78)),1,0))+IF(Brand_Profile!$H$46="",0,IF(ISNUMBER(SEARCH(Brand_Profile!$H$46,Matching_Engine!$BD$78)),1,0)))/Brand_Profile!$H$47*100,0)))</f>
        <v>#VALUE!</v>
      </c>
      <c r="L78" s="65" t="e">
        <f>IF(NOT(AND(ISTEXT('[1]#REF'!$U$6),'[1]#REF'!$U$6&lt;&gt;"N/A")),"N/A",IF(Brand_Profile!$H$53=0,Lookup_Lists!$D$150,ROUND((IF(Brand_Profile!$H$48="",0,IF(ISNUMBER(SEARCH(Brand_Profile!$H$48,Matching_Engine!$BF$78)),1,0))+IF(Brand_Profile!$H$49="",0,IF(ISNUMBER(SEARCH(Brand_Profile!$H$49,Matching_Engine!$BF$78)),1,0))+IF(Brand_Profile!$H$50="",0,IF(ISNUMBER(SEARCH(Brand_Profile!$H$50,Matching_Engine!$BF$78)),1,0))+IF(Brand_Profile!$H$51="",0,IF(ISNUMBER(SEARCH(Brand_Profile!$H$51,Matching_Engine!$BF$78)),1,0))+IF(Brand_Profile!$H$52="",0,IF(ISNUMBER(SEARCH(Brand_Profile!$H$52,Matching_Engine!$BF$78)),1,0)))/Brand_Profile!$H$53*100,0)))</f>
        <v>#REF!</v>
      </c>
      <c r="M78" s="63" t="str">
        <f>IF((IF(ISNUMBER(Matching_Engine!$J$78),Lookup_Lists!$D$332,0)+IF(ISNUMBER(Matching_Engine!$K$78),Lookup_Lists!$D$333,0)+IF(ISNUMBER(Matching_Engine!$L$78),Lookup_Lists!$D$334,0))=0,"N/A",ROUND((IF(ISNUMBER(Matching_Engine!$J$78),Matching_Engine!$J$78*Lookup_Lists!$D$332,0)+IF(ISNUMBER(Matching_Engine!$K$78),Matching_Engine!$K$78*Lookup_Lists!$D$333,0)+IF(ISNUMBER(Matching_Engine!$L$78),Matching_Engine!$L$78*Lookup_Lists!$D$334,0))/(IF(ISNUMBER(Matching_Engine!$J$78),Lookup_Lists!$D$332,0)+IF(ISNUMBER(Matching_Engine!$K$78),Lookup_Lists!$D$333,0)+IF(ISNUMBER(Matching_Engine!$L$78),Lookup_Lists!$D$334,0)),0))</f>
        <v>N/A</v>
      </c>
      <c r="N78" s="42">
        <f>IF(ISNUMBER(Matching_Engine!$M$78),1,0)</f>
        <v>1</v>
      </c>
      <c r="O78" s="65" t="str">
        <f ca="1">IF(NOT(ISNUMBER(IFERROR(INDEX('[1]#REF'!$V$6:'[1]#REF'!$Z$6,1,MATCH(Brand_Profile!$H$11,Lookup_Lists!$F$6:$F$10,0)),""))),"N/A",MIN(100,ROUND((IFERROR(INDEX('[1]#REF'!$V$6:'[1]#REF'!$Z$6,1,MATCH(Brand_Profile!$H$11,Lookup_Lists!$F$6:$F$10,0)),"")+0.5*IF(ISNUMBER(IFERROR(INDEX('[1]#REF'!$V$6:'[1]#REF'!$Z$6,1,MATCH(Brand_Profile!$H$12,Lookup_Lists!$F$6:$F$10,0)),"")),IFERROR(INDEX('[1]#REF'!$V$6:'[1]#REF'!$Z$6,1,MATCH(Brand_Profile!$H$12,Lookup_Lists!$F$6:$F$10,0)),""),0))/Lookup_Lists!$D$142*100,0)))</f>
        <v>N/A</v>
      </c>
      <c r="P78" s="65" t="str">
        <f>IF(Brand_Profile!$H$13="Any",100,IF(NOT(ISNUMBER('[1]#REF'!$AA$6)),"N/A",IF(Brand_Profile!$H$13="Female",MIN(100,ROUND('[1]#REF'!$AA$6/Lookup_Lists!$D$143*100,0)),IF(Brand_Profile!$H$13="Male",MIN(100,ROUND(IF(ISNUMBER('[1]#REF'!$AB$6),'[1]#REF'!$AB$6,100-'[1]#REF'!$AA$6)/Lookup_Lists!$D$143*100,0)),MAX(0,ROUND(100-ABS('[1]#REF'!$AA$6-50)*2,0))))))</f>
        <v>N/A</v>
      </c>
      <c r="Q78" s="65" t="str">
        <f>IF((IF(ISNUMBER(IF(NOT(ISNUMBER('[1]#REF'!$AE$6)),"N/A",IF('[1]#REF'!$AD$6&lt;&gt;Brand_Profile!$H$14,Lookup_Lists!$D$151,MIN(100,ROUND('[1]#REF'!$AE$6/Lookup_Lists!$D$316*100,0))))),Lookup_Lists!$D$118,0)+IF(ISNUMBER(IF(NOT(ISNUMBER('[1]#REF'!$AM$6)),"N/A",MIN(100,ROUND((IF('[1]#REF'!$AG$6=Brand_Profile!$H$15,IF(ISNUMBER('[1]#REF'!$AH$6),'[1]#REF'!$AH$6,0),0)+IF('[1]#REF'!$AI$6=Brand_Profile!$H$15,IF(ISNUMBER('[1]#REF'!$AJ$6),'[1]#REF'!$AJ$6,0),0)+IF('[1]#REF'!$AK$6=Brand_Profile!$H$15,IF(ISNUMBER('[1]#REF'!$AL$6),'[1]#REF'!$AL$6,0),0))/Lookup_Lists!$D$317*100,0)))),Lookup_Lists!$D$120,0))=0,"N/A",ROUND((IF(ISNUMBER(IF(NOT(ISNUMBER('[1]#REF'!$AE$6)),"N/A",IF('[1]#REF'!$AD$6&lt;&gt;Brand_Profile!$H$14,Lookup_Lists!$D$151,MIN(100,ROUND('[1]#REF'!$AE$6/Lookup_Lists!$D$316*100,0))))),IF(NOT(ISNUMBER('[1]#REF'!$AE$6)),"N/A",IF('[1]#REF'!$AD$6&lt;&gt;Brand_Profile!$H$14,Lookup_Lists!$D$151,MIN(100,ROUND('[1]#REF'!$AE$6/Lookup_Lists!$D$316*100,0))))*Lookup_Lists!$D$118,0)+IF(ISNUMBER(IF(NOT(ISNUMBER('[1]#REF'!$AM$6)),"N/A",MIN(100,ROUND((IF('[1]#REF'!$AG$6=Brand_Profile!$H$15,IF(ISNUMBER('[1]#REF'!$AH$6),'[1]#REF'!$AH$6,0),0)+IF('[1]#REF'!$AI$6=Brand_Profile!$H$15,IF(ISNUMBER('[1]#REF'!$AJ$6),'[1]#REF'!$AJ$6,0),0)+IF('[1]#REF'!$AK$6=Brand_Profile!$H$15,IF(ISNUMBER('[1]#REF'!$AL$6),'[1]#REF'!$AL$6,0),0))/Lookup_Lists!$D$317*100,0)))),IF(NOT(ISNUMBER('[1]#REF'!$AM$6)),"N/A",MIN(100,ROUND((IF('[1]#REF'!$AG$6=Brand_Profile!$H$15,IF(ISNUMBER('[1]#REF'!$AH$6),'[1]#REF'!$AH$6,0),0)+IF('[1]#REF'!$AI$6=Brand_Profile!$H$15,IF(ISNUMBER('[1]#REF'!$AJ$6),'[1]#REF'!$AJ$6,0),0)+IF('[1]#REF'!$AK$6=Brand_Profile!$H$15,IF(ISNUMBER('[1]#REF'!$AL$6),'[1]#REF'!$AL$6,0),0))/Lookup_Lists!$D$317*100,0)))*Lookup_Lists!$D$120,0))/(IF(ISNUMBER(IF(NOT(ISNUMBER('[1]#REF'!$AE$6)),"N/A",IF('[1]#REF'!$AD$6&lt;&gt;Brand_Profile!$H$14,Lookup_Lists!$D$151,MIN(100,ROUND('[1]#REF'!$AE$6/Lookup_Lists!$D$316*100,0))))),Lookup_Lists!$D$118,0)+IF(ISNUMBER(IF(NOT(ISNUMBER('[1]#REF'!$AM$6)),"N/A",MIN(100,ROUND((IF('[1]#REF'!$AG$6=Brand_Profile!$H$15,IF(ISNUMBER('[1]#REF'!$AH$6),'[1]#REF'!$AH$6,0),0)+IF('[1]#REF'!$AI$6=Brand_Profile!$H$15,IF(ISNUMBER('[1]#REF'!$AJ$6),'[1]#REF'!$AJ$6,0),0)+IF('[1]#REF'!$AK$6=Brand_Profile!$H$15,IF(ISNUMBER('[1]#REF'!$AL$6),'[1]#REF'!$AL$6,0),0))/Lookup_Lists!$D$317*100,0)))),Lookup_Lists!$D$120,0)),0))</f>
        <v>N/A</v>
      </c>
      <c r="R78" s="65" t="str">
        <f>IF(NOT(ISNUMBER('[1]#REF'!$AN$6)),"N/A",MIN(100,ROUND((IF(ISNUMBER('[1]#REF'!$AO$6),'[1]#REF'!$AO$6*Brand_Profile!$H$17,0)+IF(ISNUMBER('[1]#REF'!$AP$6),'[1]#REF'!$AP$6*Brand_Profile!$H$18,0)+IF(ISNUMBER('[1]#REF'!$AQ$6),'[1]#REF'!$AQ$6*Brand_Profile!$H$19,0)+IF(ISNUMBER('[1]#REF'!$AR$6),'[1]#REF'!$AR$6*Brand_Profile!$H$20,0)+IF(ISNUMBER('[1]#REF'!$AS$6),'[1]#REF'!$AS$6*Brand_Profile!$H$21,0)+IF(ISNUMBER('[1]#REF'!$AT$6),'[1]#REF'!$AT$6*Brand_Profile!$H$22,0)+IF(ISNUMBER('[1]#REF'!$AU$6),'[1]#REF'!$AU$6*Brand_Profile!$H$23,0)+IF(ISNUMBER('[1]#REF'!$AV$6),'[1]#REF'!$AV$6*Brand_Profile!$H$24,0)+IF(ISNUMBER('[1]#REF'!$AW$6),'[1]#REF'!$AW$6*Brand_Profile!$H$25,0)+IF(ISNUMBER('[1]#REF'!$AX$6),'[1]#REF'!$AX$6*Brand_Profile!$H$26,0)+IF(ISNUMBER('[1]#REF'!$AY$6),'[1]#REF'!$AY$6*Brand_Profile!$H$27,0)+IF(ISNUMBER('[1]#REF'!$AZ$6),'[1]#REF'!$AZ$6*Brand_Profile!$H$28,0)+IF(ISNUMBER('[1]#REF'!$BA$6),'[1]#REF'!$BA$6*Brand_Profile!$H$29,0)+IF(ISNUMBER('[1]#REF'!$BB$6),'[1]#REF'!$BB$6*Brand_Profile!$H$30,0)+IF(ISNUMBER('[1]#REF'!$BC$6),'[1]#REF'!$BC$6*Brand_Profile!$H$31,0)+IF(ISNUMBER('[1]#REF'!$BD$6),'[1]#REF'!$BD$6*Brand_Profile!$H$32,0)+IF(ISNUMBER('[1]#REF'!$BE$6),'[1]#REF'!$BE$6*Brand_Profile!$H$33,0)+IF(ISNUMBER('[1]#REF'!$BF$6),'[1]#REF'!$BF$6*Brand_Profile!$H$34,0))/Lookup_Lists!$D$318*100,0)))</f>
        <v>N/A</v>
      </c>
      <c r="S78" s="63">
        <f ca="1">IF((IF(ISNUMBER(Matching_Engine!$O$78),Lookup_Lists!$D$113,0)+IF(ISNUMBER(Matching_Engine!$P$78),Lookup_Lists!$D$114,0)+IF(ISNUMBER(Matching_Engine!$Q$78),Lookup_Lists!$D$115,0)+IF(ISNUMBER(Matching_Engine!$R$78),Lookup_Lists!$D$116,0))=0,"N/A",ROUND((IF(ISNUMBER(Matching_Engine!$O$78),Matching_Engine!$O$78*Lookup_Lists!$D$113,0)+IF(ISNUMBER(Matching_Engine!$P$78),Matching_Engine!$P$78*Lookup_Lists!$D$114,0)+IF(ISNUMBER(Matching_Engine!$Q$78),Matching_Engine!$Q$78*Lookup_Lists!$D$115,0)+IF(ISNUMBER(Matching_Engine!$R$78),Matching_Engine!$R$78*Lookup_Lists!$D$116,0))/(IF(ISNUMBER(Matching_Engine!$O$78),Lookup_Lists!$D$113,0)+IF(ISNUMBER(Matching_Engine!$P$78),Lookup_Lists!$D$114,0)+IF(ISNUMBER(Matching_Engine!$Q$78),Lookup_Lists!$D$115,0)+IF(ISNUMBER(Matching_Engine!$R$78),Lookup_Lists!$D$116,0)),0))</f>
        <v>65</v>
      </c>
      <c r="T78" s="42">
        <f ca="1">IF(ISNUMBER(Matching_Engine!$S$78),1,0)</f>
        <v>1</v>
      </c>
      <c r="U78" s="65" t="e">
        <f>IF(NOT(AND(ISTEXT('[1]#REF'!$M$6),'[1]#REF'!$M$6&lt;&gt;"N/A")),Lookup_Lists!$D$150,IF(Brand_Profile!$H$7='[1]#REF'!$M$6,100,IFERROR(INDEX(Lookup_Lists!$B$349:$J$357,MATCH(Brand_Profile!$H$7,Lookup_Lists!$A$349:$A$357,0),MATCH('[1]#REF'!$M$6,Lookup_Lists!$B$348:$J$348,0)),Lookup_Lists!$D$151)))</f>
        <v>#REF!</v>
      </c>
      <c r="V78" s="65" t="e">
        <f>IF(NOT(AND(ISTEXT('[1]#REF'!$P$6),'[1]#REF'!$P$6&lt;&gt;"N/A")),"N/A",IFERROR(INDEX(Lookup_Lists!$B$349:$J$357,MATCH(Brand_Profile!$H$7,Lookup_Lists!$A$349:$A$357,0),MATCH('[1]#REF'!$P$6,Lookup_Lists!$B$348:$J$348,0)),Lookup_Lists!$D$151))</f>
        <v>#REF!</v>
      </c>
      <c r="W78" s="65" t="e">
        <f>IF(LEN(TRIM(SUBSTITUTE(Matching_Engine!$BE$78,"|","")))=0,"N/A",IF(Brand_Profile!$H$60=0,Lookup_Lists!$D$150,ROUND((IF(Brand_Profile!$H$54="",0,IF(ISNUMBER(SEARCH(Brand_Profile!$H$54,Matching_Engine!$BE$78)),1,0))+IF(Brand_Profile!$H$55="",0,IF(ISNUMBER(SEARCH(Brand_Profile!$H$55,Matching_Engine!$BE$78)),1,0))+IF(Brand_Profile!$H$56="",0,IF(ISNUMBER(SEARCH(Brand_Profile!$H$56,Matching_Engine!$BE$78)),1,0))+IF(Brand_Profile!$H$57="",0,IF(ISNUMBER(SEARCH(Brand_Profile!$H$57,Matching_Engine!$BE$78)),1,0))+IF(Brand_Profile!$H$58="",0,IF(ISNUMBER(SEARCH(Brand_Profile!$H$58,Matching_Engine!$BE$78)),1,0))+IF(Brand_Profile!$H$59="",0,IF(ISNUMBER(SEARCH(Brand_Profile!$H$59,Matching_Engine!$BE$78)),1,0)))/Brand_Profile!$H$60*100,0)))</f>
        <v>#VALUE!</v>
      </c>
      <c r="X78" s="65" t="e">
        <f>IF(NOT(AND(ISTEXT('[1]#REF'!$Q$6),'[1]#REF'!$Q$6&lt;&gt;"N/A")),"N/A",Lookup_Lists!$D$150)</f>
        <v>#REF!</v>
      </c>
      <c r="Y78" s="63">
        <f>IF((IF(ISNUMBER(Matching_Engine!$U$78),Lookup_Lists!$D$335,0)+IF(ISNUMBER(Matching_Engine!$V$78),Lookup_Lists!$D$122,0)+IF(ISNUMBER(Matching_Engine!$W$78),Lookup_Lists!$D$336,0)+IF(ISNUMBER(Matching_Engine!$X$78),Lookup_Lists!$D$124,0))=0,"N/A",ROUND((IF(ISNUMBER(Matching_Engine!$U$78),Matching_Engine!$U$78*Lookup_Lists!$D$335,0)+IF(ISNUMBER(Matching_Engine!$V$78),Matching_Engine!$V$78*Lookup_Lists!$D$122,0)+IF(ISNUMBER(Matching_Engine!$W$78),Matching_Engine!$W$78*Lookup_Lists!$D$336,0)+IF(ISNUMBER(Matching_Engine!$X$78),Matching_Engine!$X$78*Lookup_Lists!$D$124,0))/(IF(ISNUMBER(Matching_Engine!$U$78),Lookup_Lists!$D$335,0)+IF(ISNUMBER(Matching_Engine!$V$78),Lookup_Lists!$D$122,0)+IF(ISNUMBER(Matching_Engine!$W$78),Lookup_Lists!$D$336,0)+IF(ISNUMBER(Matching_Engine!$X$78),Lookup_Lists!$D$124,0)),0))</f>
        <v>30</v>
      </c>
      <c r="Z78" s="42">
        <f>IF(ISNUMBER(Matching_Engine!$Y$78),1,0)</f>
        <v>1</v>
      </c>
      <c r="AA78" s="65" t="e">
        <f>IF(NOT(AND(ISTEXT('[1]#REF'!$Q$6),'[1]#REF'!$Q$6&lt;&gt;"N/A")),"N/A",Lookup_Lists!$D$150)</f>
        <v>#REF!</v>
      </c>
      <c r="AB78" s="65" t="e">
        <f>IF(NOT(AND(ISTEXT('[1]#REF'!$Q$6),'[1]#REF'!$Q$6&lt;&gt;"N/A")),"N/A",Lookup_Lists!$D$150)</f>
        <v>#REF!</v>
      </c>
      <c r="AC78" s="65" t="str">
        <f t="shared" si="1"/>
        <v>N/A</v>
      </c>
      <c r="AD78" s="65" t="e">
        <f>IF(NOT(AND(ISTEXT('[1]#REF'!$Q$6),'[1]#REF'!$Q$6&lt;&gt;"N/A")),"N/A",Lookup_Lists!$D$150)</f>
        <v>#REF!</v>
      </c>
      <c r="AE78" s="63">
        <f>IF((IF(ISNUMBER(Matching_Engine!$AA$78),Lookup_Lists!$D$125,0)+IF(ISNUMBER(Matching_Engine!$AB$78),Lookup_Lists!$D$126,0)+IF(ISNUMBER(Matching_Engine!$AC$78),Lookup_Lists!$D$127,0)+IF(ISNUMBER(Matching_Engine!$AD$78),Lookup_Lists!$D$128,0))=0,"N/A",ROUND((IF(ISNUMBER(Matching_Engine!$AA$78),Matching_Engine!$AA$78*Lookup_Lists!$D$125,0)+IF(ISNUMBER(Matching_Engine!$AB$78),Matching_Engine!$AB$78*Lookup_Lists!$D$126,0)+IF(ISNUMBER(Matching_Engine!$AC$78),Matching_Engine!$AC$78*Lookup_Lists!$D$127,0)+IF(ISNUMBER(Matching_Engine!$AD$78),Matching_Engine!$AD$78*Lookup_Lists!$D$128,0))/(IF(ISNUMBER(Matching_Engine!$AA$78),Lookup_Lists!$D$125,0)+IF(ISNUMBER(Matching_Engine!$AB$78),Lookup_Lists!$D$126,0)+IF(ISNUMBER(Matching_Engine!$AC$78),Lookup_Lists!$D$127,0)+IF(ISNUMBER(Matching_Engine!$AD$78),Lookup_Lists!$D$128,0)),0))</f>
        <v>55</v>
      </c>
      <c r="AF78" s="42">
        <f>IF(ISNUMBER(Matching_Engine!$AE$78),1,0)</f>
        <v>1</v>
      </c>
      <c r="AG78" s="65" t="str">
        <f>IF(NOT(ISNUMBER('[1]#REF'!$BG$6)),"N/A",MIN(100,ROUND('[1]#REF'!$BG$6/IFERROR(INDEX(Lookup_Lists!$B$340:$B$344,MATCH('[1]#REF'!$H$6,Lookup_Lists!$A$340:$A$344,0)),Lookup_Lists!$D$141)*100,0)))</f>
        <v>N/A</v>
      </c>
      <c r="AH78" s="65" t="str">
        <f>IF(NOT(ISNUMBER('[1]#REF'!$BS$6)),"N/A",MIN(100,MAX(0,'[1]#REF'!$BS$6)))</f>
        <v>N/A</v>
      </c>
      <c r="AI78" s="65" t="e">
        <f>IF(OR(NOT(ISNUMBER('[1]#REF'!$BM$6)),NOT(ISNUMBER('[1]#REF'!$BN$6)),'[1]#REF'!$BN$6&lt;Lookup_Lists!$D$320),"N/A",MIN(100,ROUND('[1]#REF'!$BM$6/Lookup_Lists!$D$319*100,0)))</f>
        <v>#REF!</v>
      </c>
      <c r="AJ78" s="65" t="str">
        <f>IF(NOT(ISNUMBER('[1]#REF'!$BR$6)),"N/A",'[1]#REF'!$BR$6)</f>
        <v>N/A</v>
      </c>
      <c r="AK78" s="65" t="str">
        <f>IF(NOT(ISNUMBER('[1]#REF'!$BK$6)),"N/A",MIN(100,ROUND('[1]#REF'!$BK$6/Lookup_Lists!$D$321*100,0)))</f>
        <v>N/A</v>
      </c>
      <c r="AL78" s="65" t="str">
        <f>IF(NOT(ISNUMBER('[1]#REF'!$BP$6)),"N/A",MIN(100,MAX(0,ROUND(('[1]#REF'!$BP$6+2)/(Lookup_Lists!$D$145+2)*100,0))))</f>
        <v>N/A</v>
      </c>
      <c r="AM78" s="63">
        <f>IF((IF(ISNUMBER(Matching_Engine!$AG$78),Lookup_Lists!$D$129,0)+IF(ISNUMBER(Matching_Engine!$AH$78),Lookup_Lists!$D$130,0)+IF(ISNUMBER(Matching_Engine!$AI$78),Lookup_Lists!$D$131,0)+IF(ISNUMBER(Matching_Engine!$AJ$78),Lookup_Lists!$D$132,0)+IF(ISNUMBER(Matching_Engine!$AK$78),Lookup_Lists!$D$133,0)+IF(ISNUMBER(Matching_Engine!$AL$78),Lookup_Lists!$D$134,0))=0,"N/A",ROUND((IF(ISNUMBER(Matching_Engine!$AG$78),Matching_Engine!$AG$78*Lookup_Lists!$D$129,0)+IF(ISNUMBER(Matching_Engine!$AH$78),Matching_Engine!$AH$78*Lookup_Lists!$D$130,0)+IF(ISNUMBER(Matching_Engine!$AI$78),Matching_Engine!$AI$78*Lookup_Lists!$D$131,0)+IF(ISNUMBER(Matching_Engine!$AJ$78),Matching_Engine!$AJ$78*Lookup_Lists!$D$132,0)+IF(ISNUMBER(Matching_Engine!$AK$78),Matching_Engine!$AK$78*Lookup_Lists!$D$133,0)+IF(ISNUMBER(Matching_Engine!$AL$78),Matching_Engine!$AL$78*Lookup_Lists!$D$134,0))/(IF(ISNUMBER(Matching_Engine!$AG$78),Lookup_Lists!$D$129,0)+IF(ISNUMBER(Matching_Engine!$AH$78),Lookup_Lists!$D$130,0)+IF(ISNUMBER(Matching_Engine!$AI$78),Lookup_Lists!$D$131,0)+IF(ISNUMBER(Matching_Engine!$AJ$78),Lookup_Lists!$D$132,0)+IF(ISNUMBER(Matching_Engine!$AK$78),Lookup_Lists!$D$133,0)+IF(ISNUMBER(Matching_Engine!$AL$78),Lookup_Lists!$D$134,0)),0))</f>
        <v>70</v>
      </c>
      <c r="AN78" s="42">
        <f>IF(ISNUMBER(Matching_Engine!$AM$78),1,0)</f>
        <v>0</v>
      </c>
      <c r="AO78" s="65" t="str">
        <f>IF(NOT(ISNUMBER('[1]#REF'!$BT$6)),"N/A",MIN(100,MAX(0,'[1]#REF'!$BT$6)))</f>
        <v>N/A</v>
      </c>
      <c r="AP78" s="65" t="str">
        <f>IF(NOT(ISNUMBER('[1]#REF'!$BU$6)),"N/A",MIN(100,MAX(0,'[1]#REF'!$BU$6)))</f>
        <v>N/A</v>
      </c>
      <c r="AQ78" s="65" t="e">
        <f>IF('[1]#REF'!$I$6="Yes",Lookup_Lists!$D$326,IF('[1]#REF'!$I$6="No",Lookup_Lists!$D$327,"N/A"))</f>
        <v>#REF!</v>
      </c>
      <c r="AR78" s="65" t="str">
        <f>IF(NOT(ISNUMBER('[1]#REF'!$BQ$6)),"N/A",MAX(0,ROUND(100-'[1]#REF'!$BQ$6/Lookup_Lists!$D$328*100,0)))</f>
        <v>N/A</v>
      </c>
      <c r="AS78" s="65" t="e">
        <f>IF(NOT(AND(ISTEXT('[1]#REF'!$BV$6),'[1]#REF'!$BV$6&lt;&gt;"N/A")),"N/A",'[1]#REF'!$BV$6)</f>
        <v>#REF!</v>
      </c>
      <c r="AT78" s="63" t="str">
        <f ca="1">IF((IF(ISNUMBER(Matching_Engine!$AO$78),Lookup_Lists!$D$322,0)+IF(ISNUMBER(Matching_Engine!$AP$78),Lookup_Lists!$D$323,0)+IF(ISNUMBER(Matching_Engine!$AQ$78),Lookup_Lists!$D$324,0)+IF(ISNUMBER(Matching_Engine!$AR$78),Lookup_Lists!$D$325,0))=0,"N/A",ROUND((IF(ISNUMBER(Matching_Engine!$AO$78),Matching_Engine!$AO$78*Lookup_Lists!$D$322,0)+IF(ISNUMBER(Matching_Engine!$AP$78),Matching_Engine!$AP$78*Lookup_Lists!$D$323,0)+IF(ISNUMBER(Matching_Engine!$AQ$78),Matching_Engine!$AQ$78*Lookup_Lists!$D$324,0)+IF(ISNUMBER(Matching_Engine!$AR$78),Matching_Engine!$AR$78*Lookup_Lists!$D$325,0))/(IF(ISNUMBER(Matching_Engine!$AO$78),Lookup_Lists!$D$322,0)+IF(ISNUMBER(Matching_Engine!$AP$78),Lookup_Lists!$D$323,0)+IF(ISNUMBER(Matching_Engine!$AQ$78),Lookup_Lists!$D$324,0)+IF(ISNUMBER(Matching_Engine!$AR$78),Lookup_Lists!$D$325,0)),0))</f>
        <v>N/A</v>
      </c>
      <c r="AU78" s="42">
        <f>IF(ISNUMBER(Matching_Engine!$AT$78),1,0)</f>
        <v>1</v>
      </c>
      <c r="AV78" s="42" t="str">
        <f>IF(NOT(ISNUMBER(Matching_Engine!$AT$78)),"Not Screened",IF(Matching_Engine!$AT$78&gt;=Lookup_Lists!$D$329,"Low Risk",IF(Matching_Engine!$AT$78&gt;=Lookup_Lists!$D$330,"Moderate Risk",IF(Matching_Engine!$AT$78&gt;=Lookup_Lists!$D$331,"Elevated Risk","High Risk"))))</f>
        <v>Low Risk</v>
      </c>
      <c r="AW78" s="42" t="e">
        <f ca="1">IF(NOT(ISNUMBER(Matching_Engine!$AT$78)),"No integrity signal: no audience-analysis row for this account.","Integrity screen only — no content-risk reading exists (comments_analysis: 0 rows). "&amp;IF(ISNUMBER(Matching_Engine!$AO$78),"Authenticity "&amp;Matching_Engine!$AO$78&amp;". ","Authenticity N/A. ")&amp;IF(ISNUMBER(Matching_Engine!$AP$78),"Follower quality "&amp;Matching_Engine!$AP$78&amp;". ","Follower quality N/A. ")&amp;IF('[1]#REF'!$I$6="Yes","Platform-verified.","Not platform-verified."))</f>
        <v>#REF!</v>
      </c>
      <c r="AX78" s="65">
        <f>Matching_Engine!$N$78*Lookup_Lists!$D$104+Matching_Engine!$T$78*Lookup_Lists!$D$105+Matching_Engine!$Z$78*Lookup_Lists!$D$106+Matching_Engine!$AF$78*Lookup_Lists!$D$107+Matching_Engine!$AN$78*Lookup_Lists!$D$108+Matching_Engine!$AU$78*Lookup_Lists!$D$109</f>
        <v>5060</v>
      </c>
      <c r="AY78" s="74" t="e">
        <f ca="1">IF(Matching_Engine!$AX$78=0,"N/A",ROUND((IF(Matching_Engine!$N$78=1,Matching_Engine!$M$78*Lookup_Lists!$D$104,0)+IF(Matching_Engine!$T$78=1,Matching_Engine!$S$78*Lookup_Lists!$D$105,0)+IF(Matching_Engine!$Z$78=1,Matching_Engine!$Y$78*Lookup_Lists!$D$106,0)+IF(Matching_Engine!$AF$78=1,Matching_Engine!$AE$78*Lookup_Lists!$D$107,0)+IF(Matching_Engine!$AN$78=1,Matching_Engine!$AM$78*Lookup_Lists!$D$108,0)+IF(Matching_Engine!$AU$78=1,Matching_Engine!$AT$78*Lookup_Lists!$D$109,0))/Matching_Engine!$AX$78,0))</f>
        <v>#VALUE!</v>
      </c>
      <c r="AZ78" s="42" t="str">
        <f ca="1">IF(NOT(ISNUMBER(Matching_Engine!$AY$78)),"Not Scored",IF(Matching_Engine!$AY$78&gt;=Lookup_Lists!$D$152,"Excellent Match",IF(Matching_Engine!$AY$78&gt;=Lookup_Lists!$D$153,"Strong Match",IF(Matching_Engine!$AY$78&gt;=Lookup_Lists!$D$154,"Good Match",IF(Matching_Engine!$AY$78&gt;=Lookup_Lists!$D$155,"Moderate Match","Low Match")))))</f>
        <v>Not Scored</v>
      </c>
      <c r="BA78" s="65" t="e">
        <f>'[1]#REF'!$BW$6</f>
        <v>#REF!</v>
      </c>
      <c r="BB78" s="42" t="e">
        <f>'[1]#REF'!$BX$6</f>
        <v>#REF!</v>
      </c>
      <c r="BC78" s="65">
        <f ca="1">IF(NOT(ISNUMBER(Matching_Engine!$AY$78)),-1,Matching_Engine!$AY$78*1000+24)</f>
        <v>-1</v>
      </c>
      <c r="BD78" s="42" t="e">
        <f>IF(AND(ISTEXT('[1]#REF'!$S$6),'[1]#REF'!$S$6&lt;&gt;"N/A"),'[1]#REF'!$S$6,"")&amp;" | "&amp;IF(AND(ISTEXT('[1]#REF'!$T$6),'[1]#REF'!$T$6&lt;&gt;"N/A"),'[1]#REF'!$T$6,"")&amp;" | "&amp;IF(AND(ISTEXT('[1]#REF'!$N$6),'[1]#REF'!$N$6&lt;&gt;"N/A"),'[1]#REF'!$N$6,"")&amp;" | "&amp;IF(AND(ISTEXT('[1]#REF'!$K$6),'[1]#REF'!$K$6&lt;&gt;"N/A"),'[1]#REF'!$K$6,"")&amp;" | "&amp;IF(AND(ISTEXT('[1]#REF'!$J$6),'[1]#REF'!$J$6&lt;&gt;"N/A"),'[1]#REF'!$J$6,"")</f>
        <v>#REF!</v>
      </c>
      <c r="BE78" s="42" t="e">
        <f>IF(AND(ISTEXT('[1]#REF'!$T$6),'[1]#REF'!$T$6&lt;&gt;"N/A"),'[1]#REF'!$T$6,"")&amp;" | "&amp;IF(AND(ISTEXT('[1]#REF'!$N$6),'[1]#REF'!$N$6&lt;&gt;"N/A"),'[1]#REF'!$N$6,"")&amp;" | "&amp;IF(AND(ISTEXT('[1]#REF'!$O$6),'[1]#REF'!$O$6&lt;&gt;"N/A"),'[1]#REF'!$O$6,"")&amp;" | "&amp;IF(AND(ISTEXT('[1]#REF'!$S$6),'[1]#REF'!$S$6&lt;&gt;"N/A"),'[1]#REF'!$S$6,"")</f>
        <v>#REF!</v>
      </c>
      <c r="BF78" s="42" t="e">
        <f>IF(AND(ISTEXT('[1]#REF'!$U$6),'[1]#REF'!$U$6&lt;&gt;"N/A"),'[1]#REF'!$U$6,"")</f>
        <v>#REF!</v>
      </c>
      <c r="BG78" s="42" t="str">
        <f>Matching_Engine!$A$78&amp;"|"&amp;Matching_Engine!$C$78</f>
        <v>BRAND-C|KOL-13</v>
      </c>
    </row>
    <row r="79" spans="1:59">
      <c r="A79" s="64" t="s">
        <v>2530</v>
      </c>
      <c r="B79" s="42" t="str">
        <f>Brand_Profile!$H$6</f>
        <v>Input type / allowed values</v>
      </c>
      <c r="C79" s="42" t="e">
        <f>'[1]#REF'!$A$7</f>
        <v>#REF!</v>
      </c>
      <c r="D79" s="42" t="e">
        <f>'[1]#REF'!$C$7</f>
        <v>#REF!</v>
      </c>
      <c r="E79" s="42" t="e">
        <f>'[1]#REF'!$D$7</f>
        <v>#REF!</v>
      </c>
      <c r="F79" s="42" t="e">
        <f>'[1]#REF'!$E$7</f>
        <v>#REF!</v>
      </c>
      <c r="G79" s="42" t="e">
        <f>'[1]#REF'!$K$7</f>
        <v>#REF!</v>
      </c>
      <c r="H79" s="72" t="e">
        <f>'[1]#REF'!$G$7</f>
        <v>#REF!</v>
      </c>
      <c r="I79" s="73" t="e">
        <f>'[1]#REF'!$BG$7</f>
        <v>#REF!</v>
      </c>
      <c r="J79" s="65" t="e">
        <f>IF(NOT(AND(ISTEXT('[1]#REF'!$K$7),'[1]#REF'!$K$7&lt;&gt;"N/A")),Lookup_Lists!$D$150,IF(Brand_Profile!$H$7='[1]#REF'!$K$7,100,IFERROR(INDEX(Lookup_Lists!$B$349:$J$357,MATCH(Brand_Profile!$H$7,Lookup_Lists!$A$349:$A$357,0),MATCH('[1]#REF'!$K$7,Lookup_Lists!$B$348:$J$348,0)),Lookup_Lists!$D$151)))</f>
        <v>#REF!</v>
      </c>
      <c r="K79" s="65" t="e">
        <f>IF(LEN(TRIM(SUBSTITUTE(Matching_Engine!$BD$79,"|","")))=0,"N/A",IF(Brand_Profile!$H$47=0,Lookup_Lists!$D$150,ROUND((IF(Brand_Profile!$H$41="",0,IF(ISNUMBER(SEARCH(Brand_Profile!$H$41,Matching_Engine!$BD$79)),1,0))+IF(Brand_Profile!$H$42="",0,IF(ISNUMBER(SEARCH(Brand_Profile!$H$42,Matching_Engine!$BD$79)),1,0))+IF(Brand_Profile!$H$43="",0,IF(ISNUMBER(SEARCH(Brand_Profile!$H$43,Matching_Engine!$BD$79)),1,0))+IF(Brand_Profile!$H$44="",0,IF(ISNUMBER(SEARCH(Brand_Profile!$H$44,Matching_Engine!$BD$79)),1,0))+IF(Brand_Profile!$H$45="",0,IF(ISNUMBER(SEARCH(Brand_Profile!$H$45,Matching_Engine!$BD$79)),1,0))+IF(Brand_Profile!$H$46="",0,IF(ISNUMBER(SEARCH(Brand_Profile!$H$46,Matching_Engine!$BD$79)),1,0)))/Brand_Profile!$H$47*100,0)))</f>
        <v>#VALUE!</v>
      </c>
      <c r="L79" s="65" t="e">
        <f>IF(NOT(AND(ISTEXT('[1]#REF'!$U$7),'[1]#REF'!$U$7&lt;&gt;"N/A")),"N/A",IF(Brand_Profile!$H$53=0,Lookup_Lists!$D$150,ROUND((IF(Brand_Profile!$H$48="",0,IF(ISNUMBER(SEARCH(Brand_Profile!$H$48,Matching_Engine!$BF$79)),1,0))+IF(Brand_Profile!$H$49="",0,IF(ISNUMBER(SEARCH(Brand_Profile!$H$49,Matching_Engine!$BF$79)),1,0))+IF(Brand_Profile!$H$50="",0,IF(ISNUMBER(SEARCH(Brand_Profile!$H$50,Matching_Engine!$BF$79)),1,0))+IF(Brand_Profile!$H$51="",0,IF(ISNUMBER(SEARCH(Brand_Profile!$H$51,Matching_Engine!$BF$79)),1,0))+IF(Brand_Profile!$H$52="",0,IF(ISNUMBER(SEARCH(Brand_Profile!$H$52,Matching_Engine!$BF$79)),1,0)))/Brand_Profile!$H$53*100,0)))</f>
        <v>#REF!</v>
      </c>
      <c r="M79" s="63" t="str">
        <f>IF((IF(ISNUMBER(Matching_Engine!$J$79),Lookup_Lists!$D$332,0)+IF(ISNUMBER(Matching_Engine!$K$79),Lookup_Lists!$D$333,0)+IF(ISNUMBER(Matching_Engine!$L$79),Lookup_Lists!$D$334,0))=0,"N/A",ROUND((IF(ISNUMBER(Matching_Engine!$J$79),Matching_Engine!$J$79*Lookup_Lists!$D$332,0)+IF(ISNUMBER(Matching_Engine!$K$79),Matching_Engine!$K$79*Lookup_Lists!$D$333,0)+IF(ISNUMBER(Matching_Engine!$L$79),Matching_Engine!$L$79*Lookup_Lists!$D$334,0))/(IF(ISNUMBER(Matching_Engine!$J$79),Lookup_Lists!$D$332,0)+IF(ISNUMBER(Matching_Engine!$K$79),Lookup_Lists!$D$333,0)+IF(ISNUMBER(Matching_Engine!$L$79),Lookup_Lists!$D$334,0)),0))</f>
        <v>N/A</v>
      </c>
      <c r="N79" s="42">
        <f>IF(ISNUMBER(Matching_Engine!$M$79),1,0)</f>
        <v>1</v>
      </c>
      <c r="O79" s="65" t="str">
        <f ca="1">IF(NOT(ISNUMBER(IFERROR(INDEX('[1]#REF'!$V$7:'[1]#REF'!$Z$7,1,MATCH(Brand_Profile!$H$11,Lookup_Lists!$F$6:$F$10,0)),""))),"N/A",MIN(100,ROUND((IFERROR(INDEX('[1]#REF'!$V$7:'[1]#REF'!$Z$7,1,MATCH(Brand_Profile!$H$11,Lookup_Lists!$F$6:$F$10,0)),"")+0.5*IF(ISNUMBER(IFERROR(INDEX('[1]#REF'!$V$7:'[1]#REF'!$Z$7,1,MATCH(Brand_Profile!$H$12,Lookup_Lists!$F$6:$F$10,0)),"")),IFERROR(INDEX('[1]#REF'!$V$7:'[1]#REF'!$Z$7,1,MATCH(Brand_Profile!$H$12,Lookup_Lists!$F$6:$F$10,0)),""),0))/Lookup_Lists!$D$142*100,0)))</f>
        <v>N/A</v>
      </c>
      <c r="P79" s="65" t="str">
        <f>IF(Brand_Profile!$H$13="Any",100,IF(NOT(ISNUMBER('[1]#REF'!$AA$7)),"N/A",IF(Brand_Profile!$H$13="Female",MIN(100,ROUND('[1]#REF'!$AA$7/Lookup_Lists!$D$143*100,0)),IF(Brand_Profile!$H$13="Male",MIN(100,ROUND(IF(ISNUMBER('[1]#REF'!$AB$7),'[1]#REF'!$AB$7,100-'[1]#REF'!$AA$7)/Lookup_Lists!$D$143*100,0)),MAX(0,ROUND(100-ABS('[1]#REF'!$AA$7-50)*2,0))))))</f>
        <v>N/A</v>
      </c>
      <c r="Q79" s="65" t="str">
        <f>IF((IF(ISNUMBER(IF(NOT(ISNUMBER('[1]#REF'!$AE$7)),"N/A",IF('[1]#REF'!$AD$7&lt;&gt;Brand_Profile!$H$14,Lookup_Lists!$D$151,MIN(100,ROUND('[1]#REF'!$AE$7/Lookup_Lists!$D$316*100,0))))),Lookup_Lists!$D$118,0)+IF(ISNUMBER(IF(NOT(ISNUMBER('[1]#REF'!$AM$7)),"N/A",MIN(100,ROUND((IF('[1]#REF'!$AG$7=Brand_Profile!$H$15,IF(ISNUMBER('[1]#REF'!$AH$7),'[1]#REF'!$AH$7,0),0)+IF('[1]#REF'!$AI$7=Brand_Profile!$H$15,IF(ISNUMBER('[1]#REF'!$AJ$7),'[1]#REF'!$AJ$7,0),0)+IF('[1]#REF'!$AK$7=Brand_Profile!$H$15,IF(ISNUMBER('[1]#REF'!$AL$7),'[1]#REF'!$AL$7,0),0))/Lookup_Lists!$D$317*100,0)))),Lookup_Lists!$D$120,0))=0,"N/A",ROUND((IF(ISNUMBER(IF(NOT(ISNUMBER('[1]#REF'!$AE$7)),"N/A",IF('[1]#REF'!$AD$7&lt;&gt;Brand_Profile!$H$14,Lookup_Lists!$D$151,MIN(100,ROUND('[1]#REF'!$AE$7/Lookup_Lists!$D$316*100,0))))),IF(NOT(ISNUMBER('[1]#REF'!$AE$7)),"N/A",IF('[1]#REF'!$AD$7&lt;&gt;Brand_Profile!$H$14,Lookup_Lists!$D$151,MIN(100,ROUND('[1]#REF'!$AE$7/Lookup_Lists!$D$316*100,0))))*Lookup_Lists!$D$118,0)+IF(ISNUMBER(IF(NOT(ISNUMBER('[1]#REF'!$AM$7)),"N/A",MIN(100,ROUND((IF('[1]#REF'!$AG$7=Brand_Profile!$H$15,IF(ISNUMBER('[1]#REF'!$AH$7),'[1]#REF'!$AH$7,0),0)+IF('[1]#REF'!$AI$7=Brand_Profile!$H$15,IF(ISNUMBER('[1]#REF'!$AJ$7),'[1]#REF'!$AJ$7,0),0)+IF('[1]#REF'!$AK$7=Brand_Profile!$H$15,IF(ISNUMBER('[1]#REF'!$AL$7),'[1]#REF'!$AL$7,0),0))/Lookup_Lists!$D$317*100,0)))),IF(NOT(ISNUMBER('[1]#REF'!$AM$7)),"N/A",MIN(100,ROUND((IF('[1]#REF'!$AG$7=Brand_Profile!$H$15,IF(ISNUMBER('[1]#REF'!$AH$7),'[1]#REF'!$AH$7,0),0)+IF('[1]#REF'!$AI$7=Brand_Profile!$H$15,IF(ISNUMBER('[1]#REF'!$AJ$7),'[1]#REF'!$AJ$7,0),0)+IF('[1]#REF'!$AK$7=Brand_Profile!$H$15,IF(ISNUMBER('[1]#REF'!$AL$7),'[1]#REF'!$AL$7,0),0))/Lookup_Lists!$D$317*100,0)))*Lookup_Lists!$D$120,0))/(IF(ISNUMBER(IF(NOT(ISNUMBER('[1]#REF'!$AE$7)),"N/A",IF('[1]#REF'!$AD$7&lt;&gt;Brand_Profile!$H$14,Lookup_Lists!$D$151,MIN(100,ROUND('[1]#REF'!$AE$7/Lookup_Lists!$D$316*100,0))))),Lookup_Lists!$D$118,0)+IF(ISNUMBER(IF(NOT(ISNUMBER('[1]#REF'!$AM$7)),"N/A",MIN(100,ROUND((IF('[1]#REF'!$AG$7=Brand_Profile!$H$15,IF(ISNUMBER('[1]#REF'!$AH$7),'[1]#REF'!$AH$7,0),0)+IF('[1]#REF'!$AI$7=Brand_Profile!$H$15,IF(ISNUMBER('[1]#REF'!$AJ$7),'[1]#REF'!$AJ$7,0),0)+IF('[1]#REF'!$AK$7=Brand_Profile!$H$15,IF(ISNUMBER('[1]#REF'!$AL$7),'[1]#REF'!$AL$7,0),0))/Lookup_Lists!$D$317*100,0)))),Lookup_Lists!$D$120,0)),0))</f>
        <v>N/A</v>
      </c>
      <c r="R79" s="65" t="str">
        <f>IF(NOT(ISNUMBER('[1]#REF'!$AN$7)),"N/A",MIN(100,ROUND((IF(ISNUMBER('[1]#REF'!$AO$7),'[1]#REF'!$AO$7*Brand_Profile!$H$17,0)+IF(ISNUMBER('[1]#REF'!$AP$7),'[1]#REF'!$AP$7*Brand_Profile!$H$18,0)+IF(ISNUMBER('[1]#REF'!$AQ$7),'[1]#REF'!$AQ$7*Brand_Profile!$H$19,0)+IF(ISNUMBER('[1]#REF'!$AR$7),'[1]#REF'!$AR$7*Brand_Profile!$H$20,0)+IF(ISNUMBER('[1]#REF'!$AS$7),'[1]#REF'!$AS$7*Brand_Profile!$H$21,0)+IF(ISNUMBER('[1]#REF'!$AT$7),'[1]#REF'!$AT$7*Brand_Profile!$H$22,0)+IF(ISNUMBER('[1]#REF'!$AU$7),'[1]#REF'!$AU$7*Brand_Profile!$H$23,0)+IF(ISNUMBER('[1]#REF'!$AV$7),'[1]#REF'!$AV$7*Brand_Profile!$H$24,0)+IF(ISNUMBER('[1]#REF'!$AW$7),'[1]#REF'!$AW$7*Brand_Profile!$H$25,0)+IF(ISNUMBER('[1]#REF'!$AX$7),'[1]#REF'!$AX$7*Brand_Profile!$H$26,0)+IF(ISNUMBER('[1]#REF'!$AY$7),'[1]#REF'!$AY$7*Brand_Profile!$H$27,0)+IF(ISNUMBER('[1]#REF'!$AZ$7),'[1]#REF'!$AZ$7*Brand_Profile!$H$28,0)+IF(ISNUMBER('[1]#REF'!$BA$7),'[1]#REF'!$BA$7*Brand_Profile!$H$29,0)+IF(ISNUMBER('[1]#REF'!$BB$7),'[1]#REF'!$BB$7*Brand_Profile!$H$30,0)+IF(ISNUMBER('[1]#REF'!$BC$7),'[1]#REF'!$BC$7*Brand_Profile!$H$31,0)+IF(ISNUMBER('[1]#REF'!$BD$7),'[1]#REF'!$BD$7*Brand_Profile!$H$32,0)+IF(ISNUMBER('[1]#REF'!$BE$7),'[1]#REF'!$BE$7*Brand_Profile!$H$33,0)+IF(ISNUMBER('[1]#REF'!$BF$7),'[1]#REF'!$BF$7*Brand_Profile!$H$34,0))/Lookup_Lists!$D$318*100,0)))</f>
        <v>N/A</v>
      </c>
      <c r="S79" s="63">
        <f ca="1">IF((IF(ISNUMBER(Matching_Engine!$O$79),Lookup_Lists!$D$113,0)+IF(ISNUMBER(Matching_Engine!$P$79),Lookup_Lists!$D$114,0)+IF(ISNUMBER(Matching_Engine!$Q$79),Lookup_Lists!$D$115,0)+IF(ISNUMBER(Matching_Engine!$R$79),Lookup_Lists!$D$116,0))=0,"N/A",ROUND((IF(ISNUMBER(Matching_Engine!$O$79),Matching_Engine!$O$79*Lookup_Lists!$D$113,0)+IF(ISNUMBER(Matching_Engine!$P$79),Matching_Engine!$P$79*Lookup_Lists!$D$114,0)+IF(ISNUMBER(Matching_Engine!$Q$79),Matching_Engine!$Q$79*Lookup_Lists!$D$115,0)+IF(ISNUMBER(Matching_Engine!$R$79),Matching_Engine!$R$79*Lookup_Lists!$D$116,0))/(IF(ISNUMBER(Matching_Engine!$O$79),Lookup_Lists!$D$113,0)+IF(ISNUMBER(Matching_Engine!$P$79),Lookup_Lists!$D$114,0)+IF(ISNUMBER(Matching_Engine!$Q$79),Lookup_Lists!$D$115,0)+IF(ISNUMBER(Matching_Engine!$R$79),Lookup_Lists!$D$116,0)),0))</f>
        <v>65</v>
      </c>
      <c r="T79" s="42">
        <f ca="1">IF(ISNUMBER(Matching_Engine!$S$79),1,0)</f>
        <v>1</v>
      </c>
      <c r="U79" s="65" t="e">
        <f>IF(NOT(AND(ISTEXT('[1]#REF'!$M$7),'[1]#REF'!$M$7&lt;&gt;"N/A")),Lookup_Lists!$D$150,IF(Brand_Profile!$H$7='[1]#REF'!$M$7,100,IFERROR(INDEX(Lookup_Lists!$B$349:$J$357,MATCH(Brand_Profile!$H$7,Lookup_Lists!$A$349:$A$357,0),MATCH('[1]#REF'!$M$7,Lookup_Lists!$B$348:$J$348,0)),Lookup_Lists!$D$151)))</f>
        <v>#REF!</v>
      </c>
      <c r="V79" s="65" t="e">
        <f>IF(NOT(AND(ISTEXT('[1]#REF'!$P$7),'[1]#REF'!$P$7&lt;&gt;"N/A")),"N/A",IFERROR(INDEX(Lookup_Lists!$B$349:$J$357,MATCH(Brand_Profile!$H$7,Lookup_Lists!$A$349:$A$357,0),MATCH('[1]#REF'!$P$7,Lookup_Lists!$B$348:$J$348,0)),Lookup_Lists!$D$151))</f>
        <v>#REF!</v>
      </c>
      <c r="W79" s="65" t="e">
        <f>IF(LEN(TRIM(SUBSTITUTE(Matching_Engine!$BE$79,"|","")))=0,"N/A",IF(Brand_Profile!$H$60=0,Lookup_Lists!$D$150,ROUND((IF(Brand_Profile!$H$54="",0,IF(ISNUMBER(SEARCH(Brand_Profile!$H$54,Matching_Engine!$BE$79)),1,0))+IF(Brand_Profile!$H$55="",0,IF(ISNUMBER(SEARCH(Brand_Profile!$H$55,Matching_Engine!$BE$79)),1,0))+IF(Brand_Profile!$H$56="",0,IF(ISNUMBER(SEARCH(Brand_Profile!$H$56,Matching_Engine!$BE$79)),1,0))+IF(Brand_Profile!$H$57="",0,IF(ISNUMBER(SEARCH(Brand_Profile!$H$57,Matching_Engine!$BE$79)),1,0))+IF(Brand_Profile!$H$58="",0,IF(ISNUMBER(SEARCH(Brand_Profile!$H$58,Matching_Engine!$BE$79)),1,0))+IF(Brand_Profile!$H$59="",0,IF(ISNUMBER(SEARCH(Brand_Profile!$H$59,Matching_Engine!$BE$79)),1,0)))/Brand_Profile!$H$60*100,0)))</f>
        <v>#VALUE!</v>
      </c>
      <c r="X79" s="65" t="e">
        <f>IF(NOT(AND(ISTEXT('[1]#REF'!$Q$7),'[1]#REF'!$Q$7&lt;&gt;"N/A")),"N/A",Lookup_Lists!$D$150)</f>
        <v>#REF!</v>
      </c>
      <c r="Y79" s="63">
        <f>IF((IF(ISNUMBER(Matching_Engine!$U$79),Lookup_Lists!$D$335,0)+IF(ISNUMBER(Matching_Engine!$V$79),Lookup_Lists!$D$122,0)+IF(ISNUMBER(Matching_Engine!$W$79),Lookup_Lists!$D$336,0)+IF(ISNUMBER(Matching_Engine!$X$79),Lookup_Lists!$D$124,0))=0,"N/A",ROUND((IF(ISNUMBER(Matching_Engine!$U$79),Matching_Engine!$U$79*Lookup_Lists!$D$335,0)+IF(ISNUMBER(Matching_Engine!$V$79),Matching_Engine!$V$79*Lookup_Lists!$D$122,0)+IF(ISNUMBER(Matching_Engine!$W$79),Matching_Engine!$W$79*Lookup_Lists!$D$336,0)+IF(ISNUMBER(Matching_Engine!$X$79),Matching_Engine!$X$79*Lookup_Lists!$D$124,0))/(IF(ISNUMBER(Matching_Engine!$U$79),Lookup_Lists!$D$335,0)+IF(ISNUMBER(Matching_Engine!$V$79),Lookup_Lists!$D$122,0)+IF(ISNUMBER(Matching_Engine!$W$79),Lookup_Lists!$D$336,0)+IF(ISNUMBER(Matching_Engine!$X$79),Lookup_Lists!$D$124,0)),0))</f>
        <v>30</v>
      </c>
      <c r="Z79" s="42">
        <f>IF(ISNUMBER(Matching_Engine!$Y$79),1,0)</f>
        <v>1</v>
      </c>
      <c r="AA79" s="65" t="e">
        <f>IF(NOT(AND(ISTEXT('[1]#REF'!$Q$7),'[1]#REF'!$Q$7&lt;&gt;"N/A")),"N/A",Lookup_Lists!$D$150)</f>
        <v>#REF!</v>
      </c>
      <c r="AB79" s="65" t="e">
        <f>IF(NOT(AND(ISTEXT('[1]#REF'!$Q$7),'[1]#REF'!$Q$7&lt;&gt;"N/A")),"N/A",Lookup_Lists!$D$150)</f>
        <v>#REF!</v>
      </c>
      <c r="AC79" s="65" t="str">
        <f t="shared" si="1"/>
        <v>N/A</v>
      </c>
      <c r="AD79" s="65" t="e">
        <f>IF(NOT(AND(ISTEXT('[1]#REF'!$Q$7),'[1]#REF'!$Q$7&lt;&gt;"N/A")),"N/A",Lookup_Lists!$D$150)</f>
        <v>#REF!</v>
      </c>
      <c r="AE79" s="63">
        <f>IF((IF(ISNUMBER(Matching_Engine!$AA$79),Lookup_Lists!$D$125,0)+IF(ISNUMBER(Matching_Engine!$AB$79),Lookup_Lists!$D$126,0)+IF(ISNUMBER(Matching_Engine!$AC$79),Lookup_Lists!$D$127,0)+IF(ISNUMBER(Matching_Engine!$AD$79),Lookup_Lists!$D$128,0))=0,"N/A",ROUND((IF(ISNUMBER(Matching_Engine!$AA$79),Matching_Engine!$AA$79*Lookup_Lists!$D$125,0)+IF(ISNUMBER(Matching_Engine!$AB$79),Matching_Engine!$AB$79*Lookup_Lists!$D$126,0)+IF(ISNUMBER(Matching_Engine!$AC$79),Matching_Engine!$AC$79*Lookup_Lists!$D$127,0)+IF(ISNUMBER(Matching_Engine!$AD$79),Matching_Engine!$AD$79*Lookup_Lists!$D$128,0))/(IF(ISNUMBER(Matching_Engine!$AA$79),Lookup_Lists!$D$125,0)+IF(ISNUMBER(Matching_Engine!$AB$79),Lookup_Lists!$D$126,0)+IF(ISNUMBER(Matching_Engine!$AC$79),Lookup_Lists!$D$127,0)+IF(ISNUMBER(Matching_Engine!$AD$79),Lookup_Lists!$D$128,0)),0))</f>
        <v>47</v>
      </c>
      <c r="AF79" s="42">
        <f>IF(ISNUMBER(Matching_Engine!$AE$79),1,0)</f>
        <v>1</v>
      </c>
      <c r="AG79" s="65" t="str">
        <f>IF(NOT(ISNUMBER('[1]#REF'!$BG$7)),"N/A",MIN(100,ROUND('[1]#REF'!$BG$7/IFERROR(INDEX(Lookup_Lists!$B$340:$B$344,MATCH('[1]#REF'!$H$7,Lookup_Lists!$A$340:$A$344,0)),Lookup_Lists!$D$141)*100,0)))</f>
        <v>N/A</v>
      </c>
      <c r="AH79" s="65" t="str">
        <f>IF(NOT(ISNUMBER('[1]#REF'!$BS$7)),"N/A",MIN(100,MAX(0,'[1]#REF'!$BS$7)))</f>
        <v>N/A</v>
      </c>
      <c r="AI79" s="65" t="e">
        <f>IF(OR(NOT(ISNUMBER('[1]#REF'!$BM$7)),NOT(ISNUMBER('[1]#REF'!$BN$7)),'[1]#REF'!$BN$7&lt;Lookup_Lists!$D$320),"N/A",MIN(100,ROUND('[1]#REF'!$BM$7/Lookup_Lists!$D$319*100,0)))</f>
        <v>#REF!</v>
      </c>
      <c r="AJ79" s="65" t="str">
        <f>IF(NOT(ISNUMBER('[1]#REF'!$BR$7)),"N/A",'[1]#REF'!$BR$7)</f>
        <v>N/A</v>
      </c>
      <c r="AK79" s="65" t="str">
        <f>IF(NOT(ISNUMBER('[1]#REF'!$BK$7)),"N/A",MIN(100,ROUND('[1]#REF'!$BK$7/Lookup_Lists!$D$321*100,0)))</f>
        <v>N/A</v>
      </c>
      <c r="AL79" s="65" t="str">
        <f>IF(NOT(ISNUMBER('[1]#REF'!$BP$7)),"N/A",MIN(100,MAX(0,ROUND(('[1]#REF'!$BP$7+2)/(Lookup_Lists!$D$145+2)*100,0))))</f>
        <v>N/A</v>
      </c>
      <c r="AM79" s="63">
        <f>IF((IF(ISNUMBER(Matching_Engine!$AG$79),Lookup_Lists!$D$129,0)+IF(ISNUMBER(Matching_Engine!$AH$79),Lookup_Lists!$D$130,0)+IF(ISNUMBER(Matching_Engine!$AI$79),Lookup_Lists!$D$131,0)+IF(ISNUMBER(Matching_Engine!$AJ$79),Lookup_Lists!$D$132,0)+IF(ISNUMBER(Matching_Engine!$AK$79),Lookup_Lists!$D$133,0)+IF(ISNUMBER(Matching_Engine!$AL$79),Lookup_Lists!$D$134,0))=0,"N/A",ROUND((IF(ISNUMBER(Matching_Engine!$AG$79),Matching_Engine!$AG$79*Lookup_Lists!$D$129,0)+IF(ISNUMBER(Matching_Engine!$AH$79),Matching_Engine!$AH$79*Lookup_Lists!$D$130,0)+IF(ISNUMBER(Matching_Engine!$AI$79),Matching_Engine!$AI$79*Lookup_Lists!$D$131,0)+IF(ISNUMBER(Matching_Engine!$AJ$79),Matching_Engine!$AJ$79*Lookup_Lists!$D$132,0)+IF(ISNUMBER(Matching_Engine!$AK$79),Matching_Engine!$AK$79*Lookup_Lists!$D$133,0)+IF(ISNUMBER(Matching_Engine!$AL$79),Matching_Engine!$AL$79*Lookup_Lists!$D$134,0))/(IF(ISNUMBER(Matching_Engine!$AG$79),Lookup_Lists!$D$129,0)+IF(ISNUMBER(Matching_Engine!$AH$79),Lookup_Lists!$D$130,0)+IF(ISNUMBER(Matching_Engine!$AI$79),Lookup_Lists!$D$131,0)+IF(ISNUMBER(Matching_Engine!$AJ$79),Lookup_Lists!$D$132,0)+IF(ISNUMBER(Matching_Engine!$AK$79),Lookup_Lists!$D$133,0)+IF(ISNUMBER(Matching_Engine!$AL$79),Lookup_Lists!$D$134,0)),0))</f>
        <v>70</v>
      </c>
      <c r="AN79" s="42">
        <f>IF(ISNUMBER(Matching_Engine!$AM$79),1,0)</f>
        <v>0</v>
      </c>
      <c r="AO79" s="65" t="str">
        <f>IF(NOT(ISNUMBER('[1]#REF'!$BT$7)),"N/A",MIN(100,MAX(0,'[1]#REF'!$BT$7)))</f>
        <v>N/A</v>
      </c>
      <c r="AP79" s="65" t="str">
        <f>IF(NOT(ISNUMBER('[1]#REF'!$BU$7)),"N/A",MIN(100,MAX(0,'[1]#REF'!$BU$7)))</f>
        <v>N/A</v>
      </c>
      <c r="AQ79" s="65" t="e">
        <f>IF('[1]#REF'!$I$7="Yes",Lookup_Lists!$D$326,IF('[1]#REF'!$I$7="No",Lookup_Lists!$D$327,"N/A"))</f>
        <v>#REF!</v>
      </c>
      <c r="AR79" s="65" t="str">
        <f>IF(NOT(ISNUMBER('[1]#REF'!$BQ$7)),"N/A",MAX(0,ROUND(100-'[1]#REF'!$BQ$7/Lookup_Lists!$D$328*100,0)))</f>
        <v>N/A</v>
      </c>
      <c r="AS79" s="65" t="e">
        <f>IF(NOT(AND(ISTEXT('[1]#REF'!$BV$7),'[1]#REF'!$BV$7&lt;&gt;"N/A")),"N/A",'[1]#REF'!$BV$7)</f>
        <v>#REF!</v>
      </c>
      <c r="AT79" s="63" t="str">
        <f ca="1">IF((IF(ISNUMBER(Matching_Engine!$AO$79),Lookup_Lists!$D$322,0)+IF(ISNUMBER(Matching_Engine!$AP$79),Lookup_Lists!$D$323,0)+IF(ISNUMBER(Matching_Engine!$AQ$79),Lookup_Lists!$D$324,0)+IF(ISNUMBER(Matching_Engine!$AR$79),Lookup_Lists!$D$325,0))=0,"N/A",ROUND((IF(ISNUMBER(Matching_Engine!$AO$79),Matching_Engine!$AO$79*Lookup_Lists!$D$322,0)+IF(ISNUMBER(Matching_Engine!$AP$79),Matching_Engine!$AP$79*Lookup_Lists!$D$323,0)+IF(ISNUMBER(Matching_Engine!$AQ$79),Matching_Engine!$AQ$79*Lookup_Lists!$D$324,0)+IF(ISNUMBER(Matching_Engine!$AR$79),Matching_Engine!$AR$79*Lookup_Lists!$D$325,0))/(IF(ISNUMBER(Matching_Engine!$AO$79),Lookup_Lists!$D$322,0)+IF(ISNUMBER(Matching_Engine!$AP$79),Lookup_Lists!$D$323,0)+IF(ISNUMBER(Matching_Engine!$AQ$79),Lookup_Lists!$D$324,0)+IF(ISNUMBER(Matching_Engine!$AR$79),Lookup_Lists!$D$325,0)),0))</f>
        <v>N/A</v>
      </c>
      <c r="AU79" s="42">
        <f>IF(ISNUMBER(Matching_Engine!$AT$79),1,0)</f>
        <v>1</v>
      </c>
      <c r="AV79" s="42" t="str">
        <f>IF(NOT(ISNUMBER(Matching_Engine!$AT$79)),"Not Screened",IF(Matching_Engine!$AT$79&gt;=Lookup_Lists!$D$329,"Low Risk",IF(Matching_Engine!$AT$79&gt;=Lookup_Lists!$D$330,"Moderate Risk",IF(Matching_Engine!$AT$79&gt;=Lookup_Lists!$D$331,"Elevated Risk","High Risk"))))</f>
        <v>Low Risk</v>
      </c>
      <c r="AW79" s="42" t="e">
        <f ca="1">IF(NOT(ISNUMBER(Matching_Engine!$AT$79)),"No integrity signal: no audience-analysis row for this account.","Integrity screen only — no content-risk reading exists (comments_analysis: 0 rows). "&amp;IF(ISNUMBER(Matching_Engine!$AO$79),"Authenticity "&amp;Matching_Engine!$AO$79&amp;". ","Authenticity N/A. ")&amp;IF(ISNUMBER(Matching_Engine!$AP$79),"Follower quality "&amp;Matching_Engine!$AP$79&amp;". ","Follower quality N/A. ")&amp;IF('[1]#REF'!$I$7="Yes","Platform-verified.","Not platform-verified."))</f>
        <v>#REF!</v>
      </c>
      <c r="AX79" s="65">
        <f>Matching_Engine!$N$79*Lookup_Lists!$D$104+Matching_Engine!$T$79*Lookup_Lists!$D$105+Matching_Engine!$Z$79*Lookup_Lists!$D$106+Matching_Engine!$AF$79*Lookup_Lists!$D$107+Matching_Engine!$AN$79*Lookup_Lists!$D$108+Matching_Engine!$AU$79*Lookup_Lists!$D$109</f>
        <v>5419.5</v>
      </c>
      <c r="AY79" s="74" t="e">
        <f ca="1">IF(Matching_Engine!$AX$79=0,"N/A",ROUND((IF(Matching_Engine!$N$79=1,Matching_Engine!$M$79*Lookup_Lists!$D$104,0)+IF(Matching_Engine!$T$79=1,Matching_Engine!$S$79*Lookup_Lists!$D$105,0)+IF(Matching_Engine!$Z$79=1,Matching_Engine!$Y$79*Lookup_Lists!$D$106,0)+IF(Matching_Engine!$AF$79=1,Matching_Engine!$AE$79*Lookup_Lists!$D$107,0)+IF(Matching_Engine!$AN$79=1,Matching_Engine!$AM$79*Lookup_Lists!$D$108,0)+IF(Matching_Engine!$AU$79=1,Matching_Engine!$AT$79*Lookup_Lists!$D$109,0))/Matching_Engine!$AX$79,0))</f>
        <v>#VALUE!</v>
      </c>
      <c r="AZ79" s="42" t="str">
        <f ca="1">IF(NOT(ISNUMBER(Matching_Engine!$AY$79)),"Not Scored",IF(Matching_Engine!$AY$79&gt;=Lookup_Lists!$D$152,"Excellent Match",IF(Matching_Engine!$AY$79&gt;=Lookup_Lists!$D$153,"Strong Match",IF(Matching_Engine!$AY$79&gt;=Lookup_Lists!$D$154,"Good Match",IF(Matching_Engine!$AY$79&gt;=Lookup_Lists!$D$155,"Moderate Match","Low Match")))))</f>
        <v>Not Scored</v>
      </c>
      <c r="BA79" s="65" t="e">
        <f>'[1]#REF'!$BW$7</f>
        <v>#REF!</v>
      </c>
      <c r="BB79" s="42" t="e">
        <f>'[1]#REF'!$BX$7</f>
        <v>#REF!</v>
      </c>
      <c r="BC79" s="65">
        <f ca="1">IF(NOT(ISNUMBER(Matching_Engine!$AY$79)),-1,Matching_Engine!$AY$79*1000+23)</f>
        <v>-1</v>
      </c>
      <c r="BD79" s="42" t="e">
        <f>IF(AND(ISTEXT('[1]#REF'!$S$7),'[1]#REF'!$S$7&lt;&gt;"N/A"),'[1]#REF'!$S$7,"")&amp;" | "&amp;IF(AND(ISTEXT('[1]#REF'!$T$7),'[1]#REF'!$T$7&lt;&gt;"N/A"),'[1]#REF'!$T$7,"")&amp;" | "&amp;IF(AND(ISTEXT('[1]#REF'!$N$7),'[1]#REF'!$N$7&lt;&gt;"N/A"),'[1]#REF'!$N$7,"")&amp;" | "&amp;IF(AND(ISTEXT('[1]#REF'!$K$7),'[1]#REF'!$K$7&lt;&gt;"N/A"),'[1]#REF'!$K$7,"")&amp;" | "&amp;IF(AND(ISTEXT('[1]#REF'!$J$7),'[1]#REF'!$J$7&lt;&gt;"N/A"),'[1]#REF'!$J$7,"")</f>
        <v>#REF!</v>
      </c>
      <c r="BE79" s="42" t="e">
        <f>IF(AND(ISTEXT('[1]#REF'!$T$7),'[1]#REF'!$T$7&lt;&gt;"N/A"),'[1]#REF'!$T$7,"")&amp;" | "&amp;IF(AND(ISTEXT('[1]#REF'!$N$7),'[1]#REF'!$N$7&lt;&gt;"N/A"),'[1]#REF'!$N$7,"")&amp;" | "&amp;IF(AND(ISTEXT('[1]#REF'!$O$7),'[1]#REF'!$O$7&lt;&gt;"N/A"),'[1]#REF'!$O$7,"")&amp;" | "&amp;IF(AND(ISTEXT('[1]#REF'!$S$7),'[1]#REF'!$S$7&lt;&gt;"N/A"),'[1]#REF'!$S$7,"")</f>
        <v>#REF!</v>
      </c>
      <c r="BF79" s="42" t="e">
        <f>IF(AND(ISTEXT('[1]#REF'!$U$7),'[1]#REF'!$U$7&lt;&gt;"N/A"),'[1]#REF'!$U$7,"")</f>
        <v>#REF!</v>
      </c>
      <c r="BG79" s="42" t="str">
        <f>Matching_Engine!$A$79&amp;"|"&amp;Matching_Engine!$C$79</f>
        <v>BRAND-C|KOL-14</v>
      </c>
    </row>
    <row r="80" spans="1:59">
      <c r="A80" s="64" t="s">
        <v>2530</v>
      </c>
      <c r="B80" s="42" t="str">
        <f>Brand_Profile!$H$6</f>
        <v>Input type / allowed values</v>
      </c>
      <c r="C80" s="42" t="e">
        <f>'[1]#REF'!$A$8</f>
        <v>#REF!</v>
      </c>
      <c r="D80" s="42" t="e">
        <f>'[1]#REF'!$C$8</f>
        <v>#REF!</v>
      </c>
      <c r="E80" s="42" t="e">
        <f>'[1]#REF'!$D$8</f>
        <v>#REF!</v>
      </c>
      <c r="F80" s="42" t="e">
        <f>'[1]#REF'!$E$8</f>
        <v>#REF!</v>
      </c>
      <c r="G80" s="42" t="e">
        <f>'[1]#REF'!$K$8</f>
        <v>#REF!</v>
      </c>
      <c r="H80" s="72" t="e">
        <f>'[1]#REF'!$G$8</f>
        <v>#REF!</v>
      </c>
      <c r="I80" s="73" t="e">
        <f>'[1]#REF'!$BG$8</f>
        <v>#REF!</v>
      </c>
      <c r="J80" s="65" t="e">
        <f>IF(NOT(AND(ISTEXT('[1]#REF'!$K$8),'[1]#REF'!$K$8&lt;&gt;"N/A")),Lookup_Lists!$D$150,IF(Brand_Profile!$H$7='[1]#REF'!$K$8,100,IFERROR(INDEX(Lookup_Lists!$B$349:$J$357,MATCH(Brand_Profile!$H$7,Lookup_Lists!$A$349:$A$357,0),MATCH('[1]#REF'!$K$8,Lookup_Lists!$B$348:$J$348,0)),Lookup_Lists!$D$151)))</f>
        <v>#REF!</v>
      </c>
      <c r="K80" s="65" t="e">
        <f>IF(LEN(TRIM(SUBSTITUTE(Matching_Engine!$BD$80,"|","")))=0,"N/A",IF(Brand_Profile!$H$47=0,Lookup_Lists!$D$150,ROUND((IF(Brand_Profile!$H$41="",0,IF(ISNUMBER(SEARCH(Brand_Profile!$H$41,Matching_Engine!$BD$80)),1,0))+IF(Brand_Profile!$H$42="",0,IF(ISNUMBER(SEARCH(Brand_Profile!$H$42,Matching_Engine!$BD$80)),1,0))+IF(Brand_Profile!$H$43="",0,IF(ISNUMBER(SEARCH(Brand_Profile!$H$43,Matching_Engine!$BD$80)),1,0))+IF(Brand_Profile!$H$44="",0,IF(ISNUMBER(SEARCH(Brand_Profile!$H$44,Matching_Engine!$BD$80)),1,0))+IF(Brand_Profile!$H$45="",0,IF(ISNUMBER(SEARCH(Brand_Profile!$H$45,Matching_Engine!$BD$80)),1,0))+IF(Brand_Profile!$H$46="",0,IF(ISNUMBER(SEARCH(Brand_Profile!$H$46,Matching_Engine!$BD$80)),1,0)))/Brand_Profile!$H$47*100,0)))</f>
        <v>#VALUE!</v>
      </c>
      <c r="L80" s="65" t="e">
        <f>IF(NOT(AND(ISTEXT('[1]#REF'!$U$8),'[1]#REF'!$U$8&lt;&gt;"N/A")),"N/A",IF(Brand_Profile!$H$53=0,Lookup_Lists!$D$150,ROUND((IF(Brand_Profile!$H$48="",0,IF(ISNUMBER(SEARCH(Brand_Profile!$H$48,Matching_Engine!$BF$80)),1,0))+IF(Brand_Profile!$H$49="",0,IF(ISNUMBER(SEARCH(Brand_Profile!$H$49,Matching_Engine!$BF$80)),1,0))+IF(Brand_Profile!$H$50="",0,IF(ISNUMBER(SEARCH(Brand_Profile!$H$50,Matching_Engine!$BF$80)),1,0))+IF(Brand_Profile!$H$51="",0,IF(ISNUMBER(SEARCH(Brand_Profile!$H$51,Matching_Engine!$BF$80)),1,0))+IF(Brand_Profile!$H$52="",0,IF(ISNUMBER(SEARCH(Brand_Profile!$H$52,Matching_Engine!$BF$80)),1,0)))/Brand_Profile!$H$53*100,0)))</f>
        <v>#REF!</v>
      </c>
      <c r="M80" s="63" t="str">
        <f>IF((IF(ISNUMBER(Matching_Engine!$J$80),Lookup_Lists!$D$332,0)+IF(ISNUMBER(Matching_Engine!$K$80),Lookup_Lists!$D$333,0)+IF(ISNUMBER(Matching_Engine!$L$80),Lookup_Lists!$D$334,0))=0,"N/A",ROUND((IF(ISNUMBER(Matching_Engine!$J$80),Matching_Engine!$J$80*Lookup_Lists!$D$332,0)+IF(ISNUMBER(Matching_Engine!$K$80),Matching_Engine!$K$80*Lookup_Lists!$D$333,0)+IF(ISNUMBER(Matching_Engine!$L$80),Matching_Engine!$L$80*Lookup_Lists!$D$334,0))/(IF(ISNUMBER(Matching_Engine!$J$80),Lookup_Lists!$D$332,0)+IF(ISNUMBER(Matching_Engine!$K$80),Lookup_Lists!$D$333,0)+IF(ISNUMBER(Matching_Engine!$L$80),Lookup_Lists!$D$334,0)),0))</f>
        <v>N/A</v>
      </c>
      <c r="N80" s="42">
        <f>IF(ISNUMBER(Matching_Engine!$M$80),1,0)</f>
        <v>1</v>
      </c>
      <c r="O80" s="65" t="str">
        <f ca="1">IF(NOT(ISNUMBER(IFERROR(INDEX('[1]#REF'!$V$8:'[1]#REF'!$Z$8,1,MATCH(Brand_Profile!$H$11,Lookup_Lists!$F$6:$F$10,0)),""))),"N/A",MIN(100,ROUND((IFERROR(INDEX('[1]#REF'!$V$8:'[1]#REF'!$Z$8,1,MATCH(Brand_Profile!$H$11,Lookup_Lists!$F$6:$F$10,0)),"")+0.5*IF(ISNUMBER(IFERROR(INDEX('[1]#REF'!$V$8:'[1]#REF'!$Z$8,1,MATCH(Brand_Profile!$H$12,Lookup_Lists!$F$6:$F$10,0)),"")),IFERROR(INDEX('[1]#REF'!$V$8:'[1]#REF'!$Z$8,1,MATCH(Brand_Profile!$H$12,Lookup_Lists!$F$6:$F$10,0)),""),0))/Lookup_Lists!$D$142*100,0)))</f>
        <v>N/A</v>
      </c>
      <c r="P80" s="65" t="str">
        <f>IF(Brand_Profile!$H$13="Any",100,IF(NOT(ISNUMBER('[1]#REF'!$AA$8)),"N/A",IF(Brand_Profile!$H$13="Female",MIN(100,ROUND('[1]#REF'!$AA$8/Lookup_Lists!$D$143*100,0)),IF(Brand_Profile!$H$13="Male",MIN(100,ROUND(IF(ISNUMBER('[1]#REF'!$AB$8),'[1]#REF'!$AB$8,100-'[1]#REF'!$AA$8)/Lookup_Lists!$D$143*100,0)),MAX(0,ROUND(100-ABS('[1]#REF'!$AA$8-50)*2,0))))))</f>
        <v>N/A</v>
      </c>
      <c r="Q80" s="65" t="str">
        <f>IF((IF(ISNUMBER(IF(NOT(ISNUMBER('[1]#REF'!$AE$8)),"N/A",IF('[1]#REF'!$AD$8&lt;&gt;Brand_Profile!$H$14,Lookup_Lists!$D$151,MIN(100,ROUND('[1]#REF'!$AE$8/Lookup_Lists!$D$316*100,0))))),Lookup_Lists!$D$118,0)+IF(ISNUMBER(IF(NOT(ISNUMBER('[1]#REF'!$AM$8)),"N/A",MIN(100,ROUND((IF('[1]#REF'!$AG$8=Brand_Profile!$H$15,IF(ISNUMBER('[1]#REF'!$AH$8),'[1]#REF'!$AH$8,0),0)+IF('[1]#REF'!$AI$8=Brand_Profile!$H$15,IF(ISNUMBER('[1]#REF'!$AJ$8),'[1]#REF'!$AJ$8,0),0)+IF('[1]#REF'!$AK$8=Brand_Profile!$H$15,IF(ISNUMBER('[1]#REF'!$AL$8),'[1]#REF'!$AL$8,0),0))/Lookup_Lists!$D$317*100,0)))),Lookup_Lists!$D$120,0))=0,"N/A",ROUND((IF(ISNUMBER(IF(NOT(ISNUMBER('[1]#REF'!$AE$8)),"N/A",IF('[1]#REF'!$AD$8&lt;&gt;Brand_Profile!$H$14,Lookup_Lists!$D$151,MIN(100,ROUND('[1]#REF'!$AE$8/Lookup_Lists!$D$316*100,0))))),IF(NOT(ISNUMBER('[1]#REF'!$AE$8)),"N/A",IF('[1]#REF'!$AD$8&lt;&gt;Brand_Profile!$H$14,Lookup_Lists!$D$151,MIN(100,ROUND('[1]#REF'!$AE$8/Lookup_Lists!$D$316*100,0))))*Lookup_Lists!$D$118,0)+IF(ISNUMBER(IF(NOT(ISNUMBER('[1]#REF'!$AM$8)),"N/A",MIN(100,ROUND((IF('[1]#REF'!$AG$8=Brand_Profile!$H$15,IF(ISNUMBER('[1]#REF'!$AH$8),'[1]#REF'!$AH$8,0),0)+IF('[1]#REF'!$AI$8=Brand_Profile!$H$15,IF(ISNUMBER('[1]#REF'!$AJ$8),'[1]#REF'!$AJ$8,0),0)+IF('[1]#REF'!$AK$8=Brand_Profile!$H$15,IF(ISNUMBER('[1]#REF'!$AL$8),'[1]#REF'!$AL$8,0),0))/Lookup_Lists!$D$317*100,0)))),IF(NOT(ISNUMBER('[1]#REF'!$AM$8)),"N/A",MIN(100,ROUND((IF('[1]#REF'!$AG$8=Brand_Profile!$H$15,IF(ISNUMBER('[1]#REF'!$AH$8),'[1]#REF'!$AH$8,0),0)+IF('[1]#REF'!$AI$8=Brand_Profile!$H$15,IF(ISNUMBER('[1]#REF'!$AJ$8),'[1]#REF'!$AJ$8,0),0)+IF('[1]#REF'!$AK$8=Brand_Profile!$H$15,IF(ISNUMBER('[1]#REF'!$AL$8),'[1]#REF'!$AL$8,0),0))/Lookup_Lists!$D$317*100,0)))*Lookup_Lists!$D$120,0))/(IF(ISNUMBER(IF(NOT(ISNUMBER('[1]#REF'!$AE$8)),"N/A",IF('[1]#REF'!$AD$8&lt;&gt;Brand_Profile!$H$14,Lookup_Lists!$D$151,MIN(100,ROUND('[1]#REF'!$AE$8/Lookup_Lists!$D$316*100,0))))),Lookup_Lists!$D$118,0)+IF(ISNUMBER(IF(NOT(ISNUMBER('[1]#REF'!$AM$8)),"N/A",MIN(100,ROUND((IF('[1]#REF'!$AG$8=Brand_Profile!$H$15,IF(ISNUMBER('[1]#REF'!$AH$8),'[1]#REF'!$AH$8,0),0)+IF('[1]#REF'!$AI$8=Brand_Profile!$H$15,IF(ISNUMBER('[1]#REF'!$AJ$8),'[1]#REF'!$AJ$8,0),0)+IF('[1]#REF'!$AK$8=Brand_Profile!$H$15,IF(ISNUMBER('[1]#REF'!$AL$8),'[1]#REF'!$AL$8,0),0))/Lookup_Lists!$D$317*100,0)))),Lookup_Lists!$D$120,0)),0))</f>
        <v>N/A</v>
      </c>
      <c r="R80" s="65" t="str">
        <f>IF(NOT(ISNUMBER('[1]#REF'!$AN$8)),"N/A",MIN(100,ROUND((IF(ISNUMBER('[1]#REF'!$AO$8),'[1]#REF'!$AO$8*Brand_Profile!$H$17,0)+IF(ISNUMBER('[1]#REF'!$AP$8),'[1]#REF'!$AP$8*Brand_Profile!$H$18,0)+IF(ISNUMBER('[1]#REF'!$AQ$8),'[1]#REF'!$AQ$8*Brand_Profile!$H$19,0)+IF(ISNUMBER('[1]#REF'!$AR$8),'[1]#REF'!$AR$8*Brand_Profile!$H$20,0)+IF(ISNUMBER('[1]#REF'!$AS$8),'[1]#REF'!$AS$8*Brand_Profile!$H$21,0)+IF(ISNUMBER('[1]#REF'!$AT$8),'[1]#REF'!$AT$8*Brand_Profile!$H$22,0)+IF(ISNUMBER('[1]#REF'!$AU$8),'[1]#REF'!$AU$8*Brand_Profile!$H$23,0)+IF(ISNUMBER('[1]#REF'!$AV$8),'[1]#REF'!$AV$8*Brand_Profile!$H$24,0)+IF(ISNUMBER('[1]#REF'!$AW$8),'[1]#REF'!$AW$8*Brand_Profile!$H$25,0)+IF(ISNUMBER('[1]#REF'!$AX$8),'[1]#REF'!$AX$8*Brand_Profile!$H$26,0)+IF(ISNUMBER('[1]#REF'!$AY$8),'[1]#REF'!$AY$8*Brand_Profile!$H$27,0)+IF(ISNUMBER('[1]#REF'!$AZ$8),'[1]#REF'!$AZ$8*Brand_Profile!$H$28,0)+IF(ISNUMBER('[1]#REF'!$BA$8),'[1]#REF'!$BA$8*Brand_Profile!$H$29,0)+IF(ISNUMBER('[1]#REF'!$BB$8),'[1]#REF'!$BB$8*Brand_Profile!$H$30,0)+IF(ISNUMBER('[1]#REF'!$BC$8),'[1]#REF'!$BC$8*Brand_Profile!$H$31,0)+IF(ISNUMBER('[1]#REF'!$BD$8),'[1]#REF'!$BD$8*Brand_Profile!$H$32,0)+IF(ISNUMBER('[1]#REF'!$BE$8),'[1]#REF'!$BE$8*Brand_Profile!$H$33,0)+IF(ISNUMBER('[1]#REF'!$BF$8),'[1]#REF'!$BF$8*Brand_Profile!$H$34,0))/Lookup_Lists!$D$318*100,0)))</f>
        <v>N/A</v>
      </c>
      <c r="S80" s="63">
        <f ca="1">IF((IF(ISNUMBER(Matching_Engine!$O$80),Lookup_Lists!$D$113,0)+IF(ISNUMBER(Matching_Engine!$P$80),Lookup_Lists!$D$114,0)+IF(ISNUMBER(Matching_Engine!$Q$80),Lookup_Lists!$D$115,0)+IF(ISNUMBER(Matching_Engine!$R$80),Lookup_Lists!$D$116,0))=0,"N/A",ROUND((IF(ISNUMBER(Matching_Engine!$O$80),Matching_Engine!$O$80*Lookup_Lists!$D$113,0)+IF(ISNUMBER(Matching_Engine!$P$80),Matching_Engine!$P$80*Lookup_Lists!$D$114,0)+IF(ISNUMBER(Matching_Engine!$Q$80),Matching_Engine!$Q$80*Lookup_Lists!$D$115,0)+IF(ISNUMBER(Matching_Engine!$R$80),Matching_Engine!$R$80*Lookup_Lists!$D$116,0))/(IF(ISNUMBER(Matching_Engine!$O$80),Lookup_Lists!$D$113,0)+IF(ISNUMBER(Matching_Engine!$P$80),Lookup_Lists!$D$114,0)+IF(ISNUMBER(Matching_Engine!$Q$80),Lookup_Lists!$D$115,0)+IF(ISNUMBER(Matching_Engine!$R$80),Lookup_Lists!$D$116,0)),0))</f>
        <v>72</v>
      </c>
      <c r="T80" s="42">
        <f ca="1">IF(ISNUMBER(Matching_Engine!$S$80),1,0)</f>
        <v>1</v>
      </c>
      <c r="U80" s="65" t="e">
        <f>IF(NOT(AND(ISTEXT('[1]#REF'!$M$8),'[1]#REF'!$M$8&lt;&gt;"N/A")),Lookup_Lists!$D$150,IF(Brand_Profile!$H$7='[1]#REF'!$M$8,100,IFERROR(INDEX(Lookup_Lists!$B$349:$J$357,MATCH(Brand_Profile!$H$7,Lookup_Lists!$A$349:$A$357,0),MATCH('[1]#REF'!$M$8,Lookup_Lists!$B$348:$J$348,0)),Lookup_Lists!$D$151)))</f>
        <v>#REF!</v>
      </c>
      <c r="V80" s="65" t="e">
        <f>IF(NOT(AND(ISTEXT('[1]#REF'!$P$8),'[1]#REF'!$P$8&lt;&gt;"N/A")),"N/A",IFERROR(INDEX(Lookup_Lists!$B$349:$J$357,MATCH(Brand_Profile!$H$7,Lookup_Lists!$A$349:$A$357,0),MATCH('[1]#REF'!$P$8,Lookup_Lists!$B$348:$J$348,0)),Lookup_Lists!$D$151))</f>
        <v>#REF!</v>
      </c>
      <c r="W80" s="65" t="e">
        <f>IF(LEN(TRIM(SUBSTITUTE(Matching_Engine!$BE$80,"|","")))=0,"N/A",IF(Brand_Profile!$H$60=0,Lookup_Lists!$D$150,ROUND((IF(Brand_Profile!$H$54="",0,IF(ISNUMBER(SEARCH(Brand_Profile!$H$54,Matching_Engine!$BE$80)),1,0))+IF(Brand_Profile!$H$55="",0,IF(ISNUMBER(SEARCH(Brand_Profile!$H$55,Matching_Engine!$BE$80)),1,0))+IF(Brand_Profile!$H$56="",0,IF(ISNUMBER(SEARCH(Brand_Profile!$H$56,Matching_Engine!$BE$80)),1,0))+IF(Brand_Profile!$H$57="",0,IF(ISNUMBER(SEARCH(Brand_Profile!$H$57,Matching_Engine!$BE$80)),1,0))+IF(Brand_Profile!$H$58="",0,IF(ISNUMBER(SEARCH(Brand_Profile!$H$58,Matching_Engine!$BE$80)),1,0))+IF(Brand_Profile!$H$59="",0,IF(ISNUMBER(SEARCH(Brand_Profile!$H$59,Matching_Engine!$BE$80)),1,0)))/Brand_Profile!$H$60*100,0)))</f>
        <v>#VALUE!</v>
      </c>
      <c r="X80" s="65" t="e">
        <f>IF(NOT(AND(ISTEXT('[1]#REF'!$Q$8),'[1]#REF'!$Q$8&lt;&gt;"N/A")),"N/A",Lookup_Lists!$D$150)</f>
        <v>#REF!</v>
      </c>
      <c r="Y80" s="63">
        <f>IF((IF(ISNUMBER(Matching_Engine!$U$80),Lookup_Lists!$D$335,0)+IF(ISNUMBER(Matching_Engine!$V$80),Lookup_Lists!$D$122,0)+IF(ISNUMBER(Matching_Engine!$W$80),Lookup_Lists!$D$336,0)+IF(ISNUMBER(Matching_Engine!$X$80),Lookup_Lists!$D$124,0))=0,"N/A",ROUND((IF(ISNUMBER(Matching_Engine!$U$80),Matching_Engine!$U$80*Lookup_Lists!$D$335,0)+IF(ISNUMBER(Matching_Engine!$V$80),Matching_Engine!$V$80*Lookup_Lists!$D$122,0)+IF(ISNUMBER(Matching_Engine!$W$80),Matching_Engine!$W$80*Lookup_Lists!$D$336,0)+IF(ISNUMBER(Matching_Engine!$X$80),Matching_Engine!$X$80*Lookup_Lists!$D$124,0))/(IF(ISNUMBER(Matching_Engine!$U$80),Lookup_Lists!$D$335,0)+IF(ISNUMBER(Matching_Engine!$V$80),Lookup_Lists!$D$122,0)+IF(ISNUMBER(Matching_Engine!$W$80),Lookup_Lists!$D$336,0)+IF(ISNUMBER(Matching_Engine!$X$80),Lookup_Lists!$D$124,0)),0))</f>
        <v>51</v>
      </c>
      <c r="Z80" s="42">
        <f>IF(ISNUMBER(Matching_Engine!$Y$80),1,0)</f>
        <v>1</v>
      </c>
      <c r="AA80" s="65" t="e">
        <f>IF(NOT(AND(ISTEXT('[1]#REF'!$Q$8),'[1]#REF'!$Q$8&lt;&gt;"N/A")),"N/A",Lookup_Lists!$D$150)</f>
        <v>#REF!</v>
      </c>
      <c r="AB80" s="65" t="e">
        <f>IF(NOT(AND(ISTEXT('[1]#REF'!$Q$8),'[1]#REF'!$Q$8&lt;&gt;"N/A")),"N/A",Lookup_Lists!$D$150)</f>
        <v>#REF!</v>
      </c>
      <c r="AC80" s="65" t="str">
        <f t="shared" si="1"/>
        <v>N/A</v>
      </c>
      <c r="AD80" s="65" t="e">
        <f>IF(NOT(AND(ISTEXT('[1]#REF'!$Q$8),'[1]#REF'!$Q$8&lt;&gt;"N/A")),"N/A",Lookup_Lists!$D$150)</f>
        <v>#REF!</v>
      </c>
      <c r="AE80" s="63">
        <f>IF((IF(ISNUMBER(Matching_Engine!$AA$80),Lookup_Lists!$D$125,0)+IF(ISNUMBER(Matching_Engine!$AB$80),Lookup_Lists!$D$126,0)+IF(ISNUMBER(Matching_Engine!$AC$80),Lookup_Lists!$D$127,0)+IF(ISNUMBER(Matching_Engine!$AD$80),Lookup_Lists!$D$128,0))=0,"N/A",ROUND((IF(ISNUMBER(Matching_Engine!$AA$80),Matching_Engine!$AA$80*Lookup_Lists!$D$125,0)+IF(ISNUMBER(Matching_Engine!$AB$80),Matching_Engine!$AB$80*Lookup_Lists!$D$126,0)+IF(ISNUMBER(Matching_Engine!$AC$80),Matching_Engine!$AC$80*Lookup_Lists!$D$127,0)+IF(ISNUMBER(Matching_Engine!$AD$80),Matching_Engine!$AD$80*Lookup_Lists!$D$128,0))/(IF(ISNUMBER(Matching_Engine!$AA$80),Lookup_Lists!$D$125,0)+IF(ISNUMBER(Matching_Engine!$AB$80),Lookup_Lists!$D$126,0)+IF(ISNUMBER(Matching_Engine!$AC$80),Lookup_Lists!$D$127,0)+IF(ISNUMBER(Matching_Engine!$AD$80),Lookup_Lists!$D$128,0)),0))</f>
        <v>88</v>
      </c>
      <c r="AF80" s="42">
        <f>IF(ISNUMBER(Matching_Engine!$AE$80),1,0)</f>
        <v>1</v>
      </c>
      <c r="AG80" s="65" t="str">
        <f>IF(NOT(ISNUMBER('[1]#REF'!$BG$8)),"N/A",MIN(100,ROUND('[1]#REF'!$BG$8/IFERROR(INDEX(Lookup_Lists!$B$340:$B$344,MATCH('[1]#REF'!$H$8,Lookup_Lists!$A$340:$A$344,0)),Lookup_Lists!$D$141)*100,0)))</f>
        <v>N/A</v>
      </c>
      <c r="AH80" s="65" t="str">
        <f>IF(NOT(ISNUMBER('[1]#REF'!$BS$8)),"N/A",MIN(100,MAX(0,'[1]#REF'!$BS$8)))</f>
        <v>N/A</v>
      </c>
      <c r="AI80" s="65" t="e">
        <f>IF(OR(NOT(ISNUMBER('[1]#REF'!$BM$8)),NOT(ISNUMBER('[1]#REF'!$BN$8)),'[1]#REF'!$BN$8&lt;Lookup_Lists!$D$320),"N/A",MIN(100,ROUND('[1]#REF'!$BM$8/Lookup_Lists!$D$319*100,0)))</f>
        <v>#REF!</v>
      </c>
      <c r="AJ80" s="65" t="str">
        <f>IF(NOT(ISNUMBER('[1]#REF'!$BR$8)),"N/A",'[1]#REF'!$BR$8)</f>
        <v>N/A</v>
      </c>
      <c r="AK80" s="65" t="str">
        <f>IF(NOT(ISNUMBER('[1]#REF'!$BK$8)),"N/A",MIN(100,ROUND('[1]#REF'!$BK$8/Lookup_Lists!$D$321*100,0)))</f>
        <v>N/A</v>
      </c>
      <c r="AL80" s="65" t="str">
        <f>IF(NOT(ISNUMBER('[1]#REF'!$BP$8)),"N/A",MIN(100,MAX(0,ROUND(('[1]#REF'!$BP$8+2)/(Lookup_Lists!$D$145+2)*100,0))))</f>
        <v>N/A</v>
      </c>
      <c r="AM80" s="63">
        <f>IF((IF(ISNUMBER(Matching_Engine!$AG$80),Lookup_Lists!$D$129,0)+IF(ISNUMBER(Matching_Engine!$AH$80),Lookup_Lists!$D$130,0)+IF(ISNUMBER(Matching_Engine!$AI$80),Lookup_Lists!$D$131,0)+IF(ISNUMBER(Matching_Engine!$AJ$80),Lookup_Lists!$D$132,0)+IF(ISNUMBER(Matching_Engine!$AK$80),Lookup_Lists!$D$133,0)+IF(ISNUMBER(Matching_Engine!$AL$80),Lookup_Lists!$D$134,0))=0,"N/A",ROUND((IF(ISNUMBER(Matching_Engine!$AG$80),Matching_Engine!$AG$80*Lookup_Lists!$D$129,0)+IF(ISNUMBER(Matching_Engine!$AH$80),Matching_Engine!$AH$80*Lookup_Lists!$D$130,0)+IF(ISNUMBER(Matching_Engine!$AI$80),Matching_Engine!$AI$80*Lookup_Lists!$D$131,0)+IF(ISNUMBER(Matching_Engine!$AJ$80),Matching_Engine!$AJ$80*Lookup_Lists!$D$132,0)+IF(ISNUMBER(Matching_Engine!$AK$80),Matching_Engine!$AK$80*Lookup_Lists!$D$133,0)+IF(ISNUMBER(Matching_Engine!$AL$80),Matching_Engine!$AL$80*Lookup_Lists!$D$134,0))/(IF(ISNUMBER(Matching_Engine!$AG$80),Lookup_Lists!$D$129,0)+IF(ISNUMBER(Matching_Engine!$AH$80),Lookup_Lists!$D$130,0)+IF(ISNUMBER(Matching_Engine!$AI$80),Lookup_Lists!$D$131,0)+IF(ISNUMBER(Matching_Engine!$AJ$80),Lookup_Lists!$D$132,0)+IF(ISNUMBER(Matching_Engine!$AK$80),Lookup_Lists!$D$133,0)+IF(ISNUMBER(Matching_Engine!$AL$80),Lookup_Lists!$D$134,0)),0))</f>
        <v>55</v>
      </c>
      <c r="AN80" s="42">
        <f>IF(ISNUMBER(Matching_Engine!$AM$80),1,0)</f>
        <v>0</v>
      </c>
      <c r="AO80" s="65" t="str">
        <f>IF(NOT(ISNUMBER('[1]#REF'!$BT$8)),"N/A",MIN(100,MAX(0,'[1]#REF'!$BT$8)))</f>
        <v>N/A</v>
      </c>
      <c r="AP80" s="65" t="str">
        <f>IF(NOT(ISNUMBER('[1]#REF'!$BU$8)),"N/A",MIN(100,MAX(0,'[1]#REF'!$BU$8)))</f>
        <v>N/A</v>
      </c>
      <c r="AQ80" s="65" t="e">
        <f>IF('[1]#REF'!$I$8="Yes",Lookup_Lists!$D$326,IF('[1]#REF'!$I$8="No",Lookup_Lists!$D$327,"N/A"))</f>
        <v>#REF!</v>
      </c>
      <c r="AR80" s="65" t="str">
        <f>IF(NOT(ISNUMBER('[1]#REF'!$BQ$8)),"N/A",MAX(0,ROUND(100-'[1]#REF'!$BQ$8/Lookup_Lists!$D$328*100,0)))</f>
        <v>N/A</v>
      </c>
      <c r="AS80" s="65" t="e">
        <f>IF(NOT(AND(ISTEXT('[1]#REF'!$BV$8),'[1]#REF'!$BV$8&lt;&gt;"N/A")),"N/A",'[1]#REF'!$BV$8)</f>
        <v>#REF!</v>
      </c>
      <c r="AT80" s="63" t="str">
        <f ca="1">IF((IF(ISNUMBER(Matching_Engine!$AO$80),Lookup_Lists!$D$322,0)+IF(ISNUMBER(Matching_Engine!$AP$80),Lookup_Lists!$D$323,0)+IF(ISNUMBER(Matching_Engine!$AQ$80),Lookup_Lists!$D$324,0)+IF(ISNUMBER(Matching_Engine!$AR$80),Lookup_Lists!$D$325,0))=0,"N/A",ROUND((IF(ISNUMBER(Matching_Engine!$AO$80),Matching_Engine!$AO$80*Lookup_Lists!$D$322,0)+IF(ISNUMBER(Matching_Engine!$AP$80),Matching_Engine!$AP$80*Lookup_Lists!$D$323,0)+IF(ISNUMBER(Matching_Engine!$AQ$80),Matching_Engine!$AQ$80*Lookup_Lists!$D$324,0)+IF(ISNUMBER(Matching_Engine!$AR$80),Matching_Engine!$AR$80*Lookup_Lists!$D$325,0))/(IF(ISNUMBER(Matching_Engine!$AO$80),Lookup_Lists!$D$322,0)+IF(ISNUMBER(Matching_Engine!$AP$80),Lookup_Lists!$D$323,0)+IF(ISNUMBER(Matching_Engine!$AQ$80),Lookup_Lists!$D$324,0)+IF(ISNUMBER(Matching_Engine!$AR$80),Lookup_Lists!$D$325,0)),0))</f>
        <v>N/A</v>
      </c>
      <c r="AU80" s="42">
        <f>IF(ISNUMBER(Matching_Engine!$AT$80),1,0)</f>
        <v>1</v>
      </c>
      <c r="AV80" s="42" t="str">
        <f>IF(NOT(ISNUMBER(Matching_Engine!$AT$80)),"Not Screened",IF(Matching_Engine!$AT$80&gt;=Lookup_Lists!$D$329,"Low Risk",IF(Matching_Engine!$AT$80&gt;=Lookup_Lists!$D$330,"Moderate Risk",IF(Matching_Engine!$AT$80&gt;=Lookup_Lists!$D$331,"Elevated Risk","High Risk"))))</f>
        <v>Low Risk</v>
      </c>
      <c r="AW80" s="42" t="e">
        <f ca="1">IF(NOT(ISNUMBER(Matching_Engine!$AT$80)),"No integrity signal: no audience-analysis row for this account.","Integrity screen only — no content-risk reading exists (comments_analysis: 0 rows). "&amp;IF(ISNUMBER(Matching_Engine!$AO$80),"Authenticity "&amp;Matching_Engine!$AO$80&amp;". ","Authenticity N/A. ")&amp;IF(ISNUMBER(Matching_Engine!$AP$80),"Follower quality "&amp;Matching_Engine!$AP$80&amp;". ","Follower quality N/A. ")&amp;IF('[1]#REF'!$I$8="Yes","Platform-verified.","Not platform-verified."))</f>
        <v>#REF!</v>
      </c>
      <c r="AX80" s="65">
        <f>Matching_Engine!$N$80*Lookup_Lists!$D$104+Matching_Engine!$T$80*Lookup_Lists!$D$105+Matching_Engine!$Z$80*Lookup_Lists!$D$106+Matching_Engine!$AF$80*Lookup_Lists!$D$107+Matching_Engine!$AN$80*Lookup_Lists!$D$108+Matching_Engine!$AU$80*Lookup_Lists!$D$109</f>
        <v>6520</v>
      </c>
      <c r="AY80" s="74" t="e">
        <f ca="1">IF(Matching_Engine!$AX$80=0,"N/A",ROUND((IF(Matching_Engine!$N$80=1,Matching_Engine!$M$80*Lookup_Lists!$D$104,0)+IF(Matching_Engine!$T$80=1,Matching_Engine!$S$80*Lookup_Lists!$D$105,0)+IF(Matching_Engine!$Z$80=1,Matching_Engine!$Y$80*Lookup_Lists!$D$106,0)+IF(Matching_Engine!$AF$80=1,Matching_Engine!$AE$80*Lookup_Lists!$D$107,0)+IF(Matching_Engine!$AN$80=1,Matching_Engine!$AM$80*Lookup_Lists!$D$108,0)+IF(Matching_Engine!$AU$80=1,Matching_Engine!$AT$80*Lookup_Lists!$D$109,0))/Matching_Engine!$AX$80,0))</f>
        <v>#VALUE!</v>
      </c>
      <c r="AZ80" s="42" t="str">
        <f ca="1">IF(NOT(ISNUMBER(Matching_Engine!$AY$80)),"Not Scored",IF(Matching_Engine!$AY$80&gt;=Lookup_Lists!$D$152,"Excellent Match",IF(Matching_Engine!$AY$80&gt;=Lookup_Lists!$D$153,"Strong Match",IF(Matching_Engine!$AY$80&gt;=Lookup_Lists!$D$154,"Good Match",IF(Matching_Engine!$AY$80&gt;=Lookup_Lists!$D$155,"Moderate Match","Low Match")))))</f>
        <v>Good Match</v>
      </c>
      <c r="BA80" s="65" t="e">
        <f>'[1]#REF'!$BW$8</f>
        <v>#REF!</v>
      </c>
      <c r="BB80" s="42" t="e">
        <f>'[1]#REF'!$BX$8</f>
        <v>#REF!</v>
      </c>
      <c r="BC80" s="65">
        <f ca="1">IF(NOT(ISNUMBER(Matching_Engine!$AY$80)),-1,Matching_Engine!$AY$80*1000+22)</f>
        <v>72022</v>
      </c>
      <c r="BD80" s="42" t="e">
        <f>IF(AND(ISTEXT('[1]#REF'!$S$8),'[1]#REF'!$S$8&lt;&gt;"N/A"),'[1]#REF'!$S$8,"")&amp;" | "&amp;IF(AND(ISTEXT('[1]#REF'!$T$8),'[1]#REF'!$T$8&lt;&gt;"N/A"),'[1]#REF'!$T$8,"")&amp;" | "&amp;IF(AND(ISTEXT('[1]#REF'!$N$8),'[1]#REF'!$N$8&lt;&gt;"N/A"),'[1]#REF'!$N$8,"")&amp;" | "&amp;IF(AND(ISTEXT('[1]#REF'!$K$8),'[1]#REF'!$K$8&lt;&gt;"N/A"),'[1]#REF'!$K$8,"")&amp;" | "&amp;IF(AND(ISTEXT('[1]#REF'!$J$8),'[1]#REF'!$J$8&lt;&gt;"N/A"),'[1]#REF'!$J$8,"")</f>
        <v>#REF!</v>
      </c>
      <c r="BE80" s="42" t="e">
        <f>IF(AND(ISTEXT('[1]#REF'!$T$8),'[1]#REF'!$T$8&lt;&gt;"N/A"),'[1]#REF'!$T$8,"")&amp;" | "&amp;IF(AND(ISTEXT('[1]#REF'!$N$8),'[1]#REF'!$N$8&lt;&gt;"N/A"),'[1]#REF'!$N$8,"")&amp;" | "&amp;IF(AND(ISTEXT('[1]#REF'!$O$8),'[1]#REF'!$O$8&lt;&gt;"N/A"),'[1]#REF'!$O$8,"")&amp;" | "&amp;IF(AND(ISTEXT('[1]#REF'!$S$8),'[1]#REF'!$S$8&lt;&gt;"N/A"),'[1]#REF'!$S$8,"")</f>
        <v>#REF!</v>
      </c>
      <c r="BF80" s="42" t="e">
        <f>IF(AND(ISTEXT('[1]#REF'!$U$8),'[1]#REF'!$U$8&lt;&gt;"N/A"),'[1]#REF'!$U$8,"")</f>
        <v>#REF!</v>
      </c>
      <c r="BG80" s="42" t="str">
        <f>Matching_Engine!$A$80&amp;"|"&amp;Matching_Engine!$C$80</f>
        <v>BRAND-C|KOL-15</v>
      </c>
    </row>
    <row r="81" spans="1:59">
      <c r="A81" s="64" t="s">
        <v>2530</v>
      </c>
      <c r="B81" s="42" t="str">
        <f>Brand_Profile!$H$6</f>
        <v>Input type / allowed values</v>
      </c>
      <c r="C81" s="42" t="e">
        <f>'[1]#REF'!$A$9</f>
        <v>#REF!</v>
      </c>
      <c r="D81" s="42" t="e">
        <f>'[1]#REF'!$C$9</f>
        <v>#REF!</v>
      </c>
      <c r="E81" s="42" t="e">
        <f>'[1]#REF'!$D$9</f>
        <v>#REF!</v>
      </c>
      <c r="F81" s="42" t="e">
        <f>'[1]#REF'!$E$9</f>
        <v>#REF!</v>
      </c>
      <c r="G81" s="42" t="e">
        <f>'[1]#REF'!$K$9</f>
        <v>#REF!</v>
      </c>
      <c r="H81" s="72" t="e">
        <f>'[1]#REF'!$G$9</f>
        <v>#REF!</v>
      </c>
      <c r="I81" s="73" t="e">
        <f>'[1]#REF'!$BG$9</f>
        <v>#REF!</v>
      </c>
      <c r="J81" s="65" t="e">
        <f>IF(NOT(AND(ISTEXT('[1]#REF'!$K$9),'[1]#REF'!$K$9&lt;&gt;"N/A")),Lookup_Lists!$D$150,IF(Brand_Profile!$H$7='[1]#REF'!$K$9,100,IFERROR(INDEX(Lookup_Lists!$B$349:$J$357,MATCH(Brand_Profile!$H$7,Lookup_Lists!$A$349:$A$357,0),MATCH('[1]#REF'!$K$9,Lookup_Lists!$B$348:$J$348,0)),Lookup_Lists!$D$151)))</f>
        <v>#REF!</v>
      </c>
      <c r="K81" s="65" t="e">
        <f>IF(LEN(TRIM(SUBSTITUTE(Matching_Engine!$BD$81,"|","")))=0,"N/A",IF(Brand_Profile!$H$47=0,Lookup_Lists!$D$150,ROUND((IF(Brand_Profile!$H$41="",0,IF(ISNUMBER(SEARCH(Brand_Profile!$H$41,Matching_Engine!$BD$81)),1,0))+IF(Brand_Profile!$H$42="",0,IF(ISNUMBER(SEARCH(Brand_Profile!$H$42,Matching_Engine!$BD$81)),1,0))+IF(Brand_Profile!$H$43="",0,IF(ISNUMBER(SEARCH(Brand_Profile!$H$43,Matching_Engine!$BD$81)),1,0))+IF(Brand_Profile!$H$44="",0,IF(ISNUMBER(SEARCH(Brand_Profile!$H$44,Matching_Engine!$BD$81)),1,0))+IF(Brand_Profile!$H$45="",0,IF(ISNUMBER(SEARCH(Brand_Profile!$H$45,Matching_Engine!$BD$81)),1,0))+IF(Brand_Profile!$H$46="",0,IF(ISNUMBER(SEARCH(Brand_Profile!$H$46,Matching_Engine!$BD$81)),1,0)))/Brand_Profile!$H$47*100,0)))</f>
        <v>#VALUE!</v>
      </c>
      <c r="L81" s="65" t="e">
        <f>IF(NOT(AND(ISTEXT('[1]#REF'!$U$9),'[1]#REF'!$U$9&lt;&gt;"N/A")),"N/A",IF(Brand_Profile!$H$53=0,Lookup_Lists!$D$150,ROUND((IF(Brand_Profile!$H$48="",0,IF(ISNUMBER(SEARCH(Brand_Profile!$H$48,Matching_Engine!$BF$81)),1,0))+IF(Brand_Profile!$H$49="",0,IF(ISNUMBER(SEARCH(Brand_Profile!$H$49,Matching_Engine!$BF$81)),1,0))+IF(Brand_Profile!$H$50="",0,IF(ISNUMBER(SEARCH(Brand_Profile!$H$50,Matching_Engine!$BF$81)),1,0))+IF(Brand_Profile!$H$51="",0,IF(ISNUMBER(SEARCH(Brand_Profile!$H$51,Matching_Engine!$BF$81)),1,0))+IF(Brand_Profile!$H$52="",0,IF(ISNUMBER(SEARCH(Brand_Profile!$H$52,Matching_Engine!$BF$81)),1,0)))/Brand_Profile!$H$53*100,0)))</f>
        <v>#REF!</v>
      </c>
      <c r="M81" s="63" t="str">
        <f>IF((IF(ISNUMBER(Matching_Engine!$J$81),Lookup_Lists!$D$332,0)+IF(ISNUMBER(Matching_Engine!$K$81),Lookup_Lists!$D$333,0)+IF(ISNUMBER(Matching_Engine!$L$81),Lookup_Lists!$D$334,0))=0,"N/A",ROUND((IF(ISNUMBER(Matching_Engine!$J$81),Matching_Engine!$J$81*Lookup_Lists!$D$332,0)+IF(ISNUMBER(Matching_Engine!$K$81),Matching_Engine!$K$81*Lookup_Lists!$D$333,0)+IF(ISNUMBER(Matching_Engine!$L$81),Matching_Engine!$L$81*Lookup_Lists!$D$334,0))/(IF(ISNUMBER(Matching_Engine!$J$81),Lookup_Lists!$D$332,0)+IF(ISNUMBER(Matching_Engine!$K$81),Lookup_Lists!$D$333,0)+IF(ISNUMBER(Matching_Engine!$L$81),Lookup_Lists!$D$334,0)),0))</f>
        <v>N/A</v>
      </c>
      <c r="N81" s="42">
        <f>IF(ISNUMBER(Matching_Engine!$M$81),1,0)</f>
        <v>1</v>
      </c>
      <c r="O81" s="65" t="str">
        <f ca="1">IF(NOT(ISNUMBER(IFERROR(INDEX('[1]#REF'!$V$9:'[1]#REF'!$Z$9,1,MATCH(Brand_Profile!$H$11,Lookup_Lists!$F$6:$F$10,0)),""))),"N/A",MIN(100,ROUND((IFERROR(INDEX('[1]#REF'!$V$9:'[1]#REF'!$Z$9,1,MATCH(Brand_Profile!$H$11,Lookup_Lists!$F$6:$F$10,0)),"")+0.5*IF(ISNUMBER(IFERROR(INDEX('[1]#REF'!$V$9:'[1]#REF'!$Z$9,1,MATCH(Brand_Profile!$H$12,Lookup_Lists!$F$6:$F$10,0)),"")),IFERROR(INDEX('[1]#REF'!$V$9:'[1]#REF'!$Z$9,1,MATCH(Brand_Profile!$H$12,Lookup_Lists!$F$6:$F$10,0)),""),0))/Lookup_Lists!$D$142*100,0)))</f>
        <v>N/A</v>
      </c>
      <c r="P81" s="65" t="str">
        <f>IF(Brand_Profile!$H$13="Any",100,IF(NOT(ISNUMBER('[1]#REF'!$AA$9)),"N/A",IF(Brand_Profile!$H$13="Female",MIN(100,ROUND('[1]#REF'!$AA$9/Lookup_Lists!$D$143*100,0)),IF(Brand_Profile!$H$13="Male",MIN(100,ROUND(IF(ISNUMBER('[1]#REF'!$AB$9),'[1]#REF'!$AB$9,100-'[1]#REF'!$AA$9)/Lookup_Lists!$D$143*100,0)),MAX(0,ROUND(100-ABS('[1]#REF'!$AA$9-50)*2,0))))))</f>
        <v>N/A</v>
      </c>
      <c r="Q81" s="65" t="str">
        <f>IF((IF(ISNUMBER(IF(NOT(ISNUMBER('[1]#REF'!$AE$9)),"N/A",IF('[1]#REF'!$AD$9&lt;&gt;Brand_Profile!$H$14,Lookup_Lists!$D$151,MIN(100,ROUND('[1]#REF'!$AE$9/Lookup_Lists!$D$316*100,0))))),Lookup_Lists!$D$118,0)+IF(ISNUMBER(IF(NOT(ISNUMBER('[1]#REF'!$AM$9)),"N/A",MIN(100,ROUND((IF('[1]#REF'!$AG$9=Brand_Profile!$H$15,IF(ISNUMBER('[1]#REF'!$AH$9),'[1]#REF'!$AH$9,0),0)+IF('[1]#REF'!$AI$9=Brand_Profile!$H$15,IF(ISNUMBER('[1]#REF'!$AJ$9),'[1]#REF'!$AJ$9,0),0)+IF('[1]#REF'!$AK$9=Brand_Profile!$H$15,IF(ISNUMBER('[1]#REF'!$AL$9),'[1]#REF'!$AL$9,0),0))/Lookup_Lists!$D$317*100,0)))),Lookup_Lists!$D$120,0))=0,"N/A",ROUND((IF(ISNUMBER(IF(NOT(ISNUMBER('[1]#REF'!$AE$9)),"N/A",IF('[1]#REF'!$AD$9&lt;&gt;Brand_Profile!$H$14,Lookup_Lists!$D$151,MIN(100,ROUND('[1]#REF'!$AE$9/Lookup_Lists!$D$316*100,0))))),IF(NOT(ISNUMBER('[1]#REF'!$AE$9)),"N/A",IF('[1]#REF'!$AD$9&lt;&gt;Brand_Profile!$H$14,Lookup_Lists!$D$151,MIN(100,ROUND('[1]#REF'!$AE$9/Lookup_Lists!$D$316*100,0))))*Lookup_Lists!$D$118,0)+IF(ISNUMBER(IF(NOT(ISNUMBER('[1]#REF'!$AM$9)),"N/A",MIN(100,ROUND((IF('[1]#REF'!$AG$9=Brand_Profile!$H$15,IF(ISNUMBER('[1]#REF'!$AH$9),'[1]#REF'!$AH$9,0),0)+IF('[1]#REF'!$AI$9=Brand_Profile!$H$15,IF(ISNUMBER('[1]#REF'!$AJ$9),'[1]#REF'!$AJ$9,0),0)+IF('[1]#REF'!$AK$9=Brand_Profile!$H$15,IF(ISNUMBER('[1]#REF'!$AL$9),'[1]#REF'!$AL$9,0),0))/Lookup_Lists!$D$317*100,0)))),IF(NOT(ISNUMBER('[1]#REF'!$AM$9)),"N/A",MIN(100,ROUND((IF('[1]#REF'!$AG$9=Brand_Profile!$H$15,IF(ISNUMBER('[1]#REF'!$AH$9),'[1]#REF'!$AH$9,0),0)+IF('[1]#REF'!$AI$9=Brand_Profile!$H$15,IF(ISNUMBER('[1]#REF'!$AJ$9),'[1]#REF'!$AJ$9,0),0)+IF('[1]#REF'!$AK$9=Brand_Profile!$H$15,IF(ISNUMBER('[1]#REF'!$AL$9),'[1]#REF'!$AL$9,0),0))/Lookup_Lists!$D$317*100,0)))*Lookup_Lists!$D$120,0))/(IF(ISNUMBER(IF(NOT(ISNUMBER('[1]#REF'!$AE$9)),"N/A",IF('[1]#REF'!$AD$9&lt;&gt;Brand_Profile!$H$14,Lookup_Lists!$D$151,MIN(100,ROUND('[1]#REF'!$AE$9/Lookup_Lists!$D$316*100,0))))),Lookup_Lists!$D$118,0)+IF(ISNUMBER(IF(NOT(ISNUMBER('[1]#REF'!$AM$9)),"N/A",MIN(100,ROUND((IF('[1]#REF'!$AG$9=Brand_Profile!$H$15,IF(ISNUMBER('[1]#REF'!$AH$9),'[1]#REF'!$AH$9,0),0)+IF('[1]#REF'!$AI$9=Brand_Profile!$H$15,IF(ISNUMBER('[1]#REF'!$AJ$9),'[1]#REF'!$AJ$9,0),0)+IF('[1]#REF'!$AK$9=Brand_Profile!$H$15,IF(ISNUMBER('[1]#REF'!$AL$9),'[1]#REF'!$AL$9,0),0))/Lookup_Lists!$D$317*100,0)))),Lookup_Lists!$D$120,0)),0))</f>
        <v>N/A</v>
      </c>
      <c r="R81" s="65" t="str">
        <f>IF(NOT(ISNUMBER('[1]#REF'!$AN$9)),"N/A",MIN(100,ROUND((IF(ISNUMBER('[1]#REF'!$AO$9),'[1]#REF'!$AO$9*Brand_Profile!$H$17,0)+IF(ISNUMBER('[1]#REF'!$AP$9),'[1]#REF'!$AP$9*Brand_Profile!$H$18,0)+IF(ISNUMBER('[1]#REF'!$AQ$9),'[1]#REF'!$AQ$9*Brand_Profile!$H$19,0)+IF(ISNUMBER('[1]#REF'!$AR$9),'[1]#REF'!$AR$9*Brand_Profile!$H$20,0)+IF(ISNUMBER('[1]#REF'!$AS$9),'[1]#REF'!$AS$9*Brand_Profile!$H$21,0)+IF(ISNUMBER('[1]#REF'!$AT$9),'[1]#REF'!$AT$9*Brand_Profile!$H$22,0)+IF(ISNUMBER('[1]#REF'!$AU$9),'[1]#REF'!$AU$9*Brand_Profile!$H$23,0)+IF(ISNUMBER('[1]#REF'!$AV$9),'[1]#REF'!$AV$9*Brand_Profile!$H$24,0)+IF(ISNUMBER('[1]#REF'!$AW$9),'[1]#REF'!$AW$9*Brand_Profile!$H$25,0)+IF(ISNUMBER('[1]#REF'!$AX$9),'[1]#REF'!$AX$9*Brand_Profile!$H$26,0)+IF(ISNUMBER('[1]#REF'!$AY$9),'[1]#REF'!$AY$9*Brand_Profile!$H$27,0)+IF(ISNUMBER('[1]#REF'!$AZ$9),'[1]#REF'!$AZ$9*Brand_Profile!$H$28,0)+IF(ISNUMBER('[1]#REF'!$BA$9),'[1]#REF'!$BA$9*Brand_Profile!$H$29,0)+IF(ISNUMBER('[1]#REF'!$BB$9),'[1]#REF'!$BB$9*Brand_Profile!$H$30,0)+IF(ISNUMBER('[1]#REF'!$BC$9),'[1]#REF'!$BC$9*Brand_Profile!$H$31,0)+IF(ISNUMBER('[1]#REF'!$BD$9),'[1]#REF'!$BD$9*Brand_Profile!$H$32,0)+IF(ISNUMBER('[1]#REF'!$BE$9),'[1]#REF'!$BE$9*Brand_Profile!$H$33,0)+IF(ISNUMBER('[1]#REF'!$BF$9),'[1]#REF'!$BF$9*Brand_Profile!$H$34,0))/Lookup_Lists!$D$318*100,0)))</f>
        <v>N/A</v>
      </c>
      <c r="S81" s="63">
        <f ca="1">IF((IF(ISNUMBER(Matching_Engine!$O$81),Lookup_Lists!$D$113,0)+IF(ISNUMBER(Matching_Engine!$P$81),Lookup_Lists!$D$114,0)+IF(ISNUMBER(Matching_Engine!$Q$81),Lookup_Lists!$D$115,0)+IF(ISNUMBER(Matching_Engine!$R$81),Lookup_Lists!$D$116,0))=0,"N/A",ROUND((IF(ISNUMBER(Matching_Engine!$O$81),Matching_Engine!$O$81*Lookup_Lists!$D$113,0)+IF(ISNUMBER(Matching_Engine!$P$81),Matching_Engine!$P$81*Lookup_Lists!$D$114,0)+IF(ISNUMBER(Matching_Engine!$Q$81),Matching_Engine!$Q$81*Lookup_Lists!$D$115,0)+IF(ISNUMBER(Matching_Engine!$R$81),Matching_Engine!$R$81*Lookup_Lists!$D$116,0))/(IF(ISNUMBER(Matching_Engine!$O$81),Lookup_Lists!$D$113,0)+IF(ISNUMBER(Matching_Engine!$P$81),Lookup_Lists!$D$114,0)+IF(ISNUMBER(Matching_Engine!$Q$81),Lookup_Lists!$D$115,0)+IF(ISNUMBER(Matching_Engine!$R$81),Lookup_Lists!$D$116,0)),0))</f>
        <v>67</v>
      </c>
      <c r="T81" s="42">
        <f ca="1">IF(ISNUMBER(Matching_Engine!$S$81),1,0)</f>
        <v>1</v>
      </c>
      <c r="U81" s="65" t="e">
        <f>IF(NOT(AND(ISTEXT('[1]#REF'!$M$9),'[1]#REF'!$M$9&lt;&gt;"N/A")),Lookup_Lists!$D$150,IF(Brand_Profile!$H$7='[1]#REF'!$M$9,100,IFERROR(INDEX(Lookup_Lists!$B$349:$J$357,MATCH(Brand_Profile!$H$7,Lookup_Lists!$A$349:$A$357,0),MATCH('[1]#REF'!$M$9,Lookup_Lists!$B$348:$J$348,0)),Lookup_Lists!$D$151)))</f>
        <v>#REF!</v>
      </c>
      <c r="V81" s="65" t="e">
        <f>IF(NOT(AND(ISTEXT('[1]#REF'!$P$9),'[1]#REF'!$P$9&lt;&gt;"N/A")),"N/A",IFERROR(INDEX(Lookup_Lists!$B$349:$J$357,MATCH(Brand_Profile!$H$7,Lookup_Lists!$A$349:$A$357,0),MATCH('[1]#REF'!$P$9,Lookup_Lists!$B$348:$J$348,0)),Lookup_Lists!$D$151))</f>
        <v>#REF!</v>
      </c>
      <c r="W81" s="65" t="e">
        <f>IF(LEN(TRIM(SUBSTITUTE(Matching_Engine!$BE$81,"|","")))=0,"N/A",IF(Brand_Profile!$H$60=0,Lookup_Lists!$D$150,ROUND((IF(Brand_Profile!$H$54="",0,IF(ISNUMBER(SEARCH(Brand_Profile!$H$54,Matching_Engine!$BE$81)),1,0))+IF(Brand_Profile!$H$55="",0,IF(ISNUMBER(SEARCH(Brand_Profile!$H$55,Matching_Engine!$BE$81)),1,0))+IF(Brand_Profile!$H$56="",0,IF(ISNUMBER(SEARCH(Brand_Profile!$H$56,Matching_Engine!$BE$81)),1,0))+IF(Brand_Profile!$H$57="",0,IF(ISNUMBER(SEARCH(Brand_Profile!$H$57,Matching_Engine!$BE$81)),1,0))+IF(Brand_Profile!$H$58="",0,IF(ISNUMBER(SEARCH(Brand_Profile!$H$58,Matching_Engine!$BE$81)),1,0))+IF(Brand_Profile!$H$59="",0,IF(ISNUMBER(SEARCH(Brand_Profile!$H$59,Matching_Engine!$BE$81)),1,0)))/Brand_Profile!$H$60*100,0)))</f>
        <v>#VALUE!</v>
      </c>
      <c r="X81" s="65" t="e">
        <f>IF(NOT(AND(ISTEXT('[1]#REF'!$Q$9),'[1]#REF'!$Q$9&lt;&gt;"N/A")),"N/A",Lookup_Lists!$D$150)</f>
        <v>#REF!</v>
      </c>
      <c r="Y81" s="63">
        <f>IF((IF(ISNUMBER(Matching_Engine!$U$81),Lookup_Lists!$D$335,0)+IF(ISNUMBER(Matching_Engine!$V$81),Lookup_Lists!$D$122,0)+IF(ISNUMBER(Matching_Engine!$W$81),Lookup_Lists!$D$336,0)+IF(ISNUMBER(Matching_Engine!$X$81),Lookup_Lists!$D$124,0))=0,"N/A",ROUND((IF(ISNUMBER(Matching_Engine!$U$81),Matching_Engine!$U$81*Lookup_Lists!$D$335,0)+IF(ISNUMBER(Matching_Engine!$V$81),Matching_Engine!$V$81*Lookup_Lists!$D$122,0)+IF(ISNUMBER(Matching_Engine!$W$81),Matching_Engine!$W$81*Lookup_Lists!$D$336,0)+IF(ISNUMBER(Matching_Engine!$X$81),Matching_Engine!$X$81*Lookup_Lists!$D$124,0))/(IF(ISNUMBER(Matching_Engine!$U$81),Lookup_Lists!$D$335,0)+IF(ISNUMBER(Matching_Engine!$V$81),Lookup_Lists!$D$122,0)+IF(ISNUMBER(Matching_Engine!$W$81),Lookup_Lists!$D$336,0)+IF(ISNUMBER(Matching_Engine!$X$81),Lookup_Lists!$D$124,0)),0))</f>
        <v>27</v>
      </c>
      <c r="Z81" s="42">
        <f>IF(ISNUMBER(Matching_Engine!$Y$81),1,0)</f>
        <v>1</v>
      </c>
      <c r="AA81" s="65" t="e">
        <f>IF(NOT(AND(ISTEXT('[1]#REF'!$Q$9),'[1]#REF'!$Q$9&lt;&gt;"N/A")),"N/A",Lookup_Lists!$D$150)</f>
        <v>#REF!</v>
      </c>
      <c r="AB81" s="65" t="e">
        <f>IF(NOT(AND(ISTEXT('[1]#REF'!$Q$9),'[1]#REF'!$Q$9&lt;&gt;"N/A")),"N/A",Lookup_Lists!$D$150)</f>
        <v>#REF!</v>
      </c>
      <c r="AC81" s="65" t="str">
        <f t="shared" si="1"/>
        <v>N/A</v>
      </c>
      <c r="AD81" s="65" t="e">
        <f>IF(NOT(AND(ISTEXT('[1]#REF'!$Q$9),'[1]#REF'!$Q$9&lt;&gt;"N/A")),"N/A",Lookup_Lists!$D$150)</f>
        <v>#REF!</v>
      </c>
      <c r="AE81" s="63">
        <f>IF((IF(ISNUMBER(Matching_Engine!$AA$81),Lookup_Lists!$D$125,0)+IF(ISNUMBER(Matching_Engine!$AB$81),Lookup_Lists!$D$126,0)+IF(ISNUMBER(Matching_Engine!$AC$81),Lookup_Lists!$D$127,0)+IF(ISNUMBER(Matching_Engine!$AD$81),Lookup_Lists!$D$128,0))=0,"N/A",ROUND((IF(ISNUMBER(Matching_Engine!$AA$81),Matching_Engine!$AA$81*Lookup_Lists!$D$125,0)+IF(ISNUMBER(Matching_Engine!$AB$81),Matching_Engine!$AB$81*Lookup_Lists!$D$126,0)+IF(ISNUMBER(Matching_Engine!$AC$81),Matching_Engine!$AC$81*Lookup_Lists!$D$127,0)+IF(ISNUMBER(Matching_Engine!$AD$81),Matching_Engine!$AD$81*Lookup_Lists!$D$128,0))/(IF(ISNUMBER(Matching_Engine!$AA$81),Lookup_Lists!$D$125,0)+IF(ISNUMBER(Matching_Engine!$AB$81),Lookup_Lists!$D$126,0)+IF(ISNUMBER(Matching_Engine!$AC$81),Lookup_Lists!$D$127,0)+IF(ISNUMBER(Matching_Engine!$AD$81),Lookup_Lists!$D$128,0)),0))</f>
        <v>64</v>
      </c>
      <c r="AF81" s="42">
        <f>IF(ISNUMBER(Matching_Engine!$AE$81),1,0)</f>
        <v>1</v>
      </c>
      <c r="AG81" s="65" t="str">
        <f>IF(NOT(ISNUMBER('[1]#REF'!$BG$9)),"N/A",MIN(100,ROUND('[1]#REF'!$BG$9/IFERROR(INDEX(Lookup_Lists!$B$340:$B$344,MATCH('[1]#REF'!$H$9,Lookup_Lists!$A$340:$A$344,0)),Lookup_Lists!$D$141)*100,0)))</f>
        <v>N/A</v>
      </c>
      <c r="AH81" s="65" t="str">
        <f>IF(NOT(ISNUMBER('[1]#REF'!$BS$9)),"N/A",MIN(100,MAX(0,'[1]#REF'!$BS$9)))</f>
        <v>N/A</v>
      </c>
      <c r="AI81" s="65" t="e">
        <f>IF(OR(NOT(ISNUMBER('[1]#REF'!$BM$9)),NOT(ISNUMBER('[1]#REF'!$BN$9)),'[1]#REF'!$BN$9&lt;Lookup_Lists!$D$320),"N/A",MIN(100,ROUND('[1]#REF'!$BM$9/Lookup_Lists!$D$319*100,0)))</f>
        <v>#REF!</v>
      </c>
      <c r="AJ81" s="65" t="str">
        <f>IF(NOT(ISNUMBER('[1]#REF'!$BR$9)),"N/A",'[1]#REF'!$BR$9)</f>
        <v>N/A</v>
      </c>
      <c r="AK81" s="65" t="str">
        <f>IF(NOT(ISNUMBER('[1]#REF'!$BK$9)),"N/A",MIN(100,ROUND('[1]#REF'!$BK$9/Lookup_Lists!$D$321*100,0)))</f>
        <v>N/A</v>
      </c>
      <c r="AL81" s="65" t="str">
        <f>IF(NOT(ISNUMBER('[1]#REF'!$BP$9)),"N/A",MIN(100,MAX(0,ROUND(('[1]#REF'!$BP$9+2)/(Lookup_Lists!$D$145+2)*100,0))))</f>
        <v>N/A</v>
      </c>
      <c r="AM81" s="63">
        <f>IF((IF(ISNUMBER(Matching_Engine!$AG$81),Lookup_Lists!$D$129,0)+IF(ISNUMBER(Matching_Engine!$AH$81),Lookup_Lists!$D$130,0)+IF(ISNUMBER(Matching_Engine!$AI$81),Lookup_Lists!$D$131,0)+IF(ISNUMBER(Matching_Engine!$AJ$81),Lookup_Lists!$D$132,0)+IF(ISNUMBER(Matching_Engine!$AK$81),Lookup_Lists!$D$133,0)+IF(ISNUMBER(Matching_Engine!$AL$81),Lookup_Lists!$D$134,0))=0,"N/A",ROUND((IF(ISNUMBER(Matching_Engine!$AG$81),Matching_Engine!$AG$81*Lookup_Lists!$D$129,0)+IF(ISNUMBER(Matching_Engine!$AH$81),Matching_Engine!$AH$81*Lookup_Lists!$D$130,0)+IF(ISNUMBER(Matching_Engine!$AI$81),Matching_Engine!$AI$81*Lookup_Lists!$D$131,0)+IF(ISNUMBER(Matching_Engine!$AJ$81),Matching_Engine!$AJ$81*Lookup_Lists!$D$132,0)+IF(ISNUMBER(Matching_Engine!$AK$81),Matching_Engine!$AK$81*Lookup_Lists!$D$133,0)+IF(ISNUMBER(Matching_Engine!$AL$81),Matching_Engine!$AL$81*Lookup_Lists!$D$134,0))/(IF(ISNUMBER(Matching_Engine!$AG$81),Lookup_Lists!$D$129,0)+IF(ISNUMBER(Matching_Engine!$AH$81),Lookup_Lists!$D$130,0)+IF(ISNUMBER(Matching_Engine!$AI$81),Lookup_Lists!$D$131,0)+IF(ISNUMBER(Matching_Engine!$AJ$81),Lookup_Lists!$D$132,0)+IF(ISNUMBER(Matching_Engine!$AK$81),Lookup_Lists!$D$133,0)+IF(ISNUMBER(Matching_Engine!$AL$81),Lookup_Lists!$D$134,0)),0))</f>
        <v>65</v>
      </c>
      <c r="AN81" s="42">
        <f>IF(ISNUMBER(Matching_Engine!$AM$81),1,0)</f>
        <v>0</v>
      </c>
      <c r="AO81" s="65" t="str">
        <f>IF(NOT(ISNUMBER('[1]#REF'!$BT$9)),"N/A",MIN(100,MAX(0,'[1]#REF'!$BT$9)))</f>
        <v>N/A</v>
      </c>
      <c r="AP81" s="65" t="str">
        <f>IF(NOT(ISNUMBER('[1]#REF'!$BU$9)),"N/A",MIN(100,MAX(0,'[1]#REF'!$BU$9)))</f>
        <v>N/A</v>
      </c>
      <c r="AQ81" s="65" t="e">
        <f>IF('[1]#REF'!$I$9="Yes",Lookup_Lists!$D$326,IF('[1]#REF'!$I$9="No",Lookup_Lists!$D$327,"N/A"))</f>
        <v>#REF!</v>
      </c>
      <c r="AR81" s="65" t="str">
        <f>IF(NOT(ISNUMBER('[1]#REF'!$BQ$9)),"N/A",MAX(0,ROUND(100-'[1]#REF'!$BQ$9/Lookup_Lists!$D$328*100,0)))</f>
        <v>N/A</v>
      </c>
      <c r="AS81" s="65" t="e">
        <f>IF(NOT(AND(ISTEXT('[1]#REF'!$BV$9),'[1]#REF'!$BV$9&lt;&gt;"N/A")),"N/A",'[1]#REF'!$BV$9)</f>
        <v>#REF!</v>
      </c>
      <c r="AT81" s="63" t="str">
        <f ca="1">IF((IF(ISNUMBER(Matching_Engine!$AO$81),Lookup_Lists!$D$322,0)+IF(ISNUMBER(Matching_Engine!$AP$81),Lookup_Lists!$D$323,0)+IF(ISNUMBER(Matching_Engine!$AQ$81),Lookup_Lists!$D$324,0)+IF(ISNUMBER(Matching_Engine!$AR$81),Lookup_Lists!$D$325,0))=0,"N/A",ROUND((IF(ISNUMBER(Matching_Engine!$AO$81),Matching_Engine!$AO$81*Lookup_Lists!$D$322,0)+IF(ISNUMBER(Matching_Engine!$AP$81),Matching_Engine!$AP$81*Lookup_Lists!$D$323,0)+IF(ISNUMBER(Matching_Engine!$AQ$81),Matching_Engine!$AQ$81*Lookup_Lists!$D$324,0)+IF(ISNUMBER(Matching_Engine!$AR$81),Matching_Engine!$AR$81*Lookup_Lists!$D$325,0))/(IF(ISNUMBER(Matching_Engine!$AO$81),Lookup_Lists!$D$322,0)+IF(ISNUMBER(Matching_Engine!$AP$81),Lookup_Lists!$D$323,0)+IF(ISNUMBER(Matching_Engine!$AQ$81),Lookup_Lists!$D$324,0)+IF(ISNUMBER(Matching_Engine!$AR$81),Lookup_Lists!$D$325,0)),0))</f>
        <v>N/A</v>
      </c>
      <c r="AU81" s="42">
        <f>IF(ISNUMBER(Matching_Engine!$AT$81),1,0)</f>
        <v>1</v>
      </c>
      <c r="AV81" s="42" t="str">
        <f>IF(NOT(ISNUMBER(Matching_Engine!$AT$81)),"Not Screened",IF(Matching_Engine!$AT$81&gt;=Lookup_Lists!$D$329,"Low Risk",IF(Matching_Engine!$AT$81&gt;=Lookup_Lists!$D$330,"Moderate Risk",IF(Matching_Engine!$AT$81&gt;=Lookup_Lists!$D$331,"Elevated Risk","High Risk"))))</f>
        <v>Low Risk</v>
      </c>
      <c r="AW81" s="42" t="e">
        <f ca="1">IF(NOT(ISNUMBER(Matching_Engine!$AT$81)),"No integrity signal: no audience-analysis row for this account.","Integrity screen only — no content-risk reading exists (comments_analysis: 0 rows). "&amp;IF(ISNUMBER(Matching_Engine!$AO$81),"Authenticity "&amp;Matching_Engine!$AO$81&amp;". ","Authenticity N/A. ")&amp;IF(ISNUMBER(Matching_Engine!$AP$81),"Follower quality "&amp;Matching_Engine!$AP$81&amp;". ","Follower quality N/A. ")&amp;IF('[1]#REF'!$I$9="Yes","Platform-verified.","Not platform-verified."))</f>
        <v>#REF!</v>
      </c>
      <c r="AX81" s="65">
        <f>Matching_Engine!$N$81*Lookup_Lists!$D$104+Matching_Engine!$T$81*Lookup_Lists!$D$105+Matching_Engine!$Z$81*Lookup_Lists!$D$106+Matching_Engine!$AF$81*Lookup_Lists!$D$107+Matching_Engine!$AN$81*Lookup_Lists!$D$108+Matching_Engine!$AU$81*Lookup_Lists!$D$109</f>
        <v>6749.5</v>
      </c>
      <c r="AY81" s="74" t="e">
        <f ca="1">IF(Matching_Engine!$AX$81=0,"N/A",ROUND((IF(Matching_Engine!$N$81=1,Matching_Engine!$M$81*Lookup_Lists!$D$104,0)+IF(Matching_Engine!$T$81=1,Matching_Engine!$S$81*Lookup_Lists!$D$105,0)+IF(Matching_Engine!$Z$81=1,Matching_Engine!$Y$81*Lookup_Lists!$D$106,0)+IF(Matching_Engine!$AF$81=1,Matching_Engine!$AE$81*Lookup_Lists!$D$107,0)+IF(Matching_Engine!$AN$81=1,Matching_Engine!$AM$81*Lookup_Lists!$D$108,0)+IF(Matching_Engine!$AU$81=1,Matching_Engine!$AT$81*Lookup_Lists!$D$109,0))/Matching_Engine!$AX$81,0))</f>
        <v>#VALUE!</v>
      </c>
      <c r="AZ81" s="42" t="str">
        <f ca="1">IF(NOT(ISNUMBER(Matching_Engine!$AY$81)),"Not Scored",IF(Matching_Engine!$AY$81&gt;=Lookup_Lists!$D$152,"Excellent Match",IF(Matching_Engine!$AY$81&gt;=Lookup_Lists!$D$153,"Strong Match",IF(Matching_Engine!$AY$81&gt;=Lookup_Lists!$D$154,"Good Match",IF(Matching_Engine!$AY$81&gt;=Lookup_Lists!$D$155,"Moderate Match","Low Match")))))</f>
        <v>Not Scored</v>
      </c>
      <c r="BA81" s="65" t="e">
        <f>'[1]#REF'!$BW$9</f>
        <v>#REF!</v>
      </c>
      <c r="BB81" s="42" t="e">
        <f>'[1]#REF'!$BX$9</f>
        <v>#REF!</v>
      </c>
      <c r="BC81" s="65">
        <f ca="1">IF(NOT(ISNUMBER(Matching_Engine!$AY$81)),-1,Matching_Engine!$AY$81*1000+21)</f>
        <v>-1</v>
      </c>
      <c r="BD81" s="42" t="e">
        <f>IF(AND(ISTEXT('[1]#REF'!$S$9),'[1]#REF'!$S$9&lt;&gt;"N/A"),'[1]#REF'!$S$9,"")&amp;" | "&amp;IF(AND(ISTEXT('[1]#REF'!$T$9),'[1]#REF'!$T$9&lt;&gt;"N/A"),'[1]#REF'!$T$9,"")&amp;" | "&amp;IF(AND(ISTEXT('[1]#REF'!$N$9),'[1]#REF'!$N$9&lt;&gt;"N/A"),'[1]#REF'!$N$9,"")&amp;" | "&amp;IF(AND(ISTEXT('[1]#REF'!$K$9),'[1]#REF'!$K$9&lt;&gt;"N/A"),'[1]#REF'!$K$9,"")&amp;" | "&amp;IF(AND(ISTEXT('[1]#REF'!$J$9),'[1]#REF'!$J$9&lt;&gt;"N/A"),'[1]#REF'!$J$9,"")</f>
        <v>#REF!</v>
      </c>
      <c r="BE81" s="42" t="e">
        <f>IF(AND(ISTEXT('[1]#REF'!$T$9),'[1]#REF'!$T$9&lt;&gt;"N/A"),'[1]#REF'!$T$9,"")&amp;" | "&amp;IF(AND(ISTEXT('[1]#REF'!$N$9),'[1]#REF'!$N$9&lt;&gt;"N/A"),'[1]#REF'!$N$9,"")&amp;" | "&amp;IF(AND(ISTEXT('[1]#REF'!$O$9),'[1]#REF'!$O$9&lt;&gt;"N/A"),'[1]#REF'!$O$9,"")&amp;" | "&amp;IF(AND(ISTEXT('[1]#REF'!$S$9),'[1]#REF'!$S$9&lt;&gt;"N/A"),'[1]#REF'!$S$9,"")</f>
        <v>#REF!</v>
      </c>
      <c r="BF81" s="42" t="e">
        <f>IF(AND(ISTEXT('[1]#REF'!$U$9),'[1]#REF'!$U$9&lt;&gt;"N/A"),'[1]#REF'!$U$9,"")</f>
        <v>#REF!</v>
      </c>
      <c r="BG81" s="42" t="str">
        <f>Matching_Engine!$A$81&amp;"|"&amp;Matching_Engine!$C$81</f>
        <v>BRAND-C|KOL-16</v>
      </c>
    </row>
    <row r="82" spans="1:59">
      <c r="A82" s="64" t="s">
        <v>2530</v>
      </c>
      <c r="B82" s="42" t="str">
        <f>Brand_Profile!$H$6</f>
        <v>Input type / allowed values</v>
      </c>
      <c r="C82" s="42" t="e">
        <f>'[1]#REF'!$A$10</f>
        <v>#REF!</v>
      </c>
      <c r="D82" s="42" t="e">
        <f>'[1]#REF'!$C$10</f>
        <v>#REF!</v>
      </c>
      <c r="E82" s="42" t="e">
        <f>'[1]#REF'!$D$10</f>
        <v>#REF!</v>
      </c>
      <c r="F82" s="42" t="e">
        <f>'[1]#REF'!$E$10</f>
        <v>#REF!</v>
      </c>
      <c r="G82" s="42" t="e">
        <f>'[1]#REF'!$K$10</f>
        <v>#REF!</v>
      </c>
      <c r="H82" s="72" t="e">
        <f>'[1]#REF'!$G$10</f>
        <v>#REF!</v>
      </c>
      <c r="I82" s="73" t="e">
        <f>'[1]#REF'!$BG$10</f>
        <v>#REF!</v>
      </c>
      <c r="J82" s="65" t="e">
        <f>IF(NOT(AND(ISTEXT('[1]#REF'!$K$10),'[1]#REF'!$K$10&lt;&gt;"N/A")),Lookup_Lists!$D$150,IF(Brand_Profile!$H$7='[1]#REF'!$K$10,100,IFERROR(INDEX(Lookup_Lists!$B$349:$J$357,MATCH(Brand_Profile!$H$7,Lookup_Lists!$A$349:$A$357,0),MATCH('[1]#REF'!$K$10,Lookup_Lists!$B$348:$J$348,0)),Lookup_Lists!$D$151)))</f>
        <v>#REF!</v>
      </c>
      <c r="K82" s="65" t="e">
        <f>IF(LEN(TRIM(SUBSTITUTE(Matching_Engine!$BD$82,"|","")))=0,"N/A",IF(Brand_Profile!$H$47=0,Lookup_Lists!$D$150,ROUND((IF(Brand_Profile!$H$41="",0,IF(ISNUMBER(SEARCH(Brand_Profile!$H$41,Matching_Engine!$BD$82)),1,0))+IF(Brand_Profile!$H$42="",0,IF(ISNUMBER(SEARCH(Brand_Profile!$H$42,Matching_Engine!$BD$82)),1,0))+IF(Brand_Profile!$H$43="",0,IF(ISNUMBER(SEARCH(Brand_Profile!$H$43,Matching_Engine!$BD$82)),1,0))+IF(Brand_Profile!$H$44="",0,IF(ISNUMBER(SEARCH(Brand_Profile!$H$44,Matching_Engine!$BD$82)),1,0))+IF(Brand_Profile!$H$45="",0,IF(ISNUMBER(SEARCH(Brand_Profile!$H$45,Matching_Engine!$BD$82)),1,0))+IF(Brand_Profile!$H$46="",0,IF(ISNUMBER(SEARCH(Brand_Profile!$H$46,Matching_Engine!$BD$82)),1,0)))/Brand_Profile!$H$47*100,0)))</f>
        <v>#VALUE!</v>
      </c>
      <c r="L82" s="65" t="e">
        <f>IF(NOT(AND(ISTEXT('[1]#REF'!$U$10),'[1]#REF'!$U$10&lt;&gt;"N/A")),"N/A",IF(Brand_Profile!$H$53=0,Lookup_Lists!$D$150,ROUND((IF(Brand_Profile!$H$48="",0,IF(ISNUMBER(SEARCH(Brand_Profile!$H$48,Matching_Engine!$BF$82)),1,0))+IF(Brand_Profile!$H$49="",0,IF(ISNUMBER(SEARCH(Brand_Profile!$H$49,Matching_Engine!$BF$82)),1,0))+IF(Brand_Profile!$H$50="",0,IF(ISNUMBER(SEARCH(Brand_Profile!$H$50,Matching_Engine!$BF$82)),1,0))+IF(Brand_Profile!$H$51="",0,IF(ISNUMBER(SEARCH(Brand_Profile!$H$51,Matching_Engine!$BF$82)),1,0))+IF(Brand_Profile!$H$52="",0,IF(ISNUMBER(SEARCH(Brand_Profile!$H$52,Matching_Engine!$BF$82)),1,0)))/Brand_Profile!$H$53*100,0)))</f>
        <v>#REF!</v>
      </c>
      <c r="M82" s="63" t="str">
        <f>IF((IF(ISNUMBER(Matching_Engine!$J$82),Lookup_Lists!$D$332,0)+IF(ISNUMBER(Matching_Engine!$K$82),Lookup_Lists!$D$333,0)+IF(ISNUMBER(Matching_Engine!$L$82),Lookup_Lists!$D$334,0))=0,"N/A",ROUND((IF(ISNUMBER(Matching_Engine!$J$82),Matching_Engine!$J$82*Lookup_Lists!$D$332,0)+IF(ISNUMBER(Matching_Engine!$K$82),Matching_Engine!$K$82*Lookup_Lists!$D$333,0)+IF(ISNUMBER(Matching_Engine!$L$82),Matching_Engine!$L$82*Lookup_Lists!$D$334,0))/(IF(ISNUMBER(Matching_Engine!$J$82),Lookup_Lists!$D$332,0)+IF(ISNUMBER(Matching_Engine!$K$82),Lookup_Lists!$D$333,0)+IF(ISNUMBER(Matching_Engine!$L$82),Lookup_Lists!$D$334,0)),0))</f>
        <v>N/A</v>
      </c>
      <c r="N82" s="42">
        <f>IF(ISNUMBER(Matching_Engine!$M$82),1,0)</f>
        <v>1</v>
      </c>
      <c r="O82" s="65" t="str">
        <f ca="1">IF(NOT(ISNUMBER(IFERROR(INDEX('[1]#REF'!$V$10:'[1]#REF'!$Z$10,1,MATCH(Brand_Profile!$H$11,Lookup_Lists!$F$6:$F$10,0)),""))),"N/A",MIN(100,ROUND((IFERROR(INDEX('[1]#REF'!$V$10:'[1]#REF'!$Z$10,1,MATCH(Brand_Profile!$H$11,Lookup_Lists!$F$6:$F$10,0)),"")+0.5*IF(ISNUMBER(IFERROR(INDEX('[1]#REF'!$V$10:'[1]#REF'!$Z$10,1,MATCH(Brand_Profile!$H$12,Lookup_Lists!$F$6:$F$10,0)),"")),IFERROR(INDEX('[1]#REF'!$V$10:'[1]#REF'!$Z$10,1,MATCH(Brand_Profile!$H$12,Lookup_Lists!$F$6:$F$10,0)),""),0))/Lookup_Lists!$D$142*100,0)))</f>
        <v>N/A</v>
      </c>
      <c r="P82" s="65" t="str">
        <f>IF(Brand_Profile!$H$13="Any",100,IF(NOT(ISNUMBER('[1]#REF'!$AA$10)),"N/A",IF(Brand_Profile!$H$13="Female",MIN(100,ROUND('[1]#REF'!$AA$10/Lookup_Lists!$D$143*100,0)),IF(Brand_Profile!$H$13="Male",MIN(100,ROUND(IF(ISNUMBER('[1]#REF'!$AB$10),'[1]#REF'!$AB$10,100-'[1]#REF'!$AA$10)/Lookup_Lists!$D$143*100,0)),MAX(0,ROUND(100-ABS('[1]#REF'!$AA$10-50)*2,0))))))</f>
        <v>N/A</v>
      </c>
      <c r="Q82" s="65" t="str">
        <f>IF((IF(ISNUMBER(IF(NOT(ISNUMBER('[1]#REF'!$AE$10)),"N/A",IF('[1]#REF'!$AD$10&lt;&gt;Brand_Profile!$H$14,Lookup_Lists!$D$151,MIN(100,ROUND('[1]#REF'!$AE$10/Lookup_Lists!$D$316*100,0))))),Lookup_Lists!$D$118,0)+IF(ISNUMBER(IF(NOT(ISNUMBER('[1]#REF'!$AM$10)),"N/A",MIN(100,ROUND((IF('[1]#REF'!$AG$10=Brand_Profile!$H$15,IF(ISNUMBER('[1]#REF'!$AH$10),'[1]#REF'!$AH$10,0),0)+IF('[1]#REF'!$AI$10=Brand_Profile!$H$15,IF(ISNUMBER('[1]#REF'!$AJ$10),'[1]#REF'!$AJ$10,0),0)+IF('[1]#REF'!$AK$10=Brand_Profile!$H$15,IF(ISNUMBER('[1]#REF'!$AL$10),'[1]#REF'!$AL$10,0),0))/Lookup_Lists!$D$317*100,0)))),Lookup_Lists!$D$120,0))=0,"N/A",ROUND((IF(ISNUMBER(IF(NOT(ISNUMBER('[1]#REF'!$AE$10)),"N/A",IF('[1]#REF'!$AD$10&lt;&gt;Brand_Profile!$H$14,Lookup_Lists!$D$151,MIN(100,ROUND('[1]#REF'!$AE$10/Lookup_Lists!$D$316*100,0))))),IF(NOT(ISNUMBER('[1]#REF'!$AE$10)),"N/A",IF('[1]#REF'!$AD$10&lt;&gt;Brand_Profile!$H$14,Lookup_Lists!$D$151,MIN(100,ROUND('[1]#REF'!$AE$10/Lookup_Lists!$D$316*100,0))))*Lookup_Lists!$D$118,0)+IF(ISNUMBER(IF(NOT(ISNUMBER('[1]#REF'!$AM$10)),"N/A",MIN(100,ROUND((IF('[1]#REF'!$AG$10=Brand_Profile!$H$15,IF(ISNUMBER('[1]#REF'!$AH$10),'[1]#REF'!$AH$10,0),0)+IF('[1]#REF'!$AI$10=Brand_Profile!$H$15,IF(ISNUMBER('[1]#REF'!$AJ$10),'[1]#REF'!$AJ$10,0),0)+IF('[1]#REF'!$AK$10=Brand_Profile!$H$15,IF(ISNUMBER('[1]#REF'!$AL$10),'[1]#REF'!$AL$10,0),0))/Lookup_Lists!$D$317*100,0)))),IF(NOT(ISNUMBER('[1]#REF'!$AM$10)),"N/A",MIN(100,ROUND((IF('[1]#REF'!$AG$10=Brand_Profile!$H$15,IF(ISNUMBER('[1]#REF'!$AH$10),'[1]#REF'!$AH$10,0),0)+IF('[1]#REF'!$AI$10=Brand_Profile!$H$15,IF(ISNUMBER('[1]#REF'!$AJ$10),'[1]#REF'!$AJ$10,0),0)+IF('[1]#REF'!$AK$10=Brand_Profile!$H$15,IF(ISNUMBER('[1]#REF'!$AL$10),'[1]#REF'!$AL$10,0),0))/Lookup_Lists!$D$317*100,0)))*Lookup_Lists!$D$120,0))/(IF(ISNUMBER(IF(NOT(ISNUMBER('[1]#REF'!$AE$10)),"N/A",IF('[1]#REF'!$AD$10&lt;&gt;Brand_Profile!$H$14,Lookup_Lists!$D$151,MIN(100,ROUND('[1]#REF'!$AE$10/Lookup_Lists!$D$316*100,0))))),Lookup_Lists!$D$118,0)+IF(ISNUMBER(IF(NOT(ISNUMBER('[1]#REF'!$AM$10)),"N/A",MIN(100,ROUND((IF('[1]#REF'!$AG$10=Brand_Profile!$H$15,IF(ISNUMBER('[1]#REF'!$AH$10),'[1]#REF'!$AH$10,0),0)+IF('[1]#REF'!$AI$10=Brand_Profile!$H$15,IF(ISNUMBER('[1]#REF'!$AJ$10),'[1]#REF'!$AJ$10,0),0)+IF('[1]#REF'!$AK$10=Brand_Profile!$H$15,IF(ISNUMBER('[1]#REF'!$AL$10),'[1]#REF'!$AL$10,0),0))/Lookup_Lists!$D$317*100,0)))),Lookup_Lists!$D$120,0)),0))</f>
        <v>N/A</v>
      </c>
      <c r="R82" s="65" t="str">
        <f>IF(NOT(ISNUMBER('[1]#REF'!$AN$10)),"N/A",MIN(100,ROUND((IF(ISNUMBER('[1]#REF'!$AO$10),'[1]#REF'!$AO$10*Brand_Profile!$H$17,0)+IF(ISNUMBER('[1]#REF'!$AP$10),'[1]#REF'!$AP$10*Brand_Profile!$H$18,0)+IF(ISNUMBER('[1]#REF'!$AQ$10),'[1]#REF'!$AQ$10*Brand_Profile!$H$19,0)+IF(ISNUMBER('[1]#REF'!$AR$10),'[1]#REF'!$AR$10*Brand_Profile!$H$20,0)+IF(ISNUMBER('[1]#REF'!$AS$10),'[1]#REF'!$AS$10*Brand_Profile!$H$21,0)+IF(ISNUMBER('[1]#REF'!$AT$10),'[1]#REF'!$AT$10*Brand_Profile!$H$22,0)+IF(ISNUMBER('[1]#REF'!$AU$10),'[1]#REF'!$AU$10*Brand_Profile!$H$23,0)+IF(ISNUMBER('[1]#REF'!$AV$10),'[1]#REF'!$AV$10*Brand_Profile!$H$24,0)+IF(ISNUMBER('[1]#REF'!$AW$10),'[1]#REF'!$AW$10*Brand_Profile!$H$25,0)+IF(ISNUMBER('[1]#REF'!$AX$10),'[1]#REF'!$AX$10*Brand_Profile!$H$26,0)+IF(ISNUMBER('[1]#REF'!$AY$10),'[1]#REF'!$AY$10*Brand_Profile!$H$27,0)+IF(ISNUMBER('[1]#REF'!$AZ$10),'[1]#REF'!$AZ$10*Brand_Profile!$H$28,0)+IF(ISNUMBER('[1]#REF'!$BA$10),'[1]#REF'!$BA$10*Brand_Profile!$H$29,0)+IF(ISNUMBER('[1]#REF'!$BB$10),'[1]#REF'!$BB$10*Brand_Profile!$H$30,0)+IF(ISNUMBER('[1]#REF'!$BC$10),'[1]#REF'!$BC$10*Brand_Profile!$H$31,0)+IF(ISNUMBER('[1]#REF'!$BD$10),'[1]#REF'!$BD$10*Brand_Profile!$H$32,0)+IF(ISNUMBER('[1]#REF'!$BE$10),'[1]#REF'!$BE$10*Brand_Profile!$H$33,0)+IF(ISNUMBER('[1]#REF'!$BF$10),'[1]#REF'!$BF$10*Brand_Profile!$H$34,0))/Lookup_Lists!$D$318*100,0)))</f>
        <v>N/A</v>
      </c>
      <c r="S82" s="63">
        <f ca="1">IF((IF(ISNUMBER(Matching_Engine!$O$82),Lookup_Lists!$D$113,0)+IF(ISNUMBER(Matching_Engine!$P$82),Lookup_Lists!$D$114,0)+IF(ISNUMBER(Matching_Engine!$Q$82),Lookup_Lists!$D$115,0)+IF(ISNUMBER(Matching_Engine!$R$82),Lookup_Lists!$D$116,0))=0,"N/A",ROUND((IF(ISNUMBER(Matching_Engine!$O$82),Matching_Engine!$O$82*Lookup_Lists!$D$113,0)+IF(ISNUMBER(Matching_Engine!$P$82),Matching_Engine!$P$82*Lookup_Lists!$D$114,0)+IF(ISNUMBER(Matching_Engine!$Q$82),Matching_Engine!$Q$82*Lookup_Lists!$D$115,0)+IF(ISNUMBER(Matching_Engine!$R$82),Matching_Engine!$R$82*Lookup_Lists!$D$116,0))/(IF(ISNUMBER(Matching_Engine!$O$82),Lookup_Lists!$D$113,0)+IF(ISNUMBER(Matching_Engine!$P$82),Lookup_Lists!$D$114,0)+IF(ISNUMBER(Matching_Engine!$Q$82),Lookup_Lists!$D$115,0)+IF(ISNUMBER(Matching_Engine!$R$82),Lookup_Lists!$D$116,0)),0))</f>
        <v>83</v>
      </c>
      <c r="T82" s="42">
        <f ca="1">IF(ISNUMBER(Matching_Engine!$S$82),1,0)</f>
        <v>1</v>
      </c>
      <c r="U82" s="65" t="e">
        <f>IF(NOT(AND(ISTEXT('[1]#REF'!$M$10),'[1]#REF'!$M$10&lt;&gt;"N/A")),Lookup_Lists!$D$150,IF(Brand_Profile!$H$7='[1]#REF'!$M$10,100,IFERROR(INDEX(Lookup_Lists!$B$349:$J$357,MATCH(Brand_Profile!$H$7,Lookup_Lists!$A$349:$A$357,0),MATCH('[1]#REF'!$M$10,Lookup_Lists!$B$348:$J$348,0)),Lookup_Lists!$D$151)))</f>
        <v>#REF!</v>
      </c>
      <c r="V82" s="65" t="e">
        <f>IF(NOT(AND(ISTEXT('[1]#REF'!$P$10),'[1]#REF'!$P$10&lt;&gt;"N/A")),"N/A",IFERROR(INDEX(Lookup_Lists!$B$349:$J$357,MATCH(Brand_Profile!$H$7,Lookup_Lists!$A$349:$A$357,0),MATCH('[1]#REF'!$P$10,Lookup_Lists!$B$348:$J$348,0)),Lookup_Lists!$D$151))</f>
        <v>#REF!</v>
      </c>
      <c r="W82" s="65" t="e">
        <f>IF(LEN(TRIM(SUBSTITUTE(Matching_Engine!$BE$82,"|","")))=0,"N/A",IF(Brand_Profile!$H$60=0,Lookup_Lists!$D$150,ROUND((IF(Brand_Profile!$H$54="",0,IF(ISNUMBER(SEARCH(Brand_Profile!$H$54,Matching_Engine!$BE$82)),1,0))+IF(Brand_Profile!$H$55="",0,IF(ISNUMBER(SEARCH(Brand_Profile!$H$55,Matching_Engine!$BE$82)),1,0))+IF(Brand_Profile!$H$56="",0,IF(ISNUMBER(SEARCH(Brand_Profile!$H$56,Matching_Engine!$BE$82)),1,0))+IF(Brand_Profile!$H$57="",0,IF(ISNUMBER(SEARCH(Brand_Profile!$H$57,Matching_Engine!$BE$82)),1,0))+IF(Brand_Profile!$H$58="",0,IF(ISNUMBER(SEARCH(Brand_Profile!$H$58,Matching_Engine!$BE$82)),1,0))+IF(Brand_Profile!$H$59="",0,IF(ISNUMBER(SEARCH(Brand_Profile!$H$59,Matching_Engine!$BE$82)),1,0)))/Brand_Profile!$H$60*100,0)))</f>
        <v>#VALUE!</v>
      </c>
      <c r="X82" s="65" t="e">
        <f>IF(NOT(AND(ISTEXT('[1]#REF'!$Q$10),'[1]#REF'!$Q$10&lt;&gt;"N/A")),"N/A",Lookup_Lists!$D$150)</f>
        <v>#REF!</v>
      </c>
      <c r="Y82" s="63">
        <f>IF((IF(ISNUMBER(Matching_Engine!$U$82),Lookup_Lists!$D$335,0)+IF(ISNUMBER(Matching_Engine!$V$82),Lookup_Lists!$D$122,0)+IF(ISNUMBER(Matching_Engine!$W$82),Lookup_Lists!$D$336,0)+IF(ISNUMBER(Matching_Engine!$X$82),Lookup_Lists!$D$124,0))=0,"N/A",ROUND((IF(ISNUMBER(Matching_Engine!$U$82),Matching_Engine!$U$82*Lookup_Lists!$D$335,0)+IF(ISNUMBER(Matching_Engine!$V$82),Matching_Engine!$V$82*Lookup_Lists!$D$122,0)+IF(ISNUMBER(Matching_Engine!$W$82),Matching_Engine!$W$82*Lookup_Lists!$D$336,0)+IF(ISNUMBER(Matching_Engine!$X$82),Matching_Engine!$X$82*Lookup_Lists!$D$124,0))/(IF(ISNUMBER(Matching_Engine!$U$82),Lookup_Lists!$D$335,0)+IF(ISNUMBER(Matching_Engine!$V$82),Lookup_Lists!$D$122,0)+IF(ISNUMBER(Matching_Engine!$W$82),Lookup_Lists!$D$336,0)+IF(ISNUMBER(Matching_Engine!$X$82),Lookup_Lists!$D$124,0)),0))</f>
        <v>61</v>
      </c>
      <c r="Z82" s="42">
        <f>IF(ISNUMBER(Matching_Engine!$Y$82),1,0)</f>
        <v>1</v>
      </c>
      <c r="AA82" s="65" t="e">
        <f>IF(NOT(AND(ISTEXT('[1]#REF'!$Q$10),'[1]#REF'!$Q$10&lt;&gt;"N/A")),"N/A",Lookup_Lists!$D$150)</f>
        <v>#REF!</v>
      </c>
      <c r="AB82" s="65" t="e">
        <f>IF(NOT(AND(ISTEXT('[1]#REF'!$Q$10),'[1]#REF'!$Q$10&lt;&gt;"N/A")),"N/A",Lookup_Lists!$D$150)</f>
        <v>#REF!</v>
      </c>
      <c r="AC82" s="65" t="str">
        <f t="shared" si="1"/>
        <v>N/A</v>
      </c>
      <c r="AD82" s="65" t="e">
        <f>IF(NOT(AND(ISTEXT('[1]#REF'!$Q$10),'[1]#REF'!$Q$10&lt;&gt;"N/A")),"N/A",Lookup_Lists!$D$150)</f>
        <v>#REF!</v>
      </c>
      <c r="AE82" s="63">
        <f>IF((IF(ISNUMBER(Matching_Engine!$AA$82),Lookup_Lists!$D$125,0)+IF(ISNUMBER(Matching_Engine!$AB$82),Lookup_Lists!$D$126,0)+IF(ISNUMBER(Matching_Engine!$AC$82),Lookup_Lists!$D$127,0)+IF(ISNUMBER(Matching_Engine!$AD$82),Lookup_Lists!$D$128,0))=0,"N/A",ROUND((IF(ISNUMBER(Matching_Engine!$AA$82),Matching_Engine!$AA$82*Lookup_Lists!$D$125,0)+IF(ISNUMBER(Matching_Engine!$AB$82),Matching_Engine!$AB$82*Lookup_Lists!$D$126,0)+IF(ISNUMBER(Matching_Engine!$AC$82),Matching_Engine!$AC$82*Lookup_Lists!$D$127,0)+IF(ISNUMBER(Matching_Engine!$AD$82),Matching_Engine!$AD$82*Lookup_Lists!$D$128,0))/(IF(ISNUMBER(Matching_Engine!$AA$82),Lookup_Lists!$D$125,0)+IF(ISNUMBER(Matching_Engine!$AB$82),Lookup_Lists!$D$126,0)+IF(ISNUMBER(Matching_Engine!$AC$82),Lookup_Lists!$D$127,0)+IF(ISNUMBER(Matching_Engine!$AD$82),Lookup_Lists!$D$128,0)),0))</f>
        <v>62</v>
      </c>
      <c r="AF82" s="42">
        <f>IF(ISNUMBER(Matching_Engine!$AE$82),1,0)</f>
        <v>1</v>
      </c>
      <c r="AG82" s="65" t="str">
        <f>IF(NOT(ISNUMBER('[1]#REF'!$BG$10)),"N/A",MIN(100,ROUND('[1]#REF'!$BG$10/IFERROR(INDEX(Lookup_Lists!$B$340:$B$344,MATCH('[1]#REF'!$H$10,Lookup_Lists!$A$340:$A$344,0)),Lookup_Lists!$D$141)*100,0)))</f>
        <v>N/A</v>
      </c>
      <c r="AH82" s="65" t="str">
        <f>IF(NOT(ISNUMBER('[1]#REF'!$BS$10)),"N/A",MIN(100,MAX(0,'[1]#REF'!$BS$10)))</f>
        <v>N/A</v>
      </c>
      <c r="AI82" s="65" t="e">
        <f>IF(OR(NOT(ISNUMBER('[1]#REF'!$BM$10)),NOT(ISNUMBER('[1]#REF'!$BN$10)),'[1]#REF'!$BN$10&lt;Lookup_Lists!$D$320),"N/A",MIN(100,ROUND('[1]#REF'!$BM$10/Lookup_Lists!$D$319*100,0)))</f>
        <v>#REF!</v>
      </c>
      <c r="AJ82" s="65" t="str">
        <f>IF(NOT(ISNUMBER('[1]#REF'!$BR$10)),"N/A",'[1]#REF'!$BR$10)</f>
        <v>N/A</v>
      </c>
      <c r="AK82" s="65" t="str">
        <f>IF(NOT(ISNUMBER('[1]#REF'!$BK$10)),"N/A",MIN(100,ROUND('[1]#REF'!$BK$10/Lookup_Lists!$D$321*100,0)))</f>
        <v>N/A</v>
      </c>
      <c r="AL82" s="65" t="str">
        <f>IF(NOT(ISNUMBER('[1]#REF'!$BP$10)),"N/A",MIN(100,MAX(0,ROUND(('[1]#REF'!$BP$10+2)/(Lookup_Lists!$D$145+2)*100,0))))</f>
        <v>N/A</v>
      </c>
      <c r="AM82" s="63">
        <f>IF((IF(ISNUMBER(Matching_Engine!$AG$82),Lookup_Lists!$D$129,0)+IF(ISNUMBER(Matching_Engine!$AH$82),Lookup_Lists!$D$130,0)+IF(ISNUMBER(Matching_Engine!$AI$82),Lookup_Lists!$D$131,0)+IF(ISNUMBER(Matching_Engine!$AJ$82),Lookup_Lists!$D$132,0)+IF(ISNUMBER(Matching_Engine!$AK$82),Lookup_Lists!$D$133,0)+IF(ISNUMBER(Matching_Engine!$AL$82),Lookup_Lists!$D$134,0))=0,"N/A",ROUND((IF(ISNUMBER(Matching_Engine!$AG$82),Matching_Engine!$AG$82*Lookup_Lists!$D$129,0)+IF(ISNUMBER(Matching_Engine!$AH$82),Matching_Engine!$AH$82*Lookup_Lists!$D$130,0)+IF(ISNUMBER(Matching_Engine!$AI$82),Matching_Engine!$AI$82*Lookup_Lists!$D$131,0)+IF(ISNUMBER(Matching_Engine!$AJ$82),Matching_Engine!$AJ$82*Lookup_Lists!$D$132,0)+IF(ISNUMBER(Matching_Engine!$AK$82),Matching_Engine!$AK$82*Lookup_Lists!$D$133,0)+IF(ISNUMBER(Matching_Engine!$AL$82),Matching_Engine!$AL$82*Lookup_Lists!$D$134,0))/(IF(ISNUMBER(Matching_Engine!$AG$82),Lookup_Lists!$D$129,0)+IF(ISNUMBER(Matching_Engine!$AH$82),Lookup_Lists!$D$130,0)+IF(ISNUMBER(Matching_Engine!$AI$82),Lookup_Lists!$D$131,0)+IF(ISNUMBER(Matching_Engine!$AJ$82),Lookup_Lists!$D$132,0)+IF(ISNUMBER(Matching_Engine!$AK$82),Lookup_Lists!$D$133,0)+IF(ISNUMBER(Matching_Engine!$AL$82),Lookup_Lists!$D$134,0)),0))</f>
        <v>62</v>
      </c>
      <c r="AN82" s="42">
        <f>IF(ISNUMBER(Matching_Engine!$AM$82),1,0)</f>
        <v>0</v>
      </c>
      <c r="AO82" s="65" t="str">
        <f>IF(NOT(ISNUMBER('[1]#REF'!$BT$10)),"N/A",MIN(100,MAX(0,'[1]#REF'!$BT$10)))</f>
        <v>N/A</v>
      </c>
      <c r="AP82" s="65" t="str">
        <f>IF(NOT(ISNUMBER('[1]#REF'!$BU$10)),"N/A",MIN(100,MAX(0,'[1]#REF'!$BU$10)))</f>
        <v>N/A</v>
      </c>
      <c r="AQ82" s="65" t="e">
        <f>IF('[1]#REF'!$I$10="Yes",Lookup_Lists!$D$326,IF('[1]#REF'!$I$10="No",Lookup_Lists!$D$327,"N/A"))</f>
        <v>#REF!</v>
      </c>
      <c r="AR82" s="65" t="str">
        <f>IF(NOT(ISNUMBER('[1]#REF'!$BQ$10)),"N/A",MAX(0,ROUND(100-'[1]#REF'!$BQ$10/Lookup_Lists!$D$328*100,0)))</f>
        <v>N/A</v>
      </c>
      <c r="AS82" s="65" t="e">
        <f>IF(NOT(AND(ISTEXT('[1]#REF'!$BV$10),'[1]#REF'!$BV$10&lt;&gt;"N/A")),"N/A",'[1]#REF'!$BV$10)</f>
        <v>#REF!</v>
      </c>
      <c r="AT82" s="63" t="str">
        <f ca="1">IF((IF(ISNUMBER(Matching_Engine!$AO$82),Lookup_Lists!$D$322,0)+IF(ISNUMBER(Matching_Engine!$AP$82),Lookup_Lists!$D$323,0)+IF(ISNUMBER(Matching_Engine!$AQ$82),Lookup_Lists!$D$324,0)+IF(ISNUMBER(Matching_Engine!$AR$82),Lookup_Lists!$D$325,0))=0,"N/A",ROUND((IF(ISNUMBER(Matching_Engine!$AO$82),Matching_Engine!$AO$82*Lookup_Lists!$D$322,0)+IF(ISNUMBER(Matching_Engine!$AP$82),Matching_Engine!$AP$82*Lookup_Lists!$D$323,0)+IF(ISNUMBER(Matching_Engine!$AQ$82),Matching_Engine!$AQ$82*Lookup_Lists!$D$324,0)+IF(ISNUMBER(Matching_Engine!$AR$82),Matching_Engine!$AR$82*Lookup_Lists!$D$325,0))/(IF(ISNUMBER(Matching_Engine!$AO$82),Lookup_Lists!$D$322,0)+IF(ISNUMBER(Matching_Engine!$AP$82),Lookup_Lists!$D$323,0)+IF(ISNUMBER(Matching_Engine!$AQ$82),Lookup_Lists!$D$324,0)+IF(ISNUMBER(Matching_Engine!$AR$82),Lookup_Lists!$D$325,0)),0))</f>
        <v>N/A</v>
      </c>
      <c r="AU82" s="42">
        <f>IF(ISNUMBER(Matching_Engine!$AT$82),1,0)</f>
        <v>1</v>
      </c>
      <c r="AV82" s="42" t="str">
        <f>IF(NOT(ISNUMBER(Matching_Engine!$AT$82)),"Not Screened",IF(Matching_Engine!$AT$82&gt;=Lookup_Lists!$D$329,"Low Risk",IF(Matching_Engine!$AT$82&gt;=Lookup_Lists!$D$330,"Moderate Risk",IF(Matching_Engine!$AT$82&gt;=Lookup_Lists!$D$331,"Elevated Risk","High Risk"))))</f>
        <v>Low Risk</v>
      </c>
      <c r="AW82" s="42" t="e">
        <f ca="1">IF(NOT(ISNUMBER(Matching_Engine!$AT$82)),"No integrity signal: no audience-analysis row for this account.","Integrity screen only — no content-risk reading exists (comments_analysis: 0 rows). "&amp;IF(ISNUMBER(Matching_Engine!$AO$82),"Authenticity "&amp;Matching_Engine!$AO$82&amp;". ","Authenticity N/A. ")&amp;IF(ISNUMBER(Matching_Engine!$AP$82),"Follower quality "&amp;Matching_Engine!$AP$82&amp;". ","Follower quality N/A. ")&amp;IF('[1]#REF'!$I$10="Yes","Platform-verified.","Not platform-verified."))</f>
        <v>#REF!</v>
      </c>
      <c r="AX82" s="65">
        <f>Matching_Engine!$N$82*Lookup_Lists!$D$104+Matching_Engine!$T$82*Lookup_Lists!$D$105+Matching_Engine!$Z$82*Lookup_Lists!$D$106+Matching_Engine!$AF$82*Lookup_Lists!$D$107+Matching_Engine!$AN$82*Lookup_Lists!$D$108+Matching_Engine!$AU$82*Lookup_Lists!$D$109</f>
        <v>6260</v>
      </c>
      <c r="AY82" s="74" t="e">
        <f ca="1">IF(Matching_Engine!$AX$82=0,"N/A",ROUND((IF(Matching_Engine!$N$82=1,Matching_Engine!$M$82*Lookup_Lists!$D$104,0)+IF(Matching_Engine!$T$82=1,Matching_Engine!$S$82*Lookup_Lists!$D$105,0)+IF(Matching_Engine!$Z$82=1,Matching_Engine!$Y$82*Lookup_Lists!$D$106,0)+IF(Matching_Engine!$AF$82=1,Matching_Engine!$AE$82*Lookup_Lists!$D$107,0)+IF(Matching_Engine!$AN$82=1,Matching_Engine!$AM$82*Lookup_Lists!$D$108,0)+IF(Matching_Engine!$AU$82=1,Matching_Engine!$AT$82*Lookup_Lists!$D$109,0))/Matching_Engine!$AX$82,0))</f>
        <v>#VALUE!</v>
      </c>
      <c r="AZ82" s="42" t="str">
        <f ca="1">IF(NOT(ISNUMBER(Matching_Engine!$AY$82)),"Not Scored",IF(Matching_Engine!$AY$82&gt;=Lookup_Lists!$D$152,"Excellent Match",IF(Matching_Engine!$AY$82&gt;=Lookup_Lists!$D$153,"Strong Match",IF(Matching_Engine!$AY$82&gt;=Lookup_Lists!$D$154,"Good Match",IF(Matching_Engine!$AY$82&gt;=Lookup_Lists!$D$155,"Moderate Match","Low Match")))))</f>
        <v>Not Scored</v>
      </c>
      <c r="BA82" s="65" t="e">
        <f>'[1]#REF'!$BW$10</f>
        <v>#REF!</v>
      </c>
      <c r="BB82" s="42" t="e">
        <f>'[1]#REF'!$BX$10</f>
        <v>#REF!</v>
      </c>
      <c r="BC82" s="65">
        <f ca="1">IF(NOT(ISNUMBER(Matching_Engine!$AY$82)),-1,Matching_Engine!$AY$82*1000+20)</f>
        <v>-1</v>
      </c>
      <c r="BD82" s="42" t="e">
        <f>IF(AND(ISTEXT('[1]#REF'!$S$10),'[1]#REF'!$S$10&lt;&gt;"N/A"),'[1]#REF'!$S$10,"")&amp;" | "&amp;IF(AND(ISTEXT('[1]#REF'!$T$10),'[1]#REF'!$T$10&lt;&gt;"N/A"),'[1]#REF'!$T$10,"")&amp;" | "&amp;IF(AND(ISTEXT('[1]#REF'!$N$10),'[1]#REF'!$N$10&lt;&gt;"N/A"),'[1]#REF'!$N$10,"")&amp;" | "&amp;IF(AND(ISTEXT('[1]#REF'!$K$10),'[1]#REF'!$K$10&lt;&gt;"N/A"),'[1]#REF'!$K$10,"")&amp;" | "&amp;IF(AND(ISTEXT('[1]#REF'!$J$10),'[1]#REF'!$J$10&lt;&gt;"N/A"),'[1]#REF'!$J$10,"")</f>
        <v>#REF!</v>
      </c>
      <c r="BE82" s="42" t="e">
        <f>IF(AND(ISTEXT('[1]#REF'!$T$10),'[1]#REF'!$T$10&lt;&gt;"N/A"),'[1]#REF'!$T$10,"")&amp;" | "&amp;IF(AND(ISTEXT('[1]#REF'!$N$10),'[1]#REF'!$N$10&lt;&gt;"N/A"),'[1]#REF'!$N$10,"")&amp;" | "&amp;IF(AND(ISTEXT('[1]#REF'!$O$10),'[1]#REF'!$O$10&lt;&gt;"N/A"),'[1]#REF'!$O$10,"")&amp;" | "&amp;IF(AND(ISTEXT('[1]#REF'!$S$10),'[1]#REF'!$S$10&lt;&gt;"N/A"),'[1]#REF'!$S$10,"")</f>
        <v>#REF!</v>
      </c>
      <c r="BF82" s="42" t="e">
        <f>IF(AND(ISTEXT('[1]#REF'!$U$10),'[1]#REF'!$U$10&lt;&gt;"N/A"),'[1]#REF'!$U$10,"")</f>
        <v>#REF!</v>
      </c>
      <c r="BG82" s="42" t="str">
        <f>Matching_Engine!$A$82&amp;"|"&amp;Matching_Engine!$C$82</f>
        <v>BRAND-C|KOL-17</v>
      </c>
    </row>
    <row r="83" spans="1:59">
      <c r="A83" s="64" t="s">
        <v>2530</v>
      </c>
      <c r="B83" s="42" t="str">
        <f>Brand_Profile!$H$6</f>
        <v>Input type / allowed values</v>
      </c>
      <c r="C83" s="42" t="e">
        <f>'[1]#REF'!$A$11</f>
        <v>#REF!</v>
      </c>
      <c r="D83" s="42" t="e">
        <f>'[1]#REF'!$C$11</f>
        <v>#REF!</v>
      </c>
      <c r="E83" s="42" t="e">
        <f>'[1]#REF'!$D$11</f>
        <v>#REF!</v>
      </c>
      <c r="F83" s="42" t="e">
        <f>'[1]#REF'!$E$11</f>
        <v>#REF!</v>
      </c>
      <c r="G83" s="42" t="e">
        <f>'[1]#REF'!$K$11</f>
        <v>#REF!</v>
      </c>
      <c r="H83" s="72" t="e">
        <f>'[1]#REF'!$G$11</f>
        <v>#REF!</v>
      </c>
      <c r="I83" s="73" t="e">
        <f>'[1]#REF'!$BG$11</f>
        <v>#REF!</v>
      </c>
      <c r="J83" s="65" t="e">
        <f>IF(NOT(AND(ISTEXT('[1]#REF'!$K$11),'[1]#REF'!$K$11&lt;&gt;"N/A")),Lookup_Lists!$D$150,IF(Brand_Profile!$H$7='[1]#REF'!$K$11,100,IFERROR(INDEX(Lookup_Lists!$B$349:$J$357,MATCH(Brand_Profile!$H$7,Lookup_Lists!$A$349:$A$357,0),MATCH('[1]#REF'!$K$11,Lookup_Lists!$B$348:$J$348,0)),Lookup_Lists!$D$151)))</f>
        <v>#REF!</v>
      </c>
      <c r="K83" s="65" t="e">
        <f>IF(LEN(TRIM(SUBSTITUTE(Matching_Engine!$BD$83,"|","")))=0,"N/A",IF(Brand_Profile!$H$47=0,Lookup_Lists!$D$150,ROUND((IF(Brand_Profile!$H$41="",0,IF(ISNUMBER(SEARCH(Brand_Profile!$H$41,Matching_Engine!$BD$83)),1,0))+IF(Brand_Profile!$H$42="",0,IF(ISNUMBER(SEARCH(Brand_Profile!$H$42,Matching_Engine!$BD$83)),1,0))+IF(Brand_Profile!$H$43="",0,IF(ISNUMBER(SEARCH(Brand_Profile!$H$43,Matching_Engine!$BD$83)),1,0))+IF(Brand_Profile!$H$44="",0,IF(ISNUMBER(SEARCH(Brand_Profile!$H$44,Matching_Engine!$BD$83)),1,0))+IF(Brand_Profile!$H$45="",0,IF(ISNUMBER(SEARCH(Brand_Profile!$H$45,Matching_Engine!$BD$83)),1,0))+IF(Brand_Profile!$H$46="",0,IF(ISNUMBER(SEARCH(Brand_Profile!$H$46,Matching_Engine!$BD$83)),1,0)))/Brand_Profile!$H$47*100,0)))</f>
        <v>#VALUE!</v>
      </c>
      <c r="L83" s="65" t="e">
        <f>IF(NOT(AND(ISTEXT('[1]#REF'!$U$11),'[1]#REF'!$U$11&lt;&gt;"N/A")),"N/A",IF(Brand_Profile!$H$53=0,Lookup_Lists!$D$150,ROUND((IF(Brand_Profile!$H$48="",0,IF(ISNUMBER(SEARCH(Brand_Profile!$H$48,Matching_Engine!$BF$83)),1,0))+IF(Brand_Profile!$H$49="",0,IF(ISNUMBER(SEARCH(Brand_Profile!$H$49,Matching_Engine!$BF$83)),1,0))+IF(Brand_Profile!$H$50="",0,IF(ISNUMBER(SEARCH(Brand_Profile!$H$50,Matching_Engine!$BF$83)),1,0))+IF(Brand_Profile!$H$51="",0,IF(ISNUMBER(SEARCH(Brand_Profile!$H$51,Matching_Engine!$BF$83)),1,0))+IF(Brand_Profile!$H$52="",0,IF(ISNUMBER(SEARCH(Brand_Profile!$H$52,Matching_Engine!$BF$83)),1,0)))/Brand_Profile!$H$53*100,0)))</f>
        <v>#REF!</v>
      </c>
      <c r="M83" s="63" t="str">
        <f>IF((IF(ISNUMBER(Matching_Engine!$J$83),Lookup_Lists!$D$332,0)+IF(ISNUMBER(Matching_Engine!$K$83),Lookup_Lists!$D$333,0)+IF(ISNUMBER(Matching_Engine!$L$83),Lookup_Lists!$D$334,0))=0,"N/A",ROUND((IF(ISNUMBER(Matching_Engine!$J$83),Matching_Engine!$J$83*Lookup_Lists!$D$332,0)+IF(ISNUMBER(Matching_Engine!$K$83),Matching_Engine!$K$83*Lookup_Lists!$D$333,0)+IF(ISNUMBER(Matching_Engine!$L$83),Matching_Engine!$L$83*Lookup_Lists!$D$334,0))/(IF(ISNUMBER(Matching_Engine!$J$83),Lookup_Lists!$D$332,0)+IF(ISNUMBER(Matching_Engine!$K$83),Lookup_Lists!$D$333,0)+IF(ISNUMBER(Matching_Engine!$L$83),Lookup_Lists!$D$334,0)),0))</f>
        <v>N/A</v>
      </c>
      <c r="N83" s="42">
        <f>IF(ISNUMBER(Matching_Engine!$M$83),1,0)</f>
        <v>1</v>
      </c>
      <c r="O83" s="65" t="str">
        <f ca="1">IF(NOT(ISNUMBER(IFERROR(INDEX('[1]#REF'!$V$11:'[1]#REF'!$Z$11,1,MATCH(Brand_Profile!$H$11,Lookup_Lists!$F$6:$F$10,0)),""))),"N/A",MIN(100,ROUND((IFERROR(INDEX('[1]#REF'!$V$11:'[1]#REF'!$Z$11,1,MATCH(Brand_Profile!$H$11,Lookup_Lists!$F$6:$F$10,0)),"")+0.5*IF(ISNUMBER(IFERROR(INDEX('[1]#REF'!$V$11:'[1]#REF'!$Z$11,1,MATCH(Brand_Profile!$H$12,Lookup_Lists!$F$6:$F$10,0)),"")),IFERROR(INDEX('[1]#REF'!$V$11:'[1]#REF'!$Z$11,1,MATCH(Brand_Profile!$H$12,Lookup_Lists!$F$6:$F$10,0)),""),0))/Lookup_Lists!$D$142*100,0)))</f>
        <v>N/A</v>
      </c>
      <c r="P83" s="65" t="str">
        <f>IF(Brand_Profile!$H$13="Any",100,IF(NOT(ISNUMBER('[1]#REF'!$AA$11)),"N/A",IF(Brand_Profile!$H$13="Female",MIN(100,ROUND('[1]#REF'!$AA$11/Lookup_Lists!$D$143*100,0)),IF(Brand_Profile!$H$13="Male",MIN(100,ROUND(IF(ISNUMBER('[1]#REF'!$AB$11),'[1]#REF'!$AB$11,100-'[1]#REF'!$AA$11)/Lookup_Lists!$D$143*100,0)),MAX(0,ROUND(100-ABS('[1]#REF'!$AA$11-50)*2,0))))))</f>
        <v>N/A</v>
      </c>
      <c r="Q83" s="65" t="str">
        <f>IF((IF(ISNUMBER(IF(NOT(ISNUMBER('[1]#REF'!$AE$11)),"N/A",IF('[1]#REF'!$AD$11&lt;&gt;Brand_Profile!$H$14,Lookup_Lists!$D$151,MIN(100,ROUND('[1]#REF'!$AE$11/Lookup_Lists!$D$316*100,0))))),Lookup_Lists!$D$118,0)+IF(ISNUMBER(IF(NOT(ISNUMBER('[1]#REF'!$AM$11)),"N/A",MIN(100,ROUND((IF('[1]#REF'!$AG$11=Brand_Profile!$H$15,IF(ISNUMBER('[1]#REF'!$AH$11),'[1]#REF'!$AH$11,0),0)+IF('[1]#REF'!$AI$11=Brand_Profile!$H$15,IF(ISNUMBER('[1]#REF'!$AJ$11),'[1]#REF'!$AJ$11,0),0)+IF('[1]#REF'!$AK$11=Brand_Profile!$H$15,IF(ISNUMBER('[1]#REF'!$AL$11),'[1]#REF'!$AL$11,0),0))/Lookup_Lists!$D$317*100,0)))),Lookup_Lists!$D$120,0))=0,"N/A",ROUND((IF(ISNUMBER(IF(NOT(ISNUMBER('[1]#REF'!$AE$11)),"N/A",IF('[1]#REF'!$AD$11&lt;&gt;Brand_Profile!$H$14,Lookup_Lists!$D$151,MIN(100,ROUND('[1]#REF'!$AE$11/Lookup_Lists!$D$316*100,0))))),IF(NOT(ISNUMBER('[1]#REF'!$AE$11)),"N/A",IF('[1]#REF'!$AD$11&lt;&gt;Brand_Profile!$H$14,Lookup_Lists!$D$151,MIN(100,ROUND('[1]#REF'!$AE$11/Lookup_Lists!$D$316*100,0))))*Lookup_Lists!$D$118,0)+IF(ISNUMBER(IF(NOT(ISNUMBER('[1]#REF'!$AM$11)),"N/A",MIN(100,ROUND((IF('[1]#REF'!$AG$11=Brand_Profile!$H$15,IF(ISNUMBER('[1]#REF'!$AH$11),'[1]#REF'!$AH$11,0),0)+IF('[1]#REF'!$AI$11=Brand_Profile!$H$15,IF(ISNUMBER('[1]#REF'!$AJ$11),'[1]#REF'!$AJ$11,0),0)+IF('[1]#REF'!$AK$11=Brand_Profile!$H$15,IF(ISNUMBER('[1]#REF'!$AL$11),'[1]#REF'!$AL$11,0),0))/Lookup_Lists!$D$317*100,0)))),IF(NOT(ISNUMBER('[1]#REF'!$AM$11)),"N/A",MIN(100,ROUND((IF('[1]#REF'!$AG$11=Brand_Profile!$H$15,IF(ISNUMBER('[1]#REF'!$AH$11),'[1]#REF'!$AH$11,0),0)+IF('[1]#REF'!$AI$11=Brand_Profile!$H$15,IF(ISNUMBER('[1]#REF'!$AJ$11),'[1]#REF'!$AJ$11,0),0)+IF('[1]#REF'!$AK$11=Brand_Profile!$H$15,IF(ISNUMBER('[1]#REF'!$AL$11),'[1]#REF'!$AL$11,0),0))/Lookup_Lists!$D$317*100,0)))*Lookup_Lists!$D$120,0))/(IF(ISNUMBER(IF(NOT(ISNUMBER('[1]#REF'!$AE$11)),"N/A",IF('[1]#REF'!$AD$11&lt;&gt;Brand_Profile!$H$14,Lookup_Lists!$D$151,MIN(100,ROUND('[1]#REF'!$AE$11/Lookup_Lists!$D$316*100,0))))),Lookup_Lists!$D$118,0)+IF(ISNUMBER(IF(NOT(ISNUMBER('[1]#REF'!$AM$11)),"N/A",MIN(100,ROUND((IF('[1]#REF'!$AG$11=Brand_Profile!$H$15,IF(ISNUMBER('[1]#REF'!$AH$11),'[1]#REF'!$AH$11,0),0)+IF('[1]#REF'!$AI$11=Brand_Profile!$H$15,IF(ISNUMBER('[1]#REF'!$AJ$11),'[1]#REF'!$AJ$11,0),0)+IF('[1]#REF'!$AK$11=Brand_Profile!$H$15,IF(ISNUMBER('[1]#REF'!$AL$11),'[1]#REF'!$AL$11,0),0))/Lookup_Lists!$D$317*100,0)))),Lookup_Lists!$D$120,0)),0))</f>
        <v>N/A</v>
      </c>
      <c r="R83" s="65" t="str">
        <f>IF(NOT(ISNUMBER('[1]#REF'!$AN$11)),"N/A",MIN(100,ROUND((IF(ISNUMBER('[1]#REF'!$AO$11),'[1]#REF'!$AO$11*Brand_Profile!$H$17,0)+IF(ISNUMBER('[1]#REF'!$AP$11),'[1]#REF'!$AP$11*Brand_Profile!$H$18,0)+IF(ISNUMBER('[1]#REF'!$AQ$11),'[1]#REF'!$AQ$11*Brand_Profile!$H$19,0)+IF(ISNUMBER('[1]#REF'!$AR$11),'[1]#REF'!$AR$11*Brand_Profile!$H$20,0)+IF(ISNUMBER('[1]#REF'!$AS$11),'[1]#REF'!$AS$11*Brand_Profile!$H$21,0)+IF(ISNUMBER('[1]#REF'!$AT$11),'[1]#REF'!$AT$11*Brand_Profile!$H$22,0)+IF(ISNUMBER('[1]#REF'!$AU$11),'[1]#REF'!$AU$11*Brand_Profile!$H$23,0)+IF(ISNUMBER('[1]#REF'!$AV$11),'[1]#REF'!$AV$11*Brand_Profile!$H$24,0)+IF(ISNUMBER('[1]#REF'!$AW$11),'[1]#REF'!$AW$11*Brand_Profile!$H$25,0)+IF(ISNUMBER('[1]#REF'!$AX$11),'[1]#REF'!$AX$11*Brand_Profile!$H$26,0)+IF(ISNUMBER('[1]#REF'!$AY$11),'[1]#REF'!$AY$11*Brand_Profile!$H$27,0)+IF(ISNUMBER('[1]#REF'!$AZ$11),'[1]#REF'!$AZ$11*Brand_Profile!$H$28,0)+IF(ISNUMBER('[1]#REF'!$BA$11),'[1]#REF'!$BA$11*Brand_Profile!$H$29,0)+IF(ISNUMBER('[1]#REF'!$BB$11),'[1]#REF'!$BB$11*Brand_Profile!$H$30,0)+IF(ISNUMBER('[1]#REF'!$BC$11),'[1]#REF'!$BC$11*Brand_Profile!$H$31,0)+IF(ISNUMBER('[1]#REF'!$BD$11),'[1]#REF'!$BD$11*Brand_Profile!$H$32,0)+IF(ISNUMBER('[1]#REF'!$BE$11),'[1]#REF'!$BE$11*Brand_Profile!$H$33,0)+IF(ISNUMBER('[1]#REF'!$BF$11),'[1]#REF'!$BF$11*Brand_Profile!$H$34,0))/Lookup_Lists!$D$318*100,0)))</f>
        <v>N/A</v>
      </c>
      <c r="S83" s="63">
        <f ca="1">IF((IF(ISNUMBER(Matching_Engine!$O$83),Lookup_Lists!$D$113,0)+IF(ISNUMBER(Matching_Engine!$P$83),Lookup_Lists!$D$114,0)+IF(ISNUMBER(Matching_Engine!$Q$83),Lookup_Lists!$D$115,0)+IF(ISNUMBER(Matching_Engine!$R$83),Lookup_Lists!$D$116,0))=0,"N/A",ROUND((IF(ISNUMBER(Matching_Engine!$O$83),Matching_Engine!$O$83*Lookup_Lists!$D$113,0)+IF(ISNUMBER(Matching_Engine!$P$83),Matching_Engine!$P$83*Lookup_Lists!$D$114,0)+IF(ISNUMBER(Matching_Engine!$Q$83),Matching_Engine!$Q$83*Lookup_Lists!$D$115,0)+IF(ISNUMBER(Matching_Engine!$R$83),Matching_Engine!$R$83*Lookup_Lists!$D$116,0))/(IF(ISNUMBER(Matching_Engine!$O$83),Lookup_Lists!$D$113,0)+IF(ISNUMBER(Matching_Engine!$P$83),Lookup_Lists!$D$114,0)+IF(ISNUMBER(Matching_Engine!$Q$83),Lookup_Lists!$D$115,0)+IF(ISNUMBER(Matching_Engine!$R$83),Lookup_Lists!$D$116,0)),0))</f>
        <v>84</v>
      </c>
      <c r="T83" s="42">
        <f ca="1">IF(ISNUMBER(Matching_Engine!$S$83),1,0)</f>
        <v>1</v>
      </c>
      <c r="U83" s="65" t="e">
        <f>IF(NOT(AND(ISTEXT('[1]#REF'!$M$11),'[1]#REF'!$M$11&lt;&gt;"N/A")),Lookup_Lists!$D$150,IF(Brand_Profile!$H$7='[1]#REF'!$M$11,100,IFERROR(INDEX(Lookup_Lists!$B$349:$J$357,MATCH(Brand_Profile!$H$7,Lookup_Lists!$A$349:$A$357,0),MATCH('[1]#REF'!$M$11,Lookup_Lists!$B$348:$J$348,0)),Lookup_Lists!$D$151)))</f>
        <v>#REF!</v>
      </c>
      <c r="V83" s="65" t="e">
        <f>IF(NOT(AND(ISTEXT('[1]#REF'!$P$11),'[1]#REF'!$P$11&lt;&gt;"N/A")),"N/A",IFERROR(INDEX(Lookup_Lists!$B$349:$J$357,MATCH(Brand_Profile!$H$7,Lookup_Lists!$A$349:$A$357,0),MATCH('[1]#REF'!$P$11,Lookup_Lists!$B$348:$J$348,0)),Lookup_Lists!$D$151))</f>
        <v>#REF!</v>
      </c>
      <c r="W83" s="65" t="e">
        <f>IF(LEN(TRIM(SUBSTITUTE(Matching_Engine!$BE$83,"|","")))=0,"N/A",IF(Brand_Profile!$H$60=0,Lookup_Lists!$D$150,ROUND((IF(Brand_Profile!$H$54="",0,IF(ISNUMBER(SEARCH(Brand_Profile!$H$54,Matching_Engine!$BE$83)),1,0))+IF(Brand_Profile!$H$55="",0,IF(ISNUMBER(SEARCH(Brand_Profile!$H$55,Matching_Engine!$BE$83)),1,0))+IF(Brand_Profile!$H$56="",0,IF(ISNUMBER(SEARCH(Brand_Profile!$H$56,Matching_Engine!$BE$83)),1,0))+IF(Brand_Profile!$H$57="",0,IF(ISNUMBER(SEARCH(Brand_Profile!$H$57,Matching_Engine!$BE$83)),1,0))+IF(Brand_Profile!$H$58="",0,IF(ISNUMBER(SEARCH(Brand_Profile!$H$58,Matching_Engine!$BE$83)),1,0))+IF(Brand_Profile!$H$59="",0,IF(ISNUMBER(SEARCH(Brand_Profile!$H$59,Matching_Engine!$BE$83)),1,0)))/Brand_Profile!$H$60*100,0)))</f>
        <v>#VALUE!</v>
      </c>
      <c r="X83" s="65" t="e">
        <f>IF(NOT(AND(ISTEXT('[1]#REF'!$Q$11),'[1]#REF'!$Q$11&lt;&gt;"N/A")),"N/A",Lookup_Lists!$D$150)</f>
        <v>#REF!</v>
      </c>
      <c r="Y83" s="63">
        <f>IF((IF(ISNUMBER(Matching_Engine!$U$83),Lookup_Lists!$D$335,0)+IF(ISNUMBER(Matching_Engine!$V$83),Lookup_Lists!$D$122,0)+IF(ISNUMBER(Matching_Engine!$W$83),Lookup_Lists!$D$336,0)+IF(ISNUMBER(Matching_Engine!$X$83),Lookup_Lists!$D$124,0))=0,"N/A",ROUND((IF(ISNUMBER(Matching_Engine!$U$83),Matching_Engine!$U$83*Lookup_Lists!$D$335,0)+IF(ISNUMBER(Matching_Engine!$V$83),Matching_Engine!$V$83*Lookup_Lists!$D$122,0)+IF(ISNUMBER(Matching_Engine!$W$83),Matching_Engine!$W$83*Lookup_Lists!$D$336,0)+IF(ISNUMBER(Matching_Engine!$X$83),Matching_Engine!$X$83*Lookup_Lists!$D$124,0))/(IF(ISNUMBER(Matching_Engine!$U$83),Lookup_Lists!$D$335,0)+IF(ISNUMBER(Matching_Engine!$V$83),Lookup_Lists!$D$122,0)+IF(ISNUMBER(Matching_Engine!$W$83),Lookup_Lists!$D$336,0)+IF(ISNUMBER(Matching_Engine!$X$83),Lookup_Lists!$D$124,0)),0))</f>
        <v>64</v>
      </c>
      <c r="Z83" s="42">
        <f>IF(ISNUMBER(Matching_Engine!$Y$83),1,0)</f>
        <v>1</v>
      </c>
      <c r="AA83" s="65" t="e">
        <f>IF(NOT(AND(ISTEXT('[1]#REF'!$Q$11),'[1]#REF'!$Q$11&lt;&gt;"N/A")),"N/A",Lookup_Lists!$D$150)</f>
        <v>#REF!</v>
      </c>
      <c r="AB83" s="65" t="e">
        <f>IF(NOT(AND(ISTEXT('[1]#REF'!$Q$11),'[1]#REF'!$Q$11&lt;&gt;"N/A")),"N/A",Lookup_Lists!$D$150)</f>
        <v>#REF!</v>
      </c>
      <c r="AC83" s="65" t="str">
        <f t="shared" si="1"/>
        <v>N/A</v>
      </c>
      <c r="AD83" s="65" t="e">
        <f>IF(NOT(AND(ISTEXT('[1]#REF'!$Q$11),'[1]#REF'!$Q$11&lt;&gt;"N/A")),"N/A",Lookup_Lists!$D$150)</f>
        <v>#REF!</v>
      </c>
      <c r="AE83" s="63">
        <f>IF((IF(ISNUMBER(Matching_Engine!$AA$83),Lookup_Lists!$D$125,0)+IF(ISNUMBER(Matching_Engine!$AB$83),Lookup_Lists!$D$126,0)+IF(ISNUMBER(Matching_Engine!$AC$83),Lookup_Lists!$D$127,0)+IF(ISNUMBER(Matching_Engine!$AD$83),Lookup_Lists!$D$128,0))=0,"N/A",ROUND((IF(ISNUMBER(Matching_Engine!$AA$83),Matching_Engine!$AA$83*Lookup_Lists!$D$125,0)+IF(ISNUMBER(Matching_Engine!$AB$83),Matching_Engine!$AB$83*Lookup_Lists!$D$126,0)+IF(ISNUMBER(Matching_Engine!$AC$83),Matching_Engine!$AC$83*Lookup_Lists!$D$127,0)+IF(ISNUMBER(Matching_Engine!$AD$83),Matching_Engine!$AD$83*Lookup_Lists!$D$128,0))/(IF(ISNUMBER(Matching_Engine!$AA$83),Lookup_Lists!$D$125,0)+IF(ISNUMBER(Matching_Engine!$AB$83),Lookup_Lists!$D$126,0)+IF(ISNUMBER(Matching_Engine!$AC$83),Lookup_Lists!$D$127,0)+IF(ISNUMBER(Matching_Engine!$AD$83),Lookup_Lists!$D$128,0)),0))</f>
        <v>88</v>
      </c>
      <c r="AF83" s="42">
        <f>IF(ISNUMBER(Matching_Engine!$AE$83),1,0)</f>
        <v>1</v>
      </c>
      <c r="AG83" s="65" t="str">
        <f>IF(NOT(ISNUMBER('[1]#REF'!$BG$11)),"N/A",MIN(100,ROUND('[1]#REF'!$BG$11/IFERROR(INDEX(Lookup_Lists!$B$340:$B$344,MATCH('[1]#REF'!$H$11,Lookup_Lists!$A$340:$A$344,0)),Lookup_Lists!$D$141)*100,0)))</f>
        <v>N/A</v>
      </c>
      <c r="AH83" s="65" t="str">
        <f>IF(NOT(ISNUMBER('[1]#REF'!$BS$11)),"N/A",MIN(100,MAX(0,'[1]#REF'!$BS$11)))</f>
        <v>N/A</v>
      </c>
      <c r="AI83" s="65" t="e">
        <f>IF(OR(NOT(ISNUMBER('[1]#REF'!$BM$11)),NOT(ISNUMBER('[1]#REF'!$BN$11)),'[1]#REF'!$BN$11&lt;Lookup_Lists!$D$320),"N/A",MIN(100,ROUND('[1]#REF'!$BM$11/Lookup_Lists!$D$319*100,0)))</f>
        <v>#REF!</v>
      </c>
      <c r="AJ83" s="65" t="str">
        <f>IF(NOT(ISNUMBER('[1]#REF'!$BR$11)),"N/A",'[1]#REF'!$BR$11)</f>
        <v>N/A</v>
      </c>
      <c r="AK83" s="65" t="str">
        <f>IF(NOT(ISNUMBER('[1]#REF'!$BK$11)),"N/A",MIN(100,ROUND('[1]#REF'!$BK$11/Lookup_Lists!$D$321*100,0)))</f>
        <v>N/A</v>
      </c>
      <c r="AL83" s="65" t="str">
        <f>IF(NOT(ISNUMBER('[1]#REF'!$BP$11)),"N/A",MIN(100,MAX(0,ROUND(('[1]#REF'!$BP$11+2)/(Lookup_Lists!$D$145+2)*100,0))))</f>
        <v>N/A</v>
      </c>
      <c r="AM83" s="63">
        <f>IF((IF(ISNUMBER(Matching_Engine!$AG$83),Lookup_Lists!$D$129,0)+IF(ISNUMBER(Matching_Engine!$AH$83),Lookup_Lists!$D$130,0)+IF(ISNUMBER(Matching_Engine!$AI$83),Lookup_Lists!$D$131,0)+IF(ISNUMBER(Matching_Engine!$AJ$83),Lookup_Lists!$D$132,0)+IF(ISNUMBER(Matching_Engine!$AK$83),Lookup_Lists!$D$133,0)+IF(ISNUMBER(Matching_Engine!$AL$83),Lookup_Lists!$D$134,0))=0,"N/A",ROUND((IF(ISNUMBER(Matching_Engine!$AG$83),Matching_Engine!$AG$83*Lookup_Lists!$D$129,0)+IF(ISNUMBER(Matching_Engine!$AH$83),Matching_Engine!$AH$83*Lookup_Lists!$D$130,0)+IF(ISNUMBER(Matching_Engine!$AI$83),Matching_Engine!$AI$83*Lookup_Lists!$D$131,0)+IF(ISNUMBER(Matching_Engine!$AJ$83),Matching_Engine!$AJ$83*Lookup_Lists!$D$132,0)+IF(ISNUMBER(Matching_Engine!$AK$83),Matching_Engine!$AK$83*Lookup_Lists!$D$133,0)+IF(ISNUMBER(Matching_Engine!$AL$83),Matching_Engine!$AL$83*Lookup_Lists!$D$134,0))/(IF(ISNUMBER(Matching_Engine!$AG$83),Lookup_Lists!$D$129,0)+IF(ISNUMBER(Matching_Engine!$AH$83),Lookup_Lists!$D$130,0)+IF(ISNUMBER(Matching_Engine!$AI$83),Lookup_Lists!$D$131,0)+IF(ISNUMBER(Matching_Engine!$AJ$83),Lookup_Lists!$D$132,0)+IF(ISNUMBER(Matching_Engine!$AK$83),Lookup_Lists!$D$133,0)+IF(ISNUMBER(Matching_Engine!$AL$83),Lookup_Lists!$D$134,0)),0))</f>
        <v>73</v>
      </c>
      <c r="AN83" s="42">
        <f>IF(ISNUMBER(Matching_Engine!$AM$83),1,0)</f>
        <v>0</v>
      </c>
      <c r="AO83" s="65" t="str">
        <f>IF(NOT(ISNUMBER('[1]#REF'!$BT$11)),"N/A",MIN(100,MAX(0,'[1]#REF'!$BT$11)))</f>
        <v>N/A</v>
      </c>
      <c r="AP83" s="65" t="str">
        <f>IF(NOT(ISNUMBER('[1]#REF'!$BU$11)),"N/A",MIN(100,MAX(0,'[1]#REF'!$BU$11)))</f>
        <v>N/A</v>
      </c>
      <c r="AQ83" s="65" t="e">
        <f>IF('[1]#REF'!$I$11="Yes",Lookup_Lists!$D$326,IF('[1]#REF'!$I$11="No",Lookup_Lists!$D$327,"N/A"))</f>
        <v>#REF!</v>
      </c>
      <c r="AR83" s="65" t="str">
        <f>IF(NOT(ISNUMBER('[1]#REF'!$BQ$11)),"N/A",MAX(0,ROUND(100-'[1]#REF'!$BQ$11/Lookup_Lists!$D$328*100,0)))</f>
        <v>N/A</v>
      </c>
      <c r="AS83" s="65" t="e">
        <f>IF(NOT(AND(ISTEXT('[1]#REF'!$BV$11),'[1]#REF'!$BV$11&lt;&gt;"N/A")),"N/A",'[1]#REF'!$BV$11)</f>
        <v>#REF!</v>
      </c>
      <c r="AT83" s="63" t="str">
        <f ca="1">IF((IF(ISNUMBER(Matching_Engine!$AO$83),Lookup_Lists!$D$322,0)+IF(ISNUMBER(Matching_Engine!$AP$83),Lookup_Lists!$D$323,0)+IF(ISNUMBER(Matching_Engine!$AQ$83),Lookup_Lists!$D$324,0)+IF(ISNUMBER(Matching_Engine!$AR$83),Lookup_Lists!$D$325,0))=0,"N/A",ROUND((IF(ISNUMBER(Matching_Engine!$AO$83),Matching_Engine!$AO$83*Lookup_Lists!$D$322,0)+IF(ISNUMBER(Matching_Engine!$AP$83),Matching_Engine!$AP$83*Lookup_Lists!$D$323,0)+IF(ISNUMBER(Matching_Engine!$AQ$83),Matching_Engine!$AQ$83*Lookup_Lists!$D$324,0)+IF(ISNUMBER(Matching_Engine!$AR$83),Matching_Engine!$AR$83*Lookup_Lists!$D$325,0))/(IF(ISNUMBER(Matching_Engine!$AO$83),Lookup_Lists!$D$322,0)+IF(ISNUMBER(Matching_Engine!$AP$83),Lookup_Lists!$D$323,0)+IF(ISNUMBER(Matching_Engine!$AQ$83),Lookup_Lists!$D$324,0)+IF(ISNUMBER(Matching_Engine!$AR$83),Lookup_Lists!$D$325,0)),0))</f>
        <v>N/A</v>
      </c>
      <c r="AU83" s="42">
        <f>IF(ISNUMBER(Matching_Engine!$AT$83),1,0)</f>
        <v>1</v>
      </c>
      <c r="AV83" s="42" t="str">
        <f>IF(NOT(ISNUMBER(Matching_Engine!$AT$83)),"Not Screened",IF(Matching_Engine!$AT$83&gt;=Lookup_Lists!$D$329,"Low Risk",IF(Matching_Engine!$AT$83&gt;=Lookup_Lists!$D$330,"Moderate Risk",IF(Matching_Engine!$AT$83&gt;=Lookup_Lists!$D$331,"Elevated Risk","High Risk"))))</f>
        <v>Low Risk</v>
      </c>
      <c r="AW83" s="42" t="e">
        <f ca="1">IF(NOT(ISNUMBER(Matching_Engine!$AT$83)),"No integrity signal: no audience-analysis row for this account.","Integrity screen only — no content-risk reading exists (comments_analysis: 0 rows). "&amp;IF(ISNUMBER(Matching_Engine!$AO$83),"Authenticity "&amp;Matching_Engine!$AO$83&amp;". ","Authenticity N/A. ")&amp;IF(ISNUMBER(Matching_Engine!$AP$83),"Follower quality "&amp;Matching_Engine!$AP$83&amp;". ","Follower quality N/A. ")&amp;IF('[1]#REF'!$I$11="Yes","Platform-verified.","Not platform-verified."))</f>
        <v>#REF!</v>
      </c>
      <c r="AX83" s="65">
        <f>Matching_Engine!$N$83*Lookup_Lists!$D$104+Matching_Engine!$T$83*Lookup_Lists!$D$105+Matching_Engine!$Z$83*Lookup_Lists!$D$106+Matching_Engine!$AF$83*Lookup_Lists!$D$107+Matching_Engine!$AN$83*Lookup_Lists!$D$108+Matching_Engine!$AU$83*Lookup_Lists!$D$109</f>
        <v>7040</v>
      </c>
      <c r="AY83" s="74" t="e">
        <f ca="1">IF(Matching_Engine!$AX$83=0,"N/A",ROUND((IF(Matching_Engine!$N$83=1,Matching_Engine!$M$83*Lookup_Lists!$D$104,0)+IF(Matching_Engine!$T$83=1,Matching_Engine!$S$83*Lookup_Lists!$D$105,0)+IF(Matching_Engine!$Z$83=1,Matching_Engine!$Y$83*Lookup_Lists!$D$106,0)+IF(Matching_Engine!$AF$83=1,Matching_Engine!$AE$83*Lookup_Lists!$D$107,0)+IF(Matching_Engine!$AN$83=1,Matching_Engine!$AM$83*Lookup_Lists!$D$108,0)+IF(Matching_Engine!$AU$83=1,Matching_Engine!$AT$83*Lookup_Lists!$D$109,0))/Matching_Engine!$AX$83,0))</f>
        <v>#VALUE!</v>
      </c>
      <c r="AZ83" s="42" t="str">
        <f ca="1">IF(NOT(ISNUMBER(Matching_Engine!$AY$83)),"Not Scored",IF(Matching_Engine!$AY$83&gt;=Lookup_Lists!$D$152,"Excellent Match",IF(Matching_Engine!$AY$83&gt;=Lookup_Lists!$D$153,"Strong Match",IF(Matching_Engine!$AY$83&gt;=Lookup_Lists!$D$154,"Good Match",IF(Matching_Engine!$AY$83&gt;=Lookup_Lists!$D$155,"Moderate Match","Low Match")))))</f>
        <v>Good Match</v>
      </c>
      <c r="BA83" s="65" t="e">
        <f>'[1]#REF'!$BW$11</f>
        <v>#REF!</v>
      </c>
      <c r="BB83" s="42" t="e">
        <f>'[1]#REF'!$BX$11</f>
        <v>#REF!</v>
      </c>
      <c r="BC83" s="65">
        <f ca="1">IF(NOT(ISNUMBER(Matching_Engine!$AY$83)),-1,Matching_Engine!$AY$83*1000+19)</f>
        <v>78019</v>
      </c>
      <c r="BD83" s="42" t="e">
        <f>IF(AND(ISTEXT('[1]#REF'!$S$11),'[1]#REF'!$S$11&lt;&gt;"N/A"),'[1]#REF'!$S$11,"")&amp;" | "&amp;IF(AND(ISTEXT('[1]#REF'!$T$11),'[1]#REF'!$T$11&lt;&gt;"N/A"),'[1]#REF'!$T$11,"")&amp;" | "&amp;IF(AND(ISTEXT('[1]#REF'!$N$11),'[1]#REF'!$N$11&lt;&gt;"N/A"),'[1]#REF'!$N$11,"")&amp;" | "&amp;IF(AND(ISTEXT('[1]#REF'!$K$11),'[1]#REF'!$K$11&lt;&gt;"N/A"),'[1]#REF'!$K$11,"")&amp;" | "&amp;IF(AND(ISTEXT('[1]#REF'!$J$11),'[1]#REF'!$J$11&lt;&gt;"N/A"),'[1]#REF'!$J$11,"")</f>
        <v>#REF!</v>
      </c>
      <c r="BE83" s="42" t="e">
        <f>IF(AND(ISTEXT('[1]#REF'!$T$11),'[1]#REF'!$T$11&lt;&gt;"N/A"),'[1]#REF'!$T$11,"")&amp;" | "&amp;IF(AND(ISTEXT('[1]#REF'!$N$11),'[1]#REF'!$N$11&lt;&gt;"N/A"),'[1]#REF'!$N$11,"")&amp;" | "&amp;IF(AND(ISTEXT('[1]#REF'!$O$11),'[1]#REF'!$O$11&lt;&gt;"N/A"),'[1]#REF'!$O$11,"")&amp;" | "&amp;IF(AND(ISTEXT('[1]#REF'!$S$11),'[1]#REF'!$S$11&lt;&gt;"N/A"),'[1]#REF'!$S$11,"")</f>
        <v>#REF!</v>
      </c>
      <c r="BF83" s="42" t="e">
        <f>IF(AND(ISTEXT('[1]#REF'!$U$11),'[1]#REF'!$U$11&lt;&gt;"N/A"),'[1]#REF'!$U$11,"")</f>
        <v>#REF!</v>
      </c>
      <c r="BG83" s="42" t="str">
        <f>Matching_Engine!$A$83&amp;"|"&amp;Matching_Engine!$C$83</f>
        <v>BRAND-C|KOL-18</v>
      </c>
    </row>
    <row r="84" spans="1:59">
      <c r="A84" s="64" t="s">
        <v>2530</v>
      </c>
      <c r="B84" s="42" t="str">
        <f>Brand_Profile!$H$6</f>
        <v>Input type / allowed values</v>
      </c>
      <c r="C84" s="42" t="e">
        <f>'[1]#REF'!$A$12</f>
        <v>#REF!</v>
      </c>
      <c r="D84" s="42" t="e">
        <f>'[1]#REF'!$C$12</f>
        <v>#REF!</v>
      </c>
      <c r="E84" s="42" t="e">
        <f>'[1]#REF'!$D$12</f>
        <v>#REF!</v>
      </c>
      <c r="F84" s="42" t="e">
        <f>'[1]#REF'!$E$12</f>
        <v>#REF!</v>
      </c>
      <c r="G84" s="42" t="e">
        <f>'[1]#REF'!$K$12</f>
        <v>#REF!</v>
      </c>
      <c r="H84" s="72" t="e">
        <f>'[1]#REF'!$G$12</f>
        <v>#REF!</v>
      </c>
      <c r="I84" s="73" t="e">
        <f>'[1]#REF'!$BG$12</f>
        <v>#REF!</v>
      </c>
      <c r="J84" s="65" t="e">
        <f>IF(NOT(AND(ISTEXT('[1]#REF'!$K$12),'[1]#REF'!$K$12&lt;&gt;"N/A")),Lookup_Lists!$D$150,IF(Brand_Profile!$H$7='[1]#REF'!$K$12,100,IFERROR(INDEX(Lookup_Lists!$B$349:$J$357,MATCH(Brand_Profile!$H$7,Lookup_Lists!$A$349:$A$357,0),MATCH('[1]#REF'!$K$12,Lookup_Lists!$B$348:$J$348,0)),Lookup_Lists!$D$151)))</f>
        <v>#REF!</v>
      </c>
      <c r="K84" s="65" t="e">
        <f>IF(LEN(TRIM(SUBSTITUTE(Matching_Engine!$BD$84,"|","")))=0,"N/A",IF(Brand_Profile!$H$47=0,Lookup_Lists!$D$150,ROUND((IF(Brand_Profile!$H$41="",0,IF(ISNUMBER(SEARCH(Brand_Profile!$H$41,Matching_Engine!$BD$84)),1,0))+IF(Brand_Profile!$H$42="",0,IF(ISNUMBER(SEARCH(Brand_Profile!$H$42,Matching_Engine!$BD$84)),1,0))+IF(Brand_Profile!$H$43="",0,IF(ISNUMBER(SEARCH(Brand_Profile!$H$43,Matching_Engine!$BD$84)),1,0))+IF(Brand_Profile!$H$44="",0,IF(ISNUMBER(SEARCH(Brand_Profile!$H$44,Matching_Engine!$BD$84)),1,0))+IF(Brand_Profile!$H$45="",0,IF(ISNUMBER(SEARCH(Brand_Profile!$H$45,Matching_Engine!$BD$84)),1,0))+IF(Brand_Profile!$H$46="",0,IF(ISNUMBER(SEARCH(Brand_Profile!$H$46,Matching_Engine!$BD$84)),1,0)))/Brand_Profile!$H$47*100,0)))</f>
        <v>#VALUE!</v>
      </c>
      <c r="L84" s="65" t="e">
        <f>IF(NOT(AND(ISTEXT('[1]#REF'!$U$12),'[1]#REF'!$U$12&lt;&gt;"N/A")),"N/A",IF(Brand_Profile!$H$53=0,Lookup_Lists!$D$150,ROUND((IF(Brand_Profile!$H$48="",0,IF(ISNUMBER(SEARCH(Brand_Profile!$H$48,Matching_Engine!$BF$84)),1,0))+IF(Brand_Profile!$H$49="",0,IF(ISNUMBER(SEARCH(Brand_Profile!$H$49,Matching_Engine!$BF$84)),1,0))+IF(Brand_Profile!$H$50="",0,IF(ISNUMBER(SEARCH(Brand_Profile!$H$50,Matching_Engine!$BF$84)),1,0))+IF(Brand_Profile!$H$51="",0,IF(ISNUMBER(SEARCH(Brand_Profile!$H$51,Matching_Engine!$BF$84)),1,0))+IF(Brand_Profile!$H$52="",0,IF(ISNUMBER(SEARCH(Brand_Profile!$H$52,Matching_Engine!$BF$84)),1,0)))/Brand_Profile!$H$53*100,0)))</f>
        <v>#REF!</v>
      </c>
      <c r="M84" s="63" t="str">
        <f>IF((IF(ISNUMBER(Matching_Engine!$J$84),Lookup_Lists!$D$332,0)+IF(ISNUMBER(Matching_Engine!$K$84),Lookup_Lists!$D$333,0)+IF(ISNUMBER(Matching_Engine!$L$84),Lookup_Lists!$D$334,0))=0,"N/A",ROUND((IF(ISNUMBER(Matching_Engine!$J$84),Matching_Engine!$J$84*Lookup_Lists!$D$332,0)+IF(ISNUMBER(Matching_Engine!$K$84),Matching_Engine!$K$84*Lookup_Lists!$D$333,0)+IF(ISNUMBER(Matching_Engine!$L$84),Matching_Engine!$L$84*Lookup_Lists!$D$334,0))/(IF(ISNUMBER(Matching_Engine!$J$84),Lookup_Lists!$D$332,0)+IF(ISNUMBER(Matching_Engine!$K$84),Lookup_Lists!$D$333,0)+IF(ISNUMBER(Matching_Engine!$L$84),Lookup_Lists!$D$334,0)),0))</f>
        <v>N/A</v>
      </c>
      <c r="N84" s="42">
        <f>IF(ISNUMBER(Matching_Engine!$M$84),1,0)</f>
        <v>1</v>
      </c>
      <c r="O84" s="65" t="str">
        <f ca="1">IF(NOT(ISNUMBER(IFERROR(INDEX('[1]#REF'!$V$12:'[1]#REF'!$Z$12,1,MATCH(Brand_Profile!$H$11,Lookup_Lists!$F$6:$F$10,0)),""))),"N/A",MIN(100,ROUND((IFERROR(INDEX('[1]#REF'!$V$12:'[1]#REF'!$Z$12,1,MATCH(Brand_Profile!$H$11,Lookup_Lists!$F$6:$F$10,0)),"")+0.5*IF(ISNUMBER(IFERROR(INDEX('[1]#REF'!$V$12:'[1]#REF'!$Z$12,1,MATCH(Brand_Profile!$H$12,Lookup_Lists!$F$6:$F$10,0)),"")),IFERROR(INDEX('[1]#REF'!$V$12:'[1]#REF'!$Z$12,1,MATCH(Brand_Profile!$H$12,Lookup_Lists!$F$6:$F$10,0)),""),0))/Lookup_Lists!$D$142*100,0)))</f>
        <v>N/A</v>
      </c>
      <c r="P84" s="65" t="str">
        <f>IF(Brand_Profile!$H$13="Any",100,IF(NOT(ISNUMBER('[1]#REF'!$AA$12)),"N/A",IF(Brand_Profile!$H$13="Female",MIN(100,ROUND('[1]#REF'!$AA$12/Lookup_Lists!$D$143*100,0)),IF(Brand_Profile!$H$13="Male",MIN(100,ROUND(IF(ISNUMBER('[1]#REF'!$AB$12),'[1]#REF'!$AB$12,100-'[1]#REF'!$AA$12)/Lookup_Lists!$D$143*100,0)),MAX(0,ROUND(100-ABS('[1]#REF'!$AA$12-50)*2,0))))))</f>
        <v>N/A</v>
      </c>
      <c r="Q84" s="65" t="str">
        <f>IF((IF(ISNUMBER(IF(NOT(ISNUMBER('[1]#REF'!$AE$12)),"N/A",IF('[1]#REF'!$AD$12&lt;&gt;Brand_Profile!$H$14,Lookup_Lists!$D$151,MIN(100,ROUND('[1]#REF'!$AE$12/Lookup_Lists!$D$316*100,0))))),Lookup_Lists!$D$118,0)+IF(ISNUMBER(IF(NOT(ISNUMBER('[1]#REF'!$AM$12)),"N/A",MIN(100,ROUND((IF('[1]#REF'!$AG$12=Brand_Profile!$H$15,IF(ISNUMBER('[1]#REF'!$AH$12),'[1]#REF'!$AH$12,0),0)+IF('[1]#REF'!$AI$12=Brand_Profile!$H$15,IF(ISNUMBER('[1]#REF'!$AJ$12),'[1]#REF'!$AJ$12,0),0)+IF('[1]#REF'!$AK$12=Brand_Profile!$H$15,IF(ISNUMBER('[1]#REF'!$AL$12),'[1]#REF'!$AL$12,0),0))/Lookup_Lists!$D$317*100,0)))),Lookup_Lists!$D$120,0))=0,"N/A",ROUND((IF(ISNUMBER(IF(NOT(ISNUMBER('[1]#REF'!$AE$12)),"N/A",IF('[1]#REF'!$AD$12&lt;&gt;Brand_Profile!$H$14,Lookup_Lists!$D$151,MIN(100,ROUND('[1]#REF'!$AE$12/Lookup_Lists!$D$316*100,0))))),IF(NOT(ISNUMBER('[1]#REF'!$AE$12)),"N/A",IF('[1]#REF'!$AD$12&lt;&gt;Brand_Profile!$H$14,Lookup_Lists!$D$151,MIN(100,ROUND('[1]#REF'!$AE$12/Lookup_Lists!$D$316*100,0))))*Lookup_Lists!$D$118,0)+IF(ISNUMBER(IF(NOT(ISNUMBER('[1]#REF'!$AM$12)),"N/A",MIN(100,ROUND((IF('[1]#REF'!$AG$12=Brand_Profile!$H$15,IF(ISNUMBER('[1]#REF'!$AH$12),'[1]#REF'!$AH$12,0),0)+IF('[1]#REF'!$AI$12=Brand_Profile!$H$15,IF(ISNUMBER('[1]#REF'!$AJ$12),'[1]#REF'!$AJ$12,0),0)+IF('[1]#REF'!$AK$12=Brand_Profile!$H$15,IF(ISNUMBER('[1]#REF'!$AL$12),'[1]#REF'!$AL$12,0),0))/Lookup_Lists!$D$317*100,0)))),IF(NOT(ISNUMBER('[1]#REF'!$AM$12)),"N/A",MIN(100,ROUND((IF('[1]#REF'!$AG$12=Brand_Profile!$H$15,IF(ISNUMBER('[1]#REF'!$AH$12),'[1]#REF'!$AH$12,0),0)+IF('[1]#REF'!$AI$12=Brand_Profile!$H$15,IF(ISNUMBER('[1]#REF'!$AJ$12),'[1]#REF'!$AJ$12,0),0)+IF('[1]#REF'!$AK$12=Brand_Profile!$H$15,IF(ISNUMBER('[1]#REF'!$AL$12),'[1]#REF'!$AL$12,0),0))/Lookup_Lists!$D$317*100,0)))*Lookup_Lists!$D$120,0))/(IF(ISNUMBER(IF(NOT(ISNUMBER('[1]#REF'!$AE$12)),"N/A",IF('[1]#REF'!$AD$12&lt;&gt;Brand_Profile!$H$14,Lookup_Lists!$D$151,MIN(100,ROUND('[1]#REF'!$AE$12/Lookup_Lists!$D$316*100,0))))),Lookup_Lists!$D$118,0)+IF(ISNUMBER(IF(NOT(ISNUMBER('[1]#REF'!$AM$12)),"N/A",MIN(100,ROUND((IF('[1]#REF'!$AG$12=Brand_Profile!$H$15,IF(ISNUMBER('[1]#REF'!$AH$12),'[1]#REF'!$AH$12,0),0)+IF('[1]#REF'!$AI$12=Brand_Profile!$H$15,IF(ISNUMBER('[1]#REF'!$AJ$12),'[1]#REF'!$AJ$12,0),0)+IF('[1]#REF'!$AK$12=Brand_Profile!$H$15,IF(ISNUMBER('[1]#REF'!$AL$12),'[1]#REF'!$AL$12,0),0))/Lookup_Lists!$D$317*100,0)))),Lookup_Lists!$D$120,0)),0))</f>
        <v>N/A</v>
      </c>
      <c r="R84" s="65" t="str">
        <f>IF(NOT(ISNUMBER('[1]#REF'!$AN$12)),"N/A",MIN(100,ROUND((IF(ISNUMBER('[1]#REF'!$AO$12),'[1]#REF'!$AO$12*Brand_Profile!$H$17,0)+IF(ISNUMBER('[1]#REF'!$AP$12),'[1]#REF'!$AP$12*Brand_Profile!$H$18,0)+IF(ISNUMBER('[1]#REF'!$AQ$12),'[1]#REF'!$AQ$12*Brand_Profile!$H$19,0)+IF(ISNUMBER('[1]#REF'!$AR$12),'[1]#REF'!$AR$12*Brand_Profile!$H$20,0)+IF(ISNUMBER('[1]#REF'!$AS$12),'[1]#REF'!$AS$12*Brand_Profile!$H$21,0)+IF(ISNUMBER('[1]#REF'!$AT$12),'[1]#REF'!$AT$12*Brand_Profile!$H$22,0)+IF(ISNUMBER('[1]#REF'!$AU$12),'[1]#REF'!$AU$12*Brand_Profile!$H$23,0)+IF(ISNUMBER('[1]#REF'!$AV$12),'[1]#REF'!$AV$12*Brand_Profile!$H$24,0)+IF(ISNUMBER('[1]#REF'!$AW$12),'[1]#REF'!$AW$12*Brand_Profile!$H$25,0)+IF(ISNUMBER('[1]#REF'!$AX$12),'[1]#REF'!$AX$12*Brand_Profile!$H$26,0)+IF(ISNUMBER('[1]#REF'!$AY$12),'[1]#REF'!$AY$12*Brand_Profile!$H$27,0)+IF(ISNUMBER('[1]#REF'!$AZ$12),'[1]#REF'!$AZ$12*Brand_Profile!$H$28,0)+IF(ISNUMBER('[1]#REF'!$BA$12),'[1]#REF'!$BA$12*Brand_Profile!$H$29,0)+IF(ISNUMBER('[1]#REF'!$BB$12),'[1]#REF'!$BB$12*Brand_Profile!$H$30,0)+IF(ISNUMBER('[1]#REF'!$BC$12),'[1]#REF'!$BC$12*Brand_Profile!$H$31,0)+IF(ISNUMBER('[1]#REF'!$BD$12),'[1]#REF'!$BD$12*Brand_Profile!$H$32,0)+IF(ISNUMBER('[1]#REF'!$BE$12),'[1]#REF'!$BE$12*Brand_Profile!$H$33,0)+IF(ISNUMBER('[1]#REF'!$BF$12),'[1]#REF'!$BF$12*Brand_Profile!$H$34,0))/Lookup_Lists!$D$318*100,0)))</f>
        <v>N/A</v>
      </c>
      <c r="S84" s="63">
        <f ca="1">IF((IF(ISNUMBER(Matching_Engine!$O$84),Lookup_Lists!$D$113,0)+IF(ISNUMBER(Matching_Engine!$P$84),Lookup_Lists!$D$114,0)+IF(ISNUMBER(Matching_Engine!$Q$84),Lookup_Lists!$D$115,0)+IF(ISNUMBER(Matching_Engine!$R$84),Lookup_Lists!$D$116,0))=0,"N/A",ROUND((IF(ISNUMBER(Matching_Engine!$O$84),Matching_Engine!$O$84*Lookup_Lists!$D$113,0)+IF(ISNUMBER(Matching_Engine!$P$84),Matching_Engine!$P$84*Lookup_Lists!$D$114,0)+IF(ISNUMBER(Matching_Engine!$Q$84),Matching_Engine!$Q$84*Lookup_Lists!$D$115,0)+IF(ISNUMBER(Matching_Engine!$R$84),Matching_Engine!$R$84*Lookup_Lists!$D$116,0))/(IF(ISNUMBER(Matching_Engine!$O$84),Lookup_Lists!$D$113,0)+IF(ISNUMBER(Matching_Engine!$P$84),Lookup_Lists!$D$114,0)+IF(ISNUMBER(Matching_Engine!$Q$84),Lookup_Lists!$D$115,0)+IF(ISNUMBER(Matching_Engine!$R$84),Lookup_Lists!$D$116,0)),0))</f>
        <v>69</v>
      </c>
      <c r="T84" s="42">
        <f ca="1">IF(ISNUMBER(Matching_Engine!$S$84),1,0)</f>
        <v>1</v>
      </c>
      <c r="U84" s="65" t="e">
        <f>IF(NOT(AND(ISTEXT('[1]#REF'!$M$12),'[1]#REF'!$M$12&lt;&gt;"N/A")),Lookup_Lists!$D$150,IF(Brand_Profile!$H$7='[1]#REF'!$M$12,100,IFERROR(INDEX(Lookup_Lists!$B$349:$J$357,MATCH(Brand_Profile!$H$7,Lookup_Lists!$A$349:$A$357,0),MATCH('[1]#REF'!$M$12,Lookup_Lists!$B$348:$J$348,0)),Lookup_Lists!$D$151)))</f>
        <v>#REF!</v>
      </c>
      <c r="V84" s="65" t="e">
        <f>IF(NOT(AND(ISTEXT('[1]#REF'!$P$12),'[1]#REF'!$P$12&lt;&gt;"N/A")),"N/A",IFERROR(INDEX(Lookup_Lists!$B$349:$J$357,MATCH(Brand_Profile!$H$7,Lookup_Lists!$A$349:$A$357,0),MATCH('[1]#REF'!$P$12,Lookup_Lists!$B$348:$J$348,0)),Lookup_Lists!$D$151))</f>
        <v>#REF!</v>
      </c>
      <c r="W84" s="65" t="e">
        <f>IF(LEN(TRIM(SUBSTITUTE(Matching_Engine!$BE$84,"|","")))=0,"N/A",IF(Brand_Profile!$H$60=0,Lookup_Lists!$D$150,ROUND((IF(Brand_Profile!$H$54="",0,IF(ISNUMBER(SEARCH(Brand_Profile!$H$54,Matching_Engine!$BE$84)),1,0))+IF(Brand_Profile!$H$55="",0,IF(ISNUMBER(SEARCH(Brand_Profile!$H$55,Matching_Engine!$BE$84)),1,0))+IF(Brand_Profile!$H$56="",0,IF(ISNUMBER(SEARCH(Brand_Profile!$H$56,Matching_Engine!$BE$84)),1,0))+IF(Brand_Profile!$H$57="",0,IF(ISNUMBER(SEARCH(Brand_Profile!$H$57,Matching_Engine!$BE$84)),1,0))+IF(Brand_Profile!$H$58="",0,IF(ISNUMBER(SEARCH(Brand_Profile!$H$58,Matching_Engine!$BE$84)),1,0))+IF(Brand_Profile!$H$59="",0,IF(ISNUMBER(SEARCH(Brand_Profile!$H$59,Matching_Engine!$BE$84)),1,0)))/Brand_Profile!$H$60*100,0)))</f>
        <v>#VALUE!</v>
      </c>
      <c r="X84" s="65" t="e">
        <f>IF(NOT(AND(ISTEXT('[1]#REF'!$Q$12),'[1]#REF'!$Q$12&lt;&gt;"N/A")),"N/A",Lookup_Lists!$D$150)</f>
        <v>#REF!</v>
      </c>
      <c r="Y84" s="63">
        <f>IF((IF(ISNUMBER(Matching_Engine!$U$84),Lookup_Lists!$D$335,0)+IF(ISNUMBER(Matching_Engine!$V$84),Lookup_Lists!$D$122,0)+IF(ISNUMBER(Matching_Engine!$W$84),Lookup_Lists!$D$336,0)+IF(ISNUMBER(Matching_Engine!$X$84),Lookup_Lists!$D$124,0))=0,"N/A",ROUND((IF(ISNUMBER(Matching_Engine!$U$84),Matching_Engine!$U$84*Lookup_Lists!$D$335,0)+IF(ISNUMBER(Matching_Engine!$V$84),Matching_Engine!$V$84*Lookup_Lists!$D$122,0)+IF(ISNUMBER(Matching_Engine!$W$84),Matching_Engine!$W$84*Lookup_Lists!$D$336,0)+IF(ISNUMBER(Matching_Engine!$X$84),Matching_Engine!$X$84*Lookup_Lists!$D$124,0))/(IF(ISNUMBER(Matching_Engine!$U$84),Lookup_Lists!$D$335,0)+IF(ISNUMBER(Matching_Engine!$V$84),Lookup_Lists!$D$122,0)+IF(ISNUMBER(Matching_Engine!$W$84),Lookup_Lists!$D$336,0)+IF(ISNUMBER(Matching_Engine!$X$84),Lookup_Lists!$D$124,0)),0))</f>
        <v>36</v>
      </c>
      <c r="Z84" s="42">
        <f>IF(ISNUMBER(Matching_Engine!$Y$84),1,0)</f>
        <v>1</v>
      </c>
      <c r="AA84" s="65" t="e">
        <f>IF(NOT(AND(ISTEXT('[1]#REF'!$Q$12),'[1]#REF'!$Q$12&lt;&gt;"N/A")),"N/A",Lookup_Lists!$D$150)</f>
        <v>#REF!</v>
      </c>
      <c r="AB84" s="65" t="e">
        <f>IF(NOT(AND(ISTEXT('[1]#REF'!$Q$12),'[1]#REF'!$Q$12&lt;&gt;"N/A")),"N/A",Lookup_Lists!$D$150)</f>
        <v>#REF!</v>
      </c>
      <c r="AC84" s="65" t="str">
        <f t="shared" si="1"/>
        <v>N/A</v>
      </c>
      <c r="AD84" s="65" t="e">
        <f>IF(NOT(AND(ISTEXT('[1]#REF'!$Q$12),'[1]#REF'!$Q$12&lt;&gt;"N/A")),"N/A",Lookup_Lists!$D$150)</f>
        <v>#REF!</v>
      </c>
      <c r="AE84" s="63">
        <f>IF((IF(ISNUMBER(Matching_Engine!$AA$84),Lookup_Lists!$D$125,0)+IF(ISNUMBER(Matching_Engine!$AB$84),Lookup_Lists!$D$126,0)+IF(ISNUMBER(Matching_Engine!$AC$84),Lookup_Lists!$D$127,0)+IF(ISNUMBER(Matching_Engine!$AD$84),Lookup_Lists!$D$128,0))=0,"N/A",ROUND((IF(ISNUMBER(Matching_Engine!$AA$84),Matching_Engine!$AA$84*Lookup_Lists!$D$125,0)+IF(ISNUMBER(Matching_Engine!$AB$84),Matching_Engine!$AB$84*Lookup_Lists!$D$126,0)+IF(ISNUMBER(Matching_Engine!$AC$84),Matching_Engine!$AC$84*Lookup_Lists!$D$127,0)+IF(ISNUMBER(Matching_Engine!$AD$84),Matching_Engine!$AD$84*Lookup_Lists!$D$128,0))/(IF(ISNUMBER(Matching_Engine!$AA$84),Lookup_Lists!$D$125,0)+IF(ISNUMBER(Matching_Engine!$AB$84),Lookup_Lists!$D$126,0)+IF(ISNUMBER(Matching_Engine!$AC$84),Lookup_Lists!$D$127,0)+IF(ISNUMBER(Matching_Engine!$AD$84),Lookup_Lists!$D$128,0)),0))</f>
        <v>72</v>
      </c>
      <c r="AF84" s="42">
        <f>IF(ISNUMBER(Matching_Engine!$AE$84),1,0)</f>
        <v>1</v>
      </c>
      <c r="AG84" s="65" t="str">
        <f>IF(NOT(ISNUMBER('[1]#REF'!$BG$12)),"N/A",MIN(100,ROUND('[1]#REF'!$BG$12/IFERROR(INDEX(Lookup_Lists!$B$340:$B$344,MATCH('[1]#REF'!$H$12,Lookup_Lists!$A$340:$A$344,0)),Lookup_Lists!$D$141)*100,0)))</f>
        <v>N/A</v>
      </c>
      <c r="AH84" s="65" t="str">
        <f>IF(NOT(ISNUMBER('[1]#REF'!$BS$12)),"N/A",MIN(100,MAX(0,'[1]#REF'!$BS$12)))</f>
        <v>N/A</v>
      </c>
      <c r="AI84" s="65" t="e">
        <f>IF(OR(NOT(ISNUMBER('[1]#REF'!$BM$12)),NOT(ISNUMBER('[1]#REF'!$BN$12)),'[1]#REF'!$BN$12&lt;Lookup_Lists!$D$320),"N/A",MIN(100,ROUND('[1]#REF'!$BM$12/Lookup_Lists!$D$319*100,0)))</f>
        <v>#REF!</v>
      </c>
      <c r="AJ84" s="65" t="str">
        <f>IF(NOT(ISNUMBER('[1]#REF'!$BR$12)),"N/A",'[1]#REF'!$BR$12)</f>
        <v>N/A</v>
      </c>
      <c r="AK84" s="65" t="str">
        <f>IF(NOT(ISNUMBER('[1]#REF'!$BK$12)),"N/A",MIN(100,ROUND('[1]#REF'!$BK$12/Lookup_Lists!$D$321*100,0)))</f>
        <v>N/A</v>
      </c>
      <c r="AL84" s="65" t="str">
        <f>IF(NOT(ISNUMBER('[1]#REF'!$BP$12)),"N/A",MIN(100,MAX(0,ROUND(('[1]#REF'!$BP$12+2)/(Lookup_Lists!$D$145+2)*100,0))))</f>
        <v>N/A</v>
      </c>
      <c r="AM84" s="63">
        <f>IF((IF(ISNUMBER(Matching_Engine!$AG$84),Lookup_Lists!$D$129,0)+IF(ISNUMBER(Matching_Engine!$AH$84),Lookup_Lists!$D$130,0)+IF(ISNUMBER(Matching_Engine!$AI$84),Lookup_Lists!$D$131,0)+IF(ISNUMBER(Matching_Engine!$AJ$84),Lookup_Lists!$D$132,0)+IF(ISNUMBER(Matching_Engine!$AK$84),Lookup_Lists!$D$133,0)+IF(ISNUMBER(Matching_Engine!$AL$84),Lookup_Lists!$D$134,0))=0,"N/A",ROUND((IF(ISNUMBER(Matching_Engine!$AG$84),Matching_Engine!$AG$84*Lookup_Lists!$D$129,0)+IF(ISNUMBER(Matching_Engine!$AH$84),Matching_Engine!$AH$84*Lookup_Lists!$D$130,0)+IF(ISNUMBER(Matching_Engine!$AI$84),Matching_Engine!$AI$84*Lookup_Lists!$D$131,0)+IF(ISNUMBER(Matching_Engine!$AJ$84),Matching_Engine!$AJ$84*Lookup_Lists!$D$132,0)+IF(ISNUMBER(Matching_Engine!$AK$84),Matching_Engine!$AK$84*Lookup_Lists!$D$133,0)+IF(ISNUMBER(Matching_Engine!$AL$84),Matching_Engine!$AL$84*Lookup_Lists!$D$134,0))/(IF(ISNUMBER(Matching_Engine!$AG$84),Lookup_Lists!$D$129,0)+IF(ISNUMBER(Matching_Engine!$AH$84),Lookup_Lists!$D$130,0)+IF(ISNUMBER(Matching_Engine!$AI$84),Lookup_Lists!$D$131,0)+IF(ISNUMBER(Matching_Engine!$AJ$84),Lookup_Lists!$D$132,0)+IF(ISNUMBER(Matching_Engine!$AK$84),Lookup_Lists!$D$133,0)+IF(ISNUMBER(Matching_Engine!$AL$84),Lookup_Lists!$D$134,0)),0))</f>
        <v>53</v>
      </c>
      <c r="AN84" s="42">
        <f>IF(ISNUMBER(Matching_Engine!$AM$84),1,0)</f>
        <v>0</v>
      </c>
      <c r="AO84" s="65" t="str">
        <f>IF(NOT(ISNUMBER('[1]#REF'!$BT$12)),"N/A",MIN(100,MAX(0,'[1]#REF'!$BT$12)))</f>
        <v>N/A</v>
      </c>
      <c r="AP84" s="65" t="str">
        <f>IF(NOT(ISNUMBER('[1]#REF'!$BU$12)),"N/A",MIN(100,MAX(0,'[1]#REF'!$BU$12)))</f>
        <v>N/A</v>
      </c>
      <c r="AQ84" s="65" t="e">
        <f>IF('[1]#REF'!$I$12="Yes",Lookup_Lists!$D$326,IF('[1]#REF'!$I$12="No",Lookup_Lists!$D$327,"N/A"))</f>
        <v>#REF!</v>
      </c>
      <c r="AR84" s="65" t="str">
        <f>IF(NOT(ISNUMBER('[1]#REF'!$BQ$12)),"N/A",MAX(0,ROUND(100-'[1]#REF'!$BQ$12/Lookup_Lists!$D$328*100,0)))</f>
        <v>N/A</v>
      </c>
      <c r="AS84" s="65" t="e">
        <f>IF(NOT(AND(ISTEXT('[1]#REF'!$BV$12),'[1]#REF'!$BV$12&lt;&gt;"N/A")),"N/A",'[1]#REF'!$BV$12)</f>
        <v>#REF!</v>
      </c>
      <c r="AT84" s="63" t="str">
        <f ca="1">IF((IF(ISNUMBER(Matching_Engine!$AO$84),Lookup_Lists!$D$322,0)+IF(ISNUMBER(Matching_Engine!$AP$84),Lookup_Lists!$D$323,0)+IF(ISNUMBER(Matching_Engine!$AQ$84),Lookup_Lists!$D$324,0)+IF(ISNUMBER(Matching_Engine!$AR$84),Lookup_Lists!$D$325,0))=0,"N/A",ROUND((IF(ISNUMBER(Matching_Engine!$AO$84),Matching_Engine!$AO$84*Lookup_Lists!$D$322,0)+IF(ISNUMBER(Matching_Engine!$AP$84),Matching_Engine!$AP$84*Lookup_Lists!$D$323,0)+IF(ISNUMBER(Matching_Engine!$AQ$84),Matching_Engine!$AQ$84*Lookup_Lists!$D$324,0)+IF(ISNUMBER(Matching_Engine!$AR$84),Matching_Engine!$AR$84*Lookup_Lists!$D$325,0))/(IF(ISNUMBER(Matching_Engine!$AO$84),Lookup_Lists!$D$322,0)+IF(ISNUMBER(Matching_Engine!$AP$84),Lookup_Lists!$D$323,0)+IF(ISNUMBER(Matching_Engine!$AQ$84),Lookup_Lists!$D$324,0)+IF(ISNUMBER(Matching_Engine!$AR$84),Lookup_Lists!$D$325,0)),0))</f>
        <v>N/A</v>
      </c>
      <c r="AU84" s="42">
        <f>IF(ISNUMBER(Matching_Engine!$AT$84),1,0)</f>
        <v>1</v>
      </c>
      <c r="AV84" s="42" t="str">
        <f>IF(NOT(ISNUMBER(Matching_Engine!$AT$84)),"Not Screened",IF(Matching_Engine!$AT$84&gt;=Lookup_Lists!$D$329,"Low Risk",IF(Matching_Engine!$AT$84&gt;=Lookup_Lists!$D$330,"Moderate Risk",IF(Matching_Engine!$AT$84&gt;=Lookup_Lists!$D$331,"Elevated Risk","High Risk"))))</f>
        <v>Low Risk</v>
      </c>
      <c r="AW84" s="42" t="e">
        <f ca="1">IF(NOT(ISNUMBER(Matching_Engine!$AT$84)),"No integrity signal: no audience-analysis row for this account.","Integrity screen only — no content-risk reading exists (comments_analysis: 0 rows). "&amp;IF(ISNUMBER(Matching_Engine!$AO$84),"Authenticity "&amp;Matching_Engine!$AO$84&amp;". ","Authenticity N/A. ")&amp;IF(ISNUMBER(Matching_Engine!$AP$84),"Follower quality "&amp;Matching_Engine!$AP$84&amp;". ","Follower quality N/A. ")&amp;IF('[1]#REF'!$I$12="Yes","Platform-verified.","Not platform-verified."))</f>
        <v>#REF!</v>
      </c>
      <c r="AX84" s="65">
        <f>Matching_Engine!$N$84*Lookup_Lists!$D$104+Matching_Engine!$T$84*Lookup_Lists!$D$105+Matching_Engine!$Z$84*Lookup_Lists!$D$106+Matching_Engine!$AF$84*Lookup_Lists!$D$107+Matching_Engine!$AN$84*Lookup_Lists!$D$108+Matching_Engine!$AU$84*Lookup_Lists!$D$109</f>
        <v>5740</v>
      </c>
      <c r="AY84" s="74" t="e">
        <f ca="1">IF(Matching_Engine!$AX$84=0,"N/A",ROUND((IF(Matching_Engine!$N$84=1,Matching_Engine!$M$84*Lookup_Lists!$D$104,0)+IF(Matching_Engine!$T$84=1,Matching_Engine!$S$84*Lookup_Lists!$D$105,0)+IF(Matching_Engine!$Z$84=1,Matching_Engine!$Y$84*Lookup_Lists!$D$106,0)+IF(Matching_Engine!$AF$84=1,Matching_Engine!$AE$84*Lookup_Lists!$D$107,0)+IF(Matching_Engine!$AN$84=1,Matching_Engine!$AM$84*Lookup_Lists!$D$108,0)+IF(Matching_Engine!$AU$84=1,Matching_Engine!$AT$84*Lookup_Lists!$D$109,0))/Matching_Engine!$AX$84,0))</f>
        <v>#VALUE!</v>
      </c>
      <c r="AZ84" s="42" t="str">
        <f ca="1">IF(NOT(ISNUMBER(Matching_Engine!$AY$84)),"Not Scored",IF(Matching_Engine!$AY$84&gt;=Lookup_Lists!$D$152,"Excellent Match",IF(Matching_Engine!$AY$84&gt;=Lookup_Lists!$D$153,"Strong Match",IF(Matching_Engine!$AY$84&gt;=Lookup_Lists!$D$154,"Good Match",IF(Matching_Engine!$AY$84&gt;=Lookup_Lists!$D$155,"Moderate Match","Low Match")))))</f>
        <v>Not Scored</v>
      </c>
      <c r="BA84" s="65" t="e">
        <f>'[1]#REF'!$BW$12</f>
        <v>#REF!</v>
      </c>
      <c r="BB84" s="42" t="e">
        <f>'[1]#REF'!$BX$12</f>
        <v>#REF!</v>
      </c>
      <c r="BC84" s="65">
        <f ca="1">IF(NOT(ISNUMBER(Matching_Engine!$AY$84)),-1,Matching_Engine!$AY$84*1000+18)</f>
        <v>-1</v>
      </c>
      <c r="BD84" s="42" t="e">
        <f>IF(AND(ISTEXT('[1]#REF'!$S$12),'[1]#REF'!$S$12&lt;&gt;"N/A"),'[1]#REF'!$S$12,"")&amp;" | "&amp;IF(AND(ISTEXT('[1]#REF'!$T$12),'[1]#REF'!$T$12&lt;&gt;"N/A"),'[1]#REF'!$T$12,"")&amp;" | "&amp;IF(AND(ISTEXT('[1]#REF'!$N$12),'[1]#REF'!$N$12&lt;&gt;"N/A"),'[1]#REF'!$N$12,"")&amp;" | "&amp;IF(AND(ISTEXT('[1]#REF'!$K$12),'[1]#REF'!$K$12&lt;&gt;"N/A"),'[1]#REF'!$K$12,"")&amp;" | "&amp;IF(AND(ISTEXT('[1]#REF'!$J$12),'[1]#REF'!$J$12&lt;&gt;"N/A"),'[1]#REF'!$J$12,"")</f>
        <v>#REF!</v>
      </c>
      <c r="BE84" s="42" t="e">
        <f>IF(AND(ISTEXT('[1]#REF'!$T$12),'[1]#REF'!$T$12&lt;&gt;"N/A"),'[1]#REF'!$T$12,"")&amp;" | "&amp;IF(AND(ISTEXT('[1]#REF'!$N$12),'[1]#REF'!$N$12&lt;&gt;"N/A"),'[1]#REF'!$N$12,"")&amp;" | "&amp;IF(AND(ISTEXT('[1]#REF'!$O$12),'[1]#REF'!$O$12&lt;&gt;"N/A"),'[1]#REF'!$O$12,"")&amp;" | "&amp;IF(AND(ISTEXT('[1]#REF'!$S$12),'[1]#REF'!$S$12&lt;&gt;"N/A"),'[1]#REF'!$S$12,"")</f>
        <v>#REF!</v>
      </c>
      <c r="BF84" s="42" t="e">
        <f>IF(AND(ISTEXT('[1]#REF'!$U$12),'[1]#REF'!$U$12&lt;&gt;"N/A"),'[1]#REF'!$U$12,"")</f>
        <v>#REF!</v>
      </c>
      <c r="BG84" s="42" t="str">
        <f>Matching_Engine!$A$84&amp;"|"&amp;Matching_Engine!$C$84</f>
        <v>BRAND-C|KOL-19</v>
      </c>
    </row>
    <row r="85" spans="1:59">
      <c r="A85" s="64" t="s">
        <v>2530</v>
      </c>
      <c r="B85" s="42" t="str">
        <f>Brand_Profile!$H$6</f>
        <v>Input type / allowed values</v>
      </c>
      <c r="C85" s="42" t="e">
        <f>'[1]#REF'!$A$13</f>
        <v>#REF!</v>
      </c>
      <c r="D85" s="42" t="e">
        <f>'[1]#REF'!$C$13</f>
        <v>#REF!</v>
      </c>
      <c r="E85" s="42" t="e">
        <f>'[1]#REF'!$D$13</f>
        <v>#REF!</v>
      </c>
      <c r="F85" s="42" t="e">
        <f>'[1]#REF'!$E$13</f>
        <v>#REF!</v>
      </c>
      <c r="G85" s="42" t="e">
        <f>'[1]#REF'!$K$13</f>
        <v>#REF!</v>
      </c>
      <c r="H85" s="72" t="e">
        <f>'[1]#REF'!$G$13</f>
        <v>#REF!</v>
      </c>
      <c r="I85" s="73" t="e">
        <f>'[1]#REF'!$BG$13</f>
        <v>#REF!</v>
      </c>
      <c r="J85" s="65" t="e">
        <f>IF(NOT(AND(ISTEXT('[1]#REF'!$K$13),'[1]#REF'!$K$13&lt;&gt;"N/A")),Lookup_Lists!$D$150,IF(Brand_Profile!$H$7='[1]#REF'!$K$13,100,IFERROR(INDEX(Lookup_Lists!$B$349:$J$357,MATCH(Brand_Profile!$H$7,Lookup_Lists!$A$349:$A$357,0),MATCH('[1]#REF'!$K$13,Lookup_Lists!$B$348:$J$348,0)),Lookup_Lists!$D$151)))</f>
        <v>#REF!</v>
      </c>
      <c r="K85" s="65" t="e">
        <f>IF(LEN(TRIM(SUBSTITUTE(Matching_Engine!$BD$85,"|","")))=0,"N/A",IF(Brand_Profile!$H$47=0,Lookup_Lists!$D$150,ROUND((IF(Brand_Profile!$H$41="",0,IF(ISNUMBER(SEARCH(Brand_Profile!$H$41,Matching_Engine!$BD$85)),1,0))+IF(Brand_Profile!$H$42="",0,IF(ISNUMBER(SEARCH(Brand_Profile!$H$42,Matching_Engine!$BD$85)),1,0))+IF(Brand_Profile!$H$43="",0,IF(ISNUMBER(SEARCH(Brand_Profile!$H$43,Matching_Engine!$BD$85)),1,0))+IF(Brand_Profile!$H$44="",0,IF(ISNUMBER(SEARCH(Brand_Profile!$H$44,Matching_Engine!$BD$85)),1,0))+IF(Brand_Profile!$H$45="",0,IF(ISNUMBER(SEARCH(Brand_Profile!$H$45,Matching_Engine!$BD$85)),1,0))+IF(Brand_Profile!$H$46="",0,IF(ISNUMBER(SEARCH(Brand_Profile!$H$46,Matching_Engine!$BD$85)),1,0)))/Brand_Profile!$H$47*100,0)))</f>
        <v>#VALUE!</v>
      </c>
      <c r="L85" s="65" t="e">
        <f>IF(NOT(AND(ISTEXT('[1]#REF'!$U$13),'[1]#REF'!$U$13&lt;&gt;"N/A")),"N/A",IF(Brand_Profile!$H$53=0,Lookup_Lists!$D$150,ROUND((IF(Brand_Profile!$H$48="",0,IF(ISNUMBER(SEARCH(Brand_Profile!$H$48,Matching_Engine!$BF$85)),1,0))+IF(Brand_Profile!$H$49="",0,IF(ISNUMBER(SEARCH(Brand_Profile!$H$49,Matching_Engine!$BF$85)),1,0))+IF(Brand_Profile!$H$50="",0,IF(ISNUMBER(SEARCH(Brand_Profile!$H$50,Matching_Engine!$BF$85)),1,0))+IF(Brand_Profile!$H$51="",0,IF(ISNUMBER(SEARCH(Brand_Profile!$H$51,Matching_Engine!$BF$85)),1,0))+IF(Brand_Profile!$H$52="",0,IF(ISNUMBER(SEARCH(Brand_Profile!$H$52,Matching_Engine!$BF$85)),1,0)))/Brand_Profile!$H$53*100,0)))</f>
        <v>#REF!</v>
      </c>
      <c r="M85" s="63" t="str">
        <f>IF((IF(ISNUMBER(Matching_Engine!$J$85),Lookup_Lists!$D$332,0)+IF(ISNUMBER(Matching_Engine!$K$85),Lookup_Lists!$D$333,0)+IF(ISNUMBER(Matching_Engine!$L$85),Lookup_Lists!$D$334,0))=0,"N/A",ROUND((IF(ISNUMBER(Matching_Engine!$J$85),Matching_Engine!$J$85*Lookup_Lists!$D$332,0)+IF(ISNUMBER(Matching_Engine!$K$85),Matching_Engine!$K$85*Lookup_Lists!$D$333,0)+IF(ISNUMBER(Matching_Engine!$L$85),Matching_Engine!$L$85*Lookup_Lists!$D$334,0))/(IF(ISNUMBER(Matching_Engine!$J$85),Lookup_Lists!$D$332,0)+IF(ISNUMBER(Matching_Engine!$K$85),Lookup_Lists!$D$333,0)+IF(ISNUMBER(Matching_Engine!$L$85),Lookup_Lists!$D$334,0)),0))</f>
        <v>N/A</v>
      </c>
      <c r="N85" s="42">
        <f>IF(ISNUMBER(Matching_Engine!$M$85),1,0)</f>
        <v>1</v>
      </c>
      <c r="O85" s="65" t="str">
        <f ca="1">IF(NOT(ISNUMBER(IFERROR(INDEX('[1]#REF'!$V$13:'[1]#REF'!$Z$13,1,MATCH(Brand_Profile!$H$11,Lookup_Lists!$F$6:$F$10,0)),""))),"N/A",MIN(100,ROUND((IFERROR(INDEX('[1]#REF'!$V$13:'[1]#REF'!$Z$13,1,MATCH(Brand_Profile!$H$11,Lookup_Lists!$F$6:$F$10,0)),"")+0.5*IF(ISNUMBER(IFERROR(INDEX('[1]#REF'!$V$13:'[1]#REF'!$Z$13,1,MATCH(Brand_Profile!$H$12,Lookup_Lists!$F$6:$F$10,0)),"")),IFERROR(INDEX('[1]#REF'!$V$13:'[1]#REF'!$Z$13,1,MATCH(Brand_Profile!$H$12,Lookup_Lists!$F$6:$F$10,0)),""),0))/Lookup_Lists!$D$142*100,0)))</f>
        <v>N/A</v>
      </c>
      <c r="P85" s="65" t="str">
        <f>IF(Brand_Profile!$H$13="Any",100,IF(NOT(ISNUMBER('[1]#REF'!$AA$13)),"N/A",IF(Brand_Profile!$H$13="Female",MIN(100,ROUND('[1]#REF'!$AA$13/Lookup_Lists!$D$143*100,0)),IF(Brand_Profile!$H$13="Male",MIN(100,ROUND(IF(ISNUMBER('[1]#REF'!$AB$13),'[1]#REF'!$AB$13,100-'[1]#REF'!$AA$13)/Lookup_Lists!$D$143*100,0)),MAX(0,ROUND(100-ABS('[1]#REF'!$AA$13-50)*2,0))))))</f>
        <v>N/A</v>
      </c>
      <c r="Q85" s="65" t="str">
        <f>IF((IF(ISNUMBER(IF(NOT(ISNUMBER('[1]#REF'!$AE$13)),"N/A",IF('[1]#REF'!$AD$13&lt;&gt;Brand_Profile!$H$14,Lookup_Lists!$D$151,MIN(100,ROUND('[1]#REF'!$AE$13/Lookup_Lists!$D$316*100,0))))),Lookup_Lists!$D$118,0)+IF(ISNUMBER(IF(NOT(ISNUMBER('[1]#REF'!$AM$13)),"N/A",MIN(100,ROUND((IF('[1]#REF'!$AG$13=Brand_Profile!$H$15,IF(ISNUMBER('[1]#REF'!$AH$13),'[1]#REF'!$AH$13,0),0)+IF('[1]#REF'!$AI$13=Brand_Profile!$H$15,IF(ISNUMBER('[1]#REF'!$AJ$13),'[1]#REF'!$AJ$13,0),0)+IF('[1]#REF'!$AK$13=Brand_Profile!$H$15,IF(ISNUMBER('[1]#REF'!$AL$13),'[1]#REF'!$AL$13,0),0))/Lookup_Lists!$D$317*100,0)))),Lookup_Lists!$D$120,0))=0,"N/A",ROUND((IF(ISNUMBER(IF(NOT(ISNUMBER('[1]#REF'!$AE$13)),"N/A",IF('[1]#REF'!$AD$13&lt;&gt;Brand_Profile!$H$14,Lookup_Lists!$D$151,MIN(100,ROUND('[1]#REF'!$AE$13/Lookup_Lists!$D$316*100,0))))),IF(NOT(ISNUMBER('[1]#REF'!$AE$13)),"N/A",IF('[1]#REF'!$AD$13&lt;&gt;Brand_Profile!$H$14,Lookup_Lists!$D$151,MIN(100,ROUND('[1]#REF'!$AE$13/Lookup_Lists!$D$316*100,0))))*Lookup_Lists!$D$118,0)+IF(ISNUMBER(IF(NOT(ISNUMBER('[1]#REF'!$AM$13)),"N/A",MIN(100,ROUND((IF('[1]#REF'!$AG$13=Brand_Profile!$H$15,IF(ISNUMBER('[1]#REF'!$AH$13),'[1]#REF'!$AH$13,0),0)+IF('[1]#REF'!$AI$13=Brand_Profile!$H$15,IF(ISNUMBER('[1]#REF'!$AJ$13),'[1]#REF'!$AJ$13,0),0)+IF('[1]#REF'!$AK$13=Brand_Profile!$H$15,IF(ISNUMBER('[1]#REF'!$AL$13),'[1]#REF'!$AL$13,0),0))/Lookup_Lists!$D$317*100,0)))),IF(NOT(ISNUMBER('[1]#REF'!$AM$13)),"N/A",MIN(100,ROUND((IF('[1]#REF'!$AG$13=Brand_Profile!$H$15,IF(ISNUMBER('[1]#REF'!$AH$13),'[1]#REF'!$AH$13,0),0)+IF('[1]#REF'!$AI$13=Brand_Profile!$H$15,IF(ISNUMBER('[1]#REF'!$AJ$13),'[1]#REF'!$AJ$13,0),0)+IF('[1]#REF'!$AK$13=Brand_Profile!$H$15,IF(ISNUMBER('[1]#REF'!$AL$13),'[1]#REF'!$AL$13,0),0))/Lookup_Lists!$D$317*100,0)))*Lookup_Lists!$D$120,0))/(IF(ISNUMBER(IF(NOT(ISNUMBER('[1]#REF'!$AE$13)),"N/A",IF('[1]#REF'!$AD$13&lt;&gt;Brand_Profile!$H$14,Lookup_Lists!$D$151,MIN(100,ROUND('[1]#REF'!$AE$13/Lookup_Lists!$D$316*100,0))))),Lookup_Lists!$D$118,0)+IF(ISNUMBER(IF(NOT(ISNUMBER('[1]#REF'!$AM$13)),"N/A",MIN(100,ROUND((IF('[1]#REF'!$AG$13=Brand_Profile!$H$15,IF(ISNUMBER('[1]#REF'!$AH$13),'[1]#REF'!$AH$13,0),0)+IF('[1]#REF'!$AI$13=Brand_Profile!$H$15,IF(ISNUMBER('[1]#REF'!$AJ$13),'[1]#REF'!$AJ$13,0),0)+IF('[1]#REF'!$AK$13=Brand_Profile!$H$15,IF(ISNUMBER('[1]#REF'!$AL$13),'[1]#REF'!$AL$13,0),0))/Lookup_Lists!$D$317*100,0)))),Lookup_Lists!$D$120,0)),0))</f>
        <v>N/A</v>
      </c>
      <c r="R85" s="65" t="str">
        <f>IF(NOT(ISNUMBER('[1]#REF'!$AN$13)),"N/A",MIN(100,ROUND((IF(ISNUMBER('[1]#REF'!$AO$13),'[1]#REF'!$AO$13*Brand_Profile!$H$17,0)+IF(ISNUMBER('[1]#REF'!$AP$13),'[1]#REF'!$AP$13*Brand_Profile!$H$18,0)+IF(ISNUMBER('[1]#REF'!$AQ$13),'[1]#REF'!$AQ$13*Brand_Profile!$H$19,0)+IF(ISNUMBER('[1]#REF'!$AR$13),'[1]#REF'!$AR$13*Brand_Profile!$H$20,0)+IF(ISNUMBER('[1]#REF'!$AS$13),'[1]#REF'!$AS$13*Brand_Profile!$H$21,0)+IF(ISNUMBER('[1]#REF'!$AT$13),'[1]#REF'!$AT$13*Brand_Profile!$H$22,0)+IF(ISNUMBER('[1]#REF'!$AU$13),'[1]#REF'!$AU$13*Brand_Profile!$H$23,0)+IF(ISNUMBER('[1]#REF'!$AV$13),'[1]#REF'!$AV$13*Brand_Profile!$H$24,0)+IF(ISNUMBER('[1]#REF'!$AW$13),'[1]#REF'!$AW$13*Brand_Profile!$H$25,0)+IF(ISNUMBER('[1]#REF'!$AX$13),'[1]#REF'!$AX$13*Brand_Profile!$H$26,0)+IF(ISNUMBER('[1]#REF'!$AY$13),'[1]#REF'!$AY$13*Brand_Profile!$H$27,0)+IF(ISNUMBER('[1]#REF'!$AZ$13),'[1]#REF'!$AZ$13*Brand_Profile!$H$28,0)+IF(ISNUMBER('[1]#REF'!$BA$13),'[1]#REF'!$BA$13*Brand_Profile!$H$29,0)+IF(ISNUMBER('[1]#REF'!$BB$13),'[1]#REF'!$BB$13*Brand_Profile!$H$30,0)+IF(ISNUMBER('[1]#REF'!$BC$13),'[1]#REF'!$BC$13*Brand_Profile!$H$31,0)+IF(ISNUMBER('[1]#REF'!$BD$13),'[1]#REF'!$BD$13*Brand_Profile!$H$32,0)+IF(ISNUMBER('[1]#REF'!$BE$13),'[1]#REF'!$BE$13*Brand_Profile!$H$33,0)+IF(ISNUMBER('[1]#REF'!$BF$13),'[1]#REF'!$BF$13*Brand_Profile!$H$34,0))/Lookup_Lists!$D$318*100,0)))</f>
        <v>N/A</v>
      </c>
      <c r="S85" s="63">
        <f ca="1">IF((IF(ISNUMBER(Matching_Engine!$O$85),Lookup_Lists!$D$113,0)+IF(ISNUMBER(Matching_Engine!$P$85),Lookup_Lists!$D$114,0)+IF(ISNUMBER(Matching_Engine!$Q$85),Lookup_Lists!$D$115,0)+IF(ISNUMBER(Matching_Engine!$R$85),Lookup_Lists!$D$116,0))=0,"N/A",ROUND((IF(ISNUMBER(Matching_Engine!$O$85),Matching_Engine!$O$85*Lookup_Lists!$D$113,0)+IF(ISNUMBER(Matching_Engine!$P$85),Matching_Engine!$P$85*Lookup_Lists!$D$114,0)+IF(ISNUMBER(Matching_Engine!$Q$85),Matching_Engine!$Q$85*Lookup_Lists!$D$115,0)+IF(ISNUMBER(Matching_Engine!$R$85),Matching_Engine!$R$85*Lookup_Lists!$D$116,0))/(IF(ISNUMBER(Matching_Engine!$O$85),Lookup_Lists!$D$113,0)+IF(ISNUMBER(Matching_Engine!$P$85),Lookup_Lists!$D$114,0)+IF(ISNUMBER(Matching_Engine!$Q$85),Lookup_Lists!$D$115,0)+IF(ISNUMBER(Matching_Engine!$R$85),Lookup_Lists!$D$116,0)),0))</f>
        <v>81</v>
      </c>
      <c r="T85" s="42">
        <f ca="1">IF(ISNUMBER(Matching_Engine!$S$85),1,0)</f>
        <v>1</v>
      </c>
      <c r="U85" s="65" t="e">
        <f>IF(NOT(AND(ISTEXT('[1]#REF'!$M$13),'[1]#REF'!$M$13&lt;&gt;"N/A")),Lookup_Lists!$D$150,IF(Brand_Profile!$H$7='[1]#REF'!$M$13,100,IFERROR(INDEX(Lookup_Lists!$B$349:$J$357,MATCH(Brand_Profile!$H$7,Lookup_Lists!$A$349:$A$357,0),MATCH('[1]#REF'!$M$13,Lookup_Lists!$B$348:$J$348,0)),Lookup_Lists!$D$151)))</f>
        <v>#REF!</v>
      </c>
      <c r="V85" s="65" t="e">
        <f>IF(NOT(AND(ISTEXT('[1]#REF'!$P$13),'[1]#REF'!$P$13&lt;&gt;"N/A")),"N/A",IFERROR(INDEX(Lookup_Lists!$B$349:$J$357,MATCH(Brand_Profile!$H$7,Lookup_Lists!$A$349:$A$357,0),MATCH('[1]#REF'!$P$13,Lookup_Lists!$B$348:$J$348,0)),Lookup_Lists!$D$151))</f>
        <v>#REF!</v>
      </c>
      <c r="W85" s="65" t="e">
        <f>IF(LEN(TRIM(SUBSTITUTE(Matching_Engine!$BE$85,"|","")))=0,"N/A",IF(Brand_Profile!$H$60=0,Lookup_Lists!$D$150,ROUND((IF(Brand_Profile!$H$54="",0,IF(ISNUMBER(SEARCH(Brand_Profile!$H$54,Matching_Engine!$BE$85)),1,0))+IF(Brand_Profile!$H$55="",0,IF(ISNUMBER(SEARCH(Brand_Profile!$H$55,Matching_Engine!$BE$85)),1,0))+IF(Brand_Profile!$H$56="",0,IF(ISNUMBER(SEARCH(Brand_Profile!$H$56,Matching_Engine!$BE$85)),1,0))+IF(Brand_Profile!$H$57="",0,IF(ISNUMBER(SEARCH(Brand_Profile!$H$57,Matching_Engine!$BE$85)),1,0))+IF(Brand_Profile!$H$58="",0,IF(ISNUMBER(SEARCH(Brand_Profile!$H$58,Matching_Engine!$BE$85)),1,0))+IF(Brand_Profile!$H$59="",0,IF(ISNUMBER(SEARCH(Brand_Profile!$H$59,Matching_Engine!$BE$85)),1,0)))/Brand_Profile!$H$60*100,0)))</f>
        <v>#VALUE!</v>
      </c>
      <c r="X85" s="65" t="e">
        <f>IF(NOT(AND(ISTEXT('[1]#REF'!$Q$13),'[1]#REF'!$Q$13&lt;&gt;"N/A")),"N/A",Lookup_Lists!$D$150)</f>
        <v>#REF!</v>
      </c>
      <c r="Y85" s="63">
        <f>IF((IF(ISNUMBER(Matching_Engine!$U$85),Lookup_Lists!$D$335,0)+IF(ISNUMBER(Matching_Engine!$V$85),Lookup_Lists!$D$122,0)+IF(ISNUMBER(Matching_Engine!$W$85),Lookup_Lists!$D$336,0)+IF(ISNUMBER(Matching_Engine!$X$85),Lookup_Lists!$D$124,0))=0,"N/A",ROUND((IF(ISNUMBER(Matching_Engine!$U$85),Matching_Engine!$U$85*Lookup_Lists!$D$335,0)+IF(ISNUMBER(Matching_Engine!$V$85),Matching_Engine!$V$85*Lookup_Lists!$D$122,0)+IF(ISNUMBER(Matching_Engine!$W$85),Matching_Engine!$W$85*Lookup_Lists!$D$336,0)+IF(ISNUMBER(Matching_Engine!$X$85),Matching_Engine!$X$85*Lookup_Lists!$D$124,0))/(IF(ISNUMBER(Matching_Engine!$U$85),Lookup_Lists!$D$335,0)+IF(ISNUMBER(Matching_Engine!$V$85),Lookup_Lists!$D$122,0)+IF(ISNUMBER(Matching_Engine!$W$85),Lookup_Lists!$D$336,0)+IF(ISNUMBER(Matching_Engine!$X$85),Lookup_Lists!$D$124,0)),0))</f>
        <v>43</v>
      </c>
      <c r="Z85" s="42">
        <f>IF(ISNUMBER(Matching_Engine!$Y$85),1,0)</f>
        <v>1</v>
      </c>
      <c r="AA85" s="65" t="e">
        <f>IF(NOT(AND(ISTEXT('[1]#REF'!$Q$13),'[1]#REF'!$Q$13&lt;&gt;"N/A")),"N/A",Lookup_Lists!$D$150)</f>
        <v>#REF!</v>
      </c>
      <c r="AB85" s="65" t="e">
        <f>IF(NOT(AND(ISTEXT('[1]#REF'!$Q$13),'[1]#REF'!$Q$13&lt;&gt;"N/A")),"N/A",Lookup_Lists!$D$150)</f>
        <v>#REF!</v>
      </c>
      <c r="AC85" s="65" t="str">
        <f t="shared" si="1"/>
        <v>N/A</v>
      </c>
      <c r="AD85" s="65" t="e">
        <f>IF(NOT(AND(ISTEXT('[1]#REF'!$Q$13),'[1]#REF'!$Q$13&lt;&gt;"N/A")),"N/A",Lookup_Lists!$D$150)</f>
        <v>#REF!</v>
      </c>
      <c r="AE85" s="63">
        <f>IF((IF(ISNUMBER(Matching_Engine!$AA$85),Lookup_Lists!$D$125,0)+IF(ISNUMBER(Matching_Engine!$AB$85),Lookup_Lists!$D$126,0)+IF(ISNUMBER(Matching_Engine!$AC$85),Lookup_Lists!$D$127,0)+IF(ISNUMBER(Matching_Engine!$AD$85),Lookup_Lists!$D$128,0))=0,"N/A",ROUND((IF(ISNUMBER(Matching_Engine!$AA$85),Matching_Engine!$AA$85*Lookup_Lists!$D$125,0)+IF(ISNUMBER(Matching_Engine!$AB$85),Matching_Engine!$AB$85*Lookup_Lists!$D$126,0)+IF(ISNUMBER(Matching_Engine!$AC$85),Matching_Engine!$AC$85*Lookup_Lists!$D$127,0)+IF(ISNUMBER(Matching_Engine!$AD$85),Matching_Engine!$AD$85*Lookup_Lists!$D$128,0))/(IF(ISNUMBER(Matching_Engine!$AA$85),Lookup_Lists!$D$125,0)+IF(ISNUMBER(Matching_Engine!$AB$85),Lookup_Lists!$D$126,0)+IF(ISNUMBER(Matching_Engine!$AC$85),Lookup_Lists!$D$127,0)+IF(ISNUMBER(Matching_Engine!$AD$85),Lookup_Lists!$D$128,0)),0))</f>
        <v>77</v>
      </c>
      <c r="AF85" s="42">
        <f>IF(ISNUMBER(Matching_Engine!$AE$85),1,0)</f>
        <v>1</v>
      </c>
      <c r="AG85" s="65" t="str">
        <f>IF(NOT(ISNUMBER('[1]#REF'!$BG$13)),"N/A",MIN(100,ROUND('[1]#REF'!$BG$13/IFERROR(INDEX(Lookup_Lists!$B$340:$B$344,MATCH('[1]#REF'!$H$13,Lookup_Lists!$A$340:$A$344,0)),Lookup_Lists!$D$141)*100,0)))</f>
        <v>N/A</v>
      </c>
      <c r="AH85" s="65" t="str">
        <f>IF(NOT(ISNUMBER('[1]#REF'!$BS$13)),"N/A",MIN(100,MAX(0,'[1]#REF'!$BS$13)))</f>
        <v>N/A</v>
      </c>
      <c r="AI85" s="65" t="e">
        <f>IF(OR(NOT(ISNUMBER('[1]#REF'!$BM$13)),NOT(ISNUMBER('[1]#REF'!$BN$13)),'[1]#REF'!$BN$13&lt;Lookup_Lists!$D$320),"N/A",MIN(100,ROUND('[1]#REF'!$BM$13/Lookup_Lists!$D$319*100,0)))</f>
        <v>#REF!</v>
      </c>
      <c r="AJ85" s="65" t="str">
        <f>IF(NOT(ISNUMBER('[1]#REF'!$BR$13)),"N/A",'[1]#REF'!$BR$13)</f>
        <v>N/A</v>
      </c>
      <c r="AK85" s="65" t="str">
        <f>IF(NOT(ISNUMBER('[1]#REF'!$BK$13)),"N/A",MIN(100,ROUND('[1]#REF'!$BK$13/Lookup_Lists!$D$321*100,0)))</f>
        <v>N/A</v>
      </c>
      <c r="AL85" s="65" t="str">
        <f>IF(NOT(ISNUMBER('[1]#REF'!$BP$13)),"N/A",MIN(100,MAX(0,ROUND(('[1]#REF'!$BP$13+2)/(Lookup_Lists!$D$145+2)*100,0))))</f>
        <v>N/A</v>
      </c>
      <c r="AM85" s="63">
        <f>IF((IF(ISNUMBER(Matching_Engine!$AG$85),Lookup_Lists!$D$129,0)+IF(ISNUMBER(Matching_Engine!$AH$85),Lookup_Lists!$D$130,0)+IF(ISNUMBER(Matching_Engine!$AI$85),Lookup_Lists!$D$131,0)+IF(ISNUMBER(Matching_Engine!$AJ$85),Lookup_Lists!$D$132,0)+IF(ISNUMBER(Matching_Engine!$AK$85),Lookup_Lists!$D$133,0)+IF(ISNUMBER(Matching_Engine!$AL$85),Lookup_Lists!$D$134,0))=0,"N/A",ROUND((IF(ISNUMBER(Matching_Engine!$AG$85),Matching_Engine!$AG$85*Lookup_Lists!$D$129,0)+IF(ISNUMBER(Matching_Engine!$AH$85),Matching_Engine!$AH$85*Lookup_Lists!$D$130,0)+IF(ISNUMBER(Matching_Engine!$AI$85),Matching_Engine!$AI$85*Lookup_Lists!$D$131,0)+IF(ISNUMBER(Matching_Engine!$AJ$85),Matching_Engine!$AJ$85*Lookup_Lists!$D$132,0)+IF(ISNUMBER(Matching_Engine!$AK$85),Matching_Engine!$AK$85*Lookup_Lists!$D$133,0)+IF(ISNUMBER(Matching_Engine!$AL$85),Matching_Engine!$AL$85*Lookup_Lists!$D$134,0))/(IF(ISNUMBER(Matching_Engine!$AG$85),Lookup_Lists!$D$129,0)+IF(ISNUMBER(Matching_Engine!$AH$85),Lookup_Lists!$D$130,0)+IF(ISNUMBER(Matching_Engine!$AI$85),Lookup_Lists!$D$131,0)+IF(ISNUMBER(Matching_Engine!$AJ$85),Lookup_Lists!$D$132,0)+IF(ISNUMBER(Matching_Engine!$AK$85),Lookup_Lists!$D$133,0)+IF(ISNUMBER(Matching_Engine!$AL$85),Lookup_Lists!$D$134,0)),0))</f>
        <v>61</v>
      </c>
      <c r="AN85" s="42">
        <f>IF(ISNUMBER(Matching_Engine!$AM$85),1,0)</f>
        <v>0</v>
      </c>
      <c r="AO85" s="65" t="str">
        <f>IF(NOT(ISNUMBER('[1]#REF'!$BT$13)),"N/A",MIN(100,MAX(0,'[1]#REF'!$BT$13)))</f>
        <v>N/A</v>
      </c>
      <c r="AP85" s="65" t="str">
        <f>IF(NOT(ISNUMBER('[1]#REF'!$BU$13)),"N/A",MIN(100,MAX(0,'[1]#REF'!$BU$13)))</f>
        <v>N/A</v>
      </c>
      <c r="AQ85" s="65" t="e">
        <f>IF('[1]#REF'!$I$13="Yes",Lookup_Lists!$D$326,IF('[1]#REF'!$I$13="No",Lookup_Lists!$D$327,"N/A"))</f>
        <v>#REF!</v>
      </c>
      <c r="AR85" s="65" t="str">
        <f>IF(NOT(ISNUMBER('[1]#REF'!$BQ$13)),"N/A",MAX(0,ROUND(100-'[1]#REF'!$BQ$13/Lookup_Lists!$D$328*100,0)))</f>
        <v>N/A</v>
      </c>
      <c r="AS85" s="65" t="e">
        <f>IF(NOT(AND(ISTEXT('[1]#REF'!$BV$13),'[1]#REF'!$BV$13&lt;&gt;"N/A")),"N/A",'[1]#REF'!$BV$13)</f>
        <v>#REF!</v>
      </c>
      <c r="AT85" s="63" t="str">
        <f ca="1">IF((IF(ISNUMBER(Matching_Engine!$AO$85),Lookup_Lists!$D$322,0)+IF(ISNUMBER(Matching_Engine!$AP$85),Lookup_Lists!$D$323,0)+IF(ISNUMBER(Matching_Engine!$AQ$85),Lookup_Lists!$D$324,0)+IF(ISNUMBER(Matching_Engine!$AR$85),Lookup_Lists!$D$325,0))=0,"N/A",ROUND((IF(ISNUMBER(Matching_Engine!$AO$85),Matching_Engine!$AO$85*Lookup_Lists!$D$322,0)+IF(ISNUMBER(Matching_Engine!$AP$85),Matching_Engine!$AP$85*Lookup_Lists!$D$323,0)+IF(ISNUMBER(Matching_Engine!$AQ$85),Matching_Engine!$AQ$85*Lookup_Lists!$D$324,0)+IF(ISNUMBER(Matching_Engine!$AR$85),Matching_Engine!$AR$85*Lookup_Lists!$D$325,0))/(IF(ISNUMBER(Matching_Engine!$AO$85),Lookup_Lists!$D$322,0)+IF(ISNUMBER(Matching_Engine!$AP$85),Lookup_Lists!$D$323,0)+IF(ISNUMBER(Matching_Engine!$AQ$85),Lookup_Lists!$D$324,0)+IF(ISNUMBER(Matching_Engine!$AR$85),Lookup_Lists!$D$325,0)),0))</f>
        <v>N/A</v>
      </c>
      <c r="AU85" s="42">
        <f>IF(ISNUMBER(Matching_Engine!$AT$85),1,0)</f>
        <v>1</v>
      </c>
      <c r="AV85" s="42" t="str">
        <f>IF(NOT(ISNUMBER(Matching_Engine!$AT$85)),"Not Screened",IF(Matching_Engine!$AT$85&gt;=Lookup_Lists!$D$329,"Low Risk",IF(Matching_Engine!$AT$85&gt;=Lookup_Lists!$D$330,"Moderate Risk",IF(Matching_Engine!$AT$85&gt;=Lookup_Lists!$D$331,"Elevated Risk","High Risk"))))</f>
        <v>Low Risk</v>
      </c>
      <c r="AW85" s="42" t="e">
        <f ca="1">IF(NOT(ISNUMBER(Matching_Engine!$AT$85)),"No integrity signal: no audience-analysis row for this account.","Integrity screen only — no content-risk reading exists (comments_analysis: 0 rows). "&amp;IF(ISNUMBER(Matching_Engine!$AO$85),"Authenticity "&amp;Matching_Engine!$AO$85&amp;". ","Authenticity N/A. ")&amp;IF(ISNUMBER(Matching_Engine!$AP$85),"Follower quality "&amp;Matching_Engine!$AP$85&amp;". ","Follower quality N/A. ")&amp;IF('[1]#REF'!$I$13="Yes","Platform-verified.","Not platform-verified."))</f>
        <v>#REF!</v>
      </c>
      <c r="AX85" s="65">
        <f>Matching_Engine!$N$85*Lookup_Lists!$D$104+Matching_Engine!$T$85*Lookup_Lists!$D$105+Matching_Engine!$Z$85*Lookup_Lists!$D$106+Matching_Engine!$AF$85*Lookup_Lists!$D$107+Matching_Engine!$AN$85*Lookup_Lists!$D$108+Matching_Engine!$AU$85*Lookup_Lists!$D$109</f>
        <v>5310</v>
      </c>
      <c r="AY85" s="74" t="e">
        <f ca="1">IF(Matching_Engine!$AX$85=0,"N/A",ROUND((IF(Matching_Engine!$N$85=1,Matching_Engine!$M$85*Lookup_Lists!$D$104,0)+IF(Matching_Engine!$T$85=1,Matching_Engine!$S$85*Lookup_Lists!$D$105,0)+IF(Matching_Engine!$Z$85=1,Matching_Engine!$Y$85*Lookup_Lists!$D$106,0)+IF(Matching_Engine!$AF$85=1,Matching_Engine!$AE$85*Lookup_Lists!$D$107,0)+IF(Matching_Engine!$AN$85=1,Matching_Engine!$AM$85*Lookup_Lists!$D$108,0)+IF(Matching_Engine!$AU$85=1,Matching_Engine!$AT$85*Lookup_Lists!$D$109,0))/Matching_Engine!$AX$85,0))</f>
        <v>#VALUE!</v>
      </c>
      <c r="AZ85" s="42" t="str">
        <f ca="1">IF(NOT(ISNUMBER(Matching_Engine!$AY$85)),"Not Scored",IF(Matching_Engine!$AY$85&gt;=Lookup_Lists!$D$152,"Excellent Match",IF(Matching_Engine!$AY$85&gt;=Lookup_Lists!$D$153,"Strong Match",IF(Matching_Engine!$AY$85&gt;=Lookup_Lists!$D$154,"Good Match",IF(Matching_Engine!$AY$85&gt;=Lookup_Lists!$D$155,"Moderate Match","Low Match")))))</f>
        <v>Moderate Match</v>
      </c>
      <c r="BA85" s="65" t="e">
        <f>'[1]#REF'!$BW$13</f>
        <v>#REF!</v>
      </c>
      <c r="BB85" s="42" t="e">
        <f>'[1]#REF'!$BX$13</f>
        <v>#REF!</v>
      </c>
      <c r="BC85" s="65">
        <f ca="1">IF(NOT(ISNUMBER(Matching_Engine!$AY$85)),-1,Matching_Engine!$AY$85*1000+17)</f>
        <v>67017</v>
      </c>
      <c r="BD85" s="42" t="e">
        <f>IF(AND(ISTEXT('[1]#REF'!$S$13),'[1]#REF'!$S$13&lt;&gt;"N/A"),'[1]#REF'!$S$13,"")&amp;" | "&amp;IF(AND(ISTEXT('[1]#REF'!$T$13),'[1]#REF'!$T$13&lt;&gt;"N/A"),'[1]#REF'!$T$13,"")&amp;" | "&amp;IF(AND(ISTEXT('[1]#REF'!$N$13),'[1]#REF'!$N$13&lt;&gt;"N/A"),'[1]#REF'!$N$13,"")&amp;" | "&amp;IF(AND(ISTEXT('[1]#REF'!$K$13),'[1]#REF'!$K$13&lt;&gt;"N/A"),'[1]#REF'!$K$13,"")&amp;" | "&amp;IF(AND(ISTEXT('[1]#REF'!$J$13),'[1]#REF'!$J$13&lt;&gt;"N/A"),'[1]#REF'!$J$13,"")</f>
        <v>#REF!</v>
      </c>
      <c r="BE85" s="42" t="e">
        <f>IF(AND(ISTEXT('[1]#REF'!$T$13),'[1]#REF'!$T$13&lt;&gt;"N/A"),'[1]#REF'!$T$13,"")&amp;" | "&amp;IF(AND(ISTEXT('[1]#REF'!$N$13),'[1]#REF'!$N$13&lt;&gt;"N/A"),'[1]#REF'!$N$13,"")&amp;" | "&amp;IF(AND(ISTEXT('[1]#REF'!$O$13),'[1]#REF'!$O$13&lt;&gt;"N/A"),'[1]#REF'!$O$13,"")&amp;" | "&amp;IF(AND(ISTEXT('[1]#REF'!$S$13),'[1]#REF'!$S$13&lt;&gt;"N/A"),'[1]#REF'!$S$13,"")</f>
        <v>#REF!</v>
      </c>
      <c r="BF85" s="42" t="e">
        <f>IF(AND(ISTEXT('[1]#REF'!$U$13),'[1]#REF'!$U$13&lt;&gt;"N/A"),'[1]#REF'!$U$13,"")</f>
        <v>#REF!</v>
      </c>
      <c r="BG85" s="42" t="str">
        <f>Matching_Engine!$A$85&amp;"|"&amp;Matching_Engine!$C$85</f>
        <v>BRAND-C|KOL-20</v>
      </c>
    </row>
    <row r="86" spans="1:59">
      <c r="A86" s="64" t="s">
        <v>2530</v>
      </c>
      <c r="B86" s="42" t="str">
        <f>Brand_Profile!$H$6</f>
        <v>Input type / allowed values</v>
      </c>
      <c r="C86" s="42" t="e">
        <f>'[1]#REF'!$A$14</f>
        <v>#REF!</v>
      </c>
      <c r="D86" s="42" t="e">
        <f>'[1]#REF'!$C$14</f>
        <v>#REF!</v>
      </c>
      <c r="E86" s="42" t="e">
        <f>'[1]#REF'!$D$14</f>
        <v>#REF!</v>
      </c>
      <c r="F86" s="42" t="e">
        <f>'[1]#REF'!$E$14</f>
        <v>#REF!</v>
      </c>
      <c r="G86" s="42" t="e">
        <f>'[1]#REF'!$K$14</f>
        <v>#REF!</v>
      </c>
      <c r="H86" s="72" t="e">
        <f>'[1]#REF'!$G$14</f>
        <v>#REF!</v>
      </c>
      <c r="I86" s="73" t="e">
        <f>'[1]#REF'!$BG$14</f>
        <v>#REF!</v>
      </c>
      <c r="J86" s="65" t="e">
        <f>IF(NOT(AND(ISTEXT('[1]#REF'!$K$14),'[1]#REF'!$K$14&lt;&gt;"N/A")),Lookup_Lists!$D$150,IF(Brand_Profile!$H$7='[1]#REF'!$K$14,100,IFERROR(INDEX(Lookup_Lists!$B$349:$J$357,MATCH(Brand_Profile!$H$7,Lookup_Lists!$A$349:$A$357,0),MATCH('[1]#REF'!$K$14,Lookup_Lists!$B$348:$J$348,0)),Lookup_Lists!$D$151)))</f>
        <v>#REF!</v>
      </c>
      <c r="K86" s="65" t="e">
        <f>IF(LEN(TRIM(SUBSTITUTE(Matching_Engine!$BD$86,"|","")))=0,"N/A",IF(Brand_Profile!$H$47=0,Lookup_Lists!$D$150,ROUND((IF(Brand_Profile!$H$41="",0,IF(ISNUMBER(SEARCH(Brand_Profile!$H$41,Matching_Engine!$BD$86)),1,0))+IF(Brand_Profile!$H$42="",0,IF(ISNUMBER(SEARCH(Brand_Profile!$H$42,Matching_Engine!$BD$86)),1,0))+IF(Brand_Profile!$H$43="",0,IF(ISNUMBER(SEARCH(Brand_Profile!$H$43,Matching_Engine!$BD$86)),1,0))+IF(Brand_Profile!$H$44="",0,IF(ISNUMBER(SEARCH(Brand_Profile!$H$44,Matching_Engine!$BD$86)),1,0))+IF(Brand_Profile!$H$45="",0,IF(ISNUMBER(SEARCH(Brand_Profile!$H$45,Matching_Engine!$BD$86)),1,0))+IF(Brand_Profile!$H$46="",0,IF(ISNUMBER(SEARCH(Brand_Profile!$H$46,Matching_Engine!$BD$86)),1,0)))/Brand_Profile!$H$47*100,0)))</f>
        <v>#VALUE!</v>
      </c>
      <c r="L86" s="65" t="e">
        <f>IF(NOT(AND(ISTEXT('[1]#REF'!$U$14),'[1]#REF'!$U$14&lt;&gt;"N/A")),"N/A",IF(Brand_Profile!$H$53=0,Lookup_Lists!$D$150,ROUND((IF(Brand_Profile!$H$48="",0,IF(ISNUMBER(SEARCH(Brand_Profile!$H$48,Matching_Engine!$BF$86)),1,0))+IF(Brand_Profile!$H$49="",0,IF(ISNUMBER(SEARCH(Brand_Profile!$H$49,Matching_Engine!$BF$86)),1,0))+IF(Brand_Profile!$H$50="",0,IF(ISNUMBER(SEARCH(Brand_Profile!$H$50,Matching_Engine!$BF$86)),1,0))+IF(Brand_Profile!$H$51="",0,IF(ISNUMBER(SEARCH(Brand_Profile!$H$51,Matching_Engine!$BF$86)),1,0))+IF(Brand_Profile!$H$52="",0,IF(ISNUMBER(SEARCH(Brand_Profile!$H$52,Matching_Engine!$BF$86)),1,0)))/Brand_Profile!$H$53*100,0)))</f>
        <v>#REF!</v>
      </c>
      <c r="M86" s="63" t="str">
        <f>IF((IF(ISNUMBER(Matching_Engine!$J$86),Lookup_Lists!$D$332,0)+IF(ISNUMBER(Matching_Engine!$K$86),Lookup_Lists!$D$333,0)+IF(ISNUMBER(Matching_Engine!$L$86),Lookup_Lists!$D$334,0))=0,"N/A",ROUND((IF(ISNUMBER(Matching_Engine!$J$86),Matching_Engine!$J$86*Lookup_Lists!$D$332,0)+IF(ISNUMBER(Matching_Engine!$K$86),Matching_Engine!$K$86*Lookup_Lists!$D$333,0)+IF(ISNUMBER(Matching_Engine!$L$86),Matching_Engine!$L$86*Lookup_Lists!$D$334,0))/(IF(ISNUMBER(Matching_Engine!$J$86),Lookup_Lists!$D$332,0)+IF(ISNUMBER(Matching_Engine!$K$86),Lookup_Lists!$D$333,0)+IF(ISNUMBER(Matching_Engine!$L$86),Lookup_Lists!$D$334,0)),0))</f>
        <v>N/A</v>
      </c>
      <c r="N86" s="42">
        <f>IF(ISNUMBER(Matching_Engine!$M$86),1,0)</f>
        <v>1</v>
      </c>
      <c r="O86" s="65" t="str">
        <f ca="1">IF(NOT(ISNUMBER(IFERROR(INDEX('[1]#REF'!$V$14:'[1]#REF'!$Z$14,1,MATCH(Brand_Profile!$H$11,Lookup_Lists!$F$6:$F$10,0)),""))),"N/A",MIN(100,ROUND((IFERROR(INDEX('[1]#REF'!$V$14:'[1]#REF'!$Z$14,1,MATCH(Brand_Profile!$H$11,Lookup_Lists!$F$6:$F$10,0)),"")+0.5*IF(ISNUMBER(IFERROR(INDEX('[1]#REF'!$V$14:'[1]#REF'!$Z$14,1,MATCH(Brand_Profile!$H$12,Lookup_Lists!$F$6:$F$10,0)),"")),IFERROR(INDEX('[1]#REF'!$V$14:'[1]#REF'!$Z$14,1,MATCH(Brand_Profile!$H$12,Lookup_Lists!$F$6:$F$10,0)),""),0))/Lookup_Lists!$D$142*100,0)))</f>
        <v>N/A</v>
      </c>
      <c r="P86" s="65" t="str">
        <f>IF(Brand_Profile!$H$13="Any",100,IF(NOT(ISNUMBER('[1]#REF'!$AA$14)),"N/A",IF(Brand_Profile!$H$13="Female",MIN(100,ROUND('[1]#REF'!$AA$14/Lookup_Lists!$D$143*100,0)),IF(Brand_Profile!$H$13="Male",MIN(100,ROUND(IF(ISNUMBER('[1]#REF'!$AB$14),'[1]#REF'!$AB$14,100-'[1]#REF'!$AA$14)/Lookup_Lists!$D$143*100,0)),MAX(0,ROUND(100-ABS('[1]#REF'!$AA$14-50)*2,0))))))</f>
        <v>N/A</v>
      </c>
      <c r="Q86" s="65" t="str">
        <f>IF((IF(ISNUMBER(IF(NOT(ISNUMBER('[1]#REF'!$AE$14)),"N/A",IF('[1]#REF'!$AD$14&lt;&gt;Brand_Profile!$H$14,Lookup_Lists!$D$151,MIN(100,ROUND('[1]#REF'!$AE$14/Lookup_Lists!$D$316*100,0))))),Lookup_Lists!$D$118,0)+IF(ISNUMBER(IF(NOT(ISNUMBER('[1]#REF'!$AM$14)),"N/A",MIN(100,ROUND((IF('[1]#REF'!$AG$14=Brand_Profile!$H$15,IF(ISNUMBER('[1]#REF'!$AH$14),'[1]#REF'!$AH$14,0),0)+IF('[1]#REF'!$AI$14=Brand_Profile!$H$15,IF(ISNUMBER('[1]#REF'!$AJ$14),'[1]#REF'!$AJ$14,0),0)+IF('[1]#REF'!$AK$14=Brand_Profile!$H$15,IF(ISNUMBER('[1]#REF'!$AL$14),'[1]#REF'!$AL$14,0),0))/Lookup_Lists!$D$317*100,0)))),Lookup_Lists!$D$120,0))=0,"N/A",ROUND((IF(ISNUMBER(IF(NOT(ISNUMBER('[1]#REF'!$AE$14)),"N/A",IF('[1]#REF'!$AD$14&lt;&gt;Brand_Profile!$H$14,Lookup_Lists!$D$151,MIN(100,ROUND('[1]#REF'!$AE$14/Lookup_Lists!$D$316*100,0))))),IF(NOT(ISNUMBER('[1]#REF'!$AE$14)),"N/A",IF('[1]#REF'!$AD$14&lt;&gt;Brand_Profile!$H$14,Lookup_Lists!$D$151,MIN(100,ROUND('[1]#REF'!$AE$14/Lookup_Lists!$D$316*100,0))))*Lookup_Lists!$D$118,0)+IF(ISNUMBER(IF(NOT(ISNUMBER('[1]#REF'!$AM$14)),"N/A",MIN(100,ROUND((IF('[1]#REF'!$AG$14=Brand_Profile!$H$15,IF(ISNUMBER('[1]#REF'!$AH$14),'[1]#REF'!$AH$14,0),0)+IF('[1]#REF'!$AI$14=Brand_Profile!$H$15,IF(ISNUMBER('[1]#REF'!$AJ$14),'[1]#REF'!$AJ$14,0),0)+IF('[1]#REF'!$AK$14=Brand_Profile!$H$15,IF(ISNUMBER('[1]#REF'!$AL$14),'[1]#REF'!$AL$14,0),0))/Lookup_Lists!$D$317*100,0)))),IF(NOT(ISNUMBER('[1]#REF'!$AM$14)),"N/A",MIN(100,ROUND((IF('[1]#REF'!$AG$14=Brand_Profile!$H$15,IF(ISNUMBER('[1]#REF'!$AH$14),'[1]#REF'!$AH$14,0),0)+IF('[1]#REF'!$AI$14=Brand_Profile!$H$15,IF(ISNUMBER('[1]#REF'!$AJ$14),'[1]#REF'!$AJ$14,0),0)+IF('[1]#REF'!$AK$14=Brand_Profile!$H$15,IF(ISNUMBER('[1]#REF'!$AL$14),'[1]#REF'!$AL$14,0),0))/Lookup_Lists!$D$317*100,0)))*Lookup_Lists!$D$120,0))/(IF(ISNUMBER(IF(NOT(ISNUMBER('[1]#REF'!$AE$14)),"N/A",IF('[1]#REF'!$AD$14&lt;&gt;Brand_Profile!$H$14,Lookup_Lists!$D$151,MIN(100,ROUND('[1]#REF'!$AE$14/Lookup_Lists!$D$316*100,0))))),Lookup_Lists!$D$118,0)+IF(ISNUMBER(IF(NOT(ISNUMBER('[1]#REF'!$AM$14)),"N/A",MIN(100,ROUND((IF('[1]#REF'!$AG$14=Brand_Profile!$H$15,IF(ISNUMBER('[1]#REF'!$AH$14),'[1]#REF'!$AH$14,0),0)+IF('[1]#REF'!$AI$14=Brand_Profile!$H$15,IF(ISNUMBER('[1]#REF'!$AJ$14),'[1]#REF'!$AJ$14,0),0)+IF('[1]#REF'!$AK$14=Brand_Profile!$H$15,IF(ISNUMBER('[1]#REF'!$AL$14),'[1]#REF'!$AL$14,0),0))/Lookup_Lists!$D$317*100,0)))),Lookup_Lists!$D$120,0)),0))</f>
        <v>N/A</v>
      </c>
      <c r="R86" s="65" t="str">
        <f>IF(NOT(ISNUMBER('[1]#REF'!$AN$14)),"N/A",MIN(100,ROUND((IF(ISNUMBER('[1]#REF'!$AO$14),'[1]#REF'!$AO$14*Brand_Profile!$H$17,0)+IF(ISNUMBER('[1]#REF'!$AP$14),'[1]#REF'!$AP$14*Brand_Profile!$H$18,0)+IF(ISNUMBER('[1]#REF'!$AQ$14),'[1]#REF'!$AQ$14*Brand_Profile!$H$19,0)+IF(ISNUMBER('[1]#REF'!$AR$14),'[1]#REF'!$AR$14*Brand_Profile!$H$20,0)+IF(ISNUMBER('[1]#REF'!$AS$14),'[1]#REF'!$AS$14*Brand_Profile!$H$21,0)+IF(ISNUMBER('[1]#REF'!$AT$14),'[1]#REF'!$AT$14*Brand_Profile!$H$22,0)+IF(ISNUMBER('[1]#REF'!$AU$14),'[1]#REF'!$AU$14*Brand_Profile!$H$23,0)+IF(ISNUMBER('[1]#REF'!$AV$14),'[1]#REF'!$AV$14*Brand_Profile!$H$24,0)+IF(ISNUMBER('[1]#REF'!$AW$14),'[1]#REF'!$AW$14*Brand_Profile!$H$25,0)+IF(ISNUMBER('[1]#REF'!$AX$14),'[1]#REF'!$AX$14*Brand_Profile!$H$26,0)+IF(ISNUMBER('[1]#REF'!$AY$14),'[1]#REF'!$AY$14*Brand_Profile!$H$27,0)+IF(ISNUMBER('[1]#REF'!$AZ$14),'[1]#REF'!$AZ$14*Brand_Profile!$H$28,0)+IF(ISNUMBER('[1]#REF'!$BA$14),'[1]#REF'!$BA$14*Brand_Profile!$H$29,0)+IF(ISNUMBER('[1]#REF'!$BB$14),'[1]#REF'!$BB$14*Brand_Profile!$H$30,0)+IF(ISNUMBER('[1]#REF'!$BC$14),'[1]#REF'!$BC$14*Brand_Profile!$H$31,0)+IF(ISNUMBER('[1]#REF'!$BD$14),'[1]#REF'!$BD$14*Brand_Profile!$H$32,0)+IF(ISNUMBER('[1]#REF'!$BE$14),'[1]#REF'!$BE$14*Brand_Profile!$H$33,0)+IF(ISNUMBER('[1]#REF'!$BF$14),'[1]#REF'!$BF$14*Brand_Profile!$H$34,0))/Lookup_Lists!$D$318*100,0)))</f>
        <v>N/A</v>
      </c>
      <c r="S86" s="63">
        <f ca="1">IF((IF(ISNUMBER(Matching_Engine!$O$86),Lookup_Lists!$D$113,0)+IF(ISNUMBER(Matching_Engine!$P$86),Lookup_Lists!$D$114,0)+IF(ISNUMBER(Matching_Engine!$Q$86),Lookup_Lists!$D$115,0)+IF(ISNUMBER(Matching_Engine!$R$86),Lookup_Lists!$D$116,0))=0,"N/A",ROUND((IF(ISNUMBER(Matching_Engine!$O$86),Matching_Engine!$O$86*Lookup_Lists!$D$113,0)+IF(ISNUMBER(Matching_Engine!$P$86),Matching_Engine!$P$86*Lookup_Lists!$D$114,0)+IF(ISNUMBER(Matching_Engine!$Q$86),Matching_Engine!$Q$86*Lookup_Lists!$D$115,0)+IF(ISNUMBER(Matching_Engine!$R$86),Matching_Engine!$R$86*Lookup_Lists!$D$116,0))/(IF(ISNUMBER(Matching_Engine!$O$86),Lookup_Lists!$D$113,0)+IF(ISNUMBER(Matching_Engine!$P$86),Lookup_Lists!$D$114,0)+IF(ISNUMBER(Matching_Engine!$Q$86),Lookup_Lists!$D$115,0)+IF(ISNUMBER(Matching_Engine!$R$86),Lookup_Lists!$D$116,0)),0))</f>
        <v>75</v>
      </c>
      <c r="T86" s="42">
        <f ca="1">IF(ISNUMBER(Matching_Engine!$S$86),1,0)</f>
        <v>1</v>
      </c>
      <c r="U86" s="65" t="e">
        <f>IF(NOT(AND(ISTEXT('[1]#REF'!$M$14),'[1]#REF'!$M$14&lt;&gt;"N/A")),Lookup_Lists!$D$150,IF(Brand_Profile!$H$7='[1]#REF'!$M$14,100,IFERROR(INDEX(Lookup_Lists!$B$349:$J$357,MATCH(Brand_Profile!$H$7,Lookup_Lists!$A$349:$A$357,0),MATCH('[1]#REF'!$M$14,Lookup_Lists!$B$348:$J$348,0)),Lookup_Lists!$D$151)))</f>
        <v>#REF!</v>
      </c>
      <c r="V86" s="65" t="e">
        <f>IF(NOT(AND(ISTEXT('[1]#REF'!$P$14),'[1]#REF'!$P$14&lt;&gt;"N/A")),"N/A",IFERROR(INDEX(Lookup_Lists!$B$349:$J$357,MATCH(Brand_Profile!$H$7,Lookup_Lists!$A$349:$A$357,0),MATCH('[1]#REF'!$P$14,Lookup_Lists!$B$348:$J$348,0)),Lookup_Lists!$D$151))</f>
        <v>#REF!</v>
      </c>
      <c r="W86" s="65" t="e">
        <f>IF(LEN(TRIM(SUBSTITUTE(Matching_Engine!$BE$86,"|","")))=0,"N/A",IF(Brand_Profile!$H$60=0,Lookup_Lists!$D$150,ROUND((IF(Brand_Profile!$H$54="",0,IF(ISNUMBER(SEARCH(Brand_Profile!$H$54,Matching_Engine!$BE$86)),1,0))+IF(Brand_Profile!$H$55="",0,IF(ISNUMBER(SEARCH(Brand_Profile!$H$55,Matching_Engine!$BE$86)),1,0))+IF(Brand_Profile!$H$56="",0,IF(ISNUMBER(SEARCH(Brand_Profile!$H$56,Matching_Engine!$BE$86)),1,0))+IF(Brand_Profile!$H$57="",0,IF(ISNUMBER(SEARCH(Brand_Profile!$H$57,Matching_Engine!$BE$86)),1,0))+IF(Brand_Profile!$H$58="",0,IF(ISNUMBER(SEARCH(Brand_Profile!$H$58,Matching_Engine!$BE$86)),1,0))+IF(Brand_Profile!$H$59="",0,IF(ISNUMBER(SEARCH(Brand_Profile!$H$59,Matching_Engine!$BE$86)),1,0)))/Brand_Profile!$H$60*100,0)))</f>
        <v>#VALUE!</v>
      </c>
      <c r="X86" s="65" t="e">
        <f>IF(NOT(AND(ISTEXT('[1]#REF'!$Q$14),'[1]#REF'!$Q$14&lt;&gt;"N/A")),"N/A",Lookup_Lists!$D$150)</f>
        <v>#REF!</v>
      </c>
      <c r="Y86" s="63">
        <f>IF((IF(ISNUMBER(Matching_Engine!$U$86),Lookup_Lists!$D$335,0)+IF(ISNUMBER(Matching_Engine!$V$86),Lookup_Lists!$D$122,0)+IF(ISNUMBER(Matching_Engine!$W$86),Lookup_Lists!$D$336,0)+IF(ISNUMBER(Matching_Engine!$X$86),Lookup_Lists!$D$124,0))=0,"N/A",ROUND((IF(ISNUMBER(Matching_Engine!$U$86),Matching_Engine!$U$86*Lookup_Lists!$D$335,0)+IF(ISNUMBER(Matching_Engine!$V$86),Matching_Engine!$V$86*Lookup_Lists!$D$122,0)+IF(ISNUMBER(Matching_Engine!$W$86),Matching_Engine!$W$86*Lookup_Lists!$D$336,0)+IF(ISNUMBER(Matching_Engine!$X$86),Matching_Engine!$X$86*Lookup_Lists!$D$124,0))/(IF(ISNUMBER(Matching_Engine!$U$86),Lookup_Lists!$D$335,0)+IF(ISNUMBER(Matching_Engine!$V$86),Lookup_Lists!$D$122,0)+IF(ISNUMBER(Matching_Engine!$W$86),Lookup_Lists!$D$336,0)+IF(ISNUMBER(Matching_Engine!$X$86),Lookup_Lists!$D$124,0)),0))</f>
        <v>39</v>
      </c>
      <c r="Z86" s="42">
        <f>IF(ISNUMBER(Matching_Engine!$Y$86),1,0)</f>
        <v>1</v>
      </c>
      <c r="AA86" s="65" t="e">
        <f>IF(NOT(AND(ISTEXT('[1]#REF'!$Q$14),'[1]#REF'!$Q$14&lt;&gt;"N/A")),"N/A",Lookup_Lists!$D$150)</f>
        <v>#REF!</v>
      </c>
      <c r="AB86" s="65" t="e">
        <f>IF(NOT(AND(ISTEXT('[1]#REF'!$Q$14),'[1]#REF'!$Q$14&lt;&gt;"N/A")),"N/A",Lookup_Lists!$D$150)</f>
        <v>#REF!</v>
      </c>
      <c r="AC86" s="65" t="str">
        <f t="shared" si="1"/>
        <v>N/A</v>
      </c>
      <c r="AD86" s="65" t="e">
        <f>IF(NOT(AND(ISTEXT('[1]#REF'!$Q$14),'[1]#REF'!$Q$14&lt;&gt;"N/A")),"N/A",Lookup_Lists!$D$150)</f>
        <v>#REF!</v>
      </c>
      <c r="AE86" s="63">
        <f>IF((IF(ISNUMBER(Matching_Engine!$AA$86),Lookup_Lists!$D$125,0)+IF(ISNUMBER(Matching_Engine!$AB$86),Lookup_Lists!$D$126,0)+IF(ISNUMBER(Matching_Engine!$AC$86),Lookup_Lists!$D$127,0)+IF(ISNUMBER(Matching_Engine!$AD$86),Lookup_Lists!$D$128,0))=0,"N/A",ROUND((IF(ISNUMBER(Matching_Engine!$AA$86),Matching_Engine!$AA$86*Lookup_Lists!$D$125,0)+IF(ISNUMBER(Matching_Engine!$AB$86),Matching_Engine!$AB$86*Lookup_Lists!$D$126,0)+IF(ISNUMBER(Matching_Engine!$AC$86),Matching_Engine!$AC$86*Lookup_Lists!$D$127,0)+IF(ISNUMBER(Matching_Engine!$AD$86),Matching_Engine!$AD$86*Lookup_Lists!$D$128,0))/(IF(ISNUMBER(Matching_Engine!$AA$86),Lookup_Lists!$D$125,0)+IF(ISNUMBER(Matching_Engine!$AB$86),Lookup_Lists!$D$126,0)+IF(ISNUMBER(Matching_Engine!$AC$86),Lookup_Lists!$D$127,0)+IF(ISNUMBER(Matching_Engine!$AD$86),Lookup_Lists!$D$128,0)),0))</f>
        <v>75</v>
      </c>
      <c r="AF86" s="42">
        <f>IF(ISNUMBER(Matching_Engine!$AE$86),1,0)</f>
        <v>1</v>
      </c>
      <c r="AG86" s="65" t="str">
        <f>IF(NOT(ISNUMBER('[1]#REF'!$BG$14)),"N/A",MIN(100,ROUND('[1]#REF'!$BG$14/IFERROR(INDEX(Lookup_Lists!$B$340:$B$344,MATCH('[1]#REF'!$H$14,Lookup_Lists!$A$340:$A$344,0)),Lookup_Lists!$D$141)*100,0)))</f>
        <v>N/A</v>
      </c>
      <c r="AH86" s="65" t="str">
        <f>IF(NOT(ISNUMBER('[1]#REF'!$BS$14)),"N/A",MIN(100,MAX(0,'[1]#REF'!$BS$14)))</f>
        <v>N/A</v>
      </c>
      <c r="AI86" s="65" t="e">
        <f>IF(OR(NOT(ISNUMBER('[1]#REF'!$BM$14)),NOT(ISNUMBER('[1]#REF'!$BN$14)),'[1]#REF'!$BN$14&lt;Lookup_Lists!$D$320),"N/A",MIN(100,ROUND('[1]#REF'!$BM$14/Lookup_Lists!$D$319*100,0)))</f>
        <v>#REF!</v>
      </c>
      <c r="AJ86" s="65" t="str">
        <f>IF(NOT(ISNUMBER('[1]#REF'!$BR$14)),"N/A",'[1]#REF'!$BR$14)</f>
        <v>N/A</v>
      </c>
      <c r="AK86" s="65" t="str">
        <f>IF(NOT(ISNUMBER('[1]#REF'!$BK$14)),"N/A",MIN(100,ROUND('[1]#REF'!$BK$14/Lookup_Lists!$D$321*100,0)))</f>
        <v>N/A</v>
      </c>
      <c r="AL86" s="65" t="str">
        <f>IF(NOT(ISNUMBER('[1]#REF'!$BP$14)),"N/A",MIN(100,MAX(0,ROUND(('[1]#REF'!$BP$14+2)/(Lookup_Lists!$D$145+2)*100,0))))</f>
        <v>N/A</v>
      </c>
      <c r="AM86" s="63">
        <f>IF((IF(ISNUMBER(Matching_Engine!$AG$86),Lookup_Lists!$D$129,0)+IF(ISNUMBER(Matching_Engine!$AH$86),Lookup_Lists!$D$130,0)+IF(ISNUMBER(Matching_Engine!$AI$86),Lookup_Lists!$D$131,0)+IF(ISNUMBER(Matching_Engine!$AJ$86),Lookup_Lists!$D$132,0)+IF(ISNUMBER(Matching_Engine!$AK$86),Lookup_Lists!$D$133,0)+IF(ISNUMBER(Matching_Engine!$AL$86),Lookup_Lists!$D$134,0))=0,"N/A",ROUND((IF(ISNUMBER(Matching_Engine!$AG$86),Matching_Engine!$AG$86*Lookup_Lists!$D$129,0)+IF(ISNUMBER(Matching_Engine!$AH$86),Matching_Engine!$AH$86*Lookup_Lists!$D$130,0)+IF(ISNUMBER(Matching_Engine!$AI$86),Matching_Engine!$AI$86*Lookup_Lists!$D$131,0)+IF(ISNUMBER(Matching_Engine!$AJ$86),Matching_Engine!$AJ$86*Lookup_Lists!$D$132,0)+IF(ISNUMBER(Matching_Engine!$AK$86),Matching_Engine!$AK$86*Lookup_Lists!$D$133,0)+IF(ISNUMBER(Matching_Engine!$AL$86),Matching_Engine!$AL$86*Lookup_Lists!$D$134,0))/(IF(ISNUMBER(Matching_Engine!$AG$86),Lookup_Lists!$D$129,0)+IF(ISNUMBER(Matching_Engine!$AH$86),Lookup_Lists!$D$130,0)+IF(ISNUMBER(Matching_Engine!$AI$86),Lookup_Lists!$D$131,0)+IF(ISNUMBER(Matching_Engine!$AJ$86),Lookup_Lists!$D$132,0)+IF(ISNUMBER(Matching_Engine!$AK$86),Lookup_Lists!$D$133,0)+IF(ISNUMBER(Matching_Engine!$AL$86),Lookup_Lists!$D$134,0)),0))</f>
        <v>65</v>
      </c>
      <c r="AN86" s="42">
        <f>IF(ISNUMBER(Matching_Engine!$AM$86),1,0)</f>
        <v>0</v>
      </c>
      <c r="AO86" s="65" t="str">
        <f>IF(NOT(ISNUMBER('[1]#REF'!$BT$14)),"N/A",MIN(100,MAX(0,'[1]#REF'!$BT$14)))</f>
        <v>N/A</v>
      </c>
      <c r="AP86" s="65" t="str">
        <f>IF(NOT(ISNUMBER('[1]#REF'!$BU$14)),"N/A",MIN(100,MAX(0,'[1]#REF'!$BU$14)))</f>
        <v>N/A</v>
      </c>
      <c r="AQ86" s="65" t="e">
        <f>IF('[1]#REF'!$I$14="Yes",Lookup_Lists!$D$326,IF('[1]#REF'!$I$14="No",Lookup_Lists!$D$327,"N/A"))</f>
        <v>#REF!</v>
      </c>
      <c r="AR86" s="65" t="str">
        <f>IF(NOT(ISNUMBER('[1]#REF'!$BQ$14)),"N/A",MAX(0,ROUND(100-'[1]#REF'!$BQ$14/Lookup_Lists!$D$328*100,0)))</f>
        <v>N/A</v>
      </c>
      <c r="AS86" s="65" t="e">
        <f>IF(NOT(AND(ISTEXT('[1]#REF'!$BV$14),'[1]#REF'!$BV$14&lt;&gt;"N/A")),"N/A",'[1]#REF'!$BV$14)</f>
        <v>#REF!</v>
      </c>
      <c r="AT86" s="63" t="str">
        <f ca="1">IF((IF(ISNUMBER(Matching_Engine!$AO$86),Lookup_Lists!$D$322,0)+IF(ISNUMBER(Matching_Engine!$AP$86),Lookup_Lists!$D$323,0)+IF(ISNUMBER(Matching_Engine!$AQ$86),Lookup_Lists!$D$324,0)+IF(ISNUMBER(Matching_Engine!$AR$86),Lookup_Lists!$D$325,0))=0,"N/A",ROUND((IF(ISNUMBER(Matching_Engine!$AO$86),Matching_Engine!$AO$86*Lookup_Lists!$D$322,0)+IF(ISNUMBER(Matching_Engine!$AP$86),Matching_Engine!$AP$86*Lookup_Lists!$D$323,0)+IF(ISNUMBER(Matching_Engine!$AQ$86),Matching_Engine!$AQ$86*Lookup_Lists!$D$324,0)+IF(ISNUMBER(Matching_Engine!$AR$86),Matching_Engine!$AR$86*Lookup_Lists!$D$325,0))/(IF(ISNUMBER(Matching_Engine!$AO$86),Lookup_Lists!$D$322,0)+IF(ISNUMBER(Matching_Engine!$AP$86),Lookup_Lists!$D$323,0)+IF(ISNUMBER(Matching_Engine!$AQ$86),Lookup_Lists!$D$324,0)+IF(ISNUMBER(Matching_Engine!$AR$86),Lookup_Lists!$D$325,0)),0))</f>
        <v>N/A</v>
      </c>
      <c r="AU86" s="42">
        <f>IF(ISNUMBER(Matching_Engine!$AT$86),1,0)</f>
        <v>1</v>
      </c>
      <c r="AV86" s="42" t="str">
        <f>IF(NOT(ISNUMBER(Matching_Engine!$AT$86)),"Not Screened",IF(Matching_Engine!$AT$86&gt;=Lookup_Lists!$D$329,"Low Risk",IF(Matching_Engine!$AT$86&gt;=Lookup_Lists!$D$330,"Moderate Risk",IF(Matching_Engine!$AT$86&gt;=Lookup_Lists!$D$331,"Elevated Risk","High Risk"))))</f>
        <v>Low Risk</v>
      </c>
      <c r="AW86" s="42" t="e">
        <f ca="1">IF(NOT(ISNUMBER(Matching_Engine!$AT$86)),"No integrity signal: no audience-analysis row for this account.","Integrity screen only — no content-risk reading exists (comments_analysis: 0 rows). "&amp;IF(ISNUMBER(Matching_Engine!$AO$86),"Authenticity "&amp;Matching_Engine!$AO$86&amp;". ","Authenticity N/A. ")&amp;IF(ISNUMBER(Matching_Engine!$AP$86),"Follower quality "&amp;Matching_Engine!$AP$86&amp;". ","Follower quality N/A. ")&amp;IF('[1]#REF'!$I$14="Yes","Platform-verified.","Not platform-verified."))</f>
        <v>#REF!</v>
      </c>
      <c r="AX86" s="65">
        <f>Matching_Engine!$N$86*Lookup_Lists!$D$104+Matching_Engine!$T$86*Lookup_Lists!$D$105+Matching_Engine!$Z$86*Lookup_Lists!$D$106+Matching_Engine!$AF$86*Lookup_Lists!$D$107+Matching_Engine!$AN$86*Lookup_Lists!$D$108+Matching_Engine!$AU$86*Lookup_Lists!$D$109</f>
        <v>4548.5</v>
      </c>
      <c r="AY86" s="74" t="e">
        <f ca="1">IF(Matching_Engine!$AX$86=0,"N/A",ROUND((IF(Matching_Engine!$N$86=1,Matching_Engine!$M$86*Lookup_Lists!$D$104,0)+IF(Matching_Engine!$T$86=1,Matching_Engine!$S$86*Lookup_Lists!$D$105,0)+IF(Matching_Engine!$Z$86=1,Matching_Engine!$Y$86*Lookup_Lists!$D$106,0)+IF(Matching_Engine!$AF$86=1,Matching_Engine!$AE$86*Lookup_Lists!$D$107,0)+IF(Matching_Engine!$AN$86=1,Matching_Engine!$AM$86*Lookup_Lists!$D$108,0)+IF(Matching_Engine!$AU$86=1,Matching_Engine!$AT$86*Lookup_Lists!$D$109,0))/Matching_Engine!$AX$86,0))</f>
        <v>#VALUE!</v>
      </c>
      <c r="AZ86" s="42" t="str">
        <f ca="1">IF(NOT(ISNUMBER(Matching_Engine!$AY$86)),"Not Scored",IF(Matching_Engine!$AY$86&gt;=Lookup_Lists!$D$152,"Excellent Match",IF(Matching_Engine!$AY$86&gt;=Lookup_Lists!$D$153,"Strong Match",IF(Matching_Engine!$AY$86&gt;=Lookup_Lists!$D$154,"Good Match",IF(Matching_Engine!$AY$86&gt;=Lookup_Lists!$D$155,"Moderate Match","Low Match")))))</f>
        <v>Not Scored</v>
      </c>
      <c r="BA86" s="65" t="e">
        <f>'[1]#REF'!$BW$14</f>
        <v>#REF!</v>
      </c>
      <c r="BB86" s="42" t="e">
        <f>'[1]#REF'!$BX$14</f>
        <v>#REF!</v>
      </c>
      <c r="BC86" s="65">
        <f ca="1">IF(NOT(ISNUMBER(Matching_Engine!$AY$86)),-1,Matching_Engine!$AY$86*1000+16)</f>
        <v>-1</v>
      </c>
      <c r="BD86" s="42" t="e">
        <f>IF(AND(ISTEXT('[1]#REF'!$S$14),'[1]#REF'!$S$14&lt;&gt;"N/A"),'[1]#REF'!$S$14,"")&amp;" | "&amp;IF(AND(ISTEXT('[1]#REF'!$T$14),'[1]#REF'!$T$14&lt;&gt;"N/A"),'[1]#REF'!$T$14,"")&amp;" | "&amp;IF(AND(ISTEXT('[1]#REF'!$N$14),'[1]#REF'!$N$14&lt;&gt;"N/A"),'[1]#REF'!$N$14,"")&amp;" | "&amp;IF(AND(ISTEXT('[1]#REF'!$K$14),'[1]#REF'!$K$14&lt;&gt;"N/A"),'[1]#REF'!$K$14,"")&amp;" | "&amp;IF(AND(ISTEXT('[1]#REF'!$J$14),'[1]#REF'!$J$14&lt;&gt;"N/A"),'[1]#REF'!$J$14,"")</f>
        <v>#REF!</v>
      </c>
      <c r="BE86" s="42" t="e">
        <f>IF(AND(ISTEXT('[1]#REF'!$T$14),'[1]#REF'!$T$14&lt;&gt;"N/A"),'[1]#REF'!$T$14,"")&amp;" | "&amp;IF(AND(ISTEXT('[1]#REF'!$N$14),'[1]#REF'!$N$14&lt;&gt;"N/A"),'[1]#REF'!$N$14,"")&amp;" | "&amp;IF(AND(ISTEXT('[1]#REF'!$O$14),'[1]#REF'!$O$14&lt;&gt;"N/A"),'[1]#REF'!$O$14,"")&amp;" | "&amp;IF(AND(ISTEXT('[1]#REF'!$S$14),'[1]#REF'!$S$14&lt;&gt;"N/A"),'[1]#REF'!$S$14,"")</f>
        <v>#REF!</v>
      </c>
      <c r="BF86" s="42" t="e">
        <f>IF(AND(ISTEXT('[1]#REF'!$U$14),'[1]#REF'!$U$14&lt;&gt;"N/A"),'[1]#REF'!$U$14,"")</f>
        <v>#REF!</v>
      </c>
      <c r="BG86" s="42" t="str">
        <f>Matching_Engine!$A$86&amp;"|"&amp;Matching_Engine!$C$86</f>
        <v>BRAND-C|KOL-21</v>
      </c>
    </row>
    <row r="87" spans="1:59">
      <c r="A87" s="64" t="s">
        <v>2530</v>
      </c>
      <c r="B87" s="42" t="str">
        <f>Brand_Profile!$H$6</f>
        <v>Input type / allowed values</v>
      </c>
      <c r="C87" s="42" t="e">
        <f>'[1]#REF'!$A$15</f>
        <v>#REF!</v>
      </c>
      <c r="D87" s="42" t="e">
        <f>'[1]#REF'!$C$15</f>
        <v>#REF!</v>
      </c>
      <c r="E87" s="42" t="e">
        <f>'[1]#REF'!$D$15</f>
        <v>#REF!</v>
      </c>
      <c r="F87" s="42" t="e">
        <f>'[1]#REF'!$E$15</f>
        <v>#REF!</v>
      </c>
      <c r="G87" s="42" t="e">
        <f>'[1]#REF'!$K$15</f>
        <v>#REF!</v>
      </c>
      <c r="H87" s="72" t="e">
        <f>'[1]#REF'!$G$15</f>
        <v>#REF!</v>
      </c>
      <c r="I87" s="73" t="e">
        <f>'[1]#REF'!$BG$15</f>
        <v>#REF!</v>
      </c>
      <c r="J87" s="65" t="e">
        <f>IF(NOT(AND(ISTEXT('[1]#REF'!$K$15),'[1]#REF'!$K$15&lt;&gt;"N/A")),Lookup_Lists!$D$150,IF(Brand_Profile!$H$7='[1]#REF'!$K$15,100,IFERROR(INDEX(Lookup_Lists!$B$349:$J$357,MATCH(Brand_Profile!$H$7,Lookup_Lists!$A$349:$A$357,0),MATCH('[1]#REF'!$K$15,Lookup_Lists!$B$348:$J$348,0)),Lookup_Lists!$D$151)))</f>
        <v>#REF!</v>
      </c>
      <c r="K87" s="65" t="e">
        <f>IF(LEN(TRIM(SUBSTITUTE(Matching_Engine!$BD$87,"|","")))=0,"N/A",IF(Brand_Profile!$H$47=0,Lookup_Lists!$D$150,ROUND((IF(Brand_Profile!$H$41="",0,IF(ISNUMBER(SEARCH(Brand_Profile!$H$41,Matching_Engine!$BD$87)),1,0))+IF(Brand_Profile!$H$42="",0,IF(ISNUMBER(SEARCH(Brand_Profile!$H$42,Matching_Engine!$BD$87)),1,0))+IF(Brand_Profile!$H$43="",0,IF(ISNUMBER(SEARCH(Brand_Profile!$H$43,Matching_Engine!$BD$87)),1,0))+IF(Brand_Profile!$H$44="",0,IF(ISNUMBER(SEARCH(Brand_Profile!$H$44,Matching_Engine!$BD$87)),1,0))+IF(Brand_Profile!$H$45="",0,IF(ISNUMBER(SEARCH(Brand_Profile!$H$45,Matching_Engine!$BD$87)),1,0))+IF(Brand_Profile!$H$46="",0,IF(ISNUMBER(SEARCH(Brand_Profile!$H$46,Matching_Engine!$BD$87)),1,0)))/Brand_Profile!$H$47*100,0)))</f>
        <v>#VALUE!</v>
      </c>
      <c r="L87" s="65" t="e">
        <f>IF(NOT(AND(ISTEXT('[1]#REF'!$U$15),'[1]#REF'!$U$15&lt;&gt;"N/A")),"N/A",IF(Brand_Profile!$H$53=0,Lookup_Lists!$D$150,ROUND((IF(Brand_Profile!$H$48="",0,IF(ISNUMBER(SEARCH(Brand_Profile!$H$48,Matching_Engine!$BF$87)),1,0))+IF(Brand_Profile!$H$49="",0,IF(ISNUMBER(SEARCH(Brand_Profile!$H$49,Matching_Engine!$BF$87)),1,0))+IF(Brand_Profile!$H$50="",0,IF(ISNUMBER(SEARCH(Brand_Profile!$H$50,Matching_Engine!$BF$87)),1,0))+IF(Brand_Profile!$H$51="",0,IF(ISNUMBER(SEARCH(Brand_Profile!$H$51,Matching_Engine!$BF$87)),1,0))+IF(Brand_Profile!$H$52="",0,IF(ISNUMBER(SEARCH(Brand_Profile!$H$52,Matching_Engine!$BF$87)),1,0)))/Brand_Profile!$H$53*100,0)))</f>
        <v>#REF!</v>
      </c>
      <c r="M87" s="63" t="str">
        <f>IF((IF(ISNUMBER(Matching_Engine!$J$87),Lookup_Lists!$D$332,0)+IF(ISNUMBER(Matching_Engine!$K$87),Lookup_Lists!$D$333,0)+IF(ISNUMBER(Matching_Engine!$L$87),Lookup_Lists!$D$334,0))=0,"N/A",ROUND((IF(ISNUMBER(Matching_Engine!$J$87),Matching_Engine!$J$87*Lookup_Lists!$D$332,0)+IF(ISNUMBER(Matching_Engine!$K$87),Matching_Engine!$K$87*Lookup_Lists!$D$333,0)+IF(ISNUMBER(Matching_Engine!$L$87),Matching_Engine!$L$87*Lookup_Lists!$D$334,0))/(IF(ISNUMBER(Matching_Engine!$J$87),Lookup_Lists!$D$332,0)+IF(ISNUMBER(Matching_Engine!$K$87),Lookup_Lists!$D$333,0)+IF(ISNUMBER(Matching_Engine!$L$87),Lookup_Lists!$D$334,0)),0))</f>
        <v>N/A</v>
      </c>
      <c r="N87" s="42">
        <f>IF(ISNUMBER(Matching_Engine!$M$87),1,0)</f>
        <v>1</v>
      </c>
      <c r="O87" s="65" t="str">
        <f ca="1">IF(NOT(ISNUMBER(IFERROR(INDEX('[1]#REF'!$V$15:'[1]#REF'!$Z$15,1,MATCH(Brand_Profile!$H$11,Lookup_Lists!$F$6:$F$10,0)),""))),"N/A",MIN(100,ROUND((IFERROR(INDEX('[1]#REF'!$V$15:'[1]#REF'!$Z$15,1,MATCH(Brand_Profile!$H$11,Lookup_Lists!$F$6:$F$10,0)),"")+0.5*IF(ISNUMBER(IFERROR(INDEX('[1]#REF'!$V$15:'[1]#REF'!$Z$15,1,MATCH(Brand_Profile!$H$12,Lookup_Lists!$F$6:$F$10,0)),"")),IFERROR(INDEX('[1]#REF'!$V$15:'[1]#REF'!$Z$15,1,MATCH(Brand_Profile!$H$12,Lookup_Lists!$F$6:$F$10,0)),""),0))/Lookup_Lists!$D$142*100,0)))</f>
        <v>N/A</v>
      </c>
      <c r="P87" s="65" t="str">
        <f>IF(Brand_Profile!$H$13="Any",100,IF(NOT(ISNUMBER('[1]#REF'!$AA$15)),"N/A",IF(Brand_Profile!$H$13="Female",MIN(100,ROUND('[1]#REF'!$AA$15/Lookup_Lists!$D$143*100,0)),IF(Brand_Profile!$H$13="Male",MIN(100,ROUND(IF(ISNUMBER('[1]#REF'!$AB$15),'[1]#REF'!$AB$15,100-'[1]#REF'!$AA$15)/Lookup_Lists!$D$143*100,0)),MAX(0,ROUND(100-ABS('[1]#REF'!$AA$15-50)*2,0))))))</f>
        <v>N/A</v>
      </c>
      <c r="Q87" s="65" t="str">
        <f>IF((IF(ISNUMBER(IF(NOT(ISNUMBER('[1]#REF'!$AE$15)),"N/A",IF('[1]#REF'!$AD$15&lt;&gt;Brand_Profile!$H$14,Lookup_Lists!$D$151,MIN(100,ROUND('[1]#REF'!$AE$15/Lookup_Lists!$D$316*100,0))))),Lookup_Lists!$D$118,0)+IF(ISNUMBER(IF(NOT(ISNUMBER('[1]#REF'!$AM$15)),"N/A",MIN(100,ROUND((IF('[1]#REF'!$AG$15=Brand_Profile!$H$15,IF(ISNUMBER('[1]#REF'!$AH$15),'[1]#REF'!$AH$15,0),0)+IF('[1]#REF'!$AI$15=Brand_Profile!$H$15,IF(ISNUMBER('[1]#REF'!$AJ$15),'[1]#REF'!$AJ$15,0),0)+IF('[1]#REF'!$AK$15=Brand_Profile!$H$15,IF(ISNUMBER('[1]#REF'!$AL$15),'[1]#REF'!$AL$15,0),0))/Lookup_Lists!$D$317*100,0)))),Lookup_Lists!$D$120,0))=0,"N/A",ROUND((IF(ISNUMBER(IF(NOT(ISNUMBER('[1]#REF'!$AE$15)),"N/A",IF('[1]#REF'!$AD$15&lt;&gt;Brand_Profile!$H$14,Lookup_Lists!$D$151,MIN(100,ROUND('[1]#REF'!$AE$15/Lookup_Lists!$D$316*100,0))))),IF(NOT(ISNUMBER('[1]#REF'!$AE$15)),"N/A",IF('[1]#REF'!$AD$15&lt;&gt;Brand_Profile!$H$14,Lookup_Lists!$D$151,MIN(100,ROUND('[1]#REF'!$AE$15/Lookup_Lists!$D$316*100,0))))*Lookup_Lists!$D$118,0)+IF(ISNUMBER(IF(NOT(ISNUMBER('[1]#REF'!$AM$15)),"N/A",MIN(100,ROUND((IF('[1]#REF'!$AG$15=Brand_Profile!$H$15,IF(ISNUMBER('[1]#REF'!$AH$15),'[1]#REF'!$AH$15,0),0)+IF('[1]#REF'!$AI$15=Brand_Profile!$H$15,IF(ISNUMBER('[1]#REF'!$AJ$15),'[1]#REF'!$AJ$15,0),0)+IF('[1]#REF'!$AK$15=Brand_Profile!$H$15,IF(ISNUMBER('[1]#REF'!$AL$15),'[1]#REF'!$AL$15,0),0))/Lookup_Lists!$D$317*100,0)))),IF(NOT(ISNUMBER('[1]#REF'!$AM$15)),"N/A",MIN(100,ROUND((IF('[1]#REF'!$AG$15=Brand_Profile!$H$15,IF(ISNUMBER('[1]#REF'!$AH$15),'[1]#REF'!$AH$15,0),0)+IF('[1]#REF'!$AI$15=Brand_Profile!$H$15,IF(ISNUMBER('[1]#REF'!$AJ$15),'[1]#REF'!$AJ$15,0),0)+IF('[1]#REF'!$AK$15=Brand_Profile!$H$15,IF(ISNUMBER('[1]#REF'!$AL$15),'[1]#REF'!$AL$15,0),0))/Lookup_Lists!$D$317*100,0)))*Lookup_Lists!$D$120,0))/(IF(ISNUMBER(IF(NOT(ISNUMBER('[1]#REF'!$AE$15)),"N/A",IF('[1]#REF'!$AD$15&lt;&gt;Brand_Profile!$H$14,Lookup_Lists!$D$151,MIN(100,ROUND('[1]#REF'!$AE$15/Lookup_Lists!$D$316*100,0))))),Lookup_Lists!$D$118,0)+IF(ISNUMBER(IF(NOT(ISNUMBER('[1]#REF'!$AM$15)),"N/A",MIN(100,ROUND((IF('[1]#REF'!$AG$15=Brand_Profile!$H$15,IF(ISNUMBER('[1]#REF'!$AH$15),'[1]#REF'!$AH$15,0),0)+IF('[1]#REF'!$AI$15=Brand_Profile!$H$15,IF(ISNUMBER('[1]#REF'!$AJ$15),'[1]#REF'!$AJ$15,0),0)+IF('[1]#REF'!$AK$15=Brand_Profile!$H$15,IF(ISNUMBER('[1]#REF'!$AL$15),'[1]#REF'!$AL$15,0),0))/Lookup_Lists!$D$317*100,0)))),Lookup_Lists!$D$120,0)),0))</f>
        <v>N/A</v>
      </c>
      <c r="R87" s="65" t="str">
        <f>IF(NOT(ISNUMBER('[1]#REF'!$AN$15)),"N/A",MIN(100,ROUND((IF(ISNUMBER('[1]#REF'!$AO$15),'[1]#REF'!$AO$15*Brand_Profile!$H$17,0)+IF(ISNUMBER('[1]#REF'!$AP$15),'[1]#REF'!$AP$15*Brand_Profile!$H$18,0)+IF(ISNUMBER('[1]#REF'!$AQ$15),'[1]#REF'!$AQ$15*Brand_Profile!$H$19,0)+IF(ISNUMBER('[1]#REF'!$AR$15),'[1]#REF'!$AR$15*Brand_Profile!$H$20,0)+IF(ISNUMBER('[1]#REF'!$AS$15),'[1]#REF'!$AS$15*Brand_Profile!$H$21,0)+IF(ISNUMBER('[1]#REF'!$AT$15),'[1]#REF'!$AT$15*Brand_Profile!$H$22,0)+IF(ISNUMBER('[1]#REF'!$AU$15),'[1]#REF'!$AU$15*Brand_Profile!$H$23,0)+IF(ISNUMBER('[1]#REF'!$AV$15),'[1]#REF'!$AV$15*Brand_Profile!$H$24,0)+IF(ISNUMBER('[1]#REF'!$AW$15),'[1]#REF'!$AW$15*Brand_Profile!$H$25,0)+IF(ISNUMBER('[1]#REF'!$AX$15),'[1]#REF'!$AX$15*Brand_Profile!$H$26,0)+IF(ISNUMBER('[1]#REF'!$AY$15),'[1]#REF'!$AY$15*Brand_Profile!$H$27,0)+IF(ISNUMBER('[1]#REF'!$AZ$15),'[1]#REF'!$AZ$15*Brand_Profile!$H$28,0)+IF(ISNUMBER('[1]#REF'!$BA$15),'[1]#REF'!$BA$15*Brand_Profile!$H$29,0)+IF(ISNUMBER('[1]#REF'!$BB$15),'[1]#REF'!$BB$15*Brand_Profile!$H$30,0)+IF(ISNUMBER('[1]#REF'!$BC$15),'[1]#REF'!$BC$15*Brand_Profile!$H$31,0)+IF(ISNUMBER('[1]#REF'!$BD$15),'[1]#REF'!$BD$15*Brand_Profile!$H$32,0)+IF(ISNUMBER('[1]#REF'!$BE$15),'[1]#REF'!$BE$15*Brand_Profile!$H$33,0)+IF(ISNUMBER('[1]#REF'!$BF$15),'[1]#REF'!$BF$15*Brand_Profile!$H$34,0))/Lookup_Lists!$D$318*100,0)))</f>
        <v>N/A</v>
      </c>
      <c r="S87" s="63">
        <f ca="1">IF((IF(ISNUMBER(Matching_Engine!$O$87),Lookup_Lists!$D$113,0)+IF(ISNUMBER(Matching_Engine!$P$87),Lookup_Lists!$D$114,0)+IF(ISNUMBER(Matching_Engine!$Q$87),Lookup_Lists!$D$115,0)+IF(ISNUMBER(Matching_Engine!$R$87),Lookup_Lists!$D$116,0))=0,"N/A",ROUND((IF(ISNUMBER(Matching_Engine!$O$87),Matching_Engine!$O$87*Lookup_Lists!$D$113,0)+IF(ISNUMBER(Matching_Engine!$P$87),Matching_Engine!$P$87*Lookup_Lists!$D$114,0)+IF(ISNUMBER(Matching_Engine!$Q$87),Matching_Engine!$Q$87*Lookup_Lists!$D$115,0)+IF(ISNUMBER(Matching_Engine!$R$87),Matching_Engine!$R$87*Lookup_Lists!$D$116,0))/(IF(ISNUMBER(Matching_Engine!$O$87),Lookup_Lists!$D$113,0)+IF(ISNUMBER(Matching_Engine!$P$87),Lookup_Lists!$D$114,0)+IF(ISNUMBER(Matching_Engine!$Q$87),Lookup_Lists!$D$115,0)+IF(ISNUMBER(Matching_Engine!$R$87),Lookup_Lists!$D$116,0)),0))</f>
        <v>66</v>
      </c>
      <c r="T87" s="42">
        <f ca="1">IF(ISNUMBER(Matching_Engine!$S$87),1,0)</f>
        <v>1</v>
      </c>
      <c r="U87" s="65" t="e">
        <f>IF(NOT(AND(ISTEXT('[1]#REF'!$M$15),'[1]#REF'!$M$15&lt;&gt;"N/A")),Lookup_Lists!$D$150,IF(Brand_Profile!$H$7='[1]#REF'!$M$15,100,IFERROR(INDEX(Lookup_Lists!$B$349:$J$357,MATCH(Brand_Profile!$H$7,Lookup_Lists!$A$349:$A$357,0),MATCH('[1]#REF'!$M$15,Lookup_Lists!$B$348:$J$348,0)),Lookup_Lists!$D$151)))</f>
        <v>#REF!</v>
      </c>
      <c r="V87" s="65" t="e">
        <f>IF(NOT(AND(ISTEXT('[1]#REF'!$P$15),'[1]#REF'!$P$15&lt;&gt;"N/A")),"N/A",IFERROR(INDEX(Lookup_Lists!$B$349:$J$357,MATCH(Brand_Profile!$H$7,Lookup_Lists!$A$349:$A$357,0),MATCH('[1]#REF'!$P$15,Lookup_Lists!$B$348:$J$348,0)),Lookup_Lists!$D$151))</f>
        <v>#REF!</v>
      </c>
      <c r="W87" s="65" t="e">
        <f>IF(LEN(TRIM(SUBSTITUTE(Matching_Engine!$BE$87,"|","")))=0,"N/A",IF(Brand_Profile!$H$60=0,Lookup_Lists!$D$150,ROUND((IF(Brand_Profile!$H$54="",0,IF(ISNUMBER(SEARCH(Brand_Profile!$H$54,Matching_Engine!$BE$87)),1,0))+IF(Brand_Profile!$H$55="",0,IF(ISNUMBER(SEARCH(Brand_Profile!$H$55,Matching_Engine!$BE$87)),1,0))+IF(Brand_Profile!$H$56="",0,IF(ISNUMBER(SEARCH(Brand_Profile!$H$56,Matching_Engine!$BE$87)),1,0))+IF(Brand_Profile!$H$57="",0,IF(ISNUMBER(SEARCH(Brand_Profile!$H$57,Matching_Engine!$BE$87)),1,0))+IF(Brand_Profile!$H$58="",0,IF(ISNUMBER(SEARCH(Brand_Profile!$H$58,Matching_Engine!$BE$87)),1,0))+IF(Brand_Profile!$H$59="",0,IF(ISNUMBER(SEARCH(Brand_Profile!$H$59,Matching_Engine!$BE$87)),1,0)))/Brand_Profile!$H$60*100,0)))</f>
        <v>#VALUE!</v>
      </c>
      <c r="X87" s="65" t="e">
        <f>IF(NOT(AND(ISTEXT('[1]#REF'!$Q$15),'[1]#REF'!$Q$15&lt;&gt;"N/A")),"N/A",Lookup_Lists!$D$150)</f>
        <v>#REF!</v>
      </c>
      <c r="Y87" s="63">
        <f>IF((IF(ISNUMBER(Matching_Engine!$U$87),Lookup_Lists!$D$335,0)+IF(ISNUMBER(Matching_Engine!$V$87),Lookup_Lists!$D$122,0)+IF(ISNUMBER(Matching_Engine!$W$87),Lookup_Lists!$D$336,0)+IF(ISNUMBER(Matching_Engine!$X$87),Lookup_Lists!$D$124,0))=0,"N/A",ROUND((IF(ISNUMBER(Matching_Engine!$U$87),Matching_Engine!$U$87*Lookup_Lists!$D$335,0)+IF(ISNUMBER(Matching_Engine!$V$87),Matching_Engine!$V$87*Lookup_Lists!$D$122,0)+IF(ISNUMBER(Matching_Engine!$W$87),Matching_Engine!$W$87*Lookup_Lists!$D$336,0)+IF(ISNUMBER(Matching_Engine!$X$87),Matching_Engine!$X$87*Lookup_Lists!$D$124,0))/(IF(ISNUMBER(Matching_Engine!$U$87),Lookup_Lists!$D$335,0)+IF(ISNUMBER(Matching_Engine!$V$87),Lookup_Lists!$D$122,0)+IF(ISNUMBER(Matching_Engine!$W$87),Lookup_Lists!$D$336,0)+IF(ISNUMBER(Matching_Engine!$X$87),Lookup_Lists!$D$124,0)),0))</f>
        <v>26</v>
      </c>
      <c r="Z87" s="42">
        <f>IF(ISNUMBER(Matching_Engine!$Y$87),1,0)</f>
        <v>1</v>
      </c>
      <c r="AA87" s="65" t="e">
        <f>IF(NOT(AND(ISTEXT('[1]#REF'!$Q$15),'[1]#REF'!$Q$15&lt;&gt;"N/A")),"N/A",Lookup_Lists!$D$150)</f>
        <v>#REF!</v>
      </c>
      <c r="AB87" s="65" t="e">
        <f>IF(NOT(AND(ISTEXT('[1]#REF'!$Q$15),'[1]#REF'!$Q$15&lt;&gt;"N/A")),"N/A",Lookup_Lists!$D$150)</f>
        <v>#REF!</v>
      </c>
      <c r="AC87" s="65" t="str">
        <f t="shared" si="1"/>
        <v>N/A</v>
      </c>
      <c r="AD87" s="65" t="e">
        <f>IF(NOT(AND(ISTEXT('[1]#REF'!$Q$15),'[1]#REF'!$Q$15&lt;&gt;"N/A")),"N/A",Lookup_Lists!$D$150)</f>
        <v>#REF!</v>
      </c>
      <c r="AE87" s="63">
        <f>IF((IF(ISNUMBER(Matching_Engine!$AA$87),Lookup_Lists!$D$125,0)+IF(ISNUMBER(Matching_Engine!$AB$87),Lookup_Lists!$D$126,0)+IF(ISNUMBER(Matching_Engine!$AC$87),Lookup_Lists!$D$127,0)+IF(ISNUMBER(Matching_Engine!$AD$87),Lookup_Lists!$D$128,0))=0,"N/A",ROUND((IF(ISNUMBER(Matching_Engine!$AA$87),Matching_Engine!$AA$87*Lookup_Lists!$D$125,0)+IF(ISNUMBER(Matching_Engine!$AB$87),Matching_Engine!$AB$87*Lookup_Lists!$D$126,0)+IF(ISNUMBER(Matching_Engine!$AC$87),Matching_Engine!$AC$87*Lookup_Lists!$D$127,0)+IF(ISNUMBER(Matching_Engine!$AD$87),Matching_Engine!$AD$87*Lookup_Lists!$D$128,0))/(IF(ISNUMBER(Matching_Engine!$AA$87),Lookup_Lists!$D$125,0)+IF(ISNUMBER(Matching_Engine!$AB$87),Lookup_Lists!$D$126,0)+IF(ISNUMBER(Matching_Engine!$AC$87),Lookup_Lists!$D$127,0)+IF(ISNUMBER(Matching_Engine!$AD$87),Lookup_Lists!$D$128,0)),0))</f>
        <v>63</v>
      </c>
      <c r="AF87" s="42">
        <f>IF(ISNUMBER(Matching_Engine!$AE$87),1,0)</f>
        <v>1</v>
      </c>
      <c r="AG87" s="65" t="str">
        <f>IF(NOT(ISNUMBER('[1]#REF'!$BG$15)),"N/A",MIN(100,ROUND('[1]#REF'!$BG$15/IFERROR(INDEX(Lookup_Lists!$B$340:$B$344,MATCH('[1]#REF'!$H$15,Lookup_Lists!$A$340:$A$344,0)),Lookup_Lists!$D$141)*100,0)))</f>
        <v>N/A</v>
      </c>
      <c r="AH87" s="65" t="str">
        <f>IF(NOT(ISNUMBER('[1]#REF'!$BS$15)),"N/A",MIN(100,MAX(0,'[1]#REF'!$BS$15)))</f>
        <v>N/A</v>
      </c>
      <c r="AI87" s="65" t="e">
        <f>IF(OR(NOT(ISNUMBER('[1]#REF'!$BM$15)),NOT(ISNUMBER('[1]#REF'!$BN$15)),'[1]#REF'!$BN$15&lt;Lookup_Lists!$D$320),"N/A",MIN(100,ROUND('[1]#REF'!$BM$15/Lookup_Lists!$D$319*100,0)))</f>
        <v>#REF!</v>
      </c>
      <c r="AJ87" s="65" t="str">
        <f>IF(NOT(ISNUMBER('[1]#REF'!$BR$15)),"N/A",'[1]#REF'!$BR$15)</f>
        <v>N/A</v>
      </c>
      <c r="AK87" s="65" t="str">
        <f>IF(NOT(ISNUMBER('[1]#REF'!$BK$15)),"N/A",MIN(100,ROUND('[1]#REF'!$BK$15/Lookup_Lists!$D$321*100,0)))</f>
        <v>N/A</v>
      </c>
      <c r="AL87" s="65" t="str">
        <f>IF(NOT(ISNUMBER('[1]#REF'!$BP$15)),"N/A",MIN(100,MAX(0,ROUND(('[1]#REF'!$BP$15+2)/(Lookup_Lists!$D$145+2)*100,0))))</f>
        <v>N/A</v>
      </c>
      <c r="AM87" s="63">
        <f>IF((IF(ISNUMBER(Matching_Engine!$AG$87),Lookup_Lists!$D$129,0)+IF(ISNUMBER(Matching_Engine!$AH$87),Lookup_Lists!$D$130,0)+IF(ISNUMBER(Matching_Engine!$AI$87),Lookup_Lists!$D$131,0)+IF(ISNUMBER(Matching_Engine!$AJ$87),Lookup_Lists!$D$132,0)+IF(ISNUMBER(Matching_Engine!$AK$87),Lookup_Lists!$D$133,0)+IF(ISNUMBER(Matching_Engine!$AL$87),Lookup_Lists!$D$134,0))=0,"N/A",ROUND((IF(ISNUMBER(Matching_Engine!$AG$87),Matching_Engine!$AG$87*Lookup_Lists!$D$129,0)+IF(ISNUMBER(Matching_Engine!$AH$87),Matching_Engine!$AH$87*Lookup_Lists!$D$130,0)+IF(ISNUMBER(Matching_Engine!$AI$87),Matching_Engine!$AI$87*Lookup_Lists!$D$131,0)+IF(ISNUMBER(Matching_Engine!$AJ$87),Matching_Engine!$AJ$87*Lookup_Lists!$D$132,0)+IF(ISNUMBER(Matching_Engine!$AK$87),Matching_Engine!$AK$87*Lookup_Lists!$D$133,0)+IF(ISNUMBER(Matching_Engine!$AL$87),Matching_Engine!$AL$87*Lookup_Lists!$D$134,0))/(IF(ISNUMBER(Matching_Engine!$AG$87),Lookup_Lists!$D$129,0)+IF(ISNUMBER(Matching_Engine!$AH$87),Lookup_Lists!$D$130,0)+IF(ISNUMBER(Matching_Engine!$AI$87),Lookup_Lists!$D$131,0)+IF(ISNUMBER(Matching_Engine!$AJ$87),Lookup_Lists!$D$132,0)+IF(ISNUMBER(Matching_Engine!$AK$87),Lookup_Lists!$D$133,0)+IF(ISNUMBER(Matching_Engine!$AL$87),Lookup_Lists!$D$134,0)),0))</f>
        <v>59</v>
      </c>
      <c r="AN87" s="42">
        <f>IF(ISNUMBER(Matching_Engine!$AM$87),1,0)</f>
        <v>0</v>
      </c>
      <c r="AO87" s="65" t="str">
        <f>IF(NOT(ISNUMBER('[1]#REF'!$BT$15)),"N/A",MIN(100,MAX(0,'[1]#REF'!$BT$15)))</f>
        <v>N/A</v>
      </c>
      <c r="AP87" s="65" t="str">
        <f>IF(NOT(ISNUMBER('[1]#REF'!$BU$15)),"N/A",MIN(100,MAX(0,'[1]#REF'!$BU$15)))</f>
        <v>N/A</v>
      </c>
      <c r="AQ87" s="65" t="e">
        <f>IF('[1]#REF'!$I$15="Yes",Lookup_Lists!$D$326,IF('[1]#REF'!$I$15="No",Lookup_Lists!$D$327,"N/A"))</f>
        <v>#REF!</v>
      </c>
      <c r="AR87" s="65" t="str">
        <f>IF(NOT(ISNUMBER('[1]#REF'!$BQ$15)),"N/A",MAX(0,ROUND(100-'[1]#REF'!$BQ$15/Lookup_Lists!$D$328*100,0)))</f>
        <v>N/A</v>
      </c>
      <c r="AS87" s="65" t="e">
        <f>IF(NOT(AND(ISTEXT('[1]#REF'!$BV$15),'[1]#REF'!$BV$15&lt;&gt;"N/A")),"N/A",'[1]#REF'!$BV$15)</f>
        <v>#REF!</v>
      </c>
      <c r="AT87" s="63" t="str">
        <f ca="1">IF((IF(ISNUMBER(Matching_Engine!$AO$87),Lookup_Lists!$D$322,0)+IF(ISNUMBER(Matching_Engine!$AP$87),Lookup_Lists!$D$323,0)+IF(ISNUMBER(Matching_Engine!$AQ$87),Lookup_Lists!$D$324,0)+IF(ISNUMBER(Matching_Engine!$AR$87),Lookup_Lists!$D$325,0))=0,"N/A",ROUND((IF(ISNUMBER(Matching_Engine!$AO$87),Matching_Engine!$AO$87*Lookup_Lists!$D$322,0)+IF(ISNUMBER(Matching_Engine!$AP$87),Matching_Engine!$AP$87*Lookup_Lists!$D$323,0)+IF(ISNUMBER(Matching_Engine!$AQ$87),Matching_Engine!$AQ$87*Lookup_Lists!$D$324,0)+IF(ISNUMBER(Matching_Engine!$AR$87),Matching_Engine!$AR$87*Lookup_Lists!$D$325,0))/(IF(ISNUMBER(Matching_Engine!$AO$87),Lookup_Lists!$D$322,0)+IF(ISNUMBER(Matching_Engine!$AP$87),Lookup_Lists!$D$323,0)+IF(ISNUMBER(Matching_Engine!$AQ$87),Lookup_Lists!$D$324,0)+IF(ISNUMBER(Matching_Engine!$AR$87),Lookup_Lists!$D$325,0)),0))</f>
        <v>N/A</v>
      </c>
      <c r="AU87" s="42">
        <f>IF(ISNUMBER(Matching_Engine!$AT$87),1,0)</f>
        <v>1</v>
      </c>
      <c r="AV87" s="42" t="str">
        <f>IF(NOT(ISNUMBER(Matching_Engine!$AT$87)),"Not Screened",IF(Matching_Engine!$AT$87&gt;=Lookup_Lists!$D$329,"Low Risk",IF(Matching_Engine!$AT$87&gt;=Lookup_Lists!$D$330,"Moderate Risk",IF(Matching_Engine!$AT$87&gt;=Lookup_Lists!$D$331,"Elevated Risk","High Risk"))))</f>
        <v>Low Risk</v>
      </c>
      <c r="AW87" s="42" t="e">
        <f ca="1">IF(NOT(ISNUMBER(Matching_Engine!$AT$87)),"No integrity signal: no audience-analysis row for this account.","Integrity screen only — no content-risk reading exists (comments_analysis: 0 rows). "&amp;IF(ISNUMBER(Matching_Engine!$AO$87),"Authenticity "&amp;Matching_Engine!$AO$87&amp;". ","Authenticity N/A. ")&amp;IF(ISNUMBER(Matching_Engine!$AP$87),"Follower quality "&amp;Matching_Engine!$AP$87&amp;". ","Follower quality N/A. ")&amp;IF('[1]#REF'!$I$15="Yes","Platform-verified.","Not platform-verified."))</f>
        <v>#REF!</v>
      </c>
      <c r="AX87" s="65">
        <f>Matching_Engine!$N$87*Lookup_Lists!$D$104+Matching_Engine!$T$87*Lookup_Lists!$D$105+Matching_Engine!$Z$87*Lookup_Lists!$D$106+Matching_Engine!$AF$87*Lookup_Lists!$D$107+Matching_Engine!$AN$87*Lookup_Lists!$D$108+Matching_Engine!$AU$87*Lookup_Lists!$D$109</f>
        <v>4606</v>
      </c>
      <c r="AY87" s="74" t="e">
        <f ca="1">IF(Matching_Engine!$AX$87=0,"N/A",ROUND((IF(Matching_Engine!$N$87=1,Matching_Engine!$M$87*Lookup_Lists!$D$104,0)+IF(Matching_Engine!$T$87=1,Matching_Engine!$S$87*Lookup_Lists!$D$105,0)+IF(Matching_Engine!$Z$87=1,Matching_Engine!$Y$87*Lookup_Lists!$D$106,0)+IF(Matching_Engine!$AF$87=1,Matching_Engine!$AE$87*Lookup_Lists!$D$107,0)+IF(Matching_Engine!$AN$87=1,Matching_Engine!$AM$87*Lookup_Lists!$D$108,0)+IF(Matching_Engine!$AU$87=1,Matching_Engine!$AT$87*Lookup_Lists!$D$109,0))/Matching_Engine!$AX$87,0))</f>
        <v>#VALUE!</v>
      </c>
      <c r="AZ87" s="42" t="str">
        <f ca="1">IF(NOT(ISNUMBER(Matching_Engine!$AY$87)),"Not Scored",IF(Matching_Engine!$AY$87&gt;=Lookup_Lists!$D$152,"Excellent Match",IF(Matching_Engine!$AY$87&gt;=Lookup_Lists!$D$153,"Strong Match",IF(Matching_Engine!$AY$87&gt;=Lookup_Lists!$D$154,"Good Match",IF(Matching_Engine!$AY$87&gt;=Lookup_Lists!$D$155,"Moderate Match","Low Match")))))</f>
        <v>Not Scored</v>
      </c>
      <c r="BA87" s="65" t="e">
        <f>'[1]#REF'!$BW$15</f>
        <v>#REF!</v>
      </c>
      <c r="BB87" s="42" t="e">
        <f>'[1]#REF'!$BX$15</f>
        <v>#REF!</v>
      </c>
      <c r="BC87" s="65">
        <f ca="1">IF(NOT(ISNUMBER(Matching_Engine!$AY$87)),-1,Matching_Engine!$AY$87*1000+15)</f>
        <v>-1</v>
      </c>
      <c r="BD87" s="42" t="e">
        <f>IF(AND(ISTEXT('[1]#REF'!$S$15),'[1]#REF'!$S$15&lt;&gt;"N/A"),'[1]#REF'!$S$15,"")&amp;" | "&amp;IF(AND(ISTEXT('[1]#REF'!$T$15),'[1]#REF'!$T$15&lt;&gt;"N/A"),'[1]#REF'!$T$15,"")&amp;" | "&amp;IF(AND(ISTEXT('[1]#REF'!$N$15),'[1]#REF'!$N$15&lt;&gt;"N/A"),'[1]#REF'!$N$15,"")&amp;" | "&amp;IF(AND(ISTEXT('[1]#REF'!$K$15),'[1]#REF'!$K$15&lt;&gt;"N/A"),'[1]#REF'!$K$15,"")&amp;" | "&amp;IF(AND(ISTEXT('[1]#REF'!$J$15),'[1]#REF'!$J$15&lt;&gt;"N/A"),'[1]#REF'!$J$15,"")</f>
        <v>#REF!</v>
      </c>
      <c r="BE87" s="42" t="e">
        <f>IF(AND(ISTEXT('[1]#REF'!$T$15),'[1]#REF'!$T$15&lt;&gt;"N/A"),'[1]#REF'!$T$15,"")&amp;" | "&amp;IF(AND(ISTEXT('[1]#REF'!$N$15),'[1]#REF'!$N$15&lt;&gt;"N/A"),'[1]#REF'!$N$15,"")&amp;" | "&amp;IF(AND(ISTEXT('[1]#REF'!$O$15),'[1]#REF'!$O$15&lt;&gt;"N/A"),'[1]#REF'!$O$15,"")&amp;" | "&amp;IF(AND(ISTEXT('[1]#REF'!$S$15),'[1]#REF'!$S$15&lt;&gt;"N/A"),'[1]#REF'!$S$15,"")</f>
        <v>#REF!</v>
      </c>
      <c r="BF87" s="42" t="e">
        <f>IF(AND(ISTEXT('[1]#REF'!$U$15),'[1]#REF'!$U$15&lt;&gt;"N/A"),'[1]#REF'!$U$15,"")</f>
        <v>#REF!</v>
      </c>
      <c r="BG87" s="42" t="str">
        <f>Matching_Engine!$A$87&amp;"|"&amp;Matching_Engine!$C$87</f>
        <v>BRAND-C|KOL-22</v>
      </c>
    </row>
    <row r="88" spans="1:59">
      <c r="A88" s="64" t="s">
        <v>2530</v>
      </c>
      <c r="B88" s="42" t="str">
        <f>Brand_Profile!$H$6</f>
        <v>Input type / allowed values</v>
      </c>
      <c r="C88" s="42" t="e">
        <f>'[1]#REF'!$A$16</f>
        <v>#REF!</v>
      </c>
      <c r="D88" s="42" t="e">
        <f>'[1]#REF'!$C$16</f>
        <v>#REF!</v>
      </c>
      <c r="E88" s="42" t="e">
        <f>'[1]#REF'!$D$16</f>
        <v>#REF!</v>
      </c>
      <c r="F88" s="42" t="e">
        <f>'[1]#REF'!$E$16</f>
        <v>#REF!</v>
      </c>
      <c r="G88" s="42" t="e">
        <f>'[1]#REF'!$K$16</f>
        <v>#REF!</v>
      </c>
      <c r="H88" s="72" t="e">
        <f>'[1]#REF'!$G$16</f>
        <v>#REF!</v>
      </c>
      <c r="I88" s="73" t="e">
        <f>'[1]#REF'!$BG$16</f>
        <v>#REF!</v>
      </c>
      <c r="J88" s="65" t="e">
        <f>IF(NOT(AND(ISTEXT('[1]#REF'!$K$16),'[1]#REF'!$K$16&lt;&gt;"N/A")),Lookup_Lists!$D$150,IF(Brand_Profile!$H$7='[1]#REF'!$K$16,100,IFERROR(INDEX(Lookup_Lists!$B$349:$J$357,MATCH(Brand_Profile!$H$7,Lookup_Lists!$A$349:$A$357,0),MATCH('[1]#REF'!$K$16,Lookup_Lists!$B$348:$J$348,0)),Lookup_Lists!$D$151)))</f>
        <v>#REF!</v>
      </c>
      <c r="K88" s="65" t="e">
        <f>IF(LEN(TRIM(SUBSTITUTE(Matching_Engine!$BD$88,"|","")))=0,"N/A",IF(Brand_Profile!$H$47=0,Lookup_Lists!$D$150,ROUND((IF(Brand_Profile!$H$41="",0,IF(ISNUMBER(SEARCH(Brand_Profile!$H$41,Matching_Engine!$BD$88)),1,0))+IF(Brand_Profile!$H$42="",0,IF(ISNUMBER(SEARCH(Brand_Profile!$H$42,Matching_Engine!$BD$88)),1,0))+IF(Brand_Profile!$H$43="",0,IF(ISNUMBER(SEARCH(Brand_Profile!$H$43,Matching_Engine!$BD$88)),1,0))+IF(Brand_Profile!$H$44="",0,IF(ISNUMBER(SEARCH(Brand_Profile!$H$44,Matching_Engine!$BD$88)),1,0))+IF(Brand_Profile!$H$45="",0,IF(ISNUMBER(SEARCH(Brand_Profile!$H$45,Matching_Engine!$BD$88)),1,0))+IF(Brand_Profile!$H$46="",0,IF(ISNUMBER(SEARCH(Brand_Profile!$H$46,Matching_Engine!$BD$88)),1,0)))/Brand_Profile!$H$47*100,0)))</f>
        <v>#VALUE!</v>
      </c>
      <c r="L88" s="65" t="e">
        <f>IF(NOT(AND(ISTEXT('[1]#REF'!$U$16),'[1]#REF'!$U$16&lt;&gt;"N/A")),"N/A",IF(Brand_Profile!$H$53=0,Lookup_Lists!$D$150,ROUND((IF(Brand_Profile!$H$48="",0,IF(ISNUMBER(SEARCH(Brand_Profile!$H$48,Matching_Engine!$BF$88)),1,0))+IF(Brand_Profile!$H$49="",0,IF(ISNUMBER(SEARCH(Brand_Profile!$H$49,Matching_Engine!$BF$88)),1,0))+IF(Brand_Profile!$H$50="",0,IF(ISNUMBER(SEARCH(Brand_Profile!$H$50,Matching_Engine!$BF$88)),1,0))+IF(Brand_Profile!$H$51="",0,IF(ISNUMBER(SEARCH(Brand_Profile!$H$51,Matching_Engine!$BF$88)),1,0))+IF(Brand_Profile!$H$52="",0,IF(ISNUMBER(SEARCH(Brand_Profile!$H$52,Matching_Engine!$BF$88)),1,0)))/Brand_Profile!$H$53*100,0)))</f>
        <v>#REF!</v>
      </c>
      <c r="M88" s="63" t="str">
        <f>IF((IF(ISNUMBER(Matching_Engine!$J$88),Lookup_Lists!$D$332,0)+IF(ISNUMBER(Matching_Engine!$K$88),Lookup_Lists!$D$333,0)+IF(ISNUMBER(Matching_Engine!$L$88),Lookup_Lists!$D$334,0))=0,"N/A",ROUND((IF(ISNUMBER(Matching_Engine!$J$88),Matching_Engine!$J$88*Lookup_Lists!$D$332,0)+IF(ISNUMBER(Matching_Engine!$K$88),Matching_Engine!$K$88*Lookup_Lists!$D$333,0)+IF(ISNUMBER(Matching_Engine!$L$88),Matching_Engine!$L$88*Lookup_Lists!$D$334,0))/(IF(ISNUMBER(Matching_Engine!$J$88),Lookup_Lists!$D$332,0)+IF(ISNUMBER(Matching_Engine!$K$88),Lookup_Lists!$D$333,0)+IF(ISNUMBER(Matching_Engine!$L$88),Lookup_Lists!$D$334,0)),0))</f>
        <v>N/A</v>
      </c>
      <c r="N88" s="42">
        <f>IF(ISNUMBER(Matching_Engine!$M$88),1,0)</f>
        <v>1</v>
      </c>
      <c r="O88" s="65" t="str">
        <f ca="1">IF(NOT(ISNUMBER(IFERROR(INDEX('[1]#REF'!$V$16:'[1]#REF'!$Z$16,1,MATCH(Brand_Profile!$H$11,Lookup_Lists!$F$6:$F$10,0)),""))),"N/A",MIN(100,ROUND((IFERROR(INDEX('[1]#REF'!$V$16:'[1]#REF'!$Z$16,1,MATCH(Brand_Profile!$H$11,Lookup_Lists!$F$6:$F$10,0)),"")+0.5*IF(ISNUMBER(IFERROR(INDEX('[1]#REF'!$V$16:'[1]#REF'!$Z$16,1,MATCH(Brand_Profile!$H$12,Lookup_Lists!$F$6:$F$10,0)),"")),IFERROR(INDEX('[1]#REF'!$V$16:'[1]#REF'!$Z$16,1,MATCH(Brand_Profile!$H$12,Lookup_Lists!$F$6:$F$10,0)),""),0))/Lookup_Lists!$D$142*100,0)))</f>
        <v>N/A</v>
      </c>
      <c r="P88" s="65" t="str">
        <f>IF(Brand_Profile!$H$13="Any",100,IF(NOT(ISNUMBER('[1]#REF'!$AA$16)),"N/A",IF(Brand_Profile!$H$13="Female",MIN(100,ROUND('[1]#REF'!$AA$16/Lookup_Lists!$D$143*100,0)),IF(Brand_Profile!$H$13="Male",MIN(100,ROUND(IF(ISNUMBER('[1]#REF'!$AB$16),'[1]#REF'!$AB$16,100-'[1]#REF'!$AA$16)/Lookup_Lists!$D$143*100,0)),MAX(0,ROUND(100-ABS('[1]#REF'!$AA$16-50)*2,0))))))</f>
        <v>N/A</v>
      </c>
      <c r="Q88" s="65" t="str">
        <f>IF((IF(ISNUMBER(IF(NOT(ISNUMBER('[1]#REF'!$AE$16)),"N/A",IF('[1]#REF'!$AD$16&lt;&gt;Brand_Profile!$H$14,Lookup_Lists!$D$151,MIN(100,ROUND('[1]#REF'!$AE$16/Lookup_Lists!$D$316*100,0))))),Lookup_Lists!$D$118,0)+IF(ISNUMBER(IF(NOT(ISNUMBER('[1]#REF'!$AM$16)),"N/A",MIN(100,ROUND((IF('[1]#REF'!$AG$16=Brand_Profile!$H$15,IF(ISNUMBER('[1]#REF'!$AH$16),'[1]#REF'!$AH$16,0),0)+IF('[1]#REF'!$AI$16=Brand_Profile!$H$15,IF(ISNUMBER('[1]#REF'!$AJ$16),'[1]#REF'!$AJ$16,0),0)+IF('[1]#REF'!$AK$16=Brand_Profile!$H$15,IF(ISNUMBER('[1]#REF'!$AL$16),'[1]#REF'!$AL$16,0),0))/Lookup_Lists!$D$317*100,0)))),Lookup_Lists!$D$120,0))=0,"N/A",ROUND((IF(ISNUMBER(IF(NOT(ISNUMBER('[1]#REF'!$AE$16)),"N/A",IF('[1]#REF'!$AD$16&lt;&gt;Brand_Profile!$H$14,Lookup_Lists!$D$151,MIN(100,ROUND('[1]#REF'!$AE$16/Lookup_Lists!$D$316*100,0))))),IF(NOT(ISNUMBER('[1]#REF'!$AE$16)),"N/A",IF('[1]#REF'!$AD$16&lt;&gt;Brand_Profile!$H$14,Lookup_Lists!$D$151,MIN(100,ROUND('[1]#REF'!$AE$16/Lookup_Lists!$D$316*100,0))))*Lookup_Lists!$D$118,0)+IF(ISNUMBER(IF(NOT(ISNUMBER('[1]#REF'!$AM$16)),"N/A",MIN(100,ROUND((IF('[1]#REF'!$AG$16=Brand_Profile!$H$15,IF(ISNUMBER('[1]#REF'!$AH$16),'[1]#REF'!$AH$16,0),0)+IF('[1]#REF'!$AI$16=Brand_Profile!$H$15,IF(ISNUMBER('[1]#REF'!$AJ$16),'[1]#REF'!$AJ$16,0),0)+IF('[1]#REF'!$AK$16=Brand_Profile!$H$15,IF(ISNUMBER('[1]#REF'!$AL$16),'[1]#REF'!$AL$16,0),0))/Lookup_Lists!$D$317*100,0)))),IF(NOT(ISNUMBER('[1]#REF'!$AM$16)),"N/A",MIN(100,ROUND((IF('[1]#REF'!$AG$16=Brand_Profile!$H$15,IF(ISNUMBER('[1]#REF'!$AH$16),'[1]#REF'!$AH$16,0),0)+IF('[1]#REF'!$AI$16=Brand_Profile!$H$15,IF(ISNUMBER('[1]#REF'!$AJ$16),'[1]#REF'!$AJ$16,0),0)+IF('[1]#REF'!$AK$16=Brand_Profile!$H$15,IF(ISNUMBER('[1]#REF'!$AL$16),'[1]#REF'!$AL$16,0),0))/Lookup_Lists!$D$317*100,0)))*Lookup_Lists!$D$120,0))/(IF(ISNUMBER(IF(NOT(ISNUMBER('[1]#REF'!$AE$16)),"N/A",IF('[1]#REF'!$AD$16&lt;&gt;Brand_Profile!$H$14,Lookup_Lists!$D$151,MIN(100,ROUND('[1]#REF'!$AE$16/Lookup_Lists!$D$316*100,0))))),Lookup_Lists!$D$118,0)+IF(ISNUMBER(IF(NOT(ISNUMBER('[1]#REF'!$AM$16)),"N/A",MIN(100,ROUND((IF('[1]#REF'!$AG$16=Brand_Profile!$H$15,IF(ISNUMBER('[1]#REF'!$AH$16),'[1]#REF'!$AH$16,0),0)+IF('[1]#REF'!$AI$16=Brand_Profile!$H$15,IF(ISNUMBER('[1]#REF'!$AJ$16),'[1]#REF'!$AJ$16,0),0)+IF('[1]#REF'!$AK$16=Brand_Profile!$H$15,IF(ISNUMBER('[1]#REF'!$AL$16),'[1]#REF'!$AL$16,0),0))/Lookup_Lists!$D$317*100,0)))),Lookup_Lists!$D$120,0)),0))</f>
        <v>N/A</v>
      </c>
      <c r="R88" s="65" t="str">
        <f>IF(NOT(ISNUMBER('[1]#REF'!$AN$16)),"N/A",MIN(100,ROUND((IF(ISNUMBER('[1]#REF'!$AO$16),'[1]#REF'!$AO$16*Brand_Profile!$H$17,0)+IF(ISNUMBER('[1]#REF'!$AP$16),'[1]#REF'!$AP$16*Brand_Profile!$H$18,0)+IF(ISNUMBER('[1]#REF'!$AQ$16),'[1]#REF'!$AQ$16*Brand_Profile!$H$19,0)+IF(ISNUMBER('[1]#REF'!$AR$16),'[1]#REF'!$AR$16*Brand_Profile!$H$20,0)+IF(ISNUMBER('[1]#REF'!$AS$16),'[1]#REF'!$AS$16*Brand_Profile!$H$21,0)+IF(ISNUMBER('[1]#REF'!$AT$16),'[1]#REF'!$AT$16*Brand_Profile!$H$22,0)+IF(ISNUMBER('[1]#REF'!$AU$16),'[1]#REF'!$AU$16*Brand_Profile!$H$23,0)+IF(ISNUMBER('[1]#REF'!$AV$16),'[1]#REF'!$AV$16*Brand_Profile!$H$24,0)+IF(ISNUMBER('[1]#REF'!$AW$16),'[1]#REF'!$AW$16*Brand_Profile!$H$25,0)+IF(ISNUMBER('[1]#REF'!$AX$16),'[1]#REF'!$AX$16*Brand_Profile!$H$26,0)+IF(ISNUMBER('[1]#REF'!$AY$16),'[1]#REF'!$AY$16*Brand_Profile!$H$27,0)+IF(ISNUMBER('[1]#REF'!$AZ$16),'[1]#REF'!$AZ$16*Brand_Profile!$H$28,0)+IF(ISNUMBER('[1]#REF'!$BA$16),'[1]#REF'!$BA$16*Brand_Profile!$H$29,0)+IF(ISNUMBER('[1]#REF'!$BB$16),'[1]#REF'!$BB$16*Brand_Profile!$H$30,0)+IF(ISNUMBER('[1]#REF'!$BC$16),'[1]#REF'!$BC$16*Brand_Profile!$H$31,0)+IF(ISNUMBER('[1]#REF'!$BD$16),'[1]#REF'!$BD$16*Brand_Profile!$H$32,0)+IF(ISNUMBER('[1]#REF'!$BE$16),'[1]#REF'!$BE$16*Brand_Profile!$H$33,0)+IF(ISNUMBER('[1]#REF'!$BF$16),'[1]#REF'!$BF$16*Brand_Profile!$H$34,0))/Lookup_Lists!$D$318*100,0)))</f>
        <v>N/A</v>
      </c>
      <c r="S88" s="63">
        <f ca="1">IF((IF(ISNUMBER(Matching_Engine!$O$88),Lookup_Lists!$D$113,0)+IF(ISNUMBER(Matching_Engine!$P$88),Lookup_Lists!$D$114,0)+IF(ISNUMBER(Matching_Engine!$Q$88),Lookup_Lists!$D$115,0)+IF(ISNUMBER(Matching_Engine!$R$88),Lookup_Lists!$D$116,0))=0,"N/A",ROUND((IF(ISNUMBER(Matching_Engine!$O$88),Matching_Engine!$O$88*Lookup_Lists!$D$113,0)+IF(ISNUMBER(Matching_Engine!$P$88),Matching_Engine!$P$88*Lookup_Lists!$D$114,0)+IF(ISNUMBER(Matching_Engine!$Q$88),Matching_Engine!$Q$88*Lookup_Lists!$D$115,0)+IF(ISNUMBER(Matching_Engine!$R$88),Matching_Engine!$R$88*Lookup_Lists!$D$116,0))/(IF(ISNUMBER(Matching_Engine!$O$88),Lookup_Lists!$D$113,0)+IF(ISNUMBER(Matching_Engine!$P$88),Lookup_Lists!$D$114,0)+IF(ISNUMBER(Matching_Engine!$Q$88),Lookup_Lists!$D$115,0)+IF(ISNUMBER(Matching_Engine!$R$88),Lookup_Lists!$D$116,0)),0))</f>
        <v>64</v>
      </c>
      <c r="T88" s="42">
        <f ca="1">IF(ISNUMBER(Matching_Engine!$S$88),1,0)</f>
        <v>1</v>
      </c>
      <c r="U88" s="65" t="e">
        <f>IF(NOT(AND(ISTEXT('[1]#REF'!$M$16),'[1]#REF'!$M$16&lt;&gt;"N/A")),Lookup_Lists!$D$150,IF(Brand_Profile!$H$7='[1]#REF'!$M$16,100,IFERROR(INDEX(Lookup_Lists!$B$349:$J$357,MATCH(Brand_Profile!$H$7,Lookup_Lists!$A$349:$A$357,0),MATCH('[1]#REF'!$M$16,Lookup_Lists!$B$348:$J$348,0)),Lookup_Lists!$D$151)))</f>
        <v>#REF!</v>
      </c>
      <c r="V88" s="65" t="e">
        <f>IF(NOT(AND(ISTEXT('[1]#REF'!$P$16),'[1]#REF'!$P$16&lt;&gt;"N/A")),"N/A",IFERROR(INDEX(Lookup_Lists!$B$349:$J$357,MATCH(Brand_Profile!$H$7,Lookup_Lists!$A$349:$A$357,0),MATCH('[1]#REF'!$P$16,Lookup_Lists!$B$348:$J$348,0)),Lookup_Lists!$D$151))</f>
        <v>#REF!</v>
      </c>
      <c r="W88" s="65" t="e">
        <f>IF(LEN(TRIM(SUBSTITUTE(Matching_Engine!$BE$88,"|","")))=0,"N/A",IF(Brand_Profile!$H$60=0,Lookup_Lists!$D$150,ROUND((IF(Brand_Profile!$H$54="",0,IF(ISNUMBER(SEARCH(Brand_Profile!$H$54,Matching_Engine!$BE$88)),1,0))+IF(Brand_Profile!$H$55="",0,IF(ISNUMBER(SEARCH(Brand_Profile!$H$55,Matching_Engine!$BE$88)),1,0))+IF(Brand_Profile!$H$56="",0,IF(ISNUMBER(SEARCH(Brand_Profile!$H$56,Matching_Engine!$BE$88)),1,0))+IF(Brand_Profile!$H$57="",0,IF(ISNUMBER(SEARCH(Brand_Profile!$H$57,Matching_Engine!$BE$88)),1,0))+IF(Brand_Profile!$H$58="",0,IF(ISNUMBER(SEARCH(Brand_Profile!$H$58,Matching_Engine!$BE$88)),1,0))+IF(Brand_Profile!$H$59="",0,IF(ISNUMBER(SEARCH(Brand_Profile!$H$59,Matching_Engine!$BE$88)),1,0)))/Brand_Profile!$H$60*100,0)))</f>
        <v>#VALUE!</v>
      </c>
      <c r="X88" s="65" t="e">
        <f>IF(NOT(AND(ISTEXT('[1]#REF'!$Q$16),'[1]#REF'!$Q$16&lt;&gt;"N/A")),"N/A",Lookup_Lists!$D$150)</f>
        <v>#REF!</v>
      </c>
      <c r="Y88" s="63">
        <f>IF((IF(ISNUMBER(Matching_Engine!$U$88),Lookup_Lists!$D$335,0)+IF(ISNUMBER(Matching_Engine!$V$88),Lookup_Lists!$D$122,0)+IF(ISNUMBER(Matching_Engine!$W$88),Lookup_Lists!$D$336,0)+IF(ISNUMBER(Matching_Engine!$X$88),Lookup_Lists!$D$124,0))=0,"N/A",ROUND((IF(ISNUMBER(Matching_Engine!$U$88),Matching_Engine!$U$88*Lookup_Lists!$D$335,0)+IF(ISNUMBER(Matching_Engine!$V$88),Matching_Engine!$V$88*Lookup_Lists!$D$122,0)+IF(ISNUMBER(Matching_Engine!$W$88),Matching_Engine!$W$88*Lookup_Lists!$D$336,0)+IF(ISNUMBER(Matching_Engine!$X$88),Matching_Engine!$X$88*Lookup_Lists!$D$124,0))/(IF(ISNUMBER(Matching_Engine!$U$88),Lookup_Lists!$D$335,0)+IF(ISNUMBER(Matching_Engine!$V$88),Lookup_Lists!$D$122,0)+IF(ISNUMBER(Matching_Engine!$W$88),Lookup_Lists!$D$336,0)+IF(ISNUMBER(Matching_Engine!$X$88),Lookup_Lists!$D$124,0)),0))</f>
        <v>23</v>
      </c>
      <c r="Z88" s="42">
        <f>IF(ISNUMBER(Matching_Engine!$Y$88),1,0)</f>
        <v>1</v>
      </c>
      <c r="AA88" s="65" t="e">
        <f>IF(NOT(AND(ISTEXT('[1]#REF'!$Q$16),'[1]#REF'!$Q$16&lt;&gt;"N/A")),"N/A",Lookup_Lists!$D$150)</f>
        <v>#REF!</v>
      </c>
      <c r="AB88" s="65" t="e">
        <f>IF(NOT(AND(ISTEXT('[1]#REF'!$Q$16),'[1]#REF'!$Q$16&lt;&gt;"N/A")),"N/A",Lookup_Lists!$D$150)</f>
        <v>#REF!</v>
      </c>
      <c r="AC88" s="65" t="str">
        <f t="shared" si="1"/>
        <v>N/A</v>
      </c>
      <c r="AD88" s="65" t="e">
        <f>IF(NOT(AND(ISTEXT('[1]#REF'!$Q$16),'[1]#REF'!$Q$16&lt;&gt;"N/A")),"N/A",Lookup_Lists!$D$150)</f>
        <v>#REF!</v>
      </c>
      <c r="AE88" s="63">
        <f>IF((IF(ISNUMBER(Matching_Engine!$AA$88),Lookup_Lists!$D$125,0)+IF(ISNUMBER(Matching_Engine!$AB$88),Lookup_Lists!$D$126,0)+IF(ISNUMBER(Matching_Engine!$AC$88),Lookup_Lists!$D$127,0)+IF(ISNUMBER(Matching_Engine!$AD$88),Lookup_Lists!$D$128,0))=0,"N/A",ROUND((IF(ISNUMBER(Matching_Engine!$AA$88),Matching_Engine!$AA$88*Lookup_Lists!$D$125,0)+IF(ISNUMBER(Matching_Engine!$AB$88),Matching_Engine!$AB$88*Lookup_Lists!$D$126,0)+IF(ISNUMBER(Matching_Engine!$AC$88),Matching_Engine!$AC$88*Lookup_Lists!$D$127,0)+IF(ISNUMBER(Matching_Engine!$AD$88),Matching_Engine!$AD$88*Lookup_Lists!$D$128,0))/(IF(ISNUMBER(Matching_Engine!$AA$88),Lookup_Lists!$D$125,0)+IF(ISNUMBER(Matching_Engine!$AB$88),Lookup_Lists!$D$126,0)+IF(ISNUMBER(Matching_Engine!$AC$88),Lookup_Lists!$D$127,0)+IF(ISNUMBER(Matching_Engine!$AD$88),Lookup_Lists!$D$128,0)),0))</f>
        <v>63</v>
      </c>
      <c r="AF88" s="42">
        <f>IF(ISNUMBER(Matching_Engine!$AE$88),1,0)</f>
        <v>1</v>
      </c>
      <c r="AG88" s="65" t="str">
        <f>IF(NOT(ISNUMBER('[1]#REF'!$BG$16)),"N/A",MIN(100,ROUND('[1]#REF'!$BG$16/IFERROR(INDEX(Lookup_Lists!$B$340:$B$344,MATCH('[1]#REF'!$H$16,Lookup_Lists!$A$340:$A$344,0)),Lookup_Lists!$D$141)*100,0)))</f>
        <v>N/A</v>
      </c>
      <c r="AH88" s="65" t="str">
        <f>IF(NOT(ISNUMBER('[1]#REF'!$BS$16)),"N/A",MIN(100,MAX(0,'[1]#REF'!$BS$16)))</f>
        <v>N/A</v>
      </c>
      <c r="AI88" s="65" t="e">
        <f>IF(OR(NOT(ISNUMBER('[1]#REF'!$BM$16)),NOT(ISNUMBER('[1]#REF'!$BN$16)),'[1]#REF'!$BN$16&lt;Lookup_Lists!$D$320),"N/A",MIN(100,ROUND('[1]#REF'!$BM$16/Lookup_Lists!$D$319*100,0)))</f>
        <v>#REF!</v>
      </c>
      <c r="AJ88" s="65" t="str">
        <f>IF(NOT(ISNUMBER('[1]#REF'!$BR$16)),"N/A",'[1]#REF'!$BR$16)</f>
        <v>N/A</v>
      </c>
      <c r="AK88" s="65" t="str">
        <f>IF(NOT(ISNUMBER('[1]#REF'!$BK$16)),"N/A",MIN(100,ROUND('[1]#REF'!$BK$16/Lookup_Lists!$D$321*100,0)))</f>
        <v>N/A</v>
      </c>
      <c r="AL88" s="65" t="str">
        <f>IF(NOT(ISNUMBER('[1]#REF'!$BP$16)),"N/A",MIN(100,MAX(0,ROUND(('[1]#REF'!$BP$16+2)/(Lookup_Lists!$D$145+2)*100,0))))</f>
        <v>N/A</v>
      </c>
      <c r="AM88" s="63">
        <f>IF((IF(ISNUMBER(Matching_Engine!$AG$88),Lookup_Lists!$D$129,0)+IF(ISNUMBER(Matching_Engine!$AH$88),Lookup_Lists!$D$130,0)+IF(ISNUMBER(Matching_Engine!$AI$88),Lookup_Lists!$D$131,0)+IF(ISNUMBER(Matching_Engine!$AJ$88),Lookup_Lists!$D$132,0)+IF(ISNUMBER(Matching_Engine!$AK$88),Lookup_Lists!$D$133,0)+IF(ISNUMBER(Matching_Engine!$AL$88),Lookup_Lists!$D$134,0))=0,"N/A",ROUND((IF(ISNUMBER(Matching_Engine!$AG$88),Matching_Engine!$AG$88*Lookup_Lists!$D$129,0)+IF(ISNUMBER(Matching_Engine!$AH$88),Matching_Engine!$AH$88*Lookup_Lists!$D$130,0)+IF(ISNUMBER(Matching_Engine!$AI$88),Matching_Engine!$AI$88*Lookup_Lists!$D$131,0)+IF(ISNUMBER(Matching_Engine!$AJ$88),Matching_Engine!$AJ$88*Lookup_Lists!$D$132,0)+IF(ISNUMBER(Matching_Engine!$AK$88),Matching_Engine!$AK$88*Lookup_Lists!$D$133,0)+IF(ISNUMBER(Matching_Engine!$AL$88),Matching_Engine!$AL$88*Lookup_Lists!$D$134,0))/(IF(ISNUMBER(Matching_Engine!$AG$88),Lookup_Lists!$D$129,0)+IF(ISNUMBER(Matching_Engine!$AH$88),Lookup_Lists!$D$130,0)+IF(ISNUMBER(Matching_Engine!$AI$88),Lookup_Lists!$D$131,0)+IF(ISNUMBER(Matching_Engine!$AJ$88),Lookup_Lists!$D$132,0)+IF(ISNUMBER(Matching_Engine!$AK$88),Lookup_Lists!$D$133,0)+IF(ISNUMBER(Matching_Engine!$AL$88),Lookup_Lists!$D$134,0)),0))</f>
        <v>66</v>
      </c>
      <c r="AN88" s="42">
        <f>IF(ISNUMBER(Matching_Engine!$AM$88),1,0)</f>
        <v>0</v>
      </c>
      <c r="AO88" s="65" t="str">
        <f>IF(NOT(ISNUMBER('[1]#REF'!$BT$16)),"N/A",MIN(100,MAX(0,'[1]#REF'!$BT$16)))</f>
        <v>N/A</v>
      </c>
      <c r="AP88" s="65" t="str">
        <f>IF(NOT(ISNUMBER('[1]#REF'!$BU$16)),"N/A",MIN(100,MAX(0,'[1]#REF'!$BU$16)))</f>
        <v>N/A</v>
      </c>
      <c r="AQ88" s="65" t="e">
        <f>IF('[1]#REF'!$I$16="Yes",Lookup_Lists!$D$326,IF('[1]#REF'!$I$16="No",Lookup_Lists!$D$327,"N/A"))</f>
        <v>#REF!</v>
      </c>
      <c r="AR88" s="65" t="str">
        <f>IF(NOT(ISNUMBER('[1]#REF'!$BQ$16)),"N/A",MAX(0,ROUND(100-'[1]#REF'!$BQ$16/Lookup_Lists!$D$328*100,0)))</f>
        <v>N/A</v>
      </c>
      <c r="AS88" s="65" t="e">
        <f>IF(NOT(AND(ISTEXT('[1]#REF'!$BV$16),'[1]#REF'!$BV$16&lt;&gt;"N/A")),"N/A",'[1]#REF'!$BV$16)</f>
        <v>#REF!</v>
      </c>
      <c r="AT88" s="63" t="str">
        <f ca="1">IF((IF(ISNUMBER(Matching_Engine!$AO$88),Lookup_Lists!$D$322,0)+IF(ISNUMBER(Matching_Engine!$AP$88),Lookup_Lists!$D$323,0)+IF(ISNUMBER(Matching_Engine!$AQ$88),Lookup_Lists!$D$324,0)+IF(ISNUMBER(Matching_Engine!$AR$88),Lookup_Lists!$D$325,0))=0,"N/A",ROUND((IF(ISNUMBER(Matching_Engine!$AO$88),Matching_Engine!$AO$88*Lookup_Lists!$D$322,0)+IF(ISNUMBER(Matching_Engine!$AP$88),Matching_Engine!$AP$88*Lookup_Lists!$D$323,0)+IF(ISNUMBER(Matching_Engine!$AQ$88),Matching_Engine!$AQ$88*Lookup_Lists!$D$324,0)+IF(ISNUMBER(Matching_Engine!$AR$88),Matching_Engine!$AR$88*Lookup_Lists!$D$325,0))/(IF(ISNUMBER(Matching_Engine!$AO$88),Lookup_Lists!$D$322,0)+IF(ISNUMBER(Matching_Engine!$AP$88),Lookup_Lists!$D$323,0)+IF(ISNUMBER(Matching_Engine!$AQ$88),Lookup_Lists!$D$324,0)+IF(ISNUMBER(Matching_Engine!$AR$88),Lookup_Lists!$D$325,0)),0))</f>
        <v>N/A</v>
      </c>
      <c r="AU88" s="42">
        <f>IF(ISNUMBER(Matching_Engine!$AT$88),1,0)</f>
        <v>1</v>
      </c>
      <c r="AV88" s="42" t="str">
        <f>IF(NOT(ISNUMBER(Matching_Engine!$AT$88)),"Not Screened",IF(Matching_Engine!$AT$88&gt;=Lookup_Lists!$D$329,"Low Risk",IF(Matching_Engine!$AT$88&gt;=Lookup_Lists!$D$330,"Moderate Risk",IF(Matching_Engine!$AT$88&gt;=Lookup_Lists!$D$331,"Elevated Risk","High Risk"))))</f>
        <v>Low Risk</v>
      </c>
      <c r="AW88" s="42" t="e">
        <f ca="1">IF(NOT(ISNUMBER(Matching_Engine!$AT$88)),"No integrity signal: no audience-analysis row for this account.","Integrity screen only — no content-risk reading exists (comments_analysis: 0 rows). "&amp;IF(ISNUMBER(Matching_Engine!$AO$88),"Authenticity "&amp;Matching_Engine!$AO$88&amp;". ","Authenticity N/A. ")&amp;IF(ISNUMBER(Matching_Engine!$AP$88),"Follower quality "&amp;Matching_Engine!$AP$88&amp;". ","Follower quality N/A. ")&amp;IF('[1]#REF'!$I$16="Yes","Platform-verified.","Not platform-verified."))</f>
        <v>#REF!</v>
      </c>
      <c r="AX88" s="65">
        <f>Matching_Engine!$N$88*Lookup_Lists!$D$104+Matching_Engine!$T$88*Lookup_Lists!$D$105+Matching_Engine!$Z$88*Lookup_Lists!$D$106+Matching_Engine!$AF$88*Lookup_Lists!$D$107+Matching_Engine!$AN$88*Lookup_Lists!$D$108+Matching_Engine!$AU$88*Lookup_Lists!$D$109</f>
        <v>4220</v>
      </c>
      <c r="AY88" s="74" t="e">
        <f ca="1">IF(Matching_Engine!$AX$88=0,"N/A",ROUND((IF(Matching_Engine!$N$88=1,Matching_Engine!$M$88*Lookup_Lists!$D$104,0)+IF(Matching_Engine!$T$88=1,Matching_Engine!$S$88*Lookup_Lists!$D$105,0)+IF(Matching_Engine!$Z$88=1,Matching_Engine!$Y$88*Lookup_Lists!$D$106,0)+IF(Matching_Engine!$AF$88=1,Matching_Engine!$AE$88*Lookup_Lists!$D$107,0)+IF(Matching_Engine!$AN$88=1,Matching_Engine!$AM$88*Lookup_Lists!$D$108,0)+IF(Matching_Engine!$AU$88=1,Matching_Engine!$AT$88*Lookup_Lists!$D$109,0))/Matching_Engine!$AX$88,0))</f>
        <v>#VALUE!</v>
      </c>
      <c r="AZ88" s="42" t="str">
        <f ca="1">IF(NOT(ISNUMBER(Matching_Engine!$AY$88)),"Not Scored",IF(Matching_Engine!$AY$88&gt;=Lookup_Lists!$D$152,"Excellent Match",IF(Matching_Engine!$AY$88&gt;=Lookup_Lists!$D$153,"Strong Match",IF(Matching_Engine!$AY$88&gt;=Lookup_Lists!$D$154,"Good Match",IF(Matching_Engine!$AY$88&gt;=Lookup_Lists!$D$155,"Moderate Match","Low Match")))))</f>
        <v>Not Scored</v>
      </c>
      <c r="BA88" s="65" t="e">
        <f>'[1]#REF'!$BW$16</f>
        <v>#REF!</v>
      </c>
      <c r="BB88" s="42" t="e">
        <f>'[1]#REF'!$BX$16</f>
        <v>#REF!</v>
      </c>
      <c r="BC88" s="65">
        <f ca="1">IF(NOT(ISNUMBER(Matching_Engine!$AY$88)),-1,Matching_Engine!$AY$88*1000+14)</f>
        <v>-1</v>
      </c>
      <c r="BD88" s="42" t="e">
        <f>IF(AND(ISTEXT('[1]#REF'!$S$16),'[1]#REF'!$S$16&lt;&gt;"N/A"),'[1]#REF'!$S$16,"")&amp;" | "&amp;IF(AND(ISTEXT('[1]#REF'!$T$16),'[1]#REF'!$T$16&lt;&gt;"N/A"),'[1]#REF'!$T$16,"")&amp;" | "&amp;IF(AND(ISTEXT('[1]#REF'!$N$16),'[1]#REF'!$N$16&lt;&gt;"N/A"),'[1]#REF'!$N$16,"")&amp;" | "&amp;IF(AND(ISTEXT('[1]#REF'!$K$16),'[1]#REF'!$K$16&lt;&gt;"N/A"),'[1]#REF'!$K$16,"")&amp;" | "&amp;IF(AND(ISTEXT('[1]#REF'!$J$16),'[1]#REF'!$J$16&lt;&gt;"N/A"),'[1]#REF'!$J$16,"")</f>
        <v>#REF!</v>
      </c>
      <c r="BE88" s="42" t="e">
        <f>IF(AND(ISTEXT('[1]#REF'!$T$16),'[1]#REF'!$T$16&lt;&gt;"N/A"),'[1]#REF'!$T$16,"")&amp;" | "&amp;IF(AND(ISTEXT('[1]#REF'!$N$16),'[1]#REF'!$N$16&lt;&gt;"N/A"),'[1]#REF'!$N$16,"")&amp;" | "&amp;IF(AND(ISTEXT('[1]#REF'!$O$16),'[1]#REF'!$O$16&lt;&gt;"N/A"),'[1]#REF'!$O$16,"")&amp;" | "&amp;IF(AND(ISTEXT('[1]#REF'!$S$16),'[1]#REF'!$S$16&lt;&gt;"N/A"),'[1]#REF'!$S$16,"")</f>
        <v>#REF!</v>
      </c>
      <c r="BF88" s="42" t="e">
        <f>IF(AND(ISTEXT('[1]#REF'!$U$16),'[1]#REF'!$U$16&lt;&gt;"N/A"),'[1]#REF'!$U$16,"")</f>
        <v>#REF!</v>
      </c>
      <c r="BG88" s="42" t="str">
        <f>Matching_Engine!$A$88&amp;"|"&amp;Matching_Engine!$C$88</f>
        <v>BRAND-C|KOL-23</v>
      </c>
    </row>
    <row r="89" spans="1:59">
      <c r="A89" s="64" t="s">
        <v>2530</v>
      </c>
      <c r="B89" s="42" t="str">
        <f>Brand_Profile!$H$6</f>
        <v>Input type / allowed values</v>
      </c>
      <c r="C89" s="42" t="e">
        <f>'[1]#REF'!$A$17</f>
        <v>#REF!</v>
      </c>
      <c r="D89" s="42" t="e">
        <f>'[1]#REF'!$C$17</f>
        <v>#REF!</v>
      </c>
      <c r="E89" s="42" t="e">
        <f>'[1]#REF'!$D$17</f>
        <v>#REF!</v>
      </c>
      <c r="F89" s="42" t="e">
        <f>'[1]#REF'!$E$17</f>
        <v>#REF!</v>
      </c>
      <c r="G89" s="42" t="e">
        <f>'[1]#REF'!$K$17</f>
        <v>#REF!</v>
      </c>
      <c r="H89" s="72" t="e">
        <f>'[1]#REF'!$G$17</f>
        <v>#REF!</v>
      </c>
      <c r="I89" s="73" t="e">
        <f>'[1]#REF'!$BG$17</f>
        <v>#REF!</v>
      </c>
      <c r="J89" s="65" t="e">
        <f>IF(NOT(AND(ISTEXT('[1]#REF'!$K$17),'[1]#REF'!$K$17&lt;&gt;"N/A")),Lookup_Lists!$D$150,IF(Brand_Profile!$H$7='[1]#REF'!$K$17,100,IFERROR(INDEX(Lookup_Lists!$B$349:$J$357,MATCH(Brand_Profile!$H$7,Lookup_Lists!$A$349:$A$357,0),MATCH('[1]#REF'!$K$17,Lookup_Lists!$B$348:$J$348,0)),Lookup_Lists!$D$151)))</f>
        <v>#REF!</v>
      </c>
      <c r="K89" s="65" t="e">
        <f>IF(LEN(TRIM(SUBSTITUTE(Matching_Engine!$BD$89,"|","")))=0,"N/A",IF(Brand_Profile!$H$47=0,Lookup_Lists!$D$150,ROUND((IF(Brand_Profile!$H$41="",0,IF(ISNUMBER(SEARCH(Brand_Profile!$H$41,Matching_Engine!$BD$89)),1,0))+IF(Brand_Profile!$H$42="",0,IF(ISNUMBER(SEARCH(Brand_Profile!$H$42,Matching_Engine!$BD$89)),1,0))+IF(Brand_Profile!$H$43="",0,IF(ISNUMBER(SEARCH(Brand_Profile!$H$43,Matching_Engine!$BD$89)),1,0))+IF(Brand_Profile!$H$44="",0,IF(ISNUMBER(SEARCH(Brand_Profile!$H$44,Matching_Engine!$BD$89)),1,0))+IF(Brand_Profile!$H$45="",0,IF(ISNUMBER(SEARCH(Brand_Profile!$H$45,Matching_Engine!$BD$89)),1,0))+IF(Brand_Profile!$H$46="",0,IF(ISNUMBER(SEARCH(Brand_Profile!$H$46,Matching_Engine!$BD$89)),1,0)))/Brand_Profile!$H$47*100,0)))</f>
        <v>#VALUE!</v>
      </c>
      <c r="L89" s="65" t="e">
        <f>IF(NOT(AND(ISTEXT('[1]#REF'!$U$17),'[1]#REF'!$U$17&lt;&gt;"N/A")),"N/A",IF(Brand_Profile!$H$53=0,Lookup_Lists!$D$150,ROUND((IF(Brand_Profile!$H$48="",0,IF(ISNUMBER(SEARCH(Brand_Profile!$H$48,Matching_Engine!$BF$89)),1,0))+IF(Brand_Profile!$H$49="",0,IF(ISNUMBER(SEARCH(Brand_Profile!$H$49,Matching_Engine!$BF$89)),1,0))+IF(Brand_Profile!$H$50="",0,IF(ISNUMBER(SEARCH(Brand_Profile!$H$50,Matching_Engine!$BF$89)),1,0))+IF(Brand_Profile!$H$51="",0,IF(ISNUMBER(SEARCH(Brand_Profile!$H$51,Matching_Engine!$BF$89)),1,0))+IF(Brand_Profile!$H$52="",0,IF(ISNUMBER(SEARCH(Brand_Profile!$H$52,Matching_Engine!$BF$89)),1,0)))/Brand_Profile!$H$53*100,0)))</f>
        <v>#REF!</v>
      </c>
      <c r="M89" s="63" t="str">
        <f>IF((IF(ISNUMBER(Matching_Engine!$J$89),Lookup_Lists!$D$332,0)+IF(ISNUMBER(Matching_Engine!$K$89),Lookup_Lists!$D$333,0)+IF(ISNUMBER(Matching_Engine!$L$89),Lookup_Lists!$D$334,0))=0,"N/A",ROUND((IF(ISNUMBER(Matching_Engine!$J$89),Matching_Engine!$J$89*Lookup_Lists!$D$332,0)+IF(ISNUMBER(Matching_Engine!$K$89),Matching_Engine!$K$89*Lookup_Lists!$D$333,0)+IF(ISNUMBER(Matching_Engine!$L$89),Matching_Engine!$L$89*Lookup_Lists!$D$334,0))/(IF(ISNUMBER(Matching_Engine!$J$89),Lookup_Lists!$D$332,0)+IF(ISNUMBER(Matching_Engine!$K$89),Lookup_Lists!$D$333,0)+IF(ISNUMBER(Matching_Engine!$L$89),Lookup_Lists!$D$334,0)),0))</f>
        <v>N/A</v>
      </c>
      <c r="N89" s="42">
        <f>IF(ISNUMBER(Matching_Engine!$M$89),1,0)</f>
        <v>1</v>
      </c>
      <c r="O89" s="65" t="str">
        <f ca="1">IF(NOT(ISNUMBER(IFERROR(INDEX('[1]#REF'!$V$17:'[1]#REF'!$Z$17,1,MATCH(Brand_Profile!$H$11,Lookup_Lists!$F$6:$F$10,0)),""))),"N/A",MIN(100,ROUND((IFERROR(INDEX('[1]#REF'!$V$17:'[1]#REF'!$Z$17,1,MATCH(Brand_Profile!$H$11,Lookup_Lists!$F$6:$F$10,0)),"")+0.5*IF(ISNUMBER(IFERROR(INDEX('[1]#REF'!$V$17:'[1]#REF'!$Z$17,1,MATCH(Brand_Profile!$H$12,Lookup_Lists!$F$6:$F$10,0)),"")),IFERROR(INDEX('[1]#REF'!$V$17:'[1]#REF'!$Z$17,1,MATCH(Brand_Profile!$H$12,Lookup_Lists!$F$6:$F$10,0)),""),0))/Lookup_Lists!$D$142*100,0)))</f>
        <v>N/A</v>
      </c>
      <c r="P89" s="65" t="str">
        <f>IF(Brand_Profile!$H$13="Any",100,IF(NOT(ISNUMBER('[1]#REF'!$AA$17)),"N/A",IF(Brand_Profile!$H$13="Female",MIN(100,ROUND('[1]#REF'!$AA$17/Lookup_Lists!$D$143*100,0)),IF(Brand_Profile!$H$13="Male",MIN(100,ROUND(IF(ISNUMBER('[1]#REF'!$AB$17),'[1]#REF'!$AB$17,100-'[1]#REF'!$AA$17)/Lookup_Lists!$D$143*100,0)),MAX(0,ROUND(100-ABS('[1]#REF'!$AA$17-50)*2,0))))))</f>
        <v>N/A</v>
      </c>
      <c r="Q89" s="65" t="str">
        <f>IF((IF(ISNUMBER(IF(NOT(ISNUMBER('[1]#REF'!$AE$17)),"N/A",IF('[1]#REF'!$AD$17&lt;&gt;Brand_Profile!$H$14,Lookup_Lists!$D$151,MIN(100,ROUND('[1]#REF'!$AE$17/Lookup_Lists!$D$316*100,0))))),Lookup_Lists!$D$118,0)+IF(ISNUMBER(IF(NOT(ISNUMBER('[1]#REF'!$AM$17)),"N/A",MIN(100,ROUND((IF('[1]#REF'!$AG$17=Brand_Profile!$H$15,IF(ISNUMBER('[1]#REF'!$AH$17),'[1]#REF'!$AH$17,0),0)+IF('[1]#REF'!$AI$17=Brand_Profile!$H$15,IF(ISNUMBER('[1]#REF'!$AJ$17),'[1]#REF'!$AJ$17,0),0)+IF('[1]#REF'!$AK$17=Brand_Profile!$H$15,IF(ISNUMBER('[1]#REF'!$AL$17),'[1]#REF'!$AL$17,0),0))/Lookup_Lists!$D$317*100,0)))),Lookup_Lists!$D$120,0))=0,"N/A",ROUND((IF(ISNUMBER(IF(NOT(ISNUMBER('[1]#REF'!$AE$17)),"N/A",IF('[1]#REF'!$AD$17&lt;&gt;Brand_Profile!$H$14,Lookup_Lists!$D$151,MIN(100,ROUND('[1]#REF'!$AE$17/Lookup_Lists!$D$316*100,0))))),IF(NOT(ISNUMBER('[1]#REF'!$AE$17)),"N/A",IF('[1]#REF'!$AD$17&lt;&gt;Brand_Profile!$H$14,Lookup_Lists!$D$151,MIN(100,ROUND('[1]#REF'!$AE$17/Lookup_Lists!$D$316*100,0))))*Lookup_Lists!$D$118,0)+IF(ISNUMBER(IF(NOT(ISNUMBER('[1]#REF'!$AM$17)),"N/A",MIN(100,ROUND((IF('[1]#REF'!$AG$17=Brand_Profile!$H$15,IF(ISNUMBER('[1]#REF'!$AH$17),'[1]#REF'!$AH$17,0),0)+IF('[1]#REF'!$AI$17=Brand_Profile!$H$15,IF(ISNUMBER('[1]#REF'!$AJ$17),'[1]#REF'!$AJ$17,0),0)+IF('[1]#REF'!$AK$17=Brand_Profile!$H$15,IF(ISNUMBER('[1]#REF'!$AL$17),'[1]#REF'!$AL$17,0),0))/Lookup_Lists!$D$317*100,0)))),IF(NOT(ISNUMBER('[1]#REF'!$AM$17)),"N/A",MIN(100,ROUND((IF('[1]#REF'!$AG$17=Brand_Profile!$H$15,IF(ISNUMBER('[1]#REF'!$AH$17),'[1]#REF'!$AH$17,0),0)+IF('[1]#REF'!$AI$17=Brand_Profile!$H$15,IF(ISNUMBER('[1]#REF'!$AJ$17),'[1]#REF'!$AJ$17,0),0)+IF('[1]#REF'!$AK$17=Brand_Profile!$H$15,IF(ISNUMBER('[1]#REF'!$AL$17),'[1]#REF'!$AL$17,0),0))/Lookup_Lists!$D$317*100,0)))*Lookup_Lists!$D$120,0))/(IF(ISNUMBER(IF(NOT(ISNUMBER('[1]#REF'!$AE$17)),"N/A",IF('[1]#REF'!$AD$17&lt;&gt;Brand_Profile!$H$14,Lookup_Lists!$D$151,MIN(100,ROUND('[1]#REF'!$AE$17/Lookup_Lists!$D$316*100,0))))),Lookup_Lists!$D$118,0)+IF(ISNUMBER(IF(NOT(ISNUMBER('[1]#REF'!$AM$17)),"N/A",MIN(100,ROUND((IF('[1]#REF'!$AG$17=Brand_Profile!$H$15,IF(ISNUMBER('[1]#REF'!$AH$17),'[1]#REF'!$AH$17,0),0)+IF('[1]#REF'!$AI$17=Brand_Profile!$H$15,IF(ISNUMBER('[1]#REF'!$AJ$17),'[1]#REF'!$AJ$17,0),0)+IF('[1]#REF'!$AK$17=Brand_Profile!$H$15,IF(ISNUMBER('[1]#REF'!$AL$17),'[1]#REF'!$AL$17,0),0))/Lookup_Lists!$D$317*100,0)))),Lookup_Lists!$D$120,0)),0))</f>
        <v>N/A</v>
      </c>
      <c r="R89" s="65" t="str">
        <f>IF(NOT(ISNUMBER('[1]#REF'!$AN$17)),"N/A",MIN(100,ROUND((IF(ISNUMBER('[1]#REF'!$AO$17),'[1]#REF'!$AO$17*Brand_Profile!$H$17,0)+IF(ISNUMBER('[1]#REF'!$AP$17),'[1]#REF'!$AP$17*Brand_Profile!$H$18,0)+IF(ISNUMBER('[1]#REF'!$AQ$17),'[1]#REF'!$AQ$17*Brand_Profile!$H$19,0)+IF(ISNUMBER('[1]#REF'!$AR$17),'[1]#REF'!$AR$17*Brand_Profile!$H$20,0)+IF(ISNUMBER('[1]#REF'!$AS$17),'[1]#REF'!$AS$17*Brand_Profile!$H$21,0)+IF(ISNUMBER('[1]#REF'!$AT$17),'[1]#REF'!$AT$17*Brand_Profile!$H$22,0)+IF(ISNUMBER('[1]#REF'!$AU$17),'[1]#REF'!$AU$17*Brand_Profile!$H$23,0)+IF(ISNUMBER('[1]#REF'!$AV$17),'[1]#REF'!$AV$17*Brand_Profile!$H$24,0)+IF(ISNUMBER('[1]#REF'!$AW$17),'[1]#REF'!$AW$17*Brand_Profile!$H$25,0)+IF(ISNUMBER('[1]#REF'!$AX$17),'[1]#REF'!$AX$17*Brand_Profile!$H$26,0)+IF(ISNUMBER('[1]#REF'!$AY$17),'[1]#REF'!$AY$17*Brand_Profile!$H$27,0)+IF(ISNUMBER('[1]#REF'!$AZ$17),'[1]#REF'!$AZ$17*Brand_Profile!$H$28,0)+IF(ISNUMBER('[1]#REF'!$BA$17),'[1]#REF'!$BA$17*Brand_Profile!$H$29,0)+IF(ISNUMBER('[1]#REF'!$BB$17),'[1]#REF'!$BB$17*Brand_Profile!$H$30,0)+IF(ISNUMBER('[1]#REF'!$BC$17),'[1]#REF'!$BC$17*Brand_Profile!$H$31,0)+IF(ISNUMBER('[1]#REF'!$BD$17),'[1]#REF'!$BD$17*Brand_Profile!$H$32,0)+IF(ISNUMBER('[1]#REF'!$BE$17),'[1]#REF'!$BE$17*Brand_Profile!$H$33,0)+IF(ISNUMBER('[1]#REF'!$BF$17),'[1]#REF'!$BF$17*Brand_Profile!$H$34,0))/Lookup_Lists!$D$318*100,0)))</f>
        <v>N/A</v>
      </c>
      <c r="S89" s="63">
        <f ca="1">IF((IF(ISNUMBER(Matching_Engine!$O$89),Lookup_Lists!$D$113,0)+IF(ISNUMBER(Matching_Engine!$P$89),Lookup_Lists!$D$114,0)+IF(ISNUMBER(Matching_Engine!$Q$89),Lookup_Lists!$D$115,0)+IF(ISNUMBER(Matching_Engine!$R$89),Lookup_Lists!$D$116,0))=0,"N/A",ROUND((IF(ISNUMBER(Matching_Engine!$O$89),Matching_Engine!$O$89*Lookup_Lists!$D$113,0)+IF(ISNUMBER(Matching_Engine!$P$89),Matching_Engine!$P$89*Lookup_Lists!$D$114,0)+IF(ISNUMBER(Matching_Engine!$Q$89),Matching_Engine!$Q$89*Lookup_Lists!$D$115,0)+IF(ISNUMBER(Matching_Engine!$R$89),Matching_Engine!$R$89*Lookup_Lists!$D$116,0))/(IF(ISNUMBER(Matching_Engine!$O$89),Lookup_Lists!$D$113,0)+IF(ISNUMBER(Matching_Engine!$P$89),Lookup_Lists!$D$114,0)+IF(ISNUMBER(Matching_Engine!$Q$89),Lookup_Lists!$D$115,0)+IF(ISNUMBER(Matching_Engine!$R$89),Lookup_Lists!$D$116,0)),0))</f>
        <v>67</v>
      </c>
      <c r="T89" s="42">
        <f ca="1">IF(ISNUMBER(Matching_Engine!$S$89),1,0)</f>
        <v>1</v>
      </c>
      <c r="U89" s="65" t="e">
        <f>IF(NOT(AND(ISTEXT('[1]#REF'!$M$17),'[1]#REF'!$M$17&lt;&gt;"N/A")),Lookup_Lists!$D$150,IF(Brand_Profile!$H$7='[1]#REF'!$M$17,100,IFERROR(INDEX(Lookup_Lists!$B$349:$J$357,MATCH(Brand_Profile!$H$7,Lookup_Lists!$A$349:$A$357,0),MATCH('[1]#REF'!$M$17,Lookup_Lists!$B$348:$J$348,0)),Lookup_Lists!$D$151)))</f>
        <v>#REF!</v>
      </c>
      <c r="V89" s="65" t="e">
        <f>IF(NOT(AND(ISTEXT('[1]#REF'!$P$17),'[1]#REF'!$P$17&lt;&gt;"N/A")),"N/A",IFERROR(INDEX(Lookup_Lists!$B$349:$J$357,MATCH(Brand_Profile!$H$7,Lookup_Lists!$A$349:$A$357,0),MATCH('[1]#REF'!$P$17,Lookup_Lists!$B$348:$J$348,0)),Lookup_Lists!$D$151))</f>
        <v>#REF!</v>
      </c>
      <c r="W89" s="65" t="e">
        <f>IF(LEN(TRIM(SUBSTITUTE(Matching_Engine!$BE$89,"|","")))=0,"N/A",IF(Brand_Profile!$H$60=0,Lookup_Lists!$D$150,ROUND((IF(Brand_Profile!$H$54="",0,IF(ISNUMBER(SEARCH(Brand_Profile!$H$54,Matching_Engine!$BE$89)),1,0))+IF(Brand_Profile!$H$55="",0,IF(ISNUMBER(SEARCH(Brand_Profile!$H$55,Matching_Engine!$BE$89)),1,0))+IF(Brand_Profile!$H$56="",0,IF(ISNUMBER(SEARCH(Brand_Profile!$H$56,Matching_Engine!$BE$89)),1,0))+IF(Brand_Profile!$H$57="",0,IF(ISNUMBER(SEARCH(Brand_Profile!$H$57,Matching_Engine!$BE$89)),1,0))+IF(Brand_Profile!$H$58="",0,IF(ISNUMBER(SEARCH(Brand_Profile!$H$58,Matching_Engine!$BE$89)),1,0))+IF(Brand_Profile!$H$59="",0,IF(ISNUMBER(SEARCH(Brand_Profile!$H$59,Matching_Engine!$BE$89)),1,0)))/Brand_Profile!$H$60*100,0)))</f>
        <v>#VALUE!</v>
      </c>
      <c r="X89" s="65" t="e">
        <f>IF(NOT(AND(ISTEXT('[1]#REF'!$Q$17),'[1]#REF'!$Q$17&lt;&gt;"N/A")),"N/A",Lookup_Lists!$D$150)</f>
        <v>#REF!</v>
      </c>
      <c r="Y89" s="63">
        <f>IF((IF(ISNUMBER(Matching_Engine!$U$89),Lookup_Lists!$D$335,0)+IF(ISNUMBER(Matching_Engine!$V$89),Lookup_Lists!$D$122,0)+IF(ISNUMBER(Matching_Engine!$W$89),Lookup_Lists!$D$336,0)+IF(ISNUMBER(Matching_Engine!$X$89),Lookup_Lists!$D$124,0))=0,"N/A",ROUND((IF(ISNUMBER(Matching_Engine!$U$89),Matching_Engine!$U$89*Lookup_Lists!$D$335,0)+IF(ISNUMBER(Matching_Engine!$V$89),Matching_Engine!$V$89*Lookup_Lists!$D$122,0)+IF(ISNUMBER(Matching_Engine!$W$89),Matching_Engine!$W$89*Lookup_Lists!$D$336,0)+IF(ISNUMBER(Matching_Engine!$X$89),Matching_Engine!$X$89*Lookup_Lists!$D$124,0))/(IF(ISNUMBER(Matching_Engine!$U$89),Lookup_Lists!$D$335,0)+IF(ISNUMBER(Matching_Engine!$V$89),Lookup_Lists!$D$122,0)+IF(ISNUMBER(Matching_Engine!$W$89),Lookup_Lists!$D$336,0)+IF(ISNUMBER(Matching_Engine!$X$89),Lookup_Lists!$D$124,0)),0))</f>
        <v>23</v>
      </c>
      <c r="Z89" s="42">
        <f>IF(ISNUMBER(Matching_Engine!$Y$89),1,0)</f>
        <v>1</v>
      </c>
      <c r="AA89" s="65" t="e">
        <f>IF(NOT(AND(ISTEXT('[1]#REF'!$Q$17),'[1]#REF'!$Q$17&lt;&gt;"N/A")),"N/A",Lookup_Lists!$D$150)</f>
        <v>#REF!</v>
      </c>
      <c r="AB89" s="65" t="e">
        <f>IF(NOT(AND(ISTEXT('[1]#REF'!$Q$17),'[1]#REF'!$Q$17&lt;&gt;"N/A")),"N/A",Lookup_Lists!$D$150)</f>
        <v>#REF!</v>
      </c>
      <c r="AC89" s="65" t="str">
        <f t="shared" si="1"/>
        <v>N/A</v>
      </c>
      <c r="AD89" s="65" t="e">
        <f>IF(NOT(AND(ISTEXT('[1]#REF'!$Q$17),'[1]#REF'!$Q$17&lt;&gt;"N/A")),"N/A",Lookup_Lists!$D$150)</f>
        <v>#REF!</v>
      </c>
      <c r="AE89" s="63">
        <f>IF((IF(ISNUMBER(Matching_Engine!$AA$89),Lookup_Lists!$D$125,0)+IF(ISNUMBER(Matching_Engine!$AB$89),Lookup_Lists!$D$126,0)+IF(ISNUMBER(Matching_Engine!$AC$89),Lookup_Lists!$D$127,0)+IF(ISNUMBER(Matching_Engine!$AD$89),Lookup_Lists!$D$128,0))=0,"N/A",ROUND((IF(ISNUMBER(Matching_Engine!$AA$89),Matching_Engine!$AA$89*Lookup_Lists!$D$125,0)+IF(ISNUMBER(Matching_Engine!$AB$89),Matching_Engine!$AB$89*Lookup_Lists!$D$126,0)+IF(ISNUMBER(Matching_Engine!$AC$89),Matching_Engine!$AC$89*Lookup_Lists!$D$127,0)+IF(ISNUMBER(Matching_Engine!$AD$89),Matching_Engine!$AD$89*Lookup_Lists!$D$128,0))/(IF(ISNUMBER(Matching_Engine!$AA$89),Lookup_Lists!$D$125,0)+IF(ISNUMBER(Matching_Engine!$AB$89),Lookup_Lists!$D$126,0)+IF(ISNUMBER(Matching_Engine!$AC$89),Lookup_Lists!$D$127,0)+IF(ISNUMBER(Matching_Engine!$AD$89),Lookup_Lists!$D$128,0)),0))</f>
        <v>31</v>
      </c>
      <c r="AF89" s="42">
        <f>IF(ISNUMBER(Matching_Engine!$AE$89),1,0)</f>
        <v>1</v>
      </c>
      <c r="AG89" s="65" t="str">
        <f>IF(NOT(ISNUMBER('[1]#REF'!$BG$17)),"N/A",MIN(100,ROUND('[1]#REF'!$BG$17/IFERROR(INDEX(Lookup_Lists!$B$340:$B$344,MATCH('[1]#REF'!$H$17,Lookup_Lists!$A$340:$A$344,0)),Lookup_Lists!$D$141)*100,0)))</f>
        <v>N/A</v>
      </c>
      <c r="AH89" s="65" t="str">
        <f>IF(NOT(ISNUMBER('[1]#REF'!$BS$17)),"N/A",MIN(100,MAX(0,'[1]#REF'!$BS$17)))</f>
        <v>N/A</v>
      </c>
      <c r="AI89" s="65" t="e">
        <f>IF(OR(NOT(ISNUMBER('[1]#REF'!$BM$17)),NOT(ISNUMBER('[1]#REF'!$BN$17)),'[1]#REF'!$BN$17&lt;Lookup_Lists!$D$320),"N/A",MIN(100,ROUND('[1]#REF'!$BM$17/Lookup_Lists!$D$319*100,0)))</f>
        <v>#REF!</v>
      </c>
      <c r="AJ89" s="65" t="str">
        <f>IF(NOT(ISNUMBER('[1]#REF'!$BR$17)),"N/A",'[1]#REF'!$BR$17)</f>
        <v>N/A</v>
      </c>
      <c r="AK89" s="65" t="str">
        <f>IF(NOT(ISNUMBER('[1]#REF'!$BK$17)),"N/A",MIN(100,ROUND('[1]#REF'!$BK$17/Lookup_Lists!$D$321*100,0)))</f>
        <v>N/A</v>
      </c>
      <c r="AL89" s="65" t="str">
        <f>IF(NOT(ISNUMBER('[1]#REF'!$BP$17)),"N/A",MIN(100,MAX(0,ROUND(('[1]#REF'!$BP$17+2)/(Lookup_Lists!$D$145+2)*100,0))))</f>
        <v>N/A</v>
      </c>
      <c r="AM89" s="63">
        <f>IF((IF(ISNUMBER(Matching_Engine!$AG$89),Lookup_Lists!$D$129,0)+IF(ISNUMBER(Matching_Engine!$AH$89),Lookup_Lists!$D$130,0)+IF(ISNUMBER(Matching_Engine!$AI$89),Lookup_Lists!$D$131,0)+IF(ISNUMBER(Matching_Engine!$AJ$89),Lookup_Lists!$D$132,0)+IF(ISNUMBER(Matching_Engine!$AK$89),Lookup_Lists!$D$133,0)+IF(ISNUMBER(Matching_Engine!$AL$89),Lookup_Lists!$D$134,0))=0,"N/A",ROUND((IF(ISNUMBER(Matching_Engine!$AG$89),Matching_Engine!$AG$89*Lookup_Lists!$D$129,0)+IF(ISNUMBER(Matching_Engine!$AH$89),Matching_Engine!$AH$89*Lookup_Lists!$D$130,0)+IF(ISNUMBER(Matching_Engine!$AI$89),Matching_Engine!$AI$89*Lookup_Lists!$D$131,0)+IF(ISNUMBER(Matching_Engine!$AJ$89),Matching_Engine!$AJ$89*Lookup_Lists!$D$132,0)+IF(ISNUMBER(Matching_Engine!$AK$89),Matching_Engine!$AK$89*Lookup_Lists!$D$133,0)+IF(ISNUMBER(Matching_Engine!$AL$89),Matching_Engine!$AL$89*Lookup_Lists!$D$134,0))/(IF(ISNUMBER(Matching_Engine!$AG$89),Lookup_Lists!$D$129,0)+IF(ISNUMBER(Matching_Engine!$AH$89),Lookup_Lists!$D$130,0)+IF(ISNUMBER(Matching_Engine!$AI$89),Lookup_Lists!$D$131,0)+IF(ISNUMBER(Matching_Engine!$AJ$89),Lookup_Lists!$D$132,0)+IF(ISNUMBER(Matching_Engine!$AK$89),Lookup_Lists!$D$133,0)+IF(ISNUMBER(Matching_Engine!$AL$89),Lookup_Lists!$D$134,0)),0))</f>
        <v>60</v>
      </c>
      <c r="AN89" s="42">
        <f>IF(ISNUMBER(Matching_Engine!$AM$89),1,0)</f>
        <v>0</v>
      </c>
      <c r="AO89" s="65" t="str">
        <f>IF(NOT(ISNUMBER('[1]#REF'!$BT$17)),"N/A",MIN(100,MAX(0,'[1]#REF'!$BT$17)))</f>
        <v>N/A</v>
      </c>
      <c r="AP89" s="65" t="str">
        <f>IF(NOT(ISNUMBER('[1]#REF'!$BU$17)),"N/A",MIN(100,MAX(0,'[1]#REF'!$BU$17)))</f>
        <v>N/A</v>
      </c>
      <c r="AQ89" s="65" t="e">
        <f>IF('[1]#REF'!$I$17="Yes",Lookup_Lists!$D$326,IF('[1]#REF'!$I$17="No",Lookup_Lists!$D$327,"N/A"))</f>
        <v>#REF!</v>
      </c>
      <c r="AR89" s="65" t="str">
        <f>IF(NOT(ISNUMBER('[1]#REF'!$BQ$17)),"N/A",MAX(0,ROUND(100-'[1]#REF'!$BQ$17/Lookup_Lists!$D$328*100,0)))</f>
        <v>N/A</v>
      </c>
      <c r="AS89" s="65" t="e">
        <f>IF(NOT(AND(ISTEXT('[1]#REF'!$BV$17),'[1]#REF'!$BV$17&lt;&gt;"N/A")),"N/A",'[1]#REF'!$BV$17)</f>
        <v>#REF!</v>
      </c>
      <c r="AT89" s="63" t="str">
        <f ca="1">IF((IF(ISNUMBER(Matching_Engine!$AO$89),Lookup_Lists!$D$322,0)+IF(ISNUMBER(Matching_Engine!$AP$89),Lookup_Lists!$D$323,0)+IF(ISNUMBER(Matching_Engine!$AQ$89),Lookup_Lists!$D$324,0)+IF(ISNUMBER(Matching_Engine!$AR$89),Lookup_Lists!$D$325,0))=0,"N/A",ROUND((IF(ISNUMBER(Matching_Engine!$AO$89),Matching_Engine!$AO$89*Lookup_Lists!$D$322,0)+IF(ISNUMBER(Matching_Engine!$AP$89),Matching_Engine!$AP$89*Lookup_Lists!$D$323,0)+IF(ISNUMBER(Matching_Engine!$AQ$89),Matching_Engine!$AQ$89*Lookup_Lists!$D$324,0)+IF(ISNUMBER(Matching_Engine!$AR$89),Matching_Engine!$AR$89*Lookup_Lists!$D$325,0))/(IF(ISNUMBER(Matching_Engine!$AO$89),Lookup_Lists!$D$322,0)+IF(ISNUMBER(Matching_Engine!$AP$89),Lookup_Lists!$D$323,0)+IF(ISNUMBER(Matching_Engine!$AQ$89),Lookup_Lists!$D$324,0)+IF(ISNUMBER(Matching_Engine!$AR$89),Lookup_Lists!$D$325,0)),0))</f>
        <v>N/A</v>
      </c>
      <c r="AU89" s="42">
        <f>IF(ISNUMBER(Matching_Engine!$AT$89),1,0)</f>
        <v>1</v>
      </c>
      <c r="AV89" s="42" t="str">
        <f>IF(NOT(ISNUMBER(Matching_Engine!$AT$89)),"Not Screened",IF(Matching_Engine!$AT$89&gt;=Lookup_Lists!$D$329,"Low Risk",IF(Matching_Engine!$AT$89&gt;=Lookup_Lists!$D$330,"Moderate Risk",IF(Matching_Engine!$AT$89&gt;=Lookup_Lists!$D$331,"Elevated Risk","High Risk"))))</f>
        <v>Low Risk</v>
      </c>
      <c r="AW89" s="42" t="e">
        <f ca="1">IF(NOT(ISNUMBER(Matching_Engine!$AT$89)),"No integrity signal: no audience-analysis row for this account.","Integrity screen only — no content-risk reading exists (comments_analysis: 0 rows). "&amp;IF(ISNUMBER(Matching_Engine!$AO$89),"Authenticity "&amp;Matching_Engine!$AO$89&amp;". ","Authenticity N/A. ")&amp;IF(ISNUMBER(Matching_Engine!$AP$89),"Follower quality "&amp;Matching_Engine!$AP$89&amp;". ","Follower quality N/A. ")&amp;IF('[1]#REF'!$I$17="Yes","Platform-verified.","Not platform-verified."))</f>
        <v>#REF!</v>
      </c>
      <c r="AX89" s="65">
        <f>Matching_Engine!$N$89*Lookup_Lists!$D$104+Matching_Engine!$T$89*Lookup_Lists!$D$105+Matching_Engine!$Z$89*Lookup_Lists!$D$106+Matching_Engine!$AF$89*Lookup_Lists!$D$107+Matching_Engine!$AN$89*Lookup_Lists!$D$108+Matching_Engine!$AU$89*Lookup_Lists!$D$109</f>
        <v>3410</v>
      </c>
      <c r="AY89" s="74" t="e">
        <f ca="1">IF(Matching_Engine!$AX$89=0,"N/A",ROUND((IF(Matching_Engine!$N$89=1,Matching_Engine!$M$89*Lookup_Lists!$D$104,0)+IF(Matching_Engine!$T$89=1,Matching_Engine!$S$89*Lookup_Lists!$D$105,0)+IF(Matching_Engine!$Z$89=1,Matching_Engine!$Y$89*Lookup_Lists!$D$106,0)+IF(Matching_Engine!$AF$89=1,Matching_Engine!$AE$89*Lookup_Lists!$D$107,0)+IF(Matching_Engine!$AN$89=1,Matching_Engine!$AM$89*Lookup_Lists!$D$108,0)+IF(Matching_Engine!$AU$89=1,Matching_Engine!$AT$89*Lookup_Lists!$D$109,0))/Matching_Engine!$AX$89,0))</f>
        <v>#VALUE!</v>
      </c>
      <c r="AZ89" s="42" t="str">
        <f ca="1">IF(NOT(ISNUMBER(Matching_Engine!$AY$89)),"Not Scored",IF(Matching_Engine!$AY$89&gt;=Lookup_Lists!$D$152,"Excellent Match",IF(Matching_Engine!$AY$89&gt;=Lookup_Lists!$D$153,"Strong Match",IF(Matching_Engine!$AY$89&gt;=Lookup_Lists!$D$154,"Good Match",IF(Matching_Engine!$AY$89&gt;=Lookup_Lists!$D$155,"Moderate Match","Low Match")))))</f>
        <v>Low Match</v>
      </c>
      <c r="BA89" s="65" t="e">
        <f>'[1]#REF'!$BW$17</f>
        <v>#REF!</v>
      </c>
      <c r="BB89" s="42" t="e">
        <f>'[1]#REF'!$BX$17</f>
        <v>#REF!</v>
      </c>
      <c r="BC89" s="65">
        <f ca="1">IF(NOT(ISNUMBER(Matching_Engine!$AY$89)),-1,Matching_Engine!$AY$89*1000+13)</f>
        <v>50013</v>
      </c>
      <c r="BD89" s="42" t="e">
        <f>IF(AND(ISTEXT('[1]#REF'!$S$17),'[1]#REF'!$S$17&lt;&gt;"N/A"),'[1]#REF'!$S$17,"")&amp;" | "&amp;IF(AND(ISTEXT('[1]#REF'!$T$17),'[1]#REF'!$T$17&lt;&gt;"N/A"),'[1]#REF'!$T$17,"")&amp;" | "&amp;IF(AND(ISTEXT('[1]#REF'!$N$17),'[1]#REF'!$N$17&lt;&gt;"N/A"),'[1]#REF'!$N$17,"")&amp;" | "&amp;IF(AND(ISTEXT('[1]#REF'!$K$17),'[1]#REF'!$K$17&lt;&gt;"N/A"),'[1]#REF'!$K$17,"")&amp;" | "&amp;IF(AND(ISTEXT('[1]#REF'!$J$17),'[1]#REF'!$J$17&lt;&gt;"N/A"),'[1]#REF'!$J$17,"")</f>
        <v>#REF!</v>
      </c>
      <c r="BE89" s="42" t="e">
        <f>IF(AND(ISTEXT('[1]#REF'!$T$17),'[1]#REF'!$T$17&lt;&gt;"N/A"),'[1]#REF'!$T$17,"")&amp;" | "&amp;IF(AND(ISTEXT('[1]#REF'!$N$17),'[1]#REF'!$N$17&lt;&gt;"N/A"),'[1]#REF'!$N$17,"")&amp;" | "&amp;IF(AND(ISTEXT('[1]#REF'!$O$17),'[1]#REF'!$O$17&lt;&gt;"N/A"),'[1]#REF'!$O$17,"")&amp;" | "&amp;IF(AND(ISTEXT('[1]#REF'!$S$17),'[1]#REF'!$S$17&lt;&gt;"N/A"),'[1]#REF'!$S$17,"")</f>
        <v>#REF!</v>
      </c>
      <c r="BF89" s="42" t="e">
        <f>IF(AND(ISTEXT('[1]#REF'!$U$17),'[1]#REF'!$U$17&lt;&gt;"N/A"),'[1]#REF'!$U$17,"")</f>
        <v>#REF!</v>
      </c>
      <c r="BG89" s="42" t="str">
        <f>Matching_Engine!$A$89&amp;"|"&amp;Matching_Engine!$C$89</f>
        <v>BRAND-C|KOL-24</v>
      </c>
    </row>
    <row r="90" spans="1:59">
      <c r="A90" s="64" t="s">
        <v>2530</v>
      </c>
      <c r="B90" s="42" t="str">
        <f>Brand_Profile!$H$6</f>
        <v>Input type / allowed values</v>
      </c>
      <c r="C90" s="42" t="e">
        <f>'[1]#REF'!$A$18</f>
        <v>#REF!</v>
      </c>
      <c r="D90" s="42" t="e">
        <f>'[1]#REF'!$C$18</f>
        <v>#REF!</v>
      </c>
      <c r="E90" s="42" t="e">
        <f>'[1]#REF'!$D$18</f>
        <v>#REF!</v>
      </c>
      <c r="F90" s="42" t="e">
        <f>'[1]#REF'!$E$18</f>
        <v>#REF!</v>
      </c>
      <c r="G90" s="42" t="e">
        <f>'[1]#REF'!$K$18</f>
        <v>#REF!</v>
      </c>
      <c r="H90" s="72" t="e">
        <f>'[1]#REF'!$G$18</f>
        <v>#REF!</v>
      </c>
      <c r="I90" s="73" t="e">
        <f>'[1]#REF'!$BG$18</f>
        <v>#REF!</v>
      </c>
      <c r="J90" s="65" t="e">
        <f>IF(NOT(AND(ISTEXT('[1]#REF'!$K$18),'[1]#REF'!$K$18&lt;&gt;"N/A")),Lookup_Lists!$D$150,IF(Brand_Profile!$H$7='[1]#REF'!$K$18,100,IFERROR(INDEX(Lookup_Lists!$B$349:$J$357,MATCH(Brand_Profile!$H$7,Lookup_Lists!$A$349:$A$357,0),MATCH('[1]#REF'!$K$18,Lookup_Lists!$B$348:$J$348,0)),Lookup_Lists!$D$151)))</f>
        <v>#REF!</v>
      </c>
      <c r="K90" s="65" t="e">
        <f>IF(LEN(TRIM(SUBSTITUTE(Matching_Engine!$BD$90,"|","")))=0,"N/A",IF(Brand_Profile!$H$47=0,Lookup_Lists!$D$150,ROUND((IF(Brand_Profile!$H$41="",0,IF(ISNUMBER(SEARCH(Brand_Profile!$H$41,Matching_Engine!$BD$90)),1,0))+IF(Brand_Profile!$H$42="",0,IF(ISNUMBER(SEARCH(Brand_Profile!$H$42,Matching_Engine!$BD$90)),1,0))+IF(Brand_Profile!$H$43="",0,IF(ISNUMBER(SEARCH(Brand_Profile!$H$43,Matching_Engine!$BD$90)),1,0))+IF(Brand_Profile!$H$44="",0,IF(ISNUMBER(SEARCH(Brand_Profile!$H$44,Matching_Engine!$BD$90)),1,0))+IF(Brand_Profile!$H$45="",0,IF(ISNUMBER(SEARCH(Brand_Profile!$H$45,Matching_Engine!$BD$90)),1,0))+IF(Brand_Profile!$H$46="",0,IF(ISNUMBER(SEARCH(Brand_Profile!$H$46,Matching_Engine!$BD$90)),1,0)))/Brand_Profile!$H$47*100,0)))</f>
        <v>#VALUE!</v>
      </c>
      <c r="L90" s="65" t="e">
        <f>IF(NOT(AND(ISTEXT('[1]#REF'!$U$18),'[1]#REF'!$U$18&lt;&gt;"N/A")),"N/A",IF(Brand_Profile!$H$53=0,Lookup_Lists!$D$150,ROUND((IF(Brand_Profile!$H$48="",0,IF(ISNUMBER(SEARCH(Brand_Profile!$H$48,Matching_Engine!$BF$90)),1,0))+IF(Brand_Profile!$H$49="",0,IF(ISNUMBER(SEARCH(Brand_Profile!$H$49,Matching_Engine!$BF$90)),1,0))+IF(Brand_Profile!$H$50="",0,IF(ISNUMBER(SEARCH(Brand_Profile!$H$50,Matching_Engine!$BF$90)),1,0))+IF(Brand_Profile!$H$51="",0,IF(ISNUMBER(SEARCH(Brand_Profile!$H$51,Matching_Engine!$BF$90)),1,0))+IF(Brand_Profile!$H$52="",0,IF(ISNUMBER(SEARCH(Brand_Profile!$H$52,Matching_Engine!$BF$90)),1,0)))/Brand_Profile!$H$53*100,0)))</f>
        <v>#REF!</v>
      </c>
      <c r="M90" s="63" t="str">
        <f>IF((IF(ISNUMBER(Matching_Engine!$J$90),Lookup_Lists!$D$332,0)+IF(ISNUMBER(Matching_Engine!$K$90),Lookup_Lists!$D$333,0)+IF(ISNUMBER(Matching_Engine!$L$90),Lookup_Lists!$D$334,0))=0,"N/A",ROUND((IF(ISNUMBER(Matching_Engine!$J$90),Matching_Engine!$J$90*Lookup_Lists!$D$332,0)+IF(ISNUMBER(Matching_Engine!$K$90),Matching_Engine!$K$90*Lookup_Lists!$D$333,0)+IF(ISNUMBER(Matching_Engine!$L$90),Matching_Engine!$L$90*Lookup_Lists!$D$334,0))/(IF(ISNUMBER(Matching_Engine!$J$90),Lookup_Lists!$D$332,0)+IF(ISNUMBER(Matching_Engine!$K$90),Lookup_Lists!$D$333,0)+IF(ISNUMBER(Matching_Engine!$L$90),Lookup_Lists!$D$334,0)),0))</f>
        <v>N/A</v>
      </c>
      <c r="N90" s="42">
        <f>IF(ISNUMBER(Matching_Engine!$M$90),1,0)</f>
        <v>1</v>
      </c>
      <c r="O90" s="65" t="str">
        <f ca="1">IF(NOT(ISNUMBER(IFERROR(INDEX('[1]#REF'!$V$18:'[1]#REF'!$Z$18,1,MATCH(Brand_Profile!$H$11,Lookup_Lists!$F$6:$F$10,0)),""))),"N/A",MIN(100,ROUND((IFERROR(INDEX('[1]#REF'!$V$18:'[1]#REF'!$Z$18,1,MATCH(Brand_Profile!$H$11,Lookup_Lists!$F$6:$F$10,0)),"")+0.5*IF(ISNUMBER(IFERROR(INDEX('[1]#REF'!$V$18:'[1]#REF'!$Z$18,1,MATCH(Brand_Profile!$H$12,Lookup_Lists!$F$6:$F$10,0)),"")),IFERROR(INDEX('[1]#REF'!$V$18:'[1]#REF'!$Z$18,1,MATCH(Brand_Profile!$H$12,Lookup_Lists!$F$6:$F$10,0)),""),0))/Lookup_Lists!$D$142*100,0)))</f>
        <v>N/A</v>
      </c>
      <c r="P90" s="65" t="str">
        <f>IF(Brand_Profile!$H$13="Any",100,IF(NOT(ISNUMBER('[1]#REF'!$AA$18)),"N/A",IF(Brand_Profile!$H$13="Female",MIN(100,ROUND('[1]#REF'!$AA$18/Lookup_Lists!$D$143*100,0)),IF(Brand_Profile!$H$13="Male",MIN(100,ROUND(IF(ISNUMBER('[1]#REF'!$AB$18),'[1]#REF'!$AB$18,100-'[1]#REF'!$AA$18)/Lookup_Lists!$D$143*100,0)),MAX(0,ROUND(100-ABS('[1]#REF'!$AA$18-50)*2,0))))))</f>
        <v>N/A</v>
      </c>
      <c r="Q90" s="65" t="str">
        <f>IF((IF(ISNUMBER(IF(NOT(ISNUMBER('[1]#REF'!$AE$18)),"N/A",IF('[1]#REF'!$AD$18&lt;&gt;Brand_Profile!$H$14,Lookup_Lists!$D$151,MIN(100,ROUND('[1]#REF'!$AE$18/Lookup_Lists!$D$316*100,0))))),Lookup_Lists!$D$118,0)+IF(ISNUMBER(IF(NOT(ISNUMBER('[1]#REF'!$AM$18)),"N/A",MIN(100,ROUND((IF('[1]#REF'!$AG$18=Brand_Profile!$H$15,IF(ISNUMBER('[1]#REF'!$AH$18),'[1]#REF'!$AH$18,0),0)+IF('[1]#REF'!$AI$18=Brand_Profile!$H$15,IF(ISNUMBER('[1]#REF'!$AJ$18),'[1]#REF'!$AJ$18,0),0)+IF('[1]#REF'!$AK$18=Brand_Profile!$H$15,IF(ISNUMBER('[1]#REF'!$AL$18),'[1]#REF'!$AL$18,0),0))/Lookup_Lists!$D$317*100,0)))),Lookup_Lists!$D$120,0))=0,"N/A",ROUND((IF(ISNUMBER(IF(NOT(ISNUMBER('[1]#REF'!$AE$18)),"N/A",IF('[1]#REF'!$AD$18&lt;&gt;Brand_Profile!$H$14,Lookup_Lists!$D$151,MIN(100,ROUND('[1]#REF'!$AE$18/Lookup_Lists!$D$316*100,0))))),IF(NOT(ISNUMBER('[1]#REF'!$AE$18)),"N/A",IF('[1]#REF'!$AD$18&lt;&gt;Brand_Profile!$H$14,Lookup_Lists!$D$151,MIN(100,ROUND('[1]#REF'!$AE$18/Lookup_Lists!$D$316*100,0))))*Lookup_Lists!$D$118,0)+IF(ISNUMBER(IF(NOT(ISNUMBER('[1]#REF'!$AM$18)),"N/A",MIN(100,ROUND((IF('[1]#REF'!$AG$18=Brand_Profile!$H$15,IF(ISNUMBER('[1]#REF'!$AH$18),'[1]#REF'!$AH$18,0),0)+IF('[1]#REF'!$AI$18=Brand_Profile!$H$15,IF(ISNUMBER('[1]#REF'!$AJ$18),'[1]#REF'!$AJ$18,0),0)+IF('[1]#REF'!$AK$18=Brand_Profile!$H$15,IF(ISNUMBER('[1]#REF'!$AL$18),'[1]#REF'!$AL$18,0),0))/Lookup_Lists!$D$317*100,0)))),IF(NOT(ISNUMBER('[1]#REF'!$AM$18)),"N/A",MIN(100,ROUND((IF('[1]#REF'!$AG$18=Brand_Profile!$H$15,IF(ISNUMBER('[1]#REF'!$AH$18),'[1]#REF'!$AH$18,0),0)+IF('[1]#REF'!$AI$18=Brand_Profile!$H$15,IF(ISNUMBER('[1]#REF'!$AJ$18),'[1]#REF'!$AJ$18,0),0)+IF('[1]#REF'!$AK$18=Brand_Profile!$H$15,IF(ISNUMBER('[1]#REF'!$AL$18),'[1]#REF'!$AL$18,0),0))/Lookup_Lists!$D$317*100,0)))*Lookup_Lists!$D$120,0))/(IF(ISNUMBER(IF(NOT(ISNUMBER('[1]#REF'!$AE$18)),"N/A",IF('[1]#REF'!$AD$18&lt;&gt;Brand_Profile!$H$14,Lookup_Lists!$D$151,MIN(100,ROUND('[1]#REF'!$AE$18/Lookup_Lists!$D$316*100,0))))),Lookup_Lists!$D$118,0)+IF(ISNUMBER(IF(NOT(ISNUMBER('[1]#REF'!$AM$18)),"N/A",MIN(100,ROUND((IF('[1]#REF'!$AG$18=Brand_Profile!$H$15,IF(ISNUMBER('[1]#REF'!$AH$18),'[1]#REF'!$AH$18,0),0)+IF('[1]#REF'!$AI$18=Brand_Profile!$H$15,IF(ISNUMBER('[1]#REF'!$AJ$18),'[1]#REF'!$AJ$18,0),0)+IF('[1]#REF'!$AK$18=Brand_Profile!$H$15,IF(ISNUMBER('[1]#REF'!$AL$18),'[1]#REF'!$AL$18,0),0))/Lookup_Lists!$D$317*100,0)))),Lookup_Lists!$D$120,0)),0))</f>
        <v>N/A</v>
      </c>
      <c r="R90" s="65" t="str">
        <f>IF(NOT(ISNUMBER('[1]#REF'!$AN$18)),"N/A",MIN(100,ROUND((IF(ISNUMBER('[1]#REF'!$AO$18),'[1]#REF'!$AO$18*Brand_Profile!$H$17,0)+IF(ISNUMBER('[1]#REF'!$AP$18),'[1]#REF'!$AP$18*Brand_Profile!$H$18,0)+IF(ISNUMBER('[1]#REF'!$AQ$18),'[1]#REF'!$AQ$18*Brand_Profile!$H$19,0)+IF(ISNUMBER('[1]#REF'!$AR$18),'[1]#REF'!$AR$18*Brand_Profile!$H$20,0)+IF(ISNUMBER('[1]#REF'!$AS$18),'[1]#REF'!$AS$18*Brand_Profile!$H$21,0)+IF(ISNUMBER('[1]#REF'!$AT$18),'[1]#REF'!$AT$18*Brand_Profile!$H$22,0)+IF(ISNUMBER('[1]#REF'!$AU$18),'[1]#REF'!$AU$18*Brand_Profile!$H$23,0)+IF(ISNUMBER('[1]#REF'!$AV$18),'[1]#REF'!$AV$18*Brand_Profile!$H$24,0)+IF(ISNUMBER('[1]#REF'!$AW$18),'[1]#REF'!$AW$18*Brand_Profile!$H$25,0)+IF(ISNUMBER('[1]#REF'!$AX$18),'[1]#REF'!$AX$18*Brand_Profile!$H$26,0)+IF(ISNUMBER('[1]#REF'!$AY$18),'[1]#REF'!$AY$18*Brand_Profile!$H$27,0)+IF(ISNUMBER('[1]#REF'!$AZ$18),'[1]#REF'!$AZ$18*Brand_Profile!$H$28,0)+IF(ISNUMBER('[1]#REF'!$BA$18),'[1]#REF'!$BA$18*Brand_Profile!$H$29,0)+IF(ISNUMBER('[1]#REF'!$BB$18),'[1]#REF'!$BB$18*Brand_Profile!$H$30,0)+IF(ISNUMBER('[1]#REF'!$BC$18),'[1]#REF'!$BC$18*Brand_Profile!$H$31,0)+IF(ISNUMBER('[1]#REF'!$BD$18),'[1]#REF'!$BD$18*Brand_Profile!$H$32,0)+IF(ISNUMBER('[1]#REF'!$BE$18),'[1]#REF'!$BE$18*Brand_Profile!$H$33,0)+IF(ISNUMBER('[1]#REF'!$BF$18),'[1]#REF'!$BF$18*Brand_Profile!$H$34,0))/Lookup_Lists!$D$318*100,0)))</f>
        <v>N/A</v>
      </c>
      <c r="S90" s="63">
        <f ca="1">IF((IF(ISNUMBER(Matching_Engine!$O$90),Lookup_Lists!$D$113,0)+IF(ISNUMBER(Matching_Engine!$P$90),Lookup_Lists!$D$114,0)+IF(ISNUMBER(Matching_Engine!$Q$90),Lookup_Lists!$D$115,0)+IF(ISNUMBER(Matching_Engine!$R$90),Lookup_Lists!$D$116,0))=0,"N/A",ROUND((IF(ISNUMBER(Matching_Engine!$O$90),Matching_Engine!$O$90*Lookup_Lists!$D$113,0)+IF(ISNUMBER(Matching_Engine!$P$90),Matching_Engine!$P$90*Lookup_Lists!$D$114,0)+IF(ISNUMBER(Matching_Engine!$Q$90),Matching_Engine!$Q$90*Lookup_Lists!$D$115,0)+IF(ISNUMBER(Matching_Engine!$R$90),Matching_Engine!$R$90*Lookup_Lists!$D$116,0))/(IF(ISNUMBER(Matching_Engine!$O$90),Lookup_Lists!$D$113,0)+IF(ISNUMBER(Matching_Engine!$P$90),Lookup_Lists!$D$114,0)+IF(ISNUMBER(Matching_Engine!$Q$90),Lookup_Lists!$D$115,0)+IF(ISNUMBER(Matching_Engine!$R$90),Lookup_Lists!$D$116,0)),0))</f>
        <v>73</v>
      </c>
      <c r="T90" s="42">
        <f ca="1">IF(ISNUMBER(Matching_Engine!$S$90),1,0)</f>
        <v>1</v>
      </c>
      <c r="U90" s="65" t="e">
        <f>IF(NOT(AND(ISTEXT('[1]#REF'!$M$18),'[1]#REF'!$M$18&lt;&gt;"N/A")),Lookup_Lists!$D$150,IF(Brand_Profile!$H$7='[1]#REF'!$M$18,100,IFERROR(INDEX(Lookup_Lists!$B$349:$J$357,MATCH(Brand_Profile!$H$7,Lookup_Lists!$A$349:$A$357,0),MATCH('[1]#REF'!$M$18,Lookup_Lists!$B$348:$J$348,0)),Lookup_Lists!$D$151)))</f>
        <v>#REF!</v>
      </c>
      <c r="V90" s="65" t="e">
        <f>IF(NOT(AND(ISTEXT('[1]#REF'!$P$18),'[1]#REF'!$P$18&lt;&gt;"N/A")),"N/A",IFERROR(INDEX(Lookup_Lists!$B$349:$J$357,MATCH(Brand_Profile!$H$7,Lookup_Lists!$A$349:$A$357,0),MATCH('[1]#REF'!$P$18,Lookup_Lists!$B$348:$J$348,0)),Lookup_Lists!$D$151))</f>
        <v>#REF!</v>
      </c>
      <c r="W90" s="65" t="e">
        <f>IF(LEN(TRIM(SUBSTITUTE(Matching_Engine!$BE$90,"|","")))=0,"N/A",IF(Brand_Profile!$H$60=0,Lookup_Lists!$D$150,ROUND((IF(Brand_Profile!$H$54="",0,IF(ISNUMBER(SEARCH(Brand_Profile!$H$54,Matching_Engine!$BE$90)),1,0))+IF(Brand_Profile!$H$55="",0,IF(ISNUMBER(SEARCH(Brand_Profile!$H$55,Matching_Engine!$BE$90)),1,0))+IF(Brand_Profile!$H$56="",0,IF(ISNUMBER(SEARCH(Brand_Profile!$H$56,Matching_Engine!$BE$90)),1,0))+IF(Brand_Profile!$H$57="",0,IF(ISNUMBER(SEARCH(Brand_Profile!$H$57,Matching_Engine!$BE$90)),1,0))+IF(Brand_Profile!$H$58="",0,IF(ISNUMBER(SEARCH(Brand_Profile!$H$58,Matching_Engine!$BE$90)),1,0))+IF(Brand_Profile!$H$59="",0,IF(ISNUMBER(SEARCH(Brand_Profile!$H$59,Matching_Engine!$BE$90)),1,0)))/Brand_Profile!$H$60*100,0)))</f>
        <v>#VALUE!</v>
      </c>
      <c r="X90" s="65" t="e">
        <f>IF(NOT(AND(ISTEXT('[1]#REF'!$Q$18),'[1]#REF'!$Q$18&lt;&gt;"N/A")),"N/A",Lookup_Lists!$D$150)</f>
        <v>#REF!</v>
      </c>
      <c r="Y90" s="63">
        <f>IF((IF(ISNUMBER(Matching_Engine!$U$90),Lookup_Lists!$D$335,0)+IF(ISNUMBER(Matching_Engine!$V$90),Lookup_Lists!$D$122,0)+IF(ISNUMBER(Matching_Engine!$W$90),Lookup_Lists!$D$336,0)+IF(ISNUMBER(Matching_Engine!$X$90),Lookup_Lists!$D$124,0))=0,"N/A",ROUND((IF(ISNUMBER(Matching_Engine!$U$90),Matching_Engine!$U$90*Lookup_Lists!$D$335,0)+IF(ISNUMBER(Matching_Engine!$V$90),Matching_Engine!$V$90*Lookup_Lists!$D$122,0)+IF(ISNUMBER(Matching_Engine!$W$90),Matching_Engine!$W$90*Lookup_Lists!$D$336,0)+IF(ISNUMBER(Matching_Engine!$X$90),Matching_Engine!$X$90*Lookup_Lists!$D$124,0))/(IF(ISNUMBER(Matching_Engine!$U$90),Lookup_Lists!$D$335,0)+IF(ISNUMBER(Matching_Engine!$V$90),Lookup_Lists!$D$122,0)+IF(ISNUMBER(Matching_Engine!$W$90),Lookup_Lists!$D$336,0)+IF(ISNUMBER(Matching_Engine!$X$90),Lookup_Lists!$D$124,0)),0))</f>
        <v>39</v>
      </c>
      <c r="Z90" s="42">
        <f>IF(ISNUMBER(Matching_Engine!$Y$90),1,0)</f>
        <v>1</v>
      </c>
      <c r="AA90" s="65" t="e">
        <f>IF(NOT(AND(ISTEXT('[1]#REF'!$Q$18),'[1]#REF'!$Q$18&lt;&gt;"N/A")),"N/A",Lookup_Lists!$D$150)</f>
        <v>#REF!</v>
      </c>
      <c r="AB90" s="65" t="e">
        <f>IF(NOT(AND(ISTEXT('[1]#REF'!$Q$18),'[1]#REF'!$Q$18&lt;&gt;"N/A")),"N/A",Lookup_Lists!$D$150)</f>
        <v>#REF!</v>
      </c>
      <c r="AC90" s="65" t="str">
        <f t="shared" si="1"/>
        <v>N/A</v>
      </c>
      <c r="AD90" s="65" t="e">
        <f>IF(NOT(AND(ISTEXT('[1]#REF'!$Q$18),'[1]#REF'!$Q$18&lt;&gt;"N/A")),"N/A",Lookup_Lists!$D$150)</f>
        <v>#REF!</v>
      </c>
      <c r="AE90" s="63">
        <f>IF((IF(ISNUMBER(Matching_Engine!$AA$90),Lookup_Lists!$D$125,0)+IF(ISNUMBER(Matching_Engine!$AB$90),Lookup_Lists!$D$126,0)+IF(ISNUMBER(Matching_Engine!$AC$90),Lookup_Lists!$D$127,0)+IF(ISNUMBER(Matching_Engine!$AD$90),Lookup_Lists!$D$128,0))=0,"N/A",ROUND((IF(ISNUMBER(Matching_Engine!$AA$90),Matching_Engine!$AA$90*Lookup_Lists!$D$125,0)+IF(ISNUMBER(Matching_Engine!$AB$90),Matching_Engine!$AB$90*Lookup_Lists!$D$126,0)+IF(ISNUMBER(Matching_Engine!$AC$90),Matching_Engine!$AC$90*Lookup_Lists!$D$127,0)+IF(ISNUMBER(Matching_Engine!$AD$90),Matching_Engine!$AD$90*Lookup_Lists!$D$128,0))/(IF(ISNUMBER(Matching_Engine!$AA$90),Lookup_Lists!$D$125,0)+IF(ISNUMBER(Matching_Engine!$AB$90),Lookup_Lists!$D$126,0)+IF(ISNUMBER(Matching_Engine!$AC$90),Lookup_Lists!$D$127,0)+IF(ISNUMBER(Matching_Engine!$AD$90),Lookup_Lists!$D$128,0)),0))</f>
        <v>77</v>
      </c>
      <c r="AF90" s="42">
        <f>IF(ISNUMBER(Matching_Engine!$AE$90),1,0)</f>
        <v>1</v>
      </c>
      <c r="AG90" s="65" t="str">
        <f>IF(NOT(ISNUMBER('[1]#REF'!$BG$18)),"N/A",MIN(100,ROUND('[1]#REF'!$BG$18/IFERROR(INDEX(Lookup_Lists!$B$340:$B$344,MATCH('[1]#REF'!$H$18,Lookup_Lists!$A$340:$A$344,0)),Lookup_Lists!$D$141)*100,0)))</f>
        <v>N/A</v>
      </c>
      <c r="AH90" s="65" t="str">
        <f>IF(NOT(ISNUMBER('[1]#REF'!$BS$18)),"N/A",MIN(100,MAX(0,'[1]#REF'!$BS$18)))</f>
        <v>N/A</v>
      </c>
      <c r="AI90" s="65" t="e">
        <f>IF(OR(NOT(ISNUMBER('[1]#REF'!$BM$18)),NOT(ISNUMBER('[1]#REF'!$BN$18)),'[1]#REF'!$BN$18&lt;Lookup_Lists!$D$320),"N/A",MIN(100,ROUND('[1]#REF'!$BM$18/Lookup_Lists!$D$319*100,0)))</f>
        <v>#REF!</v>
      </c>
      <c r="AJ90" s="65" t="str">
        <f>IF(NOT(ISNUMBER('[1]#REF'!$BR$18)),"N/A",'[1]#REF'!$BR$18)</f>
        <v>N/A</v>
      </c>
      <c r="AK90" s="65" t="str">
        <f>IF(NOT(ISNUMBER('[1]#REF'!$BK$18)),"N/A",MIN(100,ROUND('[1]#REF'!$BK$18/Lookup_Lists!$D$321*100,0)))</f>
        <v>N/A</v>
      </c>
      <c r="AL90" s="65" t="str">
        <f>IF(NOT(ISNUMBER('[1]#REF'!$BP$18)),"N/A",MIN(100,MAX(0,ROUND(('[1]#REF'!$BP$18+2)/(Lookup_Lists!$D$145+2)*100,0))))</f>
        <v>N/A</v>
      </c>
      <c r="AM90" s="63">
        <f>IF((IF(ISNUMBER(Matching_Engine!$AG$90),Lookup_Lists!$D$129,0)+IF(ISNUMBER(Matching_Engine!$AH$90),Lookup_Lists!$D$130,0)+IF(ISNUMBER(Matching_Engine!$AI$90),Lookup_Lists!$D$131,0)+IF(ISNUMBER(Matching_Engine!$AJ$90),Lookup_Lists!$D$132,0)+IF(ISNUMBER(Matching_Engine!$AK$90),Lookup_Lists!$D$133,0)+IF(ISNUMBER(Matching_Engine!$AL$90),Lookup_Lists!$D$134,0))=0,"N/A",ROUND((IF(ISNUMBER(Matching_Engine!$AG$90),Matching_Engine!$AG$90*Lookup_Lists!$D$129,0)+IF(ISNUMBER(Matching_Engine!$AH$90),Matching_Engine!$AH$90*Lookup_Lists!$D$130,0)+IF(ISNUMBER(Matching_Engine!$AI$90),Matching_Engine!$AI$90*Lookup_Lists!$D$131,0)+IF(ISNUMBER(Matching_Engine!$AJ$90),Matching_Engine!$AJ$90*Lookup_Lists!$D$132,0)+IF(ISNUMBER(Matching_Engine!$AK$90),Matching_Engine!$AK$90*Lookup_Lists!$D$133,0)+IF(ISNUMBER(Matching_Engine!$AL$90),Matching_Engine!$AL$90*Lookup_Lists!$D$134,0))/(IF(ISNUMBER(Matching_Engine!$AG$90),Lookup_Lists!$D$129,0)+IF(ISNUMBER(Matching_Engine!$AH$90),Lookup_Lists!$D$130,0)+IF(ISNUMBER(Matching_Engine!$AI$90),Lookup_Lists!$D$131,0)+IF(ISNUMBER(Matching_Engine!$AJ$90),Lookup_Lists!$D$132,0)+IF(ISNUMBER(Matching_Engine!$AK$90),Lookup_Lists!$D$133,0)+IF(ISNUMBER(Matching_Engine!$AL$90),Lookup_Lists!$D$134,0)),0))</f>
        <v>76</v>
      </c>
      <c r="AN90" s="42">
        <f>IF(ISNUMBER(Matching_Engine!$AM$90),1,0)</f>
        <v>0</v>
      </c>
      <c r="AO90" s="65" t="str">
        <f>IF(NOT(ISNUMBER('[1]#REF'!$BT$18)),"N/A",MIN(100,MAX(0,'[1]#REF'!$BT$18)))</f>
        <v>N/A</v>
      </c>
      <c r="AP90" s="65" t="str">
        <f>IF(NOT(ISNUMBER('[1]#REF'!$BU$18)),"N/A",MIN(100,MAX(0,'[1]#REF'!$BU$18)))</f>
        <v>N/A</v>
      </c>
      <c r="AQ90" s="65" t="e">
        <f>IF('[1]#REF'!$I$18="Yes",Lookup_Lists!$D$326,IF('[1]#REF'!$I$18="No",Lookup_Lists!$D$327,"N/A"))</f>
        <v>#REF!</v>
      </c>
      <c r="AR90" s="65" t="str">
        <f>IF(NOT(ISNUMBER('[1]#REF'!$BQ$18)),"N/A",MAX(0,ROUND(100-'[1]#REF'!$BQ$18/Lookup_Lists!$D$328*100,0)))</f>
        <v>N/A</v>
      </c>
      <c r="AS90" s="65" t="e">
        <f>IF(NOT(AND(ISTEXT('[1]#REF'!$BV$18),'[1]#REF'!$BV$18&lt;&gt;"N/A")),"N/A",'[1]#REF'!$BV$18)</f>
        <v>#REF!</v>
      </c>
      <c r="AT90" s="63" t="str">
        <f ca="1">IF((IF(ISNUMBER(Matching_Engine!$AO$90),Lookup_Lists!$D$322,0)+IF(ISNUMBER(Matching_Engine!$AP$90),Lookup_Lists!$D$323,0)+IF(ISNUMBER(Matching_Engine!$AQ$90),Lookup_Lists!$D$324,0)+IF(ISNUMBER(Matching_Engine!$AR$90),Lookup_Lists!$D$325,0))=0,"N/A",ROUND((IF(ISNUMBER(Matching_Engine!$AO$90),Matching_Engine!$AO$90*Lookup_Lists!$D$322,0)+IF(ISNUMBER(Matching_Engine!$AP$90),Matching_Engine!$AP$90*Lookup_Lists!$D$323,0)+IF(ISNUMBER(Matching_Engine!$AQ$90),Matching_Engine!$AQ$90*Lookup_Lists!$D$324,0)+IF(ISNUMBER(Matching_Engine!$AR$90),Matching_Engine!$AR$90*Lookup_Lists!$D$325,0))/(IF(ISNUMBER(Matching_Engine!$AO$90),Lookup_Lists!$D$322,0)+IF(ISNUMBER(Matching_Engine!$AP$90),Lookup_Lists!$D$323,0)+IF(ISNUMBER(Matching_Engine!$AQ$90),Lookup_Lists!$D$324,0)+IF(ISNUMBER(Matching_Engine!$AR$90),Lookup_Lists!$D$325,0)),0))</f>
        <v>N/A</v>
      </c>
      <c r="AU90" s="42">
        <f>IF(ISNUMBER(Matching_Engine!$AT$90),1,0)</f>
        <v>1</v>
      </c>
      <c r="AV90" s="42" t="str">
        <f>IF(NOT(ISNUMBER(Matching_Engine!$AT$90)),"Not Screened",IF(Matching_Engine!$AT$90&gt;=Lookup_Lists!$D$329,"Low Risk",IF(Matching_Engine!$AT$90&gt;=Lookup_Lists!$D$330,"Moderate Risk",IF(Matching_Engine!$AT$90&gt;=Lookup_Lists!$D$331,"Elevated Risk","High Risk"))))</f>
        <v>Low Risk</v>
      </c>
      <c r="AW90" s="42" t="e">
        <f ca="1">IF(NOT(ISNUMBER(Matching_Engine!$AT$90)),"No integrity signal: no audience-analysis row for this account.","Integrity screen only — no content-risk reading exists (comments_analysis: 0 rows). "&amp;IF(ISNUMBER(Matching_Engine!$AO$90),"Authenticity "&amp;Matching_Engine!$AO$90&amp;". ","Authenticity N/A. ")&amp;IF(ISNUMBER(Matching_Engine!$AP$90),"Follower quality "&amp;Matching_Engine!$AP$90&amp;". ","Follower quality N/A. ")&amp;IF('[1]#REF'!$I$18="Yes","Platform-verified.","Not platform-verified."))</f>
        <v>#REF!</v>
      </c>
      <c r="AX90" s="65">
        <f>Matching_Engine!$N$90*Lookup_Lists!$D$104+Matching_Engine!$T$90*Lookup_Lists!$D$105+Matching_Engine!$Z$90*Lookup_Lists!$D$106+Matching_Engine!$AF$90*Lookup_Lists!$D$107+Matching_Engine!$AN$90*Lookup_Lists!$D$108+Matching_Engine!$AU$90*Lookup_Lists!$D$109</f>
        <v>4429.5</v>
      </c>
      <c r="AY90" s="74" t="e">
        <f ca="1">IF(Matching_Engine!$AX$90=0,"N/A",ROUND((IF(Matching_Engine!$N$90=1,Matching_Engine!$M$90*Lookup_Lists!$D$104,0)+IF(Matching_Engine!$T$90=1,Matching_Engine!$S$90*Lookup_Lists!$D$105,0)+IF(Matching_Engine!$Z$90=1,Matching_Engine!$Y$90*Lookup_Lists!$D$106,0)+IF(Matching_Engine!$AF$90=1,Matching_Engine!$AE$90*Lookup_Lists!$D$107,0)+IF(Matching_Engine!$AN$90=1,Matching_Engine!$AM$90*Lookup_Lists!$D$108,0)+IF(Matching_Engine!$AU$90=1,Matching_Engine!$AT$90*Lookup_Lists!$D$109,0))/Matching_Engine!$AX$90,0))</f>
        <v>#VALUE!</v>
      </c>
      <c r="AZ90" s="42" t="str">
        <f ca="1">IF(NOT(ISNUMBER(Matching_Engine!$AY$90)),"Not Scored",IF(Matching_Engine!$AY$90&gt;=Lookup_Lists!$D$152,"Excellent Match",IF(Matching_Engine!$AY$90&gt;=Lookup_Lists!$D$153,"Strong Match",IF(Matching_Engine!$AY$90&gt;=Lookup_Lists!$D$154,"Good Match",IF(Matching_Engine!$AY$90&gt;=Lookup_Lists!$D$155,"Moderate Match","Low Match")))))</f>
        <v>Not Scored</v>
      </c>
      <c r="BA90" s="65" t="e">
        <f>'[1]#REF'!$BW$18</f>
        <v>#REF!</v>
      </c>
      <c r="BB90" s="42" t="e">
        <f>'[1]#REF'!$BX$18</f>
        <v>#REF!</v>
      </c>
      <c r="BC90" s="65">
        <f ca="1">IF(NOT(ISNUMBER(Matching_Engine!$AY$90)),-1,Matching_Engine!$AY$90*1000+12)</f>
        <v>-1</v>
      </c>
      <c r="BD90" s="42" t="e">
        <f>IF(AND(ISTEXT('[1]#REF'!$S$18),'[1]#REF'!$S$18&lt;&gt;"N/A"),'[1]#REF'!$S$18,"")&amp;" | "&amp;IF(AND(ISTEXT('[1]#REF'!$T$18),'[1]#REF'!$T$18&lt;&gt;"N/A"),'[1]#REF'!$T$18,"")&amp;" | "&amp;IF(AND(ISTEXT('[1]#REF'!$N$18),'[1]#REF'!$N$18&lt;&gt;"N/A"),'[1]#REF'!$N$18,"")&amp;" | "&amp;IF(AND(ISTEXT('[1]#REF'!$K$18),'[1]#REF'!$K$18&lt;&gt;"N/A"),'[1]#REF'!$K$18,"")&amp;" | "&amp;IF(AND(ISTEXT('[1]#REF'!$J$18),'[1]#REF'!$J$18&lt;&gt;"N/A"),'[1]#REF'!$J$18,"")</f>
        <v>#REF!</v>
      </c>
      <c r="BE90" s="42" t="e">
        <f>IF(AND(ISTEXT('[1]#REF'!$T$18),'[1]#REF'!$T$18&lt;&gt;"N/A"),'[1]#REF'!$T$18,"")&amp;" | "&amp;IF(AND(ISTEXT('[1]#REF'!$N$18),'[1]#REF'!$N$18&lt;&gt;"N/A"),'[1]#REF'!$N$18,"")&amp;" | "&amp;IF(AND(ISTEXT('[1]#REF'!$O$18),'[1]#REF'!$O$18&lt;&gt;"N/A"),'[1]#REF'!$O$18,"")&amp;" | "&amp;IF(AND(ISTEXT('[1]#REF'!$S$18),'[1]#REF'!$S$18&lt;&gt;"N/A"),'[1]#REF'!$S$18,"")</f>
        <v>#REF!</v>
      </c>
      <c r="BF90" s="42" t="e">
        <f>IF(AND(ISTEXT('[1]#REF'!$U$18),'[1]#REF'!$U$18&lt;&gt;"N/A"),'[1]#REF'!$U$18,"")</f>
        <v>#REF!</v>
      </c>
      <c r="BG90" s="42" t="str">
        <f>Matching_Engine!$A$90&amp;"|"&amp;Matching_Engine!$C$90</f>
        <v>BRAND-C|KOL-25</v>
      </c>
    </row>
    <row r="91" spans="1:59">
      <c r="A91" s="64" t="s">
        <v>2530</v>
      </c>
      <c r="B91" s="42" t="str">
        <f>Brand_Profile!$H$6</f>
        <v>Input type / allowed values</v>
      </c>
      <c r="C91" s="42" t="e">
        <f>'[1]#REF'!$A$19</f>
        <v>#REF!</v>
      </c>
      <c r="D91" s="42" t="e">
        <f>'[1]#REF'!$C$19</f>
        <v>#REF!</v>
      </c>
      <c r="E91" s="42" t="e">
        <f>'[1]#REF'!$D$19</f>
        <v>#REF!</v>
      </c>
      <c r="F91" s="42" t="e">
        <f>'[1]#REF'!$E$19</f>
        <v>#REF!</v>
      </c>
      <c r="G91" s="42" t="e">
        <f>'[1]#REF'!$K$19</f>
        <v>#REF!</v>
      </c>
      <c r="H91" s="72" t="e">
        <f>'[1]#REF'!$G$19</f>
        <v>#REF!</v>
      </c>
      <c r="I91" s="73" t="e">
        <f>'[1]#REF'!$BG$19</f>
        <v>#REF!</v>
      </c>
      <c r="J91" s="65" t="e">
        <f>IF(NOT(AND(ISTEXT('[1]#REF'!$K$19),'[1]#REF'!$K$19&lt;&gt;"N/A")),Lookup_Lists!$D$150,IF(Brand_Profile!$H$7='[1]#REF'!$K$19,100,IFERROR(INDEX(Lookup_Lists!$B$349:$J$357,MATCH(Brand_Profile!$H$7,Lookup_Lists!$A$349:$A$357,0),MATCH('[1]#REF'!$K$19,Lookup_Lists!$B$348:$J$348,0)),Lookup_Lists!$D$151)))</f>
        <v>#REF!</v>
      </c>
      <c r="K91" s="65" t="e">
        <f>IF(LEN(TRIM(SUBSTITUTE(Matching_Engine!$BD$91,"|","")))=0,"N/A",IF(Brand_Profile!$H$47=0,Lookup_Lists!$D$150,ROUND((IF(Brand_Profile!$H$41="",0,IF(ISNUMBER(SEARCH(Brand_Profile!$H$41,Matching_Engine!$BD$91)),1,0))+IF(Brand_Profile!$H$42="",0,IF(ISNUMBER(SEARCH(Brand_Profile!$H$42,Matching_Engine!$BD$91)),1,0))+IF(Brand_Profile!$H$43="",0,IF(ISNUMBER(SEARCH(Brand_Profile!$H$43,Matching_Engine!$BD$91)),1,0))+IF(Brand_Profile!$H$44="",0,IF(ISNUMBER(SEARCH(Brand_Profile!$H$44,Matching_Engine!$BD$91)),1,0))+IF(Brand_Profile!$H$45="",0,IF(ISNUMBER(SEARCH(Brand_Profile!$H$45,Matching_Engine!$BD$91)),1,0))+IF(Brand_Profile!$H$46="",0,IF(ISNUMBER(SEARCH(Brand_Profile!$H$46,Matching_Engine!$BD$91)),1,0)))/Brand_Profile!$H$47*100,0)))</f>
        <v>#VALUE!</v>
      </c>
      <c r="L91" s="65" t="e">
        <f>IF(NOT(AND(ISTEXT('[1]#REF'!$U$19),'[1]#REF'!$U$19&lt;&gt;"N/A")),"N/A",IF(Brand_Profile!$H$53=0,Lookup_Lists!$D$150,ROUND((IF(Brand_Profile!$H$48="",0,IF(ISNUMBER(SEARCH(Brand_Profile!$H$48,Matching_Engine!$BF$91)),1,0))+IF(Brand_Profile!$H$49="",0,IF(ISNUMBER(SEARCH(Brand_Profile!$H$49,Matching_Engine!$BF$91)),1,0))+IF(Brand_Profile!$H$50="",0,IF(ISNUMBER(SEARCH(Brand_Profile!$H$50,Matching_Engine!$BF$91)),1,0))+IF(Brand_Profile!$H$51="",0,IF(ISNUMBER(SEARCH(Brand_Profile!$H$51,Matching_Engine!$BF$91)),1,0))+IF(Brand_Profile!$H$52="",0,IF(ISNUMBER(SEARCH(Brand_Profile!$H$52,Matching_Engine!$BF$91)),1,0)))/Brand_Profile!$H$53*100,0)))</f>
        <v>#REF!</v>
      </c>
      <c r="M91" s="63" t="str">
        <f>IF((IF(ISNUMBER(Matching_Engine!$J$91),Lookup_Lists!$D$332,0)+IF(ISNUMBER(Matching_Engine!$K$91),Lookup_Lists!$D$333,0)+IF(ISNUMBER(Matching_Engine!$L$91),Lookup_Lists!$D$334,0))=0,"N/A",ROUND((IF(ISNUMBER(Matching_Engine!$J$91),Matching_Engine!$J$91*Lookup_Lists!$D$332,0)+IF(ISNUMBER(Matching_Engine!$K$91),Matching_Engine!$K$91*Lookup_Lists!$D$333,0)+IF(ISNUMBER(Matching_Engine!$L$91),Matching_Engine!$L$91*Lookup_Lists!$D$334,0))/(IF(ISNUMBER(Matching_Engine!$J$91),Lookup_Lists!$D$332,0)+IF(ISNUMBER(Matching_Engine!$K$91),Lookup_Lists!$D$333,0)+IF(ISNUMBER(Matching_Engine!$L$91),Lookup_Lists!$D$334,0)),0))</f>
        <v>N/A</v>
      </c>
      <c r="N91" s="42">
        <f>IF(ISNUMBER(Matching_Engine!$M$91),1,0)</f>
        <v>1</v>
      </c>
      <c r="O91" s="65" t="str">
        <f ca="1">IF(NOT(ISNUMBER(IFERROR(INDEX('[1]#REF'!$V$19:'[1]#REF'!$Z$19,1,MATCH(Brand_Profile!$H$11,Lookup_Lists!$F$6:$F$10,0)),""))),"N/A",MIN(100,ROUND((IFERROR(INDEX('[1]#REF'!$V$19:'[1]#REF'!$Z$19,1,MATCH(Brand_Profile!$H$11,Lookup_Lists!$F$6:$F$10,0)),"")+0.5*IF(ISNUMBER(IFERROR(INDEX('[1]#REF'!$V$19:'[1]#REF'!$Z$19,1,MATCH(Brand_Profile!$H$12,Lookup_Lists!$F$6:$F$10,0)),"")),IFERROR(INDEX('[1]#REF'!$V$19:'[1]#REF'!$Z$19,1,MATCH(Brand_Profile!$H$12,Lookup_Lists!$F$6:$F$10,0)),""),0))/Lookup_Lists!$D$142*100,0)))</f>
        <v>N/A</v>
      </c>
      <c r="P91" s="65" t="str">
        <f>IF(Brand_Profile!$H$13="Any",100,IF(NOT(ISNUMBER('[1]#REF'!$AA$19)),"N/A",IF(Brand_Profile!$H$13="Female",MIN(100,ROUND('[1]#REF'!$AA$19/Lookup_Lists!$D$143*100,0)),IF(Brand_Profile!$H$13="Male",MIN(100,ROUND(IF(ISNUMBER('[1]#REF'!$AB$19),'[1]#REF'!$AB$19,100-'[1]#REF'!$AA$19)/Lookup_Lists!$D$143*100,0)),MAX(0,ROUND(100-ABS('[1]#REF'!$AA$19-50)*2,0))))))</f>
        <v>N/A</v>
      </c>
      <c r="Q91" s="65" t="str">
        <f>IF((IF(ISNUMBER(IF(NOT(ISNUMBER('[1]#REF'!$AE$19)),"N/A",IF('[1]#REF'!$AD$19&lt;&gt;Brand_Profile!$H$14,Lookup_Lists!$D$151,MIN(100,ROUND('[1]#REF'!$AE$19/Lookup_Lists!$D$316*100,0))))),Lookup_Lists!$D$118,0)+IF(ISNUMBER(IF(NOT(ISNUMBER('[1]#REF'!$AM$19)),"N/A",MIN(100,ROUND((IF('[1]#REF'!$AG$19=Brand_Profile!$H$15,IF(ISNUMBER('[1]#REF'!$AH$19),'[1]#REF'!$AH$19,0),0)+IF('[1]#REF'!$AI$19=Brand_Profile!$H$15,IF(ISNUMBER('[1]#REF'!$AJ$19),'[1]#REF'!$AJ$19,0),0)+IF('[1]#REF'!$AK$19=Brand_Profile!$H$15,IF(ISNUMBER('[1]#REF'!$AL$19),'[1]#REF'!$AL$19,0),0))/Lookup_Lists!$D$317*100,0)))),Lookup_Lists!$D$120,0))=0,"N/A",ROUND((IF(ISNUMBER(IF(NOT(ISNUMBER('[1]#REF'!$AE$19)),"N/A",IF('[1]#REF'!$AD$19&lt;&gt;Brand_Profile!$H$14,Lookup_Lists!$D$151,MIN(100,ROUND('[1]#REF'!$AE$19/Lookup_Lists!$D$316*100,0))))),IF(NOT(ISNUMBER('[1]#REF'!$AE$19)),"N/A",IF('[1]#REF'!$AD$19&lt;&gt;Brand_Profile!$H$14,Lookup_Lists!$D$151,MIN(100,ROUND('[1]#REF'!$AE$19/Lookup_Lists!$D$316*100,0))))*Lookup_Lists!$D$118,0)+IF(ISNUMBER(IF(NOT(ISNUMBER('[1]#REF'!$AM$19)),"N/A",MIN(100,ROUND((IF('[1]#REF'!$AG$19=Brand_Profile!$H$15,IF(ISNUMBER('[1]#REF'!$AH$19),'[1]#REF'!$AH$19,0),0)+IF('[1]#REF'!$AI$19=Brand_Profile!$H$15,IF(ISNUMBER('[1]#REF'!$AJ$19),'[1]#REF'!$AJ$19,0),0)+IF('[1]#REF'!$AK$19=Brand_Profile!$H$15,IF(ISNUMBER('[1]#REF'!$AL$19),'[1]#REF'!$AL$19,0),0))/Lookup_Lists!$D$317*100,0)))),IF(NOT(ISNUMBER('[1]#REF'!$AM$19)),"N/A",MIN(100,ROUND((IF('[1]#REF'!$AG$19=Brand_Profile!$H$15,IF(ISNUMBER('[1]#REF'!$AH$19),'[1]#REF'!$AH$19,0),0)+IF('[1]#REF'!$AI$19=Brand_Profile!$H$15,IF(ISNUMBER('[1]#REF'!$AJ$19),'[1]#REF'!$AJ$19,0),0)+IF('[1]#REF'!$AK$19=Brand_Profile!$H$15,IF(ISNUMBER('[1]#REF'!$AL$19),'[1]#REF'!$AL$19,0),0))/Lookup_Lists!$D$317*100,0)))*Lookup_Lists!$D$120,0))/(IF(ISNUMBER(IF(NOT(ISNUMBER('[1]#REF'!$AE$19)),"N/A",IF('[1]#REF'!$AD$19&lt;&gt;Brand_Profile!$H$14,Lookup_Lists!$D$151,MIN(100,ROUND('[1]#REF'!$AE$19/Lookup_Lists!$D$316*100,0))))),Lookup_Lists!$D$118,0)+IF(ISNUMBER(IF(NOT(ISNUMBER('[1]#REF'!$AM$19)),"N/A",MIN(100,ROUND((IF('[1]#REF'!$AG$19=Brand_Profile!$H$15,IF(ISNUMBER('[1]#REF'!$AH$19),'[1]#REF'!$AH$19,0),0)+IF('[1]#REF'!$AI$19=Brand_Profile!$H$15,IF(ISNUMBER('[1]#REF'!$AJ$19),'[1]#REF'!$AJ$19,0),0)+IF('[1]#REF'!$AK$19=Brand_Profile!$H$15,IF(ISNUMBER('[1]#REF'!$AL$19),'[1]#REF'!$AL$19,0),0))/Lookup_Lists!$D$317*100,0)))),Lookup_Lists!$D$120,0)),0))</f>
        <v>N/A</v>
      </c>
      <c r="R91" s="65" t="str">
        <f>IF(NOT(ISNUMBER('[1]#REF'!$AN$19)),"N/A",MIN(100,ROUND((IF(ISNUMBER('[1]#REF'!$AO$19),'[1]#REF'!$AO$19*Brand_Profile!$H$17,0)+IF(ISNUMBER('[1]#REF'!$AP$19),'[1]#REF'!$AP$19*Brand_Profile!$H$18,0)+IF(ISNUMBER('[1]#REF'!$AQ$19),'[1]#REF'!$AQ$19*Brand_Profile!$H$19,0)+IF(ISNUMBER('[1]#REF'!$AR$19),'[1]#REF'!$AR$19*Brand_Profile!$H$20,0)+IF(ISNUMBER('[1]#REF'!$AS$19),'[1]#REF'!$AS$19*Brand_Profile!$H$21,0)+IF(ISNUMBER('[1]#REF'!$AT$19),'[1]#REF'!$AT$19*Brand_Profile!$H$22,0)+IF(ISNUMBER('[1]#REF'!$AU$19),'[1]#REF'!$AU$19*Brand_Profile!$H$23,0)+IF(ISNUMBER('[1]#REF'!$AV$19),'[1]#REF'!$AV$19*Brand_Profile!$H$24,0)+IF(ISNUMBER('[1]#REF'!$AW$19),'[1]#REF'!$AW$19*Brand_Profile!$H$25,0)+IF(ISNUMBER('[1]#REF'!$AX$19),'[1]#REF'!$AX$19*Brand_Profile!$H$26,0)+IF(ISNUMBER('[1]#REF'!$AY$19),'[1]#REF'!$AY$19*Brand_Profile!$H$27,0)+IF(ISNUMBER('[1]#REF'!$AZ$19),'[1]#REF'!$AZ$19*Brand_Profile!$H$28,0)+IF(ISNUMBER('[1]#REF'!$BA$19),'[1]#REF'!$BA$19*Brand_Profile!$H$29,0)+IF(ISNUMBER('[1]#REF'!$BB$19),'[1]#REF'!$BB$19*Brand_Profile!$H$30,0)+IF(ISNUMBER('[1]#REF'!$BC$19),'[1]#REF'!$BC$19*Brand_Profile!$H$31,0)+IF(ISNUMBER('[1]#REF'!$BD$19),'[1]#REF'!$BD$19*Brand_Profile!$H$32,0)+IF(ISNUMBER('[1]#REF'!$BE$19),'[1]#REF'!$BE$19*Brand_Profile!$H$33,0)+IF(ISNUMBER('[1]#REF'!$BF$19),'[1]#REF'!$BF$19*Brand_Profile!$H$34,0))/Lookup_Lists!$D$318*100,0)))</f>
        <v>N/A</v>
      </c>
      <c r="S91" s="63">
        <f ca="1">IF((IF(ISNUMBER(Matching_Engine!$O$91),Lookup_Lists!$D$113,0)+IF(ISNUMBER(Matching_Engine!$P$91),Lookup_Lists!$D$114,0)+IF(ISNUMBER(Matching_Engine!$Q$91),Lookup_Lists!$D$115,0)+IF(ISNUMBER(Matching_Engine!$R$91),Lookup_Lists!$D$116,0))=0,"N/A",ROUND((IF(ISNUMBER(Matching_Engine!$O$91),Matching_Engine!$O$91*Lookup_Lists!$D$113,0)+IF(ISNUMBER(Matching_Engine!$P$91),Matching_Engine!$P$91*Lookup_Lists!$D$114,0)+IF(ISNUMBER(Matching_Engine!$Q$91),Matching_Engine!$Q$91*Lookup_Lists!$D$115,0)+IF(ISNUMBER(Matching_Engine!$R$91),Matching_Engine!$R$91*Lookup_Lists!$D$116,0))/(IF(ISNUMBER(Matching_Engine!$O$91),Lookup_Lists!$D$113,0)+IF(ISNUMBER(Matching_Engine!$P$91),Lookup_Lists!$D$114,0)+IF(ISNUMBER(Matching_Engine!$Q$91),Lookup_Lists!$D$115,0)+IF(ISNUMBER(Matching_Engine!$R$91),Lookup_Lists!$D$116,0)),0))</f>
        <v>70</v>
      </c>
      <c r="T91" s="42">
        <f ca="1">IF(ISNUMBER(Matching_Engine!$S$91),1,0)</f>
        <v>1</v>
      </c>
      <c r="U91" s="65" t="e">
        <f>IF(NOT(AND(ISTEXT('[1]#REF'!$M$19),'[1]#REF'!$M$19&lt;&gt;"N/A")),Lookup_Lists!$D$150,IF(Brand_Profile!$H$7='[1]#REF'!$M$19,100,IFERROR(INDEX(Lookup_Lists!$B$349:$J$357,MATCH(Brand_Profile!$H$7,Lookup_Lists!$A$349:$A$357,0),MATCH('[1]#REF'!$M$19,Lookup_Lists!$B$348:$J$348,0)),Lookup_Lists!$D$151)))</f>
        <v>#REF!</v>
      </c>
      <c r="V91" s="65" t="e">
        <f>IF(NOT(AND(ISTEXT('[1]#REF'!$P$19),'[1]#REF'!$P$19&lt;&gt;"N/A")),"N/A",IFERROR(INDEX(Lookup_Lists!$B$349:$J$357,MATCH(Brand_Profile!$H$7,Lookup_Lists!$A$349:$A$357,0),MATCH('[1]#REF'!$P$19,Lookup_Lists!$B$348:$J$348,0)),Lookup_Lists!$D$151))</f>
        <v>#REF!</v>
      </c>
      <c r="W91" s="65" t="e">
        <f>IF(LEN(TRIM(SUBSTITUTE(Matching_Engine!$BE$91,"|","")))=0,"N/A",IF(Brand_Profile!$H$60=0,Lookup_Lists!$D$150,ROUND((IF(Brand_Profile!$H$54="",0,IF(ISNUMBER(SEARCH(Brand_Profile!$H$54,Matching_Engine!$BE$91)),1,0))+IF(Brand_Profile!$H$55="",0,IF(ISNUMBER(SEARCH(Brand_Profile!$H$55,Matching_Engine!$BE$91)),1,0))+IF(Brand_Profile!$H$56="",0,IF(ISNUMBER(SEARCH(Brand_Profile!$H$56,Matching_Engine!$BE$91)),1,0))+IF(Brand_Profile!$H$57="",0,IF(ISNUMBER(SEARCH(Brand_Profile!$H$57,Matching_Engine!$BE$91)),1,0))+IF(Brand_Profile!$H$58="",0,IF(ISNUMBER(SEARCH(Brand_Profile!$H$58,Matching_Engine!$BE$91)),1,0))+IF(Brand_Profile!$H$59="",0,IF(ISNUMBER(SEARCH(Brand_Profile!$H$59,Matching_Engine!$BE$91)),1,0)))/Brand_Profile!$H$60*100,0)))</f>
        <v>#VALUE!</v>
      </c>
      <c r="X91" s="65" t="e">
        <f>IF(NOT(AND(ISTEXT('[1]#REF'!$Q$19),'[1]#REF'!$Q$19&lt;&gt;"N/A")),"N/A",Lookup_Lists!$D$150)</f>
        <v>#REF!</v>
      </c>
      <c r="Y91" s="63">
        <f>IF((IF(ISNUMBER(Matching_Engine!$U$91),Lookup_Lists!$D$335,0)+IF(ISNUMBER(Matching_Engine!$V$91),Lookup_Lists!$D$122,0)+IF(ISNUMBER(Matching_Engine!$W$91),Lookup_Lists!$D$336,0)+IF(ISNUMBER(Matching_Engine!$X$91),Lookup_Lists!$D$124,0))=0,"N/A",ROUND((IF(ISNUMBER(Matching_Engine!$U$91),Matching_Engine!$U$91*Lookup_Lists!$D$335,0)+IF(ISNUMBER(Matching_Engine!$V$91),Matching_Engine!$V$91*Lookup_Lists!$D$122,0)+IF(ISNUMBER(Matching_Engine!$W$91),Matching_Engine!$W$91*Lookup_Lists!$D$336,0)+IF(ISNUMBER(Matching_Engine!$X$91),Matching_Engine!$X$91*Lookup_Lists!$D$124,0))/(IF(ISNUMBER(Matching_Engine!$U$91),Lookup_Lists!$D$335,0)+IF(ISNUMBER(Matching_Engine!$V$91),Lookup_Lists!$D$122,0)+IF(ISNUMBER(Matching_Engine!$W$91),Lookup_Lists!$D$336,0)+IF(ISNUMBER(Matching_Engine!$X$91),Lookup_Lists!$D$124,0)),0))</f>
        <v>23</v>
      </c>
      <c r="Z91" s="42">
        <f>IF(ISNUMBER(Matching_Engine!$Y$91),1,0)</f>
        <v>1</v>
      </c>
      <c r="AA91" s="65" t="e">
        <f>IF(NOT(AND(ISTEXT('[1]#REF'!$Q$19),'[1]#REF'!$Q$19&lt;&gt;"N/A")),"N/A",Lookup_Lists!$D$150)</f>
        <v>#REF!</v>
      </c>
      <c r="AB91" s="65" t="e">
        <f>IF(NOT(AND(ISTEXT('[1]#REF'!$Q$19),'[1]#REF'!$Q$19&lt;&gt;"N/A")),"N/A",Lookup_Lists!$D$150)</f>
        <v>#REF!</v>
      </c>
      <c r="AC91" s="65" t="str">
        <f t="shared" si="1"/>
        <v>N/A</v>
      </c>
      <c r="AD91" s="65" t="e">
        <f>IF(NOT(AND(ISTEXT('[1]#REF'!$Q$19),'[1]#REF'!$Q$19&lt;&gt;"N/A")),"N/A",Lookup_Lists!$D$150)</f>
        <v>#REF!</v>
      </c>
      <c r="AE91" s="63">
        <f>IF((IF(ISNUMBER(Matching_Engine!$AA$91),Lookup_Lists!$D$125,0)+IF(ISNUMBER(Matching_Engine!$AB$91),Lookup_Lists!$D$126,0)+IF(ISNUMBER(Matching_Engine!$AC$91),Lookup_Lists!$D$127,0)+IF(ISNUMBER(Matching_Engine!$AD$91),Lookup_Lists!$D$128,0))=0,"N/A",ROUND((IF(ISNUMBER(Matching_Engine!$AA$91),Matching_Engine!$AA$91*Lookup_Lists!$D$125,0)+IF(ISNUMBER(Matching_Engine!$AB$91),Matching_Engine!$AB$91*Lookup_Lists!$D$126,0)+IF(ISNUMBER(Matching_Engine!$AC$91),Matching_Engine!$AC$91*Lookup_Lists!$D$127,0)+IF(ISNUMBER(Matching_Engine!$AD$91),Matching_Engine!$AD$91*Lookup_Lists!$D$128,0))/(IF(ISNUMBER(Matching_Engine!$AA$91),Lookup_Lists!$D$125,0)+IF(ISNUMBER(Matching_Engine!$AB$91),Lookup_Lists!$D$126,0)+IF(ISNUMBER(Matching_Engine!$AC$91),Lookup_Lists!$D$127,0)+IF(ISNUMBER(Matching_Engine!$AD$91),Lookup_Lists!$D$128,0)),0))</f>
        <v>32</v>
      </c>
      <c r="AF91" s="42">
        <f>IF(ISNUMBER(Matching_Engine!$AE$91),1,0)</f>
        <v>1</v>
      </c>
      <c r="AG91" s="65" t="str">
        <f>IF(NOT(ISNUMBER('[1]#REF'!$BG$19)),"N/A",MIN(100,ROUND('[1]#REF'!$BG$19/IFERROR(INDEX(Lookup_Lists!$B$340:$B$344,MATCH('[1]#REF'!$H$19,Lookup_Lists!$A$340:$A$344,0)),Lookup_Lists!$D$141)*100,0)))</f>
        <v>N/A</v>
      </c>
      <c r="AH91" s="65" t="str">
        <f>IF(NOT(ISNUMBER('[1]#REF'!$BS$19)),"N/A",MIN(100,MAX(0,'[1]#REF'!$BS$19)))</f>
        <v>N/A</v>
      </c>
      <c r="AI91" s="65" t="e">
        <f>IF(OR(NOT(ISNUMBER('[1]#REF'!$BM$19)),NOT(ISNUMBER('[1]#REF'!$BN$19)),'[1]#REF'!$BN$19&lt;Lookup_Lists!$D$320),"N/A",MIN(100,ROUND('[1]#REF'!$BM$19/Lookup_Lists!$D$319*100,0)))</f>
        <v>#REF!</v>
      </c>
      <c r="AJ91" s="65" t="str">
        <f>IF(NOT(ISNUMBER('[1]#REF'!$BR$19)),"N/A",'[1]#REF'!$BR$19)</f>
        <v>N/A</v>
      </c>
      <c r="AK91" s="65" t="str">
        <f>IF(NOT(ISNUMBER('[1]#REF'!$BK$19)),"N/A",MIN(100,ROUND('[1]#REF'!$BK$19/Lookup_Lists!$D$321*100,0)))</f>
        <v>N/A</v>
      </c>
      <c r="AL91" s="65" t="str">
        <f>IF(NOT(ISNUMBER('[1]#REF'!$BP$19)),"N/A",MIN(100,MAX(0,ROUND(('[1]#REF'!$BP$19+2)/(Lookup_Lists!$D$145+2)*100,0))))</f>
        <v>N/A</v>
      </c>
      <c r="AM91" s="63">
        <f>IF((IF(ISNUMBER(Matching_Engine!$AG$91),Lookup_Lists!$D$129,0)+IF(ISNUMBER(Matching_Engine!$AH$91),Lookup_Lists!$D$130,0)+IF(ISNUMBER(Matching_Engine!$AI$91),Lookup_Lists!$D$131,0)+IF(ISNUMBER(Matching_Engine!$AJ$91),Lookup_Lists!$D$132,0)+IF(ISNUMBER(Matching_Engine!$AK$91),Lookup_Lists!$D$133,0)+IF(ISNUMBER(Matching_Engine!$AL$91),Lookup_Lists!$D$134,0))=0,"N/A",ROUND((IF(ISNUMBER(Matching_Engine!$AG$91),Matching_Engine!$AG$91*Lookup_Lists!$D$129,0)+IF(ISNUMBER(Matching_Engine!$AH$91),Matching_Engine!$AH$91*Lookup_Lists!$D$130,0)+IF(ISNUMBER(Matching_Engine!$AI$91),Matching_Engine!$AI$91*Lookup_Lists!$D$131,0)+IF(ISNUMBER(Matching_Engine!$AJ$91),Matching_Engine!$AJ$91*Lookup_Lists!$D$132,0)+IF(ISNUMBER(Matching_Engine!$AK$91),Matching_Engine!$AK$91*Lookup_Lists!$D$133,0)+IF(ISNUMBER(Matching_Engine!$AL$91),Matching_Engine!$AL$91*Lookup_Lists!$D$134,0))/(IF(ISNUMBER(Matching_Engine!$AG$91),Lookup_Lists!$D$129,0)+IF(ISNUMBER(Matching_Engine!$AH$91),Lookup_Lists!$D$130,0)+IF(ISNUMBER(Matching_Engine!$AI$91),Lookup_Lists!$D$131,0)+IF(ISNUMBER(Matching_Engine!$AJ$91),Lookup_Lists!$D$132,0)+IF(ISNUMBER(Matching_Engine!$AK$91),Lookup_Lists!$D$133,0)+IF(ISNUMBER(Matching_Engine!$AL$91),Lookup_Lists!$D$134,0)),0))</f>
        <v>51</v>
      </c>
      <c r="AN91" s="42">
        <f>IF(ISNUMBER(Matching_Engine!$AM$91),1,0)</f>
        <v>0</v>
      </c>
      <c r="AO91" s="65" t="str">
        <f>IF(NOT(ISNUMBER('[1]#REF'!$BT$19)),"N/A",MIN(100,MAX(0,'[1]#REF'!$BT$19)))</f>
        <v>N/A</v>
      </c>
      <c r="AP91" s="65" t="str">
        <f>IF(NOT(ISNUMBER('[1]#REF'!$BU$19)),"N/A",MIN(100,MAX(0,'[1]#REF'!$BU$19)))</f>
        <v>N/A</v>
      </c>
      <c r="AQ91" s="65" t="e">
        <f>IF('[1]#REF'!$I$19="Yes",Lookup_Lists!$D$326,IF('[1]#REF'!$I$19="No",Lookup_Lists!$D$327,"N/A"))</f>
        <v>#REF!</v>
      </c>
      <c r="AR91" s="65" t="str">
        <f>IF(NOT(ISNUMBER('[1]#REF'!$BQ$19)),"N/A",MAX(0,ROUND(100-'[1]#REF'!$BQ$19/Lookup_Lists!$D$328*100,0)))</f>
        <v>N/A</v>
      </c>
      <c r="AS91" s="65" t="e">
        <f>IF(NOT(AND(ISTEXT('[1]#REF'!$BV$19),'[1]#REF'!$BV$19&lt;&gt;"N/A")),"N/A",'[1]#REF'!$BV$19)</f>
        <v>#REF!</v>
      </c>
      <c r="AT91" s="63" t="str">
        <f ca="1">IF((IF(ISNUMBER(Matching_Engine!$AO$91),Lookup_Lists!$D$322,0)+IF(ISNUMBER(Matching_Engine!$AP$91),Lookup_Lists!$D$323,0)+IF(ISNUMBER(Matching_Engine!$AQ$91),Lookup_Lists!$D$324,0)+IF(ISNUMBER(Matching_Engine!$AR$91),Lookup_Lists!$D$325,0))=0,"N/A",ROUND((IF(ISNUMBER(Matching_Engine!$AO$91),Matching_Engine!$AO$91*Lookup_Lists!$D$322,0)+IF(ISNUMBER(Matching_Engine!$AP$91),Matching_Engine!$AP$91*Lookup_Lists!$D$323,0)+IF(ISNUMBER(Matching_Engine!$AQ$91),Matching_Engine!$AQ$91*Lookup_Lists!$D$324,0)+IF(ISNUMBER(Matching_Engine!$AR$91),Matching_Engine!$AR$91*Lookup_Lists!$D$325,0))/(IF(ISNUMBER(Matching_Engine!$AO$91),Lookup_Lists!$D$322,0)+IF(ISNUMBER(Matching_Engine!$AP$91),Lookup_Lists!$D$323,0)+IF(ISNUMBER(Matching_Engine!$AQ$91),Lookup_Lists!$D$324,0)+IF(ISNUMBER(Matching_Engine!$AR$91),Lookup_Lists!$D$325,0)),0))</f>
        <v>N/A</v>
      </c>
      <c r="AU91" s="42">
        <f>IF(ISNUMBER(Matching_Engine!$AT$91),1,0)</f>
        <v>1</v>
      </c>
      <c r="AV91" s="42" t="str">
        <f>IF(NOT(ISNUMBER(Matching_Engine!$AT$91)),"Not Screened",IF(Matching_Engine!$AT$91&gt;=Lookup_Lists!$D$329,"Low Risk",IF(Matching_Engine!$AT$91&gt;=Lookup_Lists!$D$330,"Moderate Risk",IF(Matching_Engine!$AT$91&gt;=Lookup_Lists!$D$331,"Elevated Risk","High Risk"))))</f>
        <v>Low Risk</v>
      </c>
      <c r="AW91" s="42" t="e">
        <f ca="1">IF(NOT(ISNUMBER(Matching_Engine!$AT$91)),"No integrity signal: no audience-analysis row for this account.","Integrity screen only — no content-risk reading exists (comments_analysis: 0 rows). "&amp;IF(ISNUMBER(Matching_Engine!$AO$91),"Authenticity "&amp;Matching_Engine!$AO$91&amp;". ","Authenticity N/A. ")&amp;IF(ISNUMBER(Matching_Engine!$AP$91),"Follower quality "&amp;Matching_Engine!$AP$91&amp;". ","Follower quality N/A. ")&amp;IF('[1]#REF'!$I$19="Yes","Platform-verified.","Not platform-verified."))</f>
        <v>#REF!</v>
      </c>
      <c r="AX91" s="65">
        <f>Matching_Engine!$N$91*Lookup_Lists!$D$104+Matching_Engine!$T$91*Lookup_Lists!$D$105+Matching_Engine!$Z$91*Lookup_Lists!$D$106+Matching_Engine!$AF$91*Lookup_Lists!$D$107+Matching_Engine!$AN$91*Lookup_Lists!$D$108+Matching_Engine!$AU$91*Lookup_Lists!$D$109</f>
        <v>3279.5</v>
      </c>
      <c r="AY91" s="74" t="e">
        <f ca="1">IF(Matching_Engine!$AX$91=0,"N/A",ROUND((IF(Matching_Engine!$N$91=1,Matching_Engine!$M$91*Lookup_Lists!$D$104,0)+IF(Matching_Engine!$T$91=1,Matching_Engine!$S$91*Lookup_Lists!$D$105,0)+IF(Matching_Engine!$Z$91=1,Matching_Engine!$Y$91*Lookup_Lists!$D$106,0)+IF(Matching_Engine!$AF$91=1,Matching_Engine!$AE$91*Lookup_Lists!$D$107,0)+IF(Matching_Engine!$AN$91=1,Matching_Engine!$AM$91*Lookup_Lists!$D$108,0)+IF(Matching_Engine!$AU$91=1,Matching_Engine!$AT$91*Lookup_Lists!$D$109,0))/Matching_Engine!$AX$91,0))</f>
        <v>#VALUE!</v>
      </c>
      <c r="AZ91" s="42" t="str">
        <f ca="1">IF(NOT(ISNUMBER(Matching_Engine!$AY$91)),"Not Scored",IF(Matching_Engine!$AY$91&gt;=Lookup_Lists!$D$152,"Excellent Match",IF(Matching_Engine!$AY$91&gt;=Lookup_Lists!$D$153,"Strong Match",IF(Matching_Engine!$AY$91&gt;=Lookup_Lists!$D$154,"Good Match",IF(Matching_Engine!$AY$91&gt;=Lookup_Lists!$D$155,"Moderate Match","Low Match")))))</f>
        <v>Not Scored</v>
      </c>
      <c r="BA91" s="65" t="e">
        <f>'[1]#REF'!$BW$19</f>
        <v>#REF!</v>
      </c>
      <c r="BB91" s="42" t="e">
        <f>'[1]#REF'!$BX$19</f>
        <v>#REF!</v>
      </c>
      <c r="BC91" s="65">
        <f ca="1">IF(NOT(ISNUMBER(Matching_Engine!$AY$91)),-1,Matching_Engine!$AY$91*1000+11)</f>
        <v>-1</v>
      </c>
      <c r="BD91" s="42" t="e">
        <f>IF(AND(ISTEXT('[1]#REF'!$S$19),'[1]#REF'!$S$19&lt;&gt;"N/A"),'[1]#REF'!$S$19,"")&amp;" | "&amp;IF(AND(ISTEXT('[1]#REF'!$T$19),'[1]#REF'!$T$19&lt;&gt;"N/A"),'[1]#REF'!$T$19,"")&amp;" | "&amp;IF(AND(ISTEXT('[1]#REF'!$N$19),'[1]#REF'!$N$19&lt;&gt;"N/A"),'[1]#REF'!$N$19,"")&amp;" | "&amp;IF(AND(ISTEXT('[1]#REF'!$K$19),'[1]#REF'!$K$19&lt;&gt;"N/A"),'[1]#REF'!$K$19,"")&amp;" | "&amp;IF(AND(ISTEXT('[1]#REF'!$J$19),'[1]#REF'!$J$19&lt;&gt;"N/A"),'[1]#REF'!$J$19,"")</f>
        <v>#REF!</v>
      </c>
      <c r="BE91" s="42" t="e">
        <f>IF(AND(ISTEXT('[1]#REF'!$T$19),'[1]#REF'!$T$19&lt;&gt;"N/A"),'[1]#REF'!$T$19,"")&amp;" | "&amp;IF(AND(ISTEXT('[1]#REF'!$N$19),'[1]#REF'!$N$19&lt;&gt;"N/A"),'[1]#REF'!$N$19,"")&amp;" | "&amp;IF(AND(ISTEXT('[1]#REF'!$O$19),'[1]#REF'!$O$19&lt;&gt;"N/A"),'[1]#REF'!$O$19,"")&amp;" | "&amp;IF(AND(ISTEXT('[1]#REF'!$S$19),'[1]#REF'!$S$19&lt;&gt;"N/A"),'[1]#REF'!$S$19,"")</f>
        <v>#REF!</v>
      </c>
      <c r="BF91" s="42" t="e">
        <f>IF(AND(ISTEXT('[1]#REF'!$U$19),'[1]#REF'!$U$19&lt;&gt;"N/A"),'[1]#REF'!$U$19,"")</f>
        <v>#REF!</v>
      </c>
      <c r="BG91" s="42" t="str">
        <f>Matching_Engine!$A$91&amp;"|"&amp;Matching_Engine!$C$91</f>
        <v>BRAND-C|KOL-26</v>
      </c>
    </row>
    <row r="92" spans="1:59">
      <c r="A92" s="64" t="s">
        <v>2530</v>
      </c>
      <c r="B92" s="42" t="str">
        <f>Brand_Profile!$H$6</f>
        <v>Input type / allowed values</v>
      </c>
      <c r="C92" s="42" t="e">
        <f>'[1]#REF'!$A$20</f>
        <v>#REF!</v>
      </c>
      <c r="D92" s="42" t="e">
        <f>'[1]#REF'!$C$20</f>
        <v>#REF!</v>
      </c>
      <c r="E92" s="42" t="e">
        <f>'[1]#REF'!$D$20</f>
        <v>#REF!</v>
      </c>
      <c r="F92" s="42" t="e">
        <f>'[1]#REF'!$E$20</f>
        <v>#REF!</v>
      </c>
      <c r="G92" s="42" t="e">
        <f>'[1]#REF'!$K$20</f>
        <v>#REF!</v>
      </c>
      <c r="H92" s="72" t="e">
        <f>'[1]#REF'!$G$20</f>
        <v>#REF!</v>
      </c>
      <c r="I92" s="73" t="e">
        <f>'[1]#REF'!$BG$20</f>
        <v>#REF!</v>
      </c>
      <c r="J92" s="65" t="e">
        <f>IF(NOT(AND(ISTEXT('[1]#REF'!$K$20),'[1]#REF'!$K$20&lt;&gt;"N/A")),Lookup_Lists!$D$150,IF(Brand_Profile!$H$7='[1]#REF'!$K$20,100,IFERROR(INDEX(Lookup_Lists!$B$349:$J$357,MATCH(Brand_Profile!$H$7,Lookup_Lists!$A$349:$A$357,0),MATCH('[1]#REF'!$K$20,Lookup_Lists!$B$348:$J$348,0)),Lookup_Lists!$D$151)))</f>
        <v>#REF!</v>
      </c>
      <c r="K92" s="65" t="e">
        <f>IF(LEN(TRIM(SUBSTITUTE(Matching_Engine!$BD$92,"|","")))=0,"N/A",IF(Brand_Profile!$H$47=0,Lookup_Lists!$D$150,ROUND((IF(Brand_Profile!$H$41="",0,IF(ISNUMBER(SEARCH(Brand_Profile!$H$41,Matching_Engine!$BD$92)),1,0))+IF(Brand_Profile!$H$42="",0,IF(ISNUMBER(SEARCH(Brand_Profile!$H$42,Matching_Engine!$BD$92)),1,0))+IF(Brand_Profile!$H$43="",0,IF(ISNUMBER(SEARCH(Brand_Profile!$H$43,Matching_Engine!$BD$92)),1,0))+IF(Brand_Profile!$H$44="",0,IF(ISNUMBER(SEARCH(Brand_Profile!$H$44,Matching_Engine!$BD$92)),1,0))+IF(Brand_Profile!$H$45="",0,IF(ISNUMBER(SEARCH(Brand_Profile!$H$45,Matching_Engine!$BD$92)),1,0))+IF(Brand_Profile!$H$46="",0,IF(ISNUMBER(SEARCH(Brand_Profile!$H$46,Matching_Engine!$BD$92)),1,0)))/Brand_Profile!$H$47*100,0)))</f>
        <v>#VALUE!</v>
      </c>
      <c r="L92" s="65" t="e">
        <f>IF(NOT(AND(ISTEXT('[1]#REF'!$U$20),'[1]#REF'!$U$20&lt;&gt;"N/A")),"N/A",IF(Brand_Profile!$H$53=0,Lookup_Lists!$D$150,ROUND((IF(Brand_Profile!$H$48="",0,IF(ISNUMBER(SEARCH(Brand_Profile!$H$48,Matching_Engine!$BF$92)),1,0))+IF(Brand_Profile!$H$49="",0,IF(ISNUMBER(SEARCH(Brand_Profile!$H$49,Matching_Engine!$BF$92)),1,0))+IF(Brand_Profile!$H$50="",0,IF(ISNUMBER(SEARCH(Brand_Profile!$H$50,Matching_Engine!$BF$92)),1,0))+IF(Brand_Profile!$H$51="",0,IF(ISNUMBER(SEARCH(Brand_Profile!$H$51,Matching_Engine!$BF$92)),1,0))+IF(Brand_Profile!$H$52="",0,IF(ISNUMBER(SEARCH(Brand_Profile!$H$52,Matching_Engine!$BF$92)),1,0)))/Brand_Profile!$H$53*100,0)))</f>
        <v>#REF!</v>
      </c>
      <c r="M92" s="63" t="str">
        <f>IF((IF(ISNUMBER(Matching_Engine!$J$92),Lookup_Lists!$D$332,0)+IF(ISNUMBER(Matching_Engine!$K$92),Lookup_Lists!$D$333,0)+IF(ISNUMBER(Matching_Engine!$L$92),Lookup_Lists!$D$334,0))=0,"N/A",ROUND((IF(ISNUMBER(Matching_Engine!$J$92),Matching_Engine!$J$92*Lookup_Lists!$D$332,0)+IF(ISNUMBER(Matching_Engine!$K$92),Matching_Engine!$K$92*Lookup_Lists!$D$333,0)+IF(ISNUMBER(Matching_Engine!$L$92),Matching_Engine!$L$92*Lookup_Lists!$D$334,0))/(IF(ISNUMBER(Matching_Engine!$J$92),Lookup_Lists!$D$332,0)+IF(ISNUMBER(Matching_Engine!$K$92),Lookup_Lists!$D$333,0)+IF(ISNUMBER(Matching_Engine!$L$92),Lookup_Lists!$D$334,0)),0))</f>
        <v>N/A</v>
      </c>
      <c r="N92" s="42">
        <f>IF(ISNUMBER(Matching_Engine!$M$92),1,0)</f>
        <v>1</v>
      </c>
      <c r="O92" s="65" t="str">
        <f ca="1">IF(NOT(ISNUMBER(IFERROR(INDEX('[1]#REF'!$V$20:'[1]#REF'!$Z$20,1,MATCH(Brand_Profile!$H$11,Lookup_Lists!$F$6:$F$10,0)),""))),"N/A",MIN(100,ROUND((IFERROR(INDEX('[1]#REF'!$V$20:'[1]#REF'!$Z$20,1,MATCH(Brand_Profile!$H$11,Lookup_Lists!$F$6:$F$10,0)),"")+0.5*IF(ISNUMBER(IFERROR(INDEX('[1]#REF'!$V$20:'[1]#REF'!$Z$20,1,MATCH(Brand_Profile!$H$12,Lookup_Lists!$F$6:$F$10,0)),"")),IFERROR(INDEX('[1]#REF'!$V$20:'[1]#REF'!$Z$20,1,MATCH(Brand_Profile!$H$12,Lookup_Lists!$F$6:$F$10,0)),""),0))/Lookup_Lists!$D$142*100,0)))</f>
        <v>N/A</v>
      </c>
      <c r="P92" s="65" t="str">
        <f>IF(Brand_Profile!$H$13="Any",100,IF(NOT(ISNUMBER('[1]#REF'!$AA$20)),"N/A",IF(Brand_Profile!$H$13="Female",MIN(100,ROUND('[1]#REF'!$AA$20/Lookup_Lists!$D$143*100,0)),IF(Brand_Profile!$H$13="Male",MIN(100,ROUND(IF(ISNUMBER('[1]#REF'!$AB$20),'[1]#REF'!$AB$20,100-'[1]#REF'!$AA$20)/Lookup_Lists!$D$143*100,0)),MAX(0,ROUND(100-ABS('[1]#REF'!$AA$20-50)*2,0))))))</f>
        <v>N/A</v>
      </c>
      <c r="Q92" s="65" t="str">
        <f>IF((IF(ISNUMBER(IF(NOT(ISNUMBER('[1]#REF'!$AE$20)),"N/A",IF('[1]#REF'!$AD$20&lt;&gt;Brand_Profile!$H$14,Lookup_Lists!$D$151,MIN(100,ROUND('[1]#REF'!$AE$20/Lookup_Lists!$D$316*100,0))))),Lookup_Lists!$D$118,0)+IF(ISNUMBER(IF(NOT(ISNUMBER('[1]#REF'!$AM$20)),"N/A",MIN(100,ROUND((IF('[1]#REF'!$AG$20=Brand_Profile!$H$15,IF(ISNUMBER('[1]#REF'!$AH$20),'[1]#REF'!$AH$20,0),0)+IF('[1]#REF'!$AI$20=Brand_Profile!$H$15,IF(ISNUMBER('[1]#REF'!$AJ$20),'[1]#REF'!$AJ$20,0),0)+IF('[1]#REF'!$AK$20=Brand_Profile!$H$15,IF(ISNUMBER('[1]#REF'!$AL$20),'[1]#REF'!$AL$20,0),0))/Lookup_Lists!$D$317*100,0)))),Lookup_Lists!$D$120,0))=0,"N/A",ROUND((IF(ISNUMBER(IF(NOT(ISNUMBER('[1]#REF'!$AE$20)),"N/A",IF('[1]#REF'!$AD$20&lt;&gt;Brand_Profile!$H$14,Lookup_Lists!$D$151,MIN(100,ROUND('[1]#REF'!$AE$20/Lookup_Lists!$D$316*100,0))))),IF(NOT(ISNUMBER('[1]#REF'!$AE$20)),"N/A",IF('[1]#REF'!$AD$20&lt;&gt;Brand_Profile!$H$14,Lookup_Lists!$D$151,MIN(100,ROUND('[1]#REF'!$AE$20/Lookup_Lists!$D$316*100,0))))*Lookup_Lists!$D$118,0)+IF(ISNUMBER(IF(NOT(ISNUMBER('[1]#REF'!$AM$20)),"N/A",MIN(100,ROUND((IF('[1]#REF'!$AG$20=Brand_Profile!$H$15,IF(ISNUMBER('[1]#REF'!$AH$20),'[1]#REF'!$AH$20,0),0)+IF('[1]#REF'!$AI$20=Brand_Profile!$H$15,IF(ISNUMBER('[1]#REF'!$AJ$20),'[1]#REF'!$AJ$20,0),0)+IF('[1]#REF'!$AK$20=Brand_Profile!$H$15,IF(ISNUMBER('[1]#REF'!$AL$20),'[1]#REF'!$AL$20,0),0))/Lookup_Lists!$D$317*100,0)))),IF(NOT(ISNUMBER('[1]#REF'!$AM$20)),"N/A",MIN(100,ROUND((IF('[1]#REF'!$AG$20=Brand_Profile!$H$15,IF(ISNUMBER('[1]#REF'!$AH$20),'[1]#REF'!$AH$20,0),0)+IF('[1]#REF'!$AI$20=Brand_Profile!$H$15,IF(ISNUMBER('[1]#REF'!$AJ$20),'[1]#REF'!$AJ$20,0),0)+IF('[1]#REF'!$AK$20=Brand_Profile!$H$15,IF(ISNUMBER('[1]#REF'!$AL$20),'[1]#REF'!$AL$20,0),0))/Lookup_Lists!$D$317*100,0)))*Lookup_Lists!$D$120,0))/(IF(ISNUMBER(IF(NOT(ISNUMBER('[1]#REF'!$AE$20)),"N/A",IF('[1]#REF'!$AD$20&lt;&gt;Brand_Profile!$H$14,Lookup_Lists!$D$151,MIN(100,ROUND('[1]#REF'!$AE$20/Lookup_Lists!$D$316*100,0))))),Lookup_Lists!$D$118,0)+IF(ISNUMBER(IF(NOT(ISNUMBER('[1]#REF'!$AM$20)),"N/A",MIN(100,ROUND((IF('[1]#REF'!$AG$20=Brand_Profile!$H$15,IF(ISNUMBER('[1]#REF'!$AH$20),'[1]#REF'!$AH$20,0),0)+IF('[1]#REF'!$AI$20=Brand_Profile!$H$15,IF(ISNUMBER('[1]#REF'!$AJ$20),'[1]#REF'!$AJ$20,0),0)+IF('[1]#REF'!$AK$20=Brand_Profile!$H$15,IF(ISNUMBER('[1]#REF'!$AL$20),'[1]#REF'!$AL$20,0),0))/Lookup_Lists!$D$317*100,0)))),Lookup_Lists!$D$120,0)),0))</f>
        <v>N/A</v>
      </c>
      <c r="R92" s="65" t="str">
        <f>IF(NOT(ISNUMBER('[1]#REF'!$AN$20)),"N/A",MIN(100,ROUND((IF(ISNUMBER('[1]#REF'!$AO$20),'[1]#REF'!$AO$20*Brand_Profile!$H$17,0)+IF(ISNUMBER('[1]#REF'!$AP$20),'[1]#REF'!$AP$20*Brand_Profile!$H$18,0)+IF(ISNUMBER('[1]#REF'!$AQ$20),'[1]#REF'!$AQ$20*Brand_Profile!$H$19,0)+IF(ISNUMBER('[1]#REF'!$AR$20),'[1]#REF'!$AR$20*Brand_Profile!$H$20,0)+IF(ISNUMBER('[1]#REF'!$AS$20),'[1]#REF'!$AS$20*Brand_Profile!$H$21,0)+IF(ISNUMBER('[1]#REF'!$AT$20),'[1]#REF'!$AT$20*Brand_Profile!$H$22,0)+IF(ISNUMBER('[1]#REF'!$AU$20),'[1]#REF'!$AU$20*Brand_Profile!$H$23,0)+IF(ISNUMBER('[1]#REF'!$AV$20),'[1]#REF'!$AV$20*Brand_Profile!$H$24,0)+IF(ISNUMBER('[1]#REF'!$AW$20),'[1]#REF'!$AW$20*Brand_Profile!$H$25,0)+IF(ISNUMBER('[1]#REF'!$AX$20),'[1]#REF'!$AX$20*Brand_Profile!$H$26,0)+IF(ISNUMBER('[1]#REF'!$AY$20),'[1]#REF'!$AY$20*Brand_Profile!$H$27,0)+IF(ISNUMBER('[1]#REF'!$AZ$20),'[1]#REF'!$AZ$20*Brand_Profile!$H$28,0)+IF(ISNUMBER('[1]#REF'!$BA$20),'[1]#REF'!$BA$20*Brand_Profile!$H$29,0)+IF(ISNUMBER('[1]#REF'!$BB$20),'[1]#REF'!$BB$20*Brand_Profile!$H$30,0)+IF(ISNUMBER('[1]#REF'!$BC$20),'[1]#REF'!$BC$20*Brand_Profile!$H$31,0)+IF(ISNUMBER('[1]#REF'!$BD$20),'[1]#REF'!$BD$20*Brand_Profile!$H$32,0)+IF(ISNUMBER('[1]#REF'!$BE$20),'[1]#REF'!$BE$20*Brand_Profile!$H$33,0)+IF(ISNUMBER('[1]#REF'!$BF$20),'[1]#REF'!$BF$20*Brand_Profile!$H$34,0))/Lookup_Lists!$D$318*100,0)))</f>
        <v>N/A</v>
      </c>
      <c r="S92" s="63">
        <f ca="1">IF((IF(ISNUMBER(Matching_Engine!$O$92),Lookup_Lists!$D$113,0)+IF(ISNUMBER(Matching_Engine!$P$92),Lookup_Lists!$D$114,0)+IF(ISNUMBER(Matching_Engine!$Q$92),Lookup_Lists!$D$115,0)+IF(ISNUMBER(Matching_Engine!$R$92),Lookup_Lists!$D$116,0))=0,"N/A",ROUND((IF(ISNUMBER(Matching_Engine!$O$92),Matching_Engine!$O$92*Lookup_Lists!$D$113,0)+IF(ISNUMBER(Matching_Engine!$P$92),Matching_Engine!$P$92*Lookup_Lists!$D$114,0)+IF(ISNUMBER(Matching_Engine!$Q$92),Matching_Engine!$Q$92*Lookup_Lists!$D$115,0)+IF(ISNUMBER(Matching_Engine!$R$92),Matching_Engine!$R$92*Lookup_Lists!$D$116,0))/(IF(ISNUMBER(Matching_Engine!$O$92),Lookup_Lists!$D$113,0)+IF(ISNUMBER(Matching_Engine!$P$92),Lookup_Lists!$D$114,0)+IF(ISNUMBER(Matching_Engine!$Q$92),Lookup_Lists!$D$115,0)+IF(ISNUMBER(Matching_Engine!$R$92),Lookup_Lists!$D$116,0)),0))</f>
        <v>69</v>
      </c>
      <c r="T92" s="42">
        <f ca="1">IF(ISNUMBER(Matching_Engine!$S$92),1,0)</f>
        <v>1</v>
      </c>
      <c r="U92" s="65" t="e">
        <f>IF(NOT(AND(ISTEXT('[1]#REF'!$M$20),'[1]#REF'!$M$20&lt;&gt;"N/A")),Lookup_Lists!$D$150,IF(Brand_Profile!$H$7='[1]#REF'!$M$20,100,IFERROR(INDEX(Lookup_Lists!$B$349:$J$357,MATCH(Brand_Profile!$H$7,Lookup_Lists!$A$349:$A$357,0),MATCH('[1]#REF'!$M$20,Lookup_Lists!$B$348:$J$348,0)),Lookup_Lists!$D$151)))</f>
        <v>#REF!</v>
      </c>
      <c r="V92" s="65" t="e">
        <f>IF(NOT(AND(ISTEXT('[1]#REF'!$P$20),'[1]#REF'!$P$20&lt;&gt;"N/A")),"N/A",IFERROR(INDEX(Lookup_Lists!$B$349:$J$357,MATCH(Brand_Profile!$H$7,Lookup_Lists!$A$349:$A$357,0),MATCH('[1]#REF'!$P$20,Lookup_Lists!$B$348:$J$348,0)),Lookup_Lists!$D$151))</f>
        <v>#REF!</v>
      </c>
      <c r="W92" s="65" t="e">
        <f>IF(LEN(TRIM(SUBSTITUTE(Matching_Engine!$BE$92,"|","")))=0,"N/A",IF(Brand_Profile!$H$60=0,Lookup_Lists!$D$150,ROUND((IF(Brand_Profile!$H$54="",0,IF(ISNUMBER(SEARCH(Brand_Profile!$H$54,Matching_Engine!$BE$92)),1,0))+IF(Brand_Profile!$H$55="",0,IF(ISNUMBER(SEARCH(Brand_Profile!$H$55,Matching_Engine!$BE$92)),1,0))+IF(Brand_Profile!$H$56="",0,IF(ISNUMBER(SEARCH(Brand_Profile!$H$56,Matching_Engine!$BE$92)),1,0))+IF(Brand_Profile!$H$57="",0,IF(ISNUMBER(SEARCH(Brand_Profile!$H$57,Matching_Engine!$BE$92)),1,0))+IF(Brand_Profile!$H$58="",0,IF(ISNUMBER(SEARCH(Brand_Profile!$H$58,Matching_Engine!$BE$92)),1,0))+IF(Brand_Profile!$H$59="",0,IF(ISNUMBER(SEARCH(Brand_Profile!$H$59,Matching_Engine!$BE$92)),1,0)))/Brand_Profile!$H$60*100,0)))</f>
        <v>#VALUE!</v>
      </c>
      <c r="X92" s="65" t="e">
        <f>IF(NOT(AND(ISTEXT('[1]#REF'!$Q$20),'[1]#REF'!$Q$20&lt;&gt;"N/A")),"N/A",Lookup_Lists!$D$150)</f>
        <v>#REF!</v>
      </c>
      <c r="Y92" s="63">
        <f>IF((IF(ISNUMBER(Matching_Engine!$U$92),Lookup_Lists!$D$335,0)+IF(ISNUMBER(Matching_Engine!$V$92),Lookup_Lists!$D$122,0)+IF(ISNUMBER(Matching_Engine!$W$92),Lookup_Lists!$D$336,0)+IF(ISNUMBER(Matching_Engine!$X$92),Lookup_Lists!$D$124,0))=0,"N/A",ROUND((IF(ISNUMBER(Matching_Engine!$U$92),Matching_Engine!$U$92*Lookup_Lists!$D$335,0)+IF(ISNUMBER(Matching_Engine!$V$92),Matching_Engine!$V$92*Lookup_Lists!$D$122,0)+IF(ISNUMBER(Matching_Engine!$W$92),Matching_Engine!$W$92*Lookup_Lists!$D$336,0)+IF(ISNUMBER(Matching_Engine!$X$92),Matching_Engine!$X$92*Lookup_Lists!$D$124,0))/(IF(ISNUMBER(Matching_Engine!$U$92),Lookup_Lists!$D$335,0)+IF(ISNUMBER(Matching_Engine!$V$92),Lookup_Lists!$D$122,0)+IF(ISNUMBER(Matching_Engine!$W$92),Lookup_Lists!$D$336,0)+IF(ISNUMBER(Matching_Engine!$X$92),Lookup_Lists!$D$124,0)),0))</f>
        <v>30</v>
      </c>
      <c r="Z92" s="42">
        <f>IF(ISNUMBER(Matching_Engine!$Y$92),1,0)</f>
        <v>1</v>
      </c>
      <c r="AA92" s="65" t="e">
        <f>IF(NOT(AND(ISTEXT('[1]#REF'!$Q$20),'[1]#REF'!$Q$20&lt;&gt;"N/A")),"N/A",Lookup_Lists!$D$150)</f>
        <v>#REF!</v>
      </c>
      <c r="AB92" s="65" t="e">
        <f>IF(NOT(AND(ISTEXT('[1]#REF'!$Q$20),'[1]#REF'!$Q$20&lt;&gt;"N/A")),"N/A",Lookup_Lists!$D$150)</f>
        <v>#REF!</v>
      </c>
      <c r="AC92" s="65" t="str">
        <f t="shared" si="1"/>
        <v>N/A</v>
      </c>
      <c r="AD92" s="65" t="e">
        <f>IF(NOT(AND(ISTEXT('[1]#REF'!$Q$20),'[1]#REF'!$Q$20&lt;&gt;"N/A")),"N/A",Lookup_Lists!$D$150)</f>
        <v>#REF!</v>
      </c>
      <c r="AE92" s="63">
        <f>IF((IF(ISNUMBER(Matching_Engine!$AA$92),Lookup_Lists!$D$125,0)+IF(ISNUMBER(Matching_Engine!$AB$92),Lookup_Lists!$D$126,0)+IF(ISNUMBER(Matching_Engine!$AC$92),Lookup_Lists!$D$127,0)+IF(ISNUMBER(Matching_Engine!$AD$92),Lookup_Lists!$D$128,0))=0,"N/A",ROUND((IF(ISNUMBER(Matching_Engine!$AA$92),Matching_Engine!$AA$92*Lookup_Lists!$D$125,0)+IF(ISNUMBER(Matching_Engine!$AB$92),Matching_Engine!$AB$92*Lookup_Lists!$D$126,0)+IF(ISNUMBER(Matching_Engine!$AC$92),Matching_Engine!$AC$92*Lookup_Lists!$D$127,0)+IF(ISNUMBER(Matching_Engine!$AD$92),Matching_Engine!$AD$92*Lookup_Lists!$D$128,0))/(IF(ISNUMBER(Matching_Engine!$AA$92),Lookup_Lists!$D$125,0)+IF(ISNUMBER(Matching_Engine!$AB$92),Lookup_Lists!$D$126,0)+IF(ISNUMBER(Matching_Engine!$AC$92),Lookup_Lists!$D$127,0)+IF(ISNUMBER(Matching_Engine!$AD$92),Lookup_Lists!$D$128,0)),0))</f>
        <v>46</v>
      </c>
      <c r="AF92" s="42">
        <f>IF(ISNUMBER(Matching_Engine!$AE$92),1,0)</f>
        <v>1</v>
      </c>
      <c r="AG92" s="65" t="str">
        <f>IF(NOT(ISNUMBER('[1]#REF'!$BG$20)),"N/A",MIN(100,ROUND('[1]#REF'!$BG$20/IFERROR(INDEX(Lookup_Lists!$B$340:$B$344,MATCH('[1]#REF'!$H$20,Lookup_Lists!$A$340:$A$344,0)),Lookup_Lists!$D$141)*100,0)))</f>
        <v>N/A</v>
      </c>
      <c r="AH92" s="65" t="str">
        <f>IF(NOT(ISNUMBER('[1]#REF'!$BS$20)),"N/A",MIN(100,MAX(0,'[1]#REF'!$BS$20)))</f>
        <v>N/A</v>
      </c>
      <c r="AI92" s="65" t="e">
        <f>IF(OR(NOT(ISNUMBER('[1]#REF'!$BM$20)),NOT(ISNUMBER('[1]#REF'!$BN$20)),'[1]#REF'!$BN$20&lt;Lookup_Lists!$D$320),"N/A",MIN(100,ROUND('[1]#REF'!$BM$20/Lookup_Lists!$D$319*100,0)))</f>
        <v>#REF!</v>
      </c>
      <c r="AJ92" s="65" t="str">
        <f>IF(NOT(ISNUMBER('[1]#REF'!$BR$20)),"N/A",'[1]#REF'!$BR$20)</f>
        <v>N/A</v>
      </c>
      <c r="AK92" s="65" t="str">
        <f>IF(NOT(ISNUMBER('[1]#REF'!$BK$20)),"N/A",MIN(100,ROUND('[1]#REF'!$BK$20/Lookup_Lists!$D$321*100,0)))</f>
        <v>N/A</v>
      </c>
      <c r="AL92" s="65" t="str">
        <f>IF(NOT(ISNUMBER('[1]#REF'!$BP$20)),"N/A",MIN(100,MAX(0,ROUND(('[1]#REF'!$BP$20+2)/(Lookup_Lists!$D$145+2)*100,0))))</f>
        <v>N/A</v>
      </c>
      <c r="AM92" s="63">
        <f>IF((IF(ISNUMBER(Matching_Engine!$AG$92),Lookup_Lists!$D$129,0)+IF(ISNUMBER(Matching_Engine!$AH$92),Lookup_Lists!$D$130,0)+IF(ISNUMBER(Matching_Engine!$AI$92),Lookup_Lists!$D$131,0)+IF(ISNUMBER(Matching_Engine!$AJ$92),Lookup_Lists!$D$132,0)+IF(ISNUMBER(Matching_Engine!$AK$92),Lookup_Lists!$D$133,0)+IF(ISNUMBER(Matching_Engine!$AL$92),Lookup_Lists!$D$134,0))=0,"N/A",ROUND((IF(ISNUMBER(Matching_Engine!$AG$92),Matching_Engine!$AG$92*Lookup_Lists!$D$129,0)+IF(ISNUMBER(Matching_Engine!$AH$92),Matching_Engine!$AH$92*Lookup_Lists!$D$130,0)+IF(ISNUMBER(Matching_Engine!$AI$92),Matching_Engine!$AI$92*Lookup_Lists!$D$131,0)+IF(ISNUMBER(Matching_Engine!$AJ$92),Matching_Engine!$AJ$92*Lookup_Lists!$D$132,0)+IF(ISNUMBER(Matching_Engine!$AK$92),Matching_Engine!$AK$92*Lookup_Lists!$D$133,0)+IF(ISNUMBER(Matching_Engine!$AL$92),Matching_Engine!$AL$92*Lookup_Lists!$D$134,0))/(IF(ISNUMBER(Matching_Engine!$AG$92),Lookup_Lists!$D$129,0)+IF(ISNUMBER(Matching_Engine!$AH$92),Lookup_Lists!$D$130,0)+IF(ISNUMBER(Matching_Engine!$AI$92),Lookup_Lists!$D$131,0)+IF(ISNUMBER(Matching_Engine!$AJ$92),Lookup_Lists!$D$132,0)+IF(ISNUMBER(Matching_Engine!$AK$92),Lookup_Lists!$D$133,0)+IF(ISNUMBER(Matching_Engine!$AL$92),Lookup_Lists!$D$134,0)),0))</f>
        <v>62</v>
      </c>
      <c r="AN92" s="42">
        <f>IF(ISNUMBER(Matching_Engine!$AM$92),1,0)</f>
        <v>0</v>
      </c>
      <c r="AO92" s="65" t="str">
        <f>IF(NOT(ISNUMBER('[1]#REF'!$BT$20)),"N/A",MIN(100,MAX(0,'[1]#REF'!$BT$20)))</f>
        <v>N/A</v>
      </c>
      <c r="AP92" s="65" t="str">
        <f>IF(NOT(ISNUMBER('[1]#REF'!$BU$20)),"N/A",MIN(100,MAX(0,'[1]#REF'!$BU$20)))</f>
        <v>N/A</v>
      </c>
      <c r="AQ92" s="65" t="e">
        <f>IF('[1]#REF'!$I$20="Yes",Lookup_Lists!$D$326,IF('[1]#REF'!$I$20="No",Lookup_Lists!$D$327,"N/A"))</f>
        <v>#REF!</v>
      </c>
      <c r="AR92" s="65" t="str">
        <f>IF(NOT(ISNUMBER('[1]#REF'!$BQ$20)),"N/A",MAX(0,ROUND(100-'[1]#REF'!$BQ$20/Lookup_Lists!$D$328*100,0)))</f>
        <v>N/A</v>
      </c>
      <c r="AS92" s="65" t="e">
        <f>IF(NOT(AND(ISTEXT('[1]#REF'!$BV$20),'[1]#REF'!$BV$20&lt;&gt;"N/A")),"N/A",'[1]#REF'!$BV$20)</f>
        <v>#REF!</v>
      </c>
      <c r="AT92" s="63" t="str">
        <f ca="1">IF((IF(ISNUMBER(Matching_Engine!$AO$92),Lookup_Lists!$D$322,0)+IF(ISNUMBER(Matching_Engine!$AP$92),Lookup_Lists!$D$323,0)+IF(ISNUMBER(Matching_Engine!$AQ$92),Lookup_Lists!$D$324,0)+IF(ISNUMBER(Matching_Engine!$AR$92),Lookup_Lists!$D$325,0))=0,"N/A",ROUND((IF(ISNUMBER(Matching_Engine!$AO$92),Matching_Engine!$AO$92*Lookup_Lists!$D$322,0)+IF(ISNUMBER(Matching_Engine!$AP$92),Matching_Engine!$AP$92*Lookup_Lists!$D$323,0)+IF(ISNUMBER(Matching_Engine!$AQ$92),Matching_Engine!$AQ$92*Lookup_Lists!$D$324,0)+IF(ISNUMBER(Matching_Engine!$AR$92),Matching_Engine!$AR$92*Lookup_Lists!$D$325,0))/(IF(ISNUMBER(Matching_Engine!$AO$92),Lookup_Lists!$D$322,0)+IF(ISNUMBER(Matching_Engine!$AP$92),Lookup_Lists!$D$323,0)+IF(ISNUMBER(Matching_Engine!$AQ$92),Lookup_Lists!$D$324,0)+IF(ISNUMBER(Matching_Engine!$AR$92),Lookup_Lists!$D$325,0)),0))</f>
        <v>N/A</v>
      </c>
      <c r="AU92" s="42">
        <f>IF(ISNUMBER(Matching_Engine!$AT$92),1,0)</f>
        <v>1</v>
      </c>
      <c r="AV92" s="42" t="str">
        <f>IF(NOT(ISNUMBER(Matching_Engine!$AT$92)),"Not Screened",IF(Matching_Engine!$AT$92&gt;=Lookup_Lists!$D$329,"Low Risk",IF(Matching_Engine!$AT$92&gt;=Lookup_Lists!$D$330,"Moderate Risk",IF(Matching_Engine!$AT$92&gt;=Lookup_Lists!$D$331,"Elevated Risk","High Risk"))))</f>
        <v>Low Risk</v>
      </c>
      <c r="AW92" s="42" t="e">
        <f ca="1">IF(NOT(ISNUMBER(Matching_Engine!$AT$92)),"No integrity signal: no audience-analysis row for this account.","Integrity screen only — no content-risk reading exists (comments_analysis: 0 rows). "&amp;IF(ISNUMBER(Matching_Engine!$AO$92),"Authenticity "&amp;Matching_Engine!$AO$92&amp;". ","Authenticity N/A. ")&amp;IF(ISNUMBER(Matching_Engine!$AP$92),"Follower quality "&amp;Matching_Engine!$AP$92&amp;". ","Follower quality N/A. ")&amp;IF('[1]#REF'!$I$20="Yes","Platform-verified.","Not platform-verified."))</f>
        <v>#REF!</v>
      </c>
      <c r="AX92" s="65">
        <f>Matching_Engine!$N$92*Lookup_Lists!$D$104+Matching_Engine!$T$92*Lookup_Lists!$D$105+Matching_Engine!$Z$92*Lookup_Lists!$D$106+Matching_Engine!$AF$92*Lookup_Lists!$D$107+Matching_Engine!$AN$92*Lookup_Lists!$D$108+Matching_Engine!$AU$92*Lookup_Lists!$D$109</f>
        <v>5090</v>
      </c>
      <c r="AY92" s="74" t="e">
        <f ca="1">IF(Matching_Engine!$AX$92=0,"N/A",ROUND((IF(Matching_Engine!$N$92=1,Matching_Engine!$M$92*Lookup_Lists!$D$104,0)+IF(Matching_Engine!$T$92=1,Matching_Engine!$S$92*Lookup_Lists!$D$105,0)+IF(Matching_Engine!$Z$92=1,Matching_Engine!$Y$92*Lookup_Lists!$D$106,0)+IF(Matching_Engine!$AF$92=1,Matching_Engine!$AE$92*Lookup_Lists!$D$107,0)+IF(Matching_Engine!$AN$92=1,Matching_Engine!$AM$92*Lookup_Lists!$D$108,0)+IF(Matching_Engine!$AU$92=1,Matching_Engine!$AT$92*Lookup_Lists!$D$109,0))/Matching_Engine!$AX$92,0))</f>
        <v>#VALUE!</v>
      </c>
      <c r="AZ92" s="42" t="str">
        <f ca="1">IF(NOT(ISNUMBER(Matching_Engine!$AY$92)),"Not Scored",IF(Matching_Engine!$AY$92&gt;=Lookup_Lists!$D$152,"Excellent Match",IF(Matching_Engine!$AY$92&gt;=Lookup_Lists!$D$153,"Strong Match",IF(Matching_Engine!$AY$92&gt;=Lookup_Lists!$D$154,"Good Match",IF(Matching_Engine!$AY$92&gt;=Lookup_Lists!$D$155,"Moderate Match","Low Match")))))</f>
        <v>Low Match</v>
      </c>
      <c r="BA92" s="65" t="e">
        <f>'[1]#REF'!$BW$20</f>
        <v>#REF!</v>
      </c>
      <c r="BB92" s="42" t="e">
        <f>'[1]#REF'!$BX$20</f>
        <v>#REF!</v>
      </c>
      <c r="BC92" s="65">
        <f ca="1">IF(NOT(ISNUMBER(Matching_Engine!$AY$92)),-1,Matching_Engine!$AY$92*1000+10)</f>
        <v>59010</v>
      </c>
      <c r="BD92" s="42" t="e">
        <f>IF(AND(ISTEXT('[1]#REF'!$S$20),'[1]#REF'!$S$20&lt;&gt;"N/A"),'[1]#REF'!$S$20,"")&amp;" | "&amp;IF(AND(ISTEXT('[1]#REF'!$T$20),'[1]#REF'!$T$20&lt;&gt;"N/A"),'[1]#REF'!$T$20,"")&amp;" | "&amp;IF(AND(ISTEXT('[1]#REF'!$N$20),'[1]#REF'!$N$20&lt;&gt;"N/A"),'[1]#REF'!$N$20,"")&amp;" | "&amp;IF(AND(ISTEXT('[1]#REF'!$K$20),'[1]#REF'!$K$20&lt;&gt;"N/A"),'[1]#REF'!$K$20,"")&amp;" | "&amp;IF(AND(ISTEXT('[1]#REF'!$J$20),'[1]#REF'!$J$20&lt;&gt;"N/A"),'[1]#REF'!$J$20,"")</f>
        <v>#REF!</v>
      </c>
      <c r="BE92" s="42" t="e">
        <f>IF(AND(ISTEXT('[1]#REF'!$T$20),'[1]#REF'!$T$20&lt;&gt;"N/A"),'[1]#REF'!$T$20,"")&amp;" | "&amp;IF(AND(ISTEXT('[1]#REF'!$N$20),'[1]#REF'!$N$20&lt;&gt;"N/A"),'[1]#REF'!$N$20,"")&amp;" | "&amp;IF(AND(ISTEXT('[1]#REF'!$O$20),'[1]#REF'!$O$20&lt;&gt;"N/A"),'[1]#REF'!$O$20,"")&amp;" | "&amp;IF(AND(ISTEXT('[1]#REF'!$S$20),'[1]#REF'!$S$20&lt;&gt;"N/A"),'[1]#REF'!$S$20,"")</f>
        <v>#REF!</v>
      </c>
      <c r="BF92" s="42" t="e">
        <f>IF(AND(ISTEXT('[1]#REF'!$U$20),'[1]#REF'!$U$20&lt;&gt;"N/A"),'[1]#REF'!$U$20,"")</f>
        <v>#REF!</v>
      </c>
      <c r="BG92" s="42" t="str">
        <f>Matching_Engine!$A$92&amp;"|"&amp;Matching_Engine!$C$92</f>
        <v>BRAND-C|KOL-27</v>
      </c>
    </row>
    <row r="93" spans="1:59">
      <c r="A93" s="64" t="s">
        <v>2530</v>
      </c>
      <c r="B93" s="42" t="str">
        <f>Brand_Profile!$H$6</f>
        <v>Input type / allowed values</v>
      </c>
      <c r="C93" s="42" t="e">
        <f>'[1]#REF'!$A$21</f>
        <v>#REF!</v>
      </c>
      <c r="D93" s="42" t="e">
        <f>'[1]#REF'!$C$21</f>
        <v>#REF!</v>
      </c>
      <c r="E93" s="42" t="e">
        <f>'[1]#REF'!$D$21</f>
        <v>#REF!</v>
      </c>
      <c r="F93" s="42" t="e">
        <f>'[1]#REF'!$E$21</f>
        <v>#REF!</v>
      </c>
      <c r="G93" s="42" t="e">
        <f>'[1]#REF'!$K$21</f>
        <v>#REF!</v>
      </c>
      <c r="H93" s="72" t="e">
        <f>'[1]#REF'!$G$21</f>
        <v>#REF!</v>
      </c>
      <c r="I93" s="73" t="e">
        <f>'[1]#REF'!$BG$21</f>
        <v>#REF!</v>
      </c>
      <c r="J93" s="65" t="e">
        <f>IF(NOT(AND(ISTEXT('[1]#REF'!$K$21),'[1]#REF'!$K$21&lt;&gt;"N/A")),Lookup_Lists!$D$150,IF(Brand_Profile!$H$7='[1]#REF'!$K$21,100,IFERROR(INDEX(Lookup_Lists!$B$349:$J$357,MATCH(Brand_Profile!$H$7,Lookup_Lists!$A$349:$A$357,0),MATCH('[1]#REF'!$K$21,Lookup_Lists!$B$348:$J$348,0)),Lookup_Lists!$D$151)))</f>
        <v>#REF!</v>
      </c>
      <c r="K93" s="65" t="e">
        <f>IF(LEN(TRIM(SUBSTITUTE(Matching_Engine!$BD$93,"|","")))=0,"N/A",IF(Brand_Profile!$H$47=0,Lookup_Lists!$D$150,ROUND((IF(Brand_Profile!$H$41="",0,IF(ISNUMBER(SEARCH(Brand_Profile!$H$41,Matching_Engine!$BD$93)),1,0))+IF(Brand_Profile!$H$42="",0,IF(ISNUMBER(SEARCH(Brand_Profile!$H$42,Matching_Engine!$BD$93)),1,0))+IF(Brand_Profile!$H$43="",0,IF(ISNUMBER(SEARCH(Brand_Profile!$H$43,Matching_Engine!$BD$93)),1,0))+IF(Brand_Profile!$H$44="",0,IF(ISNUMBER(SEARCH(Brand_Profile!$H$44,Matching_Engine!$BD$93)),1,0))+IF(Brand_Profile!$H$45="",0,IF(ISNUMBER(SEARCH(Brand_Profile!$H$45,Matching_Engine!$BD$93)),1,0))+IF(Brand_Profile!$H$46="",0,IF(ISNUMBER(SEARCH(Brand_Profile!$H$46,Matching_Engine!$BD$93)),1,0)))/Brand_Profile!$H$47*100,0)))</f>
        <v>#VALUE!</v>
      </c>
      <c r="L93" s="65" t="e">
        <f>IF(NOT(AND(ISTEXT('[1]#REF'!$U$21),'[1]#REF'!$U$21&lt;&gt;"N/A")),"N/A",IF(Brand_Profile!$H$53=0,Lookup_Lists!$D$150,ROUND((IF(Brand_Profile!$H$48="",0,IF(ISNUMBER(SEARCH(Brand_Profile!$H$48,Matching_Engine!$BF$93)),1,0))+IF(Brand_Profile!$H$49="",0,IF(ISNUMBER(SEARCH(Brand_Profile!$H$49,Matching_Engine!$BF$93)),1,0))+IF(Brand_Profile!$H$50="",0,IF(ISNUMBER(SEARCH(Brand_Profile!$H$50,Matching_Engine!$BF$93)),1,0))+IF(Brand_Profile!$H$51="",0,IF(ISNUMBER(SEARCH(Brand_Profile!$H$51,Matching_Engine!$BF$93)),1,0))+IF(Brand_Profile!$H$52="",0,IF(ISNUMBER(SEARCH(Brand_Profile!$H$52,Matching_Engine!$BF$93)),1,0)))/Brand_Profile!$H$53*100,0)))</f>
        <v>#REF!</v>
      </c>
      <c r="M93" s="63" t="str">
        <f>IF((IF(ISNUMBER(Matching_Engine!$J$93),Lookup_Lists!$D$332,0)+IF(ISNUMBER(Matching_Engine!$K$93),Lookup_Lists!$D$333,0)+IF(ISNUMBER(Matching_Engine!$L$93),Lookup_Lists!$D$334,0))=0,"N/A",ROUND((IF(ISNUMBER(Matching_Engine!$J$93),Matching_Engine!$J$93*Lookup_Lists!$D$332,0)+IF(ISNUMBER(Matching_Engine!$K$93),Matching_Engine!$K$93*Lookup_Lists!$D$333,0)+IF(ISNUMBER(Matching_Engine!$L$93),Matching_Engine!$L$93*Lookup_Lists!$D$334,0))/(IF(ISNUMBER(Matching_Engine!$J$93),Lookup_Lists!$D$332,0)+IF(ISNUMBER(Matching_Engine!$K$93),Lookup_Lists!$D$333,0)+IF(ISNUMBER(Matching_Engine!$L$93),Lookup_Lists!$D$334,0)),0))</f>
        <v>N/A</v>
      </c>
      <c r="N93" s="42">
        <f>IF(ISNUMBER(Matching_Engine!$M$93),1,0)</f>
        <v>1</v>
      </c>
      <c r="O93" s="65" t="str">
        <f ca="1">IF(NOT(ISNUMBER(IFERROR(INDEX('[1]#REF'!$V$21:'[1]#REF'!$Z$21,1,MATCH(Brand_Profile!$H$11,Lookup_Lists!$F$6:$F$10,0)),""))),"N/A",MIN(100,ROUND((IFERROR(INDEX('[1]#REF'!$V$21:'[1]#REF'!$Z$21,1,MATCH(Brand_Profile!$H$11,Lookup_Lists!$F$6:$F$10,0)),"")+0.5*IF(ISNUMBER(IFERROR(INDEX('[1]#REF'!$V$21:'[1]#REF'!$Z$21,1,MATCH(Brand_Profile!$H$12,Lookup_Lists!$F$6:$F$10,0)),"")),IFERROR(INDEX('[1]#REF'!$V$21:'[1]#REF'!$Z$21,1,MATCH(Brand_Profile!$H$12,Lookup_Lists!$F$6:$F$10,0)),""),0))/Lookup_Lists!$D$142*100,0)))</f>
        <v>N/A</v>
      </c>
      <c r="P93" s="65" t="str">
        <f>IF(Brand_Profile!$H$13="Any",100,IF(NOT(ISNUMBER('[1]#REF'!$AA$21)),"N/A",IF(Brand_Profile!$H$13="Female",MIN(100,ROUND('[1]#REF'!$AA$21/Lookup_Lists!$D$143*100,0)),IF(Brand_Profile!$H$13="Male",MIN(100,ROUND(IF(ISNUMBER('[1]#REF'!$AB$21),'[1]#REF'!$AB$21,100-'[1]#REF'!$AA$21)/Lookup_Lists!$D$143*100,0)),MAX(0,ROUND(100-ABS('[1]#REF'!$AA$21-50)*2,0))))))</f>
        <v>N/A</v>
      </c>
      <c r="Q93" s="65" t="str">
        <f>IF((IF(ISNUMBER(IF(NOT(ISNUMBER('[1]#REF'!$AE$21)),"N/A",IF('[1]#REF'!$AD$21&lt;&gt;Brand_Profile!$H$14,Lookup_Lists!$D$151,MIN(100,ROUND('[1]#REF'!$AE$21/Lookup_Lists!$D$316*100,0))))),Lookup_Lists!$D$118,0)+IF(ISNUMBER(IF(NOT(ISNUMBER('[1]#REF'!$AM$21)),"N/A",MIN(100,ROUND((IF('[1]#REF'!$AG$21=Brand_Profile!$H$15,IF(ISNUMBER('[1]#REF'!$AH$21),'[1]#REF'!$AH$21,0),0)+IF('[1]#REF'!$AI$21=Brand_Profile!$H$15,IF(ISNUMBER('[1]#REF'!$AJ$21),'[1]#REF'!$AJ$21,0),0)+IF('[1]#REF'!$AK$21=Brand_Profile!$H$15,IF(ISNUMBER('[1]#REF'!$AL$21),'[1]#REF'!$AL$21,0),0))/Lookup_Lists!$D$317*100,0)))),Lookup_Lists!$D$120,0))=0,"N/A",ROUND((IF(ISNUMBER(IF(NOT(ISNUMBER('[1]#REF'!$AE$21)),"N/A",IF('[1]#REF'!$AD$21&lt;&gt;Brand_Profile!$H$14,Lookup_Lists!$D$151,MIN(100,ROUND('[1]#REF'!$AE$21/Lookup_Lists!$D$316*100,0))))),IF(NOT(ISNUMBER('[1]#REF'!$AE$21)),"N/A",IF('[1]#REF'!$AD$21&lt;&gt;Brand_Profile!$H$14,Lookup_Lists!$D$151,MIN(100,ROUND('[1]#REF'!$AE$21/Lookup_Lists!$D$316*100,0))))*Lookup_Lists!$D$118,0)+IF(ISNUMBER(IF(NOT(ISNUMBER('[1]#REF'!$AM$21)),"N/A",MIN(100,ROUND((IF('[1]#REF'!$AG$21=Brand_Profile!$H$15,IF(ISNUMBER('[1]#REF'!$AH$21),'[1]#REF'!$AH$21,0),0)+IF('[1]#REF'!$AI$21=Brand_Profile!$H$15,IF(ISNUMBER('[1]#REF'!$AJ$21),'[1]#REF'!$AJ$21,0),0)+IF('[1]#REF'!$AK$21=Brand_Profile!$H$15,IF(ISNUMBER('[1]#REF'!$AL$21),'[1]#REF'!$AL$21,0),0))/Lookup_Lists!$D$317*100,0)))),IF(NOT(ISNUMBER('[1]#REF'!$AM$21)),"N/A",MIN(100,ROUND((IF('[1]#REF'!$AG$21=Brand_Profile!$H$15,IF(ISNUMBER('[1]#REF'!$AH$21),'[1]#REF'!$AH$21,0),0)+IF('[1]#REF'!$AI$21=Brand_Profile!$H$15,IF(ISNUMBER('[1]#REF'!$AJ$21),'[1]#REF'!$AJ$21,0),0)+IF('[1]#REF'!$AK$21=Brand_Profile!$H$15,IF(ISNUMBER('[1]#REF'!$AL$21),'[1]#REF'!$AL$21,0),0))/Lookup_Lists!$D$317*100,0)))*Lookup_Lists!$D$120,0))/(IF(ISNUMBER(IF(NOT(ISNUMBER('[1]#REF'!$AE$21)),"N/A",IF('[1]#REF'!$AD$21&lt;&gt;Brand_Profile!$H$14,Lookup_Lists!$D$151,MIN(100,ROUND('[1]#REF'!$AE$21/Lookup_Lists!$D$316*100,0))))),Lookup_Lists!$D$118,0)+IF(ISNUMBER(IF(NOT(ISNUMBER('[1]#REF'!$AM$21)),"N/A",MIN(100,ROUND((IF('[1]#REF'!$AG$21=Brand_Profile!$H$15,IF(ISNUMBER('[1]#REF'!$AH$21),'[1]#REF'!$AH$21,0),0)+IF('[1]#REF'!$AI$21=Brand_Profile!$H$15,IF(ISNUMBER('[1]#REF'!$AJ$21),'[1]#REF'!$AJ$21,0),0)+IF('[1]#REF'!$AK$21=Brand_Profile!$H$15,IF(ISNUMBER('[1]#REF'!$AL$21),'[1]#REF'!$AL$21,0),0))/Lookup_Lists!$D$317*100,0)))),Lookup_Lists!$D$120,0)),0))</f>
        <v>N/A</v>
      </c>
      <c r="R93" s="65" t="str">
        <f>IF(NOT(ISNUMBER('[1]#REF'!$AN$21)),"N/A",MIN(100,ROUND((IF(ISNUMBER('[1]#REF'!$AO$21),'[1]#REF'!$AO$21*Brand_Profile!$H$17,0)+IF(ISNUMBER('[1]#REF'!$AP$21),'[1]#REF'!$AP$21*Brand_Profile!$H$18,0)+IF(ISNUMBER('[1]#REF'!$AQ$21),'[1]#REF'!$AQ$21*Brand_Profile!$H$19,0)+IF(ISNUMBER('[1]#REF'!$AR$21),'[1]#REF'!$AR$21*Brand_Profile!$H$20,0)+IF(ISNUMBER('[1]#REF'!$AS$21),'[1]#REF'!$AS$21*Brand_Profile!$H$21,0)+IF(ISNUMBER('[1]#REF'!$AT$21),'[1]#REF'!$AT$21*Brand_Profile!$H$22,0)+IF(ISNUMBER('[1]#REF'!$AU$21),'[1]#REF'!$AU$21*Brand_Profile!$H$23,0)+IF(ISNUMBER('[1]#REF'!$AV$21),'[1]#REF'!$AV$21*Brand_Profile!$H$24,0)+IF(ISNUMBER('[1]#REF'!$AW$21),'[1]#REF'!$AW$21*Brand_Profile!$H$25,0)+IF(ISNUMBER('[1]#REF'!$AX$21),'[1]#REF'!$AX$21*Brand_Profile!$H$26,0)+IF(ISNUMBER('[1]#REF'!$AY$21),'[1]#REF'!$AY$21*Brand_Profile!$H$27,0)+IF(ISNUMBER('[1]#REF'!$AZ$21),'[1]#REF'!$AZ$21*Brand_Profile!$H$28,0)+IF(ISNUMBER('[1]#REF'!$BA$21),'[1]#REF'!$BA$21*Brand_Profile!$H$29,0)+IF(ISNUMBER('[1]#REF'!$BB$21),'[1]#REF'!$BB$21*Brand_Profile!$H$30,0)+IF(ISNUMBER('[1]#REF'!$BC$21),'[1]#REF'!$BC$21*Brand_Profile!$H$31,0)+IF(ISNUMBER('[1]#REF'!$BD$21),'[1]#REF'!$BD$21*Brand_Profile!$H$32,0)+IF(ISNUMBER('[1]#REF'!$BE$21),'[1]#REF'!$BE$21*Brand_Profile!$H$33,0)+IF(ISNUMBER('[1]#REF'!$BF$21),'[1]#REF'!$BF$21*Brand_Profile!$H$34,0))/Lookup_Lists!$D$318*100,0)))</f>
        <v>N/A</v>
      </c>
      <c r="S93" s="63">
        <f ca="1">IF((IF(ISNUMBER(Matching_Engine!$O$93),Lookup_Lists!$D$113,0)+IF(ISNUMBER(Matching_Engine!$P$93),Lookup_Lists!$D$114,0)+IF(ISNUMBER(Matching_Engine!$Q$93),Lookup_Lists!$D$115,0)+IF(ISNUMBER(Matching_Engine!$R$93),Lookup_Lists!$D$116,0))=0,"N/A",ROUND((IF(ISNUMBER(Matching_Engine!$O$93),Matching_Engine!$O$93*Lookup_Lists!$D$113,0)+IF(ISNUMBER(Matching_Engine!$P$93),Matching_Engine!$P$93*Lookup_Lists!$D$114,0)+IF(ISNUMBER(Matching_Engine!$Q$93),Matching_Engine!$Q$93*Lookup_Lists!$D$115,0)+IF(ISNUMBER(Matching_Engine!$R$93),Matching_Engine!$R$93*Lookup_Lists!$D$116,0))/(IF(ISNUMBER(Matching_Engine!$O$93),Lookup_Lists!$D$113,0)+IF(ISNUMBER(Matching_Engine!$P$93),Lookup_Lists!$D$114,0)+IF(ISNUMBER(Matching_Engine!$Q$93),Lookup_Lists!$D$115,0)+IF(ISNUMBER(Matching_Engine!$R$93),Lookup_Lists!$D$116,0)),0))</f>
        <v>63</v>
      </c>
      <c r="T93" s="42">
        <f ca="1">IF(ISNUMBER(Matching_Engine!$S$93),1,0)</f>
        <v>1</v>
      </c>
      <c r="U93" s="65" t="e">
        <f>IF(NOT(AND(ISTEXT('[1]#REF'!$M$21),'[1]#REF'!$M$21&lt;&gt;"N/A")),Lookup_Lists!$D$150,IF(Brand_Profile!$H$7='[1]#REF'!$M$21,100,IFERROR(INDEX(Lookup_Lists!$B$349:$J$357,MATCH(Brand_Profile!$H$7,Lookup_Lists!$A$349:$A$357,0),MATCH('[1]#REF'!$M$21,Lookup_Lists!$B$348:$J$348,0)),Lookup_Lists!$D$151)))</f>
        <v>#REF!</v>
      </c>
      <c r="V93" s="65" t="e">
        <f>IF(NOT(AND(ISTEXT('[1]#REF'!$P$21),'[1]#REF'!$P$21&lt;&gt;"N/A")),"N/A",IFERROR(INDEX(Lookup_Lists!$B$349:$J$357,MATCH(Brand_Profile!$H$7,Lookup_Lists!$A$349:$A$357,0),MATCH('[1]#REF'!$P$21,Lookup_Lists!$B$348:$J$348,0)),Lookup_Lists!$D$151))</f>
        <v>#REF!</v>
      </c>
      <c r="W93" s="65" t="e">
        <f>IF(LEN(TRIM(SUBSTITUTE(Matching_Engine!$BE$93,"|","")))=0,"N/A",IF(Brand_Profile!$H$60=0,Lookup_Lists!$D$150,ROUND((IF(Brand_Profile!$H$54="",0,IF(ISNUMBER(SEARCH(Brand_Profile!$H$54,Matching_Engine!$BE$93)),1,0))+IF(Brand_Profile!$H$55="",0,IF(ISNUMBER(SEARCH(Brand_Profile!$H$55,Matching_Engine!$BE$93)),1,0))+IF(Brand_Profile!$H$56="",0,IF(ISNUMBER(SEARCH(Brand_Profile!$H$56,Matching_Engine!$BE$93)),1,0))+IF(Brand_Profile!$H$57="",0,IF(ISNUMBER(SEARCH(Brand_Profile!$H$57,Matching_Engine!$BE$93)),1,0))+IF(Brand_Profile!$H$58="",0,IF(ISNUMBER(SEARCH(Brand_Profile!$H$58,Matching_Engine!$BE$93)),1,0))+IF(Brand_Profile!$H$59="",0,IF(ISNUMBER(SEARCH(Brand_Profile!$H$59,Matching_Engine!$BE$93)),1,0)))/Brand_Profile!$H$60*100,0)))</f>
        <v>#VALUE!</v>
      </c>
      <c r="X93" s="65" t="e">
        <f>IF(NOT(AND(ISTEXT('[1]#REF'!$Q$21),'[1]#REF'!$Q$21&lt;&gt;"N/A")),"N/A",Lookup_Lists!$D$150)</f>
        <v>#REF!</v>
      </c>
      <c r="Y93" s="63">
        <f>IF((IF(ISNUMBER(Matching_Engine!$U$93),Lookup_Lists!$D$335,0)+IF(ISNUMBER(Matching_Engine!$V$93),Lookup_Lists!$D$122,0)+IF(ISNUMBER(Matching_Engine!$W$93),Lookup_Lists!$D$336,0)+IF(ISNUMBER(Matching_Engine!$X$93),Lookup_Lists!$D$124,0))=0,"N/A",ROUND((IF(ISNUMBER(Matching_Engine!$U$93),Matching_Engine!$U$93*Lookup_Lists!$D$335,0)+IF(ISNUMBER(Matching_Engine!$V$93),Matching_Engine!$V$93*Lookup_Lists!$D$122,0)+IF(ISNUMBER(Matching_Engine!$W$93),Matching_Engine!$W$93*Lookup_Lists!$D$336,0)+IF(ISNUMBER(Matching_Engine!$X$93),Matching_Engine!$X$93*Lookup_Lists!$D$124,0))/(IF(ISNUMBER(Matching_Engine!$U$93),Lookup_Lists!$D$335,0)+IF(ISNUMBER(Matching_Engine!$V$93),Lookup_Lists!$D$122,0)+IF(ISNUMBER(Matching_Engine!$W$93),Lookup_Lists!$D$336,0)+IF(ISNUMBER(Matching_Engine!$X$93),Lookup_Lists!$D$124,0)),0))</f>
        <v>30</v>
      </c>
      <c r="Z93" s="42">
        <f>IF(ISNUMBER(Matching_Engine!$Y$93),1,0)</f>
        <v>1</v>
      </c>
      <c r="AA93" s="65" t="e">
        <f>IF(NOT(AND(ISTEXT('[1]#REF'!$Q$21),'[1]#REF'!$Q$21&lt;&gt;"N/A")),"N/A",Lookup_Lists!$D$150)</f>
        <v>#REF!</v>
      </c>
      <c r="AB93" s="65" t="e">
        <f>IF(NOT(AND(ISTEXT('[1]#REF'!$Q$21),'[1]#REF'!$Q$21&lt;&gt;"N/A")),"N/A",Lookup_Lists!$D$150)</f>
        <v>#REF!</v>
      </c>
      <c r="AC93" s="65" t="str">
        <f t="shared" si="1"/>
        <v>N/A</v>
      </c>
      <c r="AD93" s="65" t="e">
        <f>IF(NOT(AND(ISTEXT('[1]#REF'!$Q$21),'[1]#REF'!$Q$21&lt;&gt;"N/A")),"N/A",Lookup_Lists!$D$150)</f>
        <v>#REF!</v>
      </c>
      <c r="AE93" s="63">
        <f>IF((IF(ISNUMBER(Matching_Engine!$AA$93),Lookup_Lists!$D$125,0)+IF(ISNUMBER(Matching_Engine!$AB$93),Lookup_Lists!$D$126,0)+IF(ISNUMBER(Matching_Engine!$AC$93),Lookup_Lists!$D$127,0)+IF(ISNUMBER(Matching_Engine!$AD$93),Lookup_Lists!$D$128,0))=0,"N/A",ROUND((IF(ISNUMBER(Matching_Engine!$AA$93),Matching_Engine!$AA$93*Lookup_Lists!$D$125,0)+IF(ISNUMBER(Matching_Engine!$AB$93),Matching_Engine!$AB$93*Lookup_Lists!$D$126,0)+IF(ISNUMBER(Matching_Engine!$AC$93),Matching_Engine!$AC$93*Lookup_Lists!$D$127,0)+IF(ISNUMBER(Matching_Engine!$AD$93),Matching_Engine!$AD$93*Lookup_Lists!$D$128,0))/(IF(ISNUMBER(Matching_Engine!$AA$93),Lookup_Lists!$D$125,0)+IF(ISNUMBER(Matching_Engine!$AB$93),Lookup_Lists!$D$126,0)+IF(ISNUMBER(Matching_Engine!$AC$93),Lookup_Lists!$D$127,0)+IF(ISNUMBER(Matching_Engine!$AD$93),Lookup_Lists!$D$128,0)),0))</f>
        <v>69</v>
      </c>
      <c r="AF93" s="42">
        <f>IF(ISNUMBER(Matching_Engine!$AE$93),1,0)</f>
        <v>1</v>
      </c>
      <c r="AG93" s="65" t="str">
        <f>IF(NOT(ISNUMBER('[1]#REF'!$BG$21)),"N/A",MIN(100,ROUND('[1]#REF'!$BG$21/IFERROR(INDEX(Lookup_Lists!$B$340:$B$344,MATCH('[1]#REF'!$H$21,Lookup_Lists!$A$340:$A$344,0)),Lookup_Lists!$D$141)*100,0)))</f>
        <v>N/A</v>
      </c>
      <c r="AH93" s="65" t="str">
        <f>IF(NOT(ISNUMBER('[1]#REF'!$BS$21)),"N/A",MIN(100,MAX(0,'[1]#REF'!$BS$21)))</f>
        <v>N/A</v>
      </c>
      <c r="AI93" s="65" t="e">
        <f>IF(OR(NOT(ISNUMBER('[1]#REF'!$BM$21)),NOT(ISNUMBER('[1]#REF'!$BN$21)),'[1]#REF'!$BN$21&lt;Lookup_Lists!$D$320),"N/A",MIN(100,ROUND('[1]#REF'!$BM$21/Lookup_Lists!$D$319*100,0)))</f>
        <v>#REF!</v>
      </c>
      <c r="AJ93" s="65" t="str">
        <f>IF(NOT(ISNUMBER('[1]#REF'!$BR$21)),"N/A",'[1]#REF'!$BR$21)</f>
        <v>N/A</v>
      </c>
      <c r="AK93" s="65" t="str">
        <f>IF(NOT(ISNUMBER('[1]#REF'!$BK$21)),"N/A",MIN(100,ROUND('[1]#REF'!$BK$21/Lookup_Lists!$D$321*100,0)))</f>
        <v>N/A</v>
      </c>
      <c r="AL93" s="65" t="str">
        <f>IF(NOT(ISNUMBER('[1]#REF'!$BP$21)),"N/A",MIN(100,MAX(0,ROUND(('[1]#REF'!$BP$21+2)/(Lookup_Lists!$D$145+2)*100,0))))</f>
        <v>N/A</v>
      </c>
      <c r="AM93" s="63">
        <f>IF((IF(ISNUMBER(Matching_Engine!$AG$93),Lookup_Lists!$D$129,0)+IF(ISNUMBER(Matching_Engine!$AH$93),Lookup_Lists!$D$130,0)+IF(ISNUMBER(Matching_Engine!$AI$93),Lookup_Lists!$D$131,0)+IF(ISNUMBER(Matching_Engine!$AJ$93),Lookup_Lists!$D$132,0)+IF(ISNUMBER(Matching_Engine!$AK$93),Lookup_Lists!$D$133,0)+IF(ISNUMBER(Matching_Engine!$AL$93),Lookup_Lists!$D$134,0))=0,"N/A",ROUND((IF(ISNUMBER(Matching_Engine!$AG$93),Matching_Engine!$AG$93*Lookup_Lists!$D$129,0)+IF(ISNUMBER(Matching_Engine!$AH$93),Matching_Engine!$AH$93*Lookup_Lists!$D$130,0)+IF(ISNUMBER(Matching_Engine!$AI$93),Matching_Engine!$AI$93*Lookup_Lists!$D$131,0)+IF(ISNUMBER(Matching_Engine!$AJ$93),Matching_Engine!$AJ$93*Lookup_Lists!$D$132,0)+IF(ISNUMBER(Matching_Engine!$AK$93),Matching_Engine!$AK$93*Lookup_Lists!$D$133,0)+IF(ISNUMBER(Matching_Engine!$AL$93),Matching_Engine!$AL$93*Lookup_Lists!$D$134,0))/(IF(ISNUMBER(Matching_Engine!$AG$93),Lookup_Lists!$D$129,0)+IF(ISNUMBER(Matching_Engine!$AH$93),Lookup_Lists!$D$130,0)+IF(ISNUMBER(Matching_Engine!$AI$93),Lookup_Lists!$D$131,0)+IF(ISNUMBER(Matching_Engine!$AJ$93),Lookup_Lists!$D$132,0)+IF(ISNUMBER(Matching_Engine!$AK$93),Lookup_Lists!$D$133,0)+IF(ISNUMBER(Matching_Engine!$AL$93),Lookup_Lists!$D$134,0)),0))</f>
        <v>78</v>
      </c>
      <c r="AN93" s="42">
        <f>IF(ISNUMBER(Matching_Engine!$AM$93),1,0)</f>
        <v>0</v>
      </c>
      <c r="AO93" s="65" t="str">
        <f>IF(NOT(ISNUMBER('[1]#REF'!$BT$21)),"N/A",MIN(100,MAX(0,'[1]#REF'!$BT$21)))</f>
        <v>N/A</v>
      </c>
      <c r="AP93" s="65" t="str">
        <f>IF(NOT(ISNUMBER('[1]#REF'!$BU$21)),"N/A",MIN(100,MAX(0,'[1]#REF'!$BU$21)))</f>
        <v>N/A</v>
      </c>
      <c r="AQ93" s="65" t="e">
        <f>IF('[1]#REF'!$I$21="Yes",Lookup_Lists!$D$326,IF('[1]#REF'!$I$21="No",Lookup_Lists!$D$327,"N/A"))</f>
        <v>#REF!</v>
      </c>
      <c r="AR93" s="65" t="str">
        <f>IF(NOT(ISNUMBER('[1]#REF'!$BQ$21)),"N/A",MAX(0,ROUND(100-'[1]#REF'!$BQ$21/Lookup_Lists!$D$328*100,0)))</f>
        <v>N/A</v>
      </c>
      <c r="AS93" s="65" t="e">
        <f>IF(NOT(AND(ISTEXT('[1]#REF'!$BV$21),'[1]#REF'!$BV$21&lt;&gt;"N/A")),"N/A",'[1]#REF'!$BV$21)</f>
        <v>#REF!</v>
      </c>
      <c r="AT93" s="63" t="str">
        <f ca="1">IF((IF(ISNUMBER(Matching_Engine!$AO$93),Lookup_Lists!$D$322,0)+IF(ISNUMBER(Matching_Engine!$AP$93),Lookup_Lists!$D$323,0)+IF(ISNUMBER(Matching_Engine!$AQ$93),Lookup_Lists!$D$324,0)+IF(ISNUMBER(Matching_Engine!$AR$93),Lookup_Lists!$D$325,0))=0,"N/A",ROUND((IF(ISNUMBER(Matching_Engine!$AO$93),Matching_Engine!$AO$93*Lookup_Lists!$D$322,0)+IF(ISNUMBER(Matching_Engine!$AP$93),Matching_Engine!$AP$93*Lookup_Lists!$D$323,0)+IF(ISNUMBER(Matching_Engine!$AQ$93),Matching_Engine!$AQ$93*Lookup_Lists!$D$324,0)+IF(ISNUMBER(Matching_Engine!$AR$93),Matching_Engine!$AR$93*Lookup_Lists!$D$325,0))/(IF(ISNUMBER(Matching_Engine!$AO$93),Lookup_Lists!$D$322,0)+IF(ISNUMBER(Matching_Engine!$AP$93),Lookup_Lists!$D$323,0)+IF(ISNUMBER(Matching_Engine!$AQ$93),Lookup_Lists!$D$324,0)+IF(ISNUMBER(Matching_Engine!$AR$93),Lookup_Lists!$D$325,0)),0))</f>
        <v>N/A</v>
      </c>
      <c r="AU93" s="42">
        <f>IF(ISNUMBER(Matching_Engine!$AT$93),1,0)</f>
        <v>1</v>
      </c>
      <c r="AV93" s="42" t="str">
        <f>IF(NOT(ISNUMBER(Matching_Engine!$AT$93)),"Not Screened",IF(Matching_Engine!$AT$93&gt;=Lookup_Lists!$D$329,"Low Risk",IF(Matching_Engine!$AT$93&gt;=Lookup_Lists!$D$330,"Moderate Risk",IF(Matching_Engine!$AT$93&gt;=Lookup_Lists!$D$331,"Elevated Risk","High Risk"))))</f>
        <v>Low Risk</v>
      </c>
      <c r="AW93" s="42" t="e">
        <f ca="1">IF(NOT(ISNUMBER(Matching_Engine!$AT$93)),"No integrity signal: no audience-analysis row for this account.","Integrity screen only — no content-risk reading exists (comments_analysis: 0 rows). "&amp;IF(ISNUMBER(Matching_Engine!$AO$93),"Authenticity "&amp;Matching_Engine!$AO$93&amp;". ","Authenticity N/A. ")&amp;IF(ISNUMBER(Matching_Engine!$AP$93),"Follower quality "&amp;Matching_Engine!$AP$93&amp;". ","Follower quality N/A. ")&amp;IF('[1]#REF'!$I$21="Yes","Platform-verified.","Not platform-verified."))</f>
        <v>#REF!</v>
      </c>
      <c r="AX93" s="65">
        <f>Matching_Engine!$N$93*Lookup_Lists!$D$104+Matching_Engine!$T$93*Lookup_Lists!$D$105+Matching_Engine!$Z$93*Lookup_Lists!$D$106+Matching_Engine!$AF$93*Lookup_Lists!$D$107+Matching_Engine!$AN$93*Lookup_Lists!$D$108+Matching_Engine!$AU$93*Lookup_Lists!$D$109</f>
        <v>5690</v>
      </c>
      <c r="AY93" s="74" t="e">
        <f ca="1">IF(Matching_Engine!$AX$93=0,"N/A",ROUND((IF(Matching_Engine!$N$93=1,Matching_Engine!$M$93*Lookup_Lists!$D$104,0)+IF(Matching_Engine!$T$93=1,Matching_Engine!$S$93*Lookup_Lists!$D$105,0)+IF(Matching_Engine!$Z$93=1,Matching_Engine!$Y$93*Lookup_Lists!$D$106,0)+IF(Matching_Engine!$AF$93=1,Matching_Engine!$AE$93*Lookup_Lists!$D$107,0)+IF(Matching_Engine!$AN$93=1,Matching_Engine!$AM$93*Lookup_Lists!$D$108,0)+IF(Matching_Engine!$AU$93=1,Matching_Engine!$AT$93*Lookup_Lists!$D$109,0))/Matching_Engine!$AX$93,0))</f>
        <v>#VALUE!</v>
      </c>
      <c r="AZ93" s="42" t="str">
        <f ca="1">IF(NOT(ISNUMBER(Matching_Engine!$AY$93)),"Not Scored",IF(Matching_Engine!$AY$93&gt;=Lookup_Lists!$D$152,"Excellent Match",IF(Matching_Engine!$AY$93&gt;=Lookup_Lists!$D$153,"Strong Match",IF(Matching_Engine!$AY$93&gt;=Lookup_Lists!$D$154,"Good Match",IF(Matching_Engine!$AY$93&gt;=Lookup_Lists!$D$155,"Moderate Match","Low Match")))))</f>
        <v>Not Scored</v>
      </c>
      <c r="BA93" s="65" t="e">
        <f>'[1]#REF'!$BW$21</f>
        <v>#REF!</v>
      </c>
      <c r="BB93" s="42" t="e">
        <f>'[1]#REF'!$BX$21</f>
        <v>#REF!</v>
      </c>
      <c r="BC93" s="65">
        <f ca="1">IF(NOT(ISNUMBER(Matching_Engine!$AY$93)),-1,Matching_Engine!$AY$93*1000+9)</f>
        <v>-1</v>
      </c>
      <c r="BD93" s="42" t="e">
        <f>IF(AND(ISTEXT('[1]#REF'!$S$21),'[1]#REF'!$S$21&lt;&gt;"N/A"),'[1]#REF'!$S$21,"")&amp;" | "&amp;IF(AND(ISTEXT('[1]#REF'!$T$21),'[1]#REF'!$T$21&lt;&gt;"N/A"),'[1]#REF'!$T$21,"")&amp;" | "&amp;IF(AND(ISTEXT('[1]#REF'!$N$21),'[1]#REF'!$N$21&lt;&gt;"N/A"),'[1]#REF'!$N$21,"")&amp;" | "&amp;IF(AND(ISTEXT('[1]#REF'!$K$21),'[1]#REF'!$K$21&lt;&gt;"N/A"),'[1]#REF'!$K$21,"")&amp;" | "&amp;IF(AND(ISTEXT('[1]#REF'!$J$21),'[1]#REF'!$J$21&lt;&gt;"N/A"),'[1]#REF'!$J$21,"")</f>
        <v>#REF!</v>
      </c>
      <c r="BE93" s="42" t="e">
        <f>IF(AND(ISTEXT('[1]#REF'!$T$21),'[1]#REF'!$T$21&lt;&gt;"N/A"),'[1]#REF'!$T$21,"")&amp;" | "&amp;IF(AND(ISTEXT('[1]#REF'!$N$21),'[1]#REF'!$N$21&lt;&gt;"N/A"),'[1]#REF'!$N$21,"")&amp;" | "&amp;IF(AND(ISTEXT('[1]#REF'!$O$21),'[1]#REF'!$O$21&lt;&gt;"N/A"),'[1]#REF'!$O$21,"")&amp;" | "&amp;IF(AND(ISTEXT('[1]#REF'!$S$21),'[1]#REF'!$S$21&lt;&gt;"N/A"),'[1]#REF'!$S$21,"")</f>
        <v>#REF!</v>
      </c>
      <c r="BF93" s="42" t="e">
        <f>IF(AND(ISTEXT('[1]#REF'!$U$21),'[1]#REF'!$U$21&lt;&gt;"N/A"),'[1]#REF'!$U$21,"")</f>
        <v>#REF!</v>
      </c>
      <c r="BG93" s="42" t="str">
        <f>Matching_Engine!$A$93&amp;"|"&amp;Matching_Engine!$C$93</f>
        <v>BRAND-C|KOL-28</v>
      </c>
    </row>
    <row r="94" spans="1:59">
      <c r="A94" s="64" t="s">
        <v>2530</v>
      </c>
      <c r="B94" s="42" t="str">
        <f>Brand_Profile!$H$6</f>
        <v>Input type / allowed values</v>
      </c>
      <c r="C94" s="42" t="e">
        <f>'[1]#REF'!$A$22</f>
        <v>#REF!</v>
      </c>
      <c r="D94" s="42" t="e">
        <f>'[1]#REF'!$C$22</f>
        <v>#REF!</v>
      </c>
      <c r="E94" s="42" t="e">
        <f>'[1]#REF'!$D$22</f>
        <v>#REF!</v>
      </c>
      <c r="F94" s="42" t="e">
        <f>'[1]#REF'!$E$22</f>
        <v>#REF!</v>
      </c>
      <c r="G94" s="42" t="e">
        <f>'[1]#REF'!$K$22</f>
        <v>#REF!</v>
      </c>
      <c r="H94" s="72" t="e">
        <f>'[1]#REF'!$G$22</f>
        <v>#REF!</v>
      </c>
      <c r="I94" s="73" t="e">
        <f>'[1]#REF'!$BG$22</f>
        <v>#REF!</v>
      </c>
      <c r="J94" s="65" t="e">
        <f>IF(NOT(AND(ISTEXT('[1]#REF'!$K$22),'[1]#REF'!$K$22&lt;&gt;"N/A")),Lookup_Lists!$D$150,IF(Brand_Profile!$H$7='[1]#REF'!$K$22,100,IFERROR(INDEX(Lookup_Lists!$B$349:$J$357,MATCH(Brand_Profile!$H$7,Lookup_Lists!$A$349:$A$357,0),MATCH('[1]#REF'!$K$22,Lookup_Lists!$B$348:$J$348,0)),Lookup_Lists!$D$151)))</f>
        <v>#REF!</v>
      </c>
      <c r="K94" s="65" t="e">
        <f>IF(LEN(TRIM(SUBSTITUTE(Matching_Engine!$BD$94,"|","")))=0,"N/A",IF(Brand_Profile!$H$47=0,Lookup_Lists!$D$150,ROUND((IF(Brand_Profile!$H$41="",0,IF(ISNUMBER(SEARCH(Brand_Profile!$H$41,Matching_Engine!$BD$94)),1,0))+IF(Brand_Profile!$H$42="",0,IF(ISNUMBER(SEARCH(Brand_Profile!$H$42,Matching_Engine!$BD$94)),1,0))+IF(Brand_Profile!$H$43="",0,IF(ISNUMBER(SEARCH(Brand_Profile!$H$43,Matching_Engine!$BD$94)),1,0))+IF(Brand_Profile!$H$44="",0,IF(ISNUMBER(SEARCH(Brand_Profile!$H$44,Matching_Engine!$BD$94)),1,0))+IF(Brand_Profile!$H$45="",0,IF(ISNUMBER(SEARCH(Brand_Profile!$H$45,Matching_Engine!$BD$94)),1,0))+IF(Brand_Profile!$H$46="",0,IF(ISNUMBER(SEARCH(Brand_Profile!$H$46,Matching_Engine!$BD$94)),1,0)))/Brand_Profile!$H$47*100,0)))</f>
        <v>#VALUE!</v>
      </c>
      <c r="L94" s="65" t="e">
        <f>IF(NOT(AND(ISTEXT('[1]#REF'!$U$22),'[1]#REF'!$U$22&lt;&gt;"N/A")),"N/A",IF(Brand_Profile!$H$53=0,Lookup_Lists!$D$150,ROUND((IF(Brand_Profile!$H$48="",0,IF(ISNUMBER(SEARCH(Brand_Profile!$H$48,Matching_Engine!$BF$94)),1,0))+IF(Brand_Profile!$H$49="",0,IF(ISNUMBER(SEARCH(Brand_Profile!$H$49,Matching_Engine!$BF$94)),1,0))+IF(Brand_Profile!$H$50="",0,IF(ISNUMBER(SEARCH(Brand_Profile!$H$50,Matching_Engine!$BF$94)),1,0))+IF(Brand_Profile!$H$51="",0,IF(ISNUMBER(SEARCH(Brand_Profile!$H$51,Matching_Engine!$BF$94)),1,0))+IF(Brand_Profile!$H$52="",0,IF(ISNUMBER(SEARCH(Brand_Profile!$H$52,Matching_Engine!$BF$94)),1,0)))/Brand_Profile!$H$53*100,0)))</f>
        <v>#REF!</v>
      </c>
      <c r="M94" s="63" t="str">
        <f>IF((IF(ISNUMBER(Matching_Engine!$J$94),Lookup_Lists!$D$332,0)+IF(ISNUMBER(Matching_Engine!$K$94),Lookup_Lists!$D$333,0)+IF(ISNUMBER(Matching_Engine!$L$94),Lookup_Lists!$D$334,0))=0,"N/A",ROUND((IF(ISNUMBER(Matching_Engine!$J$94),Matching_Engine!$J$94*Lookup_Lists!$D$332,0)+IF(ISNUMBER(Matching_Engine!$K$94),Matching_Engine!$K$94*Lookup_Lists!$D$333,0)+IF(ISNUMBER(Matching_Engine!$L$94),Matching_Engine!$L$94*Lookup_Lists!$D$334,0))/(IF(ISNUMBER(Matching_Engine!$J$94),Lookup_Lists!$D$332,0)+IF(ISNUMBER(Matching_Engine!$K$94),Lookup_Lists!$D$333,0)+IF(ISNUMBER(Matching_Engine!$L$94),Lookup_Lists!$D$334,0)),0))</f>
        <v>N/A</v>
      </c>
      <c r="N94" s="42">
        <f>IF(ISNUMBER(Matching_Engine!$M$94),1,0)</f>
        <v>1</v>
      </c>
      <c r="O94" s="65" t="str">
        <f ca="1">IF(NOT(ISNUMBER(IFERROR(INDEX('[1]#REF'!$V$22:'[1]#REF'!$Z$22,1,MATCH(Brand_Profile!$H$11,Lookup_Lists!$F$6:$F$10,0)),""))),"N/A",MIN(100,ROUND((IFERROR(INDEX('[1]#REF'!$V$22:'[1]#REF'!$Z$22,1,MATCH(Brand_Profile!$H$11,Lookup_Lists!$F$6:$F$10,0)),"")+0.5*IF(ISNUMBER(IFERROR(INDEX('[1]#REF'!$V$22:'[1]#REF'!$Z$22,1,MATCH(Brand_Profile!$H$12,Lookup_Lists!$F$6:$F$10,0)),"")),IFERROR(INDEX('[1]#REF'!$V$22:'[1]#REF'!$Z$22,1,MATCH(Brand_Profile!$H$12,Lookup_Lists!$F$6:$F$10,0)),""),0))/Lookup_Lists!$D$142*100,0)))</f>
        <v>N/A</v>
      </c>
      <c r="P94" s="65" t="str">
        <f>IF(Brand_Profile!$H$13="Any",100,IF(NOT(ISNUMBER('[1]#REF'!$AA$22)),"N/A",IF(Brand_Profile!$H$13="Female",MIN(100,ROUND('[1]#REF'!$AA$22/Lookup_Lists!$D$143*100,0)),IF(Brand_Profile!$H$13="Male",MIN(100,ROUND(IF(ISNUMBER('[1]#REF'!$AB$22),'[1]#REF'!$AB$22,100-'[1]#REF'!$AA$22)/Lookup_Lists!$D$143*100,0)),MAX(0,ROUND(100-ABS('[1]#REF'!$AA$22-50)*2,0))))))</f>
        <v>N/A</v>
      </c>
      <c r="Q94" s="65" t="str">
        <f>IF((IF(ISNUMBER(IF(NOT(ISNUMBER('[1]#REF'!$AE$22)),"N/A",IF('[1]#REF'!$AD$22&lt;&gt;Brand_Profile!$H$14,Lookup_Lists!$D$151,MIN(100,ROUND('[1]#REF'!$AE$22/Lookup_Lists!$D$316*100,0))))),Lookup_Lists!$D$118,0)+IF(ISNUMBER(IF(NOT(ISNUMBER('[1]#REF'!$AM$22)),"N/A",MIN(100,ROUND((IF('[1]#REF'!$AG$22=Brand_Profile!$H$15,IF(ISNUMBER('[1]#REF'!$AH$22),'[1]#REF'!$AH$22,0),0)+IF('[1]#REF'!$AI$22=Brand_Profile!$H$15,IF(ISNUMBER('[1]#REF'!$AJ$22),'[1]#REF'!$AJ$22,0),0)+IF('[1]#REF'!$AK$22=Brand_Profile!$H$15,IF(ISNUMBER('[1]#REF'!$AL$22),'[1]#REF'!$AL$22,0),0))/Lookup_Lists!$D$317*100,0)))),Lookup_Lists!$D$120,0))=0,"N/A",ROUND((IF(ISNUMBER(IF(NOT(ISNUMBER('[1]#REF'!$AE$22)),"N/A",IF('[1]#REF'!$AD$22&lt;&gt;Brand_Profile!$H$14,Lookup_Lists!$D$151,MIN(100,ROUND('[1]#REF'!$AE$22/Lookup_Lists!$D$316*100,0))))),IF(NOT(ISNUMBER('[1]#REF'!$AE$22)),"N/A",IF('[1]#REF'!$AD$22&lt;&gt;Brand_Profile!$H$14,Lookup_Lists!$D$151,MIN(100,ROUND('[1]#REF'!$AE$22/Lookup_Lists!$D$316*100,0))))*Lookup_Lists!$D$118,0)+IF(ISNUMBER(IF(NOT(ISNUMBER('[1]#REF'!$AM$22)),"N/A",MIN(100,ROUND((IF('[1]#REF'!$AG$22=Brand_Profile!$H$15,IF(ISNUMBER('[1]#REF'!$AH$22),'[1]#REF'!$AH$22,0),0)+IF('[1]#REF'!$AI$22=Brand_Profile!$H$15,IF(ISNUMBER('[1]#REF'!$AJ$22),'[1]#REF'!$AJ$22,0),0)+IF('[1]#REF'!$AK$22=Brand_Profile!$H$15,IF(ISNUMBER('[1]#REF'!$AL$22),'[1]#REF'!$AL$22,0),0))/Lookup_Lists!$D$317*100,0)))),IF(NOT(ISNUMBER('[1]#REF'!$AM$22)),"N/A",MIN(100,ROUND((IF('[1]#REF'!$AG$22=Brand_Profile!$H$15,IF(ISNUMBER('[1]#REF'!$AH$22),'[1]#REF'!$AH$22,0),0)+IF('[1]#REF'!$AI$22=Brand_Profile!$H$15,IF(ISNUMBER('[1]#REF'!$AJ$22),'[1]#REF'!$AJ$22,0),0)+IF('[1]#REF'!$AK$22=Brand_Profile!$H$15,IF(ISNUMBER('[1]#REF'!$AL$22),'[1]#REF'!$AL$22,0),0))/Lookup_Lists!$D$317*100,0)))*Lookup_Lists!$D$120,0))/(IF(ISNUMBER(IF(NOT(ISNUMBER('[1]#REF'!$AE$22)),"N/A",IF('[1]#REF'!$AD$22&lt;&gt;Brand_Profile!$H$14,Lookup_Lists!$D$151,MIN(100,ROUND('[1]#REF'!$AE$22/Lookup_Lists!$D$316*100,0))))),Lookup_Lists!$D$118,0)+IF(ISNUMBER(IF(NOT(ISNUMBER('[1]#REF'!$AM$22)),"N/A",MIN(100,ROUND((IF('[1]#REF'!$AG$22=Brand_Profile!$H$15,IF(ISNUMBER('[1]#REF'!$AH$22),'[1]#REF'!$AH$22,0),0)+IF('[1]#REF'!$AI$22=Brand_Profile!$H$15,IF(ISNUMBER('[1]#REF'!$AJ$22),'[1]#REF'!$AJ$22,0),0)+IF('[1]#REF'!$AK$22=Brand_Profile!$H$15,IF(ISNUMBER('[1]#REF'!$AL$22),'[1]#REF'!$AL$22,0),0))/Lookup_Lists!$D$317*100,0)))),Lookup_Lists!$D$120,0)),0))</f>
        <v>N/A</v>
      </c>
      <c r="R94" s="65" t="str">
        <f>IF(NOT(ISNUMBER('[1]#REF'!$AN$22)),"N/A",MIN(100,ROUND((IF(ISNUMBER('[1]#REF'!$AO$22),'[1]#REF'!$AO$22*Brand_Profile!$H$17,0)+IF(ISNUMBER('[1]#REF'!$AP$22),'[1]#REF'!$AP$22*Brand_Profile!$H$18,0)+IF(ISNUMBER('[1]#REF'!$AQ$22),'[1]#REF'!$AQ$22*Brand_Profile!$H$19,0)+IF(ISNUMBER('[1]#REF'!$AR$22),'[1]#REF'!$AR$22*Brand_Profile!$H$20,0)+IF(ISNUMBER('[1]#REF'!$AS$22),'[1]#REF'!$AS$22*Brand_Profile!$H$21,0)+IF(ISNUMBER('[1]#REF'!$AT$22),'[1]#REF'!$AT$22*Brand_Profile!$H$22,0)+IF(ISNUMBER('[1]#REF'!$AU$22),'[1]#REF'!$AU$22*Brand_Profile!$H$23,0)+IF(ISNUMBER('[1]#REF'!$AV$22),'[1]#REF'!$AV$22*Brand_Profile!$H$24,0)+IF(ISNUMBER('[1]#REF'!$AW$22),'[1]#REF'!$AW$22*Brand_Profile!$H$25,0)+IF(ISNUMBER('[1]#REF'!$AX$22),'[1]#REF'!$AX$22*Brand_Profile!$H$26,0)+IF(ISNUMBER('[1]#REF'!$AY$22),'[1]#REF'!$AY$22*Brand_Profile!$H$27,0)+IF(ISNUMBER('[1]#REF'!$AZ$22),'[1]#REF'!$AZ$22*Brand_Profile!$H$28,0)+IF(ISNUMBER('[1]#REF'!$BA$22),'[1]#REF'!$BA$22*Brand_Profile!$H$29,0)+IF(ISNUMBER('[1]#REF'!$BB$22),'[1]#REF'!$BB$22*Brand_Profile!$H$30,0)+IF(ISNUMBER('[1]#REF'!$BC$22),'[1]#REF'!$BC$22*Brand_Profile!$H$31,0)+IF(ISNUMBER('[1]#REF'!$BD$22),'[1]#REF'!$BD$22*Brand_Profile!$H$32,0)+IF(ISNUMBER('[1]#REF'!$BE$22),'[1]#REF'!$BE$22*Brand_Profile!$H$33,0)+IF(ISNUMBER('[1]#REF'!$BF$22),'[1]#REF'!$BF$22*Brand_Profile!$H$34,0))/Lookup_Lists!$D$318*100,0)))</f>
        <v>N/A</v>
      </c>
      <c r="S94" s="63">
        <f ca="1">IF((IF(ISNUMBER(Matching_Engine!$O$94),Lookup_Lists!$D$113,0)+IF(ISNUMBER(Matching_Engine!$P$94),Lookup_Lists!$D$114,0)+IF(ISNUMBER(Matching_Engine!$Q$94),Lookup_Lists!$D$115,0)+IF(ISNUMBER(Matching_Engine!$R$94),Lookup_Lists!$D$116,0))=0,"N/A",ROUND((IF(ISNUMBER(Matching_Engine!$O$94),Matching_Engine!$O$94*Lookup_Lists!$D$113,0)+IF(ISNUMBER(Matching_Engine!$P$94),Matching_Engine!$P$94*Lookup_Lists!$D$114,0)+IF(ISNUMBER(Matching_Engine!$Q$94),Matching_Engine!$Q$94*Lookup_Lists!$D$115,0)+IF(ISNUMBER(Matching_Engine!$R$94),Matching_Engine!$R$94*Lookup_Lists!$D$116,0))/(IF(ISNUMBER(Matching_Engine!$O$94),Lookup_Lists!$D$113,0)+IF(ISNUMBER(Matching_Engine!$P$94),Lookup_Lists!$D$114,0)+IF(ISNUMBER(Matching_Engine!$Q$94),Lookup_Lists!$D$115,0)+IF(ISNUMBER(Matching_Engine!$R$94),Lookup_Lists!$D$116,0)),0))</f>
        <v>60</v>
      </c>
      <c r="T94" s="42">
        <f ca="1">IF(ISNUMBER(Matching_Engine!$S$94),1,0)</f>
        <v>1</v>
      </c>
      <c r="U94" s="65" t="e">
        <f>IF(NOT(AND(ISTEXT('[1]#REF'!$M$22),'[1]#REF'!$M$22&lt;&gt;"N/A")),Lookup_Lists!$D$150,IF(Brand_Profile!$H$7='[1]#REF'!$M$22,100,IFERROR(INDEX(Lookup_Lists!$B$349:$J$357,MATCH(Brand_Profile!$H$7,Lookup_Lists!$A$349:$A$357,0),MATCH('[1]#REF'!$M$22,Lookup_Lists!$B$348:$J$348,0)),Lookup_Lists!$D$151)))</f>
        <v>#REF!</v>
      </c>
      <c r="V94" s="65" t="e">
        <f>IF(NOT(AND(ISTEXT('[1]#REF'!$P$22),'[1]#REF'!$P$22&lt;&gt;"N/A")),"N/A",IFERROR(INDEX(Lookup_Lists!$B$349:$J$357,MATCH(Brand_Profile!$H$7,Lookup_Lists!$A$349:$A$357,0),MATCH('[1]#REF'!$P$22,Lookup_Lists!$B$348:$J$348,0)),Lookup_Lists!$D$151))</f>
        <v>#REF!</v>
      </c>
      <c r="W94" s="65" t="e">
        <f>IF(LEN(TRIM(SUBSTITUTE(Matching_Engine!$BE$94,"|","")))=0,"N/A",IF(Brand_Profile!$H$60=0,Lookup_Lists!$D$150,ROUND((IF(Brand_Profile!$H$54="",0,IF(ISNUMBER(SEARCH(Brand_Profile!$H$54,Matching_Engine!$BE$94)),1,0))+IF(Brand_Profile!$H$55="",0,IF(ISNUMBER(SEARCH(Brand_Profile!$H$55,Matching_Engine!$BE$94)),1,0))+IF(Brand_Profile!$H$56="",0,IF(ISNUMBER(SEARCH(Brand_Profile!$H$56,Matching_Engine!$BE$94)),1,0))+IF(Brand_Profile!$H$57="",0,IF(ISNUMBER(SEARCH(Brand_Profile!$H$57,Matching_Engine!$BE$94)),1,0))+IF(Brand_Profile!$H$58="",0,IF(ISNUMBER(SEARCH(Brand_Profile!$H$58,Matching_Engine!$BE$94)),1,0))+IF(Brand_Profile!$H$59="",0,IF(ISNUMBER(SEARCH(Brand_Profile!$H$59,Matching_Engine!$BE$94)),1,0)))/Brand_Profile!$H$60*100,0)))</f>
        <v>#VALUE!</v>
      </c>
      <c r="X94" s="65" t="e">
        <f>IF(NOT(AND(ISTEXT('[1]#REF'!$Q$22),'[1]#REF'!$Q$22&lt;&gt;"N/A")),"N/A",Lookup_Lists!$D$150)</f>
        <v>#REF!</v>
      </c>
      <c r="Y94" s="63">
        <f>IF((IF(ISNUMBER(Matching_Engine!$U$94),Lookup_Lists!$D$335,0)+IF(ISNUMBER(Matching_Engine!$V$94),Lookup_Lists!$D$122,0)+IF(ISNUMBER(Matching_Engine!$W$94),Lookup_Lists!$D$336,0)+IF(ISNUMBER(Matching_Engine!$X$94),Lookup_Lists!$D$124,0))=0,"N/A",ROUND((IF(ISNUMBER(Matching_Engine!$U$94),Matching_Engine!$U$94*Lookup_Lists!$D$335,0)+IF(ISNUMBER(Matching_Engine!$V$94),Matching_Engine!$V$94*Lookup_Lists!$D$122,0)+IF(ISNUMBER(Matching_Engine!$W$94),Matching_Engine!$W$94*Lookup_Lists!$D$336,0)+IF(ISNUMBER(Matching_Engine!$X$94),Matching_Engine!$X$94*Lookup_Lists!$D$124,0))/(IF(ISNUMBER(Matching_Engine!$U$94),Lookup_Lists!$D$335,0)+IF(ISNUMBER(Matching_Engine!$V$94),Lookup_Lists!$D$122,0)+IF(ISNUMBER(Matching_Engine!$W$94),Lookup_Lists!$D$336,0)+IF(ISNUMBER(Matching_Engine!$X$94),Lookup_Lists!$D$124,0)),0))</f>
        <v>17</v>
      </c>
      <c r="Z94" s="42">
        <f>IF(ISNUMBER(Matching_Engine!$Y$94),1,0)</f>
        <v>1</v>
      </c>
      <c r="AA94" s="65" t="e">
        <f>IF(NOT(AND(ISTEXT('[1]#REF'!$Q$22),'[1]#REF'!$Q$22&lt;&gt;"N/A")),"N/A",Lookup_Lists!$D$150)</f>
        <v>#REF!</v>
      </c>
      <c r="AB94" s="65" t="e">
        <f>IF(NOT(AND(ISTEXT('[1]#REF'!$Q$22),'[1]#REF'!$Q$22&lt;&gt;"N/A")),"N/A",Lookup_Lists!$D$150)</f>
        <v>#REF!</v>
      </c>
      <c r="AC94" s="65" t="str">
        <f t="shared" si="1"/>
        <v>N/A</v>
      </c>
      <c r="AD94" s="65" t="e">
        <f>IF(NOT(AND(ISTEXT('[1]#REF'!$Q$22),'[1]#REF'!$Q$22&lt;&gt;"N/A")),"N/A",Lookup_Lists!$D$150)</f>
        <v>#REF!</v>
      </c>
      <c r="AE94" s="63">
        <f>IF((IF(ISNUMBER(Matching_Engine!$AA$94),Lookup_Lists!$D$125,0)+IF(ISNUMBER(Matching_Engine!$AB$94),Lookup_Lists!$D$126,0)+IF(ISNUMBER(Matching_Engine!$AC$94),Lookup_Lists!$D$127,0)+IF(ISNUMBER(Matching_Engine!$AD$94),Lookup_Lists!$D$128,0))=0,"N/A",ROUND((IF(ISNUMBER(Matching_Engine!$AA$94),Matching_Engine!$AA$94*Lookup_Lists!$D$125,0)+IF(ISNUMBER(Matching_Engine!$AB$94),Matching_Engine!$AB$94*Lookup_Lists!$D$126,0)+IF(ISNUMBER(Matching_Engine!$AC$94),Matching_Engine!$AC$94*Lookup_Lists!$D$127,0)+IF(ISNUMBER(Matching_Engine!$AD$94),Matching_Engine!$AD$94*Lookup_Lists!$D$128,0))/(IF(ISNUMBER(Matching_Engine!$AA$94),Lookup_Lists!$D$125,0)+IF(ISNUMBER(Matching_Engine!$AB$94),Lookup_Lists!$D$126,0)+IF(ISNUMBER(Matching_Engine!$AC$94),Lookup_Lists!$D$127,0)+IF(ISNUMBER(Matching_Engine!$AD$94),Lookup_Lists!$D$128,0)),0))</f>
        <v>53</v>
      </c>
      <c r="AF94" s="42">
        <f>IF(ISNUMBER(Matching_Engine!$AE$94),1,0)</f>
        <v>1</v>
      </c>
      <c r="AG94" s="65" t="str">
        <f>IF(NOT(ISNUMBER('[1]#REF'!$BG$22)),"N/A",MIN(100,ROUND('[1]#REF'!$BG$22/IFERROR(INDEX(Lookup_Lists!$B$340:$B$344,MATCH('[1]#REF'!$H$22,Lookup_Lists!$A$340:$A$344,0)),Lookup_Lists!$D$141)*100,0)))</f>
        <v>N/A</v>
      </c>
      <c r="AH94" s="65" t="str">
        <f>IF(NOT(ISNUMBER('[1]#REF'!$BS$22)),"N/A",MIN(100,MAX(0,'[1]#REF'!$BS$22)))</f>
        <v>N/A</v>
      </c>
      <c r="AI94" s="65" t="e">
        <f>IF(OR(NOT(ISNUMBER('[1]#REF'!$BM$22)),NOT(ISNUMBER('[1]#REF'!$BN$22)),'[1]#REF'!$BN$22&lt;Lookup_Lists!$D$320),"N/A",MIN(100,ROUND('[1]#REF'!$BM$22/Lookup_Lists!$D$319*100,0)))</f>
        <v>#REF!</v>
      </c>
      <c r="AJ94" s="65" t="str">
        <f>IF(NOT(ISNUMBER('[1]#REF'!$BR$22)),"N/A",'[1]#REF'!$BR$22)</f>
        <v>N/A</v>
      </c>
      <c r="AK94" s="65" t="str">
        <f>IF(NOT(ISNUMBER('[1]#REF'!$BK$22)),"N/A",MIN(100,ROUND('[1]#REF'!$BK$22/Lookup_Lists!$D$321*100,0)))</f>
        <v>N/A</v>
      </c>
      <c r="AL94" s="65" t="str">
        <f>IF(NOT(ISNUMBER('[1]#REF'!$BP$22)),"N/A",MIN(100,MAX(0,ROUND(('[1]#REF'!$BP$22+2)/(Lookup_Lists!$D$145+2)*100,0))))</f>
        <v>N/A</v>
      </c>
      <c r="AM94" s="63">
        <f>IF((IF(ISNUMBER(Matching_Engine!$AG$94),Lookup_Lists!$D$129,0)+IF(ISNUMBER(Matching_Engine!$AH$94),Lookup_Lists!$D$130,0)+IF(ISNUMBER(Matching_Engine!$AI$94),Lookup_Lists!$D$131,0)+IF(ISNUMBER(Matching_Engine!$AJ$94),Lookup_Lists!$D$132,0)+IF(ISNUMBER(Matching_Engine!$AK$94),Lookup_Lists!$D$133,0)+IF(ISNUMBER(Matching_Engine!$AL$94),Lookup_Lists!$D$134,0))=0,"N/A",ROUND((IF(ISNUMBER(Matching_Engine!$AG$94),Matching_Engine!$AG$94*Lookup_Lists!$D$129,0)+IF(ISNUMBER(Matching_Engine!$AH$94),Matching_Engine!$AH$94*Lookup_Lists!$D$130,0)+IF(ISNUMBER(Matching_Engine!$AI$94),Matching_Engine!$AI$94*Lookup_Lists!$D$131,0)+IF(ISNUMBER(Matching_Engine!$AJ$94),Matching_Engine!$AJ$94*Lookup_Lists!$D$132,0)+IF(ISNUMBER(Matching_Engine!$AK$94),Matching_Engine!$AK$94*Lookup_Lists!$D$133,0)+IF(ISNUMBER(Matching_Engine!$AL$94),Matching_Engine!$AL$94*Lookup_Lists!$D$134,0))/(IF(ISNUMBER(Matching_Engine!$AG$94),Lookup_Lists!$D$129,0)+IF(ISNUMBER(Matching_Engine!$AH$94),Lookup_Lists!$D$130,0)+IF(ISNUMBER(Matching_Engine!$AI$94),Lookup_Lists!$D$131,0)+IF(ISNUMBER(Matching_Engine!$AJ$94),Lookup_Lists!$D$132,0)+IF(ISNUMBER(Matching_Engine!$AK$94),Lookup_Lists!$D$133,0)+IF(ISNUMBER(Matching_Engine!$AL$94),Lookup_Lists!$D$134,0)),0))</f>
        <v>66</v>
      </c>
      <c r="AN94" s="42">
        <f>IF(ISNUMBER(Matching_Engine!$AM$94),1,0)</f>
        <v>0</v>
      </c>
      <c r="AO94" s="65" t="str">
        <f>IF(NOT(ISNUMBER('[1]#REF'!$BT$22)),"N/A",MIN(100,MAX(0,'[1]#REF'!$BT$22)))</f>
        <v>N/A</v>
      </c>
      <c r="AP94" s="65" t="str">
        <f>IF(NOT(ISNUMBER('[1]#REF'!$BU$22)),"N/A",MIN(100,MAX(0,'[1]#REF'!$BU$22)))</f>
        <v>N/A</v>
      </c>
      <c r="AQ94" s="65" t="e">
        <f>IF('[1]#REF'!$I$22="Yes",Lookup_Lists!$D$326,IF('[1]#REF'!$I$22="No",Lookup_Lists!$D$327,"N/A"))</f>
        <v>#REF!</v>
      </c>
      <c r="AR94" s="65" t="str">
        <f>IF(NOT(ISNUMBER('[1]#REF'!$BQ$22)),"N/A",MAX(0,ROUND(100-'[1]#REF'!$BQ$22/Lookup_Lists!$D$328*100,0)))</f>
        <v>N/A</v>
      </c>
      <c r="AS94" s="65" t="e">
        <f>IF(NOT(AND(ISTEXT('[1]#REF'!$BV$22),'[1]#REF'!$BV$22&lt;&gt;"N/A")),"N/A",'[1]#REF'!$BV$22)</f>
        <v>#REF!</v>
      </c>
      <c r="AT94" s="63" t="str">
        <f ca="1">IF((IF(ISNUMBER(Matching_Engine!$AO$94),Lookup_Lists!$D$322,0)+IF(ISNUMBER(Matching_Engine!$AP$94),Lookup_Lists!$D$323,0)+IF(ISNUMBER(Matching_Engine!$AQ$94),Lookup_Lists!$D$324,0)+IF(ISNUMBER(Matching_Engine!$AR$94),Lookup_Lists!$D$325,0))=0,"N/A",ROUND((IF(ISNUMBER(Matching_Engine!$AO$94),Matching_Engine!$AO$94*Lookup_Lists!$D$322,0)+IF(ISNUMBER(Matching_Engine!$AP$94),Matching_Engine!$AP$94*Lookup_Lists!$D$323,0)+IF(ISNUMBER(Matching_Engine!$AQ$94),Matching_Engine!$AQ$94*Lookup_Lists!$D$324,0)+IF(ISNUMBER(Matching_Engine!$AR$94),Matching_Engine!$AR$94*Lookup_Lists!$D$325,0))/(IF(ISNUMBER(Matching_Engine!$AO$94),Lookup_Lists!$D$322,0)+IF(ISNUMBER(Matching_Engine!$AP$94),Lookup_Lists!$D$323,0)+IF(ISNUMBER(Matching_Engine!$AQ$94),Lookup_Lists!$D$324,0)+IF(ISNUMBER(Matching_Engine!$AR$94),Lookup_Lists!$D$325,0)),0))</f>
        <v>N/A</v>
      </c>
      <c r="AU94" s="42">
        <f>IF(ISNUMBER(Matching_Engine!$AT$94),1,0)</f>
        <v>1</v>
      </c>
      <c r="AV94" s="42" t="str">
        <f>IF(NOT(ISNUMBER(Matching_Engine!$AT$94)),"Not Screened",IF(Matching_Engine!$AT$94&gt;=Lookup_Lists!$D$329,"Low Risk",IF(Matching_Engine!$AT$94&gt;=Lookup_Lists!$D$330,"Moderate Risk",IF(Matching_Engine!$AT$94&gt;=Lookup_Lists!$D$331,"Elevated Risk","High Risk"))))</f>
        <v>Low Risk</v>
      </c>
      <c r="AW94" s="42" t="e">
        <f ca="1">IF(NOT(ISNUMBER(Matching_Engine!$AT$94)),"No integrity signal: no audience-analysis row for this account.","Integrity screen only — no content-risk reading exists (comments_analysis: 0 rows). "&amp;IF(ISNUMBER(Matching_Engine!$AO$94),"Authenticity "&amp;Matching_Engine!$AO$94&amp;". ","Authenticity N/A. ")&amp;IF(ISNUMBER(Matching_Engine!$AP$94),"Follower quality "&amp;Matching_Engine!$AP$94&amp;". ","Follower quality N/A. ")&amp;IF('[1]#REF'!$I$22="Yes","Platform-verified.","Not platform-verified."))</f>
        <v>#REF!</v>
      </c>
      <c r="AX94" s="65">
        <f>Matching_Engine!$N$94*Lookup_Lists!$D$104+Matching_Engine!$T$94*Lookup_Lists!$D$105+Matching_Engine!$Z$94*Lookup_Lists!$D$106+Matching_Engine!$AF$94*Lookup_Lists!$D$107+Matching_Engine!$AN$94*Lookup_Lists!$D$108+Matching_Engine!$AU$94*Lookup_Lists!$D$109</f>
        <v>5520</v>
      </c>
      <c r="AY94" s="74" t="e">
        <f ca="1">IF(Matching_Engine!$AX$94=0,"N/A",ROUND((IF(Matching_Engine!$N$94=1,Matching_Engine!$M$94*Lookup_Lists!$D$104,0)+IF(Matching_Engine!$T$94=1,Matching_Engine!$S$94*Lookup_Lists!$D$105,0)+IF(Matching_Engine!$Z$94=1,Matching_Engine!$Y$94*Lookup_Lists!$D$106,0)+IF(Matching_Engine!$AF$94=1,Matching_Engine!$AE$94*Lookup_Lists!$D$107,0)+IF(Matching_Engine!$AN$94=1,Matching_Engine!$AM$94*Lookup_Lists!$D$108,0)+IF(Matching_Engine!$AU$94=1,Matching_Engine!$AT$94*Lookup_Lists!$D$109,0))/Matching_Engine!$AX$94,0))</f>
        <v>#VALUE!</v>
      </c>
      <c r="AZ94" s="42" t="str">
        <f ca="1">IF(NOT(ISNUMBER(Matching_Engine!$AY$94)),"Not Scored",IF(Matching_Engine!$AY$94&gt;=Lookup_Lists!$D$152,"Excellent Match",IF(Matching_Engine!$AY$94&gt;=Lookup_Lists!$D$153,"Strong Match",IF(Matching_Engine!$AY$94&gt;=Lookup_Lists!$D$154,"Good Match",IF(Matching_Engine!$AY$94&gt;=Lookup_Lists!$D$155,"Moderate Match","Low Match")))))</f>
        <v>Low Match</v>
      </c>
      <c r="BA94" s="65" t="e">
        <f>'[1]#REF'!$BW$22</f>
        <v>#REF!</v>
      </c>
      <c r="BB94" s="42" t="e">
        <f>'[1]#REF'!$BX$22</f>
        <v>#REF!</v>
      </c>
      <c r="BC94" s="65">
        <f ca="1">IF(NOT(ISNUMBER(Matching_Engine!$AY$94)),-1,Matching_Engine!$AY$94*1000+8)</f>
        <v>57008</v>
      </c>
      <c r="BD94" s="42" t="e">
        <f>IF(AND(ISTEXT('[1]#REF'!$S$22),'[1]#REF'!$S$22&lt;&gt;"N/A"),'[1]#REF'!$S$22,"")&amp;" | "&amp;IF(AND(ISTEXT('[1]#REF'!$T$22),'[1]#REF'!$T$22&lt;&gt;"N/A"),'[1]#REF'!$T$22,"")&amp;" | "&amp;IF(AND(ISTEXT('[1]#REF'!$N$22),'[1]#REF'!$N$22&lt;&gt;"N/A"),'[1]#REF'!$N$22,"")&amp;" | "&amp;IF(AND(ISTEXT('[1]#REF'!$K$22),'[1]#REF'!$K$22&lt;&gt;"N/A"),'[1]#REF'!$K$22,"")&amp;" | "&amp;IF(AND(ISTEXT('[1]#REF'!$J$22),'[1]#REF'!$J$22&lt;&gt;"N/A"),'[1]#REF'!$J$22,"")</f>
        <v>#REF!</v>
      </c>
      <c r="BE94" s="42" t="e">
        <f>IF(AND(ISTEXT('[1]#REF'!$T$22),'[1]#REF'!$T$22&lt;&gt;"N/A"),'[1]#REF'!$T$22,"")&amp;" | "&amp;IF(AND(ISTEXT('[1]#REF'!$N$22),'[1]#REF'!$N$22&lt;&gt;"N/A"),'[1]#REF'!$N$22,"")&amp;" | "&amp;IF(AND(ISTEXT('[1]#REF'!$O$22),'[1]#REF'!$O$22&lt;&gt;"N/A"),'[1]#REF'!$O$22,"")&amp;" | "&amp;IF(AND(ISTEXT('[1]#REF'!$S$22),'[1]#REF'!$S$22&lt;&gt;"N/A"),'[1]#REF'!$S$22,"")</f>
        <v>#REF!</v>
      </c>
      <c r="BF94" s="42" t="e">
        <f>IF(AND(ISTEXT('[1]#REF'!$U$22),'[1]#REF'!$U$22&lt;&gt;"N/A"),'[1]#REF'!$U$22,"")</f>
        <v>#REF!</v>
      </c>
      <c r="BG94" s="42" t="str">
        <f>Matching_Engine!$A$94&amp;"|"&amp;Matching_Engine!$C$94</f>
        <v>BRAND-C|KOL-29</v>
      </c>
    </row>
    <row r="95" spans="1:59">
      <c r="A95" s="64" t="s">
        <v>2530</v>
      </c>
      <c r="B95" s="42" t="str">
        <f>Brand_Profile!$H$6</f>
        <v>Input type / allowed values</v>
      </c>
      <c r="C95" s="42" t="e">
        <f>'[1]#REF'!$A$23</f>
        <v>#REF!</v>
      </c>
      <c r="D95" s="42" t="e">
        <f>'[1]#REF'!$C$23</f>
        <v>#REF!</v>
      </c>
      <c r="E95" s="42" t="e">
        <f>'[1]#REF'!$D$23</f>
        <v>#REF!</v>
      </c>
      <c r="F95" s="42" t="e">
        <f>'[1]#REF'!$E$23</f>
        <v>#REF!</v>
      </c>
      <c r="G95" s="42" t="e">
        <f>'[1]#REF'!$K$23</f>
        <v>#REF!</v>
      </c>
      <c r="H95" s="72" t="e">
        <f>'[1]#REF'!$G$23</f>
        <v>#REF!</v>
      </c>
      <c r="I95" s="73" t="e">
        <f>'[1]#REF'!$BG$23</f>
        <v>#REF!</v>
      </c>
      <c r="J95" s="65" t="e">
        <f>IF(NOT(AND(ISTEXT('[1]#REF'!$K$23),'[1]#REF'!$K$23&lt;&gt;"N/A")),Lookup_Lists!$D$150,IF(Brand_Profile!$H$7='[1]#REF'!$K$23,100,IFERROR(INDEX(Lookup_Lists!$B$349:$J$357,MATCH(Brand_Profile!$H$7,Lookup_Lists!$A$349:$A$357,0),MATCH('[1]#REF'!$K$23,Lookup_Lists!$B$348:$J$348,0)),Lookup_Lists!$D$151)))</f>
        <v>#REF!</v>
      </c>
      <c r="K95" s="65" t="e">
        <f>IF(LEN(TRIM(SUBSTITUTE(Matching_Engine!$BD$95,"|","")))=0,"N/A",IF(Brand_Profile!$H$47=0,Lookup_Lists!$D$150,ROUND((IF(Brand_Profile!$H$41="",0,IF(ISNUMBER(SEARCH(Brand_Profile!$H$41,Matching_Engine!$BD$95)),1,0))+IF(Brand_Profile!$H$42="",0,IF(ISNUMBER(SEARCH(Brand_Profile!$H$42,Matching_Engine!$BD$95)),1,0))+IF(Brand_Profile!$H$43="",0,IF(ISNUMBER(SEARCH(Brand_Profile!$H$43,Matching_Engine!$BD$95)),1,0))+IF(Brand_Profile!$H$44="",0,IF(ISNUMBER(SEARCH(Brand_Profile!$H$44,Matching_Engine!$BD$95)),1,0))+IF(Brand_Profile!$H$45="",0,IF(ISNUMBER(SEARCH(Brand_Profile!$H$45,Matching_Engine!$BD$95)),1,0))+IF(Brand_Profile!$H$46="",0,IF(ISNUMBER(SEARCH(Brand_Profile!$H$46,Matching_Engine!$BD$95)),1,0)))/Brand_Profile!$H$47*100,0)))</f>
        <v>#VALUE!</v>
      </c>
      <c r="L95" s="65" t="e">
        <f>IF(NOT(AND(ISTEXT('[1]#REF'!$U$23),'[1]#REF'!$U$23&lt;&gt;"N/A")),"N/A",IF(Brand_Profile!$H$53=0,Lookup_Lists!$D$150,ROUND((IF(Brand_Profile!$H$48="",0,IF(ISNUMBER(SEARCH(Brand_Profile!$H$48,Matching_Engine!$BF$95)),1,0))+IF(Brand_Profile!$H$49="",0,IF(ISNUMBER(SEARCH(Brand_Profile!$H$49,Matching_Engine!$BF$95)),1,0))+IF(Brand_Profile!$H$50="",0,IF(ISNUMBER(SEARCH(Brand_Profile!$H$50,Matching_Engine!$BF$95)),1,0))+IF(Brand_Profile!$H$51="",0,IF(ISNUMBER(SEARCH(Brand_Profile!$H$51,Matching_Engine!$BF$95)),1,0))+IF(Brand_Profile!$H$52="",0,IF(ISNUMBER(SEARCH(Brand_Profile!$H$52,Matching_Engine!$BF$95)),1,0)))/Brand_Profile!$H$53*100,0)))</f>
        <v>#REF!</v>
      </c>
      <c r="M95" s="63" t="str">
        <f>IF((IF(ISNUMBER(Matching_Engine!$J$95),Lookup_Lists!$D$332,0)+IF(ISNUMBER(Matching_Engine!$K$95),Lookup_Lists!$D$333,0)+IF(ISNUMBER(Matching_Engine!$L$95),Lookup_Lists!$D$334,0))=0,"N/A",ROUND((IF(ISNUMBER(Matching_Engine!$J$95),Matching_Engine!$J$95*Lookup_Lists!$D$332,0)+IF(ISNUMBER(Matching_Engine!$K$95),Matching_Engine!$K$95*Lookup_Lists!$D$333,0)+IF(ISNUMBER(Matching_Engine!$L$95),Matching_Engine!$L$95*Lookup_Lists!$D$334,0))/(IF(ISNUMBER(Matching_Engine!$J$95),Lookup_Lists!$D$332,0)+IF(ISNUMBER(Matching_Engine!$K$95),Lookup_Lists!$D$333,0)+IF(ISNUMBER(Matching_Engine!$L$95),Lookup_Lists!$D$334,0)),0))</f>
        <v>N/A</v>
      </c>
      <c r="N95" s="42">
        <f>IF(ISNUMBER(Matching_Engine!$M$95),1,0)</f>
        <v>1</v>
      </c>
      <c r="O95" s="65" t="str">
        <f ca="1">IF(NOT(ISNUMBER(IFERROR(INDEX('[1]#REF'!$V$23:'[1]#REF'!$Z$23,1,MATCH(Brand_Profile!$H$11,Lookup_Lists!$F$6:$F$10,0)),""))),"N/A",MIN(100,ROUND((IFERROR(INDEX('[1]#REF'!$V$23:'[1]#REF'!$Z$23,1,MATCH(Brand_Profile!$H$11,Lookup_Lists!$F$6:$F$10,0)),"")+0.5*IF(ISNUMBER(IFERROR(INDEX('[1]#REF'!$V$23:'[1]#REF'!$Z$23,1,MATCH(Brand_Profile!$H$12,Lookup_Lists!$F$6:$F$10,0)),"")),IFERROR(INDEX('[1]#REF'!$V$23:'[1]#REF'!$Z$23,1,MATCH(Brand_Profile!$H$12,Lookup_Lists!$F$6:$F$10,0)),""),0))/Lookup_Lists!$D$142*100,0)))</f>
        <v>N/A</v>
      </c>
      <c r="P95" s="65" t="str">
        <f>IF(Brand_Profile!$H$13="Any",100,IF(NOT(ISNUMBER('[1]#REF'!$AA$23)),"N/A",IF(Brand_Profile!$H$13="Female",MIN(100,ROUND('[1]#REF'!$AA$23/Lookup_Lists!$D$143*100,0)),IF(Brand_Profile!$H$13="Male",MIN(100,ROUND(IF(ISNUMBER('[1]#REF'!$AB$23),'[1]#REF'!$AB$23,100-'[1]#REF'!$AA$23)/Lookup_Lists!$D$143*100,0)),MAX(0,ROUND(100-ABS('[1]#REF'!$AA$23-50)*2,0))))))</f>
        <v>N/A</v>
      </c>
      <c r="Q95" s="65" t="str">
        <f>IF((IF(ISNUMBER(IF(NOT(ISNUMBER('[1]#REF'!$AE$23)),"N/A",IF('[1]#REF'!$AD$23&lt;&gt;Brand_Profile!$H$14,Lookup_Lists!$D$151,MIN(100,ROUND('[1]#REF'!$AE$23/Lookup_Lists!$D$316*100,0))))),Lookup_Lists!$D$118,0)+IF(ISNUMBER(IF(NOT(ISNUMBER('[1]#REF'!$AM$23)),"N/A",MIN(100,ROUND((IF('[1]#REF'!$AG$23=Brand_Profile!$H$15,IF(ISNUMBER('[1]#REF'!$AH$23),'[1]#REF'!$AH$23,0),0)+IF('[1]#REF'!$AI$23=Brand_Profile!$H$15,IF(ISNUMBER('[1]#REF'!$AJ$23),'[1]#REF'!$AJ$23,0),0)+IF('[1]#REF'!$AK$23=Brand_Profile!$H$15,IF(ISNUMBER('[1]#REF'!$AL$23),'[1]#REF'!$AL$23,0),0))/Lookup_Lists!$D$317*100,0)))),Lookup_Lists!$D$120,0))=0,"N/A",ROUND((IF(ISNUMBER(IF(NOT(ISNUMBER('[1]#REF'!$AE$23)),"N/A",IF('[1]#REF'!$AD$23&lt;&gt;Brand_Profile!$H$14,Lookup_Lists!$D$151,MIN(100,ROUND('[1]#REF'!$AE$23/Lookup_Lists!$D$316*100,0))))),IF(NOT(ISNUMBER('[1]#REF'!$AE$23)),"N/A",IF('[1]#REF'!$AD$23&lt;&gt;Brand_Profile!$H$14,Lookup_Lists!$D$151,MIN(100,ROUND('[1]#REF'!$AE$23/Lookup_Lists!$D$316*100,0))))*Lookup_Lists!$D$118,0)+IF(ISNUMBER(IF(NOT(ISNUMBER('[1]#REF'!$AM$23)),"N/A",MIN(100,ROUND((IF('[1]#REF'!$AG$23=Brand_Profile!$H$15,IF(ISNUMBER('[1]#REF'!$AH$23),'[1]#REF'!$AH$23,0),0)+IF('[1]#REF'!$AI$23=Brand_Profile!$H$15,IF(ISNUMBER('[1]#REF'!$AJ$23),'[1]#REF'!$AJ$23,0),0)+IF('[1]#REF'!$AK$23=Brand_Profile!$H$15,IF(ISNUMBER('[1]#REF'!$AL$23),'[1]#REF'!$AL$23,0),0))/Lookup_Lists!$D$317*100,0)))),IF(NOT(ISNUMBER('[1]#REF'!$AM$23)),"N/A",MIN(100,ROUND((IF('[1]#REF'!$AG$23=Brand_Profile!$H$15,IF(ISNUMBER('[1]#REF'!$AH$23),'[1]#REF'!$AH$23,0),0)+IF('[1]#REF'!$AI$23=Brand_Profile!$H$15,IF(ISNUMBER('[1]#REF'!$AJ$23),'[1]#REF'!$AJ$23,0),0)+IF('[1]#REF'!$AK$23=Brand_Profile!$H$15,IF(ISNUMBER('[1]#REF'!$AL$23),'[1]#REF'!$AL$23,0),0))/Lookup_Lists!$D$317*100,0)))*Lookup_Lists!$D$120,0))/(IF(ISNUMBER(IF(NOT(ISNUMBER('[1]#REF'!$AE$23)),"N/A",IF('[1]#REF'!$AD$23&lt;&gt;Brand_Profile!$H$14,Lookup_Lists!$D$151,MIN(100,ROUND('[1]#REF'!$AE$23/Lookup_Lists!$D$316*100,0))))),Lookup_Lists!$D$118,0)+IF(ISNUMBER(IF(NOT(ISNUMBER('[1]#REF'!$AM$23)),"N/A",MIN(100,ROUND((IF('[1]#REF'!$AG$23=Brand_Profile!$H$15,IF(ISNUMBER('[1]#REF'!$AH$23),'[1]#REF'!$AH$23,0),0)+IF('[1]#REF'!$AI$23=Brand_Profile!$H$15,IF(ISNUMBER('[1]#REF'!$AJ$23),'[1]#REF'!$AJ$23,0),0)+IF('[1]#REF'!$AK$23=Brand_Profile!$H$15,IF(ISNUMBER('[1]#REF'!$AL$23),'[1]#REF'!$AL$23,0),0))/Lookup_Lists!$D$317*100,0)))),Lookup_Lists!$D$120,0)),0))</f>
        <v>N/A</v>
      </c>
      <c r="R95" s="65" t="str">
        <f>IF(NOT(ISNUMBER('[1]#REF'!$AN$23)),"N/A",MIN(100,ROUND((IF(ISNUMBER('[1]#REF'!$AO$23),'[1]#REF'!$AO$23*Brand_Profile!$H$17,0)+IF(ISNUMBER('[1]#REF'!$AP$23),'[1]#REF'!$AP$23*Brand_Profile!$H$18,0)+IF(ISNUMBER('[1]#REF'!$AQ$23),'[1]#REF'!$AQ$23*Brand_Profile!$H$19,0)+IF(ISNUMBER('[1]#REF'!$AR$23),'[1]#REF'!$AR$23*Brand_Profile!$H$20,0)+IF(ISNUMBER('[1]#REF'!$AS$23),'[1]#REF'!$AS$23*Brand_Profile!$H$21,0)+IF(ISNUMBER('[1]#REF'!$AT$23),'[1]#REF'!$AT$23*Brand_Profile!$H$22,0)+IF(ISNUMBER('[1]#REF'!$AU$23),'[1]#REF'!$AU$23*Brand_Profile!$H$23,0)+IF(ISNUMBER('[1]#REF'!$AV$23),'[1]#REF'!$AV$23*Brand_Profile!$H$24,0)+IF(ISNUMBER('[1]#REF'!$AW$23),'[1]#REF'!$AW$23*Brand_Profile!$H$25,0)+IF(ISNUMBER('[1]#REF'!$AX$23),'[1]#REF'!$AX$23*Brand_Profile!$H$26,0)+IF(ISNUMBER('[1]#REF'!$AY$23),'[1]#REF'!$AY$23*Brand_Profile!$H$27,0)+IF(ISNUMBER('[1]#REF'!$AZ$23),'[1]#REF'!$AZ$23*Brand_Profile!$H$28,0)+IF(ISNUMBER('[1]#REF'!$BA$23),'[1]#REF'!$BA$23*Brand_Profile!$H$29,0)+IF(ISNUMBER('[1]#REF'!$BB$23),'[1]#REF'!$BB$23*Brand_Profile!$H$30,0)+IF(ISNUMBER('[1]#REF'!$BC$23),'[1]#REF'!$BC$23*Brand_Profile!$H$31,0)+IF(ISNUMBER('[1]#REF'!$BD$23),'[1]#REF'!$BD$23*Brand_Profile!$H$32,0)+IF(ISNUMBER('[1]#REF'!$BE$23),'[1]#REF'!$BE$23*Brand_Profile!$H$33,0)+IF(ISNUMBER('[1]#REF'!$BF$23),'[1]#REF'!$BF$23*Brand_Profile!$H$34,0))/Lookup_Lists!$D$318*100,0)))</f>
        <v>N/A</v>
      </c>
      <c r="S95" s="63">
        <f ca="1">IF((IF(ISNUMBER(Matching_Engine!$O$95),Lookup_Lists!$D$113,0)+IF(ISNUMBER(Matching_Engine!$P$95),Lookup_Lists!$D$114,0)+IF(ISNUMBER(Matching_Engine!$Q$95),Lookup_Lists!$D$115,0)+IF(ISNUMBER(Matching_Engine!$R$95),Lookup_Lists!$D$116,0))=0,"N/A",ROUND((IF(ISNUMBER(Matching_Engine!$O$95),Matching_Engine!$O$95*Lookup_Lists!$D$113,0)+IF(ISNUMBER(Matching_Engine!$P$95),Matching_Engine!$P$95*Lookup_Lists!$D$114,0)+IF(ISNUMBER(Matching_Engine!$Q$95),Matching_Engine!$Q$95*Lookup_Lists!$D$115,0)+IF(ISNUMBER(Matching_Engine!$R$95),Matching_Engine!$R$95*Lookup_Lists!$D$116,0))/(IF(ISNUMBER(Matching_Engine!$O$95),Lookup_Lists!$D$113,0)+IF(ISNUMBER(Matching_Engine!$P$95),Lookup_Lists!$D$114,0)+IF(ISNUMBER(Matching_Engine!$Q$95),Lookup_Lists!$D$115,0)+IF(ISNUMBER(Matching_Engine!$R$95),Lookup_Lists!$D$116,0)),0))</f>
        <v>61</v>
      </c>
      <c r="T95" s="42">
        <f ca="1">IF(ISNUMBER(Matching_Engine!$S$95),1,0)</f>
        <v>1</v>
      </c>
      <c r="U95" s="65" t="e">
        <f>IF(NOT(AND(ISTEXT('[1]#REF'!$M$23),'[1]#REF'!$M$23&lt;&gt;"N/A")),Lookup_Lists!$D$150,IF(Brand_Profile!$H$7='[1]#REF'!$M$23,100,IFERROR(INDEX(Lookup_Lists!$B$349:$J$357,MATCH(Brand_Profile!$H$7,Lookup_Lists!$A$349:$A$357,0),MATCH('[1]#REF'!$M$23,Lookup_Lists!$B$348:$J$348,0)),Lookup_Lists!$D$151)))</f>
        <v>#REF!</v>
      </c>
      <c r="V95" s="65" t="e">
        <f>IF(NOT(AND(ISTEXT('[1]#REF'!$P$23),'[1]#REF'!$P$23&lt;&gt;"N/A")),"N/A",IFERROR(INDEX(Lookup_Lists!$B$349:$J$357,MATCH(Brand_Profile!$H$7,Lookup_Lists!$A$349:$A$357,0),MATCH('[1]#REF'!$P$23,Lookup_Lists!$B$348:$J$348,0)),Lookup_Lists!$D$151))</f>
        <v>#REF!</v>
      </c>
      <c r="W95" s="65" t="e">
        <f>IF(LEN(TRIM(SUBSTITUTE(Matching_Engine!$BE$95,"|","")))=0,"N/A",IF(Brand_Profile!$H$60=0,Lookup_Lists!$D$150,ROUND((IF(Brand_Profile!$H$54="",0,IF(ISNUMBER(SEARCH(Brand_Profile!$H$54,Matching_Engine!$BE$95)),1,0))+IF(Brand_Profile!$H$55="",0,IF(ISNUMBER(SEARCH(Brand_Profile!$H$55,Matching_Engine!$BE$95)),1,0))+IF(Brand_Profile!$H$56="",0,IF(ISNUMBER(SEARCH(Brand_Profile!$H$56,Matching_Engine!$BE$95)),1,0))+IF(Brand_Profile!$H$57="",0,IF(ISNUMBER(SEARCH(Brand_Profile!$H$57,Matching_Engine!$BE$95)),1,0))+IF(Brand_Profile!$H$58="",0,IF(ISNUMBER(SEARCH(Brand_Profile!$H$58,Matching_Engine!$BE$95)),1,0))+IF(Brand_Profile!$H$59="",0,IF(ISNUMBER(SEARCH(Brand_Profile!$H$59,Matching_Engine!$BE$95)),1,0)))/Brand_Profile!$H$60*100,0)))</f>
        <v>#VALUE!</v>
      </c>
      <c r="X95" s="65" t="e">
        <f>IF(NOT(AND(ISTEXT('[1]#REF'!$Q$23),'[1]#REF'!$Q$23&lt;&gt;"N/A")),"N/A",Lookup_Lists!$D$150)</f>
        <v>#REF!</v>
      </c>
      <c r="Y95" s="63">
        <f>IF((IF(ISNUMBER(Matching_Engine!$U$95),Lookup_Lists!$D$335,0)+IF(ISNUMBER(Matching_Engine!$V$95),Lookup_Lists!$D$122,0)+IF(ISNUMBER(Matching_Engine!$W$95),Lookup_Lists!$D$336,0)+IF(ISNUMBER(Matching_Engine!$X$95),Lookup_Lists!$D$124,0))=0,"N/A",ROUND((IF(ISNUMBER(Matching_Engine!$U$95),Matching_Engine!$U$95*Lookup_Lists!$D$335,0)+IF(ISNUMBER(Matching_Engine!$V$95),Matching_Engine!$V$95*Lookup_Lists!$D$122,0)+IF(ISNUMBER(Matching_Engine!$W$95),Matching_Engine!$W$95*Lookup_Lists!$D$336,0)+IF(ISNUMBER(Matching_Engine!$X$95),Matching_Engine!$X$95*Lookup_Lists!$D$124,0))/(IF(ISNUMBER(Matching_Engine!$U$95),Lookup_Lists!$D$335,0)+IF(ISNUMBER(Matching_Engine!$V$95),Lookup_Lists!$D$122,0)+IF(ISNUMBER(Matching_Engine!$W$95),Lookup_Lists!$D$336,0)+IF(ISNUMBER(Matching_Engine!$X$95),Lookup_Lists!$D$124,0)),0))</f>
        <v>10</v>
      </c>
      <c r="Z95" s="42">
        <f>IF(ISNUMBER(Matching_Engine!$Y$95),1,0)</f>
        <v>1</v>
      </c>
      <c r="AA95" s="65" t="e">
        <f>IF(NOT(AND(ISTEXT('[1]#REF'!$Q$23),'[1]#REF'!$Q$23&lt;&gt;"N/A")),"N/A",Lookup_Lists!$D$150)</f>
        <v>#REF!</v>
      </c>
      <c r="AB95" s="65" t="e">
        <f>IF(NOT(AND(ISTEXT('[1]#REF'!$Q$23),'[1]#REF'!$Q$23&lt;&gt;"N/A")),"N/A",Lookup_Lists!$D$150)</f>
        <v>#REF!</v>
      </c>
      <c r="AC95" s="65" t="str">
        <f t="shared" si="1"/>
        <v>N/A</v>
      </c>
      <c r="AD95" s="65" t="e">
        <f>IF(NOT(AND(ISTEXT('[1]#REF'!$Q$23),'[1]#REF'!$Q$23&lt;&gt;"N/A")),"N/A",Lookup_Lists!$D$150)</f>
        <v>#REF!</v>
      </c>
      <c r="AE95" s="63">
        <f>IF((IF(ISNUMBER(Matching_Engine!$AA$95),Lookup_Lists!$D$125,0)+IF(ISNUMBER(Matching_Engine!$AB$95),Lookup_Lists!$D$126,0)+IF(ISNUMBER(Matching_Engine!$AC$95),Lookup_Lists!$D$127,0)+IF(ISNUMBER(Matching_Engine!$AD$95),Lookup_Lists!$D$128,0))=0,"N/A",ROUND((IF(ISNUMBER(Matching_Engine!$AA$95),Matching_Engine!$AA$95*Lookup_Lists!$D$125,0)+IF(ISNUMBER(Matching_Engine!$AB$95),Matching_Engine!$AB$95*Lookup_Lists!$D$126,0)+IF(ISNUMBER(Matching_Engine!$AC$95),Matching_Engine!$AC$95*Lookup_Lists!$D$127,0)+IF(ISNUMBER(Matching_Engine!$AD$95),Matching_Engine!$AD$95*Lookup_Lists!$D$128,0))/(IF(ISNUMBER(Matching_Engine!$AA$95),Lookup_Lists!$D$125,0)+IF(ISNUMBER(Matching_Engine!$AB$95),Lookup_Lists!$D$126,0)+IF(ISNUMBER(Matching_Engine!$AC$95),Lookup_Lists!$D$127,0)+IF(ISNUMBER(Matching_Engine!$AD$95),Lookup_Lists!$D$128,0)),0))</f>
        <v>37</v>
      </c>
      <c r="AF95" s="42">
        <f>IF(ISNUMBER(Matching_Engine!$AE$95),1,0)</f>
        <v>1</v>
      </c>
      <c r="AG95" s="65" t="str">
        <f>IF(NOT(ISNUMBER('[1]#REF'!$BG$23)),"N/A",MIN(100,ROUND('[1]#REF'!$BG$23/IFERROR(INDEX(Lookup_Lists!$B$340:$B$344,MATCH('[1]#REF'!$H$23,Lookup_Lists!$A$340:$A$344,0)),Lookup_Lists!$D$141)*100,0)))</f>
        <v>N/A</v>
      </c>
      <c r="AH95" s="65" t="str">
        <f>IF(NOT(ISNUMBER('[1]#REF'!$BS$23)),"N/A",MIN(100,MAX(0,'[1]#REF'!$BS$23)))</f>
        <v>N/A</v>
      </c>
      <c r="AI95" s="65" t="e">
        <f>IF(OR(NOT(ISNUMBER('[1]#REF'!$BM$23)),NOT(ISNUMBER('[1]#REF'!$BN$23)),'[1]#REF'!$BN$23&lt;Lookup_Lists!$D$320),"N/A",MIN(100,ROUND('[1]#REF'!$BM$23/Lookup_Lists!$D$319*100,0)))</f>
        <v>#REF!</v>
      </c>
      <c r="AJ95" s="65" t="str">
        <f>IF(NOT(ISNUMBER('[1]#REF'!$BR$23)),"N/A",'[1]#REF'!$BR$23)</f>
        <v>N/A</v>
      </c>
      <c r="AK95" s="65" t="str">
        <f>IF(NOT(ISNUMBER('[1]#REF'!$BK$23)),"N/A",MIN(100,ROUND('[1]#REF'!$BK$23/Lookup_Lists!$D$321*100,0)))</f>
        <v>N/A</v>
      </c>
      <c r="AL95" s="65" t="str">
        <f>IF(NOT(ISNUMBER('[1]#REF'!$BP$23)),"N/A",MIN(100,MAX(0,ROUND(('[1]#REF'!$BP$23+2)/(Lookup_Lists!$D$145+2)*100,0))))</f>
        <v>N/A</v>
      </c>
      <c r="AM95" s="63">
        <f>IF((IF(ISNUMBER(Matching_Engine!$AG$95),Lookup_Lists!$D$129,0)+IF(ISNUMBER(Matching_Engine!$AH$95),Lookup_Lists!$D$130,0)+IF(ISNUMBER(Matching_Engine!$AI$95),Lookup_Lists!$D$131,0)+IF(ISNUMBER(Matching_Engine!$AJ$95),Lookup_Lists!$D$132,0)+IF(ISNUMBER(Matching_Engine!$AK$95),Lookup_Lists!$D$133,0)+IF(ISNUMBER(Matching_Engine!$AL$95),Lookup_Lists!$D$134,0))=0,"N/A",ROUND((IF(ISNUMBER(Matching_Engine!$AG$95),Matching_Engine!$AG$95*Lookup_Lists!$D$129,0)+IF(ISNUMBER(Matching_Engine!$AH$95),Matching_Engine!$AH$95*Lookup_Lists!$D$130,0)+IF(ISNUMBER(Matching_Engine!$AI$95),Matching_Engine!$AI$95*Lookup_Lists!$D$131,0)+IF(ISNUMBER(Matching_Engine!$AJ$95),Matching_Engine!$AJ$95*Lookup_Lists!$D$132,0)+IF(ISNUMBER(Matching_Engine!$AK$95),Matching_Engine!$AK$95*Lookup_Lists!$D$133,0)+IF(ISNUMBER(Matching_Engine!$AL$95),Matching_Engine!$AL$95*Lookup_Lists!$D$134,0))/(IF(ISNUMBER(Matching_Engine!$AG$95),Lookup_Lists!$D$129,0)+IF(ISNUMBER(Matching_Engine!$AH$95),Lookup_Lists!$D$130,0)+IF(ISNUMBER(Matching_Engine!$AI$95),Lookup_Lists!$D$131,0)+IF(ISNUMBER(Matching_Engine!$AJ$95),Lookup_Lists!$D$132,0)+IF(ISNUMBER(Matching_Engine!$AK$95),Lookup_Lists!$D$133,0)+IF(ISNUMBER(Matching_Engine!$AL$95),Lookup_Lists!$D$134,0)),0))</f>
        <v>62</v>
      </c>
      <c r="AN95" s="42">
        <f>IF(ISNUMBER(Matching_Engine!$AM$95),1,0)</f>
        <v>0</v>
      </c>
      <c r="AO95" s="65" t="str">
        <f>IF(NOT(ISNUMBER('[1]#REF'!$BT$23)),"N/A",MIN(100,MAX(0,'[1]#REF'!$BT$23)))</f>
        <v>N/A</v>
      </c>
      <c r="AP95" s="65" t="str">
        <f>IF(NOT(ISNUMBER('[1]#REF'!$BU$23)),"N/A",MIN(100,MAX(0,'[1]#REF'!$BU$23)))</f>
        <v>N/A</v>
      </c>
      <c r="AQ95" s="65" t="e">
        <f>IF('[1]#REF'!$I$23="Yes",Lookup_Lists!$D$326,IF('[1]#REF'!$I$23="No",Lookup_Lists!$D$327,"N/A"))</f>
        <v>#REF!</v>
      </c>
      <c r="AR95" s="65" t="str">
        <f>IF(NOT(ISNUMBER('[1]#REF'!$BQ$23)),"N/A",MAX(0,ROUND(100-'[1]#REF'!$BQ$23/Lookup_Lists!$D$328*100,0)))</f>
        <v>N/A</v>
      </c>
      <c r="AS95" s="65" t="e">
        <f>IF(NOT(AND(ISTEXT('[1]#REF'!$BV$23),'[1]#REF'!$BV$23&lt;&gt;"N/A")),"N/A",'[1]#REF'!$BV$23)</f>
        <v>#REF!</v>
      </c>
      <c r="AT95" s="63" t="str">
        <f ca="1">IF((IF(ISNUMBER(Matching_Engine!$AO$95),Lookup_Lists!$D$322,0)+IF(ISNUMBER(Matching_Engine!$AP$95),Lookup_Lists!$D$323,0)+IF(ISNUMBER(Matching_Engine!$AQ$95),Lookup_Lists!$D$324,0)+IF(ISNUMBER(Matching_Engine!$AR$95),Lookup_Lists!$D$325,0))=0,"N/A",ROUND((IF(ISNUMBER(Matching_Engine!$AO$95),Matching_Engine!$AO$95*Lookup_Lists!$D$322,0)+IF(ISNUMBER(Matching_Engine!$AP$95),Matching_Engine!$AP$95*Lookup_Lists!$D$323,0)+IF(ISNUMBER(Matching_Engine!$AQ$95),Matching_Engine!$AQ$95*Lookup_Lists!$D$324,0)+IF(ISNUMBER(Matching_Engine!$AR$95),Matching_Engine!$AR$95*Lookup_Lists!$D$325,0))/(IF(ISNUMBER(Matching_Engine!$AO$95),Lookup_Lists!$D$322,0)+IF(ISNUMBER(Matching_Engine!$AP$95),Lookup_Lists!$D$323,0)+IF(ISNUMBER(Matching_Engine!$AQ$95),Lookup_Lists!$D$324,0)+IF(ISNUMBER(Matching_Engine!$AR$95),Lookup_Lists!$D$325,0)),0))</f>
        <v>N/A</v>
      </c>
      <c r="AU95" s="42">
        <f>IF(ISNUMBER(Matching_Engine!$AT$95),1,0)</f>
        <v>1</v>
      </c>
      <c r="AV95" s="42" t="str">
        <f>IF(NOT(ISNUMBER(Matching_Engine!$AT$95)),"Not Screened",IF(Matching_Engine!$AT$95&gt;=Lookup_Lists!$D$329,"Low Risk",IF(Matching_Engine!$AT$95&gt;=Lookup_Lists!$D$330,"Moderate Risk",IF(Matching_Engine!$AT$95&gt;=Lookup_Lists!$D$331,"Elevated Risk","High Risk"))))</f>
        <v>Low Risk</v>
      </c>
      <c r="AW95" s="42" t="e">
        <f ca="1">IF(NOT(ISNUMBER(Matching_Engine!$AT$95)),"No integrity signal: no audience-analysis row for this account.","Integrity screen only — no content-risk reading exists (comments_analysis: 0 rows). "&amp;IF(ISNUMBER(Matching_Engine!$AO$95),"Authenticity "&amp;Matching_Engine!$AO$95&amp;". ","Authenticity N/A. ")&amp;IF(ISNUMBER(Matching_Engine!$AP$95),"Follower quality "&amp;Matching_Engine!$AP$95&amp;". ","Follower quality N/A. ")&amp;IF('[1]#REF'!$I$23="Yes","Platform-verified.","Not platform-verified."))</f>
        <v>#REF!</v>
      </c>
      <c r="AX95" s="65">
        <f>Matching_Engine!$N$95*Lookup_Lists!$D$104+Matching_Engine!$T$95*Lookup_Lists!$D$105+Matching_Engine!$Z$95*Lookup_Lists!$D$106+Matching_Engine!$AF$95*Lookup_Lists!$D$107+Matching_Engine!$AN$95*Lookup_Lists!$D$108+Matching_Engine!$AU$95*Lookup_Lists!$D$109</f>
        <v>3409.5</v>
      </c>
      <c r="AY95" s="74" t="e">
        <f ca="1">IF(Matching_Engine!$AX$95=0,"N/A",ROUND((IF(Matching_Engine!$N$95=1,Matching_Engine!$M$95*Lookup_Lists!$D$104,0)+IF(Matching_Engine!$T$95=1,Matching_Engine!$S$95*Lookup_Lists!$D$105,0)+IF(Matching_Engine!$Z$95=1,Matching_Engine!$Y$95*Lookup_Lists!$D$106,0)+IF(Matching_Engine!$AF$95=1,Matching_Engine!$AE$95*Lookup_Lists!$D$107,0)+IF(Matching_Engine!$AN$95=1,Matching_Engine!$AM$95*Lookup_Lists!$D$108,0)+IF(Matching_Engine!$AU$95=1,Matching_Engine!$AT$95*Lookup_Lists!$D$109,0))/Matching_Engine!$AX$95,0))</f>
        <v>#VALUE!</v>
      </c>
      <c r="AZ95" s="42" t="str">
        <f ca="1">IF(NOT(ISNUMBER(Matching_Engine!$AY$95)),"Not Scored",IF(Matching_Engine!$AY$95&gt;=Lookup_Lists!$D$152,"Excellent Match",IF(Matching_Engine!$AY$95&gt;=Lookup_Lists!$D$153,"Strong Match",IF(Matching_Engine!$AY$95&gt;=Lookup_Lists!$D$154,"Good Match",IF(Matching_Engine!$AY$95&gt;=Lookup_Lists!$D$155,"Moderate Match","Low Match")))))</f>
        <v>Not Scored</v>
      </c>
      <c r="BA95" s="65" t="e">
        <f>'[1]#REF'!$BW$23</f>
        <v>#REF!</v>
      </c>
      <c r="BB95" s="42" t="e">
        <f>'[1]#REF'!$BX$23</f>
        <v>#REF!</v>
      </c>
      <c r="BC95" s="65">
        <f ca="1">IF(NOT(ISNUMBER(Matching_Engine!$AY$95)),-1,Matching_Engine!$AY$95*1000+7)</f>
        <v>-1</v>
      </c>
      <c r="BD95" s="42" t="e">
        <f>IF(AND(ISTEXT('[1]#REF'!$S$23),'[1]#REF'!$S$23&lt;&gt;"N/A"),'[1]#REF'!$S$23,"")&amp;" | "&amp;IF(AND(ISTEXT('[1]#REF'!$T$23),'[1]#REF'!$T$23&lt;&gt;"N/A"),'[1]#REF'!$T$23,"")&amp;" | "&amp;IF(AND(ISTEXT('[1]#REF'!$N$23),'[1]#REF'!$N$23&lt;&gt;"N/A"),'[1]#REF'!$N$23,"")&amp;" | "&amp;IF(AND(ISTEXT('[1]#REF'!$K$23),'[1]#REF'!$K$23&lt;&gt;"N/A"),'[1]#REF'!$K$23,"")&amp;" | "&amp;IF(AND(ISTEXT('[1]#REF'!$J$23),'[1]#REF'!$J$23&lt;&gt;"N/A"),'[1]#REF'!$J$23,"")</f>
        <v>#REF!</v>
      </c>
      <c r="BE95" s="42" t="e">
        <f>IF(AND(ISTEXT('[1]#REF'!$T$23),'[1]#REF'!$T$23&lt;&gt;"N/A"),'[1]#REF'!$T$23,"")&amp;" | "&amp;IF(AND(ISTEXT('[1]#REF'!$N$23),'[1]#REF'!$N$23&lt;&gt;"N/A"),'[1]#REF'!$N$23,"")&amp;" | "&amp;IF(AND(ISTEXT('[1]#REF'!$O$23),'[1]#REF'!$O$23&lt;&gt;"N/A"),'[1]#REF'!$O$23,"")&amp;" | "&amp;IF(AND(ISTEXT('[1]#REF'!$S$23),'[1]#REF'!$S$23&lt;&gt;"N/A"),'[1]#REF'!$S$23,"")</f>
        <v>#REF!</v>
      </c>
      <c r="BF95" s="42" t="e">
        <f>IF(AND(ISTEXT('[1]#REF'!$U$23),'[1]#REF'!$U$23&lt;&gt;"N/A"),'[1]#REF'!$U$23,"")</f>
        <v>#REF!</v>
      </c>
      <c r="BG95" s="42" t="str">
        <f>Matching_Engine!$A$95&amp;"|"&amp;Matching_Engine!$C$95</f>
        <v>BRAND-C|KOL-30</v>
      </c>
    </row>
    <row r="96" spans="1:59">
      <c r="A96" s="64" t="s">
        <v>2530</v>
      </c>
      <c r="B96" s="42" t="str">
        <f>Brand_Profile!$H$6</f>
        <v>Input type / allowed values</v>
      </c>
      <c r="C96" s="42" t="e">
        <f>'[1]#REF'!$A$24</f>
        <v>#REF!</v>
      </c>
      <c r="D96" s="42" t="e">
        <f>'[1]#REF'!$C$24</f>
        <v>#REF!</v>
      </c>
      <c r="E96" s="42" t="e">
        <f>'[1]#REF'!$D$24</f>
        <v>#REF!</v>
      </c>
      <c r="F96" s="42" t="e">
        <f>'[1]#REF'!$E$24</f>
        <v>#REF!</v>
      </c>
      <c r="G96" s="42" t="e">
        <f>'[1]#REF'!$K$24</f>
        <v>#REF!</v>
      </c>
      <c r="H96" s="72" t="e">
        <f>'[1]#REF'!$G$24</f>
        <v>#REF!</v>
      </c>
      <c r="I96" s="73" t="e">
        <f>'[1]#REF'!$BG$24</f>
        <v>#REF!</v>
      </c>
      <c r="J96" s="65" t="e">
        <f>IF(NOT(AND(ISTEXT('[1]#REF'!$K$24),'[1]#REF'!$K$24&lt;&gt;"N/A")),Lookup_Lists!$D$150,IF(Brand_Profile!$H$7='[1]#REF'!$K$24,100,IFERROR(INDEX(Lookup_Lists!$B$349:$J$357,MATCH(Brand_Profile!$H$7,Lookup_Lists!$A$349:$A$357,0),MATCH('[1]#REF'!$K$24,Lookup_Lists!$B$348:$J$348,0)),Lookup_Lists!$D$151)))</f>
        <v>#REF!</v>
      </c>
      <c r="K96" s="65" t="str">
        <f>IF(LEN(TRIM(SUBSTITUTE(Matching_Engine!$BD$96,"|","")))=0,"N/A",IF(Brand_Profile!$H$47=0,Lookup_Lists!$D$150,ROUND((IF(Brand_Profile!$H$41="",0,IF(ISNUMBER(SEARCH(Brand_Profile!$H$41,Matching_Engine!$BD$96)),1,0))+IF(Brand_Profile!$H$42="",0,IF(ISNUMBER(SEARCH(Brand_Profile!$H$42,Matching_Engine!$BD$96)),1,0))+IF(Brand_Profile!$H$43="",0,IF(ISNUMBER(SEARCH(Brand_Profile!$H$43,Matching_Engine!$BD$96)),1,0))+IF(Brand_Profile!$H$44="",0,IF(ISNUMBER(SEARCH(Brand_Profile!$H$44,Matching_Engine!$BD$96)),1,0))+IF(Brand_Profile!$H$45="",0,IF(ISNUMBER(SEARCH(Brand_Profile!$H$45,Matching_Engine!$BD$96)),1,0))+IF(Brand_Profile!$H$46="",0,IF(ISNUMBER(SEARCH(Brand_Profile!$H$46,Matching_Engine!$BD$96)),1,0)))/Brand_Profile!$H$47*100,0)))</f>
        <v>N/A</v>
      </c>
      <c r="L96" s="65" t="e">
        <f>IF(NOT(AND(ISTEXT('[1]#REF'!$U$24),'[1]#REF'!$U$24&lt;&gt;"N/A")),"N/A",IF(Brand_Profile!$H$53=0,Lookup_Lists!$D$150,ROUND((IF(Brand_Profile!$H$48="",0,IF(ISNUMBER(SEARCH(Brand_Profile!$H$48,Matching_Engine!$BF$96)),1,0))+IF(Brand_Profile!$H$49="",0,IF(ISNUMBER(SEARCH(Brand_Profile!$H$49,Matching_Engine!$BF$96)),1,0))+IF(Brand_Profile!$H$50="",0,IF(ISNUMBER(SEARCH(Brand_Profile!$H$50,Matching_Engine!$BF$96)),1,0))+IF(Brand_Profile!$H$51="",0,IF(ISNUMBER(SEARCH(Brand_Profile!$H$51,Matching_Engine!$BF$96)),1,0))+IF(Brand_Profile!$H$52="",0,IF(ISNUMBER(SEARCH(Brand_Profile!$H$52,Matching_Engine!$BF$96)),1,0)))/Brand_Profile!$H$53*100,0)))</f>
        <v>#REF!</v>
      </c>
      <c r="M96" s="63" t="str">
        <f>IF((IF(ISNUMBER(Matching_Engine!$J$96),Lookup_Lists!$D$332,0)+IF(ISNUMBER(Matching_Engine!$K$96),Lookup_Lists!$D$333,0)+IF(ISNUMBER(Matching_Engine!$L$96),Lookup_Lists!$D$334,0))=0,"N/A",ROUND((IF(ISNUMBER(Matching_Engine!$J$96),Matching_Engine!$J$96*Lookup_Lists!$D$332,0)+IF(ISNUMBER(Matching_Engine!$K$96),Matching_Engine!$K$96*Lookup_Lists!$D$333,0)+IF(ISNUMBER(Matching_Engine!$L$96),Matching_Engine!$L$96*Lookup_Lists!$D$334,0))/(IF(ISNUMBER(Matching_Engine!$J$96),Lookup_Lists!$D$332,0)+IF(ISNUMBER(Matching_Engine!$K$96),Lookup_Lists!$D$333,0)+IF(ISNUMBER(Matching_Engine!$L$96),Lookup_Lists!$D$334,0)),0))</f>
        <v>N/A</v>
      </c>
      <c r="N96" s="42">
        <f>IF(ISNUMBER(Matching_Engine!$M$96),1,0)</f>
        <v>0</v>
      </c>
      <c r="O96" s="65" t="str">
        <f ca="1">IF(NOT(ISNUMBER(IFERROR(INDEX('[1]#REF'!$V$24:'[1]#REF'!$Z$24,1,MATCH(Brand_Profile!$H$11,Lookup_Lists!$F$6:$F$10,0)),""))),"N/A",MIN(100,ROUND((IFERROR(INDEX('[1]#REF'!$V$24:'[1]#REF'!$Z$24,1,MATCH(Brand_Profile!$H$11,Lookup_Lists!$F$6:$F$10,0)),"")+0.5*IF(ISNUMBER(IFERROR(INDEX('[1]#REF'!$V$24:'[1]#REF'!$Z$24,1,MATCH(Brand_Profile!$H$12,Lookup_Lists!$F$6:$F$10,0)),"")),IFERROR(INDEX('[1]#REF'!$V$24:'[1]#REF'!$Z$24,1,MATCH(Brand_Profile!$H$12,Lookup_Lists!$F$6:$F$10,0)),""),0))/Lookup_Lists!$D$142*100,0)))</f>
        <v>N/A</v>
      </c>
      <c r="P96" s="65" t="str">
        <f>IF(Brand_Profile!$H$13="Any",100,IF(NOT(ISNUMBER('[1]#REF'!$AA$24)),"N/A",IF(Brand_Profile!$H$13="Female",MIN(100,ROUND('[1]#REF'!$AA$24/Lookup_Lists!$D$143*100,0)),IF(Brand_Profile!$H$13="Male",MIN(100,ROUND(IF(ISNUMBER('[1]#REF'!$AB$24),'[1]#REF'!$AB$24,100-'[1]#REF'!$AA$24)/Lookup_Lists!$D$143*100,0)),MAX(0,ROUND(100-ABS('[1]#REF'!$AA$24-50)*2,0))))))</f>
        <v>N/A</v>
      </c>
      <c r="Q96" s="65" t="str">
        <f>IF((IF(ISNUMBER(IF(NOT(ISNUMBER('[1]#REF'!$AE$24)),"N/A",IF('[1]#REF'!$AD$24&lt;&gt;Brand_Profile!$H$14,Lookup_Lists!$D$151,MIN(100,ROUND('[1]#REF'!$AE$24/Lookup_Lists!$D$316*100,0))))),Lookup_Lists!$D$118,0)+IF(ISNUMBER(IF(NOT(ISNUMBER('[1]#REF'!$AM$24)),"N/A",MIN(100,ROUND((IF('[1]#REF'!$AG$24=Brand_Profile!$H$15,IF(ISNUMBER('[1]#REF'!$AH$24),'[1]#REF'!$AH$24,0),0)+IF('[1]#REF'!$AI$24=Brand_Profile!$H$15,IF(ISNUMBER('[1]#REF'!$AJ$24),'[1]#REF'!$AJ$24,0),0)+IF('[1]#REF'!$AK$24=Brand_Profile!$H$15,IF(ISNUMBER('[1]#REF'!$AL$24),'[1]#REF'!$AL$24,0),0))/Lookup_Lists!$D$317*100,0)))),Lookup_Lists!$D$120,0))=0,"N/A",ROUND((IF(ISNUMBER(IF(NOT(ISNUMBER('[1]#REF'!$AE$24)),"N/A",IF('[1]#REF'!$AD$24&lt;&gt;Brand_Profile!$H$14,Lookup_Lists!$D$151,MIN(100,ROUND('[1]#REF'!$AE$24/Lookup_Lists!$D$316*100,0))))),IF(NOT(ISNUMBER('[1]#REF'!$AE$24)),"N/A",IF('[1]#REF'!$AD$24&lt;&gt;Brand_Profile!$H$14,Lookup_Lists!$D$151,MIN(100,ROUND('[1]#REF'!$AE$24/Lookup_Lists!$D$316*100,0))))*Lookup_Lists!$D$118,0)+IF(ISNUMBER(IF(NOT(ISNUMBER('[1]#REF'!$AM$24)),"N/A",MIN(100,ROUND((IF('[1]#REF'!$AG$24=Brand_Profile!$H$15,IF(ISNUMBER('[1]#REF'!$AH$24),'[1]#REF'!$AH$24,0),0)+IF('[1]#REF'!$AI$24=Brand_Profile!$H$15,IF(ISNUMBER('[1]#REF'!$AJ$24),'[1]#REF'!$AJ$24,0),0)+IF('[1]#REF'!$AK$24=Brand_Profile!$H$15,IF(ISNUMBER('[1]#REF'!$AL$24),'[1]#REF'!$AL$24,0),0))/Lookup_Lists!$D$317*100,0)))),IF(NOT(ISNUMBER('[1]#REF'!$AM$24)),"N/A",MIN(100,ROUND((IF('[1]#REF'!$AG$24=Brand_Profile!$H$15,IF(ISNUMBER('[1]#REF'!$AH$24),'[1]#REF'!$AH$24,0),0)+IF('[1]#REF'!$AI$24=Brand_Profile!$H$15,IF(ISNUMBER('[1]#REF'!$AJ$24),'[1]#REF'!$AJ$24,0),0)+IF('[1]#REF'!$AK$24=Brand_Profile!$H$15,IF(ISNUMBER('[1]#REF'!$AL$24),'[1]#REF'!$AL$24,0),0))/Lookup_Lists!$D$317*100,0)))*Lookup_Lists!$D$120,0))/(IF(ISNUMBER(IF(NOT(ISNUMBER('[1]#REF'!$AE$24)),"N/A",IF('[1]#REF'!$AD$24&lt;&gt;Brand_Profile!$H$14,Lookup_Lists!$D$151,MIN(100,ROUND('[1]#REF'!$AE$24/Lookup_Lists!$D$316*100,0))))),Lookup_Lists!$D$118,0)+IF(ISNUMBER(IF(NOT(ISNUMBER('[1]#REF'!$AM$24)),"N/A",MIN(100,ROUND((IF('[1]#REF'!$AG$24=Brand_Profile!$H$15,IF(ISNUMBER('[1]#REF'!$AH$24),'[1]#REF'!$AH$24,0),0)+IF('[1]#REF'!$AI$24=Brand_Profile!$H$15,IF(ISNUMBER('[1]#REF'!$AJ$24),'[1]#REF'!$AJ$24,0),0)+IF('[1]#REF'!$AK$24=Brand_Profile!$H$15,IF(ISNUMBER('[1]#REF'!$AL$24),'[1]#REF'!$AL$24,0),0))/Lookup_Lists!$D$317*100,0)))),Lookup_Lists!$D$120,0)),0))</f>
        <v>N/A</v>
      </c>
      <c r="R96" s="65" t="str">
        <f>IF(NOT(ISNUMBER('[1]#REF'!$AN$24)),"N/A",MIN(100,ROUND((IF(ISNUMBER('[1]#REF'!$AO$24),'[1]#REF'!$AO$24*Brand_Profile!$H$17,0)+IF(ISNUMBER('[1]#REF'!$AP$24),'[1]#REF'!$AP$24*Brand_Profile!$H$18,0)+IF(ISNUMBER('[1]#REF'!$AQ$24),'[1]#REF'!$AQ$24*Brand_Profile!$H$19,0)+IF(ISNUMBER('[1]#REF'!$AR$24),'[1]#REF'!$AR$24*Brand_Profile!$H$20,0)+IF(ISNUMBER('[1]#REF'!$AS$24),'[1]#REF'!$AS$24*Brand_Profile!$H$21,0)+IF(ISNUMBER('[1]#REF'!$AT$24),'[1]#REF'!$AT$24*Brand_Profile!$H$22,0)+IF(ISNUMBER('[1]#REF'!$AU$24),'[1]#REF'!$AU$24*Brand_Profile!$H$23,0)+IF(ISNUMBER('[1]#REF'!$AV$24),'[1]#REF'!$AV$24*Brand_Profile!$H$24,0)+IF(ISNUMBER('[1]#REF'!$AW$24),'[1]#REF'!$AW$24*Brand_Profile!$H$25,0)+IF(ISNUMBER('[1]#REF'!$AX$24),'[1]#REF'!$AX$24*Brand_Profile!$H$26,0)+IF(ISNUMBER('[1]#REF'!$AY$24),'[1]#REF'!$AY$24*Brand_Profile!$H$27,0)+IF(ISNUMBER('[1]#REF'!$AZ$24),'[1]#REF'!$AZ$24*Brand_Profile!$H$28,0)+IF(ISNUMBER('[1]#REF'!$BA$24),'[1]#REF'!$BA$24*Brand_Profile!$H$29,0)+IF(ISNUMBER('[1]#REF'!$BB$24),'[1]#REF'!$BB$24*Brand_Profile!$H$30,0)+IF(ISNUMBER('[1]#REF'!$BC$24),'[1]#REF'!$BC$24*Brand_Profile!$H$31,0)+IF(ISNUMBER('[1]#REF'!$BD$24),'[1]#REF'!$BD$24*Brand_Profile!$H$32,0)+IF(ISNUMBER('[1]#REF'!$BE$24),'[1]#REF'!$BE$24*Brand_Profile!$H$33,0)+IF(ISNUMBER('[1]#REF'!$BF$24),'[1]#REF'!$BF$24*Brand_Profile!$H$34,0))/Lookup_Lists!$D$318*100,0)))</f>
        <v>N/A</v>
      </c>
      <c r="S96" s="63" t="str">
        <f>IF((IF(ISNUMBER(Matching_Engine!$O$96),Lookup_Lists!$D$113,0)+IF(ISNUMBER(Matching_Engine!$P$96),Lookup_Lists!$D$114,0)+IF(ISNUMBER(Matching_Engine!$Q$96),Lookup_Lists!$D$115,0)+IF(ISNUMBER(Matching_Engine!$R$96),Lookup_Lists!$D$116,0))=0,"N/A",ROUND((IF(ISNUMBER(Matching_Engine!$O$96),Matching_Engine!$O$96*Lookup_Lists!$D$113,0)+IF(ISNUMBER(Matching_Engine!$P$96),Matching_Engine!$P$96*Lookup_Lists!$D$114,0)+IF(ISNUMBER(Matching_Engine!$Q$96),Matching_Engine!$Q$96*Lookup_Lists!$D$115,0)+IF(ISNUMBER(Matching_Engine!$R$96),Matching_Engine!$R$96*Lookup_Lists!$D$116,0))/(IF(ISNUMBER(Matching_Engine!$O$96),Lookup_Lists!$D$113,0)+IF(ISNUMBER(Matching_Engine!$P$96),Lookup_Lists!$D$114,0)+IF(ISNUMBER(Matching_Engine!$Q$96),Lookup_Lists!$D$115,0)+IF(ISNUMBER(Matching_Engine!$R$96),Lookup_Lists!$D$116,0)),0))</f>
        <v>N/A</v>
      </c>
      <c r="T96" s="42">
        <f>IF(ISNUMBER(Matching_Engine!$S$96),1,0)</f>
        <v>0</v>
      </c>
      <c r="U96" s="65" t="e">
        <f>IF(NOT(AND(ISTEXT('[1]#REF'!$M$24),'[1]#REF'!$M$24&lt;&gt;"N/A")),Lookup_Lists!$D$150,IF(Brand_Profile!$H$7='[1]#REF'!$M$24,100,IFERROR(INDEX(Lookup_Lists!$B$349:$J$357,MATCH(Brand_Profile!$H$7,Lookup_Lists!$A$349:$A$357,0),MATCH('[1]#REF'!$M$24,Lookup_Lists!$B$348:$J$348,0)),Lookup_Lists!$D$151)))</f>
        <v>#REF!</v>
      </c>
      <c r="V96" s="65" t="e">
        <f>IF(NOT(AND(ISTEXT('[1]#REF'!$P$24),'[1]#REF'!$P$24&lt;&gt;"N/A")),"N/A",IFERROR(INDEX(Lookup_Lists!$B$349:$J$357,MATCH(Brand_Profile!$H$7,Lookup_Lists!$A$349:$A$357,0),MATCH('[1]#REF'!$P$24,Lookup_Lists!$B$348:$J$348,0)),Lookup_Lists!$D$151))</f>
        <v>#REF!</v>
      </c>
      <c r="W96" s="65" t="str">
        <f>IF(LEN(TRIM(SUBSTITUTE(Matching_Engine!$BE$96,"|","")))=0,"N/A",IF(Brand_Profile!$H$60=0,Lookup_Lists!$D$150,ROUND((IF(Brand_Profile!$H$54="",0,IF(ISNUMBER(SEARCH(Brand_Profile!$H$54,Matching_Engine!$BE$96)),1,0))+IF(Brand_Profile!$H$55="",0,IF(ISNUMBER(SEARCH(Brand_Profile!$H$55,Matching_Engine!$BE$96)),1,0))+IF(Brand_Profile!$H$56="",0,IF(ISNUMBER(SEARCH(Brand_Profile!$H$56,Matching_Engine!$BE$96)),1,0))+IF(Brand_Profile!$H$57="",0,IF(ISNUMBER(SEARCH(Brand_Profile!$H$57,Matching_Engine!$BE$96)),1,0))+IF(Brand_Profile!$H$58="",0,IF(ISNUMBER(SEARCH(Brand_Profile!$H$58,Matching_Engine!$BE$96)),1,0))+IF(Brand_Profile!$H$59="",0,IF(ISNUMBER(SEARCH(Brand_Profile!$H$59,Matching_Engine!$BE$96)),1,0)))/Brand_Profile!$H$60*100,0)))</f>
        <v>N/A</v>
      </c>
      <c r="X96" s="65" t="e">
        <f>IF(NOT(AND(ISTEXT('[1]#REF'!$Q$24),'[1]#REF'!$Q$24&lt;&gt;"N/A")),"N/A",Lookup_Lists!$D$150)</f>
        <v>#REF!</v>
      </c>
      <c r="Y96" s="63" t="str">
        <f>IF((IF(ISNUMBER(Matching_Engine!$U$96),Lookup_Lists!$D$335,0)+IF(ISNUMBER(Matching_Engine!$V$96),Lookup_Lists!$D$122,0)+IF(ISNUMBER(Matching_Engine!$W$96),Lookup_Lists!$D$336,0)+IF(ISNUMBER(Matching_Engine!$X$96),Lookup_Lists!$D$124,0))=0,"N/A",ROUND((IF(ISNUMBER(Matching_Engine!$U$96),Matching_Engine!$U$96*Lookup_Lists!$D$335,0)+IF(ISNUMBER(Matching_Engine!$V$96),Matching_Engine!$V$96*Lookup_Lists!$D$122,0)+IF(ISNUMBER(Matching_Engine!$W$96),Matching_Engine!$W$96*Lookup_Lists!$D$336,0)+IF(ISNUMBER(Matching_Engine!$X$96),Matching_Engine!$X$96*Lookup_Lists!$D$124,0))/(IF(ISNUMBER(Matching_Engine!$U$96),Lookup_Lists!$D$335,0)+IF(ISNUMBER(Matching_Engine!$V$96),Lookup_Lists!$D$122,0)+IF(ISNUMBER(Matching_Engine!$W$96),Lookup_Lists!$D$336,0)+IF(ISNUMBER(Matching_Engine!$X$96),Lookup_Lists!$D$124,0)),0))</f>
        <v>N/A</v>
      </c>
      <c r="Z96" s="42">
        <f>IF(ISNUMBER(Matching_Engine!$Y$96),1,0)</f>
        <v>0</v>
      </c>
      <c r="AA96" s="65" t="e">
        <f>IF(NOT(AND(ISTEXT('[1]#REF'!$Q$24),'[1]#REF'!$Q$24&lt;&gt;"N/A")),"N/A",Lookup_Lists!$D$150)</f>
        <v>#REF!</v>
      </c>
      <c r="AB96" s="65" t="e">
        <f>IF(NOT(AND(ISTEXT('[1]#REF'!$Q$24),'[1]#REF'!$Q$24&lt;&gt;"N/A")),"N/A",Lookup_Lists!$D$150)</f>
        <v>#REF!</v>
      </c>
      <c r="AC96" s="65" t="str">
        <f t="shared" si="1"/>
        <v>N/A</v>
      </c>
      <c r="AD96" s="65" t="e">
        <f>IF(NOT(AND(ISTEXT('[1]#REF'!$Q$24),'[1]#REF'!$Q$24&lt;&gt;"N/A")),"N/A",Lookup_Lists!$D$150)</f>
        <v>#REF!</v>
      </c>
      <c r="AE96" s="63" t="str">
        <f>IF((IF(ISNUMBER(Matching_Engine!$AA$96),Lookup_Lists!$D$125,0)+IF(ISNUMBER(Matching_Engine!$AB$96),Lookup_Lists!$D$126,0)+IF(ISNUMBER(Matching_Engine!$AC$96),Lookup_Lists!$D$127,0)+IF(ISNUMBER(Matching_Engine!$AD$96),Lookup_Lists!$D$128,0))=0,"N/A",ROUND((IF(ISNUMBER(Matching_Engine!$AA$96),Matching_Engine!$AA$96*Lookup_Lists!$D$125,0)+IF(ISNUMBER(Matching_Engine!$AB$96),Matching_Engine!$AB$96*Lookup_Lists!$D$126,0)+IF(ISNUMBER(Matching_Engine!$AC$96),Matching_Engine!$AC$96*Lookup_Lists!$D$127,0)+IF(ISNUMBER(Matching_Engine!$AD$96),Matching_Engine!$AD$96*Lookup_Lists!$D$128,0))/(IF(ISNUMBER(Matching_Engine!$AA$96),Lookup_Lists!$D$125,0)+IF(ISNUMBER(Matching_Engine!$AB$96),Lookup_Lists!$D$126,0)+IF(ISNUMBER(Matching_Engine!$AC$96),Lookup_Lists!$D$127,0)+IF(ISNUMBER(Matching_Engine!$AD$96),Lookup_Lists!$D$128,0)),0))</f>
        <v>N/A</v>
      </c>
      <c r="AF96" s="42">
        <f>IF(ISNUMBER(Matching_Engine!$AE$96),1,0)</f>
        <v>0</v>
      </c>
      <c r="AG96" s="65" t="str">
        <f>IF(NOT(ISNUMBER('[1]#REF'!$BG$24)),"N/A",MIN(100,ROUND('[1]#REF'!$BG$24/IFERROR(INDEX(Lookup_Lists!$B$340:$B$344,MATCH('[1]#REF'!$H$24,Lookup_Lists!$A$340:$A$344,0)),Lookup_Lists!$D$141)*100,0)))</f>
        <v>N/A</v>
      </c>
      <c r="AH96" s="65" t="str">
        <f>IF(NOT(ISNUMBER('[1]#REF'!$BS$24)),"N/A",MIN(100,MAX(0,'[1]#REF'!$BS$24)))</f>
        <v>N/A</v>
      </c>
      <c r="AI96" s="65" t="e">
        <f>IF(OR(NOT(ISNUMBER('[1]#REF'!$BM$24)),NOT(ISNUMBER('[1]#REF'!$BN$24)),'[1]#REF'!$BN$24&lt;Lookup_Lists!$D$320),"N/A",MIN(100,ROUND('[1]#REF'!$BM$24/Lookup_Lists!$D$319*100,0)))</f>
        <v>#REF!</v>
      </c>
      <c r="AJ96" s="65" t="str">
        <f>IF(NOT(ISNUMBER('[1]#REF'!$BR$24)),"N/A",'[1]#REF'!$BR$24)</f>
        <v>N/A</v>
      </c>
      <c r="AK96" s="65" t="str">
        <f>IF(NOT(ISNUMBER('[1]#REF'!$BK$24)),"N/A",MIN(100,ROUND('[1]#REF'!$BK$24/Lookup_Lists!$D$321*100,0)))</f>
        <v>N/A</v>
      </c>
      <c r="AL96" s="65" t="str">
        <f>IF(NOT(ISNUMBER('[1]#REF'!$BP$24)),"N/A",MIN(100,MAX(0,ROUND(('[1]#REF'!$BP$24+2)/(Lookup_Lists!$D$145+2)*100,0))))</f>
        <v>N/A</v>
      </c>
      <c r="AM96" s="63" t="str">
        <f>IF((IF(ISNUMBER(Matching_Engine!$AG$96),Lookup_Lists!$D$129,0)+IF(ISNUMBER(Matching_Engine!$AH$96),Lookup_Lists!$D$130,0)+IF(ISNUMBER(Matching_Engine!$AI$96),Lookup_Lists!$D$131,0)+IF(ISNUMBER(Matching_Engine!$AJ$96),Lookup_Lists!$D$132,0)+IF(ISNUMBER(Matching_Engine!$AK$96),Lookup_Lists!$D$133,0)+IF(ISNUMBER(Matching_Engine!$AL$96),Lookup_Lists!$D$134,0))=0,"N/A",ROUND((IF(ISNUMBER(Matching_Engine!$AG$96),Matching_Engine!$AG$96*Lookup_Lists!$D$129,0)+IF(ISNUMBER(Matching_Engine!$AH$96),Matching_Engine!$AH$96*Lookup_Lists!$D$130,0)+IF(ISNUMBER(Matching_Engine!$AI$96),Matching_Engine!$AI$96*Lookup_Lists!$D$131,0)+IF(ISNUMBER(Matching_Engine!$AJ$96),Matching_Engine!$AJ$96*Lookup_Lists!$D$132,0)+IF(ISNUMBER(Matching_Engine!$AK$96),Matching_Engine!$AK$96*Lookup_Lists!$D$133,0)+IF(ISNUMBER(Matching_Engine!$AL$96),Matching_Engine!$AL$96*Lookup_Lists!$D$134,0))/(IF(ISNUMBER(Matching_Engine!$AG$96),Lookup_Lists!$D$129,0)+IF(ISNUMBER(Matching_Engine!$AH$96),Lookup_Lists!$D$130,0)+IF(ISNUMBER(Matching_Engine!$AI$96),Lookup_Lists!$D$131,0)+IF(ISNUMBER(Matching_Engine!$AJ$96),Lookup_Lists!$D$132,0)+IF(ISNUMBER(Matching_Engine!$AK$96),Lookup_Lists!$D$133,0)+IF(ISNUMBER(Matching_Engine!$AL$96),Lookup_Lists!$D$134,0)),0))</f>
        <v>N/A</v>
      </c>
      <c r="AN96" s="42">
        <f>IF(ISNUMBER(Matching_Engine!$AM$96),1,0)</f>
        <v>0</v>
      </c>
      <c r="AO96" s="65" t="str">
        <f>IF(NOT(ISNUMBER('[1]#REF'!$BT$24)),"N/A",MIN(100,MAX(0,'[1]#REF'!$BT$24)))</f>
        <v>N/A</v>
      </c>
      <c r="AP96" s="65" t="str">
        <f>IF(NOT(ISNUMBER('[1]#REF'!$BU$24)),"N/A",MIN(100,MAX(0,'[1]#REF'!$BU$24)))</f>
        <v>N/A</v>
      </c>
      <c r="AQ96" s="65" t="e">
        <f>IF('[1]#REF'!$I$24="Yes",Lookup_Lists!$D$326,IF('[1]#REF'!$I$24="No",Lookup_Lists!$D$327,"N/A"))</f>
        <v>#REF!</v>
      </c>
      <c r="AR96" s="65" t="str">
        <f>IF(NOT(ISNUMBER('[1]#REF'!$BQ$24)),"N/A",MAX(0,ROUND(100-'[1]#REF'!$BQ$24/Lookup_Lists!$D$328*100,0)))</f>
        <v>N/A</v>
      </c>
      <c r="AS96" s="65" t="e">
        <f>IF(NOT(AND(ISTEXT('[1]#REF'!$BV$24),'[1]#REF'!$BV$24&lt;&gt;"N/A")),"N/A",'[1]#REF'!$BV$24)</f>
        <v>#REF!</v>
      </c>
      <c r="AT96" s="63" t="str">
        <f>IF((IF(ISNUMBER(Matching_Engine!$AO$96),Lookup_Lists!$D$322,0)+IF(ISNUMBER(Matching_Engine!$AP$96),Lookup_Lists!$D$323,0)+IF(ISNUMBER(Matching_Engine!$AQ$96),Lookup_Lists!$D$324,0)+IF(ISNUMBER(Matching_Engine!$AR$96),Lookup_Lists!$D$325,0))=0,"N/A",ROUND((IF(ISNUMBER(Matching_Engine!$AO$96),Matching_Engine!$AO$96*Lookup_Lists!$D$322,0)+IF(ISNUMBER(Matching_Engine!$AP$96),Matching_Engine!$AP$96*Lookup_Lists!$D$323,0)+IF(ISNUMBER(Matching_Engine!$AQ$96),Matching_Engine!$AQ$96*Lookup_Lists!$D$324,0)+IF(ISNUMBER(Matching_Engine!$AR$96),Matching_Engine!$AR$96*Lookup_Lists!$D$325,0))/(IF(ISNUMBER(Matching_Engine!$AO$96),Lookup_Lists!$D$322,0)+IF(ISNUMBER(Matching_Engine!$AP$96),Lookup_Lists!$D$323,0)+IF(ISNUMBER(Matching_Engine!$AQ$96),Lookup_Lists!$D$324,0)+IF(ISNUMBER(Matching_Engine!$AR$96),Lookup_Lists!$D$325,0)),0))</f>
        <v>N/A</v>
      </c>
      <c r="AU96" s="42">
        <f>IF(ISNUMBER(Matching_Engine!$AT$96),1,0)</f>
        <v>0</v>
      </c>
      <c r="AV96" s="42" t="str">
        <f>IF(NOT(ISNUMBER(Matching_Engine!$AT$96)),"Not Screened",IF(Matching_Engine!$AT$96&gt;=Lookup_Lists!$D$329,"Low Risk",IF(Matching_Engine!$AT$96&gt;=Lookup_Lists!$D$330,"Moderate Risk",IF(Matching_Engine!$AT$96&gt;=Lookup_Lists!$D$331,"Elevated Risk","High Risk"))))</f>
        <v>Not Screened</v>
      </c>
      <c r="AW96" s="42" t="str">
        <f>IF(NOT(ISNUMBER(Matching_Engine!$AT$96)),"No integrity signal: no audience-analysis row for this account.","Integrity screen only — no content-risk reading exists (comments_analysis: 0 rows). "&amp;IF(ISNUMBER(Matching_Engine!$AO$96),"Authenticity "&amp;Matching_Engine!$AO$96&amp;". ","Authenticity N/A. ")&amp;IF(ISNUMBER(Matching_Engine!$AP$96),"Follower quality "&amp;Matching_Engine!$AP$96&amp;". ","Follower quality N/A. ")&amp;IF('[1]#REF'!$I$24="Yes","Platform-verified.","Not platform-verified."))</f>
        <v>No integrity signal: no audience-analysis row for this account.</v>
      </c>
      <c r="AX96" s="65">
        <f>Matching_Engine!$N$96*Lookup_Lists!$D$104+Matching_Engine!$T$96*Lookup_Lists!$D$105+Matching_Engine!$Z$96*Lookup_Lists!$D$106+Matching_Engine!$AF$96*Lookup_Lists!$D$107+Matching_Engine!$AN$96*Lookup_Lists!$D$108+Matching_Engine!$AU$96*Lookup_Lists!$D$109</f>
        <v>0</v>
      </c>
      <c r="AY96" s="74" t="str">
        <f>IF(Matching_Engine!$AX$96=0,"N/A",ROUND((IF(Matching_Engine!$N$96=1,Matching_Engine!$M$96*Lookup_Lists!$D$104,0)+IF(Matching_Engine!$T$96=1,Matching_Engine!$S$96*Lookup_Lists!$D$105,0)+IF(Matching_Engine!$Z$96=1,Matching_Engine!$Y$96*Lookup_Lists!$D$106,0)+IF(Matching_Engine!$AF$96=1,Matching_Engine!$AE$96*Lookup_Lists!$D$107,0)+IF(Matching_Engine!$AN$96=1,Matching_Engine!$AM$96*Lookup_Lists!$D$108,0)+IF(Matching_Engine!$AU$96=1,Matching_Engine!$AT$96*Lookup_Lists!$D$109,0))/Matching_Engine!$AX$96,0))</f>
        <v>N/A</v>
      </c>
      <c r="AZ96" s="42" t="str">
        <f>IF(NOT(ISNUMBER(Matching_Engine!$AY$96)),"Not Scored",IF(Matching_Engine!$AY$96&gt;=Lookup_Lists!$D$152,"Excellent Match",IF(Matching_Engine!$AY$96&gt;=Lookup_Lists!$D$153,"Strong Match",IF(Matching_Engine!$AY$96&gt;=Lookup_Lists!$D$154,"Good Match",IF(Matching_Engine!$AY$96&gt;=Lookup_Lists!$D$155,"Moderate Match","Low Match")))))</f>
        <v>Not Scored</v>
      </c>
      <c r="BA96" s="65" t="e">
        <f>'[1]#REF'!$BW$24</f>
        <v>#REF!</v>
      </c>
      <c r="BB96" s="42" t="e">
        <f>'[1]#REF'!$BX$24</f>
        <v>#REF!</v>
      </c>
      <c r="BC96" s="65">
        <f>IF(NOT(ISNUMBER(Matching_Engine!$AY$96)),-1,Matching_Engine!$AY$96*1000+6)</f>
        <v>-1</v>
      </c>
      <c r="BD96" s="42" t="e">
        <f>IF(AND(ISTEXT('[1]#REF'!$S$24),'[1]#REF'!$S$24&lt;&gt;"N/A"),'[1]#REF'!$S$24,"")&amp;" | "&amp;IF(AND(ISTEXT('[1]#REF'!$T$24),'[1]#REF'!$T$24&lt;&gt;"N/A"),'[1]#REF'!$T$24,"")&amp;" | "&amp;IF(AND(ISTEXT('[1]#REF'!$N$24),'[1]#REF'!$N$24&lt;&gt;"N/A"),'[1]#REF'!$N$24,"")&amp;" | "&amp;IF(AND(ISTEXT('[1]#REF'!$K$24),'[1]#REF'!$K$24&lt;&gt;"N/A"),'[1]#REF'!$K$24,"")&amp;" | "&amp;IF(AND(ISTEXT('[1]#REF'!$J$24),'[1]#REF'!$J$24&lt;&gt;"N/A"),'[1]#REF'!$J$24,"")</f>
        <v>#REF!</v>
      </c>
      <c r="BE96" s="42" t="e">
        <f>IF(AND(ISTEXT('[1]#REF'!$T$24),'[1]#REF'!$T$24&lt;&gt;"N/A"),'[1]#REF'!$T$24,"")&amp;" | "&amp;IF(AND(ISTEXT('[1]#REF'!$N$24),'[1]#REF'!$N$24&lt;&gt;"N/A"),'[1]#REF'!$N$24,"")&amp;" | "&amp;IF(AND(ISTEXT('[1]#REF'!$O$24),'[1]#REF'!$O$24&lt;&gt;"N/A"),'[1]#REF'!$O$24,"")&amp;" | "&amp;IF(AND(ISTEXT('[1]#REF'!$S$24),'[1]#REF'!$S$24&lt;&gt;"N/A"),'[1]#REF'!$S$24,"")</f>
        <v>#REF!</v>
      </c>
      <c r="BF96" s="42" t="e">
        <f>IF(AND(ISTEXT('[1]#REF'!$U$24),'[1]#REF'!$U$24&lt;&gt;"N/A"),'[1]#REF'!$U$24,"")</f>
        <v>#REF!</v>
      </c>
      <c r="BG96" s="42" t="str">
        <f>Matching_Engine!$A$96&amp;"|"&amp;Matching_Engine!$C$96</f>
        <v>|</v>
      </c>
    </row>
    <row r="97" spans="1:59">
      <c r="A97" s="64" t="s">
        <v>2530</v>
      </c>
      <c r="B97" s="42" t="str">
        <f>Brand_Profile!$H$6</f>
        <v>Input type / allowed values</v>
      </c>
      <c r="C97" s="42" t="e">
        <f>'[1]#REF'!$A$25</f>
        <v>#REF!</v>
      </c>
      <c r="D97" s="42" t="e">
        <f>'[1]#REF'!$C$25</f>
        <v>#REF!</v>
      </c>
      <c r="E97" s="42" t="e">
        <f>'[1]#REF'!$D$25</f>
        <v>#REF!</v>
      </c>
      <c r="F97" s="42" t="e">
        <f>'[1]#REF'!$E$25</f>
        <v>#REF!</v>
      </c>
      <c r="G97" s="42" t="e">
        <f>'[1]#REF'!$K$25</f>
        <v>#REF!</v>
      </c>
      <c r="H97" s="72" t="e">
        <f>'[1]#REF'!$G$25</f>
        <v>#REF!</v>
      </c>
      <c r="I97" s="73" t="e">
        <f>'[1]#REF'!$BG$25</f>
        <v>#REF!</v>
      </c>
      <c r="J97" s="65" t="e">
        <f>IF(NOT(AND(ISTEXT('[1]#REF'!$K$25),'[1]#REF'!$K$25&lt;&gt;"N/A")),Lookup_Lists!$D$150,IF(Brand_Profile!$H$7='[1]#REF'!$K$25,100,IFERROR(INDEX(Lookup_Lists!$B$349:$J$357,MATCH(Brand_Profile!$H$7,Lookup_Lists!$A$349:$A$357,0),MATCH('[1]#REF'!$K$25,Lookup_Lists!$B$348:$J$348,0)),Lookup_Lists!$D$151)))</f>
        <v>#REF!</v>
      </c>
      <c r="K97" s="65" t="str">
        <f>IF(LEN(TRIM(SUBSTITUTE(Matching_Engine!$BD$97,"|","")))=0,"N/A",IF(Brand_Profile!$H$47=0,Lookup_Lists!$D$150,ROUND((IF(Brand_Profile!$H$41="",0,IF(ISNUMBER(SEARCH(Brand_Profile!$H$41,Matching_Engine!$BD$97)),1,0))+IF(Brand_Profile!$H$42="",0,IF(ISNUMBER(SEARCH(Brand_Profile!$H$42,Matching_Engine!$BD$97)),1,0))+IF(Brand_Profile!$H$43="",0,IF(ISNUMBER(SEARCH(Brand_Profile!$H$43,Matching_Engine!$BD$97)),1,0))+IF(Brand_Profile!$H$44="",0,IF(ISNUMBER(SEARCH(Brand_Profile!$H$44,Matching_Engine!$BD$97)),1,0))+IF(Brand_Profile!$H$45="",0,IF(ISNUMBER(SEARCH(Brand_Profile!$H$45,Matching_Engine!$BD$97)),1,0))+IF(Brand_Profile!$H$46="",0,IF(ISNUMBER(SEARCH(Brand_Profile!$H$46,Matching_Engine!$BD$97)),1,0)))/Brand_Profile!$H$47*100,0)))</f>
        <v>N/A</v>
      </c>
      <c r="L97" s="65" t="e">
        <f>IF(NOT(AND(ISTEXT('[1]#REF'!$U$25),'[1]#REF'!$U$25&lt;&gt;"N/A")),"N/A",IF(Brand_Profile!$H$53=0,Lookup_Lists!$D$150,ROUND((IF(Brand_Profile!$H$48="",0,IF(ISNUMBER(SEARCH(Brand_Profile!$H$48,Matching_Engine!$BF$97)),1,0))+IF(Brand_Profile!$H$49="",0,IF(ISNUMBER(SEARCH(Brand_Profile!$H$49,Matching_Engine!$BF$97)),1,0))+IF(Brand_Profile!$H$50="",0,IF(ISNUMBER(SEARCH(Brand_Profile!$H$50,Matching_Engine!$BF$97)),1,0))+IF(Brand_Profile!$H$51="",0,IF(ISNUMBER(SEARCH(Brand_Profile!$H$51,Matching_Engine!$BF$97)),1,0))+IF(Brand_Profile!$H$52="",0,IF(ISNUMBER(SEARCH(Brand_Profile!$H$52,Matching_Engine!$BF$97)),1,0)))/Brand_Profile!$H$53*100,0)))</f>
        <v>#REF!</v>
      </c>
      <c r="M97" s="63" t="str">
        <f>IF((IF(ISNUMBER(Matching_Engine!$J$97),Lookup_Lists!$D$332,0)+IF(ISNUMBER(Matching_Engine!$K$97),Lookup_Lists!$D$333,0)+IF(ISNUMBER(Matching_Engine!$L$97),Lookup_Lists!$D$334,0))=0,"N/A",ROUND((IF(ISNUMBER(Matching_Engine!$J$97),Matching_Engine!$J$97*Lookup_Lists!$D$332,0)+IF(ISNUMBER(Matching_Engine!$K$97),Matching_Engine!$K$97*Lookup_Lists!$D$333,0)+IF(ISNUMBER(Matching_Engine!$L$97),Matching_Engine!$L$97*Lookup_Lists!$D$334,0))/(IF(ISNUMBER(Matching_Engine!$J$97),Lookup_Lists!$D$332,0)+IF(ISNUMBER(Matching_Engine!$K$97),Lookup_Lists!$D$333,0)+IF(ISNUMBER(Matching_Engine!$L$97),Lookup_Lists!$D$334,0)),0))</f>
        <v>N/A</v>
      </c>
      <c r="N97" s="42">
        <f>IF(ISNUMBER(Matching_Engine!$M$97),1,0)</f>
        <v>0</v>
      </c>
      <c r="O97" s="65" t="str">
        <f ca="1">IF(NOT(ISNUMBER(IFERROR(INDEX('[1]#REF'!$V$25:'[1]#REF'!$Z$25,1,MATCH(Brand_Profile!$H$11,Lookup_Lists!$F$6:$F$10,0)),""))),"N/A",MIN(100,ROUND((IFERROR(INDEX('[1]#REF'!$V$25:'[1]#REF'!$Z$25,1,MATCH(Brand_Profile!$H$11,Lookup_Lists!$F$6:$F$10,0)),"")+0.5*IF(ISNUMBER(IFERROR(INDEX('[1]#REF'!$V$25:'[1]#REF'!$Z$25,1,MATCH(Brand_Profile!$H$12,Lookup_Lists!$F$6:$F$10,0)),"")),IFERROR(INDEX('[1]#REF'!$V$25:'[1]#REF'!$Z$25,1,MATCH(Brand_Profile!$H$12,Lookup_Lists!$F$6:$F$10,0)),""),0))/Lookup_Lists!$D$142*100,0)))</f>
        <v>N/A</v>
      </c>
      <c r="P97" s="65" t="str">
        <f>IF(Brand_Profile!$H$13="Any",100,IF(NOT(ISNUMBER('[1]#REF'!$AA$25)),"N/A",IF(Brand_Profile!$H$13="Female",MIN(100,ROUND('[1]#REF'!$AA$25/Lookup_Lists!$D$143*100,0)),IF(Brand_Profile!$H$13="Male",MIN(100,ROUND(IF(ISNUMBER('[1]#REF'!$AB$25),'[1]#REF'!$AB$25,100-'[1]#REF'!$AA$25)/Lookup_Lists!$D$143*100,0)),MAX(0,ROUND(100-ABS('[1]#REF'!$AA$25-50)*2,0))))))</f>
        <v>N/A</v>
      </c>
      <c r="Q97" s="65" t="str">
        <f>IF((IF(ISNUMBER(IF(NOT(ISNUMBER('[1]#REF'!$AE$25)),"N/A",IF('[1]#REF'!$AD$25&lt;&gt;Brand_Profile!$H$14,Lookup_Lists!$D$151,MIN(100,ROUND('[1]#REF'!$AE$25/Lookup_Lists!$D$316*100,0))))),Lookup_Lists!$D$118,0)+IF(ISNUMBER(IF(NOT(ISNUMBER('[1]#REF'!$AM$25)),"N/A",MIN(100,ROUND((IF('[1]#REF'!$AG$25=Brand_Profile!$H$15,IF(ISNUMBER('[1]#REF'!$AH$25),'[1]#REF'!$AH$25,0),0)+IF('[1]#REF'!$AI$25=Brand_Profile!$H$15,IF(ISNUMBER('[1]#REF'!$AJ$25),'[1]#REF'!$AJ$25,0),0)+IF('[1]#REF'!$AK$25=Brand_Profile!$H$15,IF(ISNUMBER('[1]#REF'!$AL$25),'[1]#REF'!$AL$25,0),0))/Lookup_Lists!$D$317*100,0)))),Lookup_Lists!$D$120,0))=0,"N/A",ROUND((IF(ISNUMBER(IF(NOT(ISNUMBER('[1]#REF'!$AE$25)),"N/A",IF('[1]#REF'!$AD$25&lt;&gt;Brand_Profile!$H$14,Lookup_Lists!$D$151,MIN(100,ROUND('[1]#REF'!$AE$25/Lookup_Lists!$D$316*100,0))))),IF(NOT(ISNUMBER('[1]#REF'!$AE$25)),"N/A",IF('[1]#REF'!$AD$25&lt;&gt;Brand_Profile!$H$14,Lookup_Lists!$D$151,MIN(100,ROUND('[1]#REF'!$AE$25/Lookup_Lists!$D$316*100,0))))*Lookup_Lists!$D$118,0)+IF(ISNUMBER(IF(NOT(ISNUMBER('[1]#REF'!$AM$25)),"N/A",MIN(100,ROUND((IF('[1]#REF'!$AG$25=Brand_Profile!$H$15,IF(ISNUMBER('[1]#REF'!$AH$25),'[1]#REF'!$AH$25,0),0)+IF('[1]#REF'!$AI$25=Brand_Profile!$H$15,IF(ISNUMBER('[1]#REF'!$AJ$25),'[1]#REF'!$AJ$25,0),0)+IF('[1]#REF'!$AK$25=Brand_Profile!$H$15,IF(ISNUMBER('[1]#REF'!$AL$25),'[1]#REF'!$AL$25,0),0))/Lookup_Lists!$D$317*100,0)))),IF(NOT(ISNUMBER('[1]#REF'!$AM$25)),"N/A",MIN(100,ROUND((IF('[1]#REF'!$AG$25=Brand_Profile!$H$15,IF(ISNUMBER('[1]#REF'!$AH$25),'[1]#REF'!$AH$25,0),0)+IF('[1]#REF'!$AI$25=Brand_Profile!$H$15,IF(ISNUMBER('[1]#REF'!$AJ$25),'[1]#REF'!$AJ$25,0),0)+IF('[1]#REF'!$AK$25=Brand_Profile!$H$15,IF(ISNUMBER('[1]#REF'!$AL$25),'[1]#REF'!$AL$25,0),0))/Lookup_Lists!$D$317*100,0)))*Lookup_Lists!$D$120,0))/(IF(ISNUMBER(IF(NOT(ISNUMBER('[1]#REF'!$AE$25)),"N/A",IF('[1]#REF'!$AD$25&lt;&gt;Brand_Profile!$H$14,Lookup_Lists!$D$151,MIN(100,ROUND('[1]#REF'!$AE$25/Lookup_Lists!$D$316*100,0))))),Lookup_Lists!$D$118,0)+IF(ISNUMBER(IF(NOT(ISNUMBER('[1]#REF'!$AM$25)),"N/A",MIN(100,ROUND((IF('[1]#REF'!$AG$25=Brand_Profile!$H$15,IF(ISNUMBER('[1]#REF'!$AH$25),'[1]#REF'!$AH$25,0),0)+IF('[1]#REF'!$AI$25=Brand_Profile!$H$15,IF(ISNUMBER('[1]#REF'!$AJ$25),'[1]#REF'!$AJ$25,0),0)+IF('[1]#REF'!$AK$25=Brand_Profile!$H$15,IF(ISNUMBER('[1]#REF'!$AL$25),'[1]#REF'!$AL$25,0),0))/Lookup_Lists!$D$317*100,0)))),Lookup_Lists!$D$120,0)),0))</f>
        <v>N/A</v>
      </c>
      <c r="R97" s="65" t="str">
        <f>IF(NOT(ISNUMBER('[1]#REF'!$AN$25)),"N/A",MIN(100,ROUND((IF(ISNUMBER('[1]#REF'!$AO$25),'[1]#REF'!$AO$25*Brand_Profile!$H$17,0)+IF(ISNUMBER('[1]#REF'!$AP$25),'[1]#REF'!$AP$25*Brand_Profile!$H$18,0)+IF(ISNUMBER('[1]#REF'!$AQ$25),'[1]#REF'!$AQ$25*Brand_Profile!$H$19,0)+IF(ISNUMBER('[1]#REF'!$AR$25),'[1]#REF'!$AR$25*Brand_Profile!$H$20,0)+IF(ISNUMBER('[1]#REF'!$AS$25),'[1]#REF'!$AS$25*Brand_Profile!$H$21,0)+IF(ISNUMBER('[1]#REF'!$AT$25),'[1]#REF'!$AT$25*Brand_Profile!$H$22,0)+IF(ISNUMBER('[1]#REF'!$AU$25),'[1]#REF'!$AU$25*Brand_Profile!$H$23,0)+IF(ISNUMBER('[1]#REF'!$AV$25),'[1]#REF'!$AV$25*Brand_Profile!$H$24,0)+IF(ISNUMBER('[1]#REF'!$AW$25),'[1]#REF'!$AW$25*Brand_Profile!$H$25,0)+IF(ISNUMBER('[1]#REF'!$AX$25),'[1]#REF'!$AX$25*Brand_Profile!$H$26,0)+IF(ISNUMBER('[1]#REF'!$AY$25),'[1]#REF'!$AY$25*Brand_Profile!$H$27,0)+IF(ISNUMBER('[1]#REF'!$AZ$25),'[1]#REF'!$AZ$25*Brand_Profile!$H$28,0)+IF(ISNUMBER('[1]#REF'!$BA$25),'[1]#REF'!$BA$25*Brand_Profile!$H$29,0)+IF(ISNUMBER('[1]#REF'!$BB$25),'[1]#REF'!$BB$25*Brand_Profile!$H$30,0)+IF(ISNUMBER('[1]#REF'!$BC$25),'[1]#REF'!$BC$25*Brand_Profile!$H$31,0)+IF(ISNUMBER('[1]#REF'!$BD$25),'[1]#REF'!$BD$25*Brand_Profile!$H$32,0)+IF(ISNUMBER('[1]#REF'!$BE$25),'[1]#REF'!$BE$25*Brand_Profile!$H$33,0)+IF(ISNUMBER('[1]#REF'!$BF$25),'[1]#REF'!$BF$25*Brand_Profile!$H$34,0))/Lookup_Lists!$D$318*100,0)))</f>
        <v>N/A</v>
      </c>
      <c r="S97" s="63" t="str">
        <f>IF((IF(ISNUMBER(Matching_Engine!$O$97),Lookup_Lists!$D$113,0)+IF(ISNUMBER(Matching_Engine!$P$97),Lookup_Lists!$D$114,0)+IF(ISNUMBER(Matching_Engine!$Q$97),Lookup_Lists!$D$115,0)+IF(ISNUMBER(Matching_Engine!$R$97),Lookup_Lists!$D$116,0))=0,"N/A",ROUND((IF(ISNUMBER(Matching_Engine!$O$97),Matching_Engine!$O$97*Lookup_Lists!$D$113,0)+IF(ISNUMBER(Matching_Engine!$P$97),Matching_Engine!$P$97*Lookup_Lists!$D$114,0)+IF(ISNUMBER(Matching_Engine!$Q$97),Matching_Engine!$Q$97*Lookup_Lists!$D$115,0)+IF(ISNUMBER(Matching_Engine!$R$97),Matching_Engine!$R$97*Lookup_Lists!$D$116,0))/(IF(ISNUMBER(Matching_Engine!$O$97),Lookup_Lists!$D$113,0)+IF(ISNUMBER(Matching_Engine!$P$97),Lookup_Lists!$D$114,0)+IF(ISNUMBER(Matching_Engine!$Q$97),Lookup_Lists!$D$115,0)+IF(ISNUMBER(Matching_Engine!$R$97),Lookup_Lists!$D$116,0)),0))</f>
        <v>N/A</v>
      </c>
      <c r="T97" s="42">
        <f>IF(ISNUMBER(Matching_Engine!$S$97),1,0)</f>
        <v>0</v>
      </c>
      <c r="U97" s="65" t="e">
        <f>IF(NOT(AND(ISTEXT('[1]#REF'!$M$25),'[1]#REF'!$M$25&lt;&gt;"N/A")),Lookup_Lists!$D$150,IF(Brand_Profile!$H$7='[1]#REF'!$M$25,100,IFERROR(INDEX(Lookup_Lists!$B$349:$J$357,MATCH(Brand_Profile!$H$7,Lookup_Lists!$A$349:$A$357,0),MATCH('[1]#REF'!$M$25,Lookup_Lists!$B$348:$J$348,0)),Lookup_Lists!$D$151)))</f>
        <v>#REF!</v>
      </c>
      <c r="V97" s="65" t="e">
        <f>IF(NOT(AND(ISTEXT('[1]#REF'!$P$25),'[1]#REF'!$P$25&lt;&gt;"N/A")),"N/A",IFERROR(INDEX(Lookup_Lists!$B$349:$J$357,MATCH(Brand_Profile!$H$7,Lookup_Lists!$A$349:$A$357,0),MATCH('[1]#REF'!$P$25,Lookup_Lists!$B$348:$J$348,0)),Lookup_Lists!$D$151))</f>
        <v>#REF!</v>
      </c>
      <c r="W97" s="65" t="str">
        <f>IF(LEN(TRIM(SUBSTITUTE(Matching_Engine!$BE$97,"|","")))=0,"N/A",IF(Brand_Profile!$H$60=0,Lookup_Lists!$D$150,ROUND((IF(Brand_Profile!$H$54="",0,IF(ISNUMBER(SEARCH(Brand_Profile!$H$54,Matching_Engine!$BE$97)),1,0))+IF(Brand_Profile!$H$55="",0,IF(ISNUMBER(SEARCH(Brand_Profile!$H$55,Matching_Engine!$BE$97)),1,0))+IF(Brand_Profile!$H$56="",0,IF(ISNUMBER(SEARCH(Brand_Profile!$H$56,Matching_Engine!$BE$97)),1,0))+IF(Brand_Profile!$H$57="",0,IF(ISNUMBER(SEARCH(Brand_Profile!$H$57,Matching_Engine!$BE$97)),1,0))+IF(Brand_Profile!$H$58="",0,IF(ISNUMBER(SEARCH(Brand_Profile!$H$58,Matching_Engine!$BE$97)),1,0))+IF(Brand_Profile!$H$59="",0,IF(ISNUMBER(SEARCH(Brand_Profile!$H$59,Matching_Engine!$BE$97)),1,0)))/Brand_Profile!$H$60*100,0)))</f>
        <v>N/A</v>
      </c>
      <c r="X97" s="65" t="e">
        <f>IF(NOT(AND(ISTEXT('[1]#REF'!$Q$25),'[1]#REF'!$Q$25&lt;&gt;"N/A")),"N/A",Lookup_Lists!$D$150)</f>
        <v>#REF!</v>
      </c>
      <c r="Y97" s="63" t="str">
        <f>IF((IF(ISNUMBER(Matching_Engine!$U$97),Lookup_Lists!$D$335,0)+IF(ISNUMBER(Matching_Engine!$V$97),Lookup_Lists!$D$122,0)+IF(ISNUMBER(Matching_Engine!$W$97),Lookup_Lists!$D$336,0)+IF(ISNUMBER(Matching_Engine!$X$97),Lookup_Lists!$D$124,0))=0,"N/A",ROUND((IF(ISNUMBER(Matching_Engine!$U$97),Matching_Engine!$U$97*Lookup_Lists!$D$335,0)+IF(ISNUMBER(Matching_Engine!$V$97),Matching_Engine!$V$97*Lookup_Lists!$D$122,0)+IF(ISNUMBER(Matching_Engine!$W$97),Matching_Engine!$W$97*Lookup_Lists!$D$336,0)+IF(ISNUMBER(Matching_Engine!$X$97),Matching_Engine!$X$97*Lookup_Lists!$D$124,0))/(IF(ISNUMBER(Matching_Engine!$U$97),Lookup_Lists!$D$335,0)+IF(ISNUMBER(Matching_Engine!$V$97),Lookup_Lists!$D$122,0)+IF(ISNUMBER(Matching_Engine!$W$97),Lookup_Lists!$D$336,0)+IF(ISNUMBER(Matching_Engine!$X$97),Lookup_Lists!$D$124,0)),0))</f>
        <v>N/A</v>
      </c>
      <c r="Z97" s="42">
        <f>IF(ISNUMBER(Matching_Engine!$Y$97),1,0)</f>
        <v>0</v>
      </c>
      <c r="AA97" s="65" t="e">
        <f>IF(NOT(AND(ISTEXT('[1]#REF'!$Q$25),'[1]#REF'!$Q$25&lt;&gt;"N/A")),"N/A",Lookup_Lists!$D$150)</f>
        <v>#REF!</v>
      </c>
      <c r="AB97" s="65" t="e">
        <f>IF(NOT(AND(ISTEXT('[1]#REF'!$Q$25),'[1]#REF'!$Q$25&lt;&gt;"N/A")),"N/A",Lookup_Lists!$D$150)</f>
        <v>#REF!</v>
      </c>
      <c r="AC97" s="65" t="str">
        <f t="shared" si="1"/>
        <v>N/A</v>
      </c>
      <c r="AD97" s="65" t="e">
        <f>IF(NOT(AND(ISTEXT('[1]#REF'!$Q$25),'[1]#REF'!$Q$25&lt;&gt;"N/A")),"N/A",Lookup_Lists!$D$150)</f>
        <v>#REF!</v>
      </c>
      <c r="AE97" s="63" t="str">
        <f>IF((IF(ISNUMBER(Matching_Engine!$AA$97),Lookup_Lists!$D$125,0)+IF(ISNUMBER(Matching_Engine!$AB$97),Lookup_Lists!$D$126,0)+IF(ISNUMBER(Matching_Engine!$AC$97),Lookup_Lists!$D$127,0)+IF(ISNUMBER(Matching_Engine!$AD$97),Lookup_Lists!$D$128,0))=0,"N/A",ROUND((IF(ISNUMBER(Matching_Engine!$AA$97),Matching_Engine!$AA$97*Lookup_Lists!$D$125,0)+IF(ISNUMBER(Matching_Engine!$AB$97),Matching_Engine!$AB$97*Lookup_Lists!$D$126,0)+IF(ISNUMBER(Matching_Engine!$AC$97),Matching_Engine!$AC$97*Lookup_Lists!$D$127,0)+IF(ISNUMBER(Matching_Engine!$AD$97),Matching_Engine!$AD$97*Lookup_Lists!$D$128,0))/(IF(ISNUMBER(Matching_Engine!$AA$97),Lookup_Lists!$D$125,0)+IF(ISNUMBER(Matching_Engine!$AB$97),Lookup_Lists!$D$126,0)+IF(ISNUMBER(Matching_Engine!$AC$97),Lookup_Lists!$D$127,0)+IF(ISNUMBER(Matching_Engine!$AD$97),Lookup_Lists!$D$128,0)),0))</f>
        <v>N/A</v>
      </c>
      <c r="AF97" s="42">
        <f>IF(ISNUMBER(Matching_Engine!$AE$97),1,0)</f>
        <v>0</v>
      </c>
      <c r="AG97" s="65" t="str">
        <f>IF(NOT(ISNUMBER('[1]#REF'!$BG$25)),"N/A",MIN(100,ROUND('[1]#REF'!$BG$25/IFERROR(INDEX(Lookup_Lists!$B$340:$B$344,MATCH('[1]#REF'!$H$25,Lookup_Lists!$A$340:$A$344,0)),Lookup_Lists!$D$141)*100,0)))</f>
        <v>N/A</v>
      </c>
      <c r="AH97" s="65" t="str">
        <f>IF(NOT(ISNUMBER('[1]#REF'!$BS$25)),"N/A",MIN(100,MAX(0,'[1]#REF'!$BS$25)))</f>
        <v>N/A</v>
      </c>
      <c r="AI97" s="65" t="e">
        <f>IF(OR(NOT(ISNUMBER('[1]#REF'!$BM$25)),NOT(ISNUMBER('[1]#REF'!$BN$25)),'[1]#REF'!$BN$25&lt;Lookup_Lists!$D$320),"N/A",MIN(100,ROUND('[1]#REF'!$BM$25/Lookup_Lists!$D$319*100,0)))</f>
        <v>#REF!</v>
      </c>
      <c r="AJ97" s="65" t="str">
        <f>IF(NOT(ISNUMBER('[1]#REF'!$BR$25)),"N/A",'[1]#REF'!$BR$25)</f>
        <v>N/A</v>
      </c>
      <c r="AK97" s="65" t="str">
        <f>IF(NOT(ISNUMBER('[1]#REF'!$BK$25)),"N/A",MIN(100,ROUND('[1]#REF'!$BK$25/Lookup_Lists!$D$321*100,0)))</f>
        <v>N/A</v>
      </c>
      <c r="AL97" s="65" t="str">
        <f>IF(NOT(ISNUMBER('[1]#REF'!$BP$25)),"N/A",MIN(100,MAX(0,ROUND(('[1]#REF'!$BP$25+2)/(Lookup_Lists!$D$145+2)*100,0))))</f>
        <v>N/A</v>
      </c>
      <c r="AM97" s="63" t="str">
        <f>IF((IF(ISNUMBER(Matching_Engine!$AG$97),Lookup_Lists!$D$129,0)+IF(ISNUMBER(Matching_Engine!$AH$97),Lookup_Lists!$D$130,0)+IF(ISNUMBER(Matching_Engine!$AI$97),Lookup_Lists!$D$131,0)+IF(ISNUMBER(Matching_Engine!$AJ$97),Lookup_Lists!$D$132,0)+IF(ISNUMBER(Matching_Engine!$AK$97),Lookup_Lists!$D$133,0)+IF(ISNUMBER(Matching_Engine!$AL$97),Lookup_Lists!$D$134,0))=0,"N/A",ROUND((IF(ISNUMBER(Matching_Engine!$AG$97),Matching_Engine!$AG$97*Lookup_Lists!$D$129,0)+IF(ISNUMBER(Matching_Engine!$AH$97),Matching_Engine!$AH$97*Lookup_Lists!$D$130,0)+IF(ISNUMBER(Matching_Engine!$AI$97),Matching_Engine!$AI$97*Lookup_Lists!$D$131,0)+IF(ISNUMBER(Matching_Engine!$AJ$97),Matching_Engine!$AJ$97*Lookup_Lists!$D$132,0)+IF(ISNUMBER(Matching_Engine!$AK$97),Matching_Engine!$AK$97*Lookup_Lists!$D$133,0)+IF(ISNUMBER(Matching_Engine!$AL$97),Matching_Engine!$AL$97*Lookup_Lists!$D$134,0))/(IF(ISNUMBER(Matching_Engine!$AG$97),Lookup_Lists!$D$129,0)+IF(ISNUMBER(Matching_Engine!$AH$97),Lookup_Lists!$D$130,0)+IF(ISNUMBER(Matching_Engine!$AI$97),Lookup_Lists!$D$131,0)+IF(ISNUMBER(Matching_Engine!$AJ$97),Lookup_Lists!$D$132,0)+IF(ISNUMBER(Matching_Engine!$AK$97),Lookup_Lists!$D$133,0)+IF(ISNUMBER(Matching_Engine!$AL$97),Lookup_Lists!$D$134,0)),0))</f>
        <v>N/A</v>
      </c>
      <c r="AN97" s="42">
        <f>IF(ISNUMBER(Matching_Engine!$AM$97),1,0)</f>
        <v>0</v>
      </c>
      <c r="AO97" s="65" t="str">
        <f>IF(NOT(ISNUMBER('[1]#REF'!$BT$25)),"N/A",MIN(100,MAX(0,'[1]#REF'!$BT$25)))</f>
        <v>N/A</v>
      </c>
      <c r="AP97" s="65" t="str">
        <f>IF(NOT(ISNUMBER('[1]#REF'!$BU$25)),"N/A",MIN(100,MAX(0,'[1]#REF'!$BU$25)))</f>
        <v>N/A</v>
      </c>
      <c r="AQ97" s="65" t="e">
        <f>IF('[1]#REF'!$I$25="Yes",Lookup_Lists!$D$326,IF('[1]#REF'!$I$25="No",Lookup_Lists!$D$327,"N/A"))</f>
        <v>#REF!</v>
      </c>
      <c r="AR97" s="65" t="str">
        <f>IF(NOT(ISNUMBER('[1]#REF'!$BQ$25)),"N/A",MAX(0,ROUND(100-'[1]#REF'!$BQ$25/Lookup_Lists!$D$328*100,0)))</f>
        <v>N/A</v>
      </c>
      <c r="AS97" s="65" t="e">
        <f>IF(NOT(AND(ISTEXT('[1]#REF'!$BV$25),'[1]#REF'!$BV$25&lt;&gt;"N/A")),"N/A",'[1]#REF'!$BV$25)</f>
        <v>#REF!</v>
      </c>
      <c r="AT97" s="63" t="str">
        <f>IF((IF(ISNUMBER(Matching_Engine!$AO$97),Lookup_Lists!$D$322,0)+IF(ISNUMBER(Matching_Engine!$AP$97),Lookup_Lists!$D$323,0)+IF(ISNUMBER(Matching_Engine!$AQ$97),Lookup_Lists!$D$324,0)+IF(ISNUMBER(Matching_Engine!$AR$97),Lookup_Lists!$D$325,0))=0,"N/A",ROUND((IF(ISNUMBER(Matching_Engine!$AO$97),Matching_Engine!$AO$97*Lookup_Lists!$D$322,0)+IF(ISNUMBER(Matching_Engine!$AP$97),Matching_Engine!$AP$97*Lookup_Lists!$D$323,0)+IF(ISNUMBER(Matching_Engine!$AQ$97),Matching_Engine!$AQ$97*Lookup_Lists!$D$324,0)+IF(ISNUMBER(Matching_Engine!$AR$97),Matching_Engine!$AR$97*Lookup_Lists!$D$325,0))/(IF(ISNUMBER(Matching_Engine!$AO$97),Lookup_Lists!$D$322,0)+IF(ISNUMBER(Matching_Engine!$AP$97),Lookup_Lists!$D$323,0)+IF(ISNUMBER(Matching_Engine!$AQ$97),Lookup_Lists!$D$324,0)+IF(ISNUMBER(Matching_Engine!$AR$97),Lookup_Lists!$D$325,0)),0))</f>
        <v>N/A</v>
      </c>
      <c r="AU97" s="42">
        <f>IF(ISNUMBER(Matching_Engine!$AT$97),1,0)</f>
        <v>0</v>
      </c>
      <c r="AV97" s="42" t="str">
        <f>IF(NOT(ISNUMBER(Matching_Engine!$AT$97)),"Not Screened",IF(Matching_Engine!$AT$97&gt;=Lookup_Lists!$D$329,"Low Risk",IF(Matching_Engine!$AT$97&gt;=Lookup_Lists!$D$330,"Moderate Risk",IF(Matching_Engine!$AT$97&gt;=Lookup_Lists!$D$331,"Elevated Risk","High Risk"))))</f>
        <v>Not Screened</v>
      </c>
      <c r="AW97" s="42" t="str">
        <f>IF(NOT(ISNUMBER(Matching_Engine!$AT$97)),"No integrity signal: no audience-analysis row for this account.","Integrity screen only — no content-risk reading exists (comments_analysis: 0 rows). "&amp;IF(ISNUMBER(Matching_Engine!$AO$97),"Authenticity "&amp;Matching_Engine!$AO$97&amp;". ","Authenticity N/A. ")&amp;IF(ISNUMBER(Matching_Engine!$AP$97),"Follower quality "&amp;Matching_Engine!$AP$97&amp;". ","Follower quality N/A. ")&amp;IF('[1]#REF'!$I$25="Yes","Platform-verified.","Not platform-verified."))</f>
        <v>No integrity signal: no audience-analysis row for this account.</v>
      </c>
      <c r="AX97" s="65">
        <f>Matching_Engine!$N$97*Lookup_Lists!$D$104+Matching_Engine!$T$97*Lookup_Lists!$D$105+Matching_Engine!$Z$97*Lookup_Lists!$D$106+Matching_Engine!$AF$97*Lookup_Lists!$D$107+Matching_Engine!$AN$97*Lookup_Lists!$D$108+Matching_Engine!$AU$97*Lookup_Lists!$D$109</f>
        <v>0</v>
      </c>
      <c r="AY97" s="74" t="str">
        <f>IF(Matching_Engine!$AX$97=0,"N/A",ROUND((IF(Matching_Engine!$N$97=1,Matching_Engine!$M$97*Lookup_Lists!$D$104,0)+IF(Matching_Engine!$T$97=1,Matching_Engine!$S$97*Lookup_Lists!$D$105,0)+IF(Matching_Engine!$Z$97=1,Matching_Engine!$Y$97*Lookup_Lists!$D$106,0)+IF(Matching_Engine!$AF$97=1,Matching_Engine!$AE$97*Lookup_Lists!$D$107,0)+IF(Matching_Engine!$AN$97=1,Matching_Engine!$AM$97*Lookup_Lists!$D$108,0)+IF(Matching_Engine!$AU$97=1,Matching_Engine!$AT$97*Lookup_Lists!$D$109,0))/Matching_Engine!$AX$97,0))</f>
        <v>N/A</v>
      </c>
      <c r="AZ97" s="42" t="str">
        <f>IF(NOT(ISNUMBER(Matching_Engine!$AY$97)),"Not Scored",IF(Matching_Engine!$AY$97&gt;=Lookup_Lists!$D$152,"Excellent Match",IF(Matching_Engine!$AY$97&gt;=Lookup_Lists!$D$153,"Strong Match",IF(Matching_Engine!$AY$97&gt;=Lookup_Lists!$D$154,"Good Match",IF(Matching_Engine!$AY$97&gt;=Lookup_Lists!$D$155,"Moderate Match","Low Match")))))</f>
        <v>Not Scored</v>
      </c>
      <c r="BA97" s="65" t="e">
        <f>'[1]#REF'!$BW$25</f>
        <v>#REF!</v>
      </c>
      <c r="BB97" s="42" t="e">
        <f>'[1]#REF'!$BX$25</f>
        <v>#REF!</v>
      </c>
      <c r="BC97" s="65">
        <f>IF(NOT(ISNUMBER(Matching_Engine!$AY$97)),-1,Matching_Engine!$AY$97*1000+5)</f>
        <v>-1</v>
      </c>
      <c r="BD97" s="42" t="e">
        <f>IF(AND(ISTEXT('[1]#REF'!$S$25),'[1]#REF'!$S$25&lt;&gt;"N/A"),'[1]#REF'!$S$25,"")&amp;" | "&amp;IF(AND(ISTEXT('[1]#REF'!$T$25),'[1]#REF'!$T$25&lt;&gt;"N/A"),'[1]#REF'!$T$25,"")&amp;" | "&amp;IF(AND(ISTEXT('[1]#REF'!$N$25),'[1]#REF'!$N$25&lt;&gt;"N/A"),'[1]#REF'!$N$25,"")&amp;" | "&amp;IF(AND(ISTEXT('[1]#REF'!$K$25),'[1]#REF'!$K$25&lt;&gt;"N/A"),'[1]#REF'!$K$25,"")&amp;" | "&amp;IF(AND(ISTEXT('[1]#REF'!$J$25),'[1]#REF'!$J$25&lt;&gt;"N/A"),'[1]#REF'!$J$25,"")</f>
        <v>#REF!</v>
      </c>
      <c r="BE97" s="42" t="e">
        <f>IF(AND(ISTEXT('[1]#REF'!$T$25),'[1]#REF'!$T$25&lt;&gt;"N/A"),'[1]#REF'!$T$25,"")&amp;" | "&amp;IF(AND(ISTEXT('[1]#REF'!$N$25),'[1]#REF'!$N$25&lt;&gt;"N/A"),'[1]#REF'!$N$25,"")&amp;" | "&amp;IF(AND(ISTEXT('[1]#REF'!$O$25),'[1]#REF'!$O$25&lt;&gt;"N/A"),'[1]#REF'!$O$25,"")&amp;" | "&amp;IF(AND(ISTEXT('[1]#REF'!$S$25),'[1]#REF'!$S$25&lt;&gt;"N/A"),'[1]#REF'!$S$25,"")</f>
        <v>#REF!</v>
      </c>
      <c r="BF97" s="42" t="e">
        <f>IF(AND(ISTEXT('[1]#REF'!$U$25),'[1]#REF'!$U$25&lt;&gt;"N/A"),'[1]#REF'!$U$25,"")</f>
        <v>#REF!</v>
      </c>
      <c r="BG97" s="42" t="str">
        <f>Matching_Engine!$A$97&amp;"|"&amp;Matching_Engine!$C$97</f>
        <v>|</v>
      </c>
    </row>
    <row r="98" spans="1:59">
      <c r="A98" s="64" t="s">
        <v>2530</v>
      </c>
      <c r="B98" s="42" t="str">
        <f>Brand_Profile!$H$6</f>
        <v>Input type / allowed values</v>
      </c>
      <c r="C98" s="42" t="e">
        <f>'[1]#REF'!$A$26</f>
        <v>#REF!</v>
      </c>
      <c r="D98" s="42" t="e">
        <f>'[1]#REF'!$C$26</f>
        <v>#REF!</v>
      </c>
      <c r="E98" s="42" t="e">
        <f>'[1]#REF'!$D$26</f>
        <v>#REF!</v>
      </c>
      <c r="F98" s="42" t="e">
        <f>'[1]#REF'!$E$26</f>
        <v>#REF!</v>
      </c>
      <c r="G98" s="42" t="e">
        <f>'[1]#REF'!$K$26</f>
        <v>#REF!</v>
      </c>
      <c r="H98" s="72" t="e">
        <f>'[1]#REF'!$G$26</f>
        <v>#REF!</v>
      </c>
      <c r="I98" s="73" t="e">
        <f>'[1]#REF'!$BG$26</f>
        <v>#REF!</v>
      </c>
      <c r="J98" s="65" t="e">
        <f>IF(NOT(AND(ISTEXT('[1]#REF'!$K$26),'[1]#REF'!$K$26&lt;&gt;"N/A")),Lookup_Lists!$D$150,IF(Brand_Profile!$H$7='[1]#REF'!$K$26,100,IFERROR(INDEX(Lookup_Lists!$B$349:$J$357,MATCH(Brand_Profile!$H$7,Lookup_Lists!$A$349:$A$357,0),MATCH('[1]#REF'!$K$26,Lookup_Lists!$B$348:$J$348,0)),Lookup_Lists!$D$151)))</f>
        <v>#REF!</v>
      </c>
      <c r="K98" s="65" t="str">
        <f>IF(LEN(TRIM(SUBSTITUTE(Matching_Engine!$BD$98,"|","")))=0,"N/A",IF(Brand_Profile!$H$47=0,Lookup_Lists!$D$150,ROUND((IF(Brand_Profile!$H$41="",0,IF(ISNUMBER(SEARCH(Brand_Profile!$H$41,Matching_Engine!$BD$98)),1,0))+IF(Brand_Profile!$H$42="",0,IF(ISNUMBER(SEARCH(Brand_Profile!$H$42,Matching_Engine!$BD$98)),1,0))+IF(Brand_Profile!$H$43="",0,IF(ISNUMBER(SEARCH(Brand_Profile!$H$43,Matching_Engine!$BD$98)),1,0))+IF(Brand_Profile!$H$44="",0,IF(ISNUMBER(SEARCH(Brand_Profile!$H$44,Matching_Engine!$BD$98)),1,0))+IF(Brand_Profile!$H$45="",0,IF(ISNUMBER(SEARCH(Brand_Profile!$H$45,Matching_Engine!$BD$98)),1,0))+IF(Brand_Profile!$H$46="",0,IF(ISNUMBER(SEARCH(Brand_Profile!$H$46,Matching_Engine!$BD$98)),1,0)))/Brand_Profile!$H$47*100,0)))</f>
        <v>N/A</v>
      </c>
      <c r="L98" s="65" t="e">
        <f>IF(NOT(AND(ISTEXT('[1]#REF'!$U$26),'[1]#REF'!$U$26&lt;&gt;"N/A")),"N/A",IF(Brand_Profile!$H$53=0,Lookup_Lists!$D$150,ROUND((IF(Brand_Profile!$H$48="",0,IF(ISNUMBER(SEARCH(Brand_Profile!$H$48,Matching_Engine!$BF$98)),1,0))+IF(Brand_Profile!$H$49="",0,IF(ISNUMBER(SEARCH(Brand_Profile!$H$49,Matching_Engine!$BF$98)),1,0))+IF(Brand_Profile!$H$50="",0,IF(ISNUMBER(SEARCH(Brand_Profile!$H$50,Matching_Engine!$BF$98)),1,0))+IF(Brand_Profile!$H$51="",0,IF(ISNUMBER(SEARCH(Brand_Profile!$H$51,Matching_Engine!$BF$98)),1,0))+IF(Brand_Profile!$H$52="",0,IF(ISNUMBER(SEARCH(Brand_Profile!$H$52,Matching_Engine!$BF$98)),1,0)))/Brand_Profile!$H$53*100,0)))</f>
        <v>#REF!</v>
      </c>
      <c r="M98" s="63" t="str">
        <f>IF((IF(ISNUMBER(Matching_Engine!$J$98),Lookup_Lists!$D$332,0)+IF(ISNUMBER(Matching_Engine!$K$98),Lookup_Lists!$D$333,0)+IF(ISNUMBER(Matching_Engine!$L$98),Lookup_Lists!$D$334,0))=0,"N/A",ROUND((IF(ISNUMBER(Matching_Engine!$J$98),Matching_Engine!$J$98*Lookup_Lists!$D$332,0)+IF(ISNUMBER(Matching_Engine!$K$98),Matching_Engine!$K$98*Lookup_Lists!$D$333,0)+IF(ISNUMBER(Matching_Engine!$L$98),Matching_Engine!$L$98*Lookup_Lists!$D$334,0))/(IF(ISNUMBER(Matching_Engine!$J$98),Lookup_Lists!$D$332,0)+IF(ISNUMBER(Matching_Engine!$K$98),Lookup_Lists!$D$333,0)+IF(ISNUMBER(Matching_Engine!$L$98),Lookup_Lists!$D$334,0)),0))</f>
        <v>N/A</v>
      </c>
      <c r="N98" s="42">
        <f>IF(ISNUMBER(Matching_Engine!$M$98),1,0)</f>
        <v>0</v>
      </c>
      <c r="O98" s="65" t="str">
        <f ca="1">IF(NOT(ISNUMBER(IFERROR(INDEX('[1]#REF'!$V$26:'[1]#REF'!$Z$26,1,MATCH(Brand_Profile!$H$11,Lookup_Lists!$F$6:$F$10,0)),""))),"N/A",MIN(100,ROUND((IFERROR(INDEX('[1]#REF'!$V$26:'[1]#REF'!$Z$26,1,MATCH(Brand_Profile!$H$11,Lookup_Lists!$F$6:$F$10,0)),"")+0.5*IF(ISNUMBER(IFERROR(INDEX('[1]#REF'!$V$26:'[1]#REF'!$Z$26,1,MATCH(Brand_Profile!$H$12,Lookup_Lists!$F$6:$F$10,0)),"")),IFERROR(INDEX('[1]#REF'!$V$26:'[1]#REF'!$Z$26,1,MATCH(Brand_Profile!$H$12,Lookup_Lists!$F$6:$F$10,0)),""),0))/Lookup_Lists!$D$142*100,0)))</f>
        <v>N/A</v>
      </c>
      <c r="P98" s="65" t="str">
        <f>IF(Brand_Profile!$H$13="Any",100,IF(NOT(ISNUMBER('[1]#REF'!$AA$26)),"N/A",IF(Brand_Profile!$H$13="Female",MIN(100,ROUND('[1]#REF'!$AA$26/Lookup_Lists!$D$143*100,0)),IF(Brand_Profile!$H$13="Male",MIN(100,ROUND(IF(ISNUMBER('[1]#REF'!$AB$26),'[1]#REF'!$AB$26,100-'[1]#REF'!$AA$26)/Lookup_Lists!$D$143*100,0)),MAX(0,ROUND(100-ABS('[1]#REF'!$AA$26-50)*2,0))))))</f>
        <v>N/A</v>
      </c>
      <c r="Q98" s="65" t="str">
        <f>IF((IF(ISNUMBER(IF(NOT(ISNUMBER('[1]#REF'!$AE$26)),"N/A",IF('[1]#REF'!$AD$26&lt;&gt;Brand_Profile!$H$14,Lookup_Lists!$D$151,MIN(100,ROUND('[1]#REF'!$AE$26/Lookup_Lists!$D$316*100,0))))),Lookup_Lists!$D$118,0)+IF(ISNUMBER(IF(NOT(ISNUMBER('[1]#REF'!$AM$26)),"N/A",MIN(100,ROUND((IF('[1]#REF'!$AG$26=Brand_Profile!$H$15,IF(ISNUMBER('[1]#REF'!$AH$26),'[1]#REF'!$AH$26,0),0)+IF('[1]#REF'!$AI$26=Brand_Profile!$H$15,IF(ISNUMBER('[1]#REF'!$AJ$26),'[1]#REF'!$AJ$26,0),0)+IF('[1]#REF'!$AK$26=Brand_Profile!$H$15,IF(ISNUMBER('[1]#REF'!$AL$26),'[1]#REF'!$AL$26,0),0))/Lookup_Lists!$D$317*100,0)))),Lookup_Lists!$D$120,0))=0,"N/A",ROUND((IF(ISNUMBER(IF(NOT(ISNUMBER('[1]#REF'!$AE$26)),"N/A",IF('[1]#REF'!$AD$26&lt;&gt;Brand_Profile!$H$14,Lookup_Lists!$D$151,MIN(100,ROUND('[1]#REF'!$AE$26/Lookup_Lists!$D$316*100,0))))),IF(NOT(ISNUMBER('[1]#REF'!$AE$26)),"N/A",IF('[1]#REF'!$AD$26&lt;&gt;Brand_Profile!$H$14,Lookup_Lists!$D$151,MIN(100,ROUND('[1]#REF'!$AE$26/Lookup_Lists!$D$316*100,0))))*Lookup_Lists!$D$118,0)+IF(ISNUMBER(IF(NOT(ISNUMBER('[1]#REF'!$AM$26)),"N/A",MIN(100,ROUND((IF('[1]#REF'!$AG$26=Brand_Profile!$H$15,IF(ISNUMBER('[1]#REF'!$AH$26),'[1]#REF'!$AH$26,0),0)+IF('[1]#REF'!$AI$26=Brand_Profile!$H$15,IF(ISNUMBER('[1]#REF'!$AJ$26),'[1]#REF'!$AJ$26,0),0)+IF('[1]#REF'!$AK$26=Brand_Profile!$H$15,IF(ISNUMBER('[1]#REF'!$AL$26),'[1]#REF'!$AL$26,0),0))/Lookup_Lists!$D$317*100,0)))),IF(NOT(ISNUMBER('[1]#REF'!$AM$26)),"N/A",MIN(100,ROUND((IF('[1]#REF'!$AG$26=Brand_Profile!$H$15,IF(ISNUMBER('[1]#REF'!$AH$26),'[1]#REF'!$AH$26,0),0)+IF('[1]#REF'!$AI$26=Brand_Profile!$H$15,IF(ISNUMBER('[1]#REF'!$AJ$26),'[1]#REF'!$AJ$26,0),0)+IF('[1]#REF'!$AK$26=Brand_Profile!$H$15,IF(ISNUMBER('[1]#REF'!$AL$26),'[1]#REF'!$AL$26,0),0))/Lookup_Lists!$D$317*100,0)))*Lookup_Lists!$D$120,0))/(IF(ISNUMBER(IF(NOT(ISNUMBER('[1]#REF'!$AE$26)),"N/A",IF('[1]#REF'!$AD$26&lt;&gt;Brand_Profile!$H$14,Lookup_Lists!$D$151,MIN(100,ROUND('[1]#REF'!$AE$26/Lookup_Lists!$D$316*100,0))))),Lookup_Lists!$D$118,0)+IF(ISNUMBER(IF(NOT(ISNUMBER('[1]#REF'!$AM$26)),"N/A",MIN(100,ROUND((IF('[1]#REF'!$AG$26=Brand_Profile!$H$15,IF(ISNUMBER('[1]#REF'!$AH$26),'[1]#REF'!$AH$26,0),0)+IF('[1]#REF'!$AI$26=Brand_Profile!$H$15,IF(ISNUMBER('[1]#REF'!$AJ$26),'[1]#REF'!$AJ$26,0),0)+IF('[1]#REF'!$AK$26=Brand_Profile!$H$15,IF(ISNUMBER('[1]#REF'!$AL$26),'[1]#REF'!$AL$26,0),0))/Lookup_Lists!$D$317*100,0)))),Lookup_Lists!$D$120,0)),0))</f>
        <v>N/A</v>
      </c>
      <c r="R98" s="65" t="str">
        <f>IF(NOT(ISNUMBER('[1]#REF'!$AN$26)),"N/A",MIN(100,ROUND((IF(ISNUMBER('[1]#REF'!$AO$26),'[1]#REF'!$AO$26*Brand_Profile!$H$17,0)+IF(ISNUMBER('[1]#REF'!$AP$26),'[1]#REF'!$AP$26*Brand_Profile!$H$18,0)+IF(ISNUMBER('[1]#REF'!$AQ$26),'[1]#REF'!$AQ$26*Brand_Profile!$H$19,0)+IF(ISNUMBER('[1]#REF'!$AR$26),'[1]#REF'!$AR$26*Brand_Profile!$H$20,0)+IF(ISNUMBER('[1]#REF'!$AS$26),'[1]#REF'!$AS$26*Brand_Profile!$H$21,0)+IF(ISNUMBER('[1]#REF'!$AT$26),'[1]#REF'!$AT$26*Brand_Profile!$H$22,0)+IF(ISNUMBER('[1]#REF'!$AU$26),'[1]#REF'!$AU$26*Brand_Profile!$H$23,0)+IF(ISNUMBER('[1]#REF'!$AV$26),'[1]#REF'!$AV$26*Brand_Profile!$H$24,0)+IF(ISNUMBER('[1]#REF'!$AW$26),'[1]#REF'!$AW$26*Brand_Profile!$H$25,0)+IF(ISNUMBER('[1]#REF'!$AX$26),'[1]#REF'!$AX$26*Brand_Profile!$H$26,0)+IF(ISNUMBER('[1]#REF'!$AY$26),'[1]#REF'!$AY$26*Brand_Profile!$H$27,0)+IF(ISNUMBER('[1]#REF'!$AZ$26),'[1]#REF'!$AZ$26*Brand_Profile!$H$28,0)+IF(ISNUMBER('[1]#REF'!$BA$26),'[1]#REF'!$BA$26*Brand_Profile!$H$29,0)+IF(ISNUMBER('[1]#REF'!$BB$26),'[1]#REF'!$BB$26*Brand_Profile!$H$30,0)+IF(ISNUMBER('[1]#REF'!$BC$26),'[1]#REF'!$BC$26*Brand_Profile!$H$31,0)+IF(ISNUMBER('[1]#REF'!$BD$26),'[1]#REF'!$BD$26*Brand_Profile!$H$32,0)+IF(ISNUMBER('[1]#REF'!$BE$26),'[1]#REF'!$BE$26*Brand_Profile!$H$33,0)+IF(ISNUMBER('[1]#REF'!$BF$26),'[1]#REF'!$BF$26*Brand_Profile!$H$34,0))/Lookup_Lists!$D$318*100,0)))</f>
        <v>N/A</v>
      </c>
      <c r="S98" s="63" t="str">
        <f>IF((IF(ISNUMBER(Matching_Engine!$O$98),Lookup_Lists!$D$113,0)+IF(ISNUMBER(Matching_Engine!$P$98),Lookup_Lists!$D$114,0)+IF(ISNUMBER(Matching_Engine!$Q$98),Lookup_Lists!$D$115,0)+IF(ISNUMBER(Matching_Engine!$R$98),Lookup_Lists!$D$116,0))=0,"N/A",ROUND((IF(ISNUMBER(Matching_Engine!$O$98),Matching_Engine!$O$98*Lookup_Lists!$D$113,0)+IF(ISNUMBER(Matching_Engine!$P$98),Matching_Engine!$P$98*Lookup_Lists!$D$114,0)+IF(ISNUMBER(Matching_Engine!$Q$98),Matching_Engine!$Q$98*Lookup_Lists!$D$115,0)+IF(ISNUMBER(Matching_Engine!$R$98),Matching_Engine!$R$98*Lookup_Lists!$D$116,0))/(IF(ISNUMBER(Matching_Engine!$O$98),Lookup_Lists!$D$113,0)+IF(ISNUMBER(Matching_Engine!$P$98),Lookup_Lists!$D$114,0)+IF(ISNUMBER(Matching_Engine!$Q$98),Lookup_Lists!$D$115,0)+IF(ISNUMBER(Matching_Engine!$R$98),Lookup_Lists!$D$116,0)),0))</f>
        <v>N/A</v>
      </c>
      <c r="T98" s="42">
        <f>IF(ISNUMBER(Matching_Engine!$S$98),1,0)</f>
        <v>0</v>
      </c>
      <c r="U98" s="65" t="e">
        <f>IF(NOT(AND(ISTEXT('[1]#REF'!$M$26),'[1]#REF'!$M$26&lt;&gt;"N/A")),Lookup_Lists!$D$150,IF(Brand_Profile!$H$7='[1]#REF'!$M$26,100,IFERROR(INDEX(Lookup_Lists!$B$349:$J$357,MATCH(Brand_Profile!$H$7,Lookup_Lists!$A$349:$A$357,0),MATCH('[1]#REF'!$M$26,Lookup_Lists!$B$348:$J$348,0)),Lookup_Lists!$D$151)))</f>
        <v>#REF!</v>
      </c>
      <c r="V98" s="65" t="e">
        <f>IF(NOT(AND(ISTEXT('[1]#REF'!$P$26),'[1]#REF'!$P$26&lt;&gt;"N/A")),"N/A",IFERROR(INDEX(Lookup_Lists!$B$349:$J$357,MATCH(Brand_Profile!$H$7,Lookup_Lists!$A$349:$A$357,0),MATCH('[1]#REF'!$P$26,Lookup_Lists!$B$348:$J$348,0)),Lookup_Lists!$D$151))</f>
        <v>#REF!</v>
      </c>
      <c r="W98" s="65" t="str">
        <f>IF(LEN(TRIM(SUBSTITUTE(Matching_Engine!$BE$98,"|","")))=0,"N/A",IF(Brand_Profile!$H$60=0,Lookup_Lists!$D$150,ROUND((IF(Brand_Profile!$H$54="",0,IF(ISNUMBER(SEARCH(Brand_Profile!$H$54,Matching_Engine!$BE$98)),1,0))+IF(Brand_Profile!$H$55="",0,IF(ISNUMBER(SEARCH(Brand_Profile!$H$55,Matching_Engine!$BE$98)),1,0))+IF(Brand_Profile!$H$56="",0,IF(ISNUMBER(SEARCH(Brand_Profile!$H$56,Matching_Engine!$BE$98)),1,0))+IF(Brand_Profile!$H$57="",0,IF(ISNUMBER(SEARCH(Brand_Profile!$H$57,Matching_Engine!$BE$98)),1,0))+IF(Brand_Profile!$H$58="",0,IF(ISNUMBER(SEARCH(Brand_Profile!$H$58,Matching_Engine!$BE$98)),1,0))+IF(Brand_Profile!$H$59="",0,IF(ISNUMBER(SEARCH(Brand_Profile!$H$59,Matching_Engine!$BE$98)),1,0)))/Brand_Profile!$H$60*100,0)))</f>
        <v>N/A</v>
      </c>
      <c r="X98" s="65" t="e">
        <f>IF(NOT(AND(ISTEXT('[1]#REF'!$Q$26),'[1]#REF'!$Q$26&lt;&gt;"N/A")),"N/A",Lookup_Lists!$D$150)</f>
        <v>#REF!</v>
      </c>
      <c r="Y98" s="63" t="str">
        <f>IF((IF(ISNUMBER(Matching_Engine!$U$98),Lookup_Lists!$D$335,0)+IF(ISNUMBER(Matching_Engine!$V$98),Lookup_Lists!$D$122,0)+IF(ISNUMBER(Matching_Engine!$W$98),Lookup_Lists!$D$336,0)+IF(ISNUMBER(Matching_Engine!$X$98),Lookup_Lists!$D$124,0))=0,"N/A",ROUND((IF(ISNUMBER(Matching_Engine!$U$98),Matching_Engine!$U$98*Lookup_Lists!$D$335,0)+IF(ISNUMBER(Matching_Engine!$V$98),Matching_Engine!$V$98*Lookup_Lists!$D$122,0)+IF(ISNUMBER(Matching_Engine!$W$98),Matching_Engine!$W$98*Lookup_Lists!$D$336,0)+IF(ISNUMBER(Matching_Engine!$X$98),Matching_Engine!$X$98*Lookup_Lists!$D$124,0))/(IF(ISNUMBER(Matching_Engine!$U$98),Lookup_Lists!$D$335,0)+IF(ISNUMBER(Matching_Engine!$V$98),Lookup_Lists!$D$122,0)+IF(ISNUMBER(Matching_Engine!$W$98),Lookup_Lists!$D$336,0)+IF(ISNUMBER(Matching_Engine!$X$98),Lookup_Lists!$D$124,0)),0))</f>
        <v>N/A</v>
      </c>
      <c r="Z98" s="42">
        <f>IF(ISNUMBER(Matching_Engine!$Y$98),1,0)</f>
        <v>0</v>
      </c>
      <c r="AA98" s="65" t="e">
        <f>IF(NOT(AND(ISTEXT('[1]#REF'!$Q$26),'[1]#REF'!$Q$26&lt;&gt;"N/A")),"N/A",Lookup_Lists!$D$150)</f>
        <v>#REF!</v>
      </c>
      <c r="AB98" s="65" t="e">
        <f>IF(NOT(AND(ISTEXT('[1]#REF'!$Q$26),'[1]#REF'!$Q$26&lt;&gt;"N/A")),"N/A",Lookup_Lists!$D$150)</f>
        <v>#REF!</v>
      </c>
      <c r="AC98" s="65" t="str">
        <f t="shared" si="1"/>
        <v>N/A</v>
      </c>
      <c r="AD98" s="65" t="e">
        <f>IF(NOT(AND(ISTEXT('[1]#REF'!$Q$26),'[1]#REF'!$Q$26&lt;&gt;"N/A")),"N/A",Lookup_Lists!$D$150)</f>
        <v>#REF!</v>
      </c>
      <c r="AE98" s="63" t="str">
        <f>IF((IF(ISNUMBER(Matching_Engine!$AA$98),Lookup_Lists!$D$125,0)+IF(ISNUMBER(Matching_Engine!$AB$98),Lookup_Lists!$D$126,0)+IF(ISNUMBER(Matching_Engine!$AC$98),Lookup_Lists!$D$127,0)+IF(ISNUMBER(Matching_Engine!$AD$98),Lookup_Lists!$D$128,0))=0,"N/A",ROUND((IF(ISNUMBER(Matching_Engine!$AA$98),Matching_Engine!$AA$98*Lookup_Lists!$D$125,0)+IF(ISNUMBER(Matching_Engine!$AB$98),Matching_Engine!$AB$98*Lookup_Lists!$D$126,0)+IF(ISNUMBER(Matching_Engine!$AC$98),Matching_Engine!$AC$98*Lookup_Lists!$D$127,0)+IF(ISNUMBER(Matching_Engine!$AD$98),Matching_Engine!$AD$98*Lookup_Lists!$D$128,0))/(IF(ISNUMBER(Matching_Engine!$AA$98),Lookup_Lists!$D$125,0)+IF(ISNUMBER(Matching_Engine!$AB$98),Lookup_Lists!$D$126,0)+IF(ISNUMBER(Matching_Engine!$AC$98),Lookup_Lists!$D$127,0)+IF(ISNUMBER(Matching_Engine!$AD$98),Lookup_Lists!$D$128,0)),0))</f>
        <v>N/A</v>
      </c>
      <c r="AF98" s="42">
        <f>IF(ISNUMBER(Matching_Engine!$AE$98),1,0)</f>
        <v>0</v>
      </c>
      <c r="AG98" s="65" t="str">
        <f>IF(NOT(ISNUMBER('[1]#REF'!$BG$26)),"N/A",MIN(100,ROUND('[1]#REF'!$BG$26/IFERROR(INDEX(Lookup_Lists!$B$340:$B$344,MATCH('[1]#REF'!$H$26,Lookup_Lists!$A$340:$A$344,0)),Lookup_Lists!$D$141)*100,0)))</f>
        <v>N/A</v>
      </c>
      <c r="AH98" s="65" t="str">
        <f>IF(NOT(ISNUMBER('[1]#REF'!$BS$26)),"N/A",MIN(100,MAX(0,'[1]#REF'!$BS$26)))</f>
        <v>N/A</v>
      </c>
      <c r="AI98" s="65" t="e">
        <f>IF(OR(NOT(ISNUMBER('[1]#REF'!$BM$26)),NOT(ISNUMBER('[1]#REF'!$BN$26)),'[1]#REF'!$BN$26&lt;Lookup_Lists!$D$320),"N/A",MIN(100,ROUND('[1]#REF'!$BM$26/Lookup_Lists!$D$319*100,0)))</f>
        <v>#REF!</v>
      </c>
      <c r="AJ98" s="65" t="str">
        <f>IF(NOT(ISNUMBER('[1]#REF'!$BR$26)),"N/A",'[1]#REF'!$BR$26)</f>
        <v>N/A</v>
      </c>
      <c r="AK98" s="65" t="str">
        <f>IF(NOT(ISNUMBER('[1]#REF'!$BK$26)),"N/A",MIN(100,ROUND('[1]#REF'!$BK$26/Lookup_Lists!$D$321*100,0)))</f>
        <v>N/A</v>
      </c>
      <c r="AL98" s="65" t="str">
        <f>IF(NOT(ISNUMBER('[1]#REF'!$BP$26)),"N/A",MIN(100,MAX(0,ROUND(('[1]#REF'!$BP$26+2)/(Lookup_Lists!$D$145+2)*100,0))))</f>
        <v>N/A</v>
      </c>
      <c r="AM98" s="63" t="str">
        <f>IF((IF(ISNUMBER(Matching_Engine!$AG$98),Lookup_Lists!$D$129,0)+IF(ISNUMBER(Matching_Engine!$AH$98),Lookup_Lists!$D$130,0)+IF(ISNUMBER(Matching_Engine!$AI$98),Lookup_Lists!$D$131,0)+IF(ISNUMBER(Matching_Engine!$AJ$98),Lookup_Lists!$D$132,0)+IF(ISNUMBER(Matching_Engine!$AK$98),Lookup_Lists!$D$133,0)+IF(ISNUMBER(Matching_Engine!$AL$98),Lookup_Lists!$D$134,0))=0,"N/A",ROUND((IF(ISNUMBER(Matching_Engine!$AG$98),Matching_Engine!$AG$98*Lookup_Lists!$D$129,0)+IF(ISNUMBER(Matching_Engine!$AH$98),Matching_Engine!$AH$98*Lookup_Lists!$D$130,0)+IF(ISNUMBER(Matching_Engine!$AI$98),Matching_Engine!$AI$98*Lookup_Lists!$D$131,0)+IF(ISNUMBER(Matching_Engine!$AJ$98),Matching_Engine!$AJ$98*Lookup_Lists!$D$132,0)+IF(ISNUMBER(Matching_Engine!$AK$98),Matching_Engine!$AK$98*Lookup_Lists!$D$133,0)+IF(ISNUMBER(Matching_Engine!$AL$98),Matching_Engine!$AL$98*Lookup_Lists!$D$134,0))/(IF(ISNUMBER(Matching_Engine!$AG$98),Lookup_Lists!$D$129,0)+IF(ISNUMBER(Matching_Engine!$AH$98),Lookup_Lists!$D$130,0)+IF(ISNUMBER(Matching_Engine!$AI$98),Lookup_Lists!$D$131,0)+IF(ISNUMBER(Matching_Engine!$AJ$98),Lookup_Lists!$D$132,0)+IF(ISNUMBER(Matching_Engine!$AK$98),Lookup_Lists!$D$133,0)+IF(ISNUMBER(Matching_Engine!$AL$98),Lookup_Lists!$D$134,0)),0))</f>
        <v>N/A</v>
      </c>
      <c r="AN98" s="42">
        <f>IF(ISNUMBER(Matching_Engine!$AM$98),1,0)</f>
        <v>0</v>
      </c>
      <c r="AO98" s="65" t="str">
        <f>IF(NOT(ISNUMBER('[1]#REF'!$BT$26)),"N/A",MIN(100,MAX(0,'[1]#REF'!$BT$26)))</f>
        <v>N/A</v>
      </c>
      <c r="AP98" s="65" t="str">
        <f>IF(NOT(ISNUMBER('[1]#REF'!$BU$26)),"N/A",MIN(100,MAX(0,'[1]#REF'!$BU$26)))</f>
        <v>N/A</v>
      </c>
      <c r="AQ98" s="65" t="e">
        <f>IF('[1]#REF'!$I$26="Yes",Lookup_Lists!$D$326,IF('[1]#REF'!$I$26="No",Lookup_Lists!$D$327,"N/A"))</f>
        <v>#REF!</v>
      </c>
      <c r="AR98" s="65" t="str">
        <f>IF(NOT(ISNUMBER('[1]#REF'!$BQ$26)),"N/A",MAX(0,ROUND(100-'[1]#REF'!$BQ$26/Lookup_Lists!$D$328*100,0)))</f>
        <v>N/A</v>
      </c>
      <c r="AS98" s="65" t="e">
        <f>IF(NOT(AND(ISTEXT('[1]#REF'!$BV$26),'[1]#REF'!$BV$26&lt;&gt;"N/A")),"N/A",'[1]#REF'!$BV$26)</f>
        <v>#REF!</v>
      </c>
      <c r="AT98" s="63" t="str">
        <f>IF((IF(ISNUMBER(Matching_Engine!$AO$98),Lookup_Lists!$D$322,0)+IF(ISNUMBER(Matching_Engine!$AP$98),Lookup_Lists!$D$323,0)+IF(ISNUMBER(Matching_Engine!$AQ$98),Lookup_Lists!$D$324,0)+IF(ISNUMBER(Matching_Engine!$AR$98),Lookup_Lists!$D$325,0))=0,"N/A",ROUND((IF(ISNUMBER(Matching_Engine!$AO$98),Matching_Engine!$AO$98*Lookup_Lists!$D$322,0)+IF(ISNUMBER(Matching_Engine!$AP$98),Matching_Engine!$AP$98*Lookup_Lists!$D$323,0)+IF(ISNUMBER(Matching_Engine!$AQ$98),Matching_Engine!$AQ$98*Lookup_Lists!$D$324,0)+IF(ISNUMBER(Matching_Engine!$AR$98),Matching_Engine!$AR$98*Lookup_Lists!$D$325,0))/(IF(ISNUMBER(Matching_Engine!$AO$98),Lookup_Lists!$D$322,0)+IF(ISNUMBER(Matching_Engine!$AP$98),Lookup_Lists!$D$323,0)+IF(ISNUMBER(Matching_Engine!$AQ$98),Lookup_Lists!$D$324,0)+IF(ISNUMBER(Matching_Engine!$AR$98),Lookup_Lists!$D$325,0)),0))</f>
        <v>N/A</v>
      </c>
      <c r="AU98" s="42">
        <f>IF(ISNUMBER(Matching_Engine!$AT$98),1,0)</f>
        <v>0</v>
      </c>
      <c r="AV98" s="42" t="str">
        <f>IF(NOT(ISNUMBER(Matching_Engine!$AT$98)),"Not Screened",IF(Matching_Engine!$AT$98&gt;=Lookup_Lists!$D$329,"Low Risk",IF(Matching_Engine!$AT$98&gt;=Lookup_Lists!$D$330,"Moderate Risk",IF(Matching_Engine!$AT$98&gt;=Lookup_Lists!$D$331,"Elevated Risk","High Risk"))))</f>
        <v>Not Screened</v>
      </c>
      <c r="AW98" s="42" t="str">
        <f>IF(NOT(ISNUMBER(Matching_Engine!$AT$98)),"No integrity signal: no audience-analysis row for this account.","Integrity screen only — no content-risk reading exists (comments_analysis: 0 rows). "&amp;IF(ISNUMBER(Matching_Engine!$AO$98),"Authenticity "&amp;Matching_Engine!$AO$98&amp;". ","Authenticity N/A. ")&amp;IF(ISNUMBER(Matching_Engine!$AP$98),"Follower quality "&amp;Matching_Engine!$AP$98&amp;". ","Follower quality N/A. ")&amp;IF('[1]#REF'!$I$26="Yes","Platform-verified.","Not platform-verified."))</f>
        <v>No integrity signal: no audience-analysis row for this account.</v>
      </c>
      <c r="AX98" s="65">
        <f>Matching_Engine!$N$98*Lookup_Lists!$D$104+Matching_Engine!$T$98*Lookup_Lists!$D$105+Matching_Engine!$Z$98*Lookup_Lists!$D$106+Matching_Engine!$AF$98*Lookup_Lists!$D$107+Matching_Engine!$AN$98*Lookup_Lists!$D$108+Matching_Engine!$AU$98*Lookup_Lists!$D$109</f>
        <v>0</v>
      </c>
      <c r="AY98" s="74" t="str">
        <f>IF(Matching_Engine!$AX$98=0,"N/A",ROUND((IF(Matching_Engine!$N$98=1,Matching_Engine!$M$98*Lookup_Lists!$D$104,0)+IF(Matching_Engine!$T$98=1,Matching_Engine!$S$98*Lookup_Lists!$D$105,0)+IF(Matching_Engine!$Z$98=1,Matching_Engine!$Y$98*Lookup_Lists!$D$106,0)+IF(Matching_Engine!$AF$98=1,Matching_Engine!$AE$98*Lookup_Lists!$D$107,0)+IF(Matching_Engine!$AN$98=1,Matching_Engine!$AM$98*Lookup_Lists!$D$108,0)+IF(Matching_Engine!$AU$98=1,Matching_Engine!$AT$98*Lookup_Lists!$D$109,0))/Matching_Engine!$AX$98,0))</f>
        <v>N/A</v>
      </c>
      <c r="AZ98" s="42" t="str">
        <f>IF(NOT(ISNUMBER(Matching_Engine!$AY$98)),"Not Scored",IF(Matching_Engine!$AY$98&gt;=Lookup_Lists!$D$152,"Excellent Match",IF(Matching_Engine!$AY$98&gt;=Lookup_Lists!$D$153,"Strong Match",IF(Matching_Engine!$AY$98&gt;=Lookup_Lists!$D$154,"Good Match",IF(Matching_Engine!$AY$98&gt;=Lookup_Lists!$D$155,"Moderate Match","Low Match")))))</f>
        <v>Not Scored</v>
      </c>
      <c r="BA98" s="65" t="e">
        <f>'[1]#REF'!$BW$26</f>
        <v>#REF!</v>
      </c>
      <c r="BB98" s="42" t="e">
        <f>'[1]#REF'!$BX$26</f>
        <v>#REF!</v>
      </c>
      <c r="BC98" s="65">
        <f>IF(NOT(ISNUMBER(Matching_Engine!$AY$98)),-1,Matching_Engine!$AY$98*1000+4)</f>
        <v>-1</v>
      </c>
      <c r="BD98" s="42" t="e">
        <f>IF(AND(ISTEXT('[1]#REF'!$S$26),'[1]#REF'!$S$26&lt;&gt;"N/A"),'[1]#REF'!$S$26,"")&amp;" | "&amp;IF(AND(ISTEXT('[1]#REF'!$T$26),'[1]#REF'!$T$26&lt;&gt;"N/A"),'[1]#REF'!$T$26,"")&amp;" | "&amp;IF(AND(ISTEXT('[1]#REF'!$N$26),'[1]#REF'!$N$26&lt;&gt;"N/A"),'[1]#REF'!$N$26,"")&amp;" | "&amp;IF(AND(ISTEXT('[1]#REF'!$K$26),'[1]#REF'!$K$26&lt;&gt;"N/A"),'[1]#REF'!$K$26,"")&amp;" | "&amp;IF(AND(ISTEXT('[1]#REF'!$J$26),'[1]#REF'!$J$26&lt;&gt;"N/A"),'[1]#REF'!$J$26,"")</f>
        <v>#REF!</v>
      </c>
      <c r="BE98" s="42" t="e">
        <f>IF(AND(ISTEXT('[1]#REF'!$T$26),'[1]#REF'!$T$26&lt;&gt;"N/A"),'[1]#REF'!$T$26,"")&amp;" | "&amp;IF(AND(ISTEXT('[1]#REF'!$N$26),'[1]#REF'!$N$26&lt;&gt;"N/A"),'[1]#REF'!$N$26,"")&amp;" | "&amp;IF(AND(ISTEXT('[1]#REF'!$O$26),'[1]#REF'!$O$26&lt;&gt;"N/A"),'[1]#REF'!$O$26,"")&amp;" | "&amp;IF(AND(ISTEXT('[1]#REF'!$S$26),'[1]#REF'!$S$26&lt;&gt;"N/A"),'[1]#REF'!$S$26,"")</f>
        <v>#REF!</v>
      </c>
      <c r="BF98" s="42" t="e">
        <f>IF(AND(ISTEXT('[1]#REF'!$U$26),'[1]#REF'!$U$26&lt;&gt;"N/A"),'[1]#REF'!$U$26,"")</f>
        <v>#REF!</v>
      </c>
      <c r="BG98" s="42" t="str">
        <f>Matching_Engine!$A$98&amp;"|"&amp;Matching_Engine!$C$98</f>
        <v>|</v>
      </c>
    </row>
    <row r="99" spans="1:59">
      <c r="A99" s="64" t="s">
        <v>2530</v>
      </c>
      <c r="B99" s="42" t="str">
        <f>Brand_Profile!$H$6</f>
        <v>Input type / allowed values</v>
      </c>
      <c r="C99" s="42" t="e">
        <f>'[1]#REF'!$A$27</f>
        <v>#REF!</v>
      </c>
      <c r="D99" s="42" t="e">
        <f>'[1]#REF'!$C$27</f>
        <v>#REF!</v>
      </c>
      <c r="E99" s="42" t="e">
        <f>'[1]#REF'!$D$27</f>
        <v>#REF!</v>
      </c>
      <c r="F99" s="42" t="e">
        <f>'[1]#REF'!$E$27</f>
        <v>#REF!</v>
      </c>
      <c r="G99" s="42" t="e">
        <f>'[1]#REF'!$K$27</f>
        <v>#REF!</v>
      </c>
      <c r="H99" s="72" t="e">
        <f>'[1]#REF'!$G$27</f>
        <v>#REF!</v>
      </c>
      <c r="I99" s="73" t="e">
        <f>'[1]#REF'!$BG$27</f>
        <v>#REF!</v>
      </c>
      <c r="J99" s="65" t="e">
        <f>IF(NOT(AND(ISTEXT('[1]#REF'!$K$27),'[1]#REF'!$K$27&lt;&gt;"N/A")),Lookup_Lists!$D$150,IF(Brand_Profile!$H$7='[1]#REF'!$K$27,100,IFERROR(INDEX(Lookup_Lists!$B$349:$J$357,MATCH(Brand_Profile!$H$7,Lookup_Lists!$A$349:$A$357,0),MATCH('[1]#REF'!$K$27,Lookup_Lists!$B$348:$J$348,0)),Lookup_Lists!$D$151)))</f>
        <v>#REF!</v>
      </c>
      <c r="K99" s="65" t="str">
        <f>IF(LEN(TRIM(SUBSTITUTE(Matching_Engine!$BD$99,"|","")))=0,"N/A",IF(Brand_Profile!$H$47=0,Lookup_Lists!$D$150,ROUND((IF(Brand_Profile!$H$41="",0,IF(ISNUMBER(SEARCH(Brand_Profile!$H$41,Matching_Engine!$BD$99)),1,0))+IF(Brand_Profile!$H$42="",0,IF(ISNUMBER(SEARCH(Brand_Profile!$H$42,Matching_Engine!$BD$99)),1,0))+IF(Brand_Profile!$H$43="",0,IF(ISNUMBER(SEARCH(Brand_Profile!$H$43,Matching_Engine!$BD$99)),1,0))+IF(Brand_Profile!$H$44="",0,IF(ISNUMBER(SEARCH(Brand_Profile!$H$44,Matching_Engine!$BD$99)),1,0))+IF(Brand_Profile!$H$45="",0,IF(ISNUMBER(SEARCH(Brand_Profile!$H$45,Matching_Engine!$BD$99)),1,0))+IF(Brand_Profile!$H$46="",0,IF(ISNUMBER(SEARCH(Brand_Profile!$H$46,Matching_Engine!$BD$99)),1,0)))/Brand_Profile!$H$47*100,0)))</f>
        <v>N/A</v>
      </c>
      <c r="L99" s="65" t="e">
        <f>IF(NOT(AND(ISTEXT('[1]#REF'!$U$27),'[1]#REF'!$U$27&lt;&gt;"N/A")),"N/A",IF(Brand_Profile!$H$53=0,Lookup_Lists!$D$150,ROUND((IF(Brand_Profile!$H$48="",0,IF(ISNUMBER(SEARCH(Brand_Profile!$H$48,Matching_Engine!$BF$99)),1,0))+IF(Brand_Profile!$H$49="",0,IF(ISNUMBER(SEARCH(Brand_Profile!$H$49,Matching_Engine!$BF$99)),1,0))+IF(Brand_Profile!$H$50="",0,IF(ISNUMBER(SEARCH(Brand_Profile!$H$50,Matching_Engine!$BF$99)),1,0))+IF(Brand_Profile!$H$51="",0,IF(ISNUMBER(SEARCH(Brand_Profile!$H$51,Matching_Engine!$BF$99)),1,0))+IF(Brand_Profile!$H$52="",0,IF(ISNUMBER(SEARCH(Brand_Profile!$H$52,Matching_Engine!$BF$99)),1,0)))/Brand_Profile!$H$53*100,0)))</f>
        <v>#REF!</v>
      </c>
      <c r="M99" s="63" t="str">
        <f>IF((IF(ISNUMBER(Matching_Engine!$J$99),Lookup_Lists!$D$332,0)+IF(ISNUMBER(Matching_Engine!$K$99),Lookup_Lists!$D$333,0)+IF(ISNUMBER(Matching_Engine!$L$99),Lookup_Lists!$D$334,0))=0,"N/A",ROUND((IF(ISNUMBER(Matching_Engine!$J$99),Matching_Engine!$J$99*Lookup_Lists!$D$332,0)+IF(ISNUMBER(Matching_Engine!$K$99),Matching_Engine!$K$99*Lookup_Lists!$D$333,0)+IF(ISNUMBER(Matching_Engine!$L$99),Matching_Engine!$L$99*Lookup_Lists!$D$334,0))/(IF(ISNUMBER(Matching_Engine!$J$99),Lookup_Lists!$D$332,0)+IF(ISNUMBER(Matching_Engine!$K$99),Lookup_Lists!$D$333,0)+IF(ISNUMBER(Matching_Engine!$L$99),Lookup_Lists!$D$334,0)),0))</f>
        <v>N/A</v>
      </c>
      <c r="N99" s="42">
        <f>IF(ISNUMBER(Matching_Engine!$M$99),1,0)</f>
        <v>0</v>
      </c>
      <c r="O99" s="65" t="str">
        <f ca="1">IF(NOT(ISNUMBER(IFERROR(INDEX('[1]#REF'!$V$27:'[1]#REF'!$Z$27,1,MATCH(Brand_Profile!$H$11,Lookup_Lists!$F$6:$F$10,0)),""))),"N/A",MIN(100,ROUND((IFERROR(INDEX('[1]#REF'!$V$27:'[1]#REF'!$Z$27,1,MATCH(Brand_Profile!$H$11,Lookup_Lists!$F$6:$F$10,0)),"")+0.5*IF(ISNUMBER(IFERROR(INDEX('[1]#REF'!$V$27:'[1]#REF'!$Z$27,1,MATCH(Brand_Profile!$H$12,Lookup_Lists!$F$6:$F$10,0)),"")),IFERROR(INDEX('[1]#REF'!$V$27:'[1]#REF'!$Z$27,1,MATCH(Brand_Profile!$H$12,Lookup_Lists!$F$6:$F$10,0)),""),0))/Lookup_Lists!$D$142*100,0)))</f>
        <v>N/A</v>
      </c>
      <c r="P99" s="65" t="str">
        <f>IF(Brand_Profile!$H$13="Any",100,IF(NOT(ISNUMBER('[1]#REF'!$AA$27)),"N/A",IF(Brand_Profile!$H$13="Female",MIN(100,ROUND('[1]#REF'!$AA$27/Lookup_Lists!$D$143*100,0)),IF(Brand_Profile!$H$13="Male",MIN(100,ROUND(IF(ISNUMBER('[1]#REF'!$AB$27),'[1]#REF'!$AB$27,100-'[1]#REF'!$AA$27)/Lookup_Lists!$D$143*100,0)),MAX(0,ROUND(100-ABS('[1]#REF'!$AA$27-50)*2,0))))))</f>
        <v>N/A</v>
      </c>
      <c r="Q99" s="65" t="str">
        <f>IF((IF(ISNUMBER(IF(NOT(ISNUMBER('[1]#REF'!$AE$27)),"N/A",IF('[1]#REF'!$AD$27&lt;&gt;Brand_Profile!$H$14,Lookup_Lists!$D$151,MIN(100,ROUND('[1]#REF'!$AE$27/Lookup_Lists!$D$316*100,0))))),Lookup_Lists!$D$118,0)+IF(ISNUMBER(IF(NOT(ISNUMBER('[1]#REF'!$AM$27)),"N/A",MIN(100,ROUND((IF('[1]#REF'!$AG$27=Brand_Profile!$H$15,IF(ISNUMBER('[1]#REF'!$AH$27),'[1]#REF'!$AH$27,0),0)+IF('[1]#REF'!$AI$27=Brand_Profile!$H$15,IF(ISNUMBER('[1]#REF'!$AJ$27),'[1]#REF'!$AJ$27,0),0)+IF('[1]#REF'!$AK$27=Brand_Profile!$H$15,IF(ISNUMBER('[1]#REF'!$AL$27),'[1]#REF'!$AL$27,0),0))/Lookup_Lists!$D$317*100,0)))),Lookup_Lists!$D$120,0))=0,"N/A",ROUND((IF(ISNUMBER(IF(NOT(ISNUMBER('[1]#REF'!$AE$27)),"N/A",IF('[1]#REF'!$AD$27&lt;&gt;Brand_Profile!$H$14,Lookup_Lists!$D$151,MIN(100,ROUND('[1]#REF'!$AE$27/Lookup_Lists!$D$316*100,0))))),IF(NOT(ISNUMBER('[1]#REF'!$AE$27)),"N/A",IF('[1]#REF'!$AD$27&lt;&gt;Brand_Profile!$H$14,Lookup_Lists!$D$151,MIN(100,ROUND('[1]#REF'!$AE$27/Lookup_Lists!$D$316*100,0))))*Lookup_Lists!$D$118,0)+IF(ISNUMBER(IF(NOT(ISNUMBER('[1]#REF'!$AM$27)),"N/A",MIN(100,ROUND((IF('[1]#REF'!$AG$27=Brand_Profile!$H$15,IF(ISNUMBER('[1]#REF'!$AH$27),'[1]#REF'!$AH$27,0),0)+IF('[1]#REF'!$AI$27=Brand_Profile!$H$15,IF(ISNUMBER('[1]#REF'!$AJ$27),'[1]#REF'!$AJ$27,0),0)+IF('[1]#REF'!$AK$27=Brand_Profile!$H$15,IF(ISNUMBER('[1]#REF'!$AL$27),'[1]#REF'!$AL$27,0),0))/Lookup_Lists!$D$317*100,0)))),IF(NOT(ISNUMBER('[1]#REF'!$AM$27)),"N/A",MIN(100,ROUND((IF('[1]#REF'!$AG$27=Brand_Profile!$H$15,IF(ISNUMBER('[1]#REF'!$AH$27),'[1]#REF'!$AH$27,0),0)+IF('[1]#REF'!$AI$27=Brand_Profile!$H$15,IF(ISNUMBER('[1]#REF'!$AJ$27),'[1]#REF'!$AJ$27,0),0)+IF('[1]#REF'!$AK$27=Brand_Profile!$H$15,IF(ISNUMBER('[1]#REF'!$AL$27),'[1]#REF'!$AL$27,0),0))/Lookup_Lists!$D$317*100,0)))*Lookup_Lists!$D$120,0))/(IF(ISNUMBER(IF(NOT(ISNUMBER('[1]#REF'!$AE$27)),"N/A",IF('[1]#REF'!$AD$27&lt;&gt;Brand_Profile!$H$14,Lookup_Lists!$D$151,MIN(100,ROUND('[1]#REF'!$AE$27/Lookup_Lists!$D$316*100,0))))),Lookup_Lists!$D$118,0)+IF(ISNUMBER(IF(NOT(ISNUMBER('[1]#REF'!$AM$27)),"N/A",MIN(100,ROUND((IF('[1]#REF'!$AG$27=Brand_Profile!$H$15,IF(ISNUMBER('[1]#REF'!$AH$27),'[1]#REF'!$AH$27,0),0)+IF('[1]#REF'!$AI$27=Brand_Profile!$H$15,IF(ISNUMBER('[1]#REF'!$AJ$27),'[1]#REF'!$AJ$27,0),0)+IF('[1]#REF'!$AK$27=Brand_Profile!$H$15,IF(ISNUMBER('[1]#REF'!$AL$27),'[1]#REF'!$AL$27,0),0))/Lookup_Lists!$D$317*100,0)))),Lookup_Lists!$D$120,0)),0))</f>
        <v>N/A</v>
      </c>
      <c r="R99" s="65" t="str">
        <f>IF(NOT(ISNUMBER('[1]#REF'!$AN$27)),"N/A",MIN(100,ROUND((IF(ISNUMBER('[1]#REF'!$AO$27),'[1]#REF'!$AO$27*Brand_Profile!$H$17,0)+IF(ISNUMBER('[1]#REF'!$AP$27),'[1]#REF'!$AP$27*Brand_Profile!$H$18,0)+IF(ISNUMBER('[1]#REF'!$AQ$27),'[1]#REF'!$AQ$27*Brand_Profile!$H$19,0)+IF(ISNUMBER('[1]#REF'!$AR$27),'[1]#REF'!$AR$27*Brand_Profile!$H$20,0)+IF(ISNUMBER('[1]#REF'!$AS$27),'[1]#REF'!$AS$27*Brand_Profile!$H$21,0)+IF(ISNUMBER('[1]#REF'!$AT$27),'[1]#REF'!$AT$27*Brand_Profile!$H$22,0)+IF(ISNUMBER('[1]#REF'!$AU$27),'[1]#REF'!$AU$27*Brand_Profile!$H$23,0)+IF(ISNUMBER('[1]#REF'!$AV$27),'[1]#REF'!$AV$27*Brand_Profile!$H$24,0)+IF(ISNUMBER('[1]#REF'!$AW$27),'[1]#REF'!$AW$27*Brand_Profile!$H$25,0)+IF(ISNUMBER('[1]#REF'!$AX$27),'[1]#REF'!$AX$27*Brand_Profile!$H$26,0)+IF(ISNUMBER('[1]#REF'!$AY$27),'[1]#REF'!$AY$27*Brand_Profile!$H$27,0)+IF(ISNUMBER('[1]#REF'!$AZ$27),'[1]#REF'!$AZ$27*Brand_Profile!$H$28,0)+IF(ISNUMBER('[1]#REF'!$BA$27),'[1]#REF'!$BA$27*Brand_Profile!$H$29,0)+IF(ISNUMBER('[1]#REF'!$BB$27),'[1]#REF'!$BB$27*Brand_Profile!$H$30,0)+IF(ISNUMBER('[1]#REF'!$BC$27),'[1]#REF'!$BC$27*Brand_Profile!$H$31,0)+IF(ISNUMBER('[1]#REF'!$BD$27),'[1]#REF'!$BD$27*Brand_Profile!$H$32,0)+IF(ISNUMBER('[1]#REF'!$BE$27),'[1]#REF'!$BE$27*Brand_Profile!$H$33,0)+IF(ISNUMBER('[1]#REF'!$BF$27),'[1]#REF'!$BF$27*Brand_Profile!$H$34,0))/Lookup_Lists!$D$318*100,0)))</f>
        <v>N/A</v>
      </c>
      <c r="S99" s="63" t="str">
        <f>IF((IF(ISNUMBER(Matching_Engine!$O$99),Lookup_Lists!$D$113,0)+IF(ISNUMBER(Matching_Engine!$P$99),Lookup_Lists!$D$114,0)+IF(ISNUMBER(Matching_Engine!$Q$99),Lookup_Lists!$D$115,0)+IF(ISNUMBER(Matching_Engine!$R$99),Lookup_Lists!$D$116,0))=0,"N/A",ROUND((IF(ISNUMBER(Matching_Engine!$O$99),Matching_Engine!$O$99*Lookup_Lists!$D$113,0)+IF(ISNUMBER(Matching_Engine!$P$99),Matching_Engine!$P$99*Lookup_Lists!$D$114,0)+IF(ISNUMBER(Matching_Engine!$Q$99),Matching_Engine!$Q$99*Lookup_Lists!$D$115,0)+IF(ISNUMBER(Matching_Engine!$R$99),Matching_Engine!$R$99*Lookup_Lists!$D$116,0))/(IF(ISNUMBER(Matching_Engine!$O$99),Lookup_Lists!$D$113,0)+IF(ISNUMBER(Matching_Engine!$P$99),Lookup_Lists!$D$114,0)+IF(ISNUMBER(Matching_Engine!$Q$99),Lookup_Lists!$D$115,0)+IF(ISNUMBER(Matching_Engine!$R$99),Lookup_Lists!$D$116,0)),0))</f>
        <v>N/A</v>
      </c>
      <c r="T99" s="42">
        <f>IF(ISNUMBER(Matching_Engine!$S$99),1,0)</f>
        <v>0</v>
      </c>
      <c r="U99" s="65" t="e">
        <f>IF(NOT(AND(ISTEXT('[1]#REF'!$M$27),'[1]#REF'!$M$27&lt;&gt;"N/A")),Lookup_Lists!$D$150,IF(Brand_Profile!$H$7='[1]#REF'!$M$27,100,IFERROR(INDEX(Lookup_Lists!$B$349:$J$357,MATCH(Brand_Profile!$H$7,Lookup_Lists!$A$349:$A$357,0),MATCH('[1]#REF'!$M$27,Lookup_Lists!$B$348:$J$348,0)),Lookup_Lists!$D$151)))</f>
        <v>#REF!</v>
      </c>
      <c r="V99" s="65" t="e">
        <f>IF(NOT(AND(ISTEXT('[1]#REF'!$P$27),'[1]#REF'!$P$27&lt;&gt;"N/A")),"N/A",IFERROR(INDEX(Lookup_Lists!$B$349:$J$357,MATCH(Brand_Profile!$H$7,Lookup_Lists!$A$349:$A$357,0),MATCH('[1]#REF'!$P$27,Lookup_Lists!$B$348:$J$348,0)),Lookup_Lists!$D$151))</f>
        <v>#REF!</v>
      </c>
      <c r="W99" s="65" t="str">
        <f>IF(LEN(TRIM(SUBSTITUTE(Matching_Engine!$BE$99,"|","")))=0,"N/A",IF(Brand_Profile!$H$60=0,Lookup_Lists!$D$150,ROUND((IF(Brand_Profile!$H$54="",0,IF(ISNUMBER(SEARCH(Brand_Profile!$H$54,Matching_Engine!$BE$99)),1,0))+IF(Brand_Profile!$H$55="",0,IF(ISNUMBER(SEARCH(Brand_Profile!$H$55,Matching_Engine!$BE$99)),1,0))+IF(Brand_Profile!$H$56="",0,IF(ISNUMBER(SEARCH(Brand_Profile!$H$56,Matching_Engine!$BE$99)),1,0))+IF(Brand_Profile!$H$57="",0,IF(ISNUMBER(SEARCH(Brand_Profile!$H$57,Matching_Engine!$BE$99)),1,0))+IF(Brand_Profile!$H$58="",0,IF(ISNUMBER(SEARCH(Brand_Profile!$H$58,Matching_Engine!$BE$99)),1,0))+IF(Brand_Profile!$H$59="",0,IF(ISNUMBER(SEARCH(Brand_Profile!$H$59,Matching_Engine!$BE$99)),1,0)))/Brand_Profile!$H$60*100,0)))</f>
        <v>N/A</v>
      </c>
      <c r="X99" s="65" t="e">
        <f>IF(NOT(AND(ISTEXT('[1]#REF'!$Q$27),'[1]#REF'!$Q$27&lt;&gt;"N/A")),"N/A",Lookup_Lists!$D$150)</f>
        <v>#REF!</v>
      </c>
      <c r="Y99" s="63" t="str">
        <f>IF((IF(ISNUMBER(Matching_Engine!$U$99),Lookup_Lists!$D$335,0)+IF(ISNUMBER(Matching_Engine!$V$99),Lookup_Lists!$D$122,0)+IF(ISNUMBER(Matching_Engine!$W$99),Lookup_Lists!$D$336,0)+IF(ISNUMBER(Matching_Engine!$X$99),Lookup_Lists!$D$124,0))=0,"N/A",ROUND((IF(ISNUMBER(Matching_Engine!$U$99),Matching_Engine!$U$99*Lookup_Lists!$D$335,0)+IF(ISNUMBER(Matching_Engine!$V$99),Matching_Engine!$V$99*Lookup_Lists!$D$122,0)+IF(ISNUMBER(Matching_Engine!$W$99),Matching_Engine!$W$99*Lookup_Lists!$D$336,0)+IF(ISNUMBER(Matching_Engine!$X$99),Matching_Engine!$X$99*Lookup_Lists!$D$124,0))/(IF(ISNUMBER(Matching_Engine!$U$99),Lookup_Lists!$D$335,0)+IF(ISNUMBER(Matching_Engine!$V$99),Lookup_Lists!$D$122,0)+IF(ISNUMBER(Matching_Engine!$W$99),Lookup_Lists!$D$336,0)+IF(ISNUMBER(Matching_Engine!$X$99),Lookup_Lists!$D$124,0)),0))</f>
        <v>N/A</v>
      </c>
      <c r="Z99" s="42">
        <f>IF(ISNUMBER(Matching_Engine!$Y$99),1,0)</f>
        <v>0</v>
      </c>
      <c r="AA99" s="65" t="e">
        <f>IF(NOT(AND(ISTEXT('[1]#REF'!$Q$27),'[1]#REF'!$Q$27&lt;&gt;"N/A")),"N/A",Lookup_Lists!$D$150)</f>
        <v>#REF!</v>
      </c>
      <c r="AB99" s="65" t="e">
        <f>IF(NOT(AND(ISTEXT('[1]#REF'!$Q$27),'[1]#REF'!$Q$27&lt;&gt;"N/A")),"N/A",Lookup_Lists!$D$150)</f>
        <v>#REF!</v>
      </c>
      <c r="AC99" s="65" t="str">
        <f t="shared" si="1"/>
        <v>N/A</v>
      </c>
      <c r="AD99" s="65" t="e">
        <f>IF(NOT(AND(ISTEXT('[1]#REF'!$Q$27),'[1]#REF'!$Q$27&lt;&gt;"N/A")),"N/A",Lookup_Lists!$D$150)</f>
        <v>#REF!</v>
      </c>
      <c r="AE99" s="63" t="str">
        <f>IF((IF(ISNUMBER(Matching_Engine!$AA$99),Lookup_Lists!$D$125,0)+IF(ISNUMBER(Matching_Engine!$AB$99),Lookup_Lists!$D$126,0)+IF(ISNUMBER(Matching_Engine!$AC$99),Lookup_Lists!$D$127,0)+IF(ISNUMBER(Matching_Engine!$AD$99),Lookup_Lists!$D$128,0))=0,"N/A",ROUND((IF(ISNUMBER(Matching_Engine!$AA$99),Matching_Engine!$AA$99*Lookup_Lists!$D$125,0)+IF(ISNUMBER(Matching_Engine!$AB$99),Matching_Engine!$AB$99*Lookup_Lists!$D$126,0)+IF(ISNUMBER(Matching_Engine!$AC$99),Matching_Engine!$AC$99*Lookup_Lists!$D$127,0)+IF(ISNUMBER(Matching_Engine!$AD$99),Matching_Engine!$AD$99*Lookup_Lists!$D$128,0))/(IF(ISNUMBER(Matching_Engine!$AA$99),Lookup_Lists!$D$125,0)+IF(ISNUMBER(Matching_Engine!$AB$99),Lookup_Lists!$D$126,0)+IF(ISNUMBER(Matching_Engine!$AC$99),Lookup_Lists!$D$127,0)+IF(ISNUMBER(Matching_Engine!$AD$99),Lookup_Lists!$D$128,0)),0))</f>
        <v>N/A</v>
      </c>
      <c r="AF99" s="42">
        <f>IF(ISNUMBER(Matching_Engine!$AE$99),1,0)</f>
        <v>0</v>
      </c>
      <c r="AG99" s="65" t="str">
        <f>IF(NOT(ISNUMBER('[1]#REF'!$BG$27)),"N/A",MIN(100,ROUND('[1]#REF'!$BG$27/IFERROR(INDEX(Lookup_Lists!$B$340:$B$344,MATCH('[1]#REF'!$H$27,Lookup_Lists!$A$340:$A$344,0)),Lookup_Lists!$D$141)*100,0)))</f>
        <v>N/A</v>
      </c>
      <c r="AH99" s="65" t="str">
        <f>IF(NOT(ISNUMBER('[1]#REF'!$BS$27)),"N/A",MIN(100,MAX(0,'[1]#REF'!$BS$27)))</f>
        <v>N/A</v>
      </c>
      <c r="AI99" s="65" t="e">
        <f>IF(OR(NOT(ISNUMBER('[1]#REF'!$BM$27)),NOT(ISNUMBER('[1]#REF'!$BN$27)),'[1]#REF'!$BN$27&lt;Lookup_Lists!$D$320),"N/A",MIN(100,ROUND('[1]#REF'!$BM$27/Lookup_Lists!$D$319*100,0)))</f>
        <v>#REF!</v>
      </c>
      <c r="AJ99" s="65" t="str">
        <f>IF(NOT(ISNUMBER('[1]#REF'!$BR$27)),"N/A",'[1]#REF'!$BR$27)</f>
        <v>N/A</v>
      </c>
      <c r="AK99" s="65" t="str">
        <f>IF(NOT(ISNUMBER('[1]#REF'!$BK$27)),"N/A",MIN(100,ROUND('[1]#REF'!$BK$27/Lookup_Lists!$D$321*100,0)))</f>
        <v>N/A</v>
      </c>
      <c r="AL99" s="65" t="str">
        <f>IF(NOT(ISNUMBER('[1]#REF'!$BP$27)),"N/A",MIN(100,MAX(0,ROUND(('[1]#REF'!$BP$27+2)/(Lookup_Lists!$D$145+2)*100,0))))</f>
        <v>N/A</v>
      </c>
      <c r="AM99" s="63" t="str">
        <f>IF((IF(ISNUMBER(Matching_Engine!$AG$99),Lookup_Lists!$D$129,0)+IF(ISNUMBER(Matching_Engine!$AH$99),Lookup_Lists!$D$130,0)+IF(ISNUMBER(Matching_Engine!$AI$99),Lookup_Lists!$D$131,0)+IF(ISNUMBER(Matching_Engine!$AJ$99),Lookup_Lists!$D$132,0)+IF(ISNUMBER(Matching_Engine!$AK$99),Lookup_Lists!$D$133,0)+IF(ISNUMBER(Matching_Engine!$AL$99),Lookup_Lists!$D$134,0))=0,"N/A",ROUND((IF(ISNUMBER(Matching_Engine!$AG$99),Matching_Engine!$AG$99*Lookup_Lists!$D$129,0)+IF(ISNUMBER(Matching_Engine!$AH$99),Matching_Engine!$AH$99*Lookup_Lists!$D$130,0)+IF(ISNUMBER(Matching_Engine!$AI$99),Matching_Engine!$AI$99*Lookup_Lists!$D$131,0)+IF(ISNUMBER(Matching_Engine!$AJ$99),Matching_Engine!$AJ$99*Lookup_Lists!$D$132,0)+IF(ISNUMBER(Matching_Engine!$AK$99),Matching_Engine!$AK$99*Lookup_Lists!$D$133,0)+IF(ISNUMBER(Matching_Engine!$AL$99),Matching_Engine!$AL$99*Lookup_Lists!$D$134,0))/(IF(ISNUMBER(Matching_Engine!$AG$99),Lookup_Lists!$D$129,0)+IF(ISNUMBER(Matching_Engine!$AH$99),Lookup_Lists!$D$130,0)+IF(ISNUMBER(Matching_Engine!$AI$99),Lookup_Lists!$D$131,0)+IF(ISNUMBER(Matching_Engine!$AJ$99),Lookup_Lists!$D$132,0)+IF(ISNUMBER(Matching_Engine!$AK$99),Lookup_Lists!$D$133,0)+IF(ISNUMBER(Matching_Engine!$AL$99),Lookup_Lists!$D$134,0)),0))</f>
        <v>N/A</v>
      </c>
      <c r="AN99" s="42">
        <f>IF(ISNUMBER(Matching_Engine!$AM$99),1,0)</f>
        <v>0</v>
      </c>
      <c r="AO99" s="65" t="str">
        <f>IF(NOT(ISNUMBER('[1]#REF'!$BT$27)),"N/A",MIN(100,MAX(0,'[1]#REF'!$BT$27)))</f>
        <v>N/A</v>
      </c>
      <c r="AP99" s="65" t="str">
        <f>IF(NOT(ISNUMBER('[1]#REF'!$BU$27)),"N/A",MIN(100,MAX(0,'[1]#REF'!$BU$27)))</f>
        <v>N/A</v>
      </c>
      <c r="AQ99" s="65" t="e">
        <f>IF('[1]#REF'!$I$27="Yes",Lookup_Lists!$D$326,IF('[1]#REF'!$I$27="No",Lookup_Lists!$D$327,"N/A"))</f>
        <v>#REF!</v>
      </c>
      <c r="AR99" s="65" t="str">
        <f>IF(NOT(ISNUMBER('[1]#REF'!$BQ$27)),"N/A",MAX(0,ROUND(100-'[1]#REF'!$BQ$27/Lookup_Lists!$D$328*100,0)))</f>
        <v>N/A</v>
      </c>
      <c r="AS99" s="65" t="e">
        <f>IF(NOT(AND(ISTEXT('[1]#REF'!$BV$27),'[1]#REF'!$BV$27&lt;&gt;"N/A")),"N/A",'[1]#REF'!$BV$27)</f>
        <v>#REF!</v>
      </c>
      <c r="AT99" s="63" t="str">
        <f>IF((IF(ISNUMBER(Matching_Engine!$AO$99),Lookup_Lists!$D$322,0)+IF(ISNUMBER(Matching_Engine!$AP$99),Lookup_Lists!$D$323,0)+IF(ISNUMBER(Matching_Engine!$AQ$99),Lookup_Lists!$D$324,0)+IF(ISNUMBER(Matching_Engine!$AR$99),Lookup_Lists!$D$325,0))=0,"N/A",ROUND((IF(ISNUMBER(Matching_Engine!$AO$99),Matching_Engine!$AO$99*Lookup_Lists!$D$322,0)+IF(ISNUMBER(Matching_Engine!$AP$99),Matching_Engine!$AP$99*Lookup_Lists!$D$323,0)+IF(ISNUMBER(Matching_Engine!$AQ$99),Matching_Engine!$AQ$99*Lookup_Lists!$D$324,0)+IF(ISNUMBER(Matching_Engine!$AR$99),Matching_Engine!$AR$99*Lookup_Lists!$D$325,0))/(IF(ISNUMBER(Matching_Engine!$AO$99),Lookup_Lists!$D$322,0)+IF(ISNUMBER(Matching_Engine!$AP$99),Lookup_Lists!$D$323,0)+IF(ISNUMBER(Matching_Engine!$AQ$99),Lookup_Lists!$D$324,0)+IF(ISNUMBER(Matching_Engine!$AR$99),Lookup_Lists!$D$325,0)),0))</f>
        <v>N/A</v>
      </c>
      <c r="AU99" s="42">
        <f>IF(ISNUMBER(Matching_Engine!$AT$99),1,0)</f>
        <v>0</v>
      </c>
      <c r="AV99" s="42" t="str">
        <f>IF(NOT(ISNUMBER(Matching_Engine!$AT$99)),"Not Screened",IF(Matching_Engine!$AT$99&gt;=Lookup_Lists!$D$329,"Low Risk",IF(Matching_Engine!$AT$99&gt;=Lookup_Lists!$D$330,"Moderate Risk",IF(Matching_Engine!$AT$99&gt;=Lookup_Lists!$D$331,"Elevated Risk","High Risk"))))</f>
        <v>Not Screened</v>
      </c>
      <c r="AW99" s="42" t="str">
        <f>IF(NOT(ISNUMBER(Matching_Engine!$AT$99)),"No integrity signal: no audience-analysis row for this account.","Integrity screen only — no content-risk reading exists (comments_analysis: 0 rows). "&amp;IF(ISNUMBER(Matching_Engine!$AO$99),"Authenticity "&amp;Matching_Engine!$AO$99&amp;". ","Authenticity N/A. ")&amp;IF(ISNUMBER(Matching_Engine!$AP$99),"Follower quality "&amp;Matching_Engine!$AP$99&amp;". ","Follower quality N/A. ")&amp;IF('[1]#REF'!$I$27="Yes","Platform-verified.","Not platform-verified."))</f>
        <v>No integrity signal: no audience-analysis row for this account.</v>
      </c>
      <c r="AX99" s="65">
        <f>Matching_Engine!$N$99*Lookup_Lists!$D$104+Matching_Engine!$T$99*Lookup_Lists!$D$105+Matching_Engine!$Z$99*Lookup_Lists!$D$106+Matching_Engine!$AF$99*Lookup_Lists!$D$107+Matching_Engine!$AN$99*Lookup_Lists!$D$108+Matching_Engine!$AU$99*Lookup_Lists!$D$109</f>
        <v>0</v>
      </c>
      <c r="AY99" s="74" t="str">
        <f>IF(Matching_Engine!$AX$99=0,"N/A",ROUND((IF(Matching_Engine!$N$99=1,Matching_Engine!$M$99*Lookup_Lists!$D$104,0)+IF(Matching_Engine!$T$99=1,Matching_Engine!$S$99*Lookup_Lists!$D$105,0)+IF(Matching_Engine!$Z$99=1,Matching_Engine!$Y$99*Lookup_Lists!$D$106,0)+IF(Matching_Engine!$AF$99=1,Matching_Engine!$AE$99*Lookup_Lists!$D$107,0)+IF(Matching_Engine!$AN$99=1,Matching_Engine!$AM$99*Lookup_Lists!$D$108,0)+IF(Matching_Engine!$AU$99=1,Matching_Engine!$AT$99*Lookup_Lists!$D$109,0))/Matching_Engine!$AX$99,0))</f>
        <v>N/A</v>
      </c>
      <c r="AZ99" s="42" t="str">
        <f>IF(NOT(ISNUMBER(Matching_Engine!$AY$99)),"Not Scored",IF(Matching_Engine!$AY$99&gt;=Lookup_Lists!$D$152,"Excellent Match",IF(Matching_Engine!$AY$99&gt;=Lookup_Lists!$D$153,"Strong Match",IF(Matching_Engine!$AY$99&gt;=Lookup_Lists!$D$154,"Good Match",IF(Matching_Engine!$AY$99&gt;=Lookup_Lists!$D$155,"Moderate Match","Low Match")))))</f>
        <v>Not Scored</v>
      </c>
      <c r="BA99" s="65" t="e">
        <f>'[1]#REF'!$BW$27</f>
        <v>#REF!</v>
      </c>
      <c r="BB99" s="42" t="e">
        <f>'[1]#REF'!$BX$27</f>
        <v>#REF!</v>
      </c>
      <c r="BC99" s="65">
        <f>IF(NOT(ISNUMBER(Matching_Engine!$AY$99)),-1,Matching_Engine!$AY$99*1000+3)</f>
        <v>-1</v>
      </c>
      <c r="BD99" s="42" t="e">
        <f>IF(AND(ISTEXT('[1]#REF'!$S$27),'[1]#REF'!$S$27&lt;&gt;"N/A"),'[1]#REF'!$S$27,"")&amp;" | "&amp;IF(AND(ISTEXT('[1]#REF'!$T$27),'[1]#REF'!$T$27&lt;&gt;"N/A"),'[1]#REF'!$T$27,"")&amp;" | "&amp;IF(AND(ISTEXT('[1]#REF'!$N$27),'[1]#REF'!$N$27&lt;&gt;"N/A"),'[1]#REF'!$N$27,"")&amp;" | "&amp;IF(AND(ISTEXT('[1]#REF'!$K$27),'[1]#REF'!$K$27&lt;&gt;"N/A"),'[1]#REF'!$K$27,"")&amp;" | "&amp;IF(AND(ISTEXT('[1]#REF'!$J$27),'[1]#REF'!$J$27&lt;&gt;"N/A"),'[1]#REF'!$J$27,"")</f>
        <v>#REF!</v>
      </c>
      <c r="BE99" s="42" t="e">
        <f>IF(AND(ISTEXT('[1]#REF'!$T$27),'[1]#REF'!$T$27&lt;&gt;"N/A"),'[1]#REF'!$T$27,"")&amp;" | "&amp;IF(AND(ISTEXT('[1]#REF'!$N$27),'[1]#REF'!$N$27&lt;&gt;"N/A"),'[1]#REF'!$N$27,"")&amp;" | "&amp;IF(AND(ISTEXT('[1]#REF'!$O$27),'[1]#REF'!$O$27&lt;&gt;"N/A"),'[1]#REF'!$O$27,"")&amp;" | "&amp;IF(AND(ISTEXT('[1]#REF'!$S$27),'[1]#REF'!$S$27&lt;&gt;"N/A"),'[1]#REF'!$S$27,"")</f>
        <v>#REF!</v>
      </c>
      <c r="BF99" s="42" t="e">
        <f>IF(AND(ISTEXT('[1]#REF'!$U$27),'[1]#REF'!$U$27&lt;&gt;"N/A"),'[1]#REF'!$U$27,"")</f>
        <v>#REF!</v>
      </c>
      <c r="BG99" s="42" t="str">
        <f>Matching_Engine!$A$99&amp;"|"&amp;Matching_Engine!$C$99</f>
        <v>|</v>
      </c>
    </row>
    <row r="100" spans="1:59">
      <c r="A100" s="64" t="s">
        <v>2530</v>
      </c>
      <c r="B100" s="42" t="str">
        <f>Brand_Profile!$H$6</f>
        <v>Input type / allowed values</v>
      </c>
      <c r="C100" s="42" t="e">
        <f>'[1]#REF'!$A$28</f>
        <v>#REF!</v>
      </c>
      <c r="D100" s="42" t="e">
        <f>'[1]#REF'!$C$28</f>
        <v>#REF!</v>
      </c>
      <c r="E100" s="42" t="e">
        <f>'[1]#REF'!$D$28</f>
        <v>#REF!</v>
      </c>
      <c r="F100" s="42" t="e">
        <f>'[1]#REF'!$E$28</f>
        <v>#REF!</v>
      </c>
      <c r="G100" s="42" t="e">
        <f>'[1]#REF'!$K$28</f>
        <v>#REF!</v>
      </c>
      <c r="H100" s="72" t="e">
        <f>'[1]#REF'!$G$28</f>
        <v>#REF!</v>
      </c>
      <c r="I100" s="73" t="e">
        <f>'[1]#REF'!$BG$28</f>
        <v>#REF!</v>
      </c>
      <c r="J100" s="65" t="e">
        <f>IF(NOT(AND(ISTEXT('[1]#REF'!$K$28),'[1]#REF'!$K$28&lt;&gt;"N/A")),Lookup_Lists!$D$150,IF(Brand_Profile!$H$7='[1]#REF'!$K$28,100,IFERROR(INDEX(Lookup_Lists!$B$349:$J$357,MATCH(Brand_Profile!$H$7,Lookup_Lists!$A$349:$A$357,0),MATCH('[1]#REF'!$K$28,Lookup_Lists!$B$348:$J$348,0)),Lookup_Lists!$D$151)))</f>
        <v>#REF!</v>
      </c>
      <c r="K100" s="65" t="str">
        <f>IF(LEN(TRIM(SUBSTITUTE(Matching_Engine!$BD$100,"|","")))=0,"N/A",IF(Brand_Profile!$H$47=0,Lookup_Lists!$D$150,ROUND((IF(Brand_Profile!$H$41="",0,IF(ISNUMBER(SEARCH(Brand_Profile!$H$41,Matching_Engine!$BD$100)),1,0))+IF(Brand_Profile!$H$42="",0,IF(ISNUMBER(SEARCH(Brand_Profile!$H$42,Matching_Engine!$BD$100)),1,0))+IF(Brand_Profile!$H$43="",0,IF(ISNUMBER(SEARCH(Brand_Profile!$H$43,Matching_Engine!$BD$100)),1,0))+IF(Brand_Profile!$H$44="",0,IF(ISNUMBER(SEARCH(Brand_Profile!$H$44,Matching_Engine!$BD$100)),1,0))+IF(Brand_Profile!$H$45="",0,IF(ISNUMBER(SEARCH(Brand_Profile!$H$45,Matching_Engine!$BD$100)),1,0))+IF(Brand_Profile!$H$46="",0,IF(ISNUMBER(SEARCH(Brand_Profile!$H$46,Matching_Engine!$BD$100)),1,0)))/Brand_Profile!$H$47*100,0)))</f>
        <v>N/A</v>
      </c>
      <c r="L100" s="65" t="e">
        <f>IF(NOT(AND(ISTEXT('[1]#REF'!$U$28),'[1]#REF'!$U$28&lt;&gt;"N/A")),"N/A",IF(Brand_Profile!$H$53=0,Lookup_Lists!$D$150,ROUND((IF(Brand_Profile!$H$48="",0,IF(ISNUMBER(SEARCH(Brand_Profile!$H$48,Matching_Engine!$BF$100)),1,0))+IF(Brand_Profile!$H$49="",0,IF(ISNUMBER(SEARCH(Brand_Profile!$H$49,Matching_Engine!$BF$100)),1,0))+IF(Brand_Profile!$H$50="",0,IF(ISNUMBER(SEARCH(Brand_Profile!$H$50,Matching_Engine!$BF$100)),1,0))+IF(Brand_Profile!$H$51="",0,IF(ISNUMBER(SEARCH(Brand_Profile!$H$51,Matching_Engine!$BF$100)),1,0))+IF(Brand_Profile!$H$52="",0,IF(ISNUMBER(SEARCH(Brand_Profile!$H$52,Matching_Engine!$BF$100)),1,0)))/Brand_Profile!$H$53*100,0)))</f>
        <v>#REF!</v>
      </c>
      <c r="M100" s="63" t="str">
        <f>IF((IF(ISNUMBER(Matching_Engine!$J$100),Lookup_Lists!$D$332,0)+IF(ISNUMBER(Matching_Engine!$K$100),Lookup_Lists!$D$333,0)+IF(ISNUMBER(Matching_Engine!$L$100),Lookup_Lists!$D$334,0))=0,"N/A",ROUND((IF(ISNUMBER(Matching_Engine!$J$100),Matching_Engine!$J$100*Lookup_Lists!$D$332,0)+IF(ISNUMBER(Matching_Engine!$K$100),Matching_Engine!$K$100*Lookup_Lists!$D$333,0)+IF(ISNUMBER(Matching_Engine!$L$100),Matching_Engine!$L$100*Lookup_Lists!$D$334,0))/(IF(ISNUMBER(Matching_Engine!$J$100),Lookup_Lists!$D$332,0)+IF(ISNUMBER(Matching_Engine!$K$100),Lookup_Lists!$D$333,0)+IF(ISNUMBER(Matching_Engine!$L$100),Lookup_Lists!$D$334,0)),0))</f>
        <v>N/A</v>
      </c>
      <c r="N100" s="42">
        <f>IF(ISNUMBER(Matching_Engine!$M$100),1,0)</f>
        <v>0</v>
      </c>
      <c r="O100" s="65" t="str">
        <f ca="1">IF(NOT(ISNUMBER(IFERROR(INDEX('[1]#REF'!$V$28:'[1]#REF'!$Z$28,1,MATCH(Brand_Profile!$H$11,Lookup_Lists!$F$6:$F$10,0)),""))),"N/A",MIN(100,ROUND((IFERROR(INDEX('[1]#REF'!$V$28:'[1]#REF'!$Z$28,1,MATCH(Brand_Profile!$H$11,Lookup_Lists!$F$6:$F$10,0)),"")+0.5*IF(ISNUMBER(IFERROR(INDEX('[1]#REF'!$V$28:'[1]#REF'!$Z$28,1,MATCH(Brand_Profile!$H$12,Lookup_Lists!$F$6:$F$10,0)),"")),IFERROR(INDEX('[1]#REF'!$V$28:'[1]#REF'!$Z$28,1,MATCH(Brand_Profile!$H$12,Lookup_Lists!$F$6:$F$10,0)),""),0))/Lookup_Lists!$D$142*100,0)))</f>
        <v>N/A</v>
      </c>
      <c r="P100" s="65" t="str">
        <f>IF(Brand_Profile!$H$13="Any",100,IF(NOT(ISNUMBER('[1]#REF'!$AA$28)),"N/A",IF(Brand_Profile!$H$13="Female",MIN(100,ROUND('[1]#REF'!$AA$28/Lookup_Lists!$D$143*100,0)),IF(Brand_Profile!$H$13="Male",MIN(100,ROUND(IF(ISNUMBER('[1]#REF'!$AB$28),'[1]#REF'!$AB$28,100-'[1]#REF'!$AA$28)/Lookup_Lists!$D$143*100,0)),MAX(0,ROUND(100-ABS('[1]#REF'!$AA$28-50)*2,0))))))</f>
        <v>N/A</v>
      </c>
      <c r="Q100" s="65" t="str">
        <f>IF((IF(ISNUMBER(IF(NOT(ISNUMBER('[1]#REF'!$AE$28)),"N/A",IF('[1]#REF'!$AD$28&lt;&gt;Brand_Profile!$H$14,Lookup_Lists!$D$151,MIN(100,ROUND('[1]#REF'!$AE$28/Lookup_Lists!$D$316*100,0))))),Lookup_Lists!$D$118,0)+IF(ISNUMBER(IF(NOT(ISNUMBER('[1]#REF'!$AM$28)),"N/A",MIN(100,ROUND((IF('[1]#REF'!$AG$28=Brand_Profile!$H$15,IF(ISNUMBER('[1]#REF'!$AH$28),'[1]#REF'!$AH$28,0),0)+IF('[1]#REF'!$AI$28=Brand_Profile!$H$15,IF(ISNUMBER('[1]#REF'!$AJ$28),'[1]#REF'!$AJ$28,0),0)+IF('[1]#REF'!$AK$28=Brand_Profile!$H$15,IF(ISNUMBER('[1]#REF'!$AL$28),'[1]#REF'!$AL$28,0),0))/Lookup_Lists!$D$317*100,0)))),Lookup_Lists!$D$120,0))=0,"N/A",ROUND((IF(ISNUMBER(IF(NOT(ISNUMBER('[1]#REF'!$AE$28)),"N/A",IF('[1]#REF'!$AD$28&lt;&gt;Brand_Profile!$H$14,Lookup_Lists!$D$151,MIN(100,ROUND('[1]#REF'!$AE$28/Lookup_Lists!$D$316*100,0))))),IF(NOT(ISNUMBER('[1]#REF'!$AE$28)),"N/A",IF('[1]#REF'!$AD$28&lt;&gt;Brand_Profile!$H$14,Lookup_Lists!$D$151,MIN(100,ROUND('[1]#REF'!$AE$28/Lookup_Lists!$D$316*100,0))))*Lookup_Lists!$D$118,0)+IF(ISNUMBER(IF(NOT(ISNUMBER('[1]#REF'!$AM$28)),"N/A",MIN(100,ROUND((IF('[1]#REF'!$AG$28=Brand_Profile!$H$15,IF(ISNUMBER('[1]#REF'!$AH$28),'[1]#REF'!$AH$28,0),0)+IF('[1]#REF'!$AI$28=Brand_Profile!$H$15,IF(ISNUMBER('[1]#REF'!$AJ$28),'[1]#REF'!$AJ$28,0),0)+IF('[1]#REF'!$AK$28=Brand_Profile!$H$15,IF(ISNUMBER('[1]#REF'!$AL$28),'[1]#REF'!$AL$28,0),0))/Lookup_Lists!$D$317*100,0)))),IF(NOT(ISNUMBER('[1]#REF'!$AM$28)),"N/A",MIN(100,ROUND((IF('[1]#REF'!$AG$28=Brand_Profile!$H$15,IF(ISNUMBER('[1]#REF'!$AH$28),'[1]#REF'!$AH$28,0),0)+IF('[1]#REF'!$AI$28=Brand_Profile!$H$15,IF(ISNUMBER('[1]#REF'!$AJ$28),'[1]#REF'!$AJ$28,0),0)+IF('[1]#REF'!$AK$28=Brand_Profile!$H$15,IF(ISNUMBER('[1]#REF'!$AL$28),'[1]#REF'!$AL$28,0),0))/Lookup_Lists!$D$317*100,0)))*Lookup_Lists!$D$120,0))/(IF(ISNUMBER(IF(NOT(ISNUMBER('[1]#REF'!$AE$28)),"N/A",IF('[1]#REF'!$AD$28&lt;&gt;Brand_Profile!$H$14,Lookup_Lists!$D$151,MIN(100,ROUND('[1]#REF'!$AE$28/Lookup_Lists!$D$316*100,0))))),Lookup_Lists!$D$118,0)+IF(ISNUMBER(IF(NOT(ISNUMBER('[1]#REF'!$AM$28)),"N/A",MIN(100,ROUND((IF('[1]#REF'!$AG$28=Brand_Profile!$H$15,IF(ISNUMBER('[1]#REF'!$AH$28),'[1]#REF'!$AH$28,0),0)+IF('[1]#REF'!$AI$28=Brand_Profile!$H$15,IF(ISNUMBER('[1]#REF'!$AJ$28),'[1]#REF'!$AJ$28,0),0)+IF('[1]#REF'!$AK$28=Brand_Profile!$H$15,IF(ISNUMBER('[1]#REF'!$AL$28),'[1]#REF'!$AL$28,0),0))/Lookup_Lists!$D$317*100,0)))),Lookup_Lists!$D$120,0)),0))</f>
        <v>N/A</v>
      </c>
      <c r="R100" s="65" t="str">
        <f>IF(NOT(ISNUMBER('[1]#REF'!$AN$28)),"N/A",MIN(100,ROUND((IF(ISNUMBER('[1]#REF'!$AO$28),'[1]#REF'!$AO$28*Brand_Profile!$H$17,0)+IF(ISNUMBER('[1]#REF'!$AP$28),'[1]#REF'!$AP$28*Brand_Profile!$H$18,0)+IF(ISNUMBER('[1]#REF'!$AQ$28),'[1]#REF'!$AQ$28*Brand_Profile!$H$19,0)+IF(ISNUMBER('[1]#REF'!$AR$28),'[1]#REF'!$AR$28*Brand_Profile!$H$20,0)+IF(ISNUMBER('[1]#REF'!$AS$28),'[1]#REF'!$AS$28*Brand_Profile!$H$21,0)+IF(ISNUMBER('[1]#REF'!$AT$28),'[1]#REF'!$AT$28*Brand_Profile!$H$22,0)+IF(ISNUMBER('[1]#REF'!$AU$28),'[1]#REF'!$AU$28*Brand_Profile!$H$23,0)+IF(ISNUMBER('[1]#REF'!$AV$28),'[1]#REF'!$AV$28*Brand_Profile!$H$24,0)+IF(ISNUMBER('[1]#REF'!$AW$28),'[1]#REF'!$AW$28*Brand_Profile!$H$25,0)+IF(ISNUMBER('[1]#REF'!$AX$28),'[1]#REF'!$AX$28*Brand_Profile!$H$26,0)+IF(ISNUMBER('[1]#REF'!$AY$28),'[1]#REF'!$AY$28*Brand_Profile!$H$27,0)+IF(ISNUMBER('[1]#REF'!$AZ$28),'[1]#REF'!$AZ$28*Brand_Profile!$H$28,0)+IF(ISNUMBER('[1]#REF'!$BA$28),'[1]#REF'!$BA$28*Brand_Profile!$H$29,0)+IF(ISNUMBER('[1]#REF'!$BB$28),'[1]#REF'!$BB$28*Brand_Profile!$H$30,0)+IF(ISNUMBER('[1]#REF'!$BC$28),'[1]#REF'!$BC$28*Brand_Profile!$H$31,0)+IF(ISNUMBER('[1]#REF'!$BD$28),'[1]#REF'!$BD$28*Brand_Profile!$H$32,0)+IF(ISNUMBER('[1]#REF'!$BE$28),'[1]#REF'!$BE$28*Brand_Profile!$H$33,0)+IF(ISNUMBER('[1]#REF'!$BF$28),'[1]#REF'!$BF$28*Brand_Profile!$H$34,0))/Lookup_Lists!$D$318*100,0)))</f>
        <v>N/A</v>
      </c>
      <c r="S100" s="63" t="str">
        <f>IF((IF(ISNUMBER(Matching_Engine!$O$100),Lookup_Lists!$D$113,0)+IF(ISNUMBER(Matching_Engine!$P$100),Lookup_Lists!$D$114,0)+IF(ISNUMBER(Matching_Engine!$Q$100),Lookup_Lists!$D$115,0)+IF(ISNUMBER(Matching_Engine!$R$100),Lookup_Lists!$D$116,0))=0,"N/A",ROUND((IF(ISNUMBER(Matching_Engine!$O$100),Matching_Engine!$O$100*Lookup_Lists!$D$113,0)+IF(ISNUMBER(Matching_Engine!$P$100),Matching_Engine!$P$100*Lookup_Lists!$D$114,0)+IF(ISNUMBER(Matching_Engine!$Q$100),Matching_Engine!$Q$100*Lookup_Lists!$D$115,0)+IF(ISNUMBER(Matching_Engine!$R$100),Matching_Engine!$R$100*Lookup_Lists!$D$116,0))/(IF(ISNUMBER(Matching_Engine!$O$100),Lookup_Lists!$D$113,0)+IF(ISNUMBER(Matching_Engine!$P$100),Lookup_Lists!$D$114,0)+IF(ISNUMBER(Matching_Engine!$Q$100),Lookup_Lists!$D$115,0)+IF(ISNUMBER(Matching_Engine!$R$100),Lookup_Lists!$D$116,0)),0))</f>
        <v>N/A</v>
      </c>
      <c r="T100" s="42">
        <f>IF(ISNUMBER(Matching_Engine!$S$100),1,0)</f>
        <v>0</v>
      </c>
      <c r="U100" s="65" t="e">
        <f>IF(NOT(AND(ISTEXT('[1]#REF'!$M$28),'[1]#REF'!$M$28&lt;&gt;"N/A")),Lookup_Lists!$D$150,IF(Brand_Profile!$H$7='[1]#REF'!$M$28,100,IFERROR(INDEX(Lookup_Lists!$B$349:$J$357,MATCH(Brand_Profile!$H$7,Lookup_Lists!$A$349:$A$357,0),MATCH('[1]#REF'!$M$28,Lookup_Lists!$B$348:$J$348,0)),Lookup_Lists!$D$151)))</f>
        <v>#REF!</v>
      </c>
      <c r="V100" s="65" t="e">
        <f>IF(NOT(AND(ISTEXT('[1]#REF'!$P$28),'[1]#REF'!$P$28&lt;&gt;"N/A")),"N/A",IFERROR(INDEX(Lookup_Lists!$B$349:$J$357,MATCH(Brand_Profile!$H$7,Lookup_Lists!$A$349:$A$357,0),MATCH('[1]#REF'!$P$28,Lookup_Lists!$B$348:$J$348,0)),Lookup_Lists!$D$151))</f>
        <v>#REF!</v>
      </c>
      <c r="W100" s="65" t="str">
        <f>IF(LEN(TRIM(SUBSTITUTE(Matching_Engine!$BE$100,"|","")))=0,"N/A",IF(Brand_Profile!$H$60=0,Lookup_Lists!$D$150,ROUND((IF(Brand_Profile!$H$54="",0,IF(ISNUMBER(SEARCH(Brand_Profile!$H$54,Matching_Engine!$BE$100)),1,0))+IF(Brand_Profile!$H$55="",0,IF(ISNUMBER(SEARCH(Brand_Profile!$H$55,Matching_Engine!$BE$100)),1,0))+IF(Brand_Profile!$H$56="",0,IF(ISNUMBER(SEARCH(Brand_Profile!$H$56,Matching_Engine!$BE$100)),1,0))+IF(Brand_Profile!$H$57="",0,IF(ISNUMBER(SEARCH(Brand_Profile!$H$57,Matching_Engine!$BE$100)),1,0))+IF(Brand_Profile!$H$58="",0,IF(ISNUMBER(SEARCH(Brand_Profile!$H$58,Matching_Engine!$BE$100)),1,0))+IF(Brand_Profile!$H$59="",0,IF(ISNUMBER(SEARCH(Brand_Profile!$H$59,Matching_Engine!$BE$100)),1,0)))/Brand_Profile!$H$60*100,0)))</f>
        <v>N/A</v>
      </c>
      <c r="X100" s="65" t="e">
        <f>IF(NOT(AND(ISTEXT('[1]#REF'!$Q$28),'[1]#REF'!$Q$28&lt;&gt;"N/A")),"N/A",Lookup_Lists!$D$150)</f>
        <v>#REF!</v>
      </c>
      <c r="Y100" s="63" t="str">
        <f>IF((IF(ISNUMBER(Matching_Engine!$U$100),Lookup_Lists!$D$335,0)+IF(ISNUMBER(Matching_Engine!$V$100),Lookup_Lists!$D$122,0)+IF(ISNUMBER(Matching_Engine!$W$100),Lookup_Lists!$D$336,0)+IF(ISNUMBER(Matching_Engine!$X$100),Lookup_Lists!$D$124,0))=0,"N/A",ROUND((IF(ISNUMBER(Matching_Engine!$U$100),Matching_Engine!$U$100*Lookup_Lists!$D$335,0)+IF(ISNUMBER(Matching_Engine!$V$100),Matching_Engine!$V$100*Lookup_Lists!$D$122,0)+IF(ISNUMBER(Matching_Engine!$W$100),Matching_Engine!$W$100*Lookup_Lists!$D$336,0)+IF(ISNUMBER(Matching_Engine!$X$100),Matching_Engine!$X$100*Lookup_Lists!$D$124,0))/(IF(ISNUMBER(Matching_Engine!$U$100),Lookup_Lists!$D$335,0)+IF(ISNUMBER(Matching_Engine!$V$100),Lookup_Lists!$D$122,0)+IF(ISNUMBER(Matching_Engine!$W$100),Lookup_Lists!$D$336,0)+IF(ISNUMBER(Matching_Engine!$X$100),Lookup_Lists!$D$124,0)),0))</f>
        <v>N/A</v>
      </c>
      <c r="Z100" s="42">
        <f>IF(ISNUMBER(Matching_Engine!$Y$100),1,0)</f>
        <v>0</v>
      </c>
      <c r="AA100" s="65" t="e">
        <f>IF(NOT(AND(ISTEXT('[1]#REF'!$Q$28),'[1]#REF'!$Q$28&lt;&gt;"N/A")),"N/A",Lookup_Lists!$D$150)</f>
        <v>#REF!</v>
      </c>
      <c r="AB100" s="65" t="e">
        <f>IF(NOT(AND(ISTEXT('[1]#REF'!$Q$28),'[1]#REF'!$Q$28&lt;&gt;"N/A")),"N/A",Lookup_Lists!$D$150)</f>
        <v>#REF!</v>
      </c>
      <c r="AC100" s="65" t="str">
        <f t="shared" si="1"/>
        <v>N/A</v>
      </c>
      <c r="AD100" s="65" t="e">
        <f>IF(NOT(AND(ISTEXT('[1]#REF'!$Q$28),'[1]#REF'!$Q$28&lt;&gt;"N/A")),"N/A",Lookup_Lists!$D$150)</f>
        <v>#REF!</v>
      </c>
      <c r="AE100" s="63" t="str">
        <f>IF((IF(ISNUMBER(Matching_Engine!$AA$100),Lookup_Lists!$D$125,0)+IF(ISNUMBER(Matching_Engine!$AB$100),Lookup_Lists!$D$126,0)+IF(ISNUMBER(Matching_Engine!$AC$100),Lookup_Lists!$D$127,0)+IF(ISNUMBER(Matching_Engine!$AD$100),Lookup_Lists!$D$128,0))=0,"N/A",ROUND((IF(ISNUMBER(Matching_Engine!$AA$100),Matching_Engine!$AA$100*Lookup_Lists!$D$125,0)+IF(ISNUMBER(Matching_Engine!$AB$100),Matching_Engine!$AB$100*Lookup_Lists!$D$126,0)+IF(ISNUMBER(Matching_Engine!$AC$100),Matching_Engine!$AC$100*Lookup_Lists!$D$127,0)+IF(ISNUMBER(Matching_Engine!$AD$100),Matching_Engine!$AD$100*Lookup_Lists!$D$128,0))/(IF(ISNUMBER(Matching_Engine!$AA$100),Lookup_Lists!$D$125,0)+IF(ISNUMBER(Matching_Engine!$AB$100),Lookup_Lists!$D$126,0)+IF(ISNUMBER(Matching_Engine!$AC$100),Lookup_Lists!$D$127,0)+IF(ISNUMBER(Matching_Engine!$AD$100),Lookup_Lists!$D$128,0)),0))</f>
        <v>N/A</v>
      </c>
      <c r="AF100" s="42">
        <f>IF(ISNUMBER(Matching_Engine!$AE$100),1,0)</f>
        <v>0</v>
      </c>
      <c r="AG100" s="65" t="str">
        <f>IF(NOT(ISNUMBER('[1]#REF'!$BG$28)),"N/A",MIN(100,ROUND('[1]#REF'!$BG$28/IFERROR(INDEX(Lookup_Lists!$B$340:$B$344,MATCH('[1]#REF'!$H$28,Lookup_Lists!$A$340:$A$344,0)),Lookup_Lists!$D$141)*100,0)))</f>
        <v>N/A</v>
      </c>
      <c r="AH100" s="65" t="str">
        <f>IF(NOT(ISNUMBER('[1]#REF'!$BS$28)),"N/A",MIN(100,MAX(0,'[1]#REF'!$BS$28)))</f>
        <v>N/A</v>
      </c>
      <c r="AI100" s="65" t="e">
        <f>IF(OR(NOT(ISNUMBER('[1]#REF'!$BM$28)),NOT(ISNUMBER('[1]#REF'!$BN$28)),'[1]#REF'!$BN$28&lt;Lookup_Lists!$D$320),"N/A",MIN(100,ROUND('[1]#REF'!$BM$28/Lookup_Lists!$D$319*100,0)))</f>
        <v>#REF!</v>
      </c>
      <c r="AJ100" s="65" t="str">
        <f>IF(NOT(ISNUMBER('[1]#REF'!$BR$28)),"N/A",'[1]#REF'!$BR$28)</f>
        <v>N/A</v>
      </c>
      <c r="AK100" s="65" t="str">
        <f>IF(NOT(ISNUMBER('[1]#REF'!$BK$28)),"N/A",MIN(100,ROUND('[1]#REF'!$BK$28/Lookup_Lists!$D$321*100,0)))</f>
        <v>N/A</v>
      </c>
      <c r="AL100" s="65" t="str">
        <f>IF(NOT(ISNUMBER('[1]#REF'!$BP$28)),"N/A",MIN(100,MAX(0,ROUND(('[1]#REF'!$BP$28+2)/(Lookup_Lists!$D$145+2)*100,0))))</f>
        <v>N/A</v>
      </c>
      <c r="AM100" s="63" t="str">
        <f>IF((IF(ISNUMBER(Matching_Engine!$AG$100),Lookup_Lists!$D$129,0)+IF(ISNUMBER(Matching_Engine!$AH$100),Lookup_Lists!$D$130,0)+IF(ISNUMBER(Matching_Engine!$AI$100),Lookup_Lists!$D$131,0)+IF(ISNUMBER(Matching_Engine!$AJ$100),Lookup_Lists!$D$132,0)+IF(ISNUMBER(Matching_Engine!$AK$100),Lookup_Lists!$D$133,0)+IF(ISNUMBER(Matching_Engine!$AL$100),Lookup_Lists!$D$134,0))=0,"N/A",ROUND((IF(ISNUMBER(Matching_Engine!$AG$100),Matching_Engine!$AG$100*Lookup_Lists!$D$129,0)+IF(ISNUMBER(Matching_Engine!$AH$100),Matching_Engine!$AH$100*Lookup_Lists!$D$130,0)+IF(ISNUMBER(Matching_Engine!$AI$100),Matching_Engine!$AI$100*Lookup_Lists!$D$131,0)+IF(ISNUMBER(Matching_Engine!$AJ$100),Matching_Engine!$AJ$100*Lookup_Lists!$D$132,0)+IF(ISNUMBER(Matching_Engine!$AK$100),Matching_Engine!$AK$100*Lookup_Lists!$D$133,0)+IF(ISNUMBER(Matching_Engine!$AL$100),Matching_Engine!$AL$100*Lookup_Lists!$D$134,0))/(IF(ISNUMBER(Matching_Engine!$AG$100),Lookup_Lists!$D$129,0)+IF(ISNUMBER(Matching_Engine!$AH$100),Lookup_Lists!$D$130,0)+IF(ISNUMBER(Matching_Engine!$AI$100),Lookup_Lists!$D$131,0)+IF(ISNUMBER(Matching_Engine!$AJ$100),Lookup_Lists!$D$132,0)+IF(ISNUMBER(Matching_Engine!$AK$100),Lookup_Lists!$D$133,0)+IF(ISNUMBER(Matching_Engine!$AL$100),Lookup_Lists!$D$134,0)),0))</f>
        <v>N/A</v>
      </c>
      <c r="AN100" s="42">
        <f>IF(ISNUMBER(Matching_Engine!$AM$100),1,0)</f>
        <v>0</v>
      </c>
      <c r="AO100" s="65" t="str">
        <f>IF(NOT(ISNUMBER('[1]#REF'!$BT$28)),"N/A",MIN(100,MAX(0,'[1]#REF'!$BT$28)))</f>
        <v>N/A</v>
      </c>
      <c r="AP100" s="65" t="str">
        <f>IF(NOT(ISNUMBER('[1]#REF'!$BU$28)),"N/A",MIN(100,MAX(0,'[1]#REF'!$BU$28)))</f>
        <v>N/A</v>
      </c>
      <c r="AQ100" s="65" t="e">
        <f>IF('[1]#REF'!$I$28="Yes",Lookup_Lists!$D$326,IF('[1]#REF'!$I$28="No",Lookup_Lists!$D$327,"N/A"))</f>
        <v>#REF!</v>
      </c>
      <c r="AR100" s="65" t="str">
        <f>IF(NOT(ISNUMBER('[1]#REF'!$BQ$28)),"N/A",MAX(0,ROUND(100-'[1]#REF'!$BQ$28/Lookup_Lists!$D$328*100,0)))</f>
        <v>N/A</v>
      </c>
      <c r="AS100" s="65" t="e">
        <f>IF(NOT(AND(ISTEXT('[1]#REF'!$BV$28),'[1]#REF'!$BV$28&lt;&gt;"N/A")),"N/A",'[1]#REF'!$BV$28)</f>
        <v>#REF!</v>
      </c>
      <c r="AT100" s="63" t="str">
        <f>IF((IF(ISNUMBER(Matching_Engine!$AO$100),Lookup_Lists!$D$322,0)+IF(ISNUMBER(Matching_Engine!$AP$100),Lookup_Lists!$D$323,0)+IF(ISNUMBER(Matching_Engine!$AQ$100),Lookup_Lists!$D$324,0)+IF(ISNUMBER(Matching_Engine!$AR$100),Lookup_Lists!$D$325,0))=0,"N/A",ROUND((IF(ISNUMBER(Matching_Engine!$AO$100),Matching_Engine!$AO$100*Lookup_Lists!$D$322,0)+IF(ISNUMBER(Matching_Engine!$AP$100),Matching_Engine!$AP$100*Lookup_Lists!$D$323,0)+IF(ISNUMBER(Matching_Engine!$AQ$100),Matching_Engine!$AQ$100*Lookup_Lists!$D$324,0)+IF(ISNUMBER(Matching_Engine!$AR$100),Matching_Engine!$AR$100*Lookup_Lists!$D$325,0))/(IF(ISNUMBER(Matching_Engine!$AO$100),Lookup_Lists!$D$322,0)+IF(ISNUMBER(Matching_Engine!$AP$100),Lookup_Lists!$D$323,0)+IF(ISNUMBER(Matching_Engine!$AQ$100),Lookup_Lists!$D$324,0)+IF(ISNUMBER(Matching_Engine!$AR$100),Lookup_Lists!$D$325,0)),0))</f>
        <v>N/A</v>
      </c>
      <c r="AU100" s="42">
        <f>IF(ISNUMBER(Matching_Engine!$AT$100),1,0)</f>
        <v>0</v>
      </c>
      <c r="AV100" s="42" t="str">
        <f>IF(NOT(ISNUMBER(Matching_Engine!$AT$100)),"Not Screened",IF(Matching_Engine!$AT$100&gt;=Lookup_Lists!$D$329,"Low Risk",IF(Matching_Engine!$AT$100&gt;=Lookup_Lists!$D$330,"Moderate Risk",IF(Matching_Engine!$AT$100&gt;=Lookup_Lists!$D$331,"Elevated Risk","High Risk"))))</f>
        <v>Not Screened</v>
      </c>
      <c r="AW100" s="42" t="str">
        <f>IF(NOT(ISNUMBER(Matching_Engine!$AT$100)),"No integrity signal: no audience-analysis row for this account.","Integrity screen only — no content-risk reading exists (comments_analysis: 0 rows). "&amp;IF(ISNUMBER(Matching_Engine!$AO$100),"Authenticity "&amp;Matching_Engine!$AO$100&amp;". ","Authenticity N/A. ")&amp;IF(ISNUMBER(Matching_Engine!$AP$100),"Follower quality "&amp;Matching_Engine!$AP$100&amp;". ","Follower quality N/A. ")&amp;IF('[1]#REF'!$I$28="Yes","Platform-verified.","Not platform-verified."))</f>
        <v>No integrity signal: no audience-analysis row for this account.</v>
      </c>
      <c r="AX100" s="65">
        <f>Matching_Engine!$N$100*Lookup_Lists!$D$104+Matching_Engine!$T$100*Lookup_Lists!$D$105+Matching_Engine!$Z$100*Lookup_Lists!$D$106+Matching_Engine!$AF$100*Lookup_Lists!$D$107+Matching_Engine!$AN$100*Lookup_Lists!$D$108+Matching_Engine!$AU$100*Lookup_Lists!$D$109</f>
        <v>0</v>
      </c>
      <c r="AY100" s="74" t="str">
        <f>IF(Matching_Engine!$AX$100=0,"N/A",ROUND((IF(Matching_Engine!$N$100=1,Matching_Engine!$M$100*Lookup_Lists!$D$104,0)+IF(Matching_Engine!$T$100=1,Matching_Engine!$S$100*Lookup_Lists!$D$105,0)+IF(Matching_Engine!$Z$100=1,Matching_Engine!$Y$100*Lookup_Lists!$D$106,0)+IF(Matching_Engine!$AF$100=1,Matching_Engine!$AE$100*Lookup_Lists!$D$107,0)+IF(Matching_Engine!$AN$100=1,Matching_Engine!$AM$100*Lookup_Lists!$D$108,0)+IF(Matching_Engine!$AU$100=1,Matching_Engine!$AT$100*Lookup_Lists!$D$109,0))/Matching_Engine!$AX$100,0))</f>
        <v>N/A</v>
      </c>
      <c r="AZ100" s="42" t="str">
        <f>IF(NOT(ISNUMBER(Matching_Engine!$AY$100)),"Not Scored",IF(Matching_Engine!$AY$100&gt;=Lookup_Lists!$D$152,"Excellent Match",IF(Matching_Engine!$AY$100&gt;=Lookup_Lists!$D$153,"Strong Match",IF(Matching_Engine!$AY$100&gt;=Lookup_Lists!$D$154,"Good Match",IF(Matching_Engine!$AY$100&gt;=Lookup_Lists!$D$155,"Moderate Match","Low Match")))))</f>
        <v>Not Scored</v>
      </c>
      <c r="BA100" s="65" t="e">
        <f>'[1]#REF'!$BW$28</f>
        <v>#REF!</v>
      </c>
      <c r="BB100" s="42" t="e">
        <f>'[1]#REF'!$BX$28</f>
        <v>#REF!</v>
      </c>
      <c r="BC100" s="65">
        <f>IF(NOT(ISNUMBER(Matching_Engine!$AY$100)),-1,Matching_Engine!$AY$100*1000+2)</f>
        <v>-1</v>
      </c>
      <c r="BD100" s="42" t="e">
        <f>IF(AND(ISTEXT('[1]#REF'!$S$28),'[1]#REF'!$S$28&lt;&gt;"N/A"),'[1]#REF'!$S$28,"")&amp;" | "&amp;IF(AND(ISTEXT('[1]#REF'!$T$28),'[1]#REF'!$T$28&lt;&gt;"N/A"),'[1]#REF'!$T$28,"")&amp;" | "&amp;IF(AND(ISTEXT('[1]#REF'!$N$28),'[1]#REF'!$N$28&lt;&gt;"N/A"),'[1]#REF'!$N$28,"")&amp;" | "&amp;IF(AND(ISTEXT('[1]#REF'!$K$28),'[1]#REF'!$K$28&lt;&gt;"N/A"),'[1]#REF'!$K$28,"")&amp;" | "&amp;IF(AND(ISTEXT('[1]#REF'!$J$28),'[1]#REF'!$J$28&lt;&gt;"N/A"),'[1]#REF'!$J$28,"")</f>
        <v>#REF!</v>
      </c>
      <c r="BE100" s="42" t="e">
        <f>IF(AND(ISTEXT('[1]#REF'!$T$28),'[1]#REF'!$T$28&lt;&gt;"N/A"),'[1]#REF'!$T$28,"")&amp;" | "&amp;IF(AND(ISTEXT('[1]#REF'!$N$28),'[1]#REF'!$N$28&lt;&gt;"N/A"),'[1]#REF'!$N$28,"")&amp;" | "&amp;IF(AND(ISTEXT('[1]#REF'!$O$28),'[1]#REF'!$O$28&lt;&gt;"N/A"),'[1]#REF'!$O$28,"")&amp;" | "&amp;IF(AND(ISTEXT('[1]#REF'!$S$28),'[1]#REF'!$S$28&lt;&gt;"N/A"),'[1]#REF'!$S$28,"")</f>
        <v>#REF!</v>
      </c>
      <c r="BF100" s="42" t="e">
        <f>IF(AND(ISTEXT('[1]#REF'!$U$28),'[1]#REF'!$U$28&lt;&gt;"N/A"),'[1]#REF'!$U$28,"")</f>
        <v>#REF!</v>
      </c>
      <c r="BG100" s="42" t="str">
        <f>Matching_Engine!$A$100&amp;"|"&amp;Matching_Engine!$C$100</f>
        <v>|</v>
      </c>
    </row>
    <row r="101" spans="1:59">
      <c r="A101" s="64" t="s">
        <v>2530</v>
      </c>
      <c r="B101" s="42" t="str">
        <f>Brand_Profile!$H$6</f>
        <v>Input type / allowed values</v>
      </c>
      <c r="C101" s="42" t="e">
        <f>'[1]#REF'!$A$29</f>
        <v>#REF!</v>
      </c>
      <c r="D101" s="42" t="e">
        <f>'[1]#REF'!$C$29</f>
        <v>#REF!</v>
      </c>
      <c r="E101" s="42" t="e">
        <f>'[1]#REF'!$D$29</f>
        <v>#REF!</v>
      </c>
      <c r="F101" s="42" t="e">
        <f>'[1]#REF'!$E$29</f>
        <v>#REF!</v>
      </c>
      <c r="G101" s="42" t="e">
        <f>'[1]#REF'!$K$29</f>
        <v>#REF!</v>
      </c>
      <c r="H101" s="72" t="e">
        <f>'[1]#REF'!$G$29</f>
        <v>#REF!</v>
      </c>
      <c r="I101" s="73" t="e">
        <f>'[1]#REF'!$BG$29</f>
        <v>#REF!</v>
      </c>
      <c r="J101" s="65" t="e">
        <f>IF(NOT(AND(ISTEXT('[1]#REF'!$K$29),'[1]#REF'!$K$29&lt;&gt;"N/A")),Lookup_Lists!$D$150,IF(Brand_Profile!$H$7='[1]#REF'!$K$29,100,IFERROR(INDEX(Lookup_Lists!$B$349:$J$357,MATCH(Brand_Profile!$H$7,Lookup_Lists!$A$349:$A$357,0),MATCH('[1]#REF'!$K$29,Lookup_Lists!$B$348:$J$348,0)),Lookup_Lists!$D$151)))</f>
        <v>#REF!</v>
      </c>
      <c r="K101" s="65" t="str">
        <f>IF(LEN(TRIM(SUBSTITUTE(Matching_Engine!$BD$101,"|","")))=0,"N/A",IF(Brand_Profile!$H$47=0,Lookup_Lists!$D$150,ROUND((IF(Brand_Profile!$H$41="",0,IF(ISNUMBER(SEARCH(Brand_Profile!$H$41,Matching_Engine!$BD$101)),1,0))+IF(Brand_Profile!$H$42="",0,IF(ISNUMBER(SEARCH(Brand_Profile!$H$42,Matching_Engine!$BD$101)),1,0))+IF(Brand_Profile!$H$43="",0,IF(ISNUMBER(SEARCH(Brand_Profile!$H$43,Matching_Engine!$BD$101)),1,0))+IF(Brand_Profile!$H$44="",0,IF(ISNUMBER(SEARCH(Brand_Profile!$H$44,Matching_Engine!$BD$101)),1,0))+IF(Brand_Profile!$H$45="",0,IF(ISNUMBER(SEARCH(Brand_Profile!$H$45,Matching_Engine!$BD$101)),1,0))+IF(Brand_Profile!$H$46="",0,IF(ISNUMBER(SEARCH(Brand_Profile!$H$46,Matching_Engine!$BD$101)),1,0)))/Brand_Profile!$H$47*100,0)))</f>
        <v>N/A</v>
      </c>
      <c r="L101" s="65" t="e">
        <f>IF(NOT(AND(ISTEXT('[1]#REF'!$U$29),'[1]#REF'!$U$29&lt;&gt;"N/A")),"N/A",IF(Brand_Profile!$H$53=0,Lookup_Lists!$D$150,ROUND((IF(Brand_Profile!$H$48="",0,IF(ISNUMBER(SEARCH(Brand_Profile!$H$48,Matching_Engine!$BF$101)),1,0))+IF(Brand_Profile!$H$49="",0,IF(ISNUMBER(SEARCH(Brand_Profile!$H$49,Matching_Engine!$BF$101)),1,0))+IF(Brand_Profile!$H$50="",0,IF(ISNUMBER(SEARCH(Brand_Profile!$H$50,Matching_Engine!$BF$101)),1,0))+IF(Brand_Profile!$H$51="",0,IF(ISNUMBER(SEARCH(Brand_Profile!$H$51,Matching_Engine!$BF$101)),1,0))+IF(Brand_Profile!$H$52="",0,IF(ISNUMBER(SEARCH(Brand_Profile!$H$52,Matching_Engine!$BF$101)),1,0)))/Brand_Profile!$H$53*100,0)))</f>
        <v>#REF!</v>
      </c>
      <c r="M101" s="63" t="str">
        <f>IF((IF(ISNUMBER(Matching_Engine!$J$101),Lookup_Lists!$D$332,0)+IF(ISNUMBER(Matching_Engine!$K$101),Lookup_Lists!$D$333,0)+IF(ISNUMBER(Matching_Engine!$L$101),Lookup_Lists!$D$334,0))=0,"N/A",ROUND((IF(ISNUMBER(Matching_Engine!$J$101),Matching_Engine!$J$101*Lookup_Lists!$D$332,0)+IF(ISNUMBER(Matching_Engine!$K$101),Matching_Engine!$K$101*Lookup_Lists!$D$333,0)+IF(ISNUMBER(Matching_Engine!$L$101),Matching_Engine!$L$101*Lookup_Lists!$D$334,0))/(IF(ISNUMBER(Matching_Engine!$J$101),Lookup_Lists!$D$332,0)+IF(ISNUMBER(Matching_Engine!$K$101),Lookup_Lists!$D$333,0)+IF(ISNUMBER(Matching_Engine!$L$101),Lookup_Lists!$D$334,0)),0))</f>
        <v>N/A</v>
      </c>
      <c r="N101" s="42">
        <f>IF(ISNUMBER(Matching_Engine!$M$101),1,0)</f>
        <v>0</v>
      </c>
      <c r="O101" s="65" t="str">
        <f ca="1">IF(NOT(ISNUMBER(IFERROR(INDEX('[1]#REF'!$V$29:'[1]#REF'!$Z$29,1,MATCH(Brand_Profile!$H$11,Lookup_Lists!$F$6:$F$10,0)),""))),"N/A",MIN(100,ROUND((IFERROR(INDEX('[1]#REF'!$V$29:'[1]#REF'!$Z$29,1,MATCH(Brand_Profile!$H$11,Lookup_Lists!$F$6:$F$10,0)),"")+0.5*IF(ISNUMBER(IFERROR(INDEX('[1]#REF'!$V$29:'[1]#REF'!$Z$29,1,MATCH(Brand_Profile!$H$12,Lookup_Lists!$F$6:$F$10,0)),"")),IFERROR(INDEX('[1]#REF'!$V$29:'[1]#REF'!$Z$29,1,MATCH(Brand_Profile!$H$12,Lookup_Lists!$F$6:$F$10,0)),""),0))/Lookup_Lists!$D$142*100,0)))</f>
        <v>N/A</v>
      </c>
      <c r="P101" s="65" t="str">
        <f>IF(Brand_Profile!$H$13="Any",100,IF(NOT(ISNUMBER('[1]#REF'!$AA$29)),"N/A",IF(Brand_Profile!$H$13="Female",MIN(100,ROUND('[1]#REF'!$AA$29/Lookup_Lists!$D$143*100,0)),IF(Brand_Profile!$H$13="Male",MIN(100,ROUND(IF(ISNUMBER('[1]#REF'!$AB$29),'[1]#REF'!$AB$29,100-'[1]#REF'!$AA$29)/Lookup_Lists!$D$143*100,0)),MAX(0,ROUND(100-ABS('[1]#REF'!$AA$29-50)*2,0))))))</f>
        <v>N/A</v>
      </c>
      <c r="Q101" s="65" t="str">
        <f>IF((IF(ISNUMBER(IF(NOT(ISNUMBER('[1]#REF'!$AE$29)),"N/A",IF('[1]#REF'!$AD$29&lt;&gt;Brand_Profile!$H$14,Lookup_Lists!$D$151,MIN(100,ROUND('[1]#REF'!$AE$29/Lookup_Lists!$D$316*100,0))))),Lookup_Lists!$D$118,0)+IF(ISNUMBER(IF(NOT(ISNUMBER('[1]#REF'!$AM$29)),"N/A",MIN(100,ROUND((IF('[1]#REF'!$AG$29=Brand_Profile!$H$15,IF(ISNUMBER('[1]#REF'!$AH$29),'[1]#REF'!$AH$29,0),0)+IF('[1]#REF'!$AI$29=Brand_Profile!$H$15,IF(ISNUMBER('[1]#REF'!$AJ$29),'[1]#REF'!$AJ$29,0),0)+IF('[1]#REF'!$AK$29=Brand_Profile!$H$15,IF(ISNUMBER('[1]#REF'!$AL$29),'[1]#REF'!$AL$29,0),0))/Lookup_Lists!$D$317*100,0)))),Lookup_Lists!$D$120,0))=0,"N/A",ROUND((IF(ISNUMBER(IF(NOT(ISNUMBER('[1]#REF'!$AE$29)),"N/A",IF('[1]#REF'!$AD$29&lt;&gt;Brand_Profile!$H$14,Lookup_Lists!$D$151,MIN(100,ROUND('[1]#REF'!$AE$29/Lookup_Lists!$D$316*100,0))))),IF(NOT(ISNUMBER('[1]#REF'!$AE$29)),"N/A",IF('[1]#REF'!$AD$29&lt;&gt;Brand_Profile!$H$14,Lookup_Lists!$D$151,MIN(100,ROUND('[1]#REF'!$AE$29/Lookup_Lists!$D$316*100,0))))*Lookup_Lists!$D$118,0)+IF(ISNUMBER(IF(NOT(ISNUMBER('[1]#REF'!$AM$29)),"N/A",MIN(100,ROUND((IF('[1]#REF'!$AG$29=Brand_Profile!$H$15,IF(ISNUMBER('[1]#REF'!$AH$29),'[1]#REF'!$AH$29,0),0)+IF('[1]#REF'!$AI$29=Brand_Profile!$H$15,IF(ISNUMBER('[1]#REF'!$AJ$29),'[1]#REF'!$AJ$29,0),0)+IF('[1]#REF'!$AK$29=Brand_Profile!$H$15,IF(ISNUMBER('[1]#REF'!$AL$29),'[1]#REF'!$AL$29,0),0))/Lookup_Lists!$D$317*100,0)))),IF(NOT(ISNUMBER('[1]#REF'!$AM$29)),"N/A",MIN(100,ROUND((IF('[1]#REF'!$AG$29=Brand_Profile!$H$15,IF(ISNUMBER('[1]#REF'!$AH$29),'[1]#REF'!$AH$29,0),0)+IF('[1]#REF'!$AI$29=Brand_Profile!$H$15,IF(ISNUMBER('[1]#REF'!$AJ$29),'[1]#REF'!$AJ$29,0),0)+IF('[1]#REF'!$AK$29=Brand_Profile!$H$15,IF(ISNUMBER('[1]#REF'!$AL$29),'[1]#REF'!$AL$29,0),0))/Lookup_Lists!$D$317*100,0)))*Lookup_Lists!$D$120,0))/(IF(ISNUMBER(IF(NOT(ISNUMBER('[1]#REF'!$AE$29)),"N/A",IF('[1]#REF'!$AD$29&lt;&gt;Brand_Profile!$H$14,Lookup_Lists!$D$151,MIN(100,ROUND('[1]#REF'!$AE$29/Lookup_Lists!$D$316*100,0))))),Lookup_Lists!$D$118,0)+IF(ISNUMBER(IF(NOT(ISNUMBER('[1]#REF'!$AM$29)),"N/A",MIN(100,ROUND((IF('[1]#REF'!$AG$29=Brand_Profile!$H$15,IF(ISNUMBER('[1]#REF'!$AH$29),'[1]#REF'!$AH$29,0),0)+IF('[1]#REF'!$AI$29=Brand_Profile!$H$15,IF(ISNUMBER('[1]#REF'!$AJ$29),'[1]#REF'!$AJ$29,0),0)+IF('[1]#REF'!$AK$29=Brand_Profile!$H$15,IF(ISNUMBER('[1]#REF'!$AL$29),'[1]#REF'!$AL$29,0),0))/Lookup_Lists!$D$317*100,0)))),Lookup_Lists!$D$120,0)),0))</f>
        <v>N/A</v>
      </c>
      <c r="R101" s="65" t="str">
        <f>IF(NOT(ISNUMBER('[1]#REF'!$AN$29)),"N/A",MIN(100,ROUND((IF(ISNUMBER('[1]#REF'!$AO$29),'[1]#REF'!$AO$29*Brand_Profile!$H$17,0)+IF(ISNUMBER('[1]#REF'!$AP$29),'[1]#REF'!$AP$29*Brand_Profile!$H$18,0)+IF(ISNUMBER('[1]#REF'!$AQ$29),'[1]#REF'!$AQ$29*Brand_Profile!$H$19,0)+IF(ISNUMBER('[1]#REF'!$AR$29),'[1]#REF'!$AR$29*Brand_Profile!$H$20,0)+IF(ISNUMBER('[1]#REF'!$AS$29),'[1]#REF'!$AS$29*Brand_Profile!$H$21,0)+IF(ISNUMBER('[1]#REF'!$AT$29),'[1]#REF'!$AT$29*Brand_Profile!$H$22,0)+IF(ISNUMBER('[1]#REF'!$AU$29),'[1]#REF'!$AU$29*Brand_Profile!$H$23,0)+IF(ISNUMBER('[1]#REF'!$AV$29),'[1]#REF'!$AV$29*Brand_Profile!$H$24,0)+IF(ISNUMBER('[1]#REF'!$AW$29),'[1]#REF'!$AW$29*Brand_Profile!$H$25,0)+IF(ISNUMBER('[1]#REF'!$AX$29),'[1]#REF'!$AX$29*Brand_Profile!$H$26,0)+IF(ISNUMBER('[1]#REF'!$AY$29),'[1]#REF'!$AY$29*Brand_Profile!$H$27,0)+IF(ISNUMBER('[1]#REF'!$AZ$29),'[1]#REF'!$AZ$29*Brand_Profile!$H$28,0)+IF(ISNUMBER('[1]#REF'!$BA$29),'[1]#REF'!$BA$29*Brand_Profile!$H$29,0)+IF(ISNUMBER('[1]#REF'!$BB$29),'[1]#REF'!$BB$29*Brand_Profile!$H$30,0)+IF(ISNUMBER('[1]#REF'!$BC$29),'[1]#REF'!$BC$29*Brand_Profile!$H$31,0)+IF(ISNUMBER('[1]#REF'!$BD$29),'[1]#REF'!$BD$29*Brand_Profile!$H$32,0)+IF(ISNUMBER('[1]#REF'!$BE$29),'[1]#REF'!$BE$29*Brand_Profile!$H$33,0)+IF(ISNUMBER('[1]#REF'!$BF$29),'[1]#REF'!$BF$29*Brand_Profile!$H$34,0))/Lookup_Lists!$D$318*100,0)))</f>
        <v>N/A</v>
      </c>
      <c r="S101" s="63" t="str">
        <f>IF((IF(ISNUMBER(Matching_Engine!$O$101),Lookup_Lists!$D$113,0)+IF(ISNUMBER(Matching_Engine!$P$101),Lookup_Lists!$D$114,0)+IF(ISNUMBER(Matching_Engine!$Q$101),Lookup_Lists!$D$115,0)+IF(ISNUMBER(Matching_Engine!$R$101),Lookup_Lists!$D$116,0))=0,"N/A",ROUND((IF(ISNUMBER(Matching_Engine!$O$101),Matching_Engine!$O$101*Lookup_Lists!$D$113,0)+IF(ISNUMBER(Matching_Engine!$P$101),Matching_Engine!$P$101*Lookup_Lists!$D$114,0)+IF(ISNUMBER(Matching_Engine!$Q$101),Matching_Engine!$Q$101*Lookup_Lists!$D$115,0)+IF(ISNUMBER(Matching_Engine!$R$101),Matching_Engine!$R$101*Lookup_Lists!$D$116,0))/(IF(ISNUMBER(Matching_Engine!$O$101),Lookup_Lists!$D$113,0)+IF(ISNUMBER(Matching_Engine!$P$101),Lookup_Lists!$D$114,0)+IF(ISNUMBER(Matching_Engine!$Q$101),Lookup_Lists!$D$115,0)+IF(ISNUMBER(Matching_Engine!$R$101),Lookup_Lists!$D$116,0)),0))</f>
        <v>N/A</v>
      </c>
      <c r="T101" s="42">
        <f>IF(ISNUMBER(Matching_Engine!$S$101),1,0)</f>
        <v>0</v>
      </c>
      <c r="U101" s="65" t="e">
        <f>IF(NOT(AND(ISTEXT('[1]#REF'!$M$29),'[1]#REF'!$M$29&lt;&gt;"N/A")),Lookup_Lists!$D$150,IF(Brand_Profile!$H$7='[1]#REF'!$M$29,100,IFERROR(INDEX(Lookup_Lists!$B$349:$J$357,MATCH(Brand_Profile!$H$7,Lookup_Lists!$A$349:$A$357,0),MATCH('[1]#REF'!$M$29,Lookup_Lists!$B$348:$J$348,0)),Lookup_Lists!$D$151)))</f>
        <v>#REF!</v>
      </c>
      <c r="V101" s="65" t="e">
        <f>IF(NOT(AND(ISTEXT('[1]#REF'!$P$29),'[1]#REF'!$P$29&lt;&gt;"N/A")),"N/A",IFERROR(INDEX(Lookup_Lists!$B$349:$J$357,MATCH(Brand_Profile!$H$7,Lookup_Lists!$A$349:$A$357,0),MATCH('[1]#REF'!$P$29,Lookup_Lists!$B$348:$J$348,0)),Lookup_Lists!$D$151))</f>
        <v>#REF!</v>
      </c>
      <c r="W101" s="65" t="str">
        <f>IF(LEN(TRIM(SUBSTITUTE(Matching_Engine!$BE$101,"|","")))=0,"N/A",IF(Brand_Profile!$H$60=0,Lookup_Lists!$D$150,ROUND((IF(Brand_Profile!$H$54="",0,IF(ISNUMBER(SEARCH(Brand_Profile!$H$54,Matching_Engine!$BE$101)),1,0))+IF(Brand_Profile!$H$55="",0,IF(ISNUMBER(SEARCH(Brand_Profile!$H$55,Matching_Engine!$BE$101)),1,0))+IF(Brand_Profile!$H$56="",0,IF(ISNUMBER(SEARCH(Brand_Profile!$H$56,Matching_Engine!$BE$101)),1,0))+IF(Brand_Profile!$H$57="",0,IF(ISNUMBER(SEARCH(Brand_Profile!$H$57,Matching_Engine!$BE$101)),1,0))+IF(Brand_Profile!$H$58="",0,IF(ISNUMBER(SEARCH(Brand_Profile!$H$58,Matching_Engine!$BE$101)),1,0))+IF(Brand_Profile!$H$59="",0,IF(ISNUMBER(SEARCH(Brand_Profile!$H$59,Matching_Engine!$BE$101)),1,0)))/Brand_Profile!$H$60*100,0)))</f>
        <v>N/A</v>
      </c>
      <c r="X101" s="65" t="e">
        <f>IF(NOT(AND(ISTEXT('[1]#REF'!$Q$29),'[1]#REF'!$Q$29&lt;&gt;"N/A")),"N/A",Lookup_Lists!$D$150)</f>
        <v>#REF!</v>
      </c>
      <c r="Y101" s="63" t="str">
        <f>IF((IF(ISNUMBER(Matching_Engine!$U$101),Lookup_Lists!$D$335,0)+IF(ISNUMBER(Matching_Engine!$V$101),Lookup_Lists!$D$122,0)+IF(ISNUMBER(Matching_Engine!$W$101),Lookup_Lists!$D$336,0)+IF(ISNUMBER(Matching_Engine!$X$101),Lookup_Lists!$D$124,0))=0,"N/A",ROUND((IF(ISNUMBER(Matching_Engine!$U$101),Matching_Engine!$U$101*Lookup_Lists!$D$335,0)+IF(ISNUMBER(Matching_Engine!$V$101),Matching_Engine!$V$101*Lookup_Lists!$D$122,0)+IF(ISNUMBER(Matching_Engine!$W$101),Matching_Engine!$W$101*Lookup_Lists!$D$336,0)+IF(ISNUMBER(Matching_Engine!$X$101),Matching_Engine!$X$101*Lookup_Lists!$D$124,0))/(IF(ISNUMBER(Matching_Engine!$U$101),Lookup_Lists!$D$335,0)+IF(ISNUMBER(Matching_Engine!$V$101),Lookup_Lists!$D$122,0)+IF(ISNUMBER(Matching_Engine!$W$101),Lookup_Lists!$D$336,0)+IF(ISNUMBER(Matching_Engine!$X$101),Lookup_Lists!$D$124,0)),0))</f>
        <v>N/A</v>
      </c>
      <c r="Z101" s="42">
        <f>IF(ISNUMBER(Matching_Engine!$Y$101),1,0)</f>
        <v>0</v>
      </c>
      <c r="AA101" s="65" t="e">
        <f>IF(NOT(AND(ISTEXT('[1]#REF'!$Q$29),'[1]#REF'!$Q$29&lt;&gt;"N/A")),"N/A",Lookup_Lists!$D$150)</f>
        <v>#REF!</v>
      </c>
      <c r="AB101" s="65" t="e">
        <f>IF(NOT(AND(ISTEXT('[1]#REF'!$Q$29),'[1]#REF'!$Q$29&lt;&gt;"N/A")),"N/A",Lookup_Lists!$D$150)</f>
        <v>#REF!</v>
      </c>
      <c r="AC101" s="65" t="str">
        <f t="shared" si="1"/>
        <v>N/A</v>
      </c>
      <c r="AD101" s="65" t="e">
        <f>IF(NOT(AND(ISTEXT('[1]#REF'!$Q$29),'[1]#REF'!$Q$29&lt;&gt;"N/A")),"N/A",Lookup_Lists!$D$150)</f>
        <v>#REF!</v>
      </c>
      <c r="AE101" s="63" t="str">
        <f>IF((IF(ISNUMBER(Matching_Engine!$AA$101),Lookup_Lists!$D$125,0)+IF(ISNUMBER(Matching_Engine!$AB$101),Lookup_Lists!$D$126,0)+IF(ISNUMBER(Matching_Engine!$AC$101),Lookup_Lists!$D$127,0)+IF(ISNUMBER(Matching_Engine!$AD$101),Lookup_Lists!$D$128,0))=0,"N/A",ROUND((IF(ISNUMBER(Matching_Engine!$AA$101),Matching_Engine!$AA$101*Lookup_Lists!$D$125,0)+IF(ISNUMBER(Matching_Engine!$AB$101),Matching_Engine!$AB$101*Lookup_Lists!$D$126,0)+IF(ISNUMBER(Matching_Engine!$AC$101),Matching_Engine!$AC$101*Lookup_Lists!$D$127,0)+IF(ISNUMBER(Matching_Engine!$AD$101),Matching_Engine!$AD$101*Lookup_Lists!$D$128,0))/(IF(ISNUMBER(Matching_Engine!$AA$101),Lookup_Lists!$D$125,0)+IF(ISNUMBER(Matching_Engine!$AB$101),Lookup_Lists!$D$126,0)+IF(ISNUMBER(Matching_Engine!$AC$101),Lookup_Lists!$D$127,0)+IF(ISNUMBER(Matching_Engine!$AD$101),Lookup_Lists!$D$128,0)),0))</f>
        <v>N/A</v>
      </c>
      <c r="AF101" s="42">
        <f>IF(ISNUMBER(Matching_Engine!$AE$101),1,0)</f>
        <v>0</v>
      </c>
      <c r="AG101" s="65" t="str">
        <f>IF(NOT(ISNUMBER('[1]#REF'!$BG$29)),"N/A",MIN(100,ROUND('[1]#REF'!$BG$29/IFERROR(INDEX(Lookup_Lists!$B$340:$B$344,MATCH('[1]#REF'!$H$29,Lookup_Lists!$A$340:$A$344,0)),Lookup_Lists!$D$141)*100,0)))</f>
        <v>N/A</v>
      </c>
      <c r="AH101" s="65" t="str">
        <f>IF(NOT(ISNUMBER('[1]#REF'!$BS$29)),"N/A",MIN(100,MAX(0,'[1]#REF'!$BS$29)))</f>
        <v>N/A</v>
      </c>
      <c r="AI101" s="65" t="e">
        <f>IF(OR(NOT(ISNUMBER('[1]#REF'!$BM$29)),NOT(ISNUMBER('[1]#REF'!$BN$29)),'[1]#REF'!$BN$29&lt;Lookup_Lists!$D$320),"N/A",MIN(100,ROUND('[1]#REF'!$BM$29/Lookup_Lists!$D$319*100,0)))</f>
        <v>#REF!</v>
      </c>
      <c r="AJ101" s="65" t="str">
        <f>IF(NOT(ISNUMBER('[1]#REF'!$BR$29)),"N/A",'[1]#REF'!$BR$29)</f>
        <v>N/A</v>
      </c>
      <c r="AK101" s="65" t="str">
        <f>IF(NOT(ISNUMBER('[1]#REF'!$BK$29)),"N/A",MIN(100,ROUND('[1]#REF'!$BK$29/Lookup_Lists!$D$321*100,0)))</f>
        <v>N/A</v>
      </c>
      <c r="AL101" s="65" t="str">
        <f>IF(NOT(ISNUMBER('[1]#REF'!$BP$29)),"N/A",MIN(100,MAX(0,ROUND(('[1]#REF'!$BP$29+2)/(Lookup_Lists!$D$145+2)*100,0))))</f>
        <v>N/A</v>
      </c>
      <c r="AM101" s="63" t="str">
        <f>IF((IF(ISNUMBER(Matching_Engine!$AG$101),Lookup_Lists!$D$129,0)+IF(ISNUMBER(Matching_Engine!$AH$101),Lookup_Lists!$D$130,0)+IF(ISNUMBER(Matching_Engine!$AI$101),Lookup_Lists!$D$131,0)+IF(ISNUMBER(Matching_Engine!$AJ$101),Lookup_Lists!$D$132,0)+IF(ISNUMBER(Matching_Engine!$AK$101),Lookup_Lists!$D$133,0)+IF(ISNUMBER(Matching_Engine!$AL$101),Lookup_Lists!$D$134,0))=0,"N/A",ROUND((IF(ISNUMBER(Matching_Engine!$AG$101),Matching_Engine!$AG$101*Lookup_Lists!$D$129,0)+IF(ISNUMBER(Matching_Engine!$AH$101),Matching_Engine!$AH$101*Lookup_Lists!$D$130,0)+IF(ISNUMBER(Matching_Engine!$AI$101),Matching_Engine!$AI$101*Lookup_Lists!$D$131,0)+IF(ISNUMBER(Matching_Engine!$AJ$101),Matching_Engine!$AJ$101*Lookup_Lists!$D$132,0)+IF(ISNUMBER(Matching_Engine!$AK$101),Matching_Engine!$AK$101*Lookup_Lists!$D$133,0)+IF(ISNUMBER(Matching_Engine!$AL$101),Matching_Engine!$AL$101*Lookup_Lists!$D$134,0))/(IF(ISNUMBER(Matching_Engine!$AG$101),Lookup_Lists!$D$129,0)+IF(ISNUMBER(Matching_Engine!$AH$101),Lookup_Lists!$D$130,0)+IF(ISNUMBER(Matching_Engine!$AI$101),Lookup_Lists!$D$131,0)+IF(ISNUMBER(Matching_Engine!$AJ$101),Lookup_Lists!$D$132,0)+IF(ISNUMBER(Matching_Engine!$AK$101),Lookup_Lists!$D$133,0)+IF(ISNUMBER(Matching_Engine!$AL$101),Lookup_Lists!$D$134,0)),0))</f>
        <v>N/A</v>
      </c>
      <c r="AN101" s="42">
        <f>IF(ISNUMBER(Matching_Engine!$AM$101),1,0)</f>
        <v>0</v>
      </c>
      <c r="AO101" s="65" t="str">
        <f>IF(NOT(ISNUMBER('[1]#REF'!$BT$29)),"N/A",MIN(100,MAX(0,'[1]#REF'!$BT$29)))</f>
        <v>N/A</v>
      </c>
      <c r="AP101" s="65" t="str">
        <f>IF(NOT(ISNUMBER('[1]#REF'!$BU$29)),"N/A",MIN(100,MAX(0,'[1]#REF'!$BU$29)))</f>
        <v>N/A</v>
      </c>
      <c r="AQ101" s="65" t="e">
        <f>IF('[1]#REF'!$I$29="Yes",Lookup_Lists!$D$326,IF('[1]#REF'!$I$29="No",Lookup_Lists!$D$327,"N/A"))</f>
        <v>#REF!</v>
      </c>
      <c r="AR101" s="65" t="str">
        <f>IF(NOT(ISNUMBER('[1]#REF'!$BQ$29)),"N/A",MAX(0,ROUND(100-'[1]#REF'!$BQ$29/Lookup_Lists!$D$328*100,0)))</f>
        <v>N/A</v>
      </c>
      <c r="AS101" s="65" t="e">
        <f>IF(NOT(AND(ISTEXT('[1]#REF'!$BV$29),'[1]#REF'!$BV$29&lt;&gt;"N/A")),"N/A",'[1]#REF'!$BV$29)</f>
        <v>#REF!</v>
      </c>
      <c r="AT101" s="63" t="str">
        <f>IF((IF(ISNUMBER(Matching_Engine!$AO$101),Lookup_Lists!$D$322,0)+IF(ISNUMBER(Matching_Engine!$AP$101),Lookup_Lists!$D$323,0)+IF(ISNUMBER(Matching_Engine!$AQ$101),Lookup_Lists!$D$324,0)+IF(ISNUMBER(Matching_Engine!$AR$101),Lookup_Lists!$D$325,0))=0,"N/A",ROUND((IF(ISNUMBER(Matching_Engine!$AO$101),Matching_Engine!$AO$101*Lookup_Lists!$D$322,0)+IF(ISNUMBER(Matching_Engine!$AP$101),Matching_Engine!$AP$101*Lookup_Lists!$D$323,0)+IF(ISNUMBER(Matching_Engine!$AQ$101),Matching_Engine!$AQ$101*Lookup_Lists!$D$324,0)+IF(ISNUMBER(Matching_Engine!$AR$101),Matching_Engine!$AR$101*Lookup_Lists!$D$325,0))/(IF(ISNUMBER(Matching_Engine!$AO$101),Lookup_Lists!$D$322,0)+IF(ISNUMBER(Matching_Engine!$AP$101),Lookup_Lists!$D$323,0)+IF(ISNUMBER(Matching_Engine!$AQ$101),Lookup_Lists!$D$324,0)+IF(ISNUMBER(Matching_Engine!$AR$101),Lookup_Lists!$D$325,0)),0))</f>
        <v>N/A</v>
      </c>
      <c r="AU101" s="42">
        <f>IF(ISNUMBER(Matching_Engine!$AT$101),1,0)</f>
        <v>0</v>
      </c>
      <c r="AV101" s="42" t="str">
        <f>IF(NOT(ISNUMBER(Matching_Engine!$AT$101)),"Not Screened",IF(Matching_Engine!$AT$101&gt;=Lookup_Lists!$D$329,"Low Risk",IF(Matching_Engine!$AT$101&gt;=Lookup_Lists!$D$330,"Moderate Risk",IF(Matching_Engine!$AT$101&gt;=Lookup_Lists!$D$331,"Elevated Risk","High Risk"))))</f>
        <v>Not Screened</v>
      </c>
      <c r="AW101" s="42" t="str">
        <f>IF(NOT(ISNUMBER(Matching_Engine!$AT$101)),"No integrity signal: no audience-analysis row for this account.","Integrity screen only — no content-risk reading exists (comments_analysis: 0 rows). "&amp;IF(ISNUMBER(Matching_Engine!$AO$101),"Authenticity "&amp;Matching_Engine!$AO$101&amp;". ","Authenticity N/A. ")&amp;IF(ISNUMBER(Matching_Engine!$AP$101),"Follower quality "&amp;Matching_Engine!$AP$101&amp;". ","Follower quality N/A. ")&amp;IF('[1]#REF'!$I$29="Yes","Platform-verified.","Not platform-verified."))</f>
        <v>No integrity signal: no audience-analysis row for this account.</v>
      </c>
      <c r="AX101" s="65">
        <f>Matching_Engine!$N$101*Lookup_Lists!$D$104+Matching_Engine!$T$101*Lookup_Lists!$D$105+Matching_Engine!$Z$101*Lookup_Lists!$D$106+Matching_Engine!$AF$101*Lookup_Lists!$D$107+Matching_Engine!$AN$101*Lookup_Lists!$D$108+Matching_Engine!$AU$101*Lookup_Lists!$D$109</f>
        <v>0</v>
      </c>
      <c r="AY101" s="74" t="str">
        <f>IF(Matching_Engine!$AX$101=0,"N/A",ROUND((IF(Matching_Engine!$N$101=1,Matching_Engine!$M$101*Lookup_Lists!$D$104,0)+IF(Matching_Engine!$T$101=1,Matching_Engine!$S$101*Lookup_Lists!$D$105,0)+IF(Matching_Engine!$Z$101=1,Matching_Engine!$Y$101*Lookup_Lists!$D$106,0)+IF(Matching_Engine!$AF$101=1,Matching_Engine!$AE$101*Lookup_Lists!$D$107,0)+IF(Matching_Engine!$AN$101=1,Matching_Engine!$AM$101*Lookup_Lists!$D$108,0)+IF(Matching_Engine!$AU$101=1,Matching_Engine!$AT$101*Lookup_Lists!$D$109,0))/Matching_Engine!$AX$101,0))</f>
        <v>N/A</v>
      </c>
      <c r="AZ101" s="42" t="str">
        <f>IF(NOT(ISNUMBER(Matching_Engine!$AY$101)),"Not Scored",IF(Matching_Engine!$AY$101&gt;=Lookup_Lists!$D$152,"Excellent Match",IF(Matching_Engine!$AY$101&gt;=Lookup_Lists!$D$153,"Strong Match",IF(Matching_Engine!$AY$101&gt;=Lookup_Lists!$D$154,"Good Match",IF(Matching_Engine!$AY$101&gt;=Lookup_Lists!$D$155,"Moderate Match","Low Match")))))</f>
        <v>Not Scored</v>
      </c>
      <c r="BA101" s="65" t="e">
        <f>'[1]#REF'!$BW$29</f>
        <v>#REF!</v>
      </c>
      <c r="BB101" s="42" t="e">
        <f>'[1]#REF'!$BX$29</f>
        <v>#REF!</v>
      </c>
      <c r="BC101" s="65">
        <f>IF(NOT(ISNUMBER(Matching_Engine!$AY$101)),-1,Matching_Engine!$AY$101*1000+1)</f>
        <v>-1</v>
      </c>
      <c r="BD101" s="42" t="e">
        <f>IF(AND(ISTEXT('[1]#REF'!$S$29),'[1]#REF'!$S$29&lt;&gt;"N/A"),'[1]#REF'!$S$29,"")&amp;" | "&amp;IF(AND(ISTEXT('[1]#REF'!$T$29),'[1]#REF'!$T$29&lt;&gt;"N/A"),'[1]#REF'!$T$29,"")&amp;" | "&amp;IF(AND(ISTEXT('[1]#REF'!$N$29),'[1]#REF'!$N$29&lt;&gt;"N/A"),'[1]#REF'!$N$29,"")&amp;" | "&amp;IF(AND(ISTEXT('[1]#REF'!$K$29),'[1]#REF'!$K$29&lt;&gt;"N/A"),'[1]#REF'!$K$29,"")&amp;" | "&amp;IF(AND(ISTEXT('[1]#REF'!$J$29),'[1]#REF'!$J$29&lt;&gt;"N/A"),'[1]#REF'!$J$29,"")</f>
        <v>#REF!</v>
      </c>
      <c r="BE101" s="42" t="e">
        <f>IF(AND(ISTEXT('[1]#REF'!$T$29),'[1]#REF'!$T$29&lt;&gt;"N/A"),'[1]#REF'!$T$29,"")&amp;" | "&amp;IF(AND(ISTEXT('[1]#REF'!$N$29),'[1]#REF'!$N$29&lt;&gt;"N/A"),'[1]#REF'!$N$29,"")&amp;" | "&amp;IF(AND(ISTEXT('[1]#REF'!$O$29),'[1]#REF'!$O$29&lt;&gt;"N/A"),'[1]#REF'!$O$29,"")&amp;" | "&amp;IF(AND(ISTEXT('[1]#REF'!$S$29),'[1]#REF'!$S$29&lt;&gt;"N/A"),'[1]#REF'!$S$29,"")</f>
        <v>#REF!</v>
      </c>
      <c r="BF101" s="42" t="e">
        <f>IF(AND(ISTEXT('[1]#REF'!$U$29),'[1]#REF'!$U$29&lt;&gt;"N/A"),'[1]#REF'!$U$29,"")</f>
        <v>#REF!</v>
      </c>
      <c r="BG101" s="42" t="str">
        <f>Matching_Engine!$A$101&amp;"|"&amp;Matching_Engine!$C$101</f>
        <v>|</v>
      </c>
    </row>
    <row r="102" spans="1:59">
      <c r="A102" s="64" t="s">
        <v>2531</v>
      </c>
      <c r="B102" s="42">
        <f>Brand_Profile!$I$6</f>
        <v>0</v>
      </c>
      <c r="C102" s="42" t="e">
        <f>'[1]#REF'!$A$6</f>
        <v>#REF!</v>
      </c>
      <c r="D102" s="42" t="e">
        <f>'[1]#REF'!$C$6</f>
        <v>#REF!</v>
      </c>
      <c r="E102" s="42" t="e">
        <f>'[1]#REF'!$D$6</f>
        <v>#REF!</v>
      </c>
      <c r="F102" s="42" t="e">
        <f>'[1]#REF'!$E$6</f>
        <v>#REF!</v>
      </c>
      <c r="G102" s="42" t="e">
        <f>'[1]#REF'!$K$6</f>
        <v>#REF!</v>
      </c>
      <c r="H102" s="72" t="e">
        <f>'[1]#REF'!$G$6</f>
        <v>#REF!</v>
      </c>
      <c r="I102" s="73" t="e">
        <f>'[1]#REF'!$BG$6</f>
        <v>#REF!</v>
      </c>
      <c r="J102" s="65" t="e">
        <f>IF(NOT(AND(ISTEXT('[1]#REF'!$K$6),'[1]#REF'!$K$6&lt;&gt;"N/A")),Lookup_Lists!$D$150,IF(Brand_Profile!$I$7='[1]#REF'!$K$6,100,IFERROR(INDEX(Lookup_Lists!$B$349:$J$357,MATCH(Brand_Profile!$I$7,Lookup_Lists!$A$349:$A$357,0),MATCH('[1]#REF'!$K$6,Lookup_Lists!$B$348:$J$348,0)),Lookup_Lists!$D$151)))</f>
        <v>#REF!</v>
      </c>
      <c r="K102" s="65" t="str">
        <f>IF(LEN(TRIM(SUBSTITUTE(Matching_Engine!$BD$102,"|","")))=0,"N/A",IF(Brand_Profile!$I$47=0,Lookup_Lists!$D$150,ROUND((IF(Brand_Profile!$I$41="",0,IF(ISNUMBER(SEARCH(Brand_Profile!$I$41,Matching_Engine!$BD$102)),1,0))+IF(Brand_Profile!$I$42="",0,IF(ISNUMBER(SEARCH(Brand_Profile!$I$42,Matching_Engine!$BD$102)),1,0))+IF(Brand_Profile!$I$43="",0,IF(ISNUMBER(SEARCH(Brand_Profile!$I$43,Matching_Engine!$BD$102)),1,0))+IF(Brand_Profile!$I$44="",0,IF(ISNUMBER(SEARCH(Brand_Profile!$I$44,Matching_Engine!$BD$102)),1,0))+IF(Brand_Profile!$I$45="",0,IF(ISNUMBER(SEARCH(Brand_Profile!$I$45,Matching_Engine!$BD$102)),1,0))+IF(Brand_Profile!$I$46="",0,IF(ISNUMBER(SEARCH(Brand_Profile!$I$46,Matching_Engine!$BD$102)),1,0)))/Brand_Profile!$I$47*100,0)))</f>
        <v>N/A</v>
      </c>
      <c r="L102" s="65" t="e">
        <f>IF(NOT(AND(ISTEXT('[1]#REF'!$U$6),'[1]#REF'!$U$6&lt;&gt;"N/A")),"N/A",IF(Brand_Profile!$I$53=0,Lookup_Lists!$D$150,ROUND((IF(Brand_Profile!$I$48="",0,IF(ISNUMBER(SEARCH(Brand_Profile!$I$48,Matching_Engine!$BF$102)),1,0))+IF(Brand_Profile!$I$49="",0,IF(ISNUMBER(SEARCH(Brand_Profile!$I$49,Matching_Engine!$BF$102)),1,0))+IF(Brand_Profile!$I$50="",0,IF(ISNUMBER(SEARCH(Brand_Profile!$I$50,Matching_Engine!$BF$102)),1,0))+IF(Brand_Profile!$I$51="",0,IF(ISNUMBER(SEARCH(Brand_Profile!$I$51,Matching_Engine!$BF$102)),1,0))+IF(Brand_Profile!$I$52="",0,IF(ISNUMBER(SEARCH(Brand_Profile!$I$52,Matching_Engine!$BF$102)),1,0)))/Brand_Profile!$I$53*100,0)))</f>
        <v>#REF!</v>
      </c>
      <c r="M102" s="63" t="str">
        <f>IF((IF(ISNUMBER(Matching_Engine!$J$102),Lookup_Lists!$D$332,0)+IF(ISNUMBER(Matching_Engine!$K$102),Lookup_Lists!$D$333,0)+IF(ISNUMBER(Matching_Engine!$L$102),Lookup_Lists!$D$334,0))=0,"N/A",ROUND((IF(ISNUMBER(Matching_Engine!$J$102),Matching_Engine!$J$102*Lookup_Lists!$D$332,0)+IF(ISNUMBER(Matching_Engine!$K$102),Matching_Engine!$K$102*Lookup_Lists!$D$333,0)+IF(ISNUMBER(Matching_Engine!$L$102),Matching_Engine!$L$102*Lookup_Lists!$D$334,0))/(IF(ISNUMBER(Matching_Engine!$J$102),Lookup_Lists!$D$332,0)+IF(ISNUMBER(Matching_Engine!$K$102),Lookup_Lists!$D$333,0)+IF(ISNUMBER(Matching_Engine!$L$102),Lookup_Lists!$D$334,0)),0))</f>
        <v>N/A</v>
      </c>
      <c r="N102" s="42">
        <f>IF(ISNUMBER(Matching_Engine!$M$102),1,0)</f>
        <v>0</v>
      </c>
      <c r="O102" s="65" t="str">
        <f ca="1">IF(NOT(ISNUMBER(IFERROR(INDEX('[1]#REF'!$V$6:'[1]#REF'!$Z$6,1,MATCH(Brand_Profile!$I$11,Lookup_Lists!$F$6:$F$10,0)),""))),"N/A",MIN(100,ROUND((IFERROR(INDEX('[1]#REF'!$V$6:'[1]#REF'!$Z$6,1,MATCH(Brand_Profile!$I$11,Lookup_Lists!$F$6:$F$10,0)),"")+0.5*IF(ISNUMBER(IFERROR(INDEX('[1]#REF'!$V$6:'[1]#REF'!$Z$6,1,MATCH(Brand_Profile!$I$12,Lookup_Lists!$F$6:$F$10,0)),"")),IFERROR(INDEX('[1]#REF'!$V$6:'[1]#REF'!$Z$6,1,MATCH(Brand_Profile!$I$12,Lookup_Lists!$F$6:$F$10,0)),""),0))/Lookup_Lists!$D$142*100,0)))</f>
        <v>N/A</v>
      </c>
      <c r="P102" s="65" t="str">
        <f>IF(Brand_Profile!$I$13="Any",100,IF(NOT(ISNUMBER('[1]#REF'!$AA$6)),"N/A",IF(Brand_Profile!$I$13="Female",MIN(100,ROUND('[1]#REF'!$AA$6/Lookup_Lists!$D$143*100,0)),IF(Brand_Profile!$I$13="Male",MIN(100,ROUND(IF(ISNUMBER('[1]#REF'!$AB$6),'[1]#REF'!$AB$6,100-'[1]#REF'!$AA$6)/Lookup_Lists!$D$143*100,0)),MAX(0,ROUND(100-ABS('[1]#REF'!$AA$6-50)*2,0))))))</f>
        <v>N/A</v>
      </c>
      <c r="Q102" s="65" t="str">
        <f>IF((IF(ISNUMBER(IF(NOT(ISNUMBER('[1]#REF'!$AE$6)),"N/A",IF('[1]#REF'!$AD$6&lt;&gt;Brand_Profile!$I$14,Lookup_Lists!$D$151,MIN(100,ROUND('[1]#REF'!$AE$6/Lookup_Lists!$D$316*100,0))))),Lookup_Lists!$D$118,0)+IF(ISNUMBER(IF(NOT(ISNUMBER('[1]#REF'!$AM$6)),"N/A",MIN(100,ROUND((IF('[1]#REF'!$AG$6=Brand_Profile!$I$15,IF(ISNUMBER('[1]#REF'!$AH$6),'[1]#REF'!$AH$6,0),0)+IF('[1]#REF'!$AI$6=Brand_Profile!$I$15,IF(ISNUMBER('[1]#REF'!$AJ$6),'[1]#REF'!$AJ$6,0),0)+IF('[1]#REF'!$AK$6=Brand_Profile!$I$15,IF(ISNUMBER('[1]#REF'!$AL$6),'[1]#REF'!$AL$6,0),0))/Lookup_Lists!$D$317*100,0)))),Lookup_Lists!$D$120,0))=0,"N/A",ROUND((IF(ISNUMBER(IF(NOT(ISNUMBER('[1]#REF'!$AE$6)),"N/A",IF('[1]#REF'!$AD$6&lt;&gt;Brand_Profile!$I$14,Lookup_Lists!$D$151,MIN(100,ROUND('[1]#REF'!$AE$6/Lookup_Lists!$D$316*100,0))))),IF(NOT(ISNUMBER('[1]#REF'!$AE$6)),"N/A",IF('[1]#REF'!$AD$6&lt;&gt;Brand_Profile!$I$14,Lookup_Lists!$D$151,MIN(100,ROUND('[1]#REF'!$AE$6/Lookup_Lists!$D$316*100,0))))*Lookup_Lists!$D$118,0)+IF(ISNUMBER(IF(NOT(ISNUMBER('[1]#REF'!$AM$6)),"N/A",MIN(100,ROUND((IF('[1]#REF'!$AG$6=Brand_Profile!$I$15,IF(ISNUMBER('[1]#REF'!$AH$6),'[1]#REF'!$AH$6,0),0)+IF('[1]#REF'!$AI$6=Brand_Profile!$I$15,IF(ISNUMBER('[1]#REF'!$AJ$6),'[1]#REF'!$AJ$6,0),0)+IF('[1]#REF'!$AK$6=Brand_Profile!$I$15,IF(ISNUMBER('[1]#REF'!$AL$6),'[1]#REF'!$AL$6,0),0))/Lookup_Lists!$D$317*100,0)))),IF(NOT(ISNUMBER('[1]#REF'!$AM$6)),"N/A",MIN(100,ROUND((IF('[1]#REF'!$AG$6=Brand_Profile!$I$15,IF(ISNUMBER('[1]#REF'!$AH$6),'[1]#REF'!$AH$6,0),0)+IF('[1]#REF'!$AI$6=Brand_Profile!$I$15,IF(ISNUMBER('[1]#REF'!$AJ$6),'[1]#REF'!$AJ$6,0),0)+IF('[1]#REF'!$AK$6=Brand_Profile!$I$15,IF(ISNUMBER('[1]#REF'!$AL$6),'[1]#REF'!$AL$6,0),0))/Lookup_Lists!$D$317*100,0)))*Lookup_Lists!$D$120,0))/(IF(ISNUMBER(IF(NOT(ISNUMBER('[1]#REF'!$AE$6)),"N/A",IF('[1]#REF'!$AD$6&lt;&gt;Brand_Profile!$I$14,Lookup_Lists!$D$151,MIN(100,ROUND('[1]#REF'!$AE$6/Lookup_Lists!$D$316*100,0))))),Lookup_Lists!$D$118,0)+IF(ISNUMBER(IF(NOT(ISNUMBER('[1]#REF'!$AM$6)),"N/A",MIN(100,ROUND((IF('[1]#REF'!$AG$6=Brand_Profile!$I$15,IF(ISNUMBER('[1]#REF'!$AH$6),'[1]#REF'!$AH$6,0),0)+IF('[1]#REF'!$AI$6=Brand_Profile!$I$15,IF(ISNUMBER('[1]#REF'!$AJ$6),'[1]#REF'!$AJ$6,0),0)+IF('[1]#REF'!$AK$6=Brand_Profile!$I$15,IF(ISNUMBER('[1]#REF'!$AL$6),'[1]#REF'!$AL$6,0),0))/Lookup_Lists!$D$317*100,0)))),Lookup_Lists!$D$120,0)),0))</f>
        <v>N/A</v>
      </c>
      <c r="R102" s="65" t="str">
        <f>IF(NOT(ISNUMBER('[1]#REF'!$AN$6)),"N/A",MIN(100,ROUND((IF(ISNUMBER('[1]#REF'!$AO$6),'[1]#REF'!$AO$6*Brand_Profile!$I$17,0)+IF(ISNUMBER('[1]#REF'!$AP$6),'[1]#REF'!$AP$6*Brand_Profile!$I$18,0)+IF(ISNUMBER('[1]#REF'!$AQ$6),'[1]#REF'!$AQ$6*Brand_Profile!$I$19,0)+IF(ISNUMBER('[1]#REF'!$AR$6),'[1]#REF'!$AR$6*Brand_Profile!$I$20,0)+IF(ISNUMBER('[1]#REF'!$AS$6),'[1]#REF'!$AS$6*Brand_Profile!$I$21,0)+IF(ISNUMBER('[1]#REF'!$AT$6),'[1]#REF'!$AT$6*Brand_Profile!$I$22,0)+IF(ISNUMBER('[1]#REF'!$AU$6),'[1]#REF'!$AU$6*Brand_Profile!$I$23,0)+IF(ISNUMBER('[1]#REF'!$AV$6),'[1]#REF'!$AV$6*Brand_Profile!$I$24,0)+IF(ISNUMBER('[1]#REF'!$AW$6),'[1]#REF'!$AW$6*Brand_Profile!$I$25,0)+IF(ISNUMBER('[1]#REF'!$AX$6),'[1]#REF'!$AX$6*Brand_Profile!$I$26,0)+IF(ISNUMBER('[1]#REF'!$AY$6),'[1]#REF'!$AY$6*Brand_Profile!$I$27,0)+IF(ISNUMBER('[1]#REF'!$AZ$6),'[1]#REF'!$AZ$6*Brand_Profile!$I$28,0)+IF(ISNUMBER('[1]#REF'!$BA$6),'[1]#REF'!$BA$6*Brand_Profile!$I$29,0)+IF(ISNUMBER('[1]#REF'!$BB$6),'[1]#REF'!$BB$6*Brand_Profile!$I$30,0)+IF(ISNUMBER('[1]#REF'!$BC$6),'[1]#REF'!$BC$6*Brand_Profile!$I$31,0)+IF(ISNUMBER('[1]#REF'!$BD$6),'[1]#REF'!$BD$6*Brand_Profile!$I$32,0)+IF(ISNUMBER('[1]#REF'!$BE$6),'[1]#REF'!$BE$6*Brand_Profile!$I$33,0)+IF(ISNUMBER('[1]#REF'!$BF$6),'[1]#REF'!$BF$6*Brand_Profile!$I$34,0))/Lookup_Lists!$D$318*100,0)))</f>
        <v>N/A</v>
      </c>
      <c r="S102" s="63" t="str">
        <f>IF((IF(ISNUMBER(Matching_Engine!$O$102),Lookup_Lists!$D$113,0)+IF(ISNUMBER(Matching_Engine!$P$102),Lookup_Lists!$D$114,0)+IF(ISNUMBER(Matching_Engine!$Q$102),Lookup_Lists!$D$115,0)+IF(ISNUMBER(Matching_Engine!$R$102),Lookup_Lists!$D$116,0))=0,"N/A",ROUND((IF(ISNUMBER(Matching_Engine!$O$102),Matching_Engine!$O$102*Lookup_Lists!$D$113,0)+IF(ISNUMBER(Matching_Engine!$P$102),Matching_Engine!$P$102*Lookup_Lists!$D$114,0)+IF(ISNUMBER(Matching_Engine!$Q$102),Matching_Engine!$Q$102*Lookup_Lists!$D$115,0)+IF(ISNUMBER(Matching_Engine!$R$102),Matching_Engine!$R$102*Lookup_Lists!$D$116,0))/(IF(ISNUMBER(Matching_Engine!$O$102),Lookup_Lists!$D$113,0)+IF(ISNUMBER(Matching_Engine!$P$102),Lookup_Lists!$D$114,0)+IF(ISNUMBER(Matching_Engine!$Q$102),Lookup_Lists!$D$115,0)+IF(ISNUMBER(Matching_Engine!$R$102),Lookup_Lists!$D$116,0)),0))</f>
        <v>N/A</v>
      </c>
      <c r="T102" s="42">
        <f>IF(ISNUMBER(Matching_Engine!$S$102),1,0)</f>
        <v>0</v>
      </c>
      <c r="U102" s="65" t="e">
        <f>IF(NOT(AND(ISTEXT('[1]#REF'!$M$6),'[1]#REF'!$M$6&lt;&gt;"N/A")),Lookup_Lists!$D$150,IF(Brand_Profile!$I$7='[1]#REF'!$M$6,100,IFERROR(INDEX(Lookup_Lists!$B$349:$J$357,MATCH(Brand_Profile!$I$7,Lookup_Lists!$A$349:$A$357,0),MATCH('[1]#REF'!$M$6,Lookup_Lists!$B$348:$J$348,0)),Lookup_Lists!$D$151)))</f>
        <v>#REF!</v>
      </c>
      <c r="V102" s="65" t="e">
        <f>IF(NOT(AND(ISTEXT('[1]#REF'!$P$6),'[1]#REF'!$P$6&lt;&gt;"N/A")),"N/A",IFERROR(INDEX(Lookup_Lists!$B$349:$J$357,MATCH(Brand_Profile!$I$7,Lookup_Lists!$A$349:$A$357,0),MATCH('[1]#REF'!$P$6,Lookup_Lists!$B$348:$J$348,0)),Lookup_Lists!$D$151))</f>
        <v>#REF!</v>
      </c>
      <c r="W102" s="65" t="str">
        <f>IF(LEN(TRIM(SUBSTITUTE(Matching_Engine!$BE$102,"|","")))=0,"N/A",IF(Brand_Profile!$I$60=0,Lookup_Lists!$D$150,ROUND((IF(Brand_Profile!$I$54="",0,IF(ISNUMBER(SEARCH(Brand_Profile!$I$54,Matching_Engine!$BE$102)),1,0))+IF(Brand_Profile!$I$55="",0,IF(ISNUMBER(SEARCH(Brand_Profile!$I$55,Matching_Engine!$BE$102)),1,0))+IF(Brand_Profile!$I$56="",0,IF(ISNUMBER(SEARCH(Brand_Profile!$I$56,Matching_Engine!$BE$102)),1,0))+IF(Brand_Profile!$I$57="",0,IF(ISNUMBER(SEARCH(Brand_Profile!$I$57,Matching_Engine!$BE$102)),1,0))+IF(Brand_Profile!$I$58="",0,IF(ISNUMBER(SEARCH(Brand_Profile!$I$58,Matching_Engine!$BE$102)),1,0))+IF(Brand_Profile!$I$59="",0,IF(ISNUMBER(SEARCH(Brand_Profile!$I$59,Matching_Engine!$BE$102)),1,0)))/Brand_Profile!$I$60*100,0)))</f>
        <v>N/A</v>
      </c>
      <c r="X102" s="65" t="e">
        <f>IF(NOT(AND(ISTEXT('[1]#REF'!$Q$6),'[1]#REF'!$Q$6&lt;&gt;"N/A")),"N/A",Lookup_Lists!$D$150)</f>
        <v>#REF!</v>
      </c>
      <c r="Y102" s="63" t="str">
        <f>IF((IF(ISNUMBER(Matching_Engine!$U$102),Lookup_Lists!$D$335,0)+IF(ISNUMBER(Matching_Engine!$V$102),Lookup_Lists!$D$122,0)+IF(ISNUMBER(Matching_Engine!$W$102),Lookup_Lists!$D$336,0)+IF(ISNUMBER(Matching_Engine!$X$102),Lookup_Lists!$D$124,0))=0,"N/A",ROUND((IF(ISNUMBER(Matching_Engine!$U$102),Matching_Engine!$U$102*Lookup_Lists!$D$335,0)+IF(ISNUMBER(Matching_Engine!$V$102),Matching_Engine!$V$102*Lookup_Lists!$D$122,0)+IF(ISNUMBER(Matching_Engine!$W$102),Matching_Engine!$W$102*Lookup_Lists!$D$336,0)+IF(ISNUMBER(Matching_Engine!$X$102),Matching_Engine!$X$102*Lookup_Lists!$D$124,0))/(IF(ISNUMBER(Matching_Engine!$U$102),Lookup_Lists!$D$335,0)+IF(ISNUMBER(Matching_Engine!$V$102),Lookup_Lists!$D$122,0)+IF(ISNUMBER(Matching_Engine!$W$102),Lookup_Lists!$D$336,0)+IF(ISNUMBER(Matching_Engine!$X$102),Lookup_Lists!$D$124,0)),0))</f>
        <v>N/A</v>
      </c>
      <c r="Z102" s="42">
        <f>IF(ISNUMBER(Matching_Engine!$Y$102),1,0)</f>
        <v>0</v>
      </c>
      <c r="AA102" s="65" t="e">
        <f>IF(NOT(AND(ISTEXT('[1]#REF'!$Q$6),'[1]#REF'!$Q$6&lt;&gt;"N/A")),"N/A",Lookup_Lists!$D$150)</f>
        <v>#REF!</v>
      </c>
      <c r="AB102" s="65" t="e">
        <f>IF(NOT(AND(ISTEXT('[1]#REF'!$Q$6),'[1]#REF'!$Q$6&lt;&gt;"N/A")),"N/A",Lookup_Lists!$D$150)</f>
        <v>#REF!</v>
      </c>
      <c r="AC102" s="65" t="str">
        <f t="shared" si="1"/>
        <v>N/A</v>
      </c>
      <c r="AD102" s="65" t="e">
        <f>IF(NOT(AND(ISTEXT('[1]#REF'!$Q$6),'[1]#REF'!$Q$6&lt;&gt;"N/A")),"N/A",Lookup_Lists!$D$150)</f>
        <v>#REF!</v>
      </c>
      <c r="AE102" s="63" t="str">
        <f>IF((IF(ISNUMBER(Matching_Engine!$AA$102),Lookup_Lists!$D$125,0)+IF(ISNUMBER(Matching_Engine!$AB$102),Lookup_Lists!$D$126,0)+IF(ISNUMBER(Matching_Engine!$AC$102),Lookup_Lists!$D$127,0)+IF(ISNUMBER(Matching_Engine!$AD$102),Lookup_Lists!$D$128,0))=0,"N/A",ROUND((IF(ISNUMBER(Matching_Engine!$AA$102),Matching_Engine!$AA$102*Lookup_Lists!$D$125,0)+IF(ISNUMBER(Matching_Engine!$AB$102),Matching_Engine!$AB$102*Lookup_Lists!$D$126,0)+IF(ISNUMBER(Matching_Engine!$AC$102),Matching_Engine!$AC$102*Lookup_Lists!$D$127,0)+IF(ISNUMBER(Matching_Engine!$AD$102),Matching_Engine!$AD$102*Lookup_Lists!$D$128,0))/(IF(ISNUMBER(Matching_Engine!$AA$102),Lookup_Lists!$D$125,0)+IF(ISNUMBER(Matching_Engine!$AB$102),Lookup_Lists!$D$126,0)+IF(ISNUMBER(Matching_Engine!$AC$102),Lookup_Lists!$D$127,0)+IF(ISNUMBER(Matching_Engine!$AD$102),Lookup_Lists!$D$128,0)),0))</f>
        <v>N/A</v>
      </c>
      <c r="AF102" s="42">
        <f>IF(ISNUMBER(Matching_Engine!$AE$102),1,0)</f>
        <v>0</v>
      </c>
      <c r="AG102" s="65" t="str">
        <f>IF(NOT(ISNUMBER('[1]#REF'!$BG$6)),"N/A",MIN(100,ROUND('[1]#REF'!$BG$6/IFERROR(INDEX(Lookup_Lists!$B$340:$B$344,MATCH('[1]#REF'!$H$6,Lookup_Lists!$A$340:$A$344,0)),Lookup_Lists!$D$141)*100,0)))</f>
        <v>N/A</v>
      </c>
      <c r="AH102" s="65" t="str">
        <f>IF(NOT(ISNUMBER('[1]#REF'!$BS$6)),"N/A",MIN(100,MAX(0,'[1]#REF'!$BS$6)))</f>
        <v>N/A</v>
      </c>
      <c r="AI102" s="65" t="e">
        <f>IF(OR(NOT(ISNUMBER('[1]#REF'!$BM$6)),NOT(ISNUMBER('[1]#REF'!$BN$6)),'[1]#REF'!$BN$6&lt;Lookup_Lists!$D$320),"N/A",MIN(100,ROUND('[1]#REF'!$BM$6/Lookup_Lists!$D$319*100,0)))</f>
        <v>#REF!</v>
      </c>
      <c r="AJ102" s="65" t="str">
        <f>IF(NOT(ISNUMBER('[1]#REF'!$BR$6)),"N/A",'[1]#REF'!$BR$6)</f>
        <v>N/A</v>
      </c>
      <c r="AK102" s="65" t="str">
        <f>IF(NOT(ISNUMBER('[1]#REF'!$BK$6)),"N/A",MIN(100,ROUND('[1]#REF'!$BK$6/Lookup_Lists!$D$321*100,0)))</f>
        <v>N/A</v>
      </c>
      <c r="AL102" s="65" t="str">
        <f>IF(NOT(ISNUMBER('[1]#REF'!$BP$6)),"N/A",MIN(100,MAX(0,ROUND(('[1]#REF'!$BP$6+2)/(Lookup_Lists!$D$145+2)*100,0))))</f>
        <v>N/A</v>
      </c>
      <c r="AM102" s="63" t="str">
        <f>IF((IF(ISNUMBER(Matching_Engine!$AG$102),Lookup_Lists!$D$129,0)+IF(ISNUMBER(Matching_Engine!$AH$102),Lookup_Lists!$D$130,0)+IF(ISNUMBER(Matching_Engine!$AI$102),Lookup_Lists!$D$131,0)+IF(ISNUMBER(Matching_Engine!$AJ$102),Lookup_Lists!$D$132,0)+IF(ISNUMBER(Matching_Engine!$AK$102),Lookup_Lists!$D$133,0)+IF(ISNUMBER(Matching_Engine!$AL$102),Lookup_Lists!$D$134,0))=0,"N/A",ROUND((IF(ISNUMBER(Matching_Engine!$AG$102),Matching_Engine!$AG$102*Lookup_Lists!$D$129,0)+IF(ISNUMBER(Matching_Engine!$AH$102),Matching_Engine!$AH$102*Lookup_Lists!$D$130,0)+IF(ISNUMBER(Matching_Engine!$AI$102),Matching_Engine!$AI$102*Lookup_Lists!$D$131,0)+IF(ISNUMBER(Matching_Engine!$AJ$102),Matching_Engine!$AJ$102*Lookup_Lists!$D$132,0)+IF(ISNUMBER(Matching_Engine!$AK$102),Matching_Engine!$AK$102*Lookup_Lists!$D$133,0)+IF(ISNUMBER(Matching_Engine!$AL$102),Matching_Engine!$AL$102*Lookup_Lists!$D$134,0))/(IF(ISNUMBER(Matching_Engine!$AG$102),Lookup_Lists!$D$129,0)+IF(ISNUMBER(Matching_Engine!$AH$102),Lookup_Lists!$D$130,0)+IF(ISNUMBER(Matching_Engine!$AI$102),Lookup_Lists!$D$131,0)+IF(ISNUMBER(Matching_Engine!$AJ$102),Lookup_Lists!$D$132,0)+IF(ISNUMBER(Matching_Engine!$AK$102),Lookup_Lists!$D$133,0)+IF(ISNUMBER(Matching_Engine!$AL$102),Lookup_Lists!$D$134,0)),0))</f>
        <v>N/A</v>
      </c>
      <c r="AN102" s="42">
        <f>IF(ISNUMBER(Matching_Engine!$AM$102),1,0)</f>
        <v>0</v>
      </c>
      <c r="AO102" s="65" t="str">
        <f>IF(NOT(ISNUMBER('[1]#REF'!$BT$6)),"N/A",MIN(100,MAX(0,'[1]#REF'!$BT$6)))</f>
        <v>N/A</v>
      </c>
      <c r="AP102" s="65" t="str">
        <f>IF(NOT(ISNUMBER('[1]#REF'!$BU$6)),"N/A",MIN(100,MAX(0,'[1]#REF'!$BU$6)))</f>
        <v>N/A</v>
      </c>
      <c r="AQ102" s="65" t="e">
        <f>IF('[1]#REF'!$I$6="Yes",Lookup_Lists!$D$326,IF('[1]#REF'!$I$6="No",Lookup_Lists!$D$327,"N/A"))</f>
        <v>#REF!</v>
      </c>
      <c r="AR102" s="65" t="str">
        <f>IF(NOT(ISNUMBER('[1]#REF'!$BQ$6)),"N/A",MAX(0,ROUND(100-'[1]#REF'!$BQ$6/Lookup_Lists!$D$328*100,0)))</f>
        <v>N/A</v>
      </c>
      <c r="AS102" s="65" t="e">
        <f>IF(NOT(AND(ISTEXT('[1]#REF'!$BV$6),'[1]#REF'!$BV$6&lt;&gt;"N/A")),"N/A",'[1]#REF'!$BV$6)</f>
        <v>#REF!</v>
      </c>
      <c r="AT102" s="63" t="str">
        <f>IF((IF(ISNUMBER(Matching_Engine!$AO$102),Lookup_Lists!$D$322,0)+IF(ISNUMBER(Matching_Engine!$AP$102),Lookup_Lists!$D$323,0)+IF(ISNUMBER(Matching_Engine!$AQ$102),Lookup_Lists!$D$324,0)+IF(ISNUMBER(Matching_Engine!$AR$102),Lookup_Lists!$D$325,0))=0,"N/A",ROUND((IF(ISNUMBER(Matching_Engine!$AO$102),Matching_Engine!$AO$102*Lookup_Lists!$D$322,0)+IF(ISNUMBER(Matching_Engine!$AP$102),Matching_Engine!$AP$102*Lookup_Lists!$D$323,0)+IF(ISNUMBER(Matching_Engine!$AQ$102),Matching_Engine!$AQ$102*Lookup_Lists!$D$324,0)+IF(ISNUMBER(Matching_Engine!$AR$102),Matching_Engine!$AR$102*Lookup_Lists!$D$325,0))/(IF(ISNUMBER(Matching_Engine!$AO$102),Lookup_Lists!$D$322,0)+IF(ISNUMBER(Matching_Engine!$AP$102),Lookup_Lists!$D$323,0)+IF(ISNUMBER(Matching_Engine!$AQ$102),Lookup_Lists!$D$324,0)+IF(ISNUMBER(Matching_Engine!$AR$102),Lookup_Lists!$D$325,0)),0))</f>
        <v>N/A</v>
      </c>
      <c r="AU102" s="42">
        <f>IF(ISNUMBER(Matching_Engine!$AT$102),1,0)</f>
        <v>0</v>
      </c>
      <c r="AV102" s="42" t="str">
        <f>IF(NOT(ISNUMBER(Matching_Engine!$AT$102)),"Not Screened",IF(Matching_Engine!$AT$102&gt;=Lookup_Lists!$D$329,"Low Risk",IF(Matching_Engine!$AT$102&gt;=Lookup_Lists!$D$330,"Moderate Risk",IF(Matching_Engine!$AT$102&gt;=Lookup_Lists!$D$331,"Elevated Risk","High Risk"))))</f>
        <v>Not Screened</v>
      </c>
      <c r="AW102" s="42" t="str">
        <f>IF(NOT(ISNUMBER(Matching_Engine!$AT$102)),"No integrity signal: no audience-analysis row for this account.","Integrity screen only — no content-risk reading exists (comments_analysis: 0 rows). "&amp;IF(ISNUMBER(Matching_Engine!$AO$102),"Authenticity "&amp;Matching_Engine!$AO$102&amp;". ","Authenticity N/A. ")&amp;IF(ISNUMBER(Matching_Engine!$AP$102),"Follower quality "&amp;Matching_Engine!$AP$102&amp;". ","Follower quality N/A. ")&amp;IF('[1]#REF'!$I$6="Yes","Platform-verified.","Not platform-verified."))</f>
        <v>No integrity signal: no audience-analysis row for this account.</v>
      </c>
      <c r="AX102" s="65">
        <f>Matching_Engine!$N$102*Lookup_Lists!$D$104+Matching_Engine!$T$102*Lookup_Lists!$D$105+Matching_Engine!$Z$102*Lookup_Lists!$D$106+Matching_Engine!$AF$102*Lookup_Lists!$D$107+Matching_Engine!$AN$102*Lookup_Lists!$D$108+Matching_Engine!$AU$102*Lookup_Lists!$D$109</f>
        <v>0</v>
      </c>
      <c r="AY102" s="74" t="str">
        <f>IF(Matching_Engine!$AX$102=0,"N/A",ROUND((IF(Matching_Engine!$N$102=1,Matching_Engine!$M$102*Lookup_Lists!$D$104,0)+IF(Matching_Engine!$T$102=1,Matching_Engine!$S$102*Lookup_Lists!$D$105,0)+IF(Matching_Engine!$Z$102=1,Matching_Engine!$Y$102*Lookup_Lists!$D$106,0)+IF(Matching_Engine!$AF$102=1,Matching_Engine!$AE$102*Lookup_Lists!$D$107,0)+IF(Matching_Engine!$AN$102=1,Matching_Engine!$AM$102*Lookup_Lists!$D$108,0)+IF(Matching_Engine!$AU$102=1,Matching_Engine!$AT$102*Lookup_Lists!$D$109,0))/Matching_Engine!$AX$102,0))</f>
        <v>N/A</v>
      </c>
      <c r="AZ102" s="42" t="str">
        <f>IF(NOT(ISNUMBER(Matching_Engine!$AY$102)),"Not Scored",IF(Matching_Engine!$AY$102&gt;=Lookup_Lists!$D$152,"Excellent Match",IF(Matching_Engine!$AY$102&gt;=Lookup_Lists!$D$153,"Strong Match",IF(Matching_Engine!$AY$102&gt;=Lookup_Lists!$D$154,"Good Match",IF(Matching_Engine!$AY$102&gt;=Lookup_Lists!$D$155,"Moderate Match","Low Match")))))</f>
        <v>Not Scored</v>
      </c>
      <c r="BA102" s="65" t="e">
        <f>'[1]#REF'!$BW$6</f>
        <v>#REF!</v>
      </c>
      <c r="BB102" s="42" t="e">
        <f>'[1]#REF'!$BX$6</f>
        <v>#REF!</v>
      </c>
      <c r="BC102" s="65">
        <f>IF(NOT(ISNUMBER(Matching_Engine!$AY$102)),-1,Matching_Engine!$AY$102*1000+24)</f>
        <v>-1</v>
      </c>
      <c r="BD102" s="42" t="e">
        <f>IF(AND(ISTEXT('[1]#REF'!$S$6),'[1]#REF'!$S$6&lt;&gt;"N/A"),'[1]#REF'!$S$6,"")&amp;" | "&amp;IF(AND(ISTEXT('[1]#REF'!$T$6),'[1]#REF'!$T$6&lt;&gt;"N/A"),'[1]#REF'!$T$6,"")&amp;" | "&amp;IF(AND(ISTEXT('[1]#REF'!$N$6),'[1]#REF'!$N$6&lt;&gt;"N/A"),'[1]#REF'!$N$6,"")&amp;" | "&amp;IF(AND(ISTEXT('[1]#REF'!$K$6),'[1]#REF'!$K$6&lt;&gt;"N/A"),'[1]#REF'!$K$6,"")&amp;" | "&amp;IF(AND(ISTEXT('[1]#REF'!$J$6),'[1]#REF'!$J$6&lt;&gt;"N/A"),'[1]#REF'!$J$6,"")</f>
        <v>#REF!</v>
      </c>
      <c r="BE102" s="42" t="e">
        <f>IF(AND(ISTEXT('[1]#REF'!$T$6),'[1]#REF'!$T$6&lt;&gt;"N/A"),'[1]#REF'!$T$6,"")&amp;" | "&amp;IF(AND(ISTEXT('[1]#REF'!$N$6),'[1]#REF'!$N$6&lt;&gt;"N/A"),'[1]#REF'!$N$6,"")&amp;" | "&amp;IF(AND(ISTEXT('[1]#REF'!$O$6),'[1]#REF'!$O$6&lt;&gt;"N/A"),'[1]#REF'!$O$6,"")&amp;" | "&amp;IF(AND(ISTEXT('[1]#REF'!$S$6),'[1]#REF'!$S$6&lt;&gt;"N/A"),'[1]#REF'!$S$6,"")</f>
        <v>#REF!</v>
      </c>
      <c r="BF102" s="42" t="e">
        <f>IF(AND(ISTEXT('[1]#REF'!$U$6),'[1]#REF'!$U$6&lt;&gt;"N/A"),'[1]#REF'!$U$6,"")</f>
        <v>#REF!</v>
      </c>
      <c r="BG102" s="42" t="str">
        <f>Matching_Engine!$A$102&amp;"|"&amp;Matching_Engine!$C$102</f>
        <v>|</v>
      </c>
    </row>
    <row r="103" spans="1:59">
      <c r="A103" s="64" t="s">
        <v>2531</v>
      </c>
      <c r="B103" s="42">
        <f>Brand_Profile!$I$6</f>
        <v>0</v>
      </c>
      <c r="C103" s="42" t="e">
        <f>'[1]#REF'!$A$7</f>
        <v>#REF!</v>
      </c>
      <c r="D103" s="42" t="e">
        <f>'[1]#REF'!$C$7</f>
        <v>#REF!</v>
      </c>
      <c r="E103" s="42" t="e">
        <f>'[1]#REF'!$D$7</f>
        <v>#REF!</v>
      </c>
      <c r="F103" s="42" t="e">
        <f>'[1]#REF'!$E$7</f>
        <v>#REF!</v>
      </c>
      <c r="G103" s="42" t="e">
        <f>'[1]#REF'!$K$7</f>
        <v>#REF!</v>
      </c>
      <c r="H103" s="72" t="e">
        <f>'[1]#REF'!$G$7</f>
        <v>#REF!</v>
      </c>
      <c r="I103" s="73" t="e">
        <f>'[1]#REF'!$BG$7</f>
        <v>#REF!</v>
      </c>
      <c r="J103" s="65" t="e">
        <f>IF(NOT(AND(ISTEXT('[1]#REF'!$K$7),'[1]#REF'!$K$7&lt;&gt;"N/A")),Lookup_Lists!$D$150,IF(Brand_Profile!$I$7='[1]#REF'!$K$7,100,IFERROR(INDEX(Lookup_Lists!$B$349:$J$357,MATCH(Brand_Profile!$I$7,Lookup_Lists!$A$349:$A$357,0),MATCH('[1]#REF'!$K$7,Lookup_Lists!$B$348:$J$348,0)),Lookup_Lists!$D$151)))</f>
        <v>#REF!</v>
      </c>
      <c r="K103" s="65" t="str">
        <f>IF(LEN(TRIM(SUBSTITUTE(Matching_Engine!$BD$103,"|","")))=0,"N/A",IF(Brand_Profile!$I$47=0,Lookup_Lists!$D$150,ROUND((IF(Brand_Profile!$I$41="",0,IF(ISNUMBER(SEARCH(Brand_Profile!$I$41,Matching_Engine!$BD$103)),1,0))+IF(Brand_Profile!$I$42="",0,IF(ISNUMBER(SEARCH(Brand_Profile!$I$42,Matching_Engine!$BD$103)),1,0))+IF(Brand_Profile!$I$43="",0,IF(ISNUMBER(SEARCH(Brand_Profile!$I$43,Matching_Engine!$BD$103)),1,0))+IF(Brand_Profile!$I$44="",0,IF(ISNUMBER(SEARCH(Brand_Profile!$I$44,Matching_Engine!$BD$103)),1,0))+IF(Brand_Profile!$I$45="",0,IF(ISNUMBER(SEARCH(Brand_Profile!$I$45,Matching_Engine!$BD$103)),1,0))+IF(Brand_Profile!$I$46="",0,IF(ISNUMBER(SEARCH(Brand_Profile!$I$46,Matching_Engine!$BD$103)),1,0)))/Brand_Profile!$I$47*100,0)))</f>
        <v>N/A</v>
      </c>
      <c r="L103" s="65" t="e">
        <f>IF(NOT(AND(ISTEXT('[1]#REF'!$U$7),'[1]#REF'!$U$7&lt;&gt;"N/A")),"N/A",IF(Brand_Profile!$I$53=0,Lookup_Lists!$D$150,ROUND((IF(Brand_Profile!$I$48="",0,IF(ISNUMBER(SEARCH(Brand_Profile!$I$48,Matching_Engine!$BF$103)),1,0))+IF(Brand_Profile!$I$49="",0,IF(ISNUMBER(SEARCH(Brand_Profile!$I$49,Matching_Engine!$BF$103)),1,0))+IF(Brand_Profile!$I$50="",0,IF(ISNUMBER(SEARCH(Brand_Profile!$I$50,Matching_Engine!$BF$103)),1,0))+IF(Brand_Profile!$I$51="",0,IF(ISNUMBER(SEARCH(Brand_Profile!$I$51,Matching_Engine!$BF$103)),1,0))+IF(Brand_Profile!$I$52="",0,IF(ISNUMBER(SEARCH(Brand_Profile!$I$52,Matching_Engine!$BF$103)),1,0)))/Brand_Profile!$I$53*100,0)))</f>
        <v>#REF!</v>
      </c>
      <c r="M103" s="63" t="str">
        <f>IF((IF(ISNUMBER(Matching_Engine!$J$103),Lookup_Lists!$D$332,0)+IF(ISNUMBER(Matching_Engine!$K$103),Lookup_Lists!$D$333,0)+IF(ISNUMBER(Matching_Engine!$L$103),Lookup_Lists!$D$334,0))=0,"N/A",ROUND((IF(ISNUMBER(Matching_Engine!$J$103),Matching_Engine!$J$103*Lookup_Lists!$D$332,0)+IF(ISNUMBER(Matching_Engine!$K$103),Matching_Engine!$K$103*Lookup_Lists!$D$333,0)+IF(ISNUMBER(Matching_Engine!$L$103),Matching_Engine!$L$103*Lookup_Lists!$D$334,0))/(IF(ISNUMBER(Matching_Engine!$J$103),Lookup_Lists!$D$332,0)+IF(ISNUMBER(Matching_Engine!$K$103),Lookup_Lists!$D$333,0)+IF(ISNUMBER(Matching_Engine!$L$103),Lookup_Lists!$D$334,0)),0))</f>
        <v>N/A</v>
      </c>
      <c r="N103" s="42">
        <f>IF(ISNUMBER(Matching_Engine!$M$103),1,0)</f>
        <v>0</v>
      </c>
      <c r="O103" s="65" t="str">
        <f ca="1">IF(NOT(ISNUMBER(IFERROR(INDEX('[1]#REF'!$V$7:'[1]#REF'!$Z$7,1,MATCH(Brand_Profile!$I$11,Lookup_Lists!$F$6:$F$10,0)),""))),"N/A",MIN(100,ROUND((IFERROR(INDEX('[1]#REF'!$V$7:'[1]#REF'!$Z$7,1,MATCH(Brand_Profile!$I$11,Lookup_Lists!$F$6:$F$10,0)),"")+0.5*IF(ISNUMBER(IFERROR(INDEX('[1]#REF'!$V$7:'[1]#REF'!$Z$7,1,MATCH(Brand_Profile!$I$12,Lookup_Lists!$F$6:$F$10,0)),"")),IFERROR(INDEX('[1]#REF'!$V$7:'[1]#REF'!$Z$7,1,MATCH(Brand_Profile!$I$12,Lookup_Lists!$F$6:$F$10,0)),""),0))/Lookup_Lists!$D$142*100,0)))</f>
        <v>N/A</v>
      </c>
      <c r="P103" s="65" t="str">
        <f>IF(Brand_Profile!$I$13="Any",100,IF(NOT(ISNUMBER('[1]#REF'!$AA$7)),"N/A",IF(Brand_Profile!$I$13="Female",MIN(100,ROUND('[1]#REF'!$AA$7/Lookup_Lists!$D$143*100,0)),IF(Brand_Profile!$I$13="Male",MIN(100,ROUND(IF(ISNUMBER('[1]#REF'!$AB$7),'[1]#REF'!$AB$7,100-'[1]#REF'!$AA$7)/Lookup_Lists!$D$143*100,0)),MAX(0,ROUND(100-ABS('[1]#REF'!$AA$7-50)*2,0))))))</f>
        <v>N/A</v>
      </c>
      <c r="Q103" s="65" t="str">
        <f>IF((IF(ISNUMBER(IF(NOT(ISNUMBER('[1]#REF'!$AE$7)),"N/A",IF('[1]#REF'!$AD$7&lt;&gt;Brand_Profile!$I$14,Lookup_Lists!$D$151,MIN(100,ROUND('[1]#REF'!$AE$7/Lookup_Lists!$D$316*100,0))))),Lookup_Lists!$D$118,0)+IF(ISNUMBER(IF(NOT(ISNUMBER('[1]#REF'!$AM$7)),"N/A",MIN(100,ROUND((IF('[1]#REF'!$AG$7=Brand_Profile!$I$15,IF(ISNUMBER('[1]#REF'!$AH$7),'[1]#REF'!$AH$7,0),0)+IF('[1]#REF'!$AI$7=Brand_Profile!$I$15,IF(ISNUMBER('[1]#REF'!$AJ$7),'[1]#REF'!$AJ$7,0),0)+IF('[1]#REF'!$AK$7=Brand_Profile!$I$15,IF(ISNUMBER('[1]#REF'!$AL$7),'[1]#REF'!$AL$7,0),0))/Lookup_Lists!$D$317*100,0)))),Lookup_Lists!$D$120,0))=0,"N/A",ROUND((IF(ISNUMBER(IF(NOT(ISNUMBER('[1]#REF'!$AE$7)),"N/A",IF('[1]#REF'!$AD$7&lt;&gt;Brand_Profile!$I$14,Lookup_Lists!$D$151,MIN(100,ROUND('[1]#REF'!$AE$7/Lookup_Lists!$D$316*100,0))))),IF(NOT(ISNUMBER('[1]#REF'!$AE$7)),"N/A",IF('[1]#REF'!$AD$7&lt;&gt;Brand_Profile!$I$14,Lookup_Lists!$D$151,MIN(100,ROUND('[1]#REF'!$AE$7/Lookup_Lists!$D$316*100,0))))*Lookup_Lists!$D$118,0)+IF(ISNUMBER(IF(NOT(ISNUMBER('[1]#REF'!$AM$7)),"N/A",MIN(100,ROUND((IF('[1]#REF'!$AG$7=Brand_Profile!$I$15,IF(ISNUMBER('[1]#REF'!$AH$7),'[1]#REF'!$AH$7,0),0)+IF('[1]#REF'!$AI$7=Brand_Profile!$I$15,IF(ISNUMBER('[1]#REF'!$AJ$7),'[1]#REF'!$AJ$7,0),0)+IF('[1]#REF'!$AK$7=Brand_Profile!$I$15,IF(ISNUMBER('[1]#REF'!$AL$7),'[1]#REF'!$AL$7,0),0))/Lookup_Lists!$D$317*100,0)))),IF(NOT(ISNUMBER('[1]#REF'!$AM$7)),"N/A",MIN(100,ROUND((IF('[1]#REF'!$AG$7=Brand_Profile!$I$15,IF(ISNUMBER('[1]#REF'!$AH$7),'[1]#REF'!$AH$7,0),0)+IF('[1]#REF'!$AI$7=Brand_Profile!$I$15,IF(ISNUMBER('[1]#REF'!$AJ$7),'[1]#REF'!$AJ$7,0),0)+IF('[1]#REF'!$AK$7=Brand_Profile!$I$15,IF(ISNUMBER('[1]#REF'!$AL$7),'[1]#REF'!$AL$7,0),0))/Lookup_Lists!$D$317*100,0)))*Lookup_Lists!$D$120,0))/(IF(ISNUMBER(IF(NOT(ISNUMBER('[1]#REF'!$AE$7)),"N/A",IF('[1]#REF'!$AD$7&lt;&gt;Brand_Profile!$I$14,Lookup_Lists!$D$151,MIN(100,ROUND('[1]#REF'!$AE$7/Lookup_Lists!$D$316*100,0))))),Lookup_Lists!$D$118,0)+IF(ISNUMBER(IF(NOT(ISNUMBER('[1]#REF'!$AM$7)),"N/A",MIN(100,ROUND((IF('[1]#REF'!$AG$7=Brand_Profile!$I$15,IF(ISNUMBER('[1]#REF'!$AH$7),'[1]#REF'!$AH$7,0),0)+IF('[1]#REF'!$AI$7=Brand_Profile!$I$15,IF(ISNUMBER('[1]#REF'!$AJ$7),'[1]#REF'!$AJ$7,0),0)+IF('[1]#REF'!$AK$7=Brand_Profile!$I$15,IF(ISNUMBER('[1]#REF'!$AL$7),'[1]#REF'!$AL$7,0),0))/Lookup_Lists!$D$317*100,0)))),Lookup_Lists!$D$120,0)),0))</f>
        <v>N/A</v>
      </c>
      <c r="R103" s="65" t="str">
        <f>IF(NOT(ISNUMBER('[1]#REF'!$AN$7)),"N/A",MIN(100,ROUND((IF(ISNUMBER('[1]#REF'!$AO$7),'[1]#REF'!$AO$7*Brand_Profile!$I$17,0)+IF(ISNUMBER('[1]#REF'!$AP$7),'[1]#REF'!$AP$7*Brand_Profile!$I$18,0)+IF(ISNUMBER('[1]#REF'!$AQ$7),'[1]#REF'!$AQ$7*Brand_Profile!$I$19,0)+IF(ISNUMBER('[1]#REF'!$AR$7),'[1]#REF'!$AR$7*Brand_Profile!$I$20,0)+IF(ISNUMBER('[1]#REF'!$AS$7),'[1]#REF'!$AS$7*Brand_Profile!$I$21,0)+IF(ISNUMBER('[1]#REF'!$AT$7),'[1]#REF'!$AT$7*Brand_Profile!$I$22,0)+IF(ISNUMBER('[1]#REF'!$AU$7),'[1]#REF'!$AU$7*Brand_Profile!$I$23,0)+IF(ISNUMBER('[1]#REF'!$AV$7),'[1]#REF'!$AV$7*Brand_Profile!$I$24,0)+IF(ISNUMBER('[1]#REF'!$AW$7),'[1]#REF'!$AW$7*Brand_Profile!$I$25,0)+IF(ISNUMBER('[1]#REF'!$AX$7),'[1]#REF'!$AX$7*Brand_Profile!$I$26,0)+IF(ISNUMBER('[1]#REF'!$AY$7),'[1]#REF'!$AY$7*Brand_Profile!$I$27,0)+IF(ISNUMBER('[1]#REF'!$AZ$7),'[1]#REF'!$AZ$7*Brand_Profile!$I$28,0)+IF(ISNUMBER('[1]#REF'!$BA$7),'[1]#REF'!$BA$7*Brand_Profile!$I$29,0)+IF(ISNUMBER('[1]#REF'!$BB$7),'[1]#REF'!$BB$7*Brand_Profile!$I$30,0)+IF(ISNUMBER('[1]#REF'!$BC$7),'[1]#REF'!$BC$7*Brand_Profile!$I$31,0)+IF(ISNUMBER('[1]#REF'!$BD$7),'[1]#REF'!$BD$7*Brand_Profile!$I$32,0)+IF(ISNUMBER('[1]#REF'!$BE$7),'[1]#REF'!$BE$7*Brand_Profile!$I$33,0)+IF(ISNUMBER('[1]#REF'!$BF$7),'[1]#REF'!$BF$7*Brand_Profile!$I$34,0))/Lookup_Lists!$D$318*100,0)))</f>
        <v>N/A</v>
      </c>
      <c r="S103" s="63" t="str">
        <f>IF((IF(ISNUMBER(Matching_Engine!$O$103),Lookup_Lists!$D$113,0)+IF(ISNUMBER(Matching_Engine!$P$103),Lookup_Lists!$D$114,0)+IF(ISNUMBER(Matching_Engine!$Q$103),Lookup_Lists!$D$115,0)+IF(ISNUMBER(Matching_Engine!$R$103),Lookup_Lists!$D$116,0))=0,"N/A",ROUND((IF(ISNUMBER(Matching_Engine!$O$103),Matching_Engine!$O$103*Lookup_Lists!$D$113,0)+IF(ISNUMBER(Matching_Engine!$P$103),Matching_Engine!$P$103*Lookup_Lists!$D$114,0)+IF(ISNUMBER(Matching_Engine!$Q$103),Matching_Engine!$Q$103*Lookup_Lists!$D$115,0)+IF(ISNUMBER(Matching_Engine!$R$103),Matching_Engine!$R$103*Lookup_Lists!$D$116,0))/(IF(ISNUMBER(Matching_Engine!$O$103),Lookup_Lists!$D$113,0)+IF(ISNUMBER(Matching_Engine!$P$103),Lookup_Lists!$D$114,0)+IF(ISNUMBER(Matching_Engine!$Q$103),Lookup_Lists!$D$115,0)+IF(ISNUMBER(Matching_Engine!$R$103),Lookup_Lists!$D$116,0)),0))</f>
        <v>N/A</v>
      </c>
      <c r="T103" s="42">
        <f>IF(ISNUMBER(Matching_Engine!$S$103),1,0)</f>
        <v>0</v>
      </c>
      <c r="U103" s="65" t="e">
        <f>IF(NOT(AND(ISTEXT('[1]#REF'!$M$7),'[1]#REF'!$M$7&lt;&gt;"N/A")),Lookup_Lists!$D$150,IF(Brand_Profile!$I$7='[1]#REF'!$M$7,100,IFERROR(INDEX(Lookup_Lists!$B$349:$J$357,MATCH(Brand_Profile!$I$7,Lookup_Lists!$A$349:$A$357,0),MATCH('[1]#REF'!$M$7,Lookup_Lists!$B$348:$J$348,0)),Lookup_Lists!$D$151)))</f>
        <v>#REF!</v>
      </c>
      <c r="V103" s="65" t="e">
        <f>IF(NOT(AND(ISTEXT('[1]#REF'!$P$7),'[1]#REF'!$P$7&lt;&gt;"N/A")),"N/A",IFERROR(INDEX(Lookup_Lists!$B$349:$J$357,MATCH(Brand_Profile!$I$7,Lookup_Lists!$A$349:$A$357,0),MATCH('[1]#REF'!$P$7,Lookup_Lists!$B$348:$J$348,0)),Lookup_Lists!$D$151))</f>
        <v>#REF!</v>
      </c>
      <c r="W103" s="65" t="str">
        <f>IF(LEN(TRIM(SUBSTITUTE(Matching_Engine!$BE$103,"|","")))=0,"N/A",IF(Brand_Profile!$I$60=0,Lookup_Lists!$D$150,ROUND((IF(Brand_Profile!$I$54="",0,IF(ISNUMBER(SEARCH(Brand_Profile!$I$54,Matching_Engine!$BE$103)),1,0))+IF(Brand_Profile!$I$55="",0,IF(ISNUMBER(SEARCH(Brand_Profile!$I$55,Matching_Engine!$BE$103)),1,0))+IF(Brand_Profile!$I$56="",0,IF(ISNUMBER(SEARCH(Brand_Profile!$I$56,Matching_Engine!$BE$103)),1,0))+IF(Brand_Profile!$I$57="",0,IF(ISNUMBER(SEARCH(Brand_Profile!$I$57,Matching_Engine!$BE$103)),1,0))+IF(Brand_Profile!$I$58="",0,IF(ISNUMBER(SEARCH(Brand_Profile!$I$58,Matching_Engine!$BE$103)),1,0))+IF(Brand_Profile!$I$59="",0,IF(ISNUMBER(SEARCH(Brand_Profile!$I$59,Matching_Engine!$BE$103)),1,0)))/Brand_Profile!$I$60*100,0)))</f>
        <v>N/A</v>
      </c>
      <c r="X103" s="65" t="e">
        <f>IF(NOT(AND(ISTEXT('[1]#REF'!$Q$7),'[1]#REF'!$Q$7&lt;&gt;"N/A")),"N/A",Lookup_Lists!$D$150)</f>
        <v>#REF!</v>
      </c>
      <c r="Y103" s="63" t="str">
        <f>IF((IF(ISNUMBER(Matching_Engine!$U$103),Lookup_Lists!$D$335,0)+IF(ISNUMBER(Matching_Engine!$V$103),Lookup_Lists!$D$122,0)+IF(ISNUMBER(Matching_Engine!$W$103),Lookup_Lists!$D$336,0)+IF(ISNUMBER(Matching_Engine!$X$103),Lookup_Lists!$D$124,0))=0,"N/A",ROUND((IF(ISNUMBER(Matching_Engine!$U$103),Matching_Engine!$U$103*Lookup_Lists!$D$335,0)+IF(ISNUMBER(Matching_Engine!$V$103),Matching_Engine!$V$103*Lookup_Lists!$D$122,0)+IF(ISNUMBER(Matching_Engine!$W$103),Matching_Engine!$W$103*Lookup_Lists!$D$336,0)+IF(ISNUMBER(Matching_Engine!$X$103),Matching_Engine!$X$103*Lookup_Lists!$D$124,0))/(IF(ISNUMBER(Matching_Engine!$U$103),Lookup_Lists!$D$335,0)+IF(ISNUMBER(Matching_Engine!$V$103),Lookup_Lists!$D$122,0)+IF(ISNUMBER(Matching_Engine!$W$103),Lookup_Lists!$D$336,0)+IF(ISNUMBER(Matching_Engine!$X$103),Lookup_Lists!$D$124,0)),0))</f>
        <v>N/A</v>
      </c>
      <c r="Z103" s="42">
        <f>IF(ISNUMBER(Matching_Engine!$Y$103),1,0)</f>
        <v>0</v>
      </c>
      <c r="AA103" s="65" t="e">
        <f>IF(NOT(AND(ISTEXT('[1]#REF'!$Q$7),'[1]#REF'!$Q$7&lt;&gt;"N/A")),"N/A",Lookup_Lists!$D$150)</f>
        <v>#REF!</v>
      </c>
      <c r="AB103" s="65" t="e">
        <f>IF(NOT(AND(ISTEXT('[1]#REF'!$Q$7),'[1]#REF'!$Q$7&lt;&gt;"N/A")),"N/A",Lookup_Lists!$D$150)</f>
        <v>#REF!</v>
      </c>
      <c r="AC103" s="65" t="str">
        <f t="shared" si="1"/>
        <v>N/A</v>
      </c>
      <c r="AD103" s="65" t="e">
        <f>IF(NOT(AND(ISTEXT('[1]#REF'!$Q$7),'[1]#REF'!$Q$7&lt;&gt;"N/A")),"N/A",Lookup_Lists!$D$150)</f>
        <v>#REF!</v>
      </c>
      <c r="AE103" s="63" t="str">
        <f>IF((IF(ISNUMBER(Matching_Engine!$AA$103),Lookup_Lists!$D$125,0)+IF(ISNUMBER(Matching_Engine!$AB$103),Lookup_Lists!$D$126,0)+IF(ISNUMBER(Matching_Engine!$AC$103),Lookup_Lists!$D$127,0)+IF(ISNUMBER(Matching_Engine!$AD$103),Lookup_Lists!$D$128,0))=0,"N/A",ROUND((IF(ISNUMBER(Matching_Engine!$AA$103),Matching_Engine!$AA$103*Lookup_Lists!$D$125,0)+IF(ISNUMBER(Matching_Engine!$AB$103),Matching_Engine!$AB$103*Lookup_Lists!$D$126,0)+IF(ISNUMBER(Matching_Engine!$AC$103),Matching_Engine!$AC$103*Lookup_Lists!$D$127,0)+IF(ISNUMBER(Matching_Engine!$AD$103),Matching_Engine!$AD$103*Lookup_Lists!$D$128,0))/(IF(ISNUMBER(Matching_Engine!$AA$103),Lookup_Lists!$D$125,0)+IF(ISNUMBER(Matching_Engine!$AB$103),Lookup_Lists!$D$126,0)+IF(ISNUMBER(Matching_Engine!$AC$103),Lookup_Lists!$D$127,0)+IF(ISNUMBER(Matching_Engine!$AD$103),Lookup_Lists!$D$128,0)),0))</f>
        <v>N/A</v>
      </c>
      <c r="AF103" s="42">
        <f>IF(ISNUMBER(Matching_Engine!$AE$103),1,0)</f>
        <v>0</v>
      </c>
      <c r="AG103" s="65" t="str">
        <f>IF(NOT(ISNUMBER('[1]#REF'!$BG$7)),"N/A",MIN(100,ROUND('[1]#REF'!$BG$7/IFERROR(INDEX(Lookup_Lists!$B$340:$B$344,MATCH('[1]#REF'!$H$7,Lookup_Lists!$A$340:$A$344,0)),Lookup_Lists!$D$141)*100,0)))</f>
        <v>N/A</v>
      </c>
      <c r="AH103" s="65" t="str">
        <f>IF(NOT(ISNUMBER('[1]#REF'!$BS$7)),"N/A",MIN(100,MAX(0,'[1]#REF'!$BS$7)))</f>
        <v>N/A</v>
      </c>
      <c r="AI103" s="65" t="e">
        <f>IF(OR(NOT(ISNUMBER('[1]#REF'!$BM$7)),NOT(ISNUMBER('[1]#REF'!$BN$7)),'[1]#REF'!$BN$7&lt;Lookup_Lists!$D$320),"N/A",MIN(100,ROUND('[1]#REF'!$BM$7/Lookup_Lists!$D$319*100,0)))</f>
        <v>#REF!</v>
      </c>
      <c r="AJ103" s="65" t="str">
        <f>IF(NOT(ISNUMBER('[1]#REF'!$BR$7)),"N/A",'[1]#REF'!$BR$7)</f>
        <v>N/A</v>
      </c>
      <c r="AK103" s="65" t="str">
        <f>IF(NOT(ISNUMBER('[1]#REF'!$BK$7)),"N/A",MIN(100,ROUND('[1]#REF'!$BK$7/Lookup_Lists!$D$321*100,0)))</f>
        <v>N/A</v>
      </c>
      <c r="AL103" s="65" t="str">
        <f>IF(NOT(ISNUMBER('[1]#REF'!$BP$7)),"N/A",MIN(100,MAX(0,ROUND(('[1]#REF'!$BP$7+2)/(Lookup_Lists!$D$145+2)*100,0))))</f>
        <v>N/A</v>
      </c>
      <c r="AM103" s="63" t="str">
        <f>IF((IF(ISNUMBER(Matching_Engine!$AG$103),Lookup_Lists!$D$129,0)+IF(ISNUMBER(Matching_Engine!$AH$103),Lookup_Lists!$D$130,0)+IF(ISNUMBER(Matching_Engine!$AI$103),Lookup_Lists!$D$131,0)+IF(ISNUMBER(Matching_Engine!$AJ$103),Lookup_Lists!$D$132,0)+IF(ISNUMBER(Matching_Engine!$AK$103),Lookup_Lists!$D$133,0)+IF(ISNUMBER(Matching_Engine!$AL$103),Lookup_Lists!$D$134,0))=0,"N/A",ROUND((IF(ISNUMBER(Matching_Engine!$AG$103),Matching_Engine!$AG$103*Lookup_Lists!$D$129,0)+IF(ISNUMBER(Matching_Engine!$AH$103),Matching_Engine!$AH$103*Lookup_Lists!$D$130,0)+IF(ISNUMBER(Matching_Engine!$AI$103),Matching_Engine!$AI$103*Lookup_Lists!$D$131,0)+IF(ISNUMBER(Matching_Engine!$AJ$103),Matching_Engine!$AJ$103*Lookup_Lists!$D$132,0)+IF(ISNUMBER(Matching_Engine!$AK$103),Matching_Engine!$AK$103*Lookup_Lists!$D$133,0)+IF(ISNUMBER(Matching_Engine!$AL$103),Matching_Engine!$AL$103*Lookup_Lists!$D$134,0))/(IF(ISNUMBER(Matching_Engine!$AG$103),Lookup_Lists!$D$129,0)+IF(ISNUMBER(Matching_Engine!$AH$103),Lookup_Lists!$D$130,0)+IF(ISNUMBER(Matching_Engine!$AI$103),Lookup_Lists!$D$131,0)+IF(ISNUMBER(Matching_Engine!$AJ$103),Lookup_Lists!$D$132,0)+IF(ISNUMBER(Matching_Engine!$AK$103),Lookup_Lists!$D$133,0)+IF(ISNUMBER(Matching_Engine!$AL$103),Lookup_Lists!$D$134,0)),0))</f>
        <v>N/A</v>
      </c>
      <c r="AN103" s="42">
        <f>IF(ISNUMBER(Matching_Engine!$AM$103),1,0)</f>
        <v>0</v>
      </c>
      <c r="AO103" s="65" t="str">
        <f>IF(NOT(ISNUMBER('[1]#REF'!$BT$7)),"N/A",MIN(100,MAX(0,'[1]#REF'!$BT$7)))</f>
        <v>N/A</v>
      </c>
      <c r="AP103" s="65" t="str">
        <f>IF(NOT(ISNUMBER('[1]#REF'!$BU$7)),"N/A",MIN(100,MAX(0,'[1]#REF'!$BU$7)))</f>
        <v>N/A</v>
      </c>
      <c r="AQ103" s="65" t="e">
        <f>IF('[1]#REF'!$I$7="Yes",Lookup_Lists!$D$326,IF('[1]#REF'!$I$7="No",Lookup_Lists!$D$327,"N/A"))</f>
        <v>#REF!</v>
      </c>
      <c r="AR103" s="65" t="str">
        <f>IF(NOT(ISNUMBER('[1]#REF'!$BQ$7)),"N/A",MAX(0,ROUND(100-'[1]#REF'!$BQ$7/Lookup_Lists!$D$328*100,0)))</f>
        <v>N/A</v>
      </c>
      <c r="AS103" s="65" t="e">
        <f>IF(NOT(AND(ISTEXT('[1]#REF'!$BV$7),'[1]#REF'!$BV$7&lt;&gt;"N/A")),"N/A",'[1]#REF'!$BV$7)</f>
        <v>#REF!</v>
      </c>
      <c r="AT103" s="63" t="str">
        <f>IF((IF(ISNUMBER(Matching_Engine!$AO$103),Lookup_Lists!$D$322,0)+IF(ISNUMBER(Matching_Engine!$AP$103),Lookup_Lists!$D$323,0)+IF(ISNUMBER(Matching_Engine!$AQ$103),Lookup_Lists!$D$324,0)+IF(ISNUMBER(Matching_Engine!$AR$103),Lookup_Lists!$D$325,0))=0,"N/A",ROUND((IF(ISNUMBER(Matching_Engine!$AO$103),Matching_Engine!$AO$103*Lookup_Lists!$D$322,0)+IF(ISNUMBER(Matching_Engine!$AP$103),Matching_Engine!$AP$103*Lookup_Lists!$D$323,0)+IF(ISNUMBER(Matching_Engine!$AQ$103),Matching_Engine!$AQ$103*Lookup_Lists!$D$324,0)+IF(ISNUMBER(Matching_Engine!$AR$103),Matching_Engine!$AR$103*Lookup_Lists!$D$325,0))/(IF(ISNUMBER(Matching_Engine!$AO$103),Lookup_Lists!$D$322,0)+IF(ISNUMBER(Matching_Engine!$AP$103),Lookup_Lists!$D$323,0)+IF(ISNUMBER(Matching_Engine!$AQ$103),Lookup_Lists!$D$324,0)+IF(ISNUMBER(Matching_Engine!$AR$103),Lookup_Lists!$D$325,0)),0))</f>
        <v>N/A</v>
      </c>
      <c r="AU103" s="42">
        <f>IF(ISNUMBER(Matching_Engine!$AT$103),1,0)</f>
        <v>0</v>
      </c>
      <c r="AV103" s="42" t="str">
        <f>IF(NOT(ISNUMBER(Matching_Engine!$AT$103)),"Not Screened",IF(Matching_Engine!$AT$103&gt;=Lookup_Lists!$D$329,"Low Risk",IF(Matching_Engine!$AT$103&gt;=Lookup_Lists!$D$330,"Moderate Risk",IF(Matching_Engine!$AT$103&gt;=Lookup_Lists!$D$331,"Elevated Risk","High Risk"))))</f>
        <v>Not Screened</v>
      </c>
      <c r="AW103" s="42" t="str">
        <f>IF(NOT(ISNUMBER(Matching_Engine!$AT$103)),"No integrity signal: no audience-analysis row for this account.","Integrity screen only — no content-risk reading exists (comments_analysis: 0 rows). "&amp;IF(ISNUMBER(Matching_Engine!$AO$103),"Authenticity "&amp;Matching_Engine!$AO$103&amp;". ","Authenticity N/A. ")&amp;IF(ISNUMBER(Matching_Engine!$AP$103),"Follower quality "&amp;Matching_Engine!$AP$103&amp;". ","Follower quality N/A. ")&amp;IF('[1]#REF'!$I$7="Yes","Platform-verified.","Not platform-verified."))</f>
        <v>No integrity signal: no audience-analysis row for this account.</v>
      </c>
      <c r="AX103" s="65">
        <f>Matching_Engine!$N$103*Lookup_Lists!$D$104+Matching_Engine!$T$103*Lookup_Lists!$D$105+Matching_Engine!$Z$103*Lookup_Lists!$D$106+Matching_Engine!$AF$103*Lookup_Lists!$D$107+Matching_Engine!$AN$103*Lookup_Lists!$D$108+Matching_Engine!$AU$103*Lookup_Lists!$D$109</f>
        <v>0</v>
      </c>
      <c r="AY103" s="74" t="str">
        <f>IF(Matching_Engine!$AX$103=0,"N/A",ROUND((IF(Matching_Engine!$N$103=1,Matching_Engine!$M$103*Lookup_Lists!$D$104,0)+IF(Matching_Engine!$T$103=1,Matching_Engine!$S$103*Lookup_Lists!$D$105,0)+IF(Matching_Engine!$Z$103=1,Matching_Engine!$Y$103*Lookup_Lists!$D$106,0)+IF(Matching_Engine!$AF$103=1,Matching_Engine!$AE$103*Lookup_Lists!$D$107,0)+IF(Matching_Engine!$AN$103=1,Matching_Engine!$AM$103*Lookup_Lists!$D$108,0)+IF(Matching_Engine!$AU$103=1,Matching_Engine!$AT$103*Lookup_Lists!$D$109,0))/Matching_Engine!$AX$103,0))</f>
        <v>N/A</v>
      </c>
      <c r="AZ103" s="42" t="str">
        <f>IF(NOT(ISNUMBER(Matching_Engine!$AY$103)),"Not Scored",IF(Matching_Engine!$AY$103&gt;=Lookup_Lists!$D$152,"Excellent Match",IF(Matching_Engine!$AY$103&gt;=Lookup_Lists!$D$153,"Strong Match",IF(Matching_Engine!$AY$103&gt;=Lookup_Lists!$D$154,"Good Match",IF(Matching_Engine!$AY$103&gt;=Lookup_Lists!$D$155,"Moderate Match","Low Match")))))</f>
        <v>Not Scored</v>
      </c>
      <c r="BA103" s="65" t="e">
        <f>'[1]#REF'!$BW$7</f>
        <v>#REF!</v>
      </c>
      <c r="BB103" s="42" t="e">
        <f>'[1]#REF'!$BX$7</f>
        <v>#REF!</v>
      </c>
      <c r="BC103" s="65">
        <f>IF(NOT(ISNUMBER(Matching_Engine!$AY$103)),-1,Matching_Engine!$AY$103*1000+23)</f>
        <v>-1</v>
      </c>
      <c r="BD103" s="42" t="e">
        <f>IF(AND(ISTEXT('[1]#REF'!$S$7),'[1]#REF'!$S$7&lt;&gt;"N/A"),'[1]#REF'!$S$7,"")&amp;" | "&amp;IF(AND(ISTEXT('[1]#REF'!$T$7),'[1]#REF'!$T$7&lt;&gt;"N/A"),'[1]#REF'!$T$7,"")&amp;" | "&amp;IF(AND(ISTEXT('[1]#REF'!$N$7),'[1]#REF'!$N$7&lt;&gt;"N/A"),'[1]#REF'!$N$7,"")&amp;" | "&amp;IF(AND(ISTEXT('[1]#REF'!$K$7),'[1]#REF'!$K$7&lt;&gt;"N/A"),'[1]#REF'!$K$7,"")&amp;" | "&amp;IF(AND(ISTEXT('[1]#REF'!$J$7),'[1]#REF'!$J$7&lt;&gt;"N/A"),'[1]#REF'!$J$7,"")</f>
        <v>#REF!</v>
      </c>
      <c r="BE103" s="42" t="e">
        <f>IF(AND(ISTEXT('[1]#REF'!$T$7),'[1]#REF'!$T$7&lt;&gt;"N/A"),'[1]#REF'!$T$7,"")&amp;" | "&amp;IF(AND(ISTEXT('[1]#REF'!$N$7),'[1]#REF'!$N$7&lt;&gt;"N/A"),'[1]#REF'!$N$7,"")&amp;" | "&amp;IF(AND(ISTEXT('[1]#REF'!$O$7),'[1]#REF'!$O$7&lt;&gt;"N/A"),'[1]#REF'!$O$7,"")&amp;" | "&amp;IF(AND(ISTEXT('[1]#REF'!$S$7),'[1]#REF'!$S$7&lt;&gt;"N/A"),'[1]#REF'!$S$7,"")</f>
        <v>#REF!</v>
      </c>
      <c r="BF103" s="42" t="e">
        <f>IF(AND(ISTEXT('[1]#REF'!$U$7),'[1]#REF'!$U$7&lt;&gt;"N/A"),'[1]#REF'!$U$7,"")</f>
        <v>#REF!</v>
      </c>
      <c r="BG103" s="42" t="str">
        <f>Matching_Engine!$A$103&amp;"|"&amp;Matching_Engine!$C$103</f>
        <v>|</v>
      </c>
    </row>
    <row r="104" spans="1:59">
      <c r="A104" s="64" t="s">
        <v>2531</v>
      </c>
      <c r="B104" s="42">
        <f>Brand_Profile!$I$6</f>
        <v>0</v>
      </c>
      <c r="C104" s="42" t="e">
        <f>'[1]#REF'!$A$8</f>
        <v>#REF!</v>
      </c>
      <c r="D104" s="42" t="e">
        <f>'[1]#REF'!$C$8</f>
        <v>#REF!</v>
      </c>
      <c r="E104" s="42" t="e">
        <f>'[1]#REF'!$D$8</f>
        <v>#REF!</v>
      </c>
      <c r="F104" s="42" t="e">
        <f>'[1]#REF'!$E$8</f>
        <v>#REF!</v>
      </c>
      <c r="G104" s="42" t="e">
        <f>'[1]#REF'!$K$8</f>
        <v>#REF!</v>
      </c>
      <c r="H104" s="72" t="e">
        <f>'[1]#REF'!$G$8</f>
        <v>#REF!</v>
      </c>
      <c r="I104" s="73" t="e">
        <f>'[1]#REF'!$BG$8</f>
        <v>#REF!</v>
      </c>
      <c r="J104" s="65" t="e">
        <f>IF(NOT(AND(ISTEXT('[1]#REF'!$K$8),'[1]#REF'!$K$8&lt;&gt;"N/A")),Lookup_Lists!$D$150,IF(Brand_Profile!$I$7='[1]#REF'!$K$8,100,IFERROR(INDEX(Lookup_Lists!$B$349:$J$357,MATCH(Brand_Profile!$I$7,Lookup_Lists!$A$349:$A$357,0),MATCH('[1]#REF'!$K$8,Lookup_Lists!$B$348:$J$348,0)),Lookup_Lists!$D$151)))</f>
        <v>#REF!</v>
      </c>
      <c r="K104" s="65" t="str">
        <f>IF(LEN(TRIM(SUBSTITUTE(Matching_Engine!$BD$104,"|","")))=0,"N/A",IF(Brand_Profile!$I$47=0,Lookup_Lists!$D$150,ROUND((IF(Brand_Profile!$I$41="",0,IF(ISNUMBER(SEARCH(Brand_Profile!$I$41,Matching_Engine!$BD$104)),1,0))+IF(Brand_Profile!$I$42="",0,IF(ISNUMBER(SEARCH(Brand_Profile!$I$42,Matching_Engine!$BD$104)),1,0))+IF(Brand_Profile!$I$43="",0,IF(ISNUMBER(SEARCH(Brand_Profile!$I$43,Matching_Engine!$BD$104)),1,0))+IF(Brand_Profile!$I$44="",0,IF(ISNUMBER(SEARCH(Brand_Profile!$I$44,Matching_Engine!$BD$104)),1,0))+IF(Brand_Profile!$I$45="",0,IF(ISNUMBER(SEARCH(Brand_Profile!$I$45,Matching_Engine!$BD$104)),1,0))+IF(Brand_Profile!$I$46="",0,IF(ISNUMBER(SEARCH(Brand_Profile!$I$46,Matching_Engine!$BD$104)),1,0)))/Brand_Profile!$I$47*100,0)))</f>
        <v>N/A</v>
      </c>
      <c r="L104" s="65" t="e">
        <f>IF(NOT(AND(ISTEXT('[1]#REF'!$U$8),'[1]#REF'!$U$8&lt;&gt;"N/A")),"N/A",IF(Brand_Profile!$I$53=0,Lookup_Lists!$D$150,ROUND((IF(Brand_Profile!$I$48="",0,IF(ISNUMBER(SEARCH(Brand_Profile!$I$48,Matching_Engine!$BF$104)),1,0))+IF(Brand_Profile!$I$49="",0,IF(ISNUMBER(SEARCH(Brand_Profile!$I$49,Matching_Engine!$BF$104)),1,0))+IF(Brand_Profile!$I$50="",0,IF(ISNUMBER(SEARCH(Brand_Profile!$I$50,Matching_Engine!$BF$104)),1,0))+IF(Brand_Profile!$I$51="",0,IF(ISNUMBER(SEARCH(Brand_Profile!$I$51,Matching_Engine!$BF$104)),1,0))+IF(Brand_Profile!$I$52="",0,IF(ISNUMBER(SEARCH(Brand_Profile!$I$52,Matching_Engine!$BF$104)),1,0)))/Brand_Profile!$I$53*100,0)))</f>
        <v>#REF!</v>
      </c>
      <c r="M104" s="63" t="str">
        <f>IF((IF(ISNUMBER(Matching_Engine!$J$104),Lookup_Lists!$D$332,0)+IF(ISNUMBER(Matching_Engine!$K$104),Lookup_Lists!$D$333,0)+IF(ISNUMBER(Matching_Engine!$L$104),Lookup_Lists!$D$334,0))=0,"N/A",ROUND((IF(ISNUMBER(Matching_Engine!$J$104),Matching_Engine!$J$104*Lookup_Lists!$D$332,0)+IF(ISNUMBER(Matching_Engine!$K$104),Matching_Engine!$K$104*Lookup_Lists!$D$333,0)+IF(ISNUMBER(Matching_Engine!$L$104),Matching_Engine!$L$104*Lookup_Lists!$D$334,0))/(IF(ISNUMBER(Matching_Engine!$J$104),Lookup_Lists!$D$332,0)+IF(ISNUMBER(Matching_Engine!$K$104),Lookup_Lists!$D$333,0)+IF(ISNUMBER(Matching_Engine!$L$104),Lookup_Lists!$D$334,0)),0))</f>
        <v>N/A</v>
      </c>
      <c r="N104" s="42">
        <f>IF(ISNUMBER(Matching_Engine!$M$104),1,0)</f>
        <v>0</v>
      </c>
      <c r="O104" s="65" t="str">
        <f ca="1">IF(NOT(ISNUMBER(IFERROR(INDEX('[1]#REF'!$V$8:'[1]#REF'!$Z$8,1,MATCH(Brand_Profile!$I$11,Lookup_Lists!$F$6:$F$10,0)),""))),"N/A",MIN(100,ROUND((IFERROR(INDEX('[1]#REF'!$V$8:'[1]#REF'!$Z$8,1,MATCH(Brand_Profile!$I$11,Lookup_Lists!$F$6:$F$10,0)),"")+0.5*IF(ISNUMBER(IFERROR(INDEX('[1]#REF'!$V$8:'[1]#REF'!$Z$8,1,MATCH(Brand_Profile!$I$12,Lookup_Lists!$F$6:$F$10,0)),"")),IFERROR(INDEX('[1]#REF'!$V$8:'[1]#REF'!$Z$8,1,MATCH(Brand_Profile!$I$12,Lookup_Lists!$F$6:$F$10,0)),""),0))/Lookup_Lists!$D$142*100,0)))</f>
        <v>N/A</v>
      </c>
      <c r="P104" s="65" t="str">
        <f>IF(Brand_Profile!$I$13="Any",100,IF(NOT(ISNUMBER('[1]#REF'!$AA$8)),"N/A",IF(Brand_Profile!$I$13="Female",MIN(100,ROUND('[1]#REF'!$AA$8/Lookup_Lists!$D$143*100,0)),IF(Brand_Profile!$I$13="Male",MIN(100,ROUND(IF(ISNUMBER('[1]#REF'!$AB$8),'[1]#REF'!$AB$8,100-'[1]#REF'!$AA$8)/Lookup_Lists!$D$143*100,0)),MAX(0,ROUND(100-ABS('[1]#REF'!$AA$8-50)*2,0))))))</f>
        <v>N/A</v>
      </c>
      <c r="Q104" s="65" t="str">
        <f>IF((IF(ISNUMBER(IF(NOT(ISNUMBER('[1]#REF'!$AE$8)),"N/A",IF('[1]#REF'!$AD$8&lt;&gt;Brand_Profile!$I$14,Lookup_Lists!$D$151,MIN(100,ROUND('[1]#REF'!$AE$8/Lookup_Lists!$D$316*100,0))))),Lookup_Lists!$D$118,0)+IF(ISNUMBER(IF(NOT(ISNUMBER('[1]#REF'!$AM$8)),"N/A",MIN(100,ROUND((IF('[1]#REF'!$AG$8=Brand_Profile!$I$15,IF(ISNUMBER('[1]#REF'!$AH$8),'[1]#REF'!$AH$8,0),0)+IF('[1]#REF'!$AI$8=Brand_Profile!$I$15,IF(ISNUMBER('[1]#REF'!$AJ$8),'[1]#REF'!$AJ$8,0),0)+IF('[1]#REF'!$AK$8=Brand_Profile!$I$15,IF(ISNUMBER('[1]#REF'!$AL$8),'[1]#REF'!$AL$8,0),0))/Lookup_Lists!$D$317*100,0)))),Lookup_Lists!$D$120,0))=0,"N/A",ROUND((IF(ISNUMBER(IF(NOT(ISNUMBER('[1]#REF'!$AE$8)),"N/A",IF('[1]#REF'!$AD$8&lt;&gt;Brand_Profile!$I$14,Lookup_Lists!$D$151,MIN(100,ROUND('[1]#REF'!$AE$8/Lookup_Lists!$D$316*100,0))))),IF(NOT(ISNUMBER('[1]#REF'!$AE$8)),"N/A",IF('[1]#REF'!$AD$8&lt;&gt;Brand_Profile!$I$14,Lookup_Lists!$D$151,MIN(100,ROUND('[1]#REF'!$AE$8/Lookup_Lists!$D$316*100,0))))*Lookup_Lists!$D$118,0)+IF(ISNUMBER(IF(NOT(ISNUMBER('[1]#REF'!$AM$8)),"N/A",MIN(100,ROUND((IF('[1]#REF'!$AG$8=Brand_Profile!$I$15,IF(ISNUMBER('[1]#REF'!$AH$8),'[1]#REF'!$AH$8,0),0)+IF('[1]#REF'!$AI$8=Brand_Profile!$I$15,IF(ISNUMBER('[1]#REF'!$AJ$8),'[1]#REF'!$AJ$8,0),0)+IF('[1]#REF'!$AK$8=Brand_Profile!$I$15,IF(ISNUMBER('[1]#REF'!$AL$8),'[1]#REF'!$AL$8,0),0))/Lookup_Lists!$D$317*100,0)))),IF(NOT(ISNUMBER('[1]#REF'!$AM$8)),"N/A",MIN(100,ROUND((IF('[1]#REF'!$AG$8=Brand_Profile!$I$15,IF(ISNUMBER('[1]#REF'!$AH$8),'[1]#REF'!$AH$8,0),0)+IF('[1]#REF'!$AI$8=Brand_Profile!$I$15,IF(ISNUMBER('[1]#REF'!$AJ$8),'[1]#REF'!$AJ$8,0),0)+IF('[1]#REF'!$AK$8=Brand_Profile!$I$15,IF(ISNUMBER('[1]#REF'!$AL$8),'[1]#REF'!$AL$8,0),0))/Lookup_Lists!$D$317*100,0)))*Lookup_Lists!$D$120,0))/(IF(ISNUMBER(IF(NOT(ISNUMBER('[1]#REF'!$AE$8)),"N/A",IF('[1]#REF'!$AD$8&lt;&gt;Brand_Profile!$I$14,Lookup_Lists!$D$151,MIN(100,ROUND('[1]#REF'!$AE$8/Lookup_Lists!$D$316*100,0))))),Lookup_Lists!$D$118,0)+IF(ISNUMBER(IF(NOT(ISNUMBER('[1]#REF'!$AM$8)),"N/A",MIN(100,ROUND((IF('[1]#REF'!$AG$8=Brand_Profile!$I$15,IF(ISNUMBER('[1]#REF'!$AH$8),'[1]#REF'!$AH$8,0),0)+IF('[1]#REF'!$AI$8=Brand_Profile!$I$15,IF(ISNUMBER('[1]#REF'!$AJ$8),'[1]#REF'!$AJ$8,0),0)+IF('[1]#REF'!$AK$8=Brand_Profile!$I$15,IF(ISNUMBER('[1]#REF'!$AL$8),'[1]#REF'!$AL$8,0),0))/Lookup_Lists!$D$317*100,0)))),Lookup_Lists!$D$120,0)),0))</f>
        <v>N/A</v>
      </c>
      <c r="R104" s="65" t="str">
        <f>IF(NOT(ISNUMBER('[1]#REF'!$AN$8)),"N/A",MIN(100,ROUND((IF(ISNUMBER('[1]#REF'!$AO$8),'[1]#REF'!$AO$8*Brand_Profile!$I$17,0)+IF(ISNUMBER('[1]#REF'!$AP$8),'[1]#REF'!$AP$8*Brand_Profile!$I$18,0)+IF(ISNUMBER('[1]#REF'!$AQ$8),'[1]#REF'!$AQ$8*Brand_Profile!$I$19,0)+IF(ISNUMBER('[1]#REF'!$AR$8),'[1]#REF'!$AR$8*Brand_Profile!$I$20,0)+IF(ISNUMBER('[1]#REF'!$AS$8),'[1]#REF'!$AS$8*Brand_Profile!$I$21,0)+IF(ISNUMBER('[1]#REF'!$AT$8),'[1]#REF'!$AT$8*Brand_Profile!$I$22,0)+IF(ISNUMBER('[1]#REF'!$AU$8),'[1]#REF'!$AU$8*Brand_Profile!$I$23,0)+IF(ISNUMBER('[1]#REF'!$AV$8),'[1]#REF'!$AV$8*Brand_Profile!$I$24,0)+IF(ISNUMBER('[1]#REF'!$AW$8),'[1]#REF'!$AW$8*Brand_Profile!$I$25,0)+IF(ISNUMBER('[1]#REF'!$AX$8),'[1]#REF'!$AX$8*Brand_Profile!$I$26,0)+IF(ISNUMBER('[1]#REF'!$AY$8),'[1]#REF'!$AY$8*Brand_Profile!$I$27,0)+IF(ISNUMBER('[1]#REF'!$AZ$8),'[1]#REF'!$AZ$8*Brand_Profile!$I$28,0)+IF(ISNUMBER('[1]#REF'!$BA$8),'[1]#REF'!$BA$8*Brand_Profile!$I$29,0)+IF(ISNUMBER('[1]#REF'!$BB$8),'[1]#REF'!$BB$8*Brand_Profile!$I$30,0)+IF(ISNUMBER('[1]#REF'!$BC$8),'[1]#REF'!$BC$8*Brand_Profile!$I$31,0)+IF(ISNUMBER('[1]#REF'!$BD$8),'[1]#REF'!$BD$8*Brand_Profile!$I$32,0)+IF(ISNUMBER('[1]#REF'!$BE$8),'[1]#REF'!$BE$8*Brand_Profile!$I$33,0)+IF(ISNUMBER('[1]#REF'!$BF$8),'[1]#REF'!$BF$8*Brand_Profile!$I$34,0))/Lookup_Lists!$D$318*100,0)))</f>
        <v>N/A</v>
      </c>
      <c r="S104" s="63" t="str">
        <f>IF((IF(ISNUMBER(Matching_Engine!$O$104),Lookup_Lists!$D$113,0)+IF(ISNUMBER(Matching_Engine!$P$104),Lookup_Lists!$D$114,0)+IF(ISNUMBER(Matching_Engine!$Q$104),Lookup_Lists!$D$115,0)+IF(ISNUMBER(Matching_Engine!$R$104),Lookup_Lists!$D$116,0))=0,"N/A",ROUND((IF(ISNUMBER(Matching_Engine!$O$104),Matching_Engine!$O$104*Lookup_Lists!$D$113,0)+IF(ISNUMBER(Matching_Engine!$P$104),Matching_Engine!$P$104*Lookup_Lists!$D$114,0)+IF(ISNUMBER(Matching_Engine!$Q$104),Matching_Engine!$Q$104*Lookup_Lists!$D$115,0)+IF(ISNUMBER(Matching_Engine!$R$104),Matching_Engine!$R$104*Lookup_Lists!$D$116,0))/(IF(ISNUMBER(Matching_Engine!$O$104),Lookup_Lists!$D$113,0)+IF(ISNUMBER(Matching_Engine!$P$104),Lookup_Lists!$D$114,0)+IF(ISNUMBER(Matching_Engine!$Q$104),Lookup_Lists!$D$115,0)+IF(ISNUMBER(Matching_Engine!$R$104),Lookup_Lists!$D$116,0)),0))</f>
        <v>N/A</v>
      </c>
      <c r="T104" s="42">
        <f>IF(ISNUMBER(Matching_Engine!$S$104),1,0)</f>
        <v>0</v>
      </c>
      <c r="U104" s="65" t="e">
        <f>IF(NOT(AND(ISTEXT('[1]#REF'!$M$8),'[1]#REF'!$M$8&lt;&gt;"N/A")),Lookup_Lists!$D$150,IF(Brand_Profile!$I$7='[1]#REF'!$M$8,100,IFERROR(INDEX(Lookup_Lists!$B$349:$J$357,MATCH(Brand_Profile!$I$7,Lookup_Lists!$A$349:$A$357,0),MATCH('[1]#REF'!$M$8,Lookup_Lists!$B$348:$J$348,0)),Lookup_Lists!$D$151)))</f>
        <v>#REF!</v>
      </c>
      <c r="V104" s="65" t="e">
        <f>IF(NOT(AND(ISTEXT('[1]#REF'!$P$8),'[1]#REF'!$P$8&lt;&gt;"N/A")),"N/A",IFERROR(INDEX(Lookup_Lists!$B$349:$J$357,MATCH(Brand_Profile!$I$7,Lookup_Lists!$A$349:$A$357,0),MATCH('[1]#REF'!$P$8,Lookup_Lists!$B$348:$J$348,0)),Lookup_Lists!$D$151))</f>
        <v>#REF!</v>
      </c>
      <c r="W104" s="65" t="str">
        <f>IF(LEN(TRIM(SUBSTITUTE(Matching_Engine!$BE$104,"|","")))=0,"N/A",IF(Brand_Profile!$I$60=0,Lookup_Lists!$D$150,ROUND((IF(Brand_Profile!$I$54="",0,IF(ISNUMBER(SEARCH(Brand_Profile!$I$54,Matching_Engine!$BE$104)),1,0))+IF(Brand_Profile!$I$55="",0,IF(ISNUMBER(SEARCH(Brand_Profile!$I$55,Matching_Engine!$BE$104)),1,0))+IF(Brand_Profile!$I$56="",0,IF(ISNUMBER(SEARCH(Brand_Profile!$I$56,Matching_Engine!$BE$104)),1,0))+IF(Brand_Profile!$I$57="",0,IF(ISNUMBER(SEARCH(Brand_Profile!$I$57,Matching_Engine!$BE$104)),1,0))+IF(Brand_Profile!$I$58="",0,IF(ISNUMBER(SEARCH(Brand_Profile!$I$58,Matching_Engine!$BE$104)),1,0))+IF(Brand_Profile!$I$59="",0,IF(ISNUMBER(SEARCH(Brand_Profile!$I$59,Matching_Engine!$BE$104)),1,0)))/Brand_Profile!$I$60*100,0)))</f>
        <v>N/A</v>
      </c>
      <c r="X104" s="65" t="e">
        <f>IF(NOT(AND(ISTEXT('[1]#REF'!$Q$8),'[1]#REF'!$Q$8&lt;&gt;"N/A")),"N/A",Lookup_Lists!$D$150)</f>
        <v>#REF!</v>
      </c>
      <c r="Y104" s="63" t="str">
        <f>IF((IF(ISNUMBER(Matching_Engine!$U$104),Lookup_Lists!$D$335,0)+IF(ISNUMBER(Matching_Engine!$V$104),Lookup_Lists!$D$122,0)+IF(ISNUMBER(Matching_Engine!$W$104),Lookup_Lists!$D$336,0)+IF(ISNUMBER(Matching_Engine!$X$104),Lookup_Lists!$D$124,0))=0,"N/A",ROUND((IF(ISNUMBER(Matching_Engine!$U$104),Matching_Engine!$U$104*Lookup_Lists!$D$335,0)+IF(ISNUMBER(Matching_Engine!$V$104),Matching_Engine!$V$104*Lookup_Lists!$D$122,0)+IF(ISNUMBER(Matching_Engine!$W$104),Matching_Engine!$W$104*Lookup_Lists!$D$336,0)+IF(ISNUMBER(Matching_Engine!$X$104),Matching_Engine!$X$104*Lookup_Lists!$D$124,0))/(IF(ISNUMBER(Matching_Engine!$U$104),Lookup_Lists!$D$335,0)+IF(ISNUMBER(Matching_Engine!$V$104),Lookup_Lists!$D$122,0)+IF(ISNUMBER(Matching_Engine!$W$104),Lookup_Lists!$D$336,0)+IF(ISNUMBER(Matching_Engine!$X$104),Lookup_Lists!$D$124,0)),0))</f>
        <v>N/A</v>
      </c>
      <c r="Z104" s="42">
        <f>IF(ISNUMBER(Matching_Engine!$Y$104),1,0)</f>
        <v>0</v>
      </c>
      <c r="AA104" s="65" t="e">
        <f>IF(NOT(AND(ISTEXT('[1]#REF'!$Q$8),'[1]#REF'!$Q$8&lt;&gt;"N/A")),"N/A",Lookup_Lists!$D$150)</f>
        <v>#REF!</v>
      </c>
      <c r="AB104" s="65" t="e">
        <f>IF(NOT(AND(ISTEXT('[1]#REF'!$Q$8),'[1]#REF'!$Q$8&lt;&gt;"N/A")),"N/A",Lookup_Lists!$D$150)</f>
        <v>#REF!</v>
      </c>
      <c r="AC104" s="65" t="str">
        <f t="shared" si="1"/>
        <v>N/A</v>
      </c>
      <c r="AD104" s="65" t="e">
        <f>IF(NOT(AND(ISTEXT('[1]#REF'!$Q$8),'[1]#REF'!$Q$8&lt;&gt;"N/A")),"N/A",Lookup_Lists!$D$150)</f>
        <v>#REF!</v>
      </c>
      <c r="AE104" s="63" t="str">
        <f>IF((IF(ISNUMBER(Matching_Engine!$AA$104),Lookup_Lists!$D$125,0)+IF(ISNUMBER(Matching_Engine!$AB$104),Lookup_Lists!$D$126,0)+IF(ISNUMBER(Matching_Engine!$AC$104),Lookup_Lists!$D$127,0)+IF(ISNUMBER(Matching_Engine!$AD$104),Lookup_Lists!$D$128,0))=0,"N/A",ROUND((IF(ISNUMBER(Matching_Engine!$AA$104),Matching_Engine!$AA$104*Lookup_Lists!$D$125,0)+IF(ISNUMBER(Matching_Engine!$AB$104),Matching_Engine!$AB$104*Lookup_Lists!$D$126,0)+IF(ISNUMBER(Matching_Engine!$AC$104),Matching_Engine!$AC$104*Lookup_Lists!$D$127,0)+IF(ISNUMBER(Matching_Engine!$AD$104),Matching_Engine!$AD$104*Lookup_Lists!$D$128,0))/(IF(ISNUMBER(Matching_Engine!$AA$104),Lookup_Lists!$D$125,0)+IF(ISNUMBER(Matching_Engine!$AB$104),Lookup_Lists!$D$126,0)+IF(ISNUMBER(Matching_Engine!$AC$104),Lookup_Lists!$D$127,0)+IF(ISNUMBER(Matching_Engine!$AD$104),Lookup_Lists!$D$128,0)),0))</f>
        <v>N/A</v>
      </c>
      <c r="AF104" s="42">
        <f>IF(ISNUMBER(Matching_Engine!$AE$104),1,0)</f>
        <v>0</v>
      </c>
      <c r="AG104" s="65" t="str">
        <f>IF(NOT(ISNUMBER('[1]#REF'!$BG$8)),"N/A",MIN(100,ROUND('[1]#REF'!$BG$8/IFERROR(INDEX(Lookup_Lists!$B$340:$B$344,MATCH('[1]#REF'!$H$8,Lookup_Lists!$A$340:$A$344,0)),Lookup_Lists!$D$141)*100,0)))</f>
        <v>N/A</v>
      </c>
      <c r="AH104" s="65" t="str">
        <f>IF(NOT(ISNUMBER('[1]#REF'!$BS$8)),"N/A",MIN(100,MAX(0,'[1]#REF'!$BS$8)))</f>
        <v>N/A</v>
      </c>
      <c r="AI104" s="65" t="e">
        <f>IF(OR(NOT(ISNUMBER('[1]#REF'!$BM$8)),NOT(ISNUMBER('[1]#REF'!$BN$8)),'[1]#REF'!$BN$8&lt;Lookup_Lists!$D$320),"N/A",MIN(100,ROUND('[1]#REF'!$BM$8/Lookup_Lists!$D$319*100,0)))</f>
        <v>#REF!</v>
      </c>
      <c r="AJ104" s="65" t="str">
        <f>IF(NOT(ISNUMBER('[1]#REF'!$BR$8)),"N/A",'[1]#REF'!$BR$8)</f>
        <v>N/A</v>
      </c>
      <c r="AK104" s="65" t="str">
        <f>IF(NOT(ISNUMBER('[1]#REF'!$BK$8)),"N/A",MIN(100,ROUND('[1]#REF'!$BK$8/Lookup_Lists!$D$321*100,0)))</f>
        <v>N/A</v>
      </c>
      <c r="AL104" s="65" t="str">
        <f>IF(NOT(ISNUMBER('[1]#REF'!$BP$8)),"N/A",MIN(100,MAX(0,ROUND(('[1]#REF'!$BP$8+2)/(Lookup_Lists!$D$145+2)*100,0))))</f>
        <v>N/A</v>
      </c>
      <c r="AM104" s="63" t="str">
        <f>IF((IF(ISNUMBER(Matching_Engine!$AG$104),Lookup_Lists!$D$129,0)+IF(ISNUMBER(Matching_Engine!$AH$104),Lookup_Lists!$D$130,0)+IF(ISNUMBER(Matching_Engine!$AI$104),Lookup_Lists!$D$131,0)+IF(ISNUMBER(Matching_Engine!$AJ$104),Lookup_Lists!$D$132,0)+IF(ISNUMBER(Matching_Engine!$AK$104),Lookup_Lists!$D$133,0)+IF(ISNUMBER(Matching_Engine!$AL$104),Lookup_Lists!$D$134,0))=0,"N/A",ROUND((IF(ISNUMBER(Matching_Engine!$AG$104),Matching_Engine!$AG$104*Lookup_Lists!$D$129,0)+IF(ISNUMBER(Matching_Engine!$AH$104),Matching_Engine!$AH$104*Lookup_Lists!$D$130,0)+IF(ISNUMBER(Matching_Engine!$AI$104),Matching_Engine!$AI$104*Lookup_Lists!$D$131,0)+IF(ISNUMBER(Matching_Engine!$AJ$104),Matching_Engine!$AJ$104*Lookup_Lists!$D$132,0)+IF(ISNUMBER(Matching_Engine!$AK$104),Matching_Engine!$AK$104*Lookup_Lists!$D$133,0)+IF(ISNUMBER(Matching_Engine!$AL$104),Matching_Engine!$AL$104*Lookup_Lists!$D$134,0))/(IF(ISNUMBER(Matching_Engine!$AG$104),Lookup_Lists!$D$129,0)+IF(ISNUMBER(Matching_Engine!$AH$104),Lookup_Lists!$D$130,0)+IF(ISNUMBER(Matching_Engine!$AI$104),Lookup_Lists!$D$131,0)+IF(ISNUMBER(Matching_Engine!$AJ$104),Lookup_Lists!$D$132,0)+IF(ISNUMBER(Matching_Engine!$AK$104),Lookup_Lists!$D$133,0)+IF(ISNUMBER(Matching_Engine!$AL$104),Lookup_Lists!$D$134,0)),0))</f>
        <v>N/A</v>
      </c>
      <c r="AN104" s="42">
        <f>IF(ISNUMBER(Matching_Engine!$AM$104),1,0)</f>
        <v>0</v>
      </c>
      <c r="AO104" s="65" t="str">
        <f>IF(NOT(ISNUMBER('[1]#REF'!$BT$8)),"N/A",MIN(100,MAX(0,'[1]#REF'!$BT$8)))</f>
        <v>N/A</v>
      </c>
      <c r="AP104" s="65" t="str">
        <f>IF(NOT(ISNUMBER('[1]#REF'!$BU$8)),"N/A",MIN(100,MAX(0,'[1]#REF'!$BU$8)))</f>
        <v>N/A</v>
      </c>
      <c r="AQ104" s="65" t="e">
        <f>IF('[1]#REF'!$I$8="Yes",Lookup_Lists!$D$326,IF('[1]#REF'!$I$8="No",Lookup_Lists!$D$327,"N/A"))</f>
        <v>#REF!</v>
      </c>
      <c r="AR104" s="65" t="str">
        <f>IF(NOT(ISNUMBER('[1]#REF'!$BQ$8)),"N/A",MAX(0,ROUND(100-'[1]#REF'!$BQ$8/Lookup_Lists!$D$328*100,0)))</f>
        <v>N/A</v>
      </c>
      <c r="AS104" s="65" t="e">
        <f>IF(NOT(AND(ISTEXT('[1]#REF'!$BV$8),'[1]#REF'!$BV$8&lt;&gt;"N/A")),"N/A",'[1]#REF'!$BV$8)</f>
        <v>#REF!</v>
      </c>
      <c r="AT104" s="63" t="str">
        <f>IF((IF(ISNUMBER(Matching_Engine!$AO$104),Lookup_Lists!$D$322,0)+IF(ISNUMBER(Matching_Engine!$AP$104),Lookup_Lists!$D$323,0)+IF(ISNUMBER(Matching_Engine!$AQ$104),Lookup_Lists!$D$324,0)+IF(ISNUMBER(Matching_Engine!$AR$104),Lookup_Lists!$D$325,0))=0,"N/A",ROUND((IF(ISNUMBER(Matching_Engine!$AO$104),Matching_Engine!$AO$104*Lookup_Lists!$D$322,0)+IF(ISNUMBER(Matching_Engine!$AP$104),Matching_Engine!$AP$104*Lookup_Lists!$D$323,0)+IF(ISNUMBER(Matching_Engine!$AQ$104),Matching_Engine!$AQ$104*Lookup_Lists!$D$324,0)+IF(ISNUMBER(Matching_Engine!$AR$104),Matching_Engine!$AR$104*Lookup_Lists!$D$325,0))/(IF(ISNUMBER(Matching_Engine!$AO$104),Lookup_Lists!$D$322,0)+IF(ISNUMBER(Matching_Engine!$AP$104),Lookup_Lists!$D$323,0)+IF(ISNUMBER(Matching_Engine!$AQ$104),Lookup_Lists!$D$324,0)+IF(ISNUMBER(Matching_Engine!$AR$104),Lookup_Lists!$D$325,0)),0))</f>
        <v>N/A</v>
      </c>
      <c r="AU104" s="42">
        <f>IF(ISNUMBER(Matching_Engine!$AT$104),1,0)</f>
        <v>0</v>
      </c>
      <c r="AV104" s="42" t="str">
        <f>IF(NOT(ISNUMBER(Matching_Engine!$AT$104)),"Not Screened",IF(Matching_Engine!$AT$104&gt;=Lookup_Lists!$D$329,"Low Risk",IF(Matching_Engine!$AT$104&gt;=Lookup_Lists!$D$330,"Moderate Risk",IF(Matching_Engine!$AT$104&gt;=Lookup_Lists!$D$331,"Elevated Risk","High Risk"))))</f>
        <v>Not Screened</v>
      </c>
      <c r="AW104" s="42" t="str">
        <f>IF(NOT(ISNUMBER(Matching_Engine!$AT$104)),"No integrity signal: no audience-analysis row for this account.","Integrity screen only — no content-risk reading exists (comments_analysis: 0 rows). "&amp;IF(ISNUMBER(Matching_Engine!$AO$104),"Authenticity "&amp;Matching_Engine!$AO$104&amp;". ","Authenticity N/A. ")&amp;IF(ISNUMBER(Matching_Engine!$AP$104),"Follower quality "&amp;Matching_Engine!$AP$104&amp;". ","Follower quality N/A. ")&amp;IF('[1]#REF'!$I$8="Yes","Platform-verified.","Not platform-verified."))</f>
        <v>No integrity signal: no audience-analysis row for this account.</v>
      </c>
      <c r="AX104" s="65">
        <f>Matching_Engine!$N$104*Lookup_Lists!$D$104+Matching_Engine!$T$104*Lookup_Lists!$D$105+Matching_Engine!$Z$104*Lookup_Lists!$D$106+Matching_Engine!$AF$104*Lookup_Lists!$D$107+Matching_Engine!$AN$104*Lookup_Lists!$D$108+Matching_Engine!$AU$104*Lookup_Lists!$D$109</f>
        <v>0</v>
      </c>
      <c r="AY104" s="74" t="str">
        <f>IF(Matching_Engine!$AX$104=0,"N/A",ROUND((IF(Matching_Engine!$N$104=1,Matching_Engine!$M$104*Lookup_Lists!$D$104,0)+IF(Matching_Engine!$T$104=1,Matching_Engine!$S$104*Lookup_Lists!$D$105,0)+IF(Matching_Engine!$Z$104=1,Matching_Engine!$Y$104*Lookup_Lists!$D$106,0)+IF(Matching_Engine!$AF$104=1,Matching_Engine!$AE$104*Lookup_Lists!$D$107,0)+IF(Matching_Engine!$AN$104=1,Matching_Engine!$AM$104*Lookup_Lists!$D$108,0)+IF(Matching_Engine!$AU$104=1,Matching_Engine!$AT$104*Lookup_Lists!$D$109,0))/Matching_Engine!$AX$104,0))</f>
        <v>N/A</v>
      </c>
      <c r="AZ104" s="42" t="str">
        <f>IF(NOT(ISNUMBER(Matching_Engine!$AY$104)),"Not Scored",IF(Matching_Engine!$AY$104&gt;=Lookup_Lists!$D$152,"Excellent Match",IF(Matching_Engine!$AY$104&gt;=Lookup_Lists!$D$153,"Strong Match",IF(Matching_Engine!$AY$104&gt;=Lookup_Lists!$D$154,"Good Match",IF(Matching_Engine!$AY$104&gt;=Lookup_Lists!$D$155,"Moderate Match","Low Match")))))</f>
        <v>Not Scored</v>
      </c>
      <c r="BA104" s="65" t="e">
        <f>'[1]#REF'!$BW$8</f>
        <v>#REF!</v>
      </c>
      <c r="BB104" s="42" t="e">
        <f>'[1]#REF'!$BX$8</f>
        <v>#REF!</v>
      </c>
      <c r="BC104" s="65">
        <f>IF(NOT(ISNUMBER(Matching_Engine!$AY$104)),-1,Matching_Engine!$AY$104*1000+22)</f>
        <v>-1</v>
      </c>
      <c r="BD104" s="42" t="e">
        <f>IF(AND(ISTEXT('[1]#REF'!$S$8),'[1]#REF'!$S$8&lt;&gt;"N/A"),'[1]#REF'!$S$8,"")&amp;" | "&amp;IF(AND(ISTEXT('[1]#REF'!$T$8),'[1]#REF'!$T$8&lt;&gt;"N/A"),'[1]#REF'!$T$8,"")&amp;" | "&amp;IF(AND(ISTEXT('[1]#REF'!$N$8),'[1]#REF'!$N$8&lt;&gt;"N/A"),'[1]#REF'!$N$8,"")&amp;" | "&amp;IF(AND(ISTEXT('[1]#REF'!$K$8),'[1]#REF'!$K$8&lt;&gt;"N/A"),'[1]#REF'!$K$8,"")&amp;" | "&amp;IF(AND(ISTEXT('[1]#REF'!$J$8),'[1]#REF'!$J$8&lt;&gt;"N/A"),'[1]#REF'!$J$8,"")</f>
        <v>#REF!</v>
      </c>
      <c r="BE104" s="42" t="e">
        <f>IF(AND(ISTEXT('[1]#REF'!$T$8),'[1]#REF'!$T$8&lt;&gt;"N/A"),'[1]#REF'!$T$8,"")&amp;" | "&amp;IF(AND(ISTEXT('[1]#REF'!$N$8),'[1]#REF'!$N$8&lt;&gt;"N/A"),'[1]#REF'!$N$8,"")&amp;" | "&amp;IF(AND(ISTEXT('[1]#REF'!$O$8),'[1]#REF'!$O$8&lt;&gt;"N/A"),'[1]#REF'!$O$8,"")&amp;" | "&amp;IF(AND(ISTEXT('[1]#REF'!$S$8),'[1]#REF'!$S$8&lt;&gt;"N/A"),'[1]#REF'!$S$8,"")</f>
        <v>#REF!</v>
      </c>
      <c r="BF104" s="42" t="e">
        <f>IF(AND(ISTEXT('[1]#REF'!$U$8),'[1]#REF'!$U$8&lt;&gt;"N/A"),'[1]#REF'!$U$8,"")</f>
        <v>#REF!</v>
      </c>
      <c r="BG104" s="42" t="str">
        <f>Matching_Engine!$A$104&amp;"|"&amp;Matching_Engine!$C$104</f>
        <v>|</v>
      </c>
    </row>
    <row r="105" spans="1:59">
      <c r="A105" s="64" t="s">
        <v>2531</v>
      </c>
      <c r="B105" s="42">
        <f>Brand_Profile!$I$6</f>
        <v>0</v>
      </c>
      <c r="C105" s="42" t="e">
        <f>'[1]#REF'!$A$9</f>
        <v>#REF!</v>
      </c>
      <c r="D105" s="42" t="e">
        <f>'[1]#REF'!$C$9</f>
        <v>#REF!</v>
      </c>
      <c r="E105" s="42" t="e">
        <f>'[1]#REF'!$D$9</f>
        <v>#REF!</v>
      </c>
      <c r="F105" s="42" t="e">
        <f>'[1]#REF'!$E$9</f>
        <v>#REF!</v>
      </c>
      <c r="G105" s="42" t="e">
        <f>'[1]#REF'!$K$9</f>
        <v>#REF!</v>
      </c>
      <c r="H105" s="72" t="e">
        <f>'[1]#REF'!$G$9</f>
        <v>#REF!</v>
      </c>
      <c r="I105" s="73" t="e">
        <f>'[1]#REF'!$BG$9</f>
        <v>#REF!</v>
      </c>
      <c r="J105" s="65" t="e">
        <f>IF(NOT(AND(ISTEXT('[1]#REF'!$K$9),'[1]#REF'!$K$9&lt;&gt;"N/A")),Lookup_Lists!$D$150,IF(Brand_Profile!$I$7='[1]#REF'!$K$9,100,IFERROR(INDEX(Lookup_Lists!$B$349:$J$357,MATCH(Brand_Profile!$I$7,Lookup_Lists!$A$349:$A$357,0),MATCH('[1]#REF'!$K$9,Lookup_Lists!$B$348:$J$348,0)),Lookup_Lists!$D$151)))</f>
        <v>#REF!</v>
      </c>
      <c r="K105" s="65" t="str">
        <f>IF(LEN(TRIM(SUBSTITUTE(Matching_Engine!$BD$105,"|","")))=0,"N/A",IF(Brand_Profile!$I$47=0,Lookup_Lists!$D$150,ROUND((IF(Brand_Profile!$I$41="",0,IF(ISNUMBER(SEARCH(Brand_Profile!$I$41,Matching_Engine!$BD$105)),1,0))+IF(Brand_Profile!$I$42="",0,IF(ISNUMBER(SEARCH(Brand_Profile!$I$42,Matching_Engine!$BD$105)),1,0))+IF(Brand_Profile!$I$43="",0,IF(ISNUMBER(SEARCH(Brand_Profile!$I$43,Matching_Engine!$BD$105)),1,0))+IF(Brand_Profile!$I$44="",0,IF(ISNUMBER(SEARCH(Brand_Profile!$I$44,Matching_Engine!$BD$105)),1,0))+IF(Brand_Profile!$I$45="",0,IF(ISNUMBER(SEARCH(Brand_Profile!$I$45,Matching_Engine!$BD$105)),1,0))+IF(Brand_Profile!$I$46="",0,IF(ISNUMBER(SEARCH(Brand_Profile!$I$46,Matching_Engine!$BD$105)),1,0)))/Brand_Profile!$I$47*100,0)))</f>
        <v>N/A</v>
      </c>
      <c r="L105" s="65" t="e">
        <f>IF(NOT(AND(ISTEXT('[1]#REF'!$U$9),'[1]#REF'!$U$9&lt;&gt;"N/A")),"N/A",IF(Brand_Profile!$I$53=0,Lookup_Lists!$D$150,ROUND((IF(Brand_Profile!$I$48="",0,IF(ISNUMBER(SEARCH(Brand_Profile!$I$48,Matching_Engine!$BF$105)),1,0))+IF(Brand_Profile!$I$49="",0,IF(ISNUMBER(SEARCH(Brand_Profile!$I$49,Matching_Engine!$BF$105)),1,0))+IF(Brand_Profile!$I$50="",0,IF(ISNUMBER(SEARCH(Brand_Profile!$I$50,Matching_Engine!$BF$105)),1,0))+IF(Brand_Profile!$I$51="",0,IF(ISNUMBER(SEARCH(Brand_Profile!$I$51,Matching_Engine!$BF$105)),1,0))+IF(Brand_Profile!$I$52="",0,IF(ISNUMBER(SEARCH(Brand_Profile!$I$52,Matching_Engine!$BF$105)),1,0)))/Brand_Profile!$I$53*100,0)))</f>
        <v>#REF!</v>
      </c>
      <c r="M105" s="63" t="str">
        <f>IF((IF(ISNUMBER(Matching_Engine!$J$105),Lookup_Lists!$D$332,0)+IF(ISNUMBER(Matching_Engine!$K$105),Lookup_Lists!$D$333,0)+IF(ISNUMBER(Matching_Engine!$L$105),Lookup_Lists!$D$334,0))=0,"N/A",ROUND((IF(ISNUMBER(Matching_Engine!$J$105),Matching_Engine!$J$105*Lookup_Lists!$D$332,0)+IF(ISNUMBER(Matching_Engine!$K$105),Matching_Engine!$K$105*Lookup_Lists!$D$333,0)+IF(ISNUMBER(Matching_Engine!$L$105),Matching_Engine!$L$105*Lookup_Lists!$D$334,0))/(IF(ISNUMBER(Matching_Engine!$J$105),Lookup_Lists!$D$332,0)+IF(ISNUMBER(Matching_Engine!$K$105),Lookup_Lists!$D$333,0)+IF(ISNUMBER(Matching_Engine!$L$105),Lookup_Lists!$D$334,0)),0))</f>
        <v>N/A</v>
      </c>
      <c r="N105" s="42">
        <f>IF(ISNUMBER(Matching_Engine!$M$105),1,0)</f>
        <v>0</v>
      </c>
      <c r="O105" s="65" t="str">
        <f ca="1">IF(NOT(ISNUMBER(IFERROR(INDEX('[1]#REF'!$V$9:'[1]#REF'!$Z$9,1,MATCH(Brand_Profile!$I$11,Lookup_Lists!$F$6:$F$10,0)),""))),"N/A",MIN(100,ROUND((IFERROR(INDEX('[1]#REF'!$V$9:'[1]#REF'!$Z$9,1,MATCH(Brand_Profile!$I$11,Lookup_Lists!$F$6:$F$10,0)),"")+0.5*IF(ISNUMBER(IFERROR(INDEX('[1]#REF'!$V$9:'[1]#REF'!$Z$9,1,MATCH(Brand_Profile!$I$12,Lookup_Lists!$F$6:$F$10,0)),"")),IFERROR(INDEX('[1]#REF'!$V$9:'[1]#REF'!$Z$9,1,MATCH(Brand_Profile!$I$12,Lookup_Lists!$F$6:$F$10,0)),""),0))/Lookup_Lists!$D$142*100,0)))</f>
        <v>N/A</v>
      </c>
      <c r="P105" s="65" t="str">
        <f>IF(Brand_Profile!$I$13="Any",100,IF(NOT(ISNUMBER('[1]#REF'!$AA$9)),"N/A",IF(Brand_Profile!$I$13="Female",MIN(100,ROUND('[1]#REF'!$AA$9/Lookup_Lists!$D$143*100,0)),IF(Brand_Profile!$I$13="Male",MIN(100,ROUND(IF(ISNUMBER('[1]#REF'!$AB$9),'[1]#REF'!$AB$9,100-'[1]#REF'!$AA$9)/Lookup_Lists!$D$143*100,0)),MAX(0,ROUND(100-ABS('[1]#REF'!$AA$9-50)*2,0))))))</f>
        <v>N/A</v>
      </c>
      <c r="Q105" s="65" t="str">
        <f>IF((IF(ISNUMBER(IF(NOT(ISNUMBER('[1]#REF'!$AE$9)),"N/A",IF('[1]#REF'!$AD$9&lt;&gt;Brand_Profile!$I$14,Lookup_Lists!$D$151,MIN(100,ROUND('[1]#REF'!$AE$9/Lookup_Lists!$D$316*100,0))))),Lookup_Lists!$D$118,0)+IF(ISNUMBER(IF(NOT(ISNUMBER('[1]#REF'!$AM$9)),"N/A",MIN(100,ROUND((IF('[1]#REF'!$AG$9=Brand_Profile!$I$15,IF(ISNUMBER('[1]#REF'!$AH$9),'[1]#REF'!$AH$9,0),0)+IF('[1]#REF'!$AI$9=Brand_Profile!$I$15,IF(ISNUMBER('[1]#REF'!$AJ$9),'[1]#REF'!$AJ$9,0),0)+IF('[1]#REF'!$AK$9=Brand_Profile!$I$15,IF(ISNUMBER('[1]#REF'!$AL$9),'[1]#REF'!$AL$9,0),0))/Lookup_Lists!$D$317*100,0)))),Lookup_Lists!$D$120,0))=0,"N/A",ROUND((IF(ISNUMBER(IF(NOT(ISNUMBER('[1]#REF'!$AE$9)),"N/A",IF('[1]#REF'!$AD$9&lt;&gt;Brand_Profile!$I$14,Lookup_Lists!$D$151,MIN(100,ROUND('[1]#REF'!$AE$9/Lookup_Lists!$D$316*100,0))))),IF(NOT(ISNUMBER('[1]#REF'!$AE$9)),"N/A",IF('[1]#REF'!$AD$9&lt;&gt;Brand_Profile!$I$14,Lookup_Lists!$D$151,MIN(100,ROUND('[1]#REF'!$AE$9/Lookup_Lists!$D$316*100,0))))*Lookup_Lists!$D$118,0)+IF(ISNUMBER(IF(NOT(ISNUMBER('[1]#REF'!$AM$9)),"N/A",MIN(100,ROUND((IF('[1]#REF'!$AG$9=Brand_Profile!$I$15,IF(ISNUMBER('[1]#REF'!$AH$9),'[1]#REF'!$AH$9,0),0)+IF('[1]#REF'!$AI$9=Brand_Profile!$I$15,IF(ISNUMBER('[1]#REF'!$AJ$9),'[1]#REF'!$AJ$9,0),0)+IF('[1]#REF'!$AK$9=Brand_Profile!$I$15,IF(ISNUMBER('[1]#REF'!$AL$9),'[1]#REF'!$AL$9,0),0))/Lookup_Lists!$D$317*100,0)))),IF(NOT(ISNUMBER('[1]#REF'!$AM$9)),"N/A",MIN(100,ROUND((IF('[1]#REF'!$AG$9=Brand_Profile!$I$15,IF(ISNUMBER('[1]#REF'!$AH$9),'[1]#REF'!$AH$9,0),0)+IF('[1]#REF'!$AI$9=Brand_Profile!$I$15,IF(ISNUMBER('[1]#REF'!$AJ$9),'[1]#REF'!$AJ$9,0),0)+IF('[1]#REF'!$AK$9=Brand_Profile!$I$15,IF(ISNUMBER('[1]#REF'!$AL$9),'[1]#REF'!$AL$9,0),0))/Lookup_Lists!$D$317*100,0)))*Lookup_Lists!$D$120,0))/(IF(ISNUMBER(IF(NOT(ISNUMBER('[1]#REF'!$AE$9)),"N/A",IF('[1]#REF'!$AD$9&lt;&gt;Brand_Profile!$I$14,Lookup_Lists!$D$151,MIN(100,ROUND('[1]#REF'!$AE$9/Lookup_Lists!$D$316*100,0))))),Lookup_Lists!$D$118,0)+IF(ISNUMBER(IF(NOT(ISNUMBER('[1]#REF'!$AM$9)),"N/A",MIN(100,ROUND((IF('[1]#REF'!$AG$9=Brand_Profile!$I$15,IF(ISNUMBER('[1]#REF'!$AH$9),'[1]#REF'!$AH$9,0),0)+IF('[1]#REF'!$AI$9=Brand_Profile!$I$15,IF(ISNUMBER('[1]#REF'!$AJ$9),'[1]#REF'!$AJ$9,0),0)+IF('[1]#REF'!$AK$9=Brand_Profile!$I$15,IF(ISNUMBER('[1]#REF'!$AL$9),'[1]#REF'!$AL$9,0),0))/Lookup_Lists!$D$317*100,0)))),Lookup_Lists!$D$120,0)),0))</f>
        <v>N/A</v>
      </c>
      <c r="R105" s="65" t="str">
        <f>IF(NOT(ISNUMBER('[1]#REF'!$AN$9)),"N/A",MIN(100,ROUND((IF(ISNUMBER('[1]#REF'!$AO$9),'[1]#REF'!$AO$9*Brand_Profile!$I$17,0)+IF(ISNUMBER('[1]#REF'!$AP$9),'[1]#REF'!$AP$9*Brand_Profile!$I$18,0)+IF(ISNUMBER('[1]#REF'!$AQ$9),'[1]#REF'!$AQ$9*Brand_Profile!$I$19,0)+IF(ISNUMBER('[1]#REF'!$AR$9),'[1]#REF'!$AR$9*Brand_Profile!$I$20,0)+IF(ISNUMBER('[1]#REF'!$AS$9),'[1]#REF'!$AS$9*Brand_Profile!$I$21,0)+IF(ISNUMBER('[1]#REF'!$AT$9),'[1]#REF'!$AT$9*Brand_Profile!$I$22,0)+IF(ISNUMBER('[1]#REF'!$AU$9),'[1]#REF'!$AU$9*Brand_Profile!$I$23,0)+IF(ISNUMBER('[1]#REF'!$AV$9),'[1]#REF'!$AV$9*Brand_Profile!$I$24,0)+IF(ISNUMBER('[1]#REF'!$AW$9),'[1]#REF'!$AW$9*Brand_Profile!$I$25,0)+IF(ISNUMBER('[1]#REF'!$AX$9),'[1]#REF'!$AX$9*Brand_Profile!$I$26,0)+IF(ISNUMBER('[1]#REF'!$AY$9),'[1]#REF'!$AY$9*Brand_Profile!$I$27,0)+IF(ISNUMBER('[1]#REF'!$AZ$9),'[1]#REF'!$AZ$9*Brand_Profile!$I$28,0)+IF(ISNUMBER('[1]#REF'!$BA$9),'[1]#REF'!$BA$9*Brand_Profile!$I$29,0)+IF(ISNUMBER('[1]#REF'!$BB$9),'[1]#REF'!$BB$9*Brand_Profile!$I$30,0)+IF(ISNUMBER('[1]#REF'!$BC$9),'[1]#REF'!$BC$9*Brand_Profile!$I$31,0)+IF(ISNUMBER('[1]#REF'!$BD$9),'[1]#REF'!$BD$9*Brand_Profile!$I$32,0)+IF(ISNUMBER('[1]#REF'!$BE$9),'[1]#REF'!$BE$9*Brand_Profile!$I$33,0)+IF(ISNUMBER('[1]#REF'!$BF$9),'[1]#REF'!$BF$9*Brand_Profile!$I$34,0))/Lookup_Lists!$D$318*100,0)))</f>
        <v>N/A</v>
      </c>
      <c r="S105" s="63" t="str">
        <f>IF((IF(ISNUMBER(Matching_Engine!$O$105),Lookup_Lists!$D$113,0)+IF(ISNUMBER(Matching_Engine!$P$105),Lookup_Lists!$D$114,0)+IF(ISNUMBER(Matching_Engine!$Q$105),Lookup_Lists!$D$115,0)+IF(ISNUMBER(Matching_Engine!$R$105),Lookup_Lists!$D$116,0))=0,"N/A",ROUND((IF(ISNUMBER(Matching_Engine!$O$105),Matching_Engine!$O$105*Lookup_Lists!$D$113,0)+IF(ISNUMBER(Matching_Engine!$P$105),Matching_Engine!$P$105*Lookup_Lists!$D$114,0)+IF(ISNUMBER(Matching_Engine!$Q$105),Matching_Engine!$Q$105*Lookup_Lists!$D$115,0)+IF(ISNUMBER(Matching_Engine!$R$105),Matching_Engine!$R$105*Lookup_Lists!$D$116,0))/(IF(ISNUMBER(Matching_Engine!$O$105),Lookup_Lists!$D$113,0)+IF(ISNUMBER(Matching_Engine!$P$105),Lookup_Lists!$D$114,0)+IF(ISNUMBER(Matching_Engine!$Q$105),Lookup_Lists!$D$115,0)+IF(ISNUMBER(Matching_Engine!$R$105),Lookup_Lists!$D$116,0)),0))</f>
        <v>N/A</v>
      </c>
      <c r="T105" s="42">
        <f>IF(ISNUMBER(Matching_Engine!$S$105),1,0)</f>
        <v>0</v>
      </c>
      <c r="U105" s="65" t="e">
        <f>IF(NOT(AND(ISTEXT('[1]#REF'!$M$9),'[1]#REF'!$M$9&lt;&gt;"N/A")),Lookup_Lists!$D$150,IF(Brand_Profile!$I$7='[1]#REF'!$M$9,100,IFERROR(INDEX(Lookup_Lists!$B$349:$J$357,MATCH(Brand_Profile!$I$7,Lookup_Lists!$A$349:$A$357,0),MATCH('[1]#REF'!$M$9,Lookup_Lists!$B$348:$J$348,0)),Lookup_Lists!$D$151)))</f>
        <v>#REF!</v>
      </c>
      <c r="V105" s="65" t="e">
        <f>IF(NOT(AND(ISTEXT('[1]#REF'!$P$9),'[1]#REF'!$P$9&lt;&gt;"N/A")),"N/A",IFERROR(INDEX(Lookup_Lists!$B$349:$J$357,MATCH(Brand_Profile!$I$7,Lookup_Lists!$A$349:$A$357,0),MATCH('[1]#REF'!$P$9,Lookup_Lists!$B$348:$J$348,0)),Lookup_Lists!$D$151))</f>
        <v>#REF!</v>
      </c>
      <c r="W105" s="65" t="str">
        <f>IF(LEN(TRIM(SUBSTITUTE(Matching_Engine!$BE$105,"|","")))=0,"N/A",IF(Brand_Profile!$I$60=0,Lookup_Lists!$D$150,ROUND((IF(Brand_Profile!$I$54="",0,IF(ISNUMBER(SEARCH(Brand_Profile!$I$54,Matching_Engine!$BE$105)),1,0))+IF(Brand_Profile!$I$55="",0,IF(ISNUMBER(SEARCH(Brand_Profile!$I$55,Matching_Engine!$BE$105)),1,0))+IF(Brand_Profile!$I$56="",0,IF(ISNUMBER(SEARCH(Brand_Profile!$I$56,Matching_Engine!$BE$105)),1,0))+IF(Brand_Profile!$I$57="",0,IF(ISNUMBER(SEARCH(Brand_Profile!$I$57,Matching_Engine!$BE$105)),1,0))+IF(Brand_Profile!$I$58="",0,IF(ISNUMBER(SEARCH(Brand_Profile!$I$58,Matching_Engine!$BE$105)),1,0))+IF(Brand_Profile!$I$59="",0,IF(ISNUMBER(SEARCH(Brand_Profile!$I$59,Matching_Engine!$BE$105)),1,0)))/Brand_Profile!$I$60*100,0)))</f>
        <v>N/A</v>
      </c>
      <c r="X105" s="65" t="e">
        <f>IF(NOT(AND(ISTEXT('[1]#REF'!$Q$9),'[1]#REF'!$Q$9&lt;&gt;"N/A")),"N/A",Lookup_Lists!$D$150)</f>
        <v>#REF!</v>
      </c>
      <c r="Y105" s="63" t="str">
        <f>IF((IF(ISNUMBER(Matching_Engine!$U$105),Lookup_Lists!$D$335,0)+IF(ISNUMBER(Matching_Engine!$V$105),Lookup_Lists!$D$122,0)+IF(ISNUMBER(Matching_Engine!$W$105),Lookup_Lists!$D$336,0)+IF(ISNUMBER(Matching_Engine!$X$105),Lookup_Lists!$D$124,0))=0,"N/A",ROUND((IF(ISNUMBER(Matching_Engine!$U$105),Matching_Engine!$U$105*Lookup_Lists!$D$335,0)+IF(ISNUMBER(Matching_Engine!$V$105),Matching_Engine!$V$105*Lookup_Lists!$D$122,0)+IF(ISNUMBER(Matching_Engine!$W$105),Matching_Engine!$W$105*Lookup_Lists!$D$336,0)+IF(ISNUMBER(Matching_Engine!$X$105),Matching_Engine!$X$105*Lookup_Lists!$D$124,0))/(IF(ISNUMBER(Matching_Engine!$U$105),Lookup_Lists!$D$335,0)+IF(ISNUMBER(Matching_Engine!$V$105),Lookup_Lists!$D$122,0)+IF(ISNUMBER(Matching_Engine!$W$105),Lookup_Lists!$D$336,0)+IF(ISNUMBER(Matching_Engine!$X$105),Lookup_Lists!$D$124,0)),0))</f>
        <v>N/A</v>
      </c>
      <c r="Z105" s="42">
        <f>IF(ISNUMBER(Matching_Engine!$Y$105),1,0)</f>
        <v>0</v>
      </c>
      <c r="AA105" s="65" t="e">
        <f>IF(NOT(AND(ISTEXT('[1]#REF'!$Q$9),'[1]#REF'!$Q$9&lt;&gt;"N/A")),"N/A",Lookup_Lists!$D$150)</f>
        <v>#REF!</v>
      </c>
      <c r="AB105" s="65" t="e">
        <f>IF(NOT(AND(ISTEXT('[1]#REF'!$Q$9),'[1]#REF'!$Q$9&lt;&gt;"N/A")),"N/A",Lookup_Lists!$D$150)</f>
        <v>#REF!</v>
      </c>
      <c r="AC105" s="65" t="str">
        <f t="shared" si="1"/>
        <v>N/A</v>
      </c>
      <c r="AD105" s="65" t="e">
        <f>IF(NOT(AND(ISTEXT('[1]#REF'!$Q$9),'[1]#REF'!$Q$9&lt;&gt;"N/A")),"N/A",Lookup_Lists!$D$150)</f>
        <v>#REF!</v>
      </c>
      <c r="AE105" s="63" t="str">
        <f>IF((IF(ISNUMBER(Matching_Engine!$AA$105),Lookup_Lists!$D$125,0)+IF(ISNUMBER(Matching_Engine!$AB$105),Lookup_Lists!$D$126,0)+IF(ISNUMBER(Matching_Engine!$AC$105),Lookup_Lists!$D$127,0)+IF(ISNUMBER(Matching_Engine!$AD$105),Lookup_Lists!$D$128,0))=0,"N/A",ROUND((IF(ISNUMBER(Matching_Engine!$AA$105),Matching_Engine!$AA$105*Lookup_Lists!$D$125,0)+IF(ISNUMBER(Matching_Engine!$AB$105),Matching_Engine!$AB$105*Lookup_Lists!$D$126,0)+IF(ISNUMBER(Matching_Engine!$AC$105),Matching_Engine!$AC$105*Lookup_Lists!$D$127,0)+IF(ISNUMBER(Matching_Engine!$AD$105),Matching_Engine!$AD$105*Lookup_Lists!$D$128,0))/(IF(ISNUMBER(Matching_Engine!$AA$105),Lookup_Lists!$D$125,0)+IF(ISNUMBER(Matching_Engine!$AB$105),Lookup_Lists!$D$126,0)+IF(ISNUMBER(Matching_Engine!$AC$105),Lookup_Lists!$D$127,0)+IF(ISNUMBER(Matching_Engine!$AD$105),Lookup_Lists!$D$128,0)),0))</f>
        <v>N/A</v>
      </c>
      <c r="AF105" s="42">
        <f>IF(ISNUMBER(Matching_Engine!$AE$105),1,0)</f>
        <v>0</v>
      </c>
      <c r="AG105" s="65" t="str">
        <f>IF(NOT(ISNUMBER('[1]#REF'!$BG$9)),"N/A",MIN(100,ROUND('[1]#REF'!$BG$9/IFERROR(INDEX(Lookup_Lists!$B$340:$B$344,MATCH('[1]#REF'!$H$9,Lookup_Lists!$A$340:$A$344,0)),Lookup_Lists!$D$141)*100,0)))</f>
        <v>N/A</v>
      </c>
      <c r="AH105" s="65" t="str">
        <f>IF(NOT(ISNUMBER('[1]#REF'!$BS$9)),"N/A",MIN(100,MAX(0,'[1]#REF'!$BS$9)))</f>
        <v>N/A</v>
      </c>
      <c r="AI105" s="65" t="e">
        <f>IF(OR(NOT(ISNUMBER('[1]#REF'!$BM$9)),NOT(ISNUMBER('[1]#REF'!$BN$9)),'[1]#REF'!$BN$9&lt;Lookup_Lists!$D$320),"N/A",MIN(100,ROUND('[1]#REF'!$BM$9/Lookup_Lists!$D$319*100,0)))</f>
        <v>#REF!</v>
      </c>
      <c r="AJ105" s="65" t="str">
        <f>IF(NOT(ISNUMBER('[1]#REF'!$BR$9)),"N/A",'[1]#REF'!$BR$9)</f>
        <v>N/A</v>
      </c>
      <c r="AK105" s="65" t="str">
        <f>IF(NOT(ISNUMBER('[1]#REF'!$BK$9)),"N/A",MIN(100,ROUND('[1]#REF'!$BK$9/Lookup_Lists!$D$321*100,0)))</f>
        <v>N/A</v>
      </c>
      <c r="AL105" s="65" t="str">
        <f>IF(NOT(ISNUMBER('[1]#REF'!$BP$9)),"N/A",MIN(100,MAX(0,ROUND(('[1]#REF'!$BP$9+2)/(Lookup_Lists!$D$145+2)*100,0))))</f>
        <v>N/A</v>
      </c>
      <c r="AM105" s="63" t="str">
        <f>IF((IF(ISNUMBER(Matching_Engine!$AG$105),Lookup_Lists!$D$129,0)+IF(ISNUMBER(Matching_Engine!$AH$105),Lookup_Lists!$D$130,0)+IF(ISNUMBER(Matching_Engine!$AI$105),Lookup_Lists!$D$131,0)+IF(ISNUMBER(Matching_Engine!$AJ$105),Lookup_Lists!$D$132,0)+IF(ISNUMBER(Matching_Engine!$AK$105),Lookup_Lists!$D$133,0)+IF(ISNUMBER(Matching_Engine!$AL$105),Lookup_Lists!$D$134,0))=0,"N/A",ROUND((IF(ISNUMBER(Matching_Engine!$AG$105),Matching_Engine!$AG$105*Lookup_Lists!$D$129,0)+IF(ISNUMBER(Matching_Engine!$AH$105),Matching_Engine!$AH$105*Lookup_Lists!$D$130,0)+IF(ISNUMBER(Matching_Engine!$AI$105),Matching_Engine!$AI$105*Lookup_Lists!$D$131,0)+IF(ISNUMBER(Matching_Engine!$AJ$105),Matching_Engine!$AJ$105*Lookup_Lists!$D$132,0)+IF(ISNUMBER(Matching_Engine!$AK$105),Matching_Engine!$AK$105*Lookup_Lists!$D$133,0)+IF(ISNUMBER(Matching_Engine!$AL$105),Matching_Engine!$AL$105*Lookup_Lists!$D$134,0))/(IF(ISNUMBER(Matching_Engine!$AG$105),Lookup_Lists!$D$129,0)+IF(ISNUMBER(Matching_Engine!$AH$105),Lookup_Lists!$D$130,0)+IF(ISNUMBER(Matching_Engine!$AI$105),Lookup_Lists!$D$131,0)+IF(ISNUMBER(Matching_Engine!$AJ$105),Lookup_Lists!$D$132,0)+IF(ISNUMBER(Matching_Engine!$AK$105),Lookup_Lists!$D$133,0)+IF(ISNUMBER(Matching_Engine!$AL$105),Lookup_Lists!$D$134,0)),0))</f>
        <v>N/A</v>
      </c>
      <c r="AN105" s="42">
        <f>IF(ISNUMBER(Matching_Engine!$AM$105),1,0)</f>
        <v>0</v>
      </c>
      <c r="AO105" s="65" t="str">
        <f>IF(NOT(ISNUMBER('[1]#REF'!$BT$9)),"N/A",MIN(100,MAX(0,'[1]#REF'!$BT$9)))</f>
        <v>N/A</v>
      </c>
      <c r="AP105" s="65" t="str">
        <f>IF(NOT(ISNUMBER('[1]#REF'!$BU$9)),"N/A",MIN(100,MAX(0,'[1]#REF'!$BU$9)))</f>
        <v>N/A</v>
      </c>
      <c r="AQ105" s="65" t="e">
        <f>IF('[1]#REF'!$I$9="Yes",Lookup_Lists!$D$326,IF('[1]#REF'!$I$9="No",Lookup_Lists!$D$327,"N/A"))</f>
        <v>#REF!</v>
      </c>
      <c r="AR105" s="65" t="str">
        <f>IF(NOT(ISNUMBER('[1]#REF'!$BQ$9)),"N/A",MAX(0,ROUND(100-'[1]#REF'!$BQ$9/Lookup_Lists!$D$328*100,0)))</f>
        <v>N/A</v>
      </c>
      <c r="AS105" s="65" t="e">
        <f>IF(NOT(AND(ISTEXT('[1]#REF'!$BV$9),'[1]#REF'!$BV$9&lt;&gt;"N/A")),"N/A",'[1]#REF'!$BV$9)</f>
        <v>#REF!</v>
      </c>
      <c r="AT105" s="63" t="str">
        <f>IF((IF(ISNUMBER(Matching_Engine!$AO$105),Lookup_Lists!$D$322,0)+IF(ISNUMBER(Matching_Engine!$AP$105),Lookup_Lists!$D$323,0)+IF(ISNUMBER(Matching_Engine!$AQ$105),Lookup_Lists!$D$324,0)+IF(ISNUMBER(Matching_Engine!$AR$105),Lookup_Lists!$D$325,0))=0,"N/A",ROUND((IF(ISNUMBER(Matching_Engine!$AO$105),Matching_Engine!$AO$105*Lookup_Lists!$D$322,0)+IF(ISNUMBER(Matching_Engine!$AP$105),Matching_Engine!$AP$105*Lookup_Lists!$D$323,0)+IF(ISNUMBER(Matching_Engine!$AQ$105),Matching_Engine!$AQ$105*Lookup_Lists!$D$324,0)+IF(ISNUMBER(Matching_Engine!$AR$105),Matching_Engine!$AR$105*Lookup_Lists!$D$325,0))/(IF(ISNUMBER(Matching_Engine!$AO$105),Lookup_Lists!$D$322,0)+IF(ISNUMBER(Matching_Engine!$AP$105),Lookup_Lists!$D$323,0)+IF(ISNUMBER(Matching_Engine!$AQ$105),Lookup_Lists!$D$324,0)+IF(ISNUMBER(Matching_Engine!$AR$105),Lookup_Lists!$D$325,0)),0))</f>
        <v>N/A</v>
      </c>
      <c r="AU105" s="42">
        <f>IF(ISNUMBER(Matching_Engine!$AT$105),1,0)</f>
        <v>0</v>
      </c>
      <c r="AV105" s="42" t="str">
        <f>IF(NOT(ISNUMBER(Matching_Engine!$AT$105)),"Not Screened",IF(Matching_Engine!$AT$105&gt;=Lookup_Lists!$D$329,"Low Risk",IF(Matching_Engine!$AT$105&gt;=Lookup_Lists!$D$330,"Moderate Risk",IF(Matching_Engine!$AT$105&gt;=Lookup_Lists!$D$331,"Elevated Risk","High Risk"))))</f>
        <v>Not Screened</v>
      </c>
      <c r="AW105" s="42" t="str">
        <f>IF(NOT(ISNUMBER(Matching_Engine!$AT$105)),"No integrity signal: no audience-analysis row for this account.","Integrity screen only — no content-risk reading exists (comments_analysis: 0 rows). "&amp;IF(ISNUMBER(Matching_Engine!$AO$105),"Authenticity "&amp;Matching_Engine!$AO$105&amp;". ","Authenticity N/A. ")&amp;IF(ISNUMBER(Matching_Engine!$AP$105),"Follower quality "&amp;Matching_Engine!$AP$105&amp;". ","Follower quality N/A. ")&amp;IF('[1]#REF'!$I$9="Yes","Platform-verified.","Not platform-verified."))</f>
        <v>No integrity signal: no audience-analysis row for this account.</v>
      </c>
      <c r="AX105" s="65">
        <f>Matching_Engine!$N$105*Lookup_Lists!$D$104+Matching_Engine!$T$105*Lookup_Lists!$D$105+Matching_Engine!$Z$105*Lookup_Lists!$D$106+Matching_Engine!$AF$105*Lookup_Lists!$D$107+Matching_Engine!$AN$105*Lookup_Lists!$D$108+Matching_Engine!$AU$105*Lookup_Lists!$D$109</f>
        <v>0</v>
      </c>
      <c r="AY105" s="74" t="str">
        <f>IF(Matching_Engine!$AX$105=0,"N/A",ROUND((IF(Matching_Engine!$N$105=1,Matching_Engine!$M$105*Lookup_Lists!$D$104,0)+IF(Matching_Engine!$T$105=1,Matching_Engine!$S$105*Lookup_Lists!$D$105,0)+IF(Matching_Engine!$Z$105=1,Matching_Engine!$Y$105*Lookup_Lists!$D$106,0)+IF(Matching_Engine!$AF$105=1,Matching_Engine!$AE$105*Lookup_Lists!$D$107,0)+IF(Matching_Engine!$AN$105=1,Matching_Engine!$AM$105*Lookup_Lists!$D$108,0)+IF(Matching_Engine!$AU$105=1,Matching_Engine!$AT$105*Lookup_Lists!$D$109,0))/Matching_Engine!$AX$105,0))</f>
        <v>N/A</v>
      </c>
      <c r="AZ105" s="42" t="str">
        <f>IF(NOT(ISNUMBER(Matching_Engine!$AY$105)),"Not Scored",IF(Matching_Engine!$AY$105&gt;=Lookup_Lists!$D$152,"Excellent Match",IF(Matching_Engine!$AY$105&gt;=Lookup_Lists!$D$153,"Strong Match",IF(Matching_Engine!$AY$105&gt;=Lookup_Lists!$D$154,"Good Match",IF(Matching_Engine!$AY$105&gt;=Lookup_Lists!$D$155,"Moderate Match","Low Match")))))</f>
        <v>Not Scored</v>
      </c>
      <c r="BA105" s="65" t="e">
        <f>'[1]#REF'!$BW$9</f>
        <v>#REF!</v>
      </c>
      <c r="BB105" s="42" t="e">
        <f>'[1]#REF'!$BX$9</f>
        <v>#REF!</v>
      </c>
      <c r="BC105" s="65">
        <f>IF(NOT(ISNUMBER(Matching_Engine!$AY$105)),-1,Matching_Engine!$AY$105*1000+21)</f>
        <v>-1</v>
      </c>
      <c r="BD105" s="42" t="e">
        <f>IF(AND(ISTEXT('[1]#REF'!$S$9),'[1]#REF'!$S$9&lt;&gt;"N/A"),'[1]#REF'!$S$9,"")&amp;" | "&amp;IF(AND(ISTEXT('[1]#REF'!$T$9),'[1]#REF'!$T$9&lt;&gt;"N/A"),'[1]#REF'!$T$9,"")&amp;" | "&amp;IF(AND(ISTEXT('[1]#REF'!$N$9),'[1]#REF'!$N$9&lt;&gt;"N/A"),'[1]#REF'!$N$9,"")&amp;" | "&amp;IF(AND(ISTEXT('[1]#REF'!$K$9),'[1]#REF'!$K$9&lt;&gt;"N/A"),'[1]#REF'!$K$9,"")&amp;" | "&amp;IF(AND(ISTEXT('[1]#REF'!$J$9),'[1]#REF'!$J$9&lt;&gt;"N/A"),'[1]#REF'!$J$9,"")</f>
        <v>#REF!</v>
      </c>
      <c r="BE105" s="42" t="e">
        <f>IF(AND(ISTEXT('[1]#REF'!$T$9),'[1]#REF'!$T$9&lt;&gt;"N/A"),'[1]#REF'!$T$9,"")&amp;" | "&amp;IF(AND(ISTEXT('[1]#REF'!$N$9),'[1]#REF'!$N$9&lt;&gt;"N/A"),'[1]#REF'!$N$9,"")&amp;" | "&amp;IF(AND(ISTEXT('[1]#REF'!$O$9),'[1]#REF'!$O$9&lt;&gt;"N/A"),'[1]#REF'!$O$9,"")&amp;" | "&amp;IF(AND(ISTEXT('[1]#REF'!$S$9),'[1]#REF'!$S$9&lt;&gt;"N/A"),'[1]#REF'!$S$9,"")</f>
        <v>#REF!</v>
      </c>
      <c r="BF105" s="42" t="e">
        <f>IF(AND(ISTEXT('[1]#REF'!$U$9),'[1]#REF'!$U$9&lt;&gt;"N/A"),'[1]#REF'!$U$9,"")</f>
        <v>#REF!</v>
      </c>
      <c r="BG105" s="42" t="str">
        <f>Matching_Engine!$A$105&amp;"|"&amp;Matching_Engine!$C$105</f>
        <v>|</v>
      </c>
    </row>
    <row r="106" spans="1:59">
      <c r="A106" s="64" t="s">
        <v>2531</v>
      </c>
      <c r="B106" s="42">
        <f>Brand_Profile!$I$6</f>
        <v>0</v>
      </c>
      <c r="C106" s="42" t="e">
        <f>'[1]#REF'!$A$10</f>
        <v>#REF!</v>
      </c>
      <c r="D106" s="42" t="e">
        <f>'[1]#REF'!$C$10</f>
        <v>#REF!</v>
      </c>
      <c r="E106" s="42" t="e">
        <f>'[1]#REF'!$D$10</f>
        <v>#REF!</v>
      </c>
      <c r="F106" s="42" t="e">
        <f>'[1]#REF'!$E$10</f>
        <v>#REF!</v>
      </c>
      <c r="G106" s="42" t="e">
        <f>'[1]#REF'!$K$10</f>
        <v>#REF!</v>
      </c>
      <c r="H106" s="72" t="e">
        <f>'[1]#REF'!$G$10</f>
        <v>#REF!</v>
      </c>
      <c r="I106" s="73" t="e">
        <f>'[1]#REF'!$BG$10</f>
        <v>#REF!</v>
      </c>
      <c r="J106" s="65" t="e">
        <f>IF(NOT(AND(ISTEXT('[1]#REF'!$K$10),'[1]#REF'!$K$10&lt;&gt;"N/A")),Lookup_Lists!$D$150,IF(Brand_Profile!$I$7='[1]#REF'!$K$10,100,IFERROR(INDEX(Lookup_Lists!$B$349:$J$357,MATCH(Brand_Profile!$I$7,Lookup_Lists!$A$349:$A$357,0),MATCH('[1]#REF'!$K$10,Lookup_Lists!$B$348:$J$348,0)),Lookup_Lists!$D$151)))</f>
        <v>#REF!</v>
      </c>
      <c r="K106" s="65" t="str">
        <f>IF(LEN(TRIM(SUBSTITUTE(Matching_Engine!$BD$106,"|","")))=0,"N/A",IF(Brand_Profile!$I$47=0,Lookup_Lists!$D$150,ROUND((IF(Brand_Profile!$I$41="",0,IF(ISNUMBER(SEARCH(Brand_Profile!$I$41,Matching_Engine!$BD$106)),1,0))+IF(Brand_Profile!$I$42="",0,IF(ISNUMBER(SEARCH(Brand_Profile!$I$42,Matching_Engine!$BD$106)),1,0))+IF(Brand_Profile!$I$43="",0,IF(ISNUMBER(SEARCH(Brand_Profile!$I$43,Matching_Engine!$BD$106)),1,0))+IF(Brand_Profile!$I$44="",0,IF(ISNUMBER(SEARCH(Brand_Profile!$I$44,Matching_Engine!$BD$106)),1,0))+IF(Brand_Profile!$I$45="",0,IF(ISNUMBER(SEARCH(Brand_Profile!$I$45,Matching_Engine!$BD$106)),1,0))+IF(Brand_Profile!$I$46="",0,IF(ISNUMBER(SEARCH(Brand_Profile!$I$46,Matching_Engine!$BD$106)),1,0)))/Brand_Profile!$I$47*100,0)))</f>
        <v>N/A</v>
      </c>
      <c r="L106" s="65" t="e">
        <f>IF(NOT(AND(ISTEXT('[1]#REF'!$U$10),'[1]#REF'!$U$10&lt;&gt;"N/A")),"N/A",IF(Brand_Profile!$I$53=0,Lookup_Lists!$D$150,ROUND((IF(Brand_Profile!$I$48="",0,IF(ISNUMBER(SEARCH(Brand_Profile!$I$48,Matching_Engine!$BF$106)),1,0))+IF(Brand_Profile!$I$49="",0,IF(ISNUMBER(SEARCH(Brand_Profile!$I$49,Matching_Engine!$BF$106)),1,0))+IF(Brand_Profile!$I$50="",0,IF(ISNUMBER(SEARCH(Brand_Profile!$I$50,Matching_Engine!$BF$106)),1,0))+IF(Brand_Profile!$I$51="",0,IF(ISNUMBER(SEARCH(Brand_Profile!$I$51,Matching_Engine!$BF$106)),1,0))+IF(Brand_Profile!$I$52="",0,IF(ISNUMBER(SEARCH(Brand_Profile!$I$52,Matching_Engine!$BF$106)),1,0)))/Brand_Profile!$I$53*100,0)))</f>
        <v>#REF!</v>
      </c>
      <c r="M106" s="63" t="str">
        <f>IF((IF(ISNUMBER(Matching_Engine!$J$106),Lookup_Lists!$D$332,0)+IF(ISNUMBER(Matching_Engine!$K$106),Lookup_Lists!$D$333,0)+IF(ISNUMBER(Matching_Engine!$L$106),Lookup_Lists!$D$334,0))=0,"N/A",ROUND((IF(ISNUMBER(Matching_Engine!$J$106),Matching_Engine!$J$106*Lookup_Lists!$D$332,0)+IF(ISNUMBER(Matching_Engine!$K$106),Matching_Engine!$K$106*Lookup_Lists!$D$333,0)+IF(ISNUMBER(Matching_Engine!$L$106),Matching_Engine!$L$106*Lookup_Lists!$D$334,0))/(IF(ISNUMBER(Matching_Engine!$J$106),Lookup_Lists!$D$332,0)+IF(ISNUMBER(Matching_Engine!$K$106),Lookup_Lists!$D$333,0)+IF(ISNUMBER(Matching_Engine!$L$106),Lookup_Lists!$D$334,0)),0))</f>
        <v>N/A</v>
      </c>
      <c r="N106" s="42">
        <f>IF(ISNUMBER(Matching_Engine!$M$106),1,0)</f>
        <v>0</v>
      </c>
      <c r="O106" s="65" t="str">
        <f ca="1">IF(NOT(ISNUMBER(IFERROR(INDEX('[1]#REF'!$V$10:'[1]#REF'!$Z$10,1,MATCH(Brand_Profile!$I$11,Lookup_Lists!$F$6:$F$10,0)),""))),"N/A",MIN(100,ROUND((IFERROR(INDEX('[1]#REF'!$V$10:'[1]#REF'!$Z$10,1,MATCH(Brand_Profile!$I$11,Lookup_Lists!$F$6:$F$10,0)),"")+0.5*IF(ISNUMBER(IFERROR(INDEX('[1]#REF'!$V$10:'[1]#REF'!$Z$10,1,MATCH(Brand_Profile!$I$12,Lookup_Lists!$F$6:$F$10,0)),"")),IFERROR(INDEX('[1]#REF'!$V$10:'[1]#REF'!$Z$10,1,MATCH(Brand_Profile!$I$12,Lookup_Lists!$F$6:$F$10,0)),""),0))/Lookup_Lists!$D$142*100,0)))</f>
        <v>N/A</v>
      </c>
      <c r="P106" s="65" t="str">
        <f>IF(Brand_Profile!$I$13="Any",100,IF(NOT(ISNUMBER('[1]#REF'!$AA$10)),"N/A",IF(Brand_Profile!$I$13="Female",MIN(100,ROUND('[1]#REF'!$AA$10/Lookup_Lists!$D$143*100,0)),IF(Brand_Profile!$I$13="Male",MIN(100,ROUND(IF(ISNUMBER('[1]#REF'!$AB$10),'[1]#REF'!$AB$10,100-'[1]#REF'!$AA$10)/Lookup_Lists!$D$143*100,0)),MAX(0,ROUND(100-ABS('[1]#REF'!$AA$10-50)*2,0))))))</f>
        <v>N/A</v>
      </c>
      <c r="Q106" s="65" t="str">
        <f>IF((IF(ISNUMBER(IF(NOT(ISNUMBER('[1]#REF'!$AE$10)),"N/A",IF('[1]#REF'!$AD$10&lt;&gt;Brand_Profile!$I$14,Lookup_Lists!$D$151,MIN(100,ROUND('[1]#REF'!$AE$10/Lookup_Lists!$D$316*100,0))))),Lookup_Lists!$D$118,0)+IF(ISNUMBER(IF(NOT(ISNUMBER('[1]#REF'!$AM$10)),"N/A",MIN(100,ROUND((IF('[1]#REF'!$AG$10=Brand_Profile!$I$15,IF(ISNUMBER('[1]#REF'!$AH$10),'[1]#REF'!$AH$10,0),0)+IF('[1]#REF'!$AI$10=Brand_Profile!$I$15,IF(ISNUMBER('[1]#REF'!$AJ$10),'[1]#REF'!$AJ$10,0),0)+IF('[1]#REF'!$AK$10=Brand_Profile!$I$15,IF(ISNUMBER('[1]#REF'!$AL$10),'[1]#REF'!$AL$10,0),0))/Lookup_Lists!$D$317*100,0)))),Lookup_Lists!$D$120,0))=0,"N/A",ROUND((IF(ISNUMBER(IF(NOT(ISNUMBER('[1]#REF'!$AE$10)),"N/A",IF('[1]#REF'!$AD$10&lt;&gt;Brand_Profile!$I$14,Lookup_Lists!$D$151,MIN(100,ROUND('[1]#REF'!$AE$10/Lookup_Lists!$D$316*100,0))))),IF(NOT(ISNUMBER('[1]#REF'!$AE$10)),"N/A",IF('[1]#REF'!$AD$10&lt;&gt;Brand_Profile!$I$14,Lookup_Lists!$D$151,MIN(100,ROUND('[1]#REF'!$AE$10/Lookup_Lists!$D$316*100,0))))*Lookup_Lists!$D$118,0)+IF(ISNUMBER(IF(NOT(ISNUMBER('[1]#REF'!$AM$10)),"N/A",MIN(100,ROUND((IF('[1]#REF'!$AG$10=Brand_Profile!$I$15,IF(ISNUMBER('[1]#REF'!$AH$10),'[1]#REF'!$AH$10,0),0)+IF('[1]#REF'!$AI$10=Brand_Profile!$I$15,IF(ISNUMBER('[1]#REF'!$AJ$10),'[1]#REF'!$AJ$10,0),0)+IF('[1]#REF'!$AK$10=Brand_Profile!$I$15,IF(ISNUMBER('[1]#REF'!$AL$10),'[1]#REF'!$AL$10,0),0))/Lookup_Lists!$D$317*100,0)))),IF(NOT(ISNUMBER('[1]#REF'!$AM$10)),"N/A",MIN(100,ROUND((IF('[1]#REF'!$AG$10=Brand_Profile!$I$15,IF(ISNUMBER('[1]#REF'!$AH$10),'[1]#REF'!$AH$10,0),0)+IF('[1]#REF'!$AI$10=Brand_Profile!$I$15,IF(ISNUMBER('[1]#REF'!$AJ$10),'[1]#REF'!$AJ$10,0),0)+IF('[1]#REF'!$AK$10=Brand_Profile!$I$15,IF(ISNUMBER('[1]#REF'!$AL$10),'[1]#REF'!$AL$10,0),0))/Lookup_Lists!$D$317*100,0)))*Lookup_Lists!$D$120,0))/(IF(ISNUMBER(IF(NOT(ISNUMBER('[1]#REF'!$AE$10)),"N/A",IF('[1]#REF'!$AD$10&lt;&gt;Brand_Profile!$I$14,Lookup_Lists!$D$151,MIN(100,ROUND('[1]#REF'!$AE$10/Lookup_Lists!$D$316*100,0))))),Lookup_Lists!$D$118,0)+IF(ISNUMBER(IF(NOT(ISNUMBER('[1]#REF'!$AM$10)),"N/A",MIN(100,ROUND((IF('[1]#REF'!$AG$10=Brand_Profile!$I$15,IF(ISNUMBER('[1]#REF'!$AH$10),'[1]#REF'!$AH$10,0),0)+IF('[1]#REF'!$AI$10=Brand_Profile!$I$15,IF(ISNUMBER('[1]#REF'!$AJ$10),'[1]#REF'!$AJ$10,0),0)+IF('[1]#REF'!$AK$10=Brand_Profile!$I$15,IF(ISNUMBER('[1]#REF'!$AL$10),'[1]#REF'!$AL$10,0),0))/Lookup_Lists!$D$317*100,0)))),Lookup_Lists!$D$120,0)),0))</f>
        <v>N/A</v>
      </c>
      <c r="R106" s="65" t="str">
        <f>IF(NOT(ISNUMBER('[1]#REF'!$AN$10)),"N/A",MIN(100,ROUND((IF(ISNUMBER('[1]#REF'!$AO$10),'[1]#REF'!$AO$10*Brand_Profile!$I$17,0)+IF(ISNUMBER('[1]#REF'!$AP$10),'[1]#REF'!$AP$10*Brand_Profile!$I$18,0)+IF(ISNUMBER('[1]#REF'!$AQ$10),'[1]#REF'!$AQ$10*Brand_Profile!$I$19,0)+IF(ISNUMBER('[1]#REF'!$AR$10),'[1]#REF'!$AR$10*Brand_Profile!$I$20,0)+IF(ISNUMBER('[1]#REF'!$AS$10),'[1]#REF'!$AS$10*Brand_Profile!$I$21,0)+IF(ISNUMBER('[1]#REF'!$AT$10),'[1]#REF'!$AT$10*Brand_Profile!$I$22,0)+IF(ISNUMBER('[1]#REF'!$AU$10),'[1]#REF'!$AU$10*Brand_Profile!$I$23,0)+IF(ISNUMBER('[1]#REF'!$AV$10),'[1]#REF'!$AV$10*Brand_Profile!$I$24,0)+IF(ISNUMBER('[1]#REF'!$AW$10),'[1]#REF'!$AW$10*Brand_Profile!$I$25,0)+IF(ISNUMBER('[1]#REF'!$AX$10),'[1]#REF'!$AX$10*Brand_Profile!$I$26,0)+IF(ISNUMBER('[1]#REF'!$AY$10),'[1]#REF'!$AY$10*Brand_Profile!$I$27,0)+IF(ISNUMBER('[1]#REF'!$AZ$10),'[1]#REF'!$AZ$10*Brand_Profile!$I$28,0)+IF(ISNUMBER('[1]#REF'!$BA$10),'[1]#REF'!$BA$10*Brand_Profile!$I$29,0)+IF(ISNUMBER('[1]#REF'!$BB$10),'[1]#REF'!$BB$10*Brand_Profile!$I$30,0)+IF(ISNUMBER('[1]#REF'!$BC$10),'[1]#REF'!$BC$10*Brand_Profile!$I$31,0)+IF(ISNUMBER('[1]#REF'!$BD$10),'[1]#REF'!$BD$10*Brand_Profile!$I$32,0)+IF(ISNUMBER('[1]#REF'!$BE$10),'[1]#REF'!$BE$10*Brand_Profile!$I$33,0)+IF(ISNUMBER('[1]#REF'!$BF$10),'[1]#REF'!$BF$10*Brand_Profile!$I$34,0))/Lookup_Lists!$D$318*100,0)))</f>
        <v>N/A</v>
      </c>
      <c r="S106" s="63" t="str">
        <f>IF((IF(ISNUMBER(Matching_Engine!$O$106),Lookup_Lists!$D$113,0)+IF(ISNUMBER(Matching_Engine!$P$106),Lookup_Lists!$D$114,0)+IF(ISNUMBER(Matching_Engine!$Q$106),Lookup_Lists!$D$115,0)+IF(ISNUMBER(Matching_Engine!$R$106),Lookup_Lists!$D$116,0))=0,"N/A",ROUND((IF(ISNUMBER(Matching_Engine!$O$106),Matching_Engine!$O$106*Lookup_Lists!$D$113,0)+IF(ISNUMBER(Matching_Engine!$P$106),Matching_Engine!$P$106*Lookup_Lists!$D$114,0)+IF(ISNUMBER(Matching_Engine!$Q$106),Matching_Engine!$Q$106*Lookup_Lists!$D$115,0)+IF(ISNUMBER(Matching_Engine!$R$106),Matching_Engine!$R$106*Lookup_Lists!$D$116,0))/(IF(ISNUMBER(Matching_Engine!$O$106),Lookup_Lists!$D$113,0)+IF(ISNUMBER(Matching_Engine!$P$106),Lookup_Lists!$D$114,0)+IF(ISNUMBER(Matching_Engine!$Q$106),Lookup_Lists!$D$115,0)+IF(ISNUMBER(Matching_Engine!$R$106),Lookup_Lists!$D$116,0)),0))</f>
        <v>N/A</v>
      </c>
      <c r="T106" s="42">
        <f>IF(ISNUMBER(Matching_Engine!$S$106),1,0)</f>
        <v>0</v>
      </c>
      <c r="U106" s="65" t="e">
        <f>IF(NOT(AND(ISTEXT('[1]#REF'!$M$10),'[1]#REF'!$M$10&lt;&gt;"N/A")),Lookup_Lists!$D$150,IF(Brand_Profile!$I$7='[1]#REF'!$M$10,100,IFERROR(INDEX(Lookup_Lists!$B$349:$J$357,MATCH(Brand_Profile!$I$7,Lookup_Lists!$A$349:$A$357,0),MATCH('[1]#REF'!$M$10,Lookup_Lists!$B$348:$J$348,0)),Lookup_Lists!$D$151)))</f>
        <v>#REF!</v>
      </c>
      <c r="V106" s="65" t="e">
        <f>IF(NOT(AND(ISTEXT('[1]#REF'!$P$10),'[1]#REF'!$P$10&lt;&gt;"N/A")),"N/A",IFERROR(INDEX(Lookup_Lists!$B$349:$J$357,MATCH(Brand_Profile!$I$7,Lookup_Lists!$A$349:$A$357,0),MATCH('[1]#REF'!$P$10,Lookup_Lists!$B$348:$J$348,0)),Lookup_Lists!$D$151))</f>
        <v>#REF!</v>
      </c>
      <c r="W106" s="65" t="str">
        <f>IF(LEN(TRIM(SUBSTITUTE(Matching_Engine!$BE$106,"|","")))=0,"N/A",IF(Brand_Profile!$I$60=0,Lookup_Lists!$D$150,ROUND((IF(Brand_Profile!$I$54="",0,IF(ISNUMBER(SEARCH(Brand_Profile!$I$54,Matching_Engine!$BE$106)),1,0))+IF(Brand_Profile!$I$55="",0,IF(ISNUMBER(SEARCH(Brand_Profile!$I$55,Matching_Engine!$BE$106)),1,0))+IF(Brand_Profile!$I$56="",0,IF(ISNUMBER(SEARCH(Brand_Profile!$I$56,Matching_Engine!$BE$106)),1,0))+IF(Brand_Profile!$I$57="",0,IF(ISNUMBER(SEARCH(Brand_Profile!$I$57,Matching_Engine!$BE$106)),1,0))+IF(Brand_Profile!$I$58="",0,IF(ISNUMBER(SEARCH(Brand_Profile!$I$58,Matching_Engine!$BE$106)),1,0))+IF(Brand_Profile!$I$59="",0,IF(ISNUMBER(SEARCH(Brand_Profile!$I$59,Matching_Engine!$BE$106)),1,0)))/Brand_Profile!$I$60*100,0)))</f>
        <v>N/A</v>
      </c>
      <c r="X106" s="65" t="e">
        <f>IF(NOT(AND(ISTEXT('[1]#REF'!$Q$10),'[1]#REF'!$Q$10&lt;&gt;"N/A")),"N/A",Lookup_Lists!$D$150)</f>
        <v>#REF!</v>
      </c>
      <c r="Y106" s="63" t="str">
        <f>IF((IF(ISNUMBER(Matching_Engine!$U$106),Lookup_Lists!$D$335,0)+IF(ISNUMBER(Matching_Engine!$V$106),Lookup_Lists!$D$122,0)+IF(ISNUMBER(Matching_Engine!$W$106),Lookup_Lists!$D$336,0)+IF(ISNUMBER(Matching_Engine!$X$106),Lookup_Lists!$D$124,0))=0,"N/A",ROUND((IF(ISNUMBER(Matching_Engine!$U$106),Matching_Engine!$U$106*Lookup_Lists!$D$335,0)+IF(ISNUMBER(Matching_Engine!$V$106),Matching_Engine!$V$106*Lookup_Lists!$D$122,0)+IF(ISNUMBER(Matching_Engine!$W$106),Matching_Engine!$W$106*Lookup_Lists!$D$336,0)+IF(ISNUMBER(Matching_Engine!$X$106),Matching_Engine!$X$106*Lookup_Lists!$D$124,0))/(IF(ISNUMBER(Matching_Engine!$U$106),Lookup_Lists!$D$335,0)+IF(ISNUMBER(Matching_Engine!$V$106),Lookup_Lists!$D$122,0)+IF(ISNUMBER(Matching_Engine!$W$106),Lookup_Lists!$D$336,0)+IF(ISNUMBER(Matching_Engine!$X$106),Lookup_Lists!$D$124,0)),0))</f>
        <v>N/A</v>
      </c>
      <c r="Z106" s="42">
        <f>IF(ISNUMBER(Matching_Engine!$Y$106),1,0)</f>
        <v>0</v>
      </c>
      <c r="AA106" s="65" t="e">
        <f>IF(NOT(AND(ISTEXT('[1]#REF'!$Q$10),'[1]#REF'!$Q$10&lt;&gt;"N/A")),"N/A",Lookup_Lists!$D$150)</f>
        <v>#REF!</v>
      </c>
      <c r="AB106" s="65" t="e">
        <f>IF(NOT(AND(ISTEXT('[1]#REF'!$Q$10),'[1]#REF'!$Q$10&lt;&gt;"N/A")),"N/A",Lookup_Lists!$D$150)</f>
        <v>#REF!</v>
      </c>
      <c r="AC106" s="65" t="str">
        <f t="shared" si="1"/>
        <v>N/A</v>
      </c>
      <c r="AD106" s="65" t="e">
        <f>IF(NOT(AND(ISTEXT('[1]#REF'!$Q$10),'[1]#REF'!$Q$10&lt;&gt;"N/A")),"N/A",Lookup_Lists!$D$150)</f>
        <v>#REF!</v>
      </c>
      <c r="AE106" s="63" t="str">
        <f>IF((IF(ISNUMBER(Matching_Engine!$AA$106),Lookup_Lists!$D$125,0)+IF(ISNUMBER(Matching_Engine!$AB$106),Lookup_Lists!$D$126,0)+IF(ISNUMBER(Matching_Engine!$AC$106),Lookup_Lists!$D$127,0)+IF(ISNUMBER(Matching_Engine!$AD$106),Lookup_Lists!$D$128,0))=0,"N/A",ROUND((IF(ISNUMBER(Matching_Engine!$AA$106),Matching_Engine!$AA$106*Lookup_Lists!$D$125,0)+IF(ISNUMBER(Matching_Engine!$AB$106),Matching_Engine!$AB$106*Lookup_Lists!$D$126,0)+IF(ISNUMBER(Matching_Engine!$AC$106),Matching_Engine!$AC$106*Lookup_Lists!$D$127,0)+IF(ISNUMBER(Matching_Engine!$AD$106),Matching_Engine!$AD$106*Lookup_Lists!$D$128,0))/(IF(ISNUMBER(Matching_Engine!$AA$106),Lookup_Lists!$D$125,0)+IF(ISNUMBER(Matching_Engine!$AB$106),Lookup_Lists!$D$126,0)+IF(ISNUMBER(Matching_Engine!$AC$106),Lookup_Lists!$D$127,0)+IF(ISNUMBER(Matching_Engine!$AD$106),Lookup_Lists!$D$128,0)),0))</f>
        <v>N/A</v>
      </c>
      <c r="AF106" s="42">
        <f>IF(ISNUMBER(Matching_Engine!$AE$106),1,0)</f>
        <v>0</v>
      </c>
      <c r="AG106" s="65" t="str">
        <f>IF(NOT(ISNUMBER('[1]#REF'!$BG$10)),"N/A",MIN(100,ROUND('[1]#REF'!$BG$10/IFERROR(INDEX(Lookup_Lists!$B$340:$B$344,MATCH('[1]#REF'!$H$10,Lookup_Lists!$A$340:$A$344,0)),Lookup_Lists!$D$141)*100,0)))</f>
        <v>N/A</v>
      </c>
      <c r="AH106" s="65" t="str">
        <f>IF(NOT(ISNUMBER('[1]#REF'!$BS$10)),"N/A",MIN(100,MAX(0,'[1]#REF'!$BS$10)))</f>
        <v>N/A</v>
      </c>
      <c r="AI106" s="65" t="e">
        <f>IF(OR(NOT(ISNUMBER('[1]#REF'!$BM$10)),NOT(ISNUMBER('[1]#REF'!$BN$10)),'[1]#REF'!$BN$10&lt;Lookup_Lists!$D$320),"N/A",MIN(100,ROUND('[1]#REF'!$BM$10/Lookup_Lists!$D$319*100,0)))</f>
        <v>#REF!</v>
      </c>
      <c r="AJ106" s="65" t="str">
        <f>IF(NOT(ISNUMBER('[1]#REF'!$BR$10)),"N/A",'[1]#REF'!$BR$10)</f>
        <v>N/A</v>
      </c>
      <c r="AK106" s="65" t="str">
        <f>IF(NOT(ISNUMBER('[1]#REF'!$BK$10)),"N/A",MIN(100,ROUND('[1]#REF'!$BK$10/Lookup_Lists!$D$321*100,0)))</f>
        <v>N/A</v>
      </c>
      <c r="AL106" s="65" t="str">
        <f>IF(NOT(ISNUMBER('[1]#REF'!$BP$10)),"N/A",MIN(100,MAX(0,ROUND(('[1]#REF'!$BP$10+2)/(Lookup_Lists!$D$145+2)*100,0))))</f>
        <v>N/A</v>
      </c>
      <c r="AM106" s="63" t="str">
        <f>IF((IF(ISNUMBER(Matching_Engine!$AG$106),Lookup_Lists!$D$129,0)+IF(ISNUMBER(Matching_Engine!$AH$106),Lookup_Lists!$D$130,0)+IF(ISNUMBER(Matching_Engine!$AI$106),Lookup_Lists!$D$131,0)+IF(ISNUMBER(Matching_Engine!$AJ$106),Lookup_Lists!$D$132,0)+IF(ISNUMBER(Matching_Engine!$AK$106),Lookup_Lists!$D$133,0)+IF(ISNUMBER(Matching_Engine!$AL$106),Lookup_Lists!$D$134,0))=0,"N/A",ROUND((IF(ISNUMBER(Matching_Engine!$AG$106),Matching_Engine!$AG$106*Lookup_Lists!$D$129,0)+IF(ISNUMBER(Matching_Engine!$AH$106),Matching_Engine!$AH$106*Lookup_Lists!$D$130,0)+IF(ISNUMBER(Matching_Engine!$AI$106),Matching_Engine!$AI$106*Lookup_Lists!$D$131,0)+IF(ISNUMBER(Matching_Engine!$AJ$106),Matching_Engine!$AJ$106*Lookup_Lists!$D$132,0)+IF(ISNUMBER(Matching_Engine!$AK$106),Matching_Engine!$AK$106*Lookup_Lists!$D$133,0)+IF(ISNUMBER(Matching_Engine!$AL$106),Matching_Engine!$AL$106*Lookup_Lists!$D$134,0))/(IF(ISNUMBER(Matching_Engine!$AG$106),Lookup_Lists!$D$129,0)+IF(ISNUMBER(Matching_Engine!$AH$106),Lookup_Lists!$D$130,0)+IF(ISNUMBER(Matching_Engine!$AI$106),Lookup_Lists!$D$131,0)+IF(ISNUMBER(Matching_Engine!$AJ$106),Lookup_Lists!$D$132,0)+IF(ISNUMBER(Matching_Engine!$AK$106),Lookup_Lists!$D$133,0)+IF(ISNUMBER(Matching_Engine!$AL$106),Lookup_Lists!$D$134,0)),0))</f>
        <v>N/A</v>
      </c>
      <c r="AN106" s="42">
        <f>IF(ISNUMBER(Matching_Engine!$AM$106),1,0)</f>
        <v>0</v>
      </c>
      <c r="AO106" s="65" t="str">
        <f>IF(NOT(ISNUMBER('[1]#REF'!$BT$10)),"N/A",MIN(100,MAX(0,'[1]#REF'!$BT$10)))</f>
        <v>N/A</v>
      </c>
      <c r="AP106" s="65" t="str">
        <f>IF(NOT(ISNUMBER('[1]#REF'!$BU$10)),"N/A",MIN(100,MAX(0,'[1]#REF'!$BU$10)))</f>
        <v>N/A</v>
      </c>
      <c r="AQ106" s="65" t="e">
        <f>IF('[1]#REF'!$I$10="Yes",Lookup_Lists!$D$326,IF('[1]#REF'!$I$10="No",Lookup_Lists!$D$327,"N/A"))</f>
        <v>#REF!</v>
      </c>
      <c r="AR106" s="65" t="str">
        <f>IF(NOT(ISNUMBER('[1]#REF'!$BQ$10)),"N/A",MAX(0,ROUND(100-'[1]#REF'!$BQ$10/Lookup_Lists!$D$328*100,0)))</f>
        <v>N/A</v>
      </c>
      <c r="AS106" s="65" t="e">
        <f>IF(NOT(AND(ISTEXT('[1]#REF'!$BV$10),'[1]#REF'!$BV$10&lt;&gt;"N/A")),"N/A",'[1]#REF'!$BV$10)</f>
        <v>#REF!</v>
      </c>
      <c r="AT106" s="63" t="str">
        <f>IF((IF(ISNUMBER(Matching_Engine!$AO$106),Lookup_Lists!$D$322,0)+IF(ISNUMBER(Matching_Engine!$AP$106),Lookup_Lists!$D$323,0)+IF(ISNUMBER(Matching_Engine!$AQ$106),Lookup_Lists!$D$324,0)+IF(ISNUMBER(Matching_Engine!$AR$106),Lookup_Lists!$D$325,0))=0,"N/A",ROUND((IF(ISNUMBER(Matching_Engine!$AO$106),Matching_Engine!$AO$106*Lookup_Lists!$D$322,0)+IF(ISNUMBER(Matching_Engine!$AP$106),Matching_Engine!$AP$106*Lookup_Lists!$D$323,0)+IF(ISNUMBER(Matching_Engine!$AQ$106),Matching_Engine!$AQ$106*Lookup_Lists!$D$324,0)+IF(ISNUMBER(Matching_Engine!$AR$106),Matching_Engine!$AR$106*Lookup_Lists!$D$325,0))/(IF(ISNUMBER(Matching_Engine!$AO$106),Lookup_Lists!$D$322,0)+IF(ISNUMBER(Matching_Engine!$AP$106),Lookup_Lists!$D$323,0)+IF(ISNUMBER(Matching_Engine!$AQ$106),Lookup_Lists!$D$324,0)+IF(ISNUMBER(Matching_Engine!$AR$106),Lookup_Lists!$D$325,0)),0))</f>
        <v>N/A</v>
      </c>
      <c r="AU106" s="42">
        <f>IF(ISNUMBER(Matching_Engine!$AT$106),1,0)</f>
        <v>0</v>
      </c>
      <c r="AV106" s="42" t="str">
        <f>IF(NOT(ISNUMBER(Matching_Engine!$AT$106)),"Not Screened",IF(Matching_Engine!$AT$106&gt;=Lookup_Lists!$D$329,"Low Risk",IF(Matching_Engine!$AT$106&gt;=Lookup_Lists!$D$330,"Moderate Risk",IF(Matching_Engine!$AT$106&gt;=Lookup_Lists!$D$331,"Elevated Risk","High Risk"))))</f>
        <v>Not Screened</v>
      </c>
      <c r="AW106" s="42" t="str">
        <f>IF(NOT(ISNUMBER(Matching_Engine!$AT$106)),"No integrity signal: no audience-analysis row for this account.","Integrity screen only — no content-risk reading exists (comments_analysis: 0 rows). "&amp;IF(ISNUMBER(Matching_Engine!$AO$106),"Authenticity "&amp;Matching_Engine!$AO$106&amp;". ","Authenticity N/A. ")&amp;IF(ISNUMBER(Matching_Engine!$AP$106),"Follower quality "&amp;Matching_Engine!$AP$106&amp;". ","Follower quality N/A. ")&amp;IF('[1]#REF'!$I$10="Yes","Platform-verified.","Not platform-verified."))</f>
        <v>No integrity signal: no audience-analysis row for this account.</v>
      </c>
      <c r="AX106" s="65">
        <f>Matching_Engine!$N$106*Lookup_Lists!$D$104+Matching_Engine!$T$106*Lookup_Lists!$D$105+Matching_Engine!$Z$106*Lookup_Lists!$D$106+Matching_Engine!$AF$106*Lookup_Lists!$D$107+Matching_Engine!$AN$106*Lookup_Lists!$D$108+Matching_Engine!$AU$106*Lookup_Lists!$D$109</f>
        <v>0</v>
      </c>
      <c r="AY106" s="74" t="str">
        <f>IF(Matching_Engine!$AX$106=0,"N/A",ROUND((IF(Matching_Engine!$N$106=1,Matching_Engine!$M$106*Lookup_Lists!$D$104,0)+IF(Matching_Engine!$T$106=1,Matching_Engine!$S$106*Lookup_Lists!$D$105,0)+IF(Matching_Engine!$Z$106=1,Matching_Engine!$Y$106*Lookup_Lists!$D$106,0)+IF(Matching_Engine!$AF$106=1,Matching_Engine!$AE$106*Lookup_Lists!$D$107,0)+IF(Matching_Engine!$AN$106=1,Matching_Engine!$AM$106*Lookup_Lists!$D$108,0)+IF(Matching_Engine!$AU$106=1,Matching_Engine!$AT$106*Lookup_Lists!$D$109,0))/Matching_Engine!$AX$106,0))</f>
        <v>N/A</v>
      </c>
      <c r="AZ106" s="42" t="str">
        <f>IF(NOT(ISNUMBER(Matching_Engine!$AY$106)),"Not Scored",IF(Matching_Engine!$AY$106&gt;=Lookup_Lists!$D$152,"Excellent Match",IF(Matching_Engine!$AY$106&gt;=Lookup_Lists!$D$153,"Strong Match",IF(Matching_Engine!$AY$106&gt;=Lookup_Lists!$D$154,"Good Match",IF(Matching_Engine!$AY$106&gt;=Lookup_Lists!$D$155,"Moderate Match","Low Match")))))</f>
        <v>Not Scored</v>
      </c>
      <c r="BA106" s="65" t="e">
        <f>'[1]#REF'!$BW$10</f>
        <v>#REF!</v>
      </c>
      <c r="BB106" s="42" t="e">
        <f>'[1]#REF'!$BX$10</f>
        <v>#REF!</v>
      </c>
      <c r="BC106" s="65">
        <f>IF(NOT(ISNUMBER(Matching_Engine!$AY$106)),-1,Matching_Engine!$AY$106*1000+20)</f>
        <v>-1</v>
      </c>
      <c r="BD106" s="42" t="e">
        <f>IF(AND(ISTEXT('[1]#REF'!$S$10),'[1]#REF'!$S$10&lt;&gt;"N/A"),'[1]#REF'!$S$10,"")&amp;" | "&amp;IF(AND(ISTEXT('[1]#REF'!$T$10),'[1]#REF'!$T$10&lt;&gt;"N/A"),'[1]#REF'!$T$10,"")&amp;" | "&amp;IF(AND(ISTEXT('[1]#REF'!$N$10),'[1]#REF'!$N$10&lt;&gt;"N/A"),'[1]#REF'!$N$10,"")&amp;" | "&amp;IF(AND(ISTEXT('[1]#REF'!$K$10),'[1]#REF'!$K$10&lt;&gt;"N/A"),'[1]#REF'!$K$10,"")&amp;" | "&amp;IF(AND(ISTEXT('[1]#REF'!$J$10),'[1]#REF'!$J$10&lt;&gt;"N/A"),'[1]#REF'!$J$10,"")</f>
        <v>#REF!</v>
      </c>
      <c r="BE106" s="42" t="e">
        <f>IF(AND(ISTEXT('[1]#REF'!$T$10),'[1]#REF'!$T$10&lt;&gt;"N/A"),'[1]#REF'!$T$10,"")&amp;" | "&amp;IF(AND(ISTEXT('[1]#REF'!$N$10),'[1]#REF'!$N$10&lt;&gt;"N/A"),'[1]#REF'!$N$10,"")&amp;" | "&amp;IF(AND(ISTEXT('[1]#REF'!$O$10),'[1]#REF'!$O$10&lt;&gt;"N/A"),'[1]#REF'!$O$10,"")&amp;" | "&amp;IF(AND(ISTEXT('[1]#REF'!$S$10),'[1]#REF'!$S$10&lt;&gt;"N/A"),'[1]#REF'!$S$10,"")</f>
        <v>#REF!</v>
      </c>
      <c r="BF106" s="42" t="e">
        <f>IF(AND(ISTEXT('[1]#REF'!$U$10),'[1]#REF'!$U$10&lt;&gt;"N/A"),'[1]#REF'!$U$10,"")</f>
        <v>#REF!</v>
      </c>
      <c r="BG106" s="42" t="str">
        <f>Matching_Engine!$A$106&amp;"|"&amp;Matching_Engine!$C$106</f>
        <v>|</v>
      </c>
    </row>
    <row r="107" spans="1:59">
      <c r="A107" s="64" t="s">
        <v>2531</v>
      </c>
      <c r="B107" s="42">
        <f>Brand_Profile!$I$6</f>
        <v>0</v>
      </c>
      <c r="C107" s="42" t="e">
        <f>'[1]#REF'!$A$11</f>
        <v>#REF!</v>
      </c>
      <c r="D107" s="42" t="e">
        <f>'[1]#REF'!$C$11</f>
        <v>#REF!</v>
      </c>
      <c r="E107" s="42" t="e">
        <f>'[1]#REF'!$D$11</f>
        <v>#REF!</v>
      </c>
      <c r="F107" s="42" t="e">
        <f>'[1]#REF'!$E$11</f>
        <v>#REF!</v>
      </c>
      <c r="G107" s="42" t="e">
        <f>'[1]#REF'!$K$11</f>
        <v>#REF!</v>
      </c>
      <c r="H107" s="72" t="e">
        <f>'[1]#REF'!$G$11</f>
        <v>#REF!</v>
      </c>
      <c r="I107" s="73" t="e">
        <f>'[1]#REF'!$BG$11</f>
        <v>#REF!</v>
      </c>
      <c r="J107" s="65" t="e">
        <f>IF(NOT(AND(ISTEXT('[1]#REF'!$K$11),'[1]#REF'!$K$11&lt;&gt;"N/A")),Lookup_Lists!$D$150,IF(Brand_Profile!$I$7='[1]#REF'!$K$11,100,IFERROR(INDEX(Lookup_Lists!$B$349:$J$357,MATCH(Brand_Profile!$I$7,Lookup_Lists!$A$349:$A$357,0),MATCH('[1]#REF'!$K$11,Lookup_Lists!$B$348:$J$348,0)),Lookup_Lists!$D$151)))</f>
        <v>#REF!</v>
      </c>
      <c r="K107" s="65" t="str">
        <f>IF(LEN(TRIM(SUBSTITUTE(Matching_Engine!$BD$107,"|","")))=0,"N/A",IF(Brand_Profile!$I$47=0,Lookup_Lists!$D$150,ROUND((IF(Brand_Profile!$I$41="",0,IF(ISNUMBER(SEARCH(Brand_Profile!$I$41,Matching_Engine!$BD$107)),1,0))+IF(Brand_Profile!$I$42="",0,IF(ISNUMBER(SEARCH(Brand_Profile!$I$42,Matching_Engine!$BD$107)),1,0))+IF(Brand_Profile!$I$43="",0,IF(ISNUMBER(SEARCH(Brand_Profile!$I$43,Matching_Engine!$BD$107)),1,0))+IF(Brand_Profile!$I$44="",0,IF(ISNUMBER(SEARCH(Brand_Profile!$I$44,Matching_Engine!$BD$107)),1,0))+IF(Brand_Profile!$I$45="",0,IF(ISNUMBER(SEARCH(Brand_Profile!$I$45,Matching_Engine!$BD$107)),1,0))+IF(Brand_Profile!$I$46="",0,IF(ISNUMBER(SEARCH(Brand_Profile!$I$46,Matching_Engine!$BD$107)),1,0)))/Brand_Profile!$I$47*100,0)))</f>
        <v>N/A</v>
      </c>
      <c r="L107" s="65" t="e">
        <f>IF(NOT(AND(ISTEXT('[1]#REF'!$U$11),'[1]#REF'!$U$11&lt;&gt;"N/A")),"N/A",IF(Brand_Profile!$I$53=0,Lookup_Lists!$D$150,ROUND((IF(Brand_Profile!$I$48="",0,IF(ISNUMBER(SEARCH(Brand_Profile!$I$48,Matching_Engine!$BF$107)),1,0))+IF(Brand_Profile!$I$49="",0,IF(ISNUMBER(SEARCH(Brand_Profile!$I$49,Matching_Engine!$BF$107)),1,0))+IF(Brand_Profile!$I$50="",0,IF(ISNUMBER(SEARCH(Brand_Profile!$I$50,Matching_Engine!$BF$107)),1,0))+IF(Brand_Profile!$I$51="",0,IF(ISNUMBER(SEARCH(Brand_Profile!$I$51,Matching_Engine!$BF$107)),1,0))+IF(Brand_Profile!$I$52="",0,IF(ISNUMBER(SEARCH(Brand_Profile!$I$52,Matching_Engine!$BF$107)),1,0)))/Brand_Profile!$I$53*100,0)))</f>
        <v>#REF!</v>
      </c>
      <c r="M107" s="63" t="str">
        <f>IF((IF(ISNUMBER(Matching_Engine!$J$107),Lookup_Lists!$D$332,0)+IF(ISNUMBER(Matching_Engine!$K$107),Lookup_Lists!$D$333,0)+IF(ISNUMBER(Matching_Engine!$L$107),Lookup_Lists!$D$334,0))=0,"N/A",ROUND((IF(ISNUMBER(Matching_Engine!$J$107),Matching_Engine!$J$107*Lookup_Lists!$D$332,0)+IF(ISNUMBER(Matching_Engine!$K$107),Matching_Engine!$K$107*Lookup_Lists!$D$333,0)+IF(ISNUMBER(Matching_Engine!$L$107),Matching_Engine!$L$107*Lookup_Lists!$D$334,0))/(IF(ISNUMBER(Matching_Engine!$J$107),Lookup_Lists!$D$332,0)+IF(ISNUMBER(Matching_Engine!$K$107),Lookup_Lists!$D$333,0)+IF(ISNUMBER(Matching_Engine!$L$107),Lookup_Lists!$D$334,0)),0))</f>
        <v>N/A</v>
      </c>
      <c r="N107" s="42">
        <f>IF(ISNUMBER(Matching_Engine!$M$107),1,0)</f>
        <v>0</v>
      </c>
      <c r="O107" s="65" t="str">
        <f ca="1">IF(NOT(ISNUMBER(IFERROR(INDEX('[1]#REF'!$V$11:'[1]#REF'!$Z$11,1,MATCH(Brand_Profile!$I$11,Lookup_Lists!$F$6:$F$10,0)),""))),"N/A",MIN(100,ROUND((IFERROR(INDEX('[1]#REF'!$V$11:'[1]#REF'!$Z$11,1,MATCH(Brand_Profile!$I$11,Lookup_Lists!$F$6:$F$10,0)),"")+0.5*IF(ISNUMBER(IFERROR(INDEX('[1]#REF'!$V$11:'[1]#REF'!$Z$11,1,MATCH(Brand_Profile!$I$12,Lookup_Lists!$F$6:$F$10,0)),"")),IFERROR(INDEX('[1]#REF'!$V$11:'[1]#REF'!$Z$11,1,MATCH(Brand_Profile!$I$12,Lookup_Lists!$F$6:$F$10,0)),""),0))/Lookup_Lists!$D$142*100,0)))</f>
        <v>N/A</v>
      </c>
      <c r="P107" s="65" t="str">
        <f>IF(Brand_Profile!$I$13="Any",100,IF(NOT(ISNUMBER('[1]#REF'!$AA$11)),"N/A",IF(Brand_Profile!$I$13="Female",MIN(100,ROUND('[1]#REF'!$AA$11/Lookup_Lists!$D$143*100,0)),IF(Brand_Profile!$I$13="Male",MIN(100,ROUND(IF(ISNUMBER('[1]#REF'!$AB$11),'[1]#REF'!$AB$11,100-'[1]#REF'!$AA$11)/Lookup_Lists!$D$143*100,0)),MAX(0,ROUND(100-ABS('[1]#REF'!$AA$11-50)*2,0))))))</f>
        <v>N/A</v>
      </c>
      <c r="Q107" s="65" t="str">
        <f>IF((IF(ISNUMBER(IF(NOT(ISNUMBER('[1]#REF'!$AE$11)),"N/A",IF('[1]#REF'!$AD$11&lt;&gt;Brand_Profile!$I$14,Lookup_Lists!$D$151,MIN(100,ROUND('[1]#REF'!$AE$11/Lookup_Lists!$D$316*100,0))))),Lookup_Lists!$D$118,0)+IF(ISNUMBER(IF(NOT(ISNUMBER('[1]#REF'!$AM$11)),"N/A",MIN(100,ROUND((IF('[1]#REF'!$AG$11=Brand_Profile!$I$15,IF(ISNUMBER('[1]#REF'!$AH$11),'[1]#REF'!$AH$11,0),0)+IF('[1]#REF'!$AI$11=Brand_Profile!$I$15,IF(ISNUMBER('[1]#REF'!$AJ$11),'[1]#REF'!$AJ$11,0),0)+IF('[1]#REF'!$AK$11=Brand_Profile!$I$15,IF(ISNUMBER('[1]#REF'!$AL$11),'[1]#REF'!$AL$11,0),0))/Lookup_Lists!$D$317*100,0)))),Lookup_Lists!$D$120,0))=0,"N/A",ROUND((IF(ISNUMBER(IF(NOT(ISNUMBER('[1]#REF'!$AE$11)),"N/A",IF('[1]#REF'!$AD$11&lt;&gt;Brand_Profile!$I$14,Lookup_Lists!$D$151,MIN(100,ROUND('[1]#REF'!$AE$11/Lookup_Lists!$D$316*100,0))))),IF(NOT(ISNUMBER('[1]#REF'!$AE$11)),"N/A",IF('[1]#REF'!$AD$11&lt;&gt;Brand_Profile!$I$14,Lookup_Lists!$D$151,MIN(100,ROUND('[1]#REF'!$AE$11/Lookup_Lists!$D$316*100,0))))*Lookup_Lists!$D$118,0)+IF(ISNUMBER(IF(NOT(ISNUMBER('[1]#REF'!$AM$11)),"N/A",MIN(100,ROUND((IF('[1]#REF'!$AG$11=Brand_Profile!$I$15,IF(ISNUMBER('[1]#REF'!$AH$11),'[1]#REF'!$AH$11,0),0)+IF('[1]#REF'!$AI$11=Brand_Profile!$I$15,IF(ISNUMBER('[1]#REF'!$AJ$11),'[1]#REF'!$AJ$11,0),0)+IF('[1]#REF'!$AK$11=Brand_Profile!$I$15,IF(ISNUMBER('[1]#REF'!$AL$11),'[1]#REF'!$AL$11,0),0))/Lookup_Lists!$D$317*100,0)))),IF(NOT(ISNUMBER('[1]#REF'!$AM$11)),"N/A",MIN(100,ROUND((IF('[1]#REF'!$AG$11=Brand_Profile!$I$15,IF(ISNUMBER('[1]#REF'!$AH$11),'[1]#REF'!$AH$11,0),0)+IF('[1]#REF'!$AI$11=Brand_Profile!$I$15,IF(ISNUMBER('[1]#REF'!$AJ$11),'[1]#REF'!$AJ$11,0),0)+IF('[1]#REF'!$AK$11=Brand_Profile!$I$15,IF(ISNUMBER('[1]#REF'!$AL$11),'[1]#REF'!$AL$11,0),0))/Lookup_Lists!$D$317*100,0)))*Lookup_Lists!$D$120,0))/(IF(ISNUMBER(IF(NOT(ISNUMBER('[1]#REF'!$AE$11)),"N/A",IF('[1]#REF'!$AD$11&lt;&gt;Brand_Profile!$I$14,Lookup_Lists!$D$151,MIN(100,ROUND('[1]#REF'!$AE$11/Lookup_Lists!$D$316*100,0))))),Lookup_Lists!$D$118,0)+IF(ISNUMBER(IF(NOT(ISNUMBER('[1]#REF'!$AM$11)),"N/A",MIN(100,ROUND((IF('[1]#REF'!$AG$11=Brand_Profile!$I$15,IF(ISNUMBER('[1]#REF'!$AH$11),'[1]#REF'!$AH$11,0),0)+IF('[1]#REF'!$AI$11=Brand_Profile!$I$15,IF(ISNUMBER('[1]#REF'!$AJ$11),'[1]#REF'!$AJ$11,0),0)+IF('[1]#REF'!$AK$11=Brand_Profile!$I$15,IF(ISNUMBER('[1]#REF'!$AL$11),'[1]#REF'!$AL$11,0),0))/Lookup_Lists!$D$317*100,0)))),Lookup_Lists!$D$120,0)),0))</f>
        <v>N/A</v>
      </c>
      <c r="R107" s="65" t="str">
        <f>IF(NOT(ISNUMBER('[1]#REF'!$AN$11)),"N/A",MIN(100,ROUND((IF(ISNUMBER('[1]#REF'!$AO$11),'[1]#REF'!$AO$11*Brand_Profile!$I$17,0)+IF(ISNUMBER('[1]#REF'!$AP$11),'[1]#REF'!$AP$11*Brand_Profile!$I$18,0)+IF(ISNUMBER('[1]#REF'!$AQ$11),'[1]#REF'!$AQ$11*Brand_Profile!$I$19,0)+IF(ISNUMBER('[1]#REF'!$AR$11),'[1]#REF'!$AR$11*Brand_Profile!$I$20,0)+IF(ISNUMBER('[1]#REF'!$AS$11),'[1]#REF'!$AS$11*Brand_Profile!$I$21,0)+IF(ISNUMBER('[1]#REF'!$AT$11),'[1]#REF'!$AT$11*Brand_Profile!$I$22,0)+IF(ISNUMBER('[1]#REF'!$AU$11),'[1]#REF'!$AU$11*Brand_Profile!$I$23,0)+IF(ISNUMBER('[1]#REF'!$AV$11),'[1]#REF'!$AV$11*Brand_Profile!$I$24,0)+IF(ISNUMBER('[1]#REF'!$AW$11),'[1]#REF'!$AW$11*Brand_Profile!$I$25,0)+IF(ISNUMBER('[1]#REF'!$AX$11),'[1]#REF'!$AX$11*Brand_Profile!$I$26,0)+IF(ISNUMBER('[1]#REF'!$AY$11),'[1]#REF'!$AY$11*Brand_Profile!$I$27,0)+IF(ISNUMBER('[1]#REF'!$AZ$11),'[1]#REF'!$AZ$11*Brand_Profile!$I$28,0)+IF(ISNUMBER('[1]#REF'!$BA$11),'[1]#REF'!$BA$11*Brand_Profile!$I$29,0)+IF(ISNUMBER('[1]#REF'!$BB$11),'[1]#REF'!$BB$11*Brand_Profile!$I$30,0)+IF(ISNUMBER('[1]#REF'!$BC$11),'[1]#REF'!$BC$11*Brand_Profile!$I$31,0)+IF(ISNUMBER('[1]#REF'!$BD$11),'[1]#REF'!$BD$11*Brand_Profile!$I$32,0)+IF(ISNUMBER('[1]#REF'!$BE$11),'[1]#REF'!$BE$11*Brand_Profile!$I$33,0)+IF(ISNUMBER('[1]#REF'!$BF$11),'[1]#REF'!$BF$11*Brand_Profile!$I$34,0))/Lookup_Lists!$D$318*100,0)))</f>
        <v>N/A</v>
      </c>
      <c r="S107" s="63" t="str">
        <f>IF((IF(ISNUMBER(Matching_Engine!$O$107),Lookup_Lists!$D$113,0)+IF(ISNUMBER(Matching_Engine!$P$107),Lookup_Lists!$D$114,0)+IF(ISNUMBER(Matching_Engine!$Q$107),Lookup_Lists!$D$115,0)+IF(ISNUMBER(Matching_Engine!$R$107),Lookup_Lists!$D$116,0))=0,"N/A",ROUND((IF(ISNUMBER(Matching_Engine!$O$107),Matching_Engine!$O$107*Lookup_Lists!$D$113,0)+IF(ISNUMBER(Matching_Engine!$P$107),Matching_Engine!$P$107*Lookup_Lists!$D$114,0)+IF(ISNUMBER(Matching_Engine!$Q$107),Matching_Engine!$Q$107*Lookup_Lists!$D$115,0)+IF(ISNUMBER(Matching_Engine!$R$107),Matching_Engine!$R$107*Lookup_Lists!$D$116,0))/(IF(ISNUMBER(Matching_Engine!$O$107),Lookup_Lists!$D$113,0)+IF(ISNUMBER(Matching_Engine!$P$107),Lookup_Lists!$D$114,0)+IF(ISNUMBER(Matching_Engine!$Q$107),Lookup_Lists!$D$115,0)+IF(ISNUMBER(Matching_Engine!$R$107),Lookup_Lists!$D$116,0)),0))</f>
        <v>N/A</v>
      </c>
      <c r="T107" s="42">
        <f>IF(ISNUMBER(Matching_Engine!$S$107),1,0)</f>
        <v>0</v>
      </c>
      <c r="U107" s="65" t="e">
        <f>IF(NOT(AND(ISTEXT('[1]#REF'!$M$11),'[1]#REF'!$M$11&lt;&gt;"N/A")),Lookup_Lists!$D$150,IF(Brand_Profile!$I$7='[1]#REF'!$M$11,100,IFERROR(INDEX(Lookup_Lists!$B$349:$J$357,MATCH(Brand_Profile!$I$7,Lookup_Lists!$A$349:$A$357,0),MATCH('[1]#REF'!$M$11,Lookup_Lists!$B$348:$J$348,0)),Lookup_Lists!$D$151)))</f>
        <v>#REF!</v>
      </c>
      <c r="V107" s="65" t="e">
        <f>IF(NOT(AND(ISTEXT('[1]#REF'!$P$11),'[1]#REF'!$P$11&lt;&gt;"N/A")),"N/A",IFERROR(INDEX(Lookup_Lists!$B$349:$J$357,MATCH(Brand_Profile!$I$7,Lookup_Lists!$A$349:$A$357,0),MATCH('[1]#REF'!$P$11,Lookup_Lists!$B$348:$J$348,0)),Lookup_Lists!$D$151))</f>
        <v>#REF!</v>
      </c>
      <c r="W107" s="65" t="str">
        <f>IF(LEN(TRIM(SUBSTITUTE(Matching_Engine!$BE$107,"|","")))=0,"N/A",IF(Brand_Profile!$I$60=0,Lookup_Lists!$D$150,ROUND((IF(Brand_Profile!$I$54="",0,IF(ISNUMBER(SEARCH(Brand_Profile!$I$54,Matching_Engine!$BE$107)),1,0))+IF(Brand_Profile!$I$55="",0,IF(ISNUMBER(SEARCH(Brand_Profile!$I$55,Matching_Engine!$BE$107)),1,0))+IF(Brand_Profile!$I$56="",0,IF(ISNUMBER(SEARCH(Brand_Profile!$I$56,Matching_Engine!$BE$107)),1,0))+IF(Brand_Profile!$I$57="",0,IF(ISNUMBER(SEARCH(Brand_Profile!$I$57,Matching_Engine!$BE$107)),1,0))+IF(Brand_Profile!$I$58="",0,IF(ISNUMBER(SEARCH(Brand_Profile!$I$58,Matching_Engine!$BE$107)),1,0))+IF(Brand_Profile!$I$59="",0,IF(ISNUMBER(SEARCH(Brand_Profile!$I$59,Matching_Engine!$BE$107)),1,0)))/Brand_Profile!$I$60*100,0)))</f>
        <v>N/A</v>
      </c>
      <c r="X107" s="65" t="e">
        <f>IF(NOT(AND(ISTEXT('[1]#REF'!$Q$11),'[1]#REF'!$Q$11&lt;&gt;"N/A")),"N/A",Lookup_Lists!$D$150)</f>
        <v>#REF!</v>
      </c>
      <c r="Y107" s="63" t="str">
        <f>IF((IF(ISNUMBER(Matching_Engine!$U$107),Lookup_Lists!$D$335,0)+IF(ISNUMBER(Matching_Engine!$V$107),Lookup_Lists!$D$122,0)+IF(ISNUMBER(Matching_Engine!$W$107),Lookup_Lists!$D$336,0)+IF(ISNUMBER(Matching_Engine!$X$107),Lookup_Lists!$D$124,0))=0,"N/A",ROUND((IF(ISNUMBER(Matching_Engine!$U$107),Matching_Engine!$U$107*Lookup_Lists!$D$335,0)+IF(ISNUMBER(Matching_Engine!$V$107),Matching_Engine!$V$107*Lookup_Lists!$D$122,0)+IF(ISNUMBER(Matching_Engine!$W$107),Matching_Engine!$W$107*Lookup_Lists!$D$336,0)+IF(ISNUMBER(Matching_Engine!$X$107),Matching_Engine!$X$107*Lookup_Lists!$D$124,0))/(IF(ISNUMBER(Matching_Engine!$U$107),Lookup_Lists!$D$335,0)+IF(ISNUMBER(Matching_Engine!$V$107),Lookup_Lists!$D$122,0)+IF(ISNUMBER(Matching_Engine!$W$107),Lookup_Lists!$D$336,0)+IF(ISNUMBER(Matching_Engine!$X$107),Lookup_Lists!$D$124,0)),0))</f>
        <v>N/A</v>
      </c>
      <c r="Z107" s="42">
        <f>IF(ISNUMBER(Matching_Engine!$Y$107),1,0)</f>
        <v>0</v>
      </c>
      <c r="AA107" s="65" t="e">
        <f>IF(NOT(AND(ISTEXT('[1]#REF'!$Q$11),'[1]#REF'!$Q$11&lt;&gt;"N/A")),"N/A",Lookup_Lists!$D$150)</f>
        <v>#REF!</v>
      </c>
      <c r="AB107" s="65" t="e">
        <f>IF(NOT(AND(ISTEXT('[1]#REF'!$Q$11),'[1]#REF'!$Q$11&lt;&gt;"N/A")),"N/A",Lookup_Lists!$D$150)</f>
        <v>#REF!</v>
      </c>
      <c r="AC107" s="65" t="str">
        <f t="shared" si="1"/>
        <v>N/A</v>
      </c>
      <c r="AD107" s="65" t="e">
        <f>IF(NOT(AND(ISTEXT('[1]#REF'!$Q$11),'[1]#REF'!$Q$11&lt;&gt;"N/A")),"N/A",Lookup_Lists!$D$150)</f>
        <v>#REF!</v>
      </c>
      <c r="AE107" s="63" t="str">
        <f>IF((IF(ISNUMBER(Matching_Engine!$AA$107),Lookup_Lists!$D$125,0)+IF(ISNUMBER(Matching_Engine!$AB$107),Lookup_Lists!$D$126,0)+IF(ISNUMBER(Matching_Engine!$AC$107),Lookup_Lists!$D$127,0)+IF(ISNUMBER(Matching_Engine!$AD$107),Lookup_Lists!$D$128,0))=0,"N/A",ROUND((IF(ISNUMBER(Matching_Engine!$AA$107),Matching_Engine!$AA$107*Lookup_Lists!$D$125,0)+IF(ISNUMBER(Matching_Engine!$AB$107),Matching_Engine!$AB$107*Lookup_Lists!$D$126,0)+IF(ISNUMBER(Matching_Engine!$AC$107),Matching_Engine!$AC$107*Lookup_Lists!$D$127,0)+IF(ISNUMBER(Matching_Engine!$AD$107),Matching_Engine!$AD$107*Lookup_Lists!$D$128,0))/(IF(ISNUMBER(Matching_Engine!$AA$107),Lookup_Lists!$D$125,0)+IF(ISNUMBER(Matching_Engine!$AB$107),Lookup_Lists!$D$126,0)+IF(ISNUMBER(Matching_Engine!$AC$107),Lookup_Lists!$D$127,0)+IF(ISNUMBER(Matching_Engine!$AD$107),Lookup_Lists!$D$128,0)),0))</f>
        <v>N/A</v>
      </c>
      <c r="AF107" s="42">
        <f>IF(ISNUMBER(Matching_Engine!$AE$107),1,0)</f>
        <v>0</v>
      </c>
      <c r="AG107" s="65" t="str">
        <f>IF(NOT(ISNUMBER('[1]#REF'!$BG$11)),"N/A",MIN(100,ROUND('[1]#REF'!$BG$11/IFERROR(INDEX(Lookup_Lists!$B$340:$B$344,MATCH('[1]#REF'!$H$11,Lookup_Lists!$A$340:$A$344,0)),Lookup_Lists!$D$141)*100,0)))</f>
        <v>N/A</v>
      </c>
      <c r="AH107" s="65" t="str">
        <f>IF(NOT(ISNUMBER('[1]#REF'!$BS$11)),"N/A",MIN(100,MAX(0,'[1]#REF'!$BS$11)))</f>
        <v>N/A</v>
      </c>
      <c r="AI107" s="65" t="e">
        <f>IF(OR(NOT(ISNUMBER('[1]#REF'!$BM$11)),NOT(ISNUMBER('[1]#REF'!$BN$11)),'[1]#REF'!$BN$11&lt;Lookup_Lists!$D$320),"N/A",MIN(100,ROUND('[1]#REF'!$BM$11/Lookup_Lists!$D$319*100,0)))</f>
        <v>#REF!</v>
      </c>
      <c r="AJ107" s="65" t="str">
        <f>IF(NOT(ISNUMBER('[1]#REF'!$BR$11)),"N/A",'[1]#REF'!$BR$11)</f>
        <v>N/A</v>
      </c>
      <c r="AK107" s="65" t="str">
        <f>IF(NOT(ISNUMBER('[1]#REF'!$BK$11)),"N/A",MIN(100,ROUND('[1]#REF'!$BK$11/Lookup_Lists!$D$321*100,0)))</f>
        <v>N/A</v>
      </c>
      <c r="AL107" s="65" t="str">
        <f>IF(NOT(ISNUMBER('[1]#REF'!$BP$11)),"N/A",MIN(100,MAX(0,ROUND(('[1]#REF'!$BP$11+2)/(Lookup_Lists!$D$145+2)*100,0))))</f>
        <v>N/A</v>
      </c>
      <c r="AM107" s="63" t="str">
        <f>IF((IF(ISNUMBER(Matching_Engine!$AG$107),Lookup_Lists!$D$129,0)+IF(ISNUMBER(Matching_Engine!$AH$107),Lookup_Lists!$D$130,0)+IF(ISNUMBER(Matching_Engine!$AI$107),Lookup_Lists!$D$131,0)+IF(ISNUMBER(Matching_Engine!$AJ$107),Lookup_Lists!$D$132,0)+IF(ISNUMBER(Matching_Engine!$AK$107),Lookup_Lists!$D$133,0)+IF(ISNUMBER(Matching_Engine!$AL$107),Lookup_Lists!$D$134,0))=0,"N/A",ROUND((IF(ISNUMBER(Matching_Engine!$AG$107),Matching_Engine!$AG$107*Lookup_Lists!$D$129,0)+IF(ISNUMBER(Matching_Engine!$AH$107),Matching_Engine!$AH$107*Lookup_Lists!$D$130,0)+IF(ISNUMBER(Matching_Engine!$AI$107),Matching_Engine!$AI$107*Lookup_Lists!$D$131,0)+IF(ISNUMBER(Matching_Engine!$AJ$107),Matching_Engine!$AJ$107*Lookup_Lists!$D$132,0)+IF(ISNUMBER(Matching_Engine!$AK$107),Matching_Engine!$AK$107*Lookup_Lists!$D$133,0)+IF(ISNUMBER(Matching_Engine!$AL$107),Matching_Engine!$AL$107*Lookup_Lists!$D$134,0))/(IF(ISNUMBER(Matching_Engine!$AG$107),Lookup_Lists!$D$129,0)+IF(ISNUMBER(Matching_Engine!$AH$107),Lookup_Lists!$D$130,0)+IF(ISNUMBER(Matching_Engine!$AI$107),Lookup_Lists!$D$131,0)+IF(ISNUMBER(Matching_Engine!$AJ$107),Lookup_Lists!$D$132,0)+IF(ISNUMBER(Matching_Engine!$AK$107),Lookup_Lists!$D$133,0)+IF(ISNUMBER(Matching_Engine!$AL$107),Lookup_Lists!$D$134,0)),0))</f>
        <v>N/A</v>
      </c>
      <c r="AN107" s="42">
        <f>IF(ISNUMBER(Matching_Engine!$AM$107),1,0)</f>
        <v>0</v>
      </c>
      <c r="AO107" s="65" t="str">
        <f>IF(NOT(ISNUMBER('[1]#REF'!$BT$11)),"N/A",MIN(100,MAX(0,'[1]#REF'!$BT$11)))</f>
        <v>N/A</v>
      </c>
      <c r="AP107" s="65" t="str">
        <f>IF(NOT(ISNUMBER('[1]#REF'!$BU$11)),"N/A",MIN(100,MAX(0,'[1]#REF'!$BU$11)))</f>
        <v>N/A</v>
      </c>
      <c r="AQ107" s="65" t="e">
        <f>IF('[1]#REF'!$I$11="Yes",Lookup_Lists!$D$326,IF('[1]#REF'!$I$11="No",Lookup_Lists!$D$327,"N/A"))</f>
        <v>#REF!</v>
      </c>
      <c r="AR107" s="65" t="str">
        <f>IF(NOT(ISNUMBER('[1]#REF'!$BQ$11)),"N/A",MAX(0,ROUND(100-'[1]#REF'!$BQ$11/Lookup_Lists!$D$328*100,0)))</f>
        <v>N/A</v>
      </c>
      <c r="AS107" s="65" t="e">
        <f>IF(NOT(AND(ISTEXT('[1]#REF'!$BV$11),'[1]#REF'!$BV$11&lt;&gt;"N/A")),"N/A",'[1]#REF'!$BV$11)</f>
        <v>#REF!</v>
      </c>
      <c r="AT107" s="63" t="str">
        <f>IF((IF(ISNUMBER(Matching_Engine!$AO$107),Lookup_Lists!$D$322,0)+IF(ISNUMBER(Matching_Engine!$AP$107),Lookup_Lists!$D$323,0)+IF(ISNUMBER(Matching_Engine!$AQ$107),Lookup_Lists!$D$324,0)+IF(ISNUMBER(Matching_Engine!$AR$107),Lookup_Lists!$D$325,0))=0,"N/A",ROUND((IF(ISNUMBER(Matching_Engine!$AO$107),Matching_Engine!$AO$107*Lookup_Lists!$D$322,0)+IF(ISNUMBER(Matching_Engine!$AP$107),Matching_Engine!$AP$107*Lookup_Lists!$D$323,0)+IF(ISNUMBER(Matching_Engine!$AQ$107),Matching_Engine!$AQ$107*Lookup_Lists!$D$324,0)+IF(ISNUMBER(Matching_Engine!$AR$107),Matching_Engine!$AR$107*Lookup_Lists!$D$325,0))/(IF(ISNUMBER(Matching_Engine!$AO$107),Lookup_Lists!$D$322,0)+IF(ISNUMBER(Matching_Engine!$AP$107),Lookup_Lists!$D$323,0)+IF(ISNUMBER(Matching_Engine!$AQ$107),Lookup_Lists!$D$324,0)+IF(ISNUMBER(Matching_Engine!$AR$107),Lookup_Lists!$D$325,0)),0))</f>
        <v>N/A</v>
      </c>
      <c r="AU107" s="42">
        <f>IF(ISNUMBER(Matching_Engine!$AT$107),1,0)</f>
        <v>0</v>
      </c>
      <c r="AV107" s="42" t="str">
        <f>IF(NOT(ISNUMBER(Matching_Engine!$AT$107)),"Not Screened",IF(Matching_Engine!$AT$107&gt;=Lookup_Lists!$D$329,"Low Risk",IF(Matching_Engine!$AT$107&gt;=Lookup_Lists!$D$330,"Moderate Risk",IF(Matching_Engine!$AT$107&gt;=Lookup_Lists!$D$331,"Elevated Risk","High Risk"))))</f>
        <v>Not Screened</v>
      </c>
      <c r="AW107" s="42" t="str">
        <f>IF(NOT(ISNUMBER(Matching_Engine!$AT$107)),"No integrity signal: no audience-analysis row for this account.","Integrity screen only — no content-risk reading exists (comments_analysis: 0 rows). "&amp;IF(ISNUMBER(Matching_Engine!$AO$107),"Authenticity "&amp;Matching_Engine!$AO$107&amp;". ","Authenticity N/A. ")&amp;IF(ISNUMBER(Matching_Engine!$AP$107),"Follower quality "&amp;Matching_Engine!$AP$107&amp;". ","Follower quality N/A. ")&amp;IF('[1]#REF'!$I$11="Yes","Platform-verified.","Not platform-verified."))</f>
        <v>No integrity signal: no audience-analysis row for this account.</v>
      </c>
      <c r="AX107" s="65">
        <f>Matching_Engine!$N$107*Lookup_Lists!$D$104+Matching_Engine!$T$107*Lookup_Lists!$D$105+Matching_Engine!$Z$107*Lookup_Lists!$D$106+Matching_Engine!$AF$107*Lookup_Lists!$D$107+Matching_Engine!$AN$107*Lookup_Lists!$D$108+Matching_Engine!$AU$107*Lookup_Lists!$D$109</f>
        <v>0</v>
      </c>
      <c r="AY107" s="74" t="str">
        <f>IF(Matching_Engine!$AX$107=0,"N/A",ROUND((IF(Matching_Engine!$N$107=1,Matching_Engine!$M$107*Lookup_Lists!$D$104,0)+IF(Matching_Engine!$T$107=1,Matching_Engine!$S$107*Lookup_Lists!$D$105,0)+IF(Matching_Engine!$Z$107=1,Matching_Engine!$Y$107*Lookup_Lists!$D$106,0)+IF(Matching_Engine!$AF$107=1,Matching_Engine!$AE$107*Lookup_Lists!$D$107,0)+IF(Matching_Engine!$AN$107=1,Matching_Engine!$AM$107*Lookup_Lists!$D$108,0)+IF(Matching_Engine!$AU$107=1,Matching_Engine!$AT$107*Lookup_Lists!$D$109,0))/Matching_Engine!$AX$107,0))</f>
        <v>N/A</v>
      </c>
      <c r="AZ107" s="42" t="str">
        <f>IF(NOT(ISNUMBER(Matching_Engine!$AY$107)),"Not Scored",IF(Matching_Engine!$AY$107&gt;=Lookup_Lists!$D$152,"Excellent Match",IF(Matching_Engine!$AY$107&gt;=Lookup_Lists!$D$153,"Strong Match",IF(Matching_Engine!$AY$107&gt;=Lookup_Lists!$D$154,"Good Match",IF(Matching_Engine!$AY$107&gt;=Lookup_Lists!$D$155,"Moderate Match","Low Match")))))</f>
        <v>Not Scored</v>
      </c>
      <c r="BA107" s="65" t="e">
        <f>'[1]#REF'!$BW$11</f>
        <v>#REF!</v>
      </c>
      <c r="BB107" s="42" t="e">
        <f>'[1]#REF'!$BX$11</f>
        <v>#REF!</v>
      </c>
      <c r="BC107" s="65">
        <f>IF(NOT(ISNUMBER(Matching_Engine!$AY$107)),-1,Matching_Engine!$AY$107*1000+19)</f>
        <v>-1</v>
      </c>
      <c r="BD107" s="42" t="e">
        <f>IF(AND(ISTEXT('[1]#REF'!$S$11),'[1]#REF'!$S$11&lt;&gt;"N/A"),'[1]#REF'!$S$11,"")&amp;" | "&amp;IF(AND(ISTEXT('[1]#REF'!$T$11),'[1]#REF'!$T$11&lt;&gt;"N/A"),'[1]#REF'!$T$11,"")&amp;" | "&amp;IF(AND(ISTEXT('[1]#REF'!$N$11),'[1]#REF'!$N$11&lt;&gt;"N/A"),'[1]#REF'!$N$11,"")&amp;" | "&amp;IF(AND(ISTEXT('[1]#REF'!$K$11),'[1]#REF'!$K$11&lt;&gt;"N/A"),'[1]#REF'!$K$11,"")&amp;" | "&amp;IF(AND(ISTEXT('[1]#REF'!$J$11),'[1]#REF'!$J$11&lt;&gt;"N/A"),'[1]#REF'!$J$11,"")</f>
        <v>#REF!</v>
      </c>
      <c r="BE107" s="42" t="e">
        <f>IF(AND(ISTEXT('[1]#REF'!$T$11),'[1]#REF'!$T$11&lt;&gt;"N/A"),'[1]#REF'!$T$11,"")&amp;" | "&amp;IF(AND(ISTEXT('[1]#REF'!$N$11),'[1]#REF'!$N$11&lt;&gt;"N/A"),'[1]#REF'!$N$11,"")&amp;" | "&amp;IF(AND(ISTEXT('[1]#REF'!$O$11),'[1]#REF'!$O$11&lt;&gt;"N/A"),'[1]#REF'!$O$11,"")&amp;" | "&amp;IF(AND(ISTEXT('[1]#REF'!$S$11),'[1]#REF'!$S$11&lt;&gt;"N/A"),'[1]#REF'!$S$11,"")</f>
        <v>#REF!</v>
      </c>
      <c r="BF107" s="42" t="e">
        <f>IF(AND(ISTEXT('[1]#REF'!$U$11),'[1]#REF'!$U$11&lt;&gt;"N/A"),'[1]#REF'!$U$11,"")</f>
        <v>#REF!</v>
      </c>
      <c r="BG107" s="42" t="str">
        <f>Matching_Engine!$A$107&amp;"|"&amp;Matching_Engine!$C$107</f>
        <v>|</v>
      </c>
    </row>
    <row r="108" spans="1:59">
      <c r="A108" s="64" t="s">
        <v>2531</v>
      </c>
      <c r="B108" s="42">
        <f>Brand_Profile!$I$6</f>
        <v>0</v>
      </c>
      <c r="C108" s="42" t="e">
        <f>'[1]#REF'!$A$12</f>
        <v>#REF!</v>
      </c>
      <c r="D108" s="42" t="e">
        <f>'[1]#REF'!$C$12</f>
        <v>#REF!</v>
      </c>
      <c r="E108" s="42" t="e">
        <f>'[1]#REF'!$D$12</f>
        <v>#REF!</v>
      </c>
      <c r="F108" s="42" t="e">
        <f>'[1]#REF'!$E$12</f>
        <v>#REF!</v>
      </c>
      <c r="G108" s="42" t="e">
        <f>'[1]#REF'!$K$12</f>
        <v>#REF!</v>
      </c>
      <c r="H108" s="72" t="e">
        <f>'[1]#REF'!$G$12</f>
        <v>#REF!</v>
      </c>
      <c r="I108" s="73" t="e">
        <f>'[1]#REF'!$BG$12</f>
        <v>#REF!</v>
      </c>
      <c r="J108" s="65" t="e">
        <f>IF(NOT(AND(ISTEXT('[1]#REF'!$K$12),'[1]#REF'!$K$12&lt;&gt;"N/A")),Lookup_Lists!$D$150,IF(Brand_Profile!$I$7='[1]#REF'!$K$12,100,IFERROR(INDEX(Lookup_Lists!$B$349:$J$357,MATCH(Brand_Profile!$I$7,Lookup_Lists!$A$349:$A$357,0),MATCH('[1]#REF'!$K$12,Lookup_Lists!$B$348:$J$348,0)),Lookup_Lists!$D$151)))</f>
        <v>#REF!</v>
      </c>
      <c r="K108" s="65" t="str">
        <f>IF(LEN(TRIM(SUBSTITUTE(Matching_Engine!$BD$108,"|","")))=0,"N/A",IF(Brand_Profile!$I$47=0,Lookup_Lists!$D$150,ROUND((IF(Brand_Profile!$I$41="",0,IF(ISNUMBER(SEARCH(Brand_Profile!$I$41,Matching_Engine!$BD$108)),1,0))+IF(Brand_Profile!$I$42="",0,IF(ISNUMBER(SEARCH(Brand_Profile!$I$42,Matching_Engine!$BD$108)),1,0))+IF(Brand_Profile!$I$43="",0,IF(ISNUMBER(SEARCH(Brand_Profile!$I$43,Matching_Engine!$BD$108)),1,0))+IF(Brand_Profile!$I$44="",0,IF(ISNUMBER(SEARCH(Brand_Profile!$I$44,Matching_Engine!$BD$108)),1,0))+IF(Brand_Profile!$I$45="",0,IF(ISNUMBER(SEARCH(Brand_Profile!$I$45,Matching_Engine!$BD$108)),1,0))+IF(Brand_Profile!$I$46="",0,IF(ISNUMBER(SEARCH(Brand_Profile!$I$46,Matching_Engine!$BD$108)),1,0)))/Brand_Profile!$I$47*100,0)))</f>
        <v>N/A</v>
      </c>
      <c r="L108" s="65" t="e">
        <f>IF(NOT(AND(ISTEXT('[1]#REF'!$U$12),'[1]#REF'!$U$12&lt;&gt;"N/A")),"N/A",IF(Brand_Profile!$I$53=0,Lookup_Lists!$D$150,ROUND((IF(Brand_Profile!$I$48="",0,IF(ISNUMBER(SEARCH(Brand_Profile!$I$48,Matching_Engine!$BF$108)),1,0))+IF(Brand_Profile!$I$49="",0,IF(ISNUMBER(SEARCH(Brand_Profile!$I$49,Matching_Engine!$BF$108)),1,0))+IF(Brand_Profile!$I$50="",0,IF(ISNUMBER(SEARCH(Brand_Profile!$I$50,Matching_Engine!$BF$108)),1,0))+IF(Brand_Profile!$I$51="",0,IF(ISNUMBER(SEARCH(Brand_Profile!$I$51,Matching_Engine!$BF$108)),1,0))+IF(Brand_Profile!$I$52="",0,IF(ISNUMBER(SEARCH(Brand_Profile!$I$52,Matching_Engine!$BF$108)),1,0)))/Brand_Profile!$I$53*100,0)))</f>
        <v>#REF!</v>
      </c>
      <c r="M108" s="63" t="str">
        <f>IF((IF(ISNUMBER(Matching_Engine!$J$108),Lookup_Lists!$D$332,0)+IF(ISNUMBER(Matching_Engine!$K$108),Lookup_Lists!$D$333,0)+IF(ISNUMBER(Matching_Engine!$L$108),Lookup_Lists!$D$334,0))=0,"N/A",ROUND((IF(ISNUMBER(Matching_Engine!$J$108),Matching_Engine!$J$108*Lookup_Lists!$D$332,0)+IF(ISNUMBER(Matching_Engine!$K$108),Matching_Engine!$K$108*Lookup_Lists!$D$333,0)+IF(ISNUMBER(Matching_Engine!$L$108),Matching_Engine!$L$108*Lookup_Lists!$D$334,0))/(IF(ISNUMBER(Matching_Engine!$J$108),Lookup_Lists!$D$332,0)+IF(ISNUMBER(Matching_Engine!$K$108),Lookup_Lists!$D$333,0)+IF(ISNUMBER(Matching_Engine!$L$108),Lookup_Lists!$D$334,0)),0))</f>
        <v>N/A</v>
      </c>
      <c r="N108" s="42">
        <f>IF(ISNUMBER(Matching_Engine!$M$108),1,0)</f>
        <v>0</v>
      </c>
      <c r="O108" s="65" t="str">
        <f ca="1">IF(NOT(ISNUMBER(IFERROR(INDEX('[1]#REF'!$V$12:'[1]#REF'!$Z$12,1,MATCH(Brand_Profile!$I$11,Lookup_Lists!$F$6:$F$10,0)),""))),"N/A",MIN(100,ROUND((IFERROR(INDEX('[1]#REF'!$V$12:'[1]#REF'!$Z$12,1,MATCH(Brand_Profile!$I$11,Lookup_Lists!$F$6:$F$10,0)),"")+0.5*IF(ISNUMBER(IFERROR(INDEX('[1]#REF'!$V$12:'[1]#REF'!$Z$12,1,MATCH(Brand_Profile!$I$12,Lookup_Lists!$F$6:$F$10,0)),"")),IFERROR(INDEX('[1]#REF'!$V$12:'[1]#REF'!$Z$12,1,MATCH(Brand_Profile!$I$12,Lookup_Lists!$F$6:$F$10,0)),""),0))/Lookup_Lists!$D$142*100,0)))</f>
        <v>N/A</v>
      </c>
      <c r="P108" s="65" t="str">
        <f>IF(Brand_Profile!$I$13="Any",100,IF(NOT(ISNUMBER('[1]#REF'!$AA$12)),"N/A",IF(Brand_Profile!$I$13="Female",MIN(100,ROUND('[1]#REF'!$AA$12/Lookup_Lists!$D$143*100,0)),IF(Brand_Profile!$I$13="Male",MIN(100,ROUND(IF(ISNUMBER('[1]#REF'!$AB$12),'[1]#REF'!$AB$12,100-'[1]#REF'!$AA$12)/Lookup_Lists!$D$143*100,0)),MAX(0,ROUND(100-ABS('[1]#REF'!$AA$12-50)*2,0))))))</f>
        <v>N/A</v>
      </c>
      <c r="Q108" s="65" t="str">
        <f>IF((IF(ISNUMBER(IF(NOT(ISNUMBER('[1]#REF'!$AE$12)),"N/A",IF('[1]#REF'!$AD$12&lt;&gt;Brand_Profile!$I$14,Lookup_Lists!$D$151,MIN(100,ROUND('[1]#REF'!$AE$12/Lookup_Lists!$D$316*100,0))))),Lookup_Lists!$D$118,0)+IF(ISNUMBER(IF(NOT(ISNUMBER('[1]#REF'!$AM$12)),"N/A",MIN(100,ROUND((IF('[1]#REF'!$AG$12=Brand_Profile!$I$15,IF(ISNUMBER('[1]#REF'!$AH$12),'[1]#REF'!$AH$12,0),0)+IF('[1]#REF'!$AI$12=Brand_Profile!$I$15,IF(ISNUMBER('[1]#REF'!$AJ$12),'[1]#REF'!$AJ$12,0),0)+IF('[1]#REF'!$AK$12=Brand_Profile!$I$15,IF(ISNUMBER('[1]#REF'!$AL$12),'[1]#REF'!$AL$12,0),0))/Lookup_Lists!$D$317*100,0)))),Lookup_Lists!$D$120,0))=0,"N/A",ROUND((IF(ISNUMBER(IF(NOT(ISNUMBER('[1]#REF'!$AE$12)),"N/A",IF('[1]#REF'!$AD$12&lt;&gt;Brand_Profile!$I$14,Lookup_Lists!$D$151,MIN(100,ROUND('[1]#REF'!$AE$12/Lookup_Lists!$D$316*100,0))))),IF(NOT(ISNUMBER('[1]#REF'!$AE$12)),"N/A",IF('[1]#REF'!$AD$12&lt;&gt;Brand_Profile!$I$14,Lookup_Lists!$D$151,MIN(100,ROUND('[1]#REF'!$AE$12/Lookup_Lists!$D$316*100,0))))*Lookup_Lists!$D$118,0)+IF(ISNUMBER(IF(NOT(ISNUMBER('[1]#REF'!$AM$12)),"N/A",MIN(100,ROUND((IF('[1]#REF'!$AG$12=Brand_Profile!$I$15,IF(ISNUMBER('[1]#REF'!$AH$12),'[1]#REF'!$AH$12,0),0)+IF('[1]#REF'!$AI$12=Brand_Profile!$I$15,IF(ISNUMBER('[1]#REF'!$AJ$12),'[1]#REF'!$AJ$12,0),0)+IF('[1]#REF'!$AK$12=Brand_Profile!$I$15,IF(ISNUMBER('[1]#REF'!$AL$12),'[1]#REF'!$AL$12,0),0))/Lookup_Lists!$D$317*100,0)))),IF(NOT(ISNUMBER('[1]#REF'!$AM$12)),"N/A",MIN(100,ROUND((IF('[1]#REF'!$AG$12=Brand_Profile!$I$15,IF(ISNUMBER('[1]#REF'!$AH$12),'[1]#REF'!$AH$12,0),0)+IF('[1]#REF'!$AI$12=Brand_Profile!$I$15,IF(ISNUMBER('[1]#REF'!$AJ$12),'[1]#REF'!$AJ$12,0),0)+IF('[1]#REF'!$AK$12=Brand_Profile!$I$15,IF(ISNUMBER('[1]#REF'!$AL$12),'[1]#REF'!$AL$12,0),0))/Lookup_Lists!$D$317*100,0)))*Lookup_Lists!$D$120,0))/(IF(ISNUMBER(IF(NOT(ISNUMBER('[1]#REF'!$AE$12)),"N/A",IF('[1]#REF'!$AD$12&lt;&gt;Brand_Profile!$I$14,Lookup_Lists!$D$151,MIN(100,ROUND('[1]#REF'!$AE$12/Lookup_Lists!$D$316*100,0))))),Lookup_Lists!$D$118,0)+IF(ISNUMBER(IF(NOT(ISNUMBER('[1]#REF'!$AM$12)),"N/A",MIN(100,ROUND((IF('[1]#REF'!$AG$12=Brand_Profile!$I$15,IF(ISNUMBER('[1]#REF'!$AH$12),'[1]#REF'!$AH$12,0),0)+IF('[1]#REF'!$AI$12=Brand_Profile!$I$15,IF(ISNUMBER('[1]#REF'!$AJ$12),'[1]#REF'!$AJ$12,0),0)+IF('[1]#REF'!$AK$12=Brand_Profile!$I$15,IF(ISNUMBER('[1]#REF'!$AL$12),'[1]#REF'!$AL$12,0),0))/Lookup_Lists!$D$317*100,0)))),Lookup_Lists!$D$120,0)),0))</f>
        <v>N/A</v>
      </c>
      <c r="R108" s="65" t="str">
        <f>IF(NOT(ISNUMBER('[1]#REF'!$AN$12)),"N/A",MIN(100,ROUND((IF(ISNUMBER('[1]#REF'!$AO$12),'[1]#REF'!$AO$12*Brand_Profile!$I$17,0)+IF(ISNUMBER('[1]#REF'!$AP$12),'[1]#REF'!$AP$12*Brand_Profile!$I$18,0)+IF(ISNUMBER('[1]#REF'!$AQ$12),'[1]#REF'!$AQ$12*Brand_Profile!$I$19,0)+IF(ISNUMBER('[1]#REF'!$AR$12),'[1]#REF'!$AR$12*Brand_Profile!$I$20,0)+IF(ISNUMBER('[1]#REF'!$AS$12),'[1]#REF'!$AS$12*Brand_Profile!$I$21,0)+IF(ISNUMBER('[1]#REF'!$AT$12),'[1]#REF'!$AT$12*Brand_Profile!$I$22,0)+IF(ISNUMBER('[1]#REF'!$AU$12),'[1]#REF'!$AU$12*Brand_Profile!$I$23,0)+IF(ISNUMBER('[1]#REF'!$AV$12),'[1]#REF'!$AV$12*Brand_Profile!$I$24,0)+IF(ISNUMBER('[1]#REF'!$AW$12),'[1]#REF'!$AW$12*Brand_Profile!$I$25,0)+IF(ISNUMBER('[1]#REF'!$AX$12),'[1]#REF'!$AX$12*Brand_Profile!$I$26,0)+IF(ISNUMBER('[1]#REF'!$AY$12),'[1]#REF'!$AY$12*Brand_Profile!$I$27,0)+IF(ISNUMBER('[1]#REF'!$AZ$12),'[1]#REF'!$AZ$12*Brand_Profile!$I$28,0)+IF(ISNUMBER('[1]#REF'!$BA$12),'[1]#REF'!$BA$12*Brand_Profile!$I$29,0)+IF(ISNUMBER('[1]#REF'!$BB$12),'[1]#REF'!$BB$12*Brand_Profile!$I$30,0)+IF(ISNUMBER('[1]#REF'!$BC$12),'[1]#REF'!$BC$12*Brand_Profile!$I$31,0)+IF(ISNUMBER('[1]#REF'!$BD$12),'[1]#REF'!$BD$12*Brand_Profile!$I$32,0)+IF(ISNUMBER('[1]#REF'!$BE$12),'[1]#REF'!$BE$12*Brand_Profile!$I$33,0)+IF(ISNUMBER('[1]#REF'!$BF$12),'[1]#REF'!$BF$12*Brand_Profile!$I$34,0))/Lookup_Lists!$D$318*100,0)))</f>
        <v>N/A</v>
      </c>
      <c r="S108" s="63" t="str">
        <f>IF((IF(ISNUMBER(Matching_Engine!$O$108),Lookup_Lists!$D$113,0)+IF(ISNUMBER(Matching_Engine!$P$108),Lookup_Lists!$D$114,0)+IF(ISNUMBER(Matching_Engine!$Q$108),Lookup_Lists!$D$115,0)+IF(ISNUMBER(Matching_Engine!$R$108),Lookup_Lists!$D$116,0))=0,"N/A",ROUND((IF(ISNUMBER(Matching_Engine!$O$108),Matching_Engine!$O$108*Lookup_Lists!$D$113,0)+IF(ISNUMBER(Matching_Engine!$P$108),Matching_Engine!$P$108*Lookup_Lists!$D$114,0)+IF(ISNUMBER(Matching_Engine!$Q$108),Matching_Engine!$Q$108*Lookup_Lists!$D$115,0)+IF(ISNUMBER(Matching_Engine!$R$108),Matching_Engine!$R$108*Lookup_Lists!$D$116,0))/(IF(ISNUMBER(Matching_Engine!$O$108),Lookup_Lists!$D$113,0)+IF(ISNUMBER(Matching_Engine!$P$108),Lookup_Lists!$D$114,0)+IF(ISNUMBER(Matching_Engine!$Q$108),Lookup_Lists!$D$115,0)+IF(ISNUMBER(Matching_Engine!$R$108),Lookup_Lists!$D$116,0)),0))</f>
        <v>N/A</v>
      </c>
      <c r="T108" s="42">
        <f>IF(ISNUMBER(Matching_Engine!$S$108),1,0)</f>
        <v>0</v>
      </c>
      <c r="U108" s="65" t="e">
        <f>IF(NOT(AND(ISTEXT('[1]#REF'!$M$12),'[1]#REF'!$M$12&lt;&gt;"N/A")),Lookup_Lists!$D$150,IF(Brand_Profile!$I$7='[1]#REF'!$M$12,100,IFERROR(INDEX(Lookup_Lists!$B$349:$J$357,MATCH(Brand_Profile!$I$7,Lookup_Lists!$A$349:$A$357,0),MATCH('[1]#REF'!$M$12,Lookup_Lists!$B$348:$J$348,0)),Lookup_Lists!$D$151)))</f>
        <v>#REF!</v>
      </c>
      <c r="V108" s="65" t="e">
        <f>IF(NOT(AND(ISTEXT('[1]#REF'!$P$12),'[1]#REF'!$P$12&lt;&gt;"N/A")),"N/A",IFERROR(INDEX(Lookup_Lists!$B$349:$J$357,MATCH(Brand_Profile!$I$7,Lookup_Lists!$A$349:$A$357,0),MATCH('[1]#REF'!$P$12,Lookup_Lists!$B$348:$J$348,0)),Lookup_Lists!$D$151))</f>
        <v>#REF!</v>
      </c>
      <c r="W108" s="65" t="str">
        <f>IF(LEN(TRIM(SUBSTITUTE(Matching_Engine!$BE$108,"|","")))=0,"N/A",IF(Brand_Profile!$I$60=0,Lookup_Lists!$D$150,ROUND((IF(Brand_Profile!$I$54="",0,IF(ISNUMBER(SEARCH(Brand_Profile!$I$54,Matching_Engine!$BE$108)),1,0))+IF(Brand_Profile!$I$55="",0,IF(ISNUMBER(SEARCH(Brand_Profile!$I$55,Matching_Engine!$BE$108)),1,0))+IF(Brand_Profile!$I$56="",0,IF(ISNUMBER(SEARCH(Brand_Profile!$I$56,Matching_Engine!$BE$108)),1,0))+IF(Brand_Profile!$I$57="",0,IF(ISNUMBER(SEARCH(Brand_Profile!$I$57,Matching_Engine!$BE$108)),1,0))+IF(Brand_Profile!$I$58="",0,IF(ISNUMBER(SEARCH(Brand_Profile!$I$58,Matching_Engine!$BE$108)),1,0))+IF(Brand_Profile!$I$59="",0,IF(ISNUMBER(SEARCH(Brand_Profile!$I$59,Matching_Engine!$BE$108)),1,0)))/Brand_Profile!$I$60*100,0)))</f>
        <v>N/A</v>
      </c>
      <c r="X108" s="65" t="e">
        <f>IF(NOT(AND(ISTEXT('[1]#REF'!$Q$12),'[1]#REF'!$Q$12&lt;&gt;"N/A")),"N/A",Lookup_Lists!$D$150)</f>
        <v>#REF!</v>
      </c>
      <c r="Y108" s="63" t="str">
        <f>IF((IF(ISNUMBER(Matching_Engine!$U$108),Lookup_Lists!$D$335,0)+IF(ISNUMBER(Matching_Engine!$V$108),Lookup_Lists!$D$122,0)+IF(ISNUMBER(Matching_Engine!$W$108),Lookup_Lists!$D$336,0)+IF(ISNUMBER(Matching_Engine!$X$108),Lookup_Lists!$D$124,0))=0,"N/A",ROUND((IF(ISNUMBER(Matching_Engine!$U$108),Matching_Engine!$U$108*Lookup_Lists!$D$335,0)+IF(ISNUMBER(Matching_Engine!$V$108),Matching_Engine!$V$108*Lookup_Lists!$D$122,0)+IF(ISNUMBER(Matching_Engine!$W$108),Matching_Engine!$W$108*Lookup_Lists!$D$336,0)+IF(ISNUMBER(Matching_Engine!$X$108),Matching_Engine!$X$108*Lookup_Lists!$D$124,0))/(IF(ISNUMBER(Matching_Engine!$U$108),Lookup_Lists!$D$335,0)+IF(ISNUMBER(Matching_Engine!$V$108),Lookup_Lists!$D$122,0)+IF(ISNUMBER(Matching_Engine!$W$108),Lookup_Lists!$D$336,0)+IF(ISNUMBER(Matching_Engine!$X$108),Lookup_Lists!$D$124,0)),0))</f>
        <v>N/A</v>
      </c>
      <c r="Z108" s="42">
        <f>IF(ISNUMBER(Matching_Engine!$Y$108),1,0)</f>
        <v>0</v>
      </c>
      <c r="AA108" s="65" t="e">
        <f>IF(NOT(AND(ISTEXT('[1]#REF'!$Q$12),'[1]#REF'!$Q$12&lt;&gt;"N/A")),"N/A",Lookup_Lists!$D$150)</f>
        <v>#REF!</v>
      </c>
      <c r="AB108" s="65" t="e">
        <f>IF(NOT(AND(ISTEXT('[1]#REF'!$Q$12),'[1]#REF'!$Q$12&lt;&gt;"N/A")),"N/A",Lookup_Lists!$D$150)</f>
        <v>#REF!</v>
      </c>
      <c r="AC108" s="65" t="str">
        <f t="shared" si="1"/>
        <v>N/A</v>
      </c>
      <c r="AD108" s="65" t="e">
        <f>IF(NOT(AND(ISTEXT('[1]#REF'!$Q$12),'[1]#REF'!$Q$12&lt;&gt;"N/A")),"N/A",Lookup_Lists!$D$150)</f>
        <v>#REF!</v>
      </c>
      <c r="AE108" s="63" t="str">
        <f>IF((IF(ISNUMBER(Matching_Engine!$AA$108),Lookup_Lists!$D$125,0)+IF(ISNUMBER(Matching_Engine!$AB$108),Lookup_Lists!$D$126,0)+IF(ISNUMBER(Matching_Engine!$AC$108),Lookup_Lists!$D$127,0)+IF(ISNUMBER(Matching_Engine!$AD$108),Lookup_Lists!$D$128,0))=0,"N/A",ROUND((IF(ISNUMBER(Matching_Engine!$AA$108),Matching_Engine!$AA$108*Lookup_Lists!$D$125,0)+IF(ISNUMBER(Matching_Engine!$AB$108),Matching_Engine!$AB$108*Lookup_Lists!$D$126,0)+IF(ISNUMBER(Matching_Engine!$AC$108),Matching_Engine!$AC$108*Lookup_Lists!$D$127,0)+IF(ISNUMBER(Matching_Engine!$AD$108),Matching_Engine!$AD$108*Lookup_Lists!$D$128,0))/(IF(ISNUMBER(Matching_Engine!$AA$108),Lookup_Lists!$D$125,0)+IF(ISNUMBER(Matching_Engine!$AB$108),Lookup_Lists!$D$126,0)+IF(ISNUMBER(Matching_Engine!$AC$108),Lookup_Lists!$D$127,0)+IF(ISNUMBER(Matching_Engine!$AD$108),Lookup_Lists!$D$128,0)),0))</f>
        <v>N/A</v>
      </c>
      <c r="AF108" s="42">
        <f>IF(ISNUMBER(Matching_Engine!$AE$108),1,0)</f>
        <v>0</v>
      </c>
      <c r="AG108" s="65" t="str">
        <f>IF(NOT(ISNUMBER('[1]#REF'!$BG$12)),"N/A",MIN(100,ROUND('[1]#REF'!$BG$12/IFERROR(INDEX(Lookup_Lists!$B$340:$B$344,MATCH('[1]#REF'!$H$12,Lookup_Lists!$A$340:$A$344,0)),Lookup_Lists!$D$141)*100,0)))</f>
        <v>N/A</v>
      </c>
      <c r="AH108" s="65" t="str">
        <f>IF(NOT(ISNUMBER('[1]#REF'!$BS$12)),"N/A",MIN(100,MAX(0,'[1]#REF'!$BS$12)))</f>
        <v>N/A</v>
      </c>
      <c r="AI108" s="65" t="e">
        <f>IF(OR(NOT(ISNUMBER('[1]#REF'!$BM$12)),NOT(ISNUMBER('[1]#REF'!$BN$12)),'[1]#REF'!$BN$12&lt;Lookup_Lists!$D$320),"N/A",MIN(100,ROUND('[1]#REF'!$BM$12/Lookup_Lists!$D$319*100,0)))</f>
        <v>#REF!</v>
      </c>
      <c r="AJ108" s="65" t="str">
        <f>IF(NOT(ISNUMBER('[1]#REF'!$BR$12)),"N/A",'[1]#REF'!$BR$12)</f>
        <v>N/A</v>
      </c>
      <c r="AK108" s="65" t="str">
        <f>IF(NOT(ISNUMBER('[1]#REF'!$BK$12)),"N/A",MIN(100,ROUND('[1]#REF'!$BK$12/Lookup_Lists!$D$321*100,0)))</f>
        <v>N/A</v>
      </c>
      <c r="AL108" s="65" t="str">
        <f>IF(NOT(ISNUMBER('[1]#REF'!$BP$12)),"N/A",MIN(100,MAX(0,ROUND(('[1]#REF'!$BP$12+2)/(Lookup_Lists!$D$145+2)*100,0))))</f>
        <v>N/A</v>
      </c>
      <c r="AM108" s="63" t="str">
        <f>IF((IF(ISNUMBER(Matching_Engine!$AG$108),Lookup_Lists!$D$129,0)+IF(ISNUMBER(Matching_Engine!$AH$108),Lookup_Lists!$D$130,0)+IF(ISNUMBER(Matching_Engine!$AI$108),Lookup_Lists!$D$131,0)+IF(ISNUMBER(Matching_Engine!$AJ$108),Lookup_Lists!$D$132,0)+IF(ISNUMBER(Matching_Engine!$AK$108),Lookup_Lists!$D$133,0)+IF(ISNUMBER(Matching_Engine!$AL$108),Lookup_Lists!$D$134,0))=0,"N/A",ROUND((IF(ISNUMBER(Matching_Engine!$AG$108),Matching_Engine!$AG$108*Lookup_Lists!$D$129,0)+IF(ISNUMBER(Matching_Engine!$AH$108),Matching_Engine!$AH$108*Lookup_Lists!$D$130,0)+IF(ISNUMBER(Matching_Engine!$AI$108),Matching_Engine!$AI$108*Lookup_Lists!$D$131,0)+IF(ISNUMBER(Matching_Engine!$AJ$108),Matching_Engine!$AJ$108*Lookup_Lists!$D$132,0)+IF(ISNUMBER(Matching_Engine!$AK$108),Matching_Engine!$AK$108*Lookup_Lists!$D$133,0)+IF(ISNUMBER(Matching_Engine!$AL$108),Matching_Engine!$AL$108*Lookup_Lists!$D$134,0))/(IF(ISNUMBER(Matching_Engine!$AG$108),Lookup_Lists!$D$129,0)+IF(ISNUMBER(Matching_Engine!$AH$108),Lookup_Lists!$D$130,0)+IF(ISNUMBER(Matching_Engine!$AI$108),Lookup_Lists!$D$131,0)+IF(ISNUMBER(Matching_Engine!$AJ$108),Lookup_Lists!$D$132,0)+IF(ISNUMBER(Matching_Engine!$AK$108),Lookup_Lists!$D$133,0)+IF(ISNUMBER(Matching_Engine!$AL$108),Lookup_Lists!$D$134,0)),0))</f>
        <v>N/A</v>
      </c>
      <c r="AN108" s="42">
        <f>IF(ISNUMBER(Matching_Engine!$AM$108),1,0)</f>
        <v>0</v>
      </c>
      <c r="AO108" s="65" t="str">
        <f>IF(NOT(ISNUMBER('[1]#REF'!$BT$12)),"N/A",MIN(100,MAX(0,'[1]#REF'!$BT$12)))</f>
        <v>N/A</v>
      </c>
      <c r="AP108" s="65" t="str">
        <f>IF(NOT(ISNUMBER('[1]#REF'!$BU$12)),"N/A",MIN(100,MAX(0,'[1]#REF'!$BU$12)))</f>
        <v>N/A</v>
      </c>
      <c r="AQ108" s="65" t="e">
        <f>IF('[1]#REF'!$I$12="Yes",Lookup_Lists!$D$326,IF('[1]#REF'!$I$12="No",Lookup_Lists!$D$327,"N/A"))</f>
        <v>#REF!</v>
      </c>
      <c r="AR108" s="65" t="str">
        <f>IF(NOT(ISNUMBER('[1]#REF'!$BQ$12)),"N/A",MAX(0,ROUND(100-'[1]#REF'!$BQ$12/Lookup_Lists!$D$328*100,0)))</f>
        <v>N/A</v>
      </c>
      <c r="AS108" s="65" t="e">
        <f>IF(NOT(AND(ISTEXT('[1]#REF'!$BV$12),'[1]#REF'!$BV$12&lt;&gt;"N/A")),"N/A",'[1]#REF'!$BV$12)</f>
        <v>#REF!</v>
      </c>
      <c r="AT108" s="63" t="str">
        <f>IF((IF(ISNUMBER(Matching_Engine!$AO$108),Lookup_Lists!$D$322,0)+IF(ISNUMBER(Matching_Engine!$AP$108),Lookup_Lists!$D$323,0)+IF(ISNUMBER(Matching_Engine!$AQ$108),Lookup_Lists!$D$324,0)+IF(ISNUMBER(Matching_Engine!$AR$108),Lookup_Lists!$D$325,0))=0,"N/A",ROUND((IF(ISNUMBER(Matching_Engine!$AO$108),Matching_Engine!$AO$108*Lookup_Lists!$D$322,0)+IF(ISNUMBER(Matching_Engine!$AP$108),Matching_Engine!$AP$108*Lookup_Lists!$D$323,0)+IF(ISNUMBER(Matching_Engine!$AQ$108),Matching_Engine!$AQ$108*Lookup_Lists!$D$324,0)+IF(ISNUMBER(Matching_Engine!$AR$108),Matching_Engine!$AR$108*Lookup_Lists!$D$325,0))/(IF(ISNUMBER(Matching_Engine!$AO$108),Lookup_Lists!$D$322,0)+IF(ISNUMBER(Matching_Engine!$AP$108),Lookup_Lists!$D$323,0)+IF(ISNUMBER(Matching_Engine!$AQ$108),Lookup_Lists!$D$324,0)+IF(ISNUMBER(Matching_Engine!$AR$108),Lookup_Lists!$D$325,0)),0))</f>
        <v>N/A</v>
      </c>
      <c r="AU108" s="42">
        <f>IF(ISNUMBER(Matching_Engine!$AT$108),1,0)</f>
        <v>0</v>
      </c>
      <c r="AV108" s="42" t="str">
        <f>IF(NOT(ISNUMBER(Matching_Engine!$AT$108)),"Not Screened",IF(Matching_Engine!$AT$108&gt;=Lookup_Lists!$D$329,"Low Risk",IF(Matching_Engine!$AT$108&gt;=Lookup_Lists!$D$330,"Moderate Risk",IF(Matching_Engine!$AT$108&gt;=Lookup_Lists!$D$331,"Elevated Risk","High Risk"))))</f>
        <v>Not Screened</v>
      </c>
      <c r="AW108" s="42" t="str">
        <f>IF(NOT(ISNUMBER(Matching_Engine!$AT$108)),"No integrity signal: no audience-analysis row for this account.","Integrity screen only — no content-risk reading exists (comments_analysis: 0 rows). "&amp;IF(ISNUMBER(Matching_Engine!$AO$108),"Authenticity "&amp;Matching_Engine!$AO$108&amp;". ","Authenticity N/A. ")&amp;IF(ISNUMBER(Matching_Engine!$AP$108),"Follower quality "&amp;Matching_Engine!$AP$108&amp;". ","Follower quality N/A. ")&amp;IF('[1]#REF'!$I$12="Yes","Platform-verified.","Not platform-verified."))</f>
        <v>No integrity signal: no audience-analysis row for this account.</v>
      </c>
      <c r="AX108" s="65">
        <f>Matching_Engine!$N$108*Lookup_Lists!$D$104+Matching_Engine!$T$108*Lookup_Lists!$D$105+Matching_Engine!$Z$108*Lookup_Lists!$D$106+Matching_Engine!$AF$108*Lookup_Lists!$D$107+Matching_Engine!$AN$108*Lookup_Lists!$D$108+Matching_Engine!$AU$108*Lookup_Lists!$D$109</f>
        <v>0</v>
      </c>
      <c r="AY108" s="74" t="str">
        <f>IF(Matching_Engine!$AX$108=0,"N/A",ROUND((IF(Matching_Engine!$N$108=1,Matching_Engine!$M$108*Lookup_Lists!$D$104,0)+IF(Matching_Engine!$T$108=1,Matching_Engine!$S$108*Lookup_Lists!$D$105,0)+IF(Matching_Engine!$Z$108=1,Matching_Engine!$Y$108*Lookup_Lists!$D$106,0)+IF(Matching_Engine!$AF$108=1,Matching_Engine!$AE$108*Lookup_Lists!$D$107,0)+IF(Matching_Engine!$AN$108=1,Matching_Engine!$AM$108*Lookup_Lists!$D$108,0)+IF(Matching_Engine!$AU$108=1,Matching_Engine!$AT$108*Lookup_Lists!$D$109,0))/Matching_Engine!$AX$108,0))</f>
        <v>N/A</v>
      </c>
      <c r="AZ108" s="42" t="str">
        <f>IF(NOT(ISNUMBER(Matching_Engine!$AY$108)),"Not Scored",IF(Matching_Engine!$AY$108&gt;=Lookup_Lists!$D$152,"Excellent Match",IF(Matching_Engine!$AY$108&gt;=Lookup_Lists!$D$153,"Strong Match",IF(Matching_Engine!$AY$108&gt;=Lookup_Lists!$D$154,"Good Match",IF(Matching_Engine!$AY$108&gt;=Lookup_Lists!$D$155,"Moderate Match","Low Match")))))</f>
        <v>Not Scored</v>
      </c>
      <c r="BA108" s="65" t="e">
        <f>'[1]#REF'!$BW$12</f>
        <v>#REF!</v>
      </c>
      <c r="BB108" s="42" t="e">
        <f>'[1]#REF'!$BX$12</f>
        <v>#REF!</v>
      </c>
      <c r="BC108" s="65">
        <f>IF(NOT(ISNUMBER(Matching_Engine!$AY$108)),-1,Matching_Engine!$AY$108*1000+18)</f>
        <v>-1</v>
      </c>
      <c r="BD108" s="42" t="e">
        <f>IF(AND(ISTEXT('[1]#REF'!$S$12),'[1]#REF'!$S$12&lt;&gt;"N/A"),'[1]#REF'!$S$12,"")&amp;" | "&amp;IF(AND(ISTEXT('[1]#REF'!$T$12),'[1]#REF'!$T$12&lt;&gt;"N/A"),'[1]#REF'!$T$12,"")&amp;" | "&amp;IF(AND(ISTEXT('[1]#REF'!$N$12),'[1]#REF'!$N$12&lt;&gt;"N/A"),'[1]#REF'!$N$12,"")&amp;" | "&amp;IF(AND(ISTEXT('[1]#REF'!$K$12),'[1]#REF'!$K$12&lt;&gt;"N/A"),'[1]#REF'!$K$12,"")&amp;" | "&amp;IF(AND(ISTEXT('[1]#REF'!$J$12),'[1]#REF'!$J$12&lt;&gt;"N/A"),'[1]#REF'!$J$12,"")</f>
        <v>#REF!</v>
      </c>
      <c r="BE108" s="42" t="e">
        <f>IF(AND(ISTEXT('[1]#REF'!$T$12),'[1]#REF'!$T$12&lt;&gt;"N/A"),'[1]#REF'!$T$12,"")&amp;" | "&amp;IF(AND(ISTEXT('[1]#REF'!$N$12),'[1]#REF'!$N$12&lt;&gt;"N/A"),'[1]#REF'!$N$12,"")&amp;" | "&amp;IF(AND(ISTEXT('[1]#REF'!$O$12),'[1]#REF'!$O$12&lt;&gt;"N/A"),'[1]#REF'!$O$12,"")&amp;" | "&amp;IF(AND(ISTEXT('[1]#REF'!$S$12),'[1]#REF'!$S$12&lt;&gt;"N/A"),'[1]#REF'!$S$12,"")</f>
        <v>#REF!</v>
      </c>
      <c r="BF108" s="42" t="e">
        <f>IF(AND(ISTEXT('[1]#REF'!$U$12),'[1]#REF'!$U$12&lt;&gt;"N/A"),'[1]#REF'!$U$12,"")</f>
        <v>#REF!</v>
      </c>
      <c r="BG108" s="42" t="str">
        <f>Matching_Engine!$A$108&amp;"|"&amp;Matching_Engine!$C$108</f>
        <v>|</v>
      </c>
    </row>
    <row r="109" spans="1:59">
      <c r="A109" s="64" t="s">
        <v>2531</v>
      </c>
      <c r="B109" s="42">
        <f>Brand_Profile!$I$6</f>
        <v>0</v>
      </c>
      <c r="C109" s="42" t="e">
        <f>'[1]#REF'!$A$13</f>
        <v>#REF!</v>
      </c>
      <c r="D109" s="42" t="e">
        <f>'[1]#REF'!$C$13</f>
        <v>#REF!</v>
      </c>
      <c r="E109" s="42" t="e">
        <f>'[1]#REF'!$D$13</f>
        <v>#REF!</v>
      </c>
      <c r="F109" s="42" t="e">
        <f>'[1]#REF'!$E$13</f>
        <v>#REF!</v>
      </c>
      <c r="G109" s="42" t="e">
        <f>'[1]#REF'!$K$13</f>
        <v>#REF!</v>
      </c>
      <c r="H109" s="72" t="e">
        <f>'[1]#REF'!$G$13</f>
        <v>#REF!</v>
      </c>
      <c r="I109" s="73" t="e">
        <f>'[1]#REF'!$BG$13</f>
        <v>#REF!</v>
      </c>
      <c r="J109" s="65" t="e">
        <f>IF(NOT(AND(ISTEXT('[1]#REF'!$K$13),'[1]#REF'!$K$13&lt;&gt;"N/A")),Lookup_Lists!$D$150,IF(Brand_Profile!$I$7='[1]#REF'!$K$13,100,IFERROR(INDEX(Lookup_Lists!$B$349:$J$357,MATCH(Brand_Profile!$I$7,Lookup_Lists!$A$349:$A$357,0),MATCH('[1]#REF'!$K$13,Lookup_Lists!$B$348:$J$348,0)),Lookup_Lists!$D$151)))</f>
        <v>#REF!</v>
      </c>
      <c r="K109" s="65" t="str">
        <f>IF(LEN(TRIM(SUBSTITUTE(Matching_Engine!$BD$109,"|","")))=0,"N/A",IF(Brand_Profile!$I$47=0,Lookup_Lists!$D$150,ROUND((IF(Brand_Profile!$I$41="",0,IF(ISNUMBER(SEARCH(Brand_Profile!$I$41,Matching_Engine!$BD$109)),1,0))+IF(Brand_Profile!$I$42="",0,IF(ISNUMBER(SEARCH(Brand_Profile!$I$42,Matching_Engine!$BD$109)),1,0))+IF(Brand_Profile!$I$43="",0,IF(ISNUMBER(SEARCH(Brand_Profile!$I$43,Matching_Engine!$BD$109)),1,0))+IF(Brand_Profile!$I$44="",0,IF(ISNUMBER(SEARCH(Brand_Profile!$I$44,Matching_Engine!$BD$109)),1,0))+IF(Brand_Profile!$I$45="",0,IF(ISNUMBER(SEARCH(Brand_Profile!$I$45,Matching_Engine!$BD$109)),1,0))+IF(Brand_Profile!$I$46="",0,IF(ISNUMBER(SEARCH(Brand_Profile!$I$46,Matching_Engine!$BD$109)),1,0)))/Brand_Profile!$I$47*100,0)))</f>
        <v>N/A</v>
      </c>
      <c r="L109" s="65" t="e">
        <f>IF(NOT(AND(ISTEXT('[1]#REF'!$U$13),'[1]#REF'!$U$13&lt;&gt;"N/A")),"N/A",IF(Brand_Profile!$I$53=0,Lookup_Lists!$D$150,ROUND((IF(Brand_Profile!$I$48="",0,IF(ISNUMBER(SEARCH(Brand_Profile!$I$48,Matching_Engine!$BF$109)),1,0))+IF(Brand_Profile!$I$49="",0,IF(ISNUMBER(SEARCH(Brand_Profile!$I$49,Matching_Engine!$BF$109)),1,0))+IF(Brand_Profile!$I$50="",0,IF(ISNUMBER(SEARCH(Brand_Profile!$I$50,Matching_Engine!$BF$109)),1,0))+IF(Brand_Profile!$I$51="",0,IF(ISNUMBER(SEARCH(Brand_Profile!$I$51,Matching_Engine!$BF$109)),1,0))+IF(Brand_Profile!$I$52="",0,IF(ISNUMBER(SEARCH(Brand_Profile!$I$52,Matching_Engine!$BF$109)),1,0)))/Brand_Profile!$I$53*100,0)))</f>
        <v>#REF!</v>
      </c>
      <c r="M109" s="63" t="str">
        <f>IF((IF(ISNUMBER(Matching_Engine!$J$109),Lookup_Lists!$D$332,0)+IF(ISNUMBER(Matching_Engine!$K$109),Lookup_Lists!$D$333,0)+IF(ISNUMBER(Matching_Engine!$L$109),Lookup_Lists!$D$334,0))=0,"N/A",ROUND((IF(ISNUMBER(Matching_Engine!$J$109),Matching_Engine!$J$109*Lookup_Lists!$D$332,0)+IF(ISNUMBER(Matching_Engine!$K$109),Matching_Engine!$K$109*Lookup_Lists!$D$333,0)+IF(ISNUMBER(Matching_Engine!$L$109),Matching_Engine!$L$109*Lookup_Lists!$D$334,0))/(IF(ISNUMBER(Matching_Engine!$J$109),Lookup_Lists!$D$332,0)+IF(ISNUMBER(Matching_Engine!$K$109),Lookup_Lists!$D$333,0)+IF(ISNUMBER(Matching_Engine!$L$109),Lookup_Lists!$D$334,0)),0))</f>
        <v>N/A</v>
      </c>
      <c r="N109" s="42">
        <f>IF(ISNUMBER(Matching_Engine!$M$109),1,0)</f>
        <v>0</v>
      </c>
      <c r="O109" s="65" t="str">
        <f ca="1">IF(NOT(ISNUMBER(IFERROR(INDEX('[1]#REF'!$V$13:'[1]#REF'!$Z$13,1,MATCH(Brand_Profile!$I$11,Lookup_Lists!$F$6:$F$10,0)),""))),"N/A",MIN(100,ROUND((IFERROR(INDEX('[1]#REF'!$V$13:'[1]#REF'!$Z$13,1,MATCH(Brand_Profile!$I$11,Lookup_Lists!$F$6:$F$10,0)),"")+0.5*IF(ISNUMBER(IFERROR(INDEX('[1]#REF'!$V$13:'[1]#REF'!$Z$13,1,MATCH(Brand_Profile!$I$12,Lookup_Lists!$F$6:$F$10,0)),"")),IFERROR(INDEX('[1]#REF'!$V$13:'[1]#REF'!$Z$13,1,MATCH(Brand_Profile!$I$12,Lookup_Lists!$F$6:$F$10,0)),""),0))/Lookup_Lists!$D$142*100,0)))</f>
        <v>N/A</v>
      </c>
      <c r="P109" s="65" t="str">
        <f>IF(Brand_Profile!$I$13="Any",100,IF(NOT(ISNUMBER('[1]#REF'!$AA$13)),"N/A",IF(Brand_Profile!$I$13="Female",MIN(100,ROUND('[1]#REF'!$AA$13/Lookup_Lists!$D$143*100,0)),IF(Brand_Profile!$I$13="Male",MIN(100,ROUND(IF(ISNUMBER('[1]#REF'!$AB$13),'[1]#REF'!$AB$13,100-'[1]#REF'!$AA$13)/Lookup_Lists!$D$143*100,0)),MAX(0,ROUND(100-ABS('[1]#REF'!$AA$13-50)*2,0))))))</f>
        <v>N/A</v>
      </c>
      <c r="Q109" s="65" t="str">
        <f>IF((IF(ISNUMBER(IF(NOT(ISNUMBER('[1]#REF'!$AE$13)),"N/A",IF('[1]#REF'!$AD$13&lt;&gt;Brand_Profile!$I$14,Lookup_Lists!$D$151,MIN(100,ROUND('[1]#REF'!$AE$13/Lookup_Lists!$D$316*100,0))))),Lookup_Lists!$D$118,0)+IF(ISNUMBER(IF(NOT(ISNUMBER('[1]#REF'!$AM$13)),"N/A",MIN(100,ROUND((IF('[1]#REF'!$AG$13=Brand_Profile!$I$15,IF(ISNUMBER('[1]#REF'!$AH$13),'[1]#REF'!$AH$13,0),0)+IF('[1]#REF'!$AI$13=Brand_Profile!$I$15,IF(ISNUMBER('[1]#REF'!$AJ$13),'[1]#REF'!$AJ$13,0),0)+IF('[1]#REF'!$AK$13=Brand_Profile!$I$15,IF(ISNUMBER('[1]#REF'!$AL$13),'[1]#REF'!$AL$13,0),0))/Lookup_Lists!$D$317*100,0)))),Lookup_Lists!$D$120,0))=0,"N/A",ROUND((IF(ISNUMBER(IF(NOT(ISNUMBER('[1]#REF'!$AE$13)),"N/A",IF('[1]#REF'!$AD$13&lt;&gt;Brand_Profile!$I$14,Lookup_Lists!$D$151,MIN(100,ROUND('[1]#REF'!$AE$13/Lookup_Lists!$D$316*100,0))))),IF(NOT(ISNUMBER('[1]#REF'!$AE$13)),"N/A",IF('[1]#REF'!$AD$13&lt;&gt;Brand_Profile!$I$14,Lookup_Lists!$D$151,MIN(100,ROUND('[1]#REF'!$AE$13/Lookup_Lists!$D$316*100,0))))*Lookup_Lists!$D$118,0)+IF(ISNUMBER(IF(NOT(ISNUMBER('[1]#REF'!$AM$13)),"N/A",MIN(100,ROUND((IF('[1]#REF'!$AG$13=Brand_Profile!$I$15,IF(ISNUMBER('[1]#REF'!$AH$13),'[1]#REF'!$AH$13,0),0)+IF('[1]#REF'!$AI$13=Brand_Profile!$I$15,IF(ISNUMBER('[1]#REF'!$AJ$13),'[1]#REF'!$AJ$13,0),0)+IF('[1]#REF'!$AK$13=Brand_Profile!$I$15,IF(ISNUMBER('[1]#REF'!$AL$13),'[1]#REF'!$AL$13,0),0))/Lookup_Lists!$D$317*100,0)))),IF(NOT(ISNUMBER('[1]#REF'!$AM$13)),"N/A",MIN(100,ROUND((IF('[1]#REF'!$AG$13=Brand_Profile!$I$15,IF(ISNUMBER('[1]#REF'!$AH$13),'[1]#REF'!$AH$13,0),0)+IF('[1]#REF'!$AI$13=Brand_Profile!$I$15,IF(ISNUMBER('[1]#REF'!$AJ$13),'[1]#REF'!$AJ$13,0),0)+IF('[1]#REF'!$AK$13=Brand_Profile!$I$15,IF(ISNUMBER('[1]#REF'!$AL$13),'[1]#REF'!$AL$13,0),0))/Lookup_Lists!$D$317*100,0)))*Lookup_Lists!$D$120,0))/(IF(ISNUMBER(IF(NOT(ISNUMBER('[1]#REF'!$AE$13)),"N/A",IF('[1]#REF'!$AD$13&lt;&gt;Brand_Profile!$I$14,Lookup_Lists!$D$151,MIN(100,ROUND('[1]#REF'!$AE$13/Lookup_Lists!$D$316*100,0))))),Lookup_Lists!$D$118,0)+IF(ISNUMBER(IF(NOT(ISNUMBER('[1]#REF'!$AM$13)),"N/A",MIN(100,ROUND((IF('[1]#REF'!$AG$13=Brand_Profile!$I$15,IF(ISNUMBER('[1]#REF'!$AH$13),'[1]#REF'!$AH$13,0),0)+IF('[1]#REF'!$AI$13=Brand_Profile!$I$15,IF(ISNUMBER('[1]#REF'!$AJ$13),'[1]#REF'!$AJ$13,0),0)+IF('[1]#REF'!$AK$13=Brand_Profile!$I$15,IF(ISNUMBER('[1]#REF'!$AL$13),'[1]#REF'!$AL$13,0),0))/Lookup_Lists!$D$317*100,0)))),Lookup_Lists!$D$120,0)),0))</f>
        <v>N/A</v>
      </c>
      <c r="R109" s="65" t="str">
        <f>IF(NOT(ISNUMBER('[1]#REF'!$AN$13)),"N/A",MIN(100,ROUND((IF(ISNUMBER('[1]#REF'!$AO$13),'[1]#REF'!$AO$13*Brand_Profile!$I$17,0)+IF(ISNUMBER('[1]#REF'!$AP$13),'[1]#REF'!$AP$13*Brand_Profile!$I$18,0)+IF(ISNUMBER('[1]#REF'!$AQ$13),'[1]#REF'!$AQ$13*Brand_Profile!$I$19,0)+IF(ISNUMBER('[1]#REF'!$AR$13),'[1]#REF'!$AR$13*Brand_Profile!$I$20,0)+IF(ISNUMBER('[1]#REF'!$AS$13),'[1]#REF'!$AS$13*Brand_Profile!$I$21,0)+IF(ISNUMBER('[1]#REF'!$AT$13),'[1]#REF'!$AT$13*Brand_Profile!$I$22,0)+IF(ISNUMBER('[1]#REF'!$AU$13),'[1]#REF'!$AU$13*Brand_Profile!$I$23,0)+IF(ISNUMBER('[1]#REF'!$AV$13),'[1]#REF'!$AV$13*Brand_Profile!$I$24,0)+IF(ISNUMBER('[1]#REF'!$AW$13),'[1]#REF'!$AW$13*Brand_Profile!$I$25,0)+IF(ISNUMBER('[1]#REF'!$AX$13),'[1]#REF'!$AX$13*Brand_Profile!$I$26,0)+IF(ISNUMBER('[1]#REF'!$AY$13),'[1]#REF'!$AY$13*Brand_Profile!$I$27,0)+IF(ISNUMBER('[1]#REF'!$AZ$13),'[1]#REF'!$AZ$13*Brand_Profile!$I$28,0)+IF(ISNUMBER('[1]#REF'!$BA$13),'[1]#REF'!$BA$13*Brand_Profile!$I$29,0)+IF(ISNUMBER('[1]#REF'!$BB$13),'[1]#REF'!$BB$13*Brand_Profile!$I$30,0)+IF(ISNUMBER('[1]#REF'!$BC$13),'[1]#REF'!$BC$13*Brand_Profile!$I$31,0)+IF(ISNUMBER('[1]#REF'!$BD$13),'[1]#REF'!$BD$13*Brand_Profile!$I$32,0)+IF(ISNUMBER('[1]#REF'!$BE$13),'[1]#REF'!$BE$13*Brand_Profile!$I$33,0)+IF(ISNUMBER('[1]#REF'!$BF$13),'[1]#REF'!$BF$13*Brand_Profile!$I$34,0))/Lookup_Lists!$D$318*100,0)))</f>
        <v>N/A</v>
      </c>
      <c r="S109" s="63" t="str">
        <f>IF((IF(ISNUMBER(Matching_Engine!$O$109),Lookup_Lists!$D$113,0)+IF(ISNUMBER(Matching_Engine!$P$109),Lookup_Lists!$D$114,0)+IF(ISNUMBER(Matching_Engine!$Q$109),Lookup_Lists!$D$115,0)+IF(ISNUMBER(Matching_Engine!$R$109),Lookup_Lists!$D$116,0))=0,"N/A",ROUND((IF(ISNUMBER(Matching_Engine!$O$109),Matching_Engine!$O$109*Lookup_Lists!$D$113,0)+IF(ISNUMBER(Matching_Engine!$P$109),Matching_Engine!$P$109*Lookup_Lists!$D$114,0)+IF(ISNUMBER(Matching_Engine!$Q$109),Matching_Engine!$Q$109*Lookup_Lists!$D$115,0)+IF(ISNUMBER(Matching_Engine!$R$109),Matching_Engine!$R$109*Lookup_Lists!$D$116,0))/(IF(ISNUMBER(Matching_Engine!$O$109),Lookup_Lists!$D$113,0)+IF(ISNUMBER(Matching_Engine!$P$109),Lookup_Lists!$D$114,0)+IF(ISNUMBER(Matching_Engine!$Q$109),Lookup_Lists!$D$115,0)+IF(ISNUMBER(Matching_Engine!$R$109),Lookup_Lists!$D$116,0)),0))</f>
        <v>N/A</v>
      </c>
      <c r="T109" s="42">
        <f>IF(ISNUMBER(Matching_Engine!$S$109),1,0)</f>
        <v>0</v>
      </c>
      <c r="U109" s="65" t="e">
        <f>IF(NOT(AND(ISTEXT('[1]#REF'!$M$13),'[1]#REF'!$M$13&lt;&gt;"N/A")),Lookup_Lists!$D$150,IF(Brand_Profile!$I$7='[1]#REF'!$M$13,100,IFERROR(INDEX(Lookup_Lists!$B$349:$J$357,MATCH(Brand_Profile!$I$7,Lookup_Lists!$A$349:$A$357,0),MATCH('[1]#REF'!$M$13,Lookup_Lists!$B$348:$J$348,0)),Lookup_Lists!$D$151)))</f>
        <v>#REF!</v>
      </c>
      <c r="V109" s="65" t="e">
        <f>IF(NOT(AND(ISTEXT('[1]#REF'!$P$13),'[1]#REF'!$P$13&lt;&gt;"N/A")),"N/A",IFERROR(INDEX(Lookup_Lists!$B$349:$J$357,MATCH(Brand_Profile!$I$7,Lookup_Lists!$A$349:$A$357,0),MATCH('[1]#REF'!$P$13,Lookup_Lists!$B$348:$J$348,0)),Lookup_Lists!$D$151))</f>
        <v>#REF!</v>
      </c>
      <c r="W109" s="65" t="str">
        <f>IF(LEN(TRIM(SUBSTITUTE(Matching_Engine!$BE$109,"|","")))=0,"N/A",IF(Brand_Profile!$I$60=0,Lookup_Lists!$D$150,ROUND((IF(Brand_Profile!$I$54="",0,IF(ISNUMBER(SEARCH(Brand_Profile!$I$54,Matching_Engine!$BE$109)),1,0))+IF(Brand_Profile!$I$55="",0,IF(ISNUMBER(SEARCH(Brand_Profile!$I$55,Matching_Engine!$BE$109)),1,0))+IF(Brand_Profile!$I$56="",0,IF(ISNUMBER(SEARCH(Brand_Profile!$I$56,Matching_Engine!$BE$109)),1,0))+IF(Brand_Profile!$I$57="",0,IF(ISNUMBER(SEARCH(Brand_Profile!$I$57,Matching_Engine!$BE$109)),1,0))+IF(Brand_Profile!$I$58="",0,IF(ISNUMBER(SEARCH(Brand_Profile!$I$58,Matching_Engine!$BE$109)),1,0))+IF(Brand_Profile!$I$59="",0,IF(ISNUMBER(SEARCH(Brand_Profile!$I$59,Matching_Engine!$BE$109)),1,0)))/Brand_Profile!$I$60*100,0)))</f>
        <v>N/A</v>
      </c>
      <c r="X109" s="65" t="e">
        <f>IF(NOT(AND(ISTEXT('[1]#REF'!$Q$13),'[1]#REF'!$Q$13&lt;&gt;"N/A")),"N/A",Lookup_Lists!$D$150)</f>
        <v>#REF!</v>
      </c>
      <c r="Y109" s="63" t="str">
        <f>IF((IF(ISNUMBER(Matching_Engine!$U$109),Lookup_Lists!$D$335,0)+IF(ISNUMBER(Matching_Engine!$V$109),Lookup_Lists!$D$122,0)+IF(ISNUMBER(Matching_Engine!$W$109),Lookup_Lists!$D$336,0)+IF(ISNUMBER(Matching_Engine!$X$109),Lookup_Lists!$D$124,0))=0,"N/A",ROUND((IF(ISNUMBER(Matching_Engine!$U$109),Matching_Engine!$U$109*Lookup_Lists!$D$335,0)+IF(ISNUMBER(Matching_Engine!$V$109),Matching_Engine!$V$109*Lookup_Lists!$D$122,0)+IF(ISNUMBER(Matching_Engine!$W$109),Matching_Engine!$W$109*Lookup_Lists!$D$336,0)+IF(ISNUMBER(Matching_Engine!$X$109),Matching_Engine!$X$109*Lookup_Lists!$D$124,0))/(IF(ISNUMBER(Matching_Engine!$U$109),Lookup_Lists!$D$335,0)+IF(ISNUMBER(Matching_Engine!$V$109),Lookup_Lists!$D$122,0)+IF(ISNUMBER(Matching_Engine!$W$109),Lookup_Lists!$D$336,0)+IF(ISNUMBER(Matching_Engine!$X$109),Lookup_Lists!$D$124,0)),0))</f>
        <v>N/A</v>
      </c>
      <c r="Z109" s="42">
        <f>IF(ISNUMBER(Matching_Engine!$Y$109),1,0)</f>
        <v>0</v>
      </c>
      <c r="AA109" s="65" t="e">
        <f>IF(NOT(AND(ISTEXT('[1]#REF'!$Q$13),'[1]#REF'!$Q$13&lt;&gt;"N/A")),"N/A",Lookup_Lists!$D$150)</f>
        <v>#REF!</v>
      </c>
      <c r="AB109" s="65" t="e">
        <f>IF(NOT(AND(ISTEXT('[1]#REF'!$Q$13),'[1]#REF'!$Q$13&lt;&gt;"N/A")),"N/A",Lookup_Lists!$D$150)</f>
        <v>#REF!</v>
      </c>
      <c r="AC109" s="65" t="str">
        <f t="shared" si="1"/>
        <v>N/A</v>
      </c>
      <c r="AD109" s="65" t="e">
        <f>IF(NOT(AND(ISTEXT('[1]#REF'!$Q$13),'[1]#REF'!$Q$13&lt;&gt;"N/A")),"N/A",Lookup_Lists!$D$150)</f>
        <v>#REF!</v>
      </c>
      <c r="AE109" s="63" t="str">
        <f>IF((IF(ISNUMBER(Matching_Engine!$AA$109),Lookup_Lists!$D$125,0)+IF(ISNUMBER(Matching_Engine!$AB$109),Lookup_Lists!$D$126,0)+IF(ISNUMBER(Matching_Engine!$AC$109),Lookup_Lists!$D$127,0)+IF(ISNUMBER(Matching_Engine!$AD$109),Lookup_Lists!$D$128,0))=0,"N/A",ROUND((IF(ISNUMBER(Matching_Engine!$AA$109),Matching_Engine!$AA$109*Lookup_Lists!$D$125,0)+IF(ISNUMBER(Matching_Engine!$AB$109),Matching_Engine!$AB$109*Lookup_Lists!$D$126,0)+IF(ISNUMBER(Matching_Engine!$AC$109),Matching_Engine!$AC$109*Lookup_Lists!$D$127,0)+IF(ISNUMBER(Matching_Engine!$AD$109),Matching_Engine!$AD$109*Lookup_Lists!$D$128,0))/(IF(ISNUMBER(Matching_Engine!$AA$109),Lookup_Lists!$D$125,0)+IF(ISNUMBER(Matching_Engine!$AB$109),Lookup_Lists!$D$126,0)+IF(ISNUMBER(Matching_Engine!$AC$109),Lookup_Lists!$D$127,0)+IF(ISNUMBER(Matching_Engine!$AD$109),Lookup_Lists!$D$128,0)),0))</f>
        <v>N/A</v>
      </c>
      <c r="AF109" s="42">
        <f>IF(ISNUMBER(Matching_Engine!$AE$109),1,0)</f>
        <v>0</v>
      </c>
      <c r="AG109" s="65" t="str">
        <f>IF(NOT(ISNUMBER('[1]#REF'!$BG$13)),"N/A",MIN(100,ROUND('[1]#REF'!$BG$13/IFERROR(INDEX(Lookup_Lists!$B$340:$B$344,MATCH('[1]#REF'!$H$13,Lookup_Lists!$A$340:$A$344,0)),Lookup_Lists!$D$141)*100,0)))</f>
        <v>N/A</v>
      </c>
      <c r="AH109" s="65" t="str">
        <f>IF(NOT(ISNUMBER('[1]#REF'!$BS$13)),"N/A",MIN(100,MAX(0,'[1]#REF'!$BS$13)))</f>
        <v>N/A</v>
      </c>
      <c r="AI109" s="65" t="e">
        <f>IF(OR(NOT(ISNUMBER('[1]#REF'!$BM$13)),NOT(ISNUMBER('[1]#REF'!$BN$13)),'[1]#REF'!$BN$13&lt;Lookup_Lists!$D$320),"N/A",MIN(100,ROUND('[1]#REF'!$BM$13/Lookup_Lists!$D$319*100,0)))</f>
        <v>#REF!</v>
      </c>
      <c r="AJ109" s="65" t="str">
        <f>IF(NOT(ISNUMBER('[1]#REF'!$BR$13)),"N/A",'[1]#REF'!$BR$13)</f>
        <v>N/A</v>
      </c>
      <c r="AK109" s="65" t="str">
        <f>IF(NOT(ISNUMBER('[1]#REF'!$BK$13)),"N/A",MIN(100,ROUND('[1]#REF'!$BK$13/Lookup_Lists!$D$321*100,0)))</f>
        <v>N/A</v>
      </c>
      <c r="AL109" s="65" t="str">
        <f>IF(NOT(ISNUMBER('[1]#REF'!$BP$13)),"N/A",MIN(100,MAX(0,ROUND(('[1]#REF'!$BP$13+2)/(Lookup_Lists!$D$145+2)*100,0))))</f>
        <v>N/A</v>
      </c>
      <c r="AM109" s="63" t="str">
        <f>IF((IF(ISNUMBER(Matching_Engine!$AG$109),Lookup_Lists!$D$129,0)+IF(ISNUMBER(Matching_Engine!$AH$109),Lookup_Lists!$D$130,0)+IF(ISNUMBER(Matching_Engine!$AI$109),Lookup_Lists!$D$131,0)+IF(ISNUMBER(Matching_Engine!$AJ$109),Lookup_Lists!$D$132,0)+IF(ISNUMBER(Matching_Engine!$AK$109),Lookup_Lists!$D$133,0)+IF(ISNUMBER(Matching_Engine!$AL$109),Lookup_Lists!$D$134,0))=0,"N/A",ROUND((IF(ISNUMBER(Matching_Engine!$AG$109),Matching_Engine!$AG$109*Lookup_Lists!$D$129,0)+IF(ISNUMBER(Matching_Engine!$AH$109),Matching_Engine!$AH$109*Lookup_Lists!$D$130,0)+IF(ISNUMBER(Matching_Engine!$AI$109),Matching_Engine!$AI$109*Lookup_Lists!$D$131,0)+IF(ISNUMBER(Matching_Engine!$AJ$109),Matching_Engine!$AJ$109*Lookup_Lists!$D$132,0)+IF(ISNUMBER(Matching_Engine!$AK$109),Matching_Engine!$AK$109*Lookup_Lists!$D$133,0)+IF(ISNUMBER(Matching_Engine!$AL$109),Matching_Engine!$AL$109*Lookup_Lists!$D$134,0))/(IF(ISNUMBER(Matching_Engine!$AG$109),Lookup_Lists!$D$129,0)+IF(ISNUMBER(Matching_Engine!$AH$109),Lookup_Lists!$D$130,0)+IF(ISNUMBER(Matching_Engine!$AI$109),Lookup_Lists!$D$131,0)+IF(ISNUMBER(Matching_Engine!$AJ$109),Lookup_Lists!$D$132,0)+IF(ISNUMBER(Matching_Engine!$AK$109),Lookup_Lists!$D$133,0)+IF(ISNUMBER(Matching_Engine!$AL$109),Lookup_Lists!$D$134,0)),0))</f>
        <v>N/A</v>
      </c>
      <c r="AN109" s="42">
        <f>IF(ISNUMBER(Matching_Engine!$AM$109),1,0)</f>
        <v>0</v>
      </c>
      <c r="AO109" s="65" t="str">
        <f>IF(NOT(ISNUMBER('[1]#REF'!$BT$13)),"N/A",MIN(100,MAX(0,'[1]#REF'!$BT$13)))</f>
        <v>N/A</v>
      </c>
      <c r="AP109" s="65" t="str">
        <f>IF(NOT(ISNUMBER('[1]#REF'!$BU$13)),"N/A",MIN(100,MAX(0,'[1]#REF'!$BU$13)))</f>
        <v>N/A</v>
      </c>
      <c r="AQ109" s="65" t="e">
        <f>IF('[1]#REF'!$I$13="Yes",Lookup_Lists!$D$326,IF('[1]#REF'!$I$13="No",Lookup_Lists!$D$327,"N/A"))</f>
        <v>#REF!</v>
      </c>
      <c r="AR109" s="65" t="str">
        <f>IF(NOT(ISNUMBER('[1]#REF'!$BQ$13)),"N/A",MAX(0,ROUND(100-'[1]#REF'!$BQ$13/Lookup_Lists!$D$328*100,0)))</f>
        <v>N/A</v>
      </c>
      <c r="AS109" s="65" t="e">
        <f>IF(NOT(AND(ISTEXT('[1]#REF'!$BV$13),'[1]#REF'!$BV$13&lt;&gt;"N/A")),"N/A",'[1]#REF'!$BV$13)</f>
        <v>#REF!</v>
      </c>
      <c r="AT109" s="63" t="str">
        <f>IF((IF(ISNUMBER(Matching_Engine!$AO$109),Lookup_Lists!$D$322,0)+IF(ISNUMBER(Matching_Engine!$AP$109),Lookup_Lists!$D$323,0)+IF(ISNUMBER(Matching_Engine!$AQ$109),Lookup_Lists!$D$324,0)+IF(ISNUMBER(Matching_Engine!$AR$109),Lookup_Lists!$D$325,0))=0,"N/A",ROUND((IF(ISNUMBER(Matching_Engine!$AO$109),Matching_Engine!$AO$109*Lookup_Lists!$D$322,0)+IF(ISNUMBER(Matching_Engine!$AP$109),Matching_Engine!$AP$109*Lookup_Lists!$D$323,0)+IF(ISNUMBER(Matching_Engine!$AQ$109),Matching_Engine!$AQ$109*Lookup_Lists!$D$324,0)+IF(ISNUMBER(Matching_Engine!$AR$109),Matching_Engine!$AR$109*Lookup_Lists!$D$325,0))/(IF(ISNUMBER(Matching_Engine!$AO$109),Lookup_Lists!$D$322,0)+IF(ISNUMBER(Matching_Engine!$AP$109),Lookup_Lists!$D$323,0)+IF(ISNUMBER(Matching_Engine!$AQ$109),Lookup_Lists!$D$324,0)+IF(ISNUMBER(Matching_Engine!$AR$109),Lookup_Lists!$D$325,0)),0))</f>
        <v>N/A</v>
      </c>
      <c r="AU109" s="42">
        <f>IF(ISNUMBER(Matching_Engine!$AT$109),1,0)</f>
        <v>0</v>
      </c>
      <c r="AV109" s="42" t="str">
        <f>IF(NOT(ISNUMBER(Matching_Engine!$AT$109)),"Not Screened",IF(Matching_Engine!$AT$109&gt;=Lookup_Lists!$D$329,"Low Risk",IF(Matching_Engine!$AT$109&gt;=Lookup_Lists!$D$330,"Moderate Risk",IF(Matching_Engine!$AT$109&gt;=Lookup_Lists!$D$331,"Elevated Risk","High Risk"))))</f>
        <v>Not Screened</v>
      </c>
      <c r="AW109" s="42" t="str">
        <f>IF(NOT(ISNUMBER(Matching_Engine!$AT$109)),"No integrity signal: no audience-analysis row for this account.","Integrity screen only — no content-risk reading exists (comments_analysis: 0 rows). "&amp;IF(ISNUMBER(Matching_Engine!$AO$109),"Authenticity "&amp;Matching_Engine!$AO$109&amp;". ","Authenticity N/A. ")&amp;IF(ISNUMBER(Matching_Engine!$AP$109),"Follower quality "&amp;Matching_Engine!$AP$109&amp;". ","Follower quality N/A. ")&amp;IF('[1]#REF'!$I$13="Yes","Platform-verified.","Not platform-verified."))</f>
        <v>No integrity signal: no audience-analysis row for this account.</v>
      </c>
      <c r="AX109" s="65">
        <f>Matching_Engine!$N$109*Lookup_Lists!$D$104+Matching_Engine!$T$109*Lookup_Lists!$D$105+Matching_Engine!$Z$109*Lookup_Lists!$D$106+Matching_Engine!$AF$109*Lookup_Lists!$D$107+Matching_Engine!$AN$109*Lookup_Lists!$D$108+Matching_Engine!$AU$109*Lookup_Lists!$D$109</f>
        <v>0</v>
      </c>
      <c r="AY109" s="74" t="str">
        <f>IF(Matching_Engine!$AX$109=0,"N/A",ROUND((IF(Matching_Engine!$N$109=1,Matching_Engine!$M$109*Lookup_Lists!$D$104,0)+IF(Matching_Engine!$T$109=1,Matching_Engine!$S$109*Lookup_Lists!$D$105,0)+IF(Matching_Engine!$Z$109=1,Matching_Engine!$Y$109*Lookup_Lists!$D$106,0)+IF(Matching_Engine!$AF$109=1,Matching_Engine!$AE$109*Lookup_Lists!$D$107,0)+IF(Matching_Engine!$AN$109=1,Matching_Engine!$AM$109*Lookup_Lists!$D$108,0)+IF(Matching_Engine!$AU$109=1,Matching_Engine!$AT$109*Lookup_Lists!$D$109,0))/Matching_Engine!$AX$109,0))</f>
        <v>N/A</v>
      </c>
      <c r="AZ109" s="42" t="str">
        <f>IF(NOT(ISNUMBER(Matching_Engine!$AY$109)),"Not Scored",IF(Matching_Engine!$AY$109&gt;=Lookup_Lists!$D$152,"Excellent Match",IF(Matching_Engine!$AY$109&gt;=Lookup_Lists!$D$153,"Strong Match",IF(Matching_Engine!$AY$109&gt;=Lookup_Lists!$D$154,"Good Match",IF(Matching_Engine!$AY$109&gt;=Lookup_Lists!$D$155,"Moderate Match","Low Match")))))</f>
        <v>Not Scored</v>
      </c>
      <c r="BA109" s="65" t="e">
        <f>'[1]#REF'!$BW$13</f>
        <v>#REF!</v>
      </c>
      <c r="BB109" s="42" t="e">
        <f>'[1]#REF'!$BX$13</f>
        <v>#REF!</v>
      </c>
      <c r="BC109" s="65">
        <f>IF(NOT(ISNUMBER(Matching_Engine!$AY$109)),-1,Matching_Engine!$AY$109*1000+17)</f>
        <v>-1</v>
      </c>
      <c r="BD109" s="42" t="e">
        <f>IF(AND(ISTEXT('[1]#REF'!$S$13),'[1]#REF'!$S$13&lt;&gt;"N/A"),'[1]#REF'!$S$13,"")&amp;" | "&amp;IF(AND(ISTEXT('[1]#REF'!$T$13),'[1]#REF'!$T$13&lt;&gt;"N/A"),'[1]#REF'!$T$13,"")&amp;" | "&amp;IF(AND(ISTEXT('[1]#REF'!$N$13),'[1]#REF'!$N$13&lt;&gt;"N/A"),'[1]#REF'!$N$13,"")&amp;" | "&amp;IF(AND(ISTEXT('[1]#REF'!$K$13),'[1]#REF'!$K$13&lt;&gt;"N/A"),'[1]#REF'!$K$13,"")&amp;" | "&amp;IF(AND(ISTEXT('[1]#REF'!$J$13),'[1]#REF'!$J$13&lt;&gt;"N/A"),'[1]#REF'!$J$13,"")</f>
        <v>#REF!</v>
      </c>
      <c r="BE109" s="42" t="e">
        <f>IF(AND(ISTEXT('[1]#REF'!$T$13),'[1]#REF'!$T$13&lt;&gt;"N/A"),'[1]#REF'!$T$13,"")&amp;" | "&amp;IF(AND(ISTEXT('[1]#REF'!$N$13),'[1]#REF'!$N$13&lt;&gt;"N/A"),'[1]#REF'!$N$13,"")&amp;" | "&amp;IF(AND(ISTEXT('[1]#REF'!$O$13),'[1]#REF'!$O$13&lt;&gt;"N/A"),'[1]#REF'!$O$13,"")&amp;" | "&amp;IF(AND(ISTEXT('[1]#REF'!$S$13),'[1]#REF'!$S$13&lt;&gt;"N/A"),'[1]#REF'!$S$13,"")</f>
        <v>#REF!</v>
      </c>
      <c r="BF109" s="42" t="e">
        <f>IF(AND(ISTEXT('[1]#REF'!$U$13),'[1]#REF'!$U$13&lt;&gt;"N/A"),'[1]#REF'!$U$13,"")</f>
        <v>#REF!</v>
      </c>
      <c r="BG109" s="42" t="str">
        <f>Matching_Engine!$A$109&amp;"|"&amp;Matching_Engine!$C$109</f>
        <v>|</v>
      </c>
    </row>
    <row r="110" spans="1:59">
      <c r="A110" s="64" t="s">
        <v>2531</v>
      </c>
      <c r="B110" s="42">
        <f>Brand_Profile!$I$6</f>
        <v>0</v>
      </c>
      <c r="C110" s="42" t="e">
        <f>'[1]#REF'!$A$14</f>
        <v>#REF!</v>
      </c>
      <c r="D110" s="42" t="e">
        <f>'[1]#REF'!$C$14</f>
        <v>#REF!</v>
      </c>
      <c r="E110" s="42" t="e">
        <f>'[1]#REF'!$D$14</f>
        <v>#REF!</v>
      </c>
      <c r="F110" s="42" t="e">
        <f>'[1]#REF'!$E$14</f>
        <v>#REF!</v>
      </c>
      <c r="G110" s="42" t="e">
        <f>'[1]#REF'!$K$14</f>
        <v>#REF!</v>
      </c>
      <c r="H110" s="72" t="e">
        <f>'[1]#REF'!$G$14</f>
        <v>#REF!</v>
      </c>
      <c r="I110" s="73" t="e">
        <f>'[1]#REF'!$BG$14</f>
        <v>#REF!</v>
      </c>
      <c r="J110" s="65" t="e">
        <f>IF(NOT(AND(ISTEXT('[1]#REF'!$K$14),'[1]#REF'!$K$14&lt;&gt;"N/A")),Lookup_Lists!$D$150,IF(Brand_Profile!$I$7='[1]#REF'!$K$14,100,IFERROR(INDEX(Lookup_Lists!$B$349:$J$357,MATCH(Brand_Profile!$I$7,Lookup_Lists!$A$349:$A$357,0),MATCH('[1]#REF'!$K$14,Lookup_Lists!$B$348:$J$348,0)),Lookup_Lists!$D$151)))</f>
        <v>#REF!</v>
      </c>
      <c r="K110" s="65" t="str">
        <f>IF(LEN(TRIM(SUBSTITUTE(Matching_Engine!$BD$110,"|","")))=0,"N/A",IF(Brand_Profile!$I$47=0,Lookup_Lists!$D$150,ROUND((IF(Brand_Profile!$I$41="",0,IF(ISNUMBER(SEARCH(Brand_Profile!$I$41,Matching_Engine!$BD$110)),1,0))+IF(Brand_Profile!$I$42="",0,IF(ISNUMBER(SEARCH(Brand_Profile!$I$42,Matching_Engine!$BD$110)),1,0))+IF(Brand_Profile!$I$43="",0,IF(ISNUMBER(SEARCH(Brand_Profile!$I$43,Matching_Engine!$BD$110)),1,0))+IF(Brand_Profile!$I$44="",0,IF(ISNUMBER(SEARCH(Brand_Profile!$I$44,Matching_Engine!$BD$110)),1,0))+IF(Brand_Profile!$I$45="",0,IF(ISNUMBER(SEARCH(Brand_Profile!$I$45,Matching_Engine!$BD$110)),1,0))+IF(Brand_Profile!$I$46="",0,IF(ISNUMBER(SEARCH(Brand_Profile!$I$46,Matching_Engine!$BD$110)),1,0)))/Brand_Profile!$I$47*100,0)))</f>
        <v>N/A</v>
      </c>
      <c r="L110" s="65" t="e">
        <f>IF(NOT(AND(ISTEXT('[1]#REF'!$U$14),'[1]#REF'!$U$14&lt;&gt;"N/A")),"N/A",IF(Brand_Profile!$I$53=0,Lookup_Lists!$D$150,ROUND((IF(Brand_Profile!$I$48="",0,IF(ISNUMBER(SEARCH(Brand_Profile!$I$48,Matching_Engine!$BF$110)),1,0))+IF(Brand_Profile!$I$49="",0,IF(ISNUMBER(SEARCH(Brand_Profile!$I$49,Matching_Engine!$BF$110)),1,0))+IF(Brand_Profile!$I$50="",0,IF(ISNUMBER(SEARCH(Brand_Profile!$I$50,Matching_Engine!$BF$110)),1,0))+IF(Brand_Profile!$I$51="",0,IF(ISNUMBER(SEARCH(Brand_Profile!$I$51,Matching_Engine!$BF$110)),1,0))+IF(Brand_Profile!$I$52="",0,IF(ISNUMBER(SEARCH(Brand_Profile!$I$52,Matching_Engine!$BF$110)),1,0)))/Brand_Profile!$I$53*100,0)))</f>
        <v>#REF!</v>
      </c>
      <c r="M110" s="63" t="str">
        <f>IF((IF(ISNUMBER(Matching_Engine!$J$110),Lookup_Lists!$D$332,0)+IF(ISNUMBER(Matching_Engine!$K$110),Lookup_Lists!$D$333,0)+IF(ISNUMBER(Matching_Engine!$L$110),Lookup_Lists!$D$334,0))=0,"N/A",ROUND((IF(ISNUMBER(Matching_Engine!$J$110),Matching_Engine!$J$110*Lookup_Lists!$D$332,0)+IF(ISNUMBER(Matching_Engine!$K$110),Matching_Engine!$K$110*Lookup_Lists!$D$333,0)+IF(ISNUMBER(Matching_Engine!$L$110),Matching_Engine!$L$110*Lookup_Lists!$D$334,0))/(IF(ISNUMBER(Matching_Engine!$J$110),Lookup_Lists!$D$332,0)+IF(ISNUMBER(Matching_Engine!$K$110),Lookup_Lists!$D$333,0)+IF(ISNUMBER(Matching_Engine!$L$110),Lookup_Lists!$D$334,0)),0))</f>
        <v>N/A</v>
      </c>
      <c r="N110" s="42">
        <f>IF(ISNUMBER(Matching_Engine!$M$110),1,0)</f>
        <v>0</v>
      </c>
      <c r="O110" s="65" t="str">
        <f ca="1">IF(NOT(ISNUMBER(IFERROR(INDEX('[1]#REF'!$V$14:'[1]#REF'!$Z$14,1,MATCH(Brand_Profile!$I$11,Lookup_Lists!$F$6:$F$10,0)),""))),"N/A",MIN(100,ROUND((IFERROR(INDEX('[1]#REF'!$V$14:'[1]#REF'!$Z$14,1,MATCH(Brand_Profile!$I$11,Lookup_Lists!$F$6:$F$10,0)),"")+0.5*IF(ISNUMBER(IFERROR(INDEX('[1]#REF'!$V$14:'[1]#REF'!$Z$14,1,MATCH(Brand_Profile!$I$12,Lookup_Lists!$F$6:$F$10,0)),"")),IFERROR(INDEX('[1]#REF'!$V$14:'[1]#REF'!$Z$14,1,MATCH(Brand_Profile!$I$12,Lookup_Lists!$F$6:$F$10,0)),""),0))/Lookup_Lists!$D$142*100,0)))</f>
        <v>N/A</v>
      </c>
      <c r="P110" s="65" t="str">
        <f>IF(Brand_Profile!$I$13="Any",100,IF(NOT(ISNUMBER('[1]#REF'!$AA$14)),"N/A",IF(Brand_Profile!$I$13="Female",MIN(100,ROUND('[1]#REF'!$AA$14/Lookup_Lists!$D$143*100,0)),IF(Brand_Profile!$I$13="Male",MIN(100,ROUND(IF(ISNUMBER('[1]#REF'!$AB$14),'[1]#REF'!$AB$14,100-'[1]#REF'!$AA$14)/Lookup_Lists!$D$143*100,0)),MAX(0,ROUND(100-ABS('[1]#REF'!$AA$14-50)*2,0))))))</f>
        <v>N/A</v>
      </c>
      <c r="Q110" s="65" t="str">
        <f>IF((IF(ISNUMBER(IF(NOT(ISNUMBER('[1]#REF'!$AE$14)),"N/A",IF('[1]#REF'!$AD$14&lt;&gt;Brand_Profile!$I$14,Lookup_Lists!$D$151,MIN(100,ROUND('[1]#REF'!$AE$14/Lookup_Lists!$D$316*100,0))))),Lookup_Lists!$D$118,0)+IF(ISNUMBER(IF(NOT(ISNUMBER('[1]#REF'!$AM$14)),"N/A",MIN(100,ROUND((IF('[1]#REF'!$AG$14=Brand_Profile!$I$15,IF(ISNUMBER('[1]#REF'!$AH$14),'[1]#REF'!$AH$14,0),0)+IF('[1]#REF'!$AI$14=Brand_Profile!$I$15,IF(ISNUMBER('[1]#REF'!$AJ$14),'[1]#REF'!$AJ$14,0),0)+IF('[1]#REF'!$AK$14=Brand_Profile!$I$15,IF(ISNUMBER('[1]#REF'!$AL$14),'[1]#REF'!$AL$14,0),0))/Lookup_Lists!$D$317*100,0)))),Lookup_Lists!$D$120,0))=0,"N/A",ROUND((IF(ISNUMBER(IF(NOT(ISNUMBER('[1]#REF'!$AE$14)),"N/A",IF('[1]#REF'!$AD$14&lt;&gt;Brand_Profile!$I$14,Lookup_Lists!$D$151,MIN(100,ROUND('[1]#REF'!$AE$14/Lookup_Lists!$D$316*100,0))))),IF(NOT(ISNUMBER('[1]#REF'!$AE$14)),"N/A",IF('[1]#REF'!$AD$14&lt;&gt;Brand_Profile!$I$14,Lookup_Lists!$D$151,MIN(100,ROUND('[1]#REF'!$AE$14/Lookup_Lists!$D$316*100,0))))*Lookup_Lists!$D$118,0)+IF(ISNUMBER(IF(NOT(ISNUMBER('[1]#REF'!$AM$14)),"N/A",MIN(100,ROUND((IF('[1]#REF'!$AG$14=Brand_Profile!$I$15,IF(ISNUMBER('[1]#REF'!$AH$14),'[1]#REF'!$AH$14,0),0)+IF('[1]#REF'!$AI$14=Brand_Profile!$I$15,IF(ISNUMBER('[1]#REF'!$AJ$14),'[1]#REF'!$AJ$14,0),0)+IF('[1]#REF'!$AK$14=Brand_Profile!$I$15,IF(ISNUMBER('[1]#REF'!$AL$14),'[1]#REF'!$AL$14,0),0))/Lookup_Lists!$D$317*100,0)))),IF(NOT(ISNUMBER('[1]#REF'!$AM$14)),"N/A",MIN(100,ROUND((IF('[1]#REF'!$AG$14=Brand_Profile!$I$15,IF(ISNUMBER('[1]#REF'!$AH$14),'[1]#REF'!$AH$14,0),0)+IF('[1]#REF'!$AI$14=Brand_Profile!$I$15,IF(ISNUMBER('[1]#REF'!$AJ$14),'[1]#REF'!$AJ$14,0),0)+IF('[1]#REF'!$AK$14=Brand_Profile!$I$15,IF(ISNUMBER('[1]#REF'!$AL$14),'[1]#REF'!$AL$14,0),0))/Lookup_Lists!$D$317*100,0)))*Lookup_Lists!$D$120,0))/(IF(ISNUMBER(IF(NOT(ISNUMBER('[1]#REF'!$AE$14)),"N/A",IF('[1]#REF'!$AD$14&lt;&gt;Brand_Profile!$I$14,Lookup_Lists!$D$151,MIN(100,ROUND('[1]#REF'!$AE$14/Lookup_Lists!$D$316*100,0))))),Lookup_Lists!$D$118,0)+IF(ISNUMBER(IF(NOT(ISNUMBER('[1]#REF'!$AM$14)),"N/A",MIN(100,ROUND((IF('[1]#REF'!$AG$14=Brand_Profile!$I$15,IF(ISNUMBER('[1]#REF'!$AH$14),'[1]#REF'!$AH$14,0),0)+IF('[1]#REF'!$AI$14=Brand_Profile!$I$15,IF(ISNUMBER('[1]#REF'!$AJ$14),'[1]#REF'!$AJ$14,0),0)+IF('[1]#REF'!$AK$14=Brand_Profile!$I$15,IF(ISNUMBER('[1]#REF'!$AL$14),'[1]#REF'!$AL$14,0),0))/Lookup_Lists!$D$317*100,0)))),Lookup_Lists!$D$120,0)),0))</f>
        <v>N/A</v>
      </c>
      <c r="R110" s="65" t="str">
        <f>IF(NOT(ISNUMBER('[1]#REF'!$AN$14)),"N/A",MIN(100,ROUND((IF(ISNUMBER('[1]#REF'!$AO$14),'[1]#REF'!$AO$14*Brand_Profile!$I$17,0)+IF(ISNUMBER('[1]#REF'!$AP$14),'[1]#REF'!$AP$14*Brand_Profile!$I$18,0)+IF(ISNUMBER('[1]#REF'!$AQ$14),'[1]#REF'!$AQ$14*Brand_Profile!$I$19,0)+IF(ISNUMBER('[1]#REF'!$AR$14),'[1]#REF'!$AR$14*Brand_Profile!$I$20,0)+IF(ISNUMBER('[1]#REF'!$AS$14),'[1]#REF'!$AS$14*Brand_Profile!$I$21,0)+IF(ISNUMBER('[1]#REF'!$AT$14),'[1]#REF'!$AT$14*Brand_Profile!$I$22,0)+IF(ISNUMBER('[1]#REF'!$AU$14),'[1]#REF'!$AU$14*Brand_Profile!$I$23,0)+IF(ISNUMBER('[1]#REF'!$AV$14),'[1]#REF'!$AV$14*Brand_Profile!$I$24,0)+IF(ISNUMBER('[1]#REF'!$AW$14),'[1]#REF'!$AW$14*Brand_Profile!$I$25,0)+IF(ISNUMBER('[1]#REF'!$AX$14),'[1]#REF'!$AX$14*Brand_Profile!$I$26,0)+IF(ISNUMBER('[1]#REF'!$AY$14),'[1]#REF'!$AY$14*Brand_Profile!$I$27,0)+IF(ISNUMBER('[1]#REF'!$AZ$14),'[1]#REF'!$AZ$14*Brand_Profile!$I$28,0)+IF(ISNUMBER('[1]#REF'!$BA$14),'[1]#REF'!$BA$14*Brand_Profile!$I$29,0)+IF(ISNUMBER('[1]#REF'!$BB$14),'[1]#REF'!$BB$14*Brand_Profile!$I$30,0)+IF(ISNUMBER('[1]#REF'!$BC$14),'[1]#REF'!$BC$14*Brand_Profile!$I$31,0)+IF(ISNUMBER('[1]#REF'!$BD$14),'[1]#REF'!$BD$14*Brand_Profile!$I$32,0)+IF(ISNUMBER('[1]#REF'!$BE$14),'[1]#REF'!$BE$14*Brand_Profile!$I$33,0)+IF(ISNUMBER('[1]#REF'!$BF$14),'[1]#REF'!$BF$14*Brand_Profile!$I$34,0))/Lookup_Lists!$D$318*100,0)))</f>
        <v>N/A</v>
      </c>
      <c r="S110" s="63" t="str">
        <f>IF((IF(ISNUMBER(Matching_Engine!$O$110),Lookup_Lists!$D$113,0)+IF(ISNUMBER(Matching_Engine!$P$110),Lookup_Lists!$D$114,0)+IF(ISNUMBER(Matching_Engine!$Q$110),Lookup_Lists!$D$115,0)+IF(ISNUMBER(Matching_Engine!$R$110),Lookup_Lists!$D$116,0))=0,"N/A",ROUND((IF(ISNUMBER(Matching_Engine!$O$110),Matching_Engine!$O$110*Lookup_Lists!$D$113,0)+IF(ISNUMBER(Matching_Engine!$P$110),Matching_Engine!$P$110*Lookup_Lists!$D$114,0)+IF(ISNUMBER(Matching_Engine!$Q$110),Matching_Engine!$Q$110*Lookup_Lists!$D$115,0)+IF(ISNUMBER(Matching_Engine!$R$110),Matching_Engine!$R$110*Lookup_Lists!$D$116,0))/(IF(ISNUMBER(Matching_Engine!$O$110),Lookup_Lists!$D$113,0)+IF(ISNUMBER(Matching_Engine!$P$110),Lookup_Lists!$D$114,0)+IF(ISNUMBER(Matching_Engine!$Q$110),Lookup_Lists!$D$115,0)+IF(ISNUMBER(Matching_Engine!$R$110),Lookup_Lists!$D$116,0)),0))</f>
        <v>N/A</v>
      </c>
      <c r="T110" s="42">
        <f>IF(ISNUMBER(Matching_Engine!$S$110),1,0)</f>
        <v>0</v>
      </c>
      <c r="U110" s="65" t="e">
        <f>IF(NOT(AND(ISTEXT('[1]#REF'!$M$14),'[1]#REF'!$M$14&lt;&gt;"N/A")),Lookup_Lists!$D$150,IF(Brand_Profile!$I$7='[1]#REF'!$M$14,100,IFERROR(INDEX(Lookup_Lists!$B$349:$J$357,MATCH(Brand_Profile!$I$7,Lookup_Lists!$A$349:$A$357,0),MATCH('[1]#REF'!$M$14,Lookup_Lists!$B$348:$J$348,0)),Lookup_Lists!$D$151)))</f>
        <v>#REF!</v>
      </c>
      <c r="V110" s="65" t="e">
        <f>IF(NOT(AND(ISTEXT('[1]#REF'!$P$14),'[1]#REF'!$P$14&lt;&gt;"N/A")),"N/A",IFERROR(INDEX(Lookup_Lists!$B$349:$J$357,MATCH(Brand_Profile!$I$7,Lookup_Lists!$A$349:$A$357,0),MATCH('[1]#REF'!$P$14,Lookup_Lists!$B$348:$J$348,0)),Lookup_Lists!$D$151))</f>
        <v>#REF!</v>
      </c>
      <c r="W110" s="65" t="str">
        <f>IF(LEN(TRIM(SUBSTITUTE(Matching_Engine!$BE$110,"|","")))=0,"N/A",IF(Brand_Profile!$I$60=0,Lookup_Lists!$D$150,ROUND((IF(Brand_Profile!$I$54="",0,IF(ISNUMBER(SEARCH(Brand_Profile!$I$54,Matching_Engine!$BE$110)),1,0))+IF(Brand_Profile!$I$55="",0,IF(ISNUMBER(SEARCH(Brand_Profile!$I$55,Matching_Engine!$BE$110)),1,0))+IF(Brand_Profile!$I$56="",0,IF(ISNUMBER(SEARCH(Brand_Profile!$I$56,Matching_Engine!$BE$110)),1,0))+IF(Brand_Profile!$I$57="",0,IF(ISNUMBER(SEARCH(Brand_Profile!$I$57,Matching_Engine!$BE$110)),1,0))+IF(Brand_Profile!$I$58="",0,IF(ISNUMBER(SEARCH(Brand_Profile!$I$58,Matching_Engine!$BE$110)),1,0))+IF(Brand_Profile!$I$59="",0,IF(ISNUMBER(SEARCH(Brand_Profile!$I$59,Matching_Engine!$BE$110)),1,0)))/Brand_Profile!$I$60*100,0)))</f>
        <v>N/A</v>
      </c>
      <c r="X110" s="65" t="e">
        <f>IF(NOT(AND(ISTEXT('[1]#REF'!$Q$14),'[1]#REF'!$Q$14&lt;&gt;"N/A")),"N/A",Lookup_Lists!$D$150)</f>
        <v>#REF!</v>
      </c>
      <c r="Y110" s="63" t="str">
        <f>IF((IF(ISNUMBER(Matching_Engine!$U$110),Lookup_Lists!$D$335,0)+IF(ISNUMBER(Matching_Engine!$V$110),Lookup_Lists!$D$122,0)+IF(ISNUMBER(Matching_Engine!$W$110),Lookup_Lists!$D$336,0)+IF(ISNUMBER(Matching_Engine!$X$110),Lookup_Lists!$D$124,0))=0,"N/A",ROUND((IF(ISNUMBER(Matching_Engine!$U$110),Matching_Engine!$U$110*Lookup_Lists!$D$335,0)+IF(ISNUMBER(Matching_Engine!$V$110),Matching_Engine!$V$110*Lookup_Lists!$D$122,0)+IF(ISNUMBER(Matching_Engine!$W$110),Matching_Engine!$W$110*Lookup_Lists!$D$336,0)+IF(ISNUMBER(Matching_Engine!$X$110),Matching_Engine!$X$110*Lookup_Lists!$D$124,0))/(IF(ISNUMBER(Matching_Engine!$U$110),Lookup_Lists!$D$335,0)+IF(ISNUMBER(Matching_Engine!$V$110),Lookup_Lists!$D$122,0)+IF(ISNUMBER(Matching_Engine!$W$110),Lookup_Lists!$D$336,0)+IF(ISNUMBER(Matching_Engine!$X$110),Lookup_Lists!$D$124,0)),0))</f>
        <v>N/A</v>
      </c>
      <c r="Z110" s="42">
        <f>IF(ISNUMBER(Matching_Engine!$Y$110),1,0)</f>
        <v>0</v>
      </c>
      <c r="AA110" s="65" t="e">
        <f>IF(NOT(AND(ISTEXT('[1]#REF'!$Q$14),'[1]#REF'!$Q$14&lt;&gt;"N/A")),"N/A",Lookup_Lists!$D$150)</f>
        <v>#REF!</v>
      </c>
      <c r="AB110" s="65" t="e">
        <f>IF(NOT(AND(ISTEXT('[1]#REF'!$Q$14),'[1]#REF'!$Q$14&lt;&gt;"N/A")),"N/A",Lookup_Lists!$D$150)</f>
        <v>#REF!</v>
      </c>
      <c r="AC110" s="65" t="str">
        <f t="shared" si="1"/>
        <v>N/A</v>
      </c>
      <c r="AD110" s="65" t="e">
        <f>IF(NOT(AND(ISTEXT('[1]#REF'!$Q$14),'[1]#REF'!$Q$14&lt;&gt;"N/A")),"N/A",Lookup_Lists!$D$150)</f>
        <v>#REF!</v>
      </c>
      <c r="AE110" s="63" t="str">
        <f>IF((IF(ISNUMBER(Matching_Engine!$AA$110),Lookup_Lists!$D$125,0)+IF(ISNUMBER(Matching_Engine!$AB$110),Lookup_Lists!$D$126,0)+IF(ISNUMBER(Matching_Engine!$AC$110),Lookup_Lists!$D$127,0)+IF(ISNUMBER(Matching_Engine!$AD$110),Lookup_Lists!$D$128,0))=0,"N/A",ROUND((IF(ISNUMBER(Matching_Engine!$AA$110),Matching_Engine!$AA$110*Lookup_Lists!$D$125,0)+IF(ISNUMBER(Matching_Engine!$AB$110),Matching_Engine!$AB$110*Lookup_Lists!$D$126,0)+IF(ISNUMBER(Matching_Engine!$AC$110),Matching_Engine!$AC$110*Lookup_Lists!$D$127,0)+IF(ISNUMBER(Matching_Engine!$AD$110),Matching_Engine!$AD$110*Lookup_Lists!$D$128,0))/(IF(ISNUMBER(Matching_Engine!$AA$110),Lookup_Lists!$D$125,0)+IF(ISNUMBER(Matching_Engine!$AB$110),Lookup_Lists!$D$126,0)+IF(ISNUMBER(Matching_Engine!$AC$110),Lookup_Lists!$D$127,0)+IF(ISNUMBER(Matching_Engine!$AD$110),Lookup_Lists!$D$128,0)),0))</f>
        <v>N/A</v>
      </c>
      <c r="AF110" s="42">
        <f>IF(ISNUMBER(Matching_Engine!$AE$110),1,0)</f>
        <v>0</v>
      </c>
      <c r="AG110" s="65" t="str">
        <f>IF(NOT(ISNUMBER('[1]#REF'!$BG$14)),"N/A",MIN(100,ROUND('[1]#REF'!$BG$14/IFERROR(INDEX(Lookup_Lists!$B$340:$B$344,MATCH('[1]#REF'!$H$14,Lookup_Lists!$A$340:$A$344,0)),Lookup_Lists!$D$141)*100,0)))</f>
        <v>N/A</v>
      </c>
      <c r="AH110" s="65" t="str">
        <f>IF(NOT(ISNUMBER('[1]#REF'!$BS$14)),"N/A",MIN(100,MAX(0,'[1]#REF'!$BS$14)))</f>
        <v>N/A</v>
      </c>
      <c r="AI110" s="65" t="e">
        <f>IF(OR(NOT(ISNUMBER('[1]#REF'!$BM$14)),NOT(ISNUMBER('[1]#REF'!$BN$14)),'[1]#REF'!$BN$14&lt;Lookup_Lists!$D$320),"N/A",MIN(100,ROUND('[1]#REF'!$BM$14/Lookup_Lists!$D$319*100,0)))</f>
        <v>#REF!</v>
      </c>
      <c r="AJ110" s="65" t="str">
        <f>IF(NOT(ISNUMBER('[1]#REF'!$BR$14)),"N/A",'[1]#REF'!$BR$14)</f>
        <v>N/A</v>
      </c>
      <c r="AK110" s="65" t="str">
        <f>IF(NOT(ISNUMBER('[1]#REF'!$BK$14)),"N/A",MIN(100,ROUND('[1]#REF'!$BK$14/Lookup_Lists!$D$321*100,0)))</f>
        <v>N/A</v>
      </c>
      <c r="AL110" s="65" t="str">
        <f>IF(NOT(ISNUMBER('[1]#REF'!$BP$14)),"N/A",MIN(100,MAX(0,ROUND(('[1]#REF'!$BP$14+2)/(Lookup_Lists!$D$145+2)*100,0))))</f>
        <v>N/A</v>
      </c>
      <c r="AM110" s="63" t="str">
        <f>IF((IF(ISNUMBER(Matching_Engine!$AG$110),Lookup_Lists!$D$129,0)+IF(ISNUMBER(Matching_Engine!$AH$110),Lookup_Lists!$D$130,0)+IF(ISNUMBER(Matching_Engine!$AI$110),Lookup_Lists!$D$131,0)+IF(ISNUMBER(Matching_Engine!$AJ$110),Lookup_Lists!$D$132,0)+IF(ISNUMBER(Matching_Engine!$AK$110),Lookup_Lists!$D$133,0)+IF(ISNUMBER(Matching_Engine!$AL$110),Lookup_Lists!$D$134,0))=0,"N/A",ROUND((IF(ISNUMBER(Matching_Engine!$AG$110),Matching_Engine!$AG$110*Lookup_Lists!$D$129,0)+IF(ISNUMBER(Matching_Engine!$AH$110),Matching_Engine!$AH$110*Lookup_Lists!$D$130,0)+IF(ISNUMBER(Matching_Engine!$AI$110),Matching_Engine!$AI$110*Lookup_Lists!$D$131,0)+IF(ISNUMBER(Matching_Engine!$AJ$110),Matching_Engine!$AJ$110*Lookup_Lists!$D$132,0)+IF(ISNUMBER(Matching_Engine!$AK$110),Matching_Engine!$AK$110*Lookup_Lists!$D$133,0)+IF(ISNUMBER(Matching_Engine!$AL$110),Matching_Engine!$AL$110*Lookup_Lists!$D$134,0))/(IF(ISNUMBER(Matching_Engine!$AG$110),Lookup_Lists!$D$129,0)+IF(ISNUMBER(Matching_Engine!$AH$110),Lookup_Lists!$D$130,0)+IF(ISNUMBER(Matching_Engine!$AI$110),Lookup_Lists!$D$131,0)+IF(ISNUMBER(Matching_Engine!$AJ$110),Lookup_Lists!$D$132,0)+IF(ISNUMBER(Matching_Engine!$AK$110),Lookup_Lists!$D$133,0)+IF(ISNUMBER(Matching_Engine!$AL$110),Lookup_Lists!$D$134,0)),0))</f>
        <v>N/A</v>
      </c>
      <c r="AN110" s="42">
        <f>IF(ISNUMBER(Matching_Engine!$AM$110),1,0)</f>
        <v>0</v>
      </c>
      <c r="AO110" s="65" t="str">
        <f>IF(NOT(ISNUMBER('[1]#REF'!$BT$14)),"N/A",MIN(100,MAX(0,'[1]#REF'!$BT$14)))</f>
        <v>N/A</v>
      </c>
      <c r="AP110" s="65" t="str">
        <f>IF(NOT(ISNUMBER('[1]#REF'!$BU$14)),"N/A",MIN(100,MAX(0,'[1]#REF'!$BU$14)))</f>
        <v>N/A</v>
      </c>
      <c r="AQ110" s="65" t="e">
        <f>IF('[1]#REF'!$I$14="Yes",Lookup_Lists!$D$326,IF('[1]#REF'!$I$14="No",Lookup_Lists!$D$327,"N/A"))</f>
        <v>#REF!</v>
      </c>
      <c r="AR110" s="65" t="str">
        <f>IF(NOT(ISNUMBER('[1]#REF'!$BQ$14)),"N/A",MAX(0,ROUND(100-'[1]#REF'!$BQ$14/Lookup_Lists!$D$328*100,0)))</f>
        <v>N/A</v>
      </c>
      <c r="AS110" s="65" t="e">
        <f>IF(NOT(AND(ISTEXT('[1]#REF'!$BV$14),'[1]#REF'!$BV$14&lt;&gt;"N/A")),"N/A",'[1]#REF'!$BV$14)</f>
        <v>#REF!</v>
      </c>
      <c r="AT110" s="63" t="str">
        <f>IF((IF(ISNUMBER(Matching_Engine!$AO$110),Lookup_Lists!$D$322,0)+IF(ISNUMBER(Matching_Engine!$AP$110),Lookup_Lists!$D$323,0)+IF(ISNUMBER(Matching_Engine!$AQ$110),Lookup_Lists!$D$324,0)+IF(ISNUMBER(Matching_Engine!$AR$110),Lookup_Lists!$D$325,0))=0,"N/A",ROUND((IF(ISNUMBER(Matching_Engine!$AO$110),Matching_Engine!$AO$110*Lookup_Lists!$D$322,0)+IF(ISNUMBER(Matching_Engine!$AP$110),Matching_Engine!$AP$110*Lookup_Lists!$D$323,0)+IF(ISNUMBER(Matching_Engine!$AQ$110),Matching_Engine!$AQ$110*Lookup_Lists!$D$324,0)+IF(ISNUMBER(Matching_Engine!$AR$110),Matching_Engine!$AR$110*Lookup_Lists!$D$325,0))/(IF(ISNUMBER(Matching_Engine!$AO$110),Lookup_Lists!$D$322,0)+IF(ISNUMBER(Matching_Engine!$AP$110),Lookup_Lists!$D$323,0)+IF(ISNUMBER(Matching_Engine!$AQ$110),Lookup_Lists!$D$324,0)+IF(ISNUMBER(Matching_Engine!$AR$110),Lookup_Lists!$D$325,0)),0))</f>
        <v>N/A</v>
      </c>
      <c r="AU110" s="42">
        <f>IF(ISNUMBER(Matching_Engine!$AT$110),1,0)</f>
        <v>0</v>
      </c>
      <c r="AV110" s="42" t="str">
        <f>IF(NOT(ISNUMBER(Matching_Engine!$AT$110)),"Not Screened",IF(Matching_Engine!$AT$110&gt;=Lookup_Lists!$D$329,"Low Risk",IF(Matching_Engine!$AT$110&gt;=Lookup_Lists!$D$330,"Moderate Risk",IF(Matching_Engine!$AT$110&gt;=Lookup_Lists!$D$331,"Elevated Risk","High Risk"))))</f>
        <v>Not Screened</v>
      </c>
      <c r="AW110" s="42" t="str">
        <f>IF(NOT(ISNUMBER(Matching_Engine!$AT$110)),"No integrity signal: no audience-analysis row for this account.","Integrity screen only — no content-risk reading exists (comments_analysis: 0 rows). "&amp;IF(ISNUMBER(Matching_Engine!$AO$110),"Authenticity "&amp;Matching_Engine!$AO$110&amp;". ","Authenticity N/A. ")&amp;IF(ISNUMBER(Matching_Engine!$AP$110),"Follower quality "&amp;Matching_Engine!$AP$110&amp;". ","Follower quality N/A. ")&amp;IF('[1]#REF'!$I$14="Yes","Platform-verified.","Not platform-verified."))</f>
        <v>No integrity signal: no audience-analysis row for this account.</v>
      </c>
      <c r="AX110" s="65">
        <f>Matching_Engine!$N$110*Lookup_Lists!$D$104+Matching_Engine!$T$110*Lookup_Lists!$D$105+Matching_Engine!$Z$110*Lookup_Lists!$D$106+Matching_Engine!$AF$110*Lookup_Lists!$D$107+Matching_Engine!$AN$110*Lookup_Lists!$D$108+Matching_Engine!$AU$110*Lookup_Lists!$D$109</f>
        <v>0</v>
      </c>
      <c r="AY110" s="74" t="str">
        <f>IF(Matching_Engine!$AX$110=0,"N/A",ROUND((IF(Matching_Engine!$N$110=1,Matching_Engine!$M$110*Lookup_Lists!$D$104,0)+IF(Matching_Engine!$T$110=1,Matching_Engine!$S$110*Lookup_Lists!$D$105,0)+IF(Matching_Engine!$Z$110=1,Matching_Engine!$Y$110*Lookup_Lists!$D$106,0)+IF(Matching_Engine!$AF$110=1,Matching_Engine!$AE$110*Lookup_Lists!$D$107,0)+IF(Matching_Engine!$AN$110=1,Matching_Engine!$AM$110*Lookup_Lists!$D$108,0)+IF(Matching_Engine!$AU$110=1,Matching_Engine!$AT$110*Lookup_Lists!$D$109,0))/Matching_Engine!$AX$110,0))</f>
        <v>N/A</v>
      </c>
      <c r="AZ110" s="42" t="str">
        <f>IF(NOT(ISNUMBER(Matching_Engine!$AY$110)),"Not Scored",IF(Matching_Engine!$AY$110&gt;=Lookup_Lists!$D$152,"Excellent Match",IF(Matching_Engine!$AY$110&gt;=Lookup_Lists!$D$153,"Strong Match",IF(Matching_Engine!$AY$110&gt;=Lookup_Lists!$D$154,"Good Match",IF(Matching_Engine!$AY$110&gt;=Lookup_Lists!$D$155,"Moderate Match","Low Match")))))</f>
        <v>Not Scored</v>
      </c>
      <c r="BA110" s="65" t="e">
        <f>'[1]#REF'!$BW$14</f>
        <v>#REF!</v>
      </c>
      <c r="BB110" s="42" t="e">
        <f>'[1]#REF'!$BX$14</f>
        <v>#REF!</v>
      </c>
      <c r="BC110" s="65">
        <f>IF(NOT(ISNUMBER(Matching_Engine!$AY$110)),-1,Matching_Engine!$AY$110*1000+16)</f>
        <v>-1</v>
      </c>
      <c r="BD110" s="42" t="e">
        <f>IF(AND(ISTEXT('[1]#REF'!$S$14),'[1]#REF'!$S$14&lt;&gt;"N/A"),'[1]#REF'!$S$14,"")&amp;" | "&amp;IF(AND(ISTEXT('[1]#REF'!$T$14),'[1]#REF'!$T$14&lt;&gt;"N/A"),'[1]#REF'!$T$14,"")&amp;" | "&amp;IF(AND(ISTEXT('[1]#REF'!$N$14),'[1]#REF'!$N$14&lt;&gt;"N/A"),'[1]#REF'!$N$14,"")&amp;" | "&amp;IF(AND(ISTEXT('[1]#REF'!$K$14),'[1]#REF'!$K$14&lt;&gt;"N/A"),'[1]#REF'!$K$14,"")&amp;" | "&amp;IF(AND(ISTEXT('[1]#REF'!$J$14),'[1]#REF'!$J$14&lt;&gt;"N/A"),'[1]#REF'!$J$14,"")</f>
        <v>#REF!</v>
      </c>
      <c r="BE110" s="42" t="e">
        <f>IF(AND(ISTEXT('[1]#REF'!$T$14),'[1]#REF'!$T$14&lt;&gt;"N/A"),'[1]#REF'!$T$14,"")&amp;" | "&amp;IF(AND(ISTEXT('[1]#REF'!$N$14),'[1]#REF'!$N$14&lt;&gt;"N/A"),'[1]#REF'!$N$14,"")&amp;" | "&amp;IF(AND(ISTEXT('[1]#REF'!$O$14),'[1]#REF'!$O$14&lt;&gt;"N/A"),'[1]#REF'!$O$14,"")&amp;" | "&amp;IF(AND(ISTEXT('[1]#REF'!$S$14),'[1]#REF'!$S$14&lt;&gt;"N/A"),'[1]#REF'!$S$14,"")</f>
        <v>#REF!</v>
      </c>
      <c r="BF110" s="42" t="e">
        <f>IF(AND(ISTEXT('[1]#REF'!$U$14),'[1]#REF'!$U$14&lt;&gt;"N/A"),'[1]#REF'!$U$14,"")</f>
        <v>#REF!</v>
      </c>
      <c r="BG110" s="42" t="str">
        <f>Matching_Engine!$A$110&amp;"|"&amp;Matching_Engine!$C$110</f>
        <v>|</v>
      </c>
    </row>
    <row r="111" spans="1:59">
      <c r="A111" s="64" t="s">
        <v>2531</v>
      </c>
      <c r="B111" s="42">
        <f>Brand_Profile!$I$6</f>
        <v>0</v>
      </c>
      <c r="C111" s="42" t="e">
        <f>'[1]#REF'!$A$15</f>
        <v>#REF!</v>
      </c>
      <c r="D111" s="42" t="e">
        <f>'[1]#REF'!$C$15</f>
        <v>#REF!</v>
      </c>
      <c r="E111" s="42" t="e">
        <f>'[1]#REF'!$D$15</f>
        <v>#REF!</v>
      </c>
      <c r="F111" s="42" t="e">
        <f>'[1]#REF'!$E$15</f>
        <v>#REF!</v>
      </c>
      <c r="G111" s="42" t="e">
        <f>'[1]#REF'!$K$15</f>
        <v>#REF!</v>
      </c>
      <c r="H111" s="72" t="e">
        <f>'[1]#REF'!$G$15</f>
        <v>#REF!</v>
      </c>
      <c r="I111" s="73" t="e">
        <f>'[1]#REF'!$BG$15</f>
        <v>#REF!</v>
      </c>
      <c r="J111" s="65" t="e">
        <f>IF(NOT(AND(ISTEXT('[1]#REF'!$K$15),'[1]#REF'!$K$15&lt;&gt;"N/A")),Lookup_Lists!$D$150,IF(Brand_Profile!$I$7='[1]#REF'!$K$15,100,IFERROR(INDEX(Lookup_Lists!$B$349:$J$357,MATCH(Brand_Profile!$I$7,Lookup_Lists!$A$349:$A$357,0),MATCH('[1]#REF'!$K$15,Lookup_Lists!$B$348:$J$348,0)),Lookup_Lists!$D$151)))</f>
        <v>#REF!</v>
      </c>
      <c r="K111" s="65" t="str">
        <f>IF(LEN(TRIM(SUBSTITUTE(Matching_Engine!$BD$111,"|","")))=0,"N/A",IF(Brand_Profile!$I$47=0,Lookup_Lists!$D$150,ROUND((IF(Brand_Profile!$I$41="",0,IF(ISNUMBER(SEARCH(Brand_Profile!$I$41,Matching_Engine!$BD$111)),1,0))+IF(Brand_Profile!$I$42="",0,IF(ISNUMBER(SEARCH(Brand_Profile!$I$42,Matching_Engine!$BD$111)),1,0))+IF(Brand_Profile!$I$43="",0,IF(ISNUMBER(SEARCH(Brand_Profile!$I$43,Matching_Engine!$BD$111)),1,0))+IF(Brand_Profile!$I$44="",0,IF(ISNUMBER(SEARCH(Brand_Profile!$I$44,Matching_Engine!$BD$111)),1,0))+IF(Brand_Profile!$I$45="",0,IF(ISNUMBER(SEARCH(Brand_Profile!$I$45,Matching_Engine!$BD$111)),1,0))+IF(Brand_Profile!$I$46="",0,IF(ISNUMBER(SEARCH(Brand_Profile!$I$46,Matching_Engine!$BD$111)),1,0)))/Brand_Profile!$I$47*100,0)))</f>
        <v>N/A</v>
      </c>
      <c r="L111" s="65" t="e">
        <f>IF(NOT(AND(ISTEXT('[1]#REF'!$U$15),'[1]#REF'!$U$15&lt;&gt;"N/A")),"N/A",IF(Brand_Profile!$I$53=0,Lookup_Lists!$D$150,ROUND((IF(Brand_Profile!$I$48="",0,IF(ISNUMBER(SEARCH(Brand_Profile!$I$48,Matching_Engine!$BF$111)),1,0))+IF(Brand_Profile!$I$49="",0,IF(ISNUMBER(SEARCH(Brand_Profile!$I$49,Matching_Engine!$BF$111)),1,0))+IF(Brand_Profile!$I$50="",0,IF(ISNUMBER(SEARCH(Brand_Profile!$I$50,Matching_Engine!$BF$111)),1,0))+IF(Brand_Profile!$I$51="",0,IF(ISNUMBER(SEARCH(Brand_Profile!$I$51,Matching_Engine!$BF$111)),1,0))+IF(Brand_Profile!$I$52="",0,IF(ISNUMBER(SEARCH(Brand_Profile!$I$52,Matching_Engine!$BF$111)),1,0)))/Brand_Profile!$I$53*100,0)))</f>
        <v>#REF!</v>
      </c>
      <c r="M111" s="63" t="str">
        <f>IF((IF(ISNUMBER(Matching_Engine!$J$111),Lookup_Lists!$D$332,0)+IF(ISNUMBER(Matching_Engine!$K$111),Lookup_Lists!$D$333,0)+IF(ISNUMBER(Matching_Engine!$L$111),Lookup_Lists!$D$334,0))=0,"N/A",ROUND((IF(ISNUMBER(Matching_Engine!$J$111),Matching_Engine!$J$111*Lookup_Lists!$D$332,0)+IF(ISNUMBER(Matching_Engine!$K$111),Matching_Engine!$K$111*Lookup_Lists!$D$333,0)+IF(ISNUMBER(Matching_Engine!$L$111),Matching_Engine!$L$111*Lookup_Lists!$D$334,0))/(IF(ISNUMBER(Matching_Engine!$J$111),Lookup_Lists!$D$332,0)+IF(ISNUMBER(Matching_Engine!$K$111),Lookup_Lists!$D$333,0)+IF(ISNUMBER(Matching_Engine!$L$111),Lookup_Lists!$D$334,0)),0))</f>
        <v>N/A</v>
      </c>
      <c r="N111" s="42">
        <f>IF(ISNUMBER(Matching_Engine!$M$111),1,0)</f>
        <v>0</v>
      </c>
      <c r="O111" s="65" t="str">
        <f ca="1">IF(NOT(ISNUMBER(IFERROR(INDEX('[1]#REF'!$V$15:'[1]#REF'!$Z$15,1,MATCH(Brand_Profile!$I$11,Lookup_Lists!$F$6:$F$10,0)),""))),"N/A",MIN(100,ROUND((IFERROR(INDEX('[1]#REF'!$V$15:'[1]#REF'!$Z$15,1,MATCH(Brand_Profile!$I$11,Lookup_Lists!$F$6:$F$10,0)),"")+0.5*IF(ISNUMBER(IFERROR(INDEX('[1]#REF'!$V$15:'[1]#REF'!$Z$15,1,MATCH(Brand_Profile!$I$12,Lookup_Lists!$F$6:$F$10,0)),"")),IFERROR(INDEX('[1]#REF'!$V$15:'[1]#REF'!$Z$15,1,MATCH(Brand_Profile!$I$12,Lookup_Lists!$F$6:$F$10,0)),""),0))/Lookup_Lists!$D$142*100,0)))</f>
        <v>N/A</v>
      </c>
      <c r="P111" s="65" t="str">
        <f>IF(Brand_Profile!$I$13="Any",100,IF(NOT(ISNUMBER('[1]#REF'!$AA$15)),"N/A",IF(Brand_Profile!$I$13="Female",MIN(100,ROUND('[1]#REF'!$AA$15/Lookup_Lists!$D$143*100,0)),IF(Brand_Profile!$I$13="Male",MIN(100,ROUND(IF(ISNUMBER('[1]#REF'!$AB$15),'[1]#REF'!$AB$15,100-'[1]#REF'!$AA$15)/Lookup_Lists!$D$143*100,0)),MAX(0,ROUND(100-ABS('[1]#REF'!$AA$15-50)*2,0))))))</f>
        <v>N/A</v>
      </c>
      <c r="Q111" s="65" t="str">
        <f>IF((IF(ISNUMBER(IF(NOT(ISNUMBER('[1]#REF'!$AE$15)),"N/A",IF('[1]#REF'!$AD$15&lt;&gt;Brand_Profile!$I$14,Lookup_Lists!$D$151,MIN(100,ROUND('[1]#REF'!$AE$15/Lookup_Lists!$D$316*100,0))))),Lookup_Lists!$D$118,0)+IF(ISNUMBER(IF(NOT(ISNUMBER('[1]#REF'!$AM$15)),"N/A",MIN(100,ROUND((IF('[1]#REF'!$AG$15=Brand_Profile!$I$15,IF(ISNUMBER('[1]#REF'!$AH$15),'[1]#REF'!$AH$15,0),0)+IF('[1]#REF'!$AI$15=Brand_Profile!$I$15,IF(ISNUMBER('[1]#REF'!$AJ$15),'[1]#REF'!$AJ$15,0),0)+IF('[1]#REF'!$AK$15=Brand_Profile!$I$15,IF(ISNUMBER('[1]#REF'!$AL$15),'[1]#REF'!$AL$15,0),0))/Lookup_Lists!$D$317*100,0)))),Lookup_Lists!$D$120,0))=0,"N/A",ROUND((IF(ISNUMBER(IF(NOT(ISNUMBER('[1]#REF'!$AE$15)),"N/A",IF('[1]#REF'!$AD$15&lt;&gt;Brand_Profile!$I$14,Lookup_Lists!$D$151,MIN(100,ROUND('[1]#REF'!$AE$15/Lookup_Lists!$D$316*100,0))))),IF(NOT(ISNUMBER('[1]#REF'!$AE$15)),"N/A",IF('[1]#REF'!$AD$15&lt;&gt;Brand_Profile!$I$14,Lookup_Lists!$D$151,MIN(100,ROUND('[1]#REF'!$AE$15/Lookup_Lists!$D$316*100,0))))*Lookup_Lists!$D$118,0)+IF(ISNUMBER(IF(NOT(ISNUMBER('[1]#REF'!$AM$15)),"N/A",MIN(100,ROUND((IF('[1]#REF'!$AG$15=Brand_Profile!$I$15,IF(ISNUMBER('[1]#REF'!$AH$15),'[1]#REF'!$AH$15,0),0)+IF('[1]#REF'!$AI$15=Brand_Profile!$I$15,IF(ISNUMBER('[1]#REF'!$AJ$15),'[1]#REF'!$AJ$15,0),0)+IF('[1]#REF'!$AK$15=Brand_Profile!$I$15,IF(ISNUMBER('[1]#REF'!$AL$15),'[1]#REF'!$AL$15,0),0))/Lookup_Lists!$D$317*100,0)))),IF(NOT(ISNUMBER('[1]#REF'!$AM$15)),"N/A",MIN(100,ROUND((IF('[1]#REF'!$AG$15=Brand_Profile!$I$15,IF(ISNUMBER('[1]#REF'!$AH$15),'[1]#REF'!$AH$15,0),0)+IF('[1]#REF'!$AI$15=Brand_Profile!$I$15,IF(ISNUMBER('[1]#REF'!$AJ$15),'[1]#REF'!$AJ$15,0),0)+IF('[1]#REF'!$AK$15=Brand_Profile!$I$15,IF(ISNUMBER('[1]#REF'!$AL$15),'[1]#REF'!$AL$15,0),0))/Lookup_Lists!$D$317*100,0)))*Lookup_Lists!$D$120,0))/(IF(ISNUMBER(IF(NOT(ISNUMBER('[1]#REF'!$AE$15)),"N/A",IF('[1]#REF'!$AD$15&lt;&gt;Brand_Profile!$I$14,Lookup_Lists!$D$151,MIN(100,ROUND('[1]#REF'!$AE$15/Lookup_Lists!$D$316*100,0))))),Lookup_Lists!$D$118,0)+IF(ISNUMBER(IF(NOT(ISNUMBER('[1]#REF'!$AM$15)),"N/A",MIN(100,ROUND((IF('[1]#REF'!$AG$15=Brand_Profile!$I$15,IF(ISNUMBER('[1]#REF'!$AH$15),'[1]#REF'!$AH$15,0),0)+IF('[1]#REF'!$AI$15=Brand_Profile!$I$15,IF(ISNUMBER('[1]#REF'!$AJ$15),'[1]#REF'!$AJ$15,0),0)+IF('[1]#REF'!$AK$15=Brand_Profile!$I$15,IF(ISNUMBER('[1]#REF'!$AL$15),'[1]#REF'!$AL$15,0),0))/Lookup_Lists!$D$317*100,0)))),Lookup_Lists!$D$120,0)),0))</f>
        <v>N/A</v>
      </c>
      <c r="R111" s="65" t="str">
        <f>IF(NOT(ISNUMBER('[1]#REF'!$AN$15)),"N/A",MIN(100,ROUND((IF(ISNUMBER('[1]#REF'!$AO$15),'[1]#REF'!$AO$15*Brand_Profile!$I$17,0)+IF(ISNUMBER('[1]#REF'!$AP$15),'[1]#REF'!$AP$15*Brand_Profile!$I$18,0)+IF(ISNUMBER('[1]#REF'!$AQ$15),'[1]#REF'!$AQ$15*Brand_Profile!$I$19,0)+IF(ISNUMBER('[1]#REF'!$AR$15),'[1]#REF'!$AR$15*Brand_Profile!$I$20,0)+IF(ISNUMBER('[1]#REF'!$AS$15),'[1]#REF'!$AS$15*Brand_Profile!$I$21,0)+IF(ISNUMBER('[1]#REF'!$AT$15),'[1]#REF'!$AT$15*Brand_Profile!$I$22,0)+IF(ISNUMBER('[1]#REF'!$AU$15),'[1]#REF'!$AU$15*Brand_Profile!$I$23,0)+IF(ISNUMBER('[1]#REF'!$AV$15),'[1]#REF'!$AV$15*Brand_Profile!$I$24,0)+IF(ISNUMBER('[1]#REF'!$AW$15),'[1]#REF'!$AW$15*Brand_Profile!$I$25,0)+IF(ISNUMBER('[1]#REF'!$AX$15),'[1]#REF'!$AX$15*Brand_Profile!$I$26,0)+IF(ISNUMBER('[1]#REF'!$AY$15),'[1]#REF'!$AY$15*Brand_Profile!$I$27,0)+IF(ISNUMBER('[1]#REF'!$AZ$15),'[1]#REF'!$AZ$15*Brand_Profile!$I$28,0)+IF(ISNUMBER('[1]#REF'!$BA$15),'[1]#REF'!$BA$15*Brand_Profile!$I$29,0)+IF(ISNUMBER('[1]#REF'!$BB$15),'[1]#REF'!$BB$15*Brand_Profile!$I$30,0)+IF(ISNUMBER('[1]#REF'!$BC$15),'[1]#REF'!$BC$15*Brand_Profile!$I$31,0)+IF(ISNUMBER('[1]#REF'!$BD$15),'[1]#REF'!$BD$15*Brand_Profile!$I$32,0)+IF(ISNUMBER('[1]#REF'!$BE$15),'[1]#REF'!$BE$15*Brand_Profile!$I$33,0)+IF(ISNUMBER('[1]#REF'!$BF$15),'[1]#REF'!$BF$15*Brand_Profile!$I$34,0))/Lookup_Lists!$D$318*100,0)))</f>
        <v>N/A</v>
      </c>
      <c r="S111" s="63" t="str">
        <f>IF((IF(ISNUMBER(Matching_Engine!$O$111),Lookup_Lists!$D$113,0)+IF(ISNUMBER(Matching_Engine!$P$111),Lookup_Lists!$D$114,0)+IF(ISNUMBER(Matching_Engine!$Q$111),Lookup_Lists!$D$115,0)+IF(ISNUMBER(Matching_Engine!$R$111),Lookup_Lists!$D$116,0))=0,"N/A",ROUND((IF(ISNUMBER(Matching_Engine!$O$111),Matching_Engine!$O$111*Lookup_Lists!$D$113,0)+IF(ISNUMBER(Matching_Engine!$P$111),Matching_Engine!$P$111*Lookup_Lists!$D$114,0)+IF(ISNUMBER(Matching_Engine!$Q$111),Matching_Engine!$Q$111*Lookup_Lists!$D$115,0)+IF(ISNUMBER(Matching_Engine!$R$111),Matching_Engine!$R$111*Lookup_Lists!$D$116,0))/(IF(ISNUMBER(Matching_Engine!$O$111),Lookup_Lists!$D$113,0)+IF(ISNUMBER(Matching_Engine!$P$111),Lookup_Lists!$D$114,0)+IF(ISNUMBER(Matching_Engine!$Q$111),Lookup_Lists!$D$115,0)+IF(ISNUMBER(Matching_Engine!$R$111),Lookup_Lists!$D$116,0)),0))</f>
        <v>N/A</v>
      </c>
      <c r="T111" s="42">
        <f>IF(ISNUMBER(Matching_Engine!$S$111),1,0)</f>
        <v>0</v>
      </c>
      <c r="U111" s="65" t="e">
        <f>IF(NOT(AND(ISTEXT('[1]#REF'!$M$15),'[1]#REF'!$M$15&lt;&gt;"N/A")),Lookup_Lists!$D$150,IF(Brand_Profile!$I$7='[1]#REF'!$M$15,100,IFERROR(INDEX(Lookup_Lists!$B$349:$J$357,MATCH(Brand_Profile!$I$7,Lookup_Lists!$A$349:$A$357,0),MATCH('[1]#REF'!$M$15,Lookup_Lists!$B$348:$J$348,0)),Lookup_Lists!$D$151)))</f>
        <v>#REF!</v>
      </c>
      <c r="V111" s="65" t="e">
        <f>IF(NOT(AND(ISTEXT('[1]#REF'!$P$15),'[1]#REF'!$P$15&lt;&gt;"N/A")),"N/A",IFERROR(INDEX(Lookup_Lists!$B$349:$J$357,MATCH(Brand_Profile!$I$7,Lookup_Lists!$A$349:$A$357,0),MATCH('[1]#REF'!$P$15,Lookup_Lists!$B$348:$J$348,0)),Lookup_Lists!$D$151))</f>
        <v>#REF!</v>
      </c>
      <c r="W111" s="65" t="str">
        <f>IF(LEN(TRIM(SUBSTITUTE(Matching_Engine!$BE$111,"|","")))=0,"N/A",IF(Brand_Profile!$I$60=0,Lookup_Lists!$D$150,ROUND((IF(Brand_Profile!$I$54="",0,IF(ISNUMBER(SEARCH(Brand_Profile!$I$54,Matching_Engine!$BE$111)),1,0))+IF(Brand_Profile!$I$55="",0,IF(ISNUMBER(SEARCH(Brand_Profile!$I$55,Matching_Engine!$BE$111)),1,0))+IF(Brand_Profile!$I$56="",0,IF(ISNUMBER(SEARCH(Brand_Profile!$I$56,Matching_Engine!$BE$111)),1,0))+IF(Brand_Profile!$I$57="",0,IF(ISNUMBER(SEARCH(Brand_Profile!$I$57,Matching_Engine!$BE$111)),1,0))+IF(Brand_Profile!$I$58="",0,IF(ISNUMBER(SEARCH(Brand_Profile!$I$58,Matching_Engine!$BE$111)),1,0))+IF(Brand_Profile!$I$59="",0,IF(ISNUMBER(SEARCH(Brand_Profile!$I$59,Matching_Engine!$BE$111)),1,0)))/Brand_Profile!$I$60*100,0)))</f>
        <v>N/A</v>
      </c>
      <c r="X111" s="65" t="e">
        <f>IF(NOT(AND(ISTEXT('[1]#REF'!$Q$15),'[1]#REF'!$Q$15&lt;&gt;"N/A")),"N/A",Lookup_Lists!$D$150)</f>
        <v>#REF!</v>
      </c>
      <c r="Y111" s="63" t="str">
        <f>IF((IF(ISNUMBER(Matching_Engine!$U$111),Lookup_Lists!$D$335,0)+IF(ISNUMBER(Matching_Engine!$V$111),Lookup_Lists!$D$122,0)+IF(ISNUMBER(Matching_Engine!$W$111),Lookup_Lists!$D$336,0)+IF(ISNUMBER(Matching_Engine!$X$111),Lookup_Lists!$D$124,0))=0,"N/A",ROUND((IF(ISNUMBER(Matching_Engine!$U$111),Matching_Engine!$U$111*Lookup_Lists!$D$335,0)+IF(ISNUMBER(Matching_Engine!$V$111),Matching_Engine!$V$111*Lookup_Lists!$D$122,0)+IF(ISNUMBER(Matching_Engine!$W$111),Matching_Engine!$W$111*Lookup_Lists!$D$336,0)+IF(ISNUMBER(Matching_Engine!$X$111),Matching_Engine!$X$111*Lookup_Lists!$D$124,0))/(IF(ISNUMBER(Matching_Engine!$U$111),Lookup_Lists!$D$335,0)+IF(ISNUMBER(Matching_Engine!$V$111),Lookup_Lists!$D$122,0)+IF(ISNUMBER(Matching_Engine!$W$111),Lookup_Lists!$D$336,0)+IF(ISNUMBER(Matching_Engine!$X$111),Lookup_Lists!$D$124,0)),0))</f>
        <v>N/A</v>
      </c>
      <c r="Z111" s="42">
        <f>IF(ISNUMBER(Matching_Engine!$Y$111),1,0)</f>
        <v>0</v>
      </c>
      <c r="AA111" s="65" t="e">
        <f>IF(NOT(AND(ISTEXT('[1]#REF'!$Q$15),'[1]#REF'!$Q$15&lt;&gt;"N/A")),"N/A",Lookup_Lists!$D$150)</f>
        <v>#REF!</v>
      </c>
      <c r="AB111" s="65" t="e">
        <f>IF(NOT(AND(ISTEXT('[1]#REF'!$Q$15),'[1]#REF'!$Q$15&lt;&gt;"N/A")),"N/A",Lookup_Lists!$D$150)</f>
        <v>#REF!</v>
      </c>
      <c r="AC111" s="65" t="str">
        <f t="shared" si="1"/>
        <v>N/A</v>
      </c>
      <c r="AD111" s="65" t="e">
        <f>IF(NOT(AND(ISTEXT('[1]#REF'!$Q$15),'[1]#REF'!$Q$15&lt;&gt;"N/A")),"N/A",Lookup_Lists!$D$150)</f>
        <v>#REF!</v>
      </c>
      <c r="AE111" s="63" t="str">
        <f>IF((IF(ISNUMBER(Matching_Engine!$AA$111),Lookup_Lists!$D$125,0)+IF(ISNUMBER(Matching_Engine!$AB$111),Lookup_Lists!$D$126,0)+IF(ISNUMBER(Matching_Engine!$AC$111),Lookup_Lists!$D$127,0)+IF(ISNUMBER(Matching_Engine!$AD$111),Lookup_Lists!$D$128,0))=0,"N/A",ROUND((IF(ISNUMBER(Matching_Engine!$AA$111),Matching_Engine!$AA$111*Lookup_Lists!$D$125,0)+IF(ISNUMBER(Matching_Engine!$AB$111),Matching_Engine!$AB$111*Lookup_Lists!$D$126,0)+IF(ISNUMBER(Matching_Engine!$AC$111),Matching_Engine!$AC$111*Lookup_Lists!$D$127,0)+IF(ISNUMBER(Matching_Engine!$AD$111),Matching_Engine!$AD$111*Lookup_Lists!$D$128,0))/(IF(ISNUMBER(Matching_Engine!$AA$111),Lookup_Lists!$D$125,0)+IF(ISNUMBER(Matching_Engine!$AB$111),Lookup_Lists!$D$126,0)+IF(ISNUMBER(Matching_Engine!$AC$111),Lookup_Lists!$D$127,0)+IF(ISNUMBER(Matching_Engine!$AD$111),Lookup_Lists!$D$128,0)),0))</f>
        <v>N/A</v>
      </c>
      <c r="AF111" s="42">
        <f>IF(ISNUMBER(Matching_Engine!$AE$111),1,0)</f>
        <v>0</v>
      </c>
      <c r="AG111" s="65" t="str">
        <f>IF(NOT(ISNUMBER('[1]#REF'!$BG$15)),"N/A",MIN(100,ROUND('[1]#REF'!$BG$15/IFERROR(INDEX(Lookup_Lists!$B$340:$B$344,MATCH('[1]#REF'!$H$15,Lookup_Lists!$A$340:$A$344,0)),Lookup_Lists!$D$141)*100,0)))</f>
        <v>N/A</v>
      </c>
      <c r="AH111" s="65" t="str">
        <f>IF(NOT(ISNUMBER('[1]#REF'!$BS$15)),"N/A",MIN(100,MAX(0,'[1]#REF'!$BS$15)))</f>
        <v>N/A</v>
      </c>
      <c r="AI111" s="65" t="e">
        <f>IF(OR(NOT(ISNUMBER('[1]#REF'!$BM$15)),NOT(ISNUMBER('[1]#REF'!$BN$15)),'[1]#REF'!$BN$15&lt;Lookup_Lists!$D$320),"N/A",MIN(100,ROUND('[1]#REF'!$BM$15/Lookup_Lists!$D$319*100,0)))</f>
        <v>#REF!</v>
      </c>
      <c r="AJ111" s="65" t="str">
        <f>IF(NOT(ISNUMBER('[1]#REF'!$BR$15)),"N/A",'[1]#REF'!$BR$15)</f>
        <v>N/A</v>
      </c>
      <c r="AK111" s="65" t="str">
        <f>IF(NOT(ISNUMBER('[1]#REF'!$BK$15)),"N/A",MIN(100,ROUND('[1]#REF'!$BK$15/Lookup_Lists!$D$321*100,0)))</f>
        <v>N/A</v>
      </c>
      <c r="AL111" s="65" t="str">
        <f>IF(NOT(ISNUMBER('[1]#REF'!$BP$15)),"N/A",MIN(100,MAX(0,ROUND(('[1]#REF'!$BP$15+2)/(Lookup_Lists!$D$145+2)*100,0))))</f>
        <v>N/A</v>
      </c>
      <c r="AM111" s="63" t="str">
        <f>IF((IF(ISNUMBER(Matching_Engine!$AG$111),Lookup_Lists!$D$129,0)+IF(ISNUMBER(Matching_Engine!$AH$111),Lookup_Lists!$D$130,0)+IF(ISNUMBER(Matching_Engine!$AI$111),Lookup_Lists!$D$131,0)+IF(ISNUMBER(Matching_Engine!$AJ$111),Lookup_Lists!$D$132,0)+IF(ISNUMBER(Matching_Engine!$AK$111),Lookup_Lists!$D$133,0)+IF(ISNUMBER(Matching_Engine!$AL$111),Lookup_Lists!$D$134,0))=0,"N/A",ROUND((IF(ISNUMBER(Matching_Engine!$AG$111),Matching_Engine!$AG$111*Lookup_Lists!$D$129,0)+IF(ISNUMBER(Matching_Engine!$AH$111),Matching_Engine!$AH$111*Lookup_Lists!$D$130,0)+IF(ISNUMBER(Matching_Engine!$AI$111),Matching_Engine!$AI$111*Lookup_Lists!$D$131,0)+IF(ISNUMBER(Matching_Engine!$AJ$111),Matching_Engine!$AJ$111*Lookup_Lists!$D$132,0)+IF(ISNUMBER(Matching_Engine!$AK$111),Matching_Engine!$AK$111*Lookup_Lists!$D$133,0)+IF(ISNUMBER(Matching_Engine!$AL$111),Matching_Engine!$AL$111*Lookup_Lists!$D$134,0))/(IF(ISNUMBER(Matching_Engine!$AG$111),Lookup_Lists!$D$129,0)+IF(ISNUMBER(Matching_Engine!$AH$111),Lookup_Lists!$D$130,0)+IF(ISNUMBER(Matching_Engine!$AI$111),Lookup_Lists!$D$131,0)+IF(ISNUMBER(Matching_Engine!$AJ$111),Lookup_Lists!$D$132,0)+IF(ISNUMBER(Matching_Engine!$AK$111),Lookup_Lists!$D$133,0)+IF(ISNUMBER(Matching_Engine!$AL$111),Lookup_Lists!$D$134,0)),0))</f>
        <v>N/A</v>
      </c>
      <c r="AN111" s="42">
        <f>IF(ISNUMBER(Matching_Engine!$AM$111),1,0)</f>
        <v>0</v>
      </c>
      <c r="AO111" s="65" t="str">
        <f>IF(NOT(ISNUMBER('[1]#REF'!$BT$15)),"N/A",MIN(100,MAX(0,'[1]#REF'!$BT$15)))</f>
        <v>N/A</v>
      </c>
      <c r="AP111" s="65" t="str">
        <f>IF(NOT(ISNUMBER('[1]#REF'!$BU$15)),"N/A",MIN(100,MAX(0,'[1]#REF'!$BU$15)))</f>
        <v>N/A</v>
      </c>
      <c r="AQ111" s="65" t="e">
        <f>IF('[1]#REF'!$I$15="Yes",Lookup_Lists!$D$326,IF('[1]#REF'!$I$15="No",Lookup_Lists!$D$327,"N/A"))</f>
        <v>#REF!</v>
      </c>
      <c r="AR111" s="65" t="str">
        <f>IF(NOT(ISNUMBER('[1]#REF'!$BQ$15)),"N/A",MAX(0,ROUND(100-'[1]#REF'!$BQ$15/Lookup_Lists!$D$328*100,0)))</f>
        <v>N/A</v>
      </c>
      <c r="AS111" s="65" t="e">
        <f>IF(NOT(AND(ISTEXT('[1]#REF'!$BV$15),'[1]#REF'!$BV$15&lt;&gt;"N/A")),"N/A",'[1]#REF'!$BV$15)</f>
        <v>#REF!</v>
      </c>
      <c r="AT111" s="63" t="str">
        <f>IF((IF(ISNUMBER(Matching_Engine!$AO$111),Lookup_Lists!$D$322,0)+IF(ISNUMBER(Matching_Engine!$AP$111),Lookup_Lists!$D$323,0)+IF(ISNUMBER(Matching_Engine!$AQ$111),Lookup_Lists!$D$324,0)+IF(ISNUMBER(Matching_Engine!$AR$111),Lookup_Lists!$D$325,0))=0,"N/A",ROUND((IF(ISNUMBER(Matching_Engine!$AO$111),Matching_Engine!$AO$111*Lookup_Lists!$D$322,0)+IF(ISNUMBER(Matching_Engine!$AP$111),Matching_Engine!$AP$111*Lookup_Lists!$D$323,0)+IF(ISNUMBER(Matching_Engine!$AQ$111),Matching_Engine!$AQ$111*Lookup_Lists!$D$324,0)+IF(ISNUMBER(Matching_Engine!$AR$111),Matching_Engine!$AR$111*Lookup_Lists!$D$325,0))/(IF(ISNUMBER(Matching_Engine!$AO$111),Lookup_Lists!$D$322,0)+IF(ISNUMBER(Matching_Engine!$AP$111),Lookup_Lists!$D$323,0)+IF(ISNUMBER(Matching_Engine!$AQ$111),Lookup_Lists!$D$324,0)+IF(ISNUMBER(Matching_Engine!$AR$111),Lookup_Lists!$D$325,0)),0))</f>
        <v>N/A</v>
      </c>
      <c r="AU111" s="42">
        <f>IF(ISNUMBER(Matching_Engine!$AT$111),1,0)</f>
        <v>0</v>
      </c>
      <c r="AV111" s="42" t="str">
        <f>IF(NOT(ISNUMBER(Matching_Engine!$AT$111)),"Not Screened",IF(Matching_Engine!$AT$111&gt;=Lookup_Lists!$D$329,"Low Risk",IF(Matching_Engine!$AT$111&gt;=Lookup_Lists!$D$330,"Moderate Risk",IF(Matching_Engine!$AT$111&gt;=Lookup_Lists!$D$331,"Elevated Risk","High Risk"))))</f>
        <v>Not Screened</v>
      </c>
      <c r="AW111" s="42" t="str">
        <f>IF(NOT(ISNUMBER(Matching_Engine!$AT$111)),"No integrity signal: no audience-analysis row for this account.","Integrity screen only — no content-risk reading exists (comments_analysis: 0 rows). "&amp;IF(ISNUMBER(Matching_Engine!$AO$111),"Authenticity "&amp;Matching_Engine!$AO$111&amp;". ","Authenticity N/A. ")&amp;IF(ISNUMBER(Matching_Engine!$AP$111),"Follower quality "&amp;Matching_Engine!$AP$111&amp;". ","Follower quality N/A. ")&amp;IF('[1]#REF'!$I$15="Yes","Platform-verified.","Not platform-verified."))</f>
        <v>No integrity signal: no audience-analysis row for this account.</v>
      </c>
      <c r="AX111" s="65">
        <f>Matching_Engine!$N$111*Lookup_Lists!$D$104+Matching_Engine!$T$111*Lookup_Lists!$D$105+Matching_Engine!$Z$111*Lookup_Lists!$D$106+Matching_Engine!$AF$111*Lookup_Lists!$D$107+Matching_Engine!$AN$111*Lookup_Lists!$D$108+Matching_Engine!$AU$111*Lookup_Lists!$D$109</f>
        <v>0</v>
      </c>
      <c r="AY111" s="74" t="str">
        <f>IF(Matching_Engine!$AX$111=0,"N/A",ROUND((IF(Matching_Engine!$N$111=1,Matching_Engine!$M$111*Lookup_Lists!$D$104,0)+IF(Matching_Engine!$T$111=1,Matching_Engine!$S$111*Lookup_Lists!$D$105,0)+IF(Matching_Engine!$Z$111=1,Matching_Engine!$Y$111*Lookup_Lists!$D$106,0)+IF(Matching_Engine!$AF$111=1,Matching_Engine!$AE$111*Lookup_Lists!$D$107,0)+IF(Matching_Engine!$AN$111=1,Matching_Engine!$AM$111*Lookup_Lists!$D$108,0)+IF(Matching_Engine!$AU$111=1,Matching_Engine!$AT$111*Lookup_Lists!$D$109,0))/Matching_Engine!$AX$111,0))</f>
        <v>N/A</v>
      </c>
      <c r="AZ111" s="42" t="str">
        <f>IF(NOT(ISNUMBER(Matching_Engine!$AY$111)),"Not Scored",IF(Matching_Engine!$AY$111&gt;=Lookup_Lists!$D$152,"Excellent Match",IF(Matching_Engine!$AY$111&gt;=Lookup_Lists!$D$153,"Strong Match",IF(Matching_Engine!$AY$111&gt;=Lookup_Lists!$D$154,"Good Match",IF(Matching_Engine!$AY$111&gt;=Lookup_Lists!$D$155,"Moderate Match","Low Match")))))</f>
        <v>Not Scored</v>
      </c>
      <c r="BA111" s="65" t="e">
        <f>'[1]#REF'!$BW$15</f>
        <v>#REF!</v>
      </c>
      <c r="BB111" s="42" t="e">
        <f>'[1]#REF'!$BX$15</f>
        <v>#REF!</v>
      </c>
      <c r="BC111" s="65">
        <f>IF(NOT(ISNUMBER(Matching_Engine!$AY$111)),-1,Matching_Engine!$AY$111*1000+15)</f>
        <v>-1</v>
      </c>
      <c r="BD111" s="42" t="e">
        <f>IF(AND(ISTEXT('[1]#REF'!$S$15),'[1]#REF'!$S$15&lt;&gt;"N/A"),'[1]#REF'!$S$15,"")&amp;" | "&amp;IF(AND(ISTEXT('[1]#REF'!$T$15),'[1]#REF'!$T$15&lt;&gt;"N/A"),'[1]#REF'!$T$15,"")&amp;" | "&amp;IF(AND(ISTEXT('[1]#REF'!$N$15),'[1]#REF'!$N$15&lt;&gt;"N/A"),'[1]#REF'!$N$15,"")&amp;" | "&amp;IF(AND(ISTEXT('[1]#REF'!$K$15),'[1]#REF'!$K$15&lt;&gt;"N/A"),'[1]#REF'!$K$15,"")&amp;" | "&amp;IF(AND(ISTEXT('[1]#REF'!$J$15),'[1]#REF'!$J$15&lt;&gt;"N/A"),'[1]#REF'!$J$15,"")</f>
        <v>#REF!</v>
      </c>
      <c r="BE111" s="42" t="e">
        <f>IF(AND(ISTEXT('[1]#REF'!$T$15),'[1]#REF'!$T$15&lt;&gt;"N/A"),'[1]#REF'!$T$15,"")&amp;" | "&amp;IF(AND(ISTEXT('[1]#REF'!$N$15),'[1]#REF'!$N$15&lt;&gt;"N/A"),'[1]#REF'!$N$15,"")&amp;" | "&amp;IF(AND(ISTEXT('[1]#REF'!$O$15),'[1]#REF'!$O$15&lt;&gt;"N/A"),'[1]#REF'!$O$15,"")&amp;" | "&amp;IF(AND(ISTEXT('[1]#REF'!$S$15),'[1]#REF'!$S$15&lt;&gt;"N/A"),'[1]#REF'!$S$15,"")</f>
        <v>#REF!</v>
      </c>
      <c r="BF111" s="42" t="e">
        <f>IF(AND(ISTEXT('[1]#REF'!$U$15),'[1]#REF'!$U$15&lt;&gt;"N/A"),'[1]#REF'!$U$15,"")</f>
        <v>#REF!</v>
      </c>
      <c r="BG111" s="42" t="str">
        <f>Matching_Engine!$A$111&amp;"|"&amp;Matching_Engine!$C$111</f>
        <v>|</v>
      </c>
    </row>
    <row r="112" spans="1:59">
      <c r="A112" s="64" t="s">
        <v>2531</v>
      </c>
      <c r="B112" s="42">
        <f>Brand_Profile!$I$6</f>
        <v>0</v>
      </c>
      <c r="C112" s="42" t="e">
        <f>'[1]#REF'!$A$16</f>
        <v>#REF!</v>
      </c>
      <c r="D112" s="42" t="e">
        <f>'[1]#REF'!$C$16</f>
        <v>#REF!</v>
      </c>
      <c r="E112" s="42" t="e">
        <f>'[1]#REF'!$D$16</f>
        <v>#REF!</v>
      </c>
      <c r="F112" s="42" t="e">
        <f>'[1]#REF'!$E$16</f>
        <v>#REF!</v>
      </c>
      <c r="G112" s="42" t="e">
        <f>'[1]#REF'!$K$16</f>
        <v>#REF!</v>
      </c>
      <c r="H112" s="72" t="e">
        <f>'[1]#REF'!$G$16</f>
        <v>#REF!</v>
      </c>
      <c r="I112" s="73" t="e">
        <f>'[1]#REF'!$BG$16</f>
        <v>#REF!</v>
      </c>
      <c r="J112" s="65" t="e">
        <f>IF(NOT(AND(ISTEXT('[1]#REF'!$K$16),'[1]#REF'!$K$16&lt;&gt;"N/A")),Lookup_Lists!$D$150,IF(Brand_Profile!$I$7='[1]#REF'!$K$16,100,IFERROR(INDEX(Lookup_Lists!$B$349:$J$357,MATCH(Brand_Profile!$I$7,Lookup_Lists!$A$349:$A$357,0),MATCH('[1]#REF'!$K$16,Lookup_Lists!$B$348:$J$348,0)),Lookup_Lists!$D$151)))</f>
        <v>#REF!</v>
      </c>
      <c r="K112" s="65" t="str">
        <f>IF(LEN(TRIM(SUBSTITUTE(Matching_Engine!$BD$112,"|","")))=0,"N/A",IF(Brand_Profile!$I$47=0,Lookup_Lists!$D$150,ROUND((IF(Brand_Profile!$I$41="",0,IF(ISNUMBER(SEARCH(Brand_Profile!$I$41,Matching_Engine!$BD$112)),1,0))+IF(Brand_Profile!$I$42="",0,IF(ISNUMBER(SEARCH(Brand_Profile!$I$42,Matching_Engine!$BD$112)),1,0))+IF(Brand_Profile!$I$43="",0,IF(ISNUMBER(SEARCH(Brand_Profile!$I$43,Matching_Engine!$BD$112)),1,0))+IF(Brand_Profile!$I$44="",0,IF(ISNUMBER(SEARCH(Brand_Profile!$I$44,Matching_Engine!$BD$112)),1,0))+IF(Brand_Profile!$I$45="",0,IF(ISNUMBER(SEARCH(Brand_Profile!$I$45,Matching_Engine!$BD$112)),1,0))+IF(Brand_Profile!$I$46="",0,IF(ISNUMBER(SEARCH(Brand_Profile!$I$46,Matching_Engine!$BD$112)),1,0)))/Brand_Profile!$I$47*100,0)))</f>
        <v>N/A</v>
      </c>
      <c r="L112" s="65" t="e">
        <f>IF(NOT(AND(ISTEXT('[1]#REF'!$U$16),'[1]#REF'!$U$16&lt;&gt;"N/A")),"N/A",IF(Brand_Profile!$I$53=0,Lookup_Lists!$D$150,ROUND((IF(Brand_Profile!$I$48="",0,IF(ISNUMBER(SEARCH(Brand_Profile!$I$48,Matching_Engine!$BF$112)),1,0))+IF(Brand_Profile!$I$49="",0,IF(ISNUMBER(SEARCH(Brand_Profile!$I$49,Matching_Engine!$BF$112)),1,0))+IF(Brand_Profile!$I$50="",0,IF(ISNUMBER(SEARCH(Brand_Profile!$I$50,Matching_Engine!$BF$112)),1,0))+IF(Brand_Profile!$I$51="",0,IF(ISNUMBER(SEARCH(Brand_Profile!$I$51,Matching_Engine!$BF$112)),1,0))+IF(Brand_Profile!$I$52="",0,IF(ISNUMBER(SEARCH(Brand_Profile!$I$52,Matching_Engine!$BF$112)),1,0)))/Brand_Profile!$I$53*100,0)))</f>
        <v>#REF!</v>
      </c>
      <c r="M112" s="63" t="str">
        <f>IF((IF(ISNUMBER(Matching_Engine!$J$112),Lookup_Lists!$D$332,0)+IF(ISNUMBER(Matching_Engine!$K$112),Lookup_Lists!$D$333,0)+IF(ISNUMBER(Matching_Engine!$L$112),Lookup_Lists!$D$334,0))=0,"N/A",ROUND((IF(ISNUMBER(Matching_Engine!$J$112),Matching_Engine!$J$112*Lookup_Lists!$D$332,0)+IF(ISNUMBER(Matching_Engine!$K$112),Matching_Engine!$K$112*Lookup_Lists!$D$333,0)+IF(ISNUMBER(Matching_Engine!$L$112),Matching_Engine!$L$112*Lookup_Lists!$D$334,0))/(IF(ISNUMBER(Matching_Engine!$J$112),Lookup_Lists!$D$332,0)+IF(ISNUMBER(Matching_Engine!$K$112),Lookup_Lists!$D$333,0)+IF(ISNUMBER(Matching_Engine!$L$112),Lookup_Lists!$D$334,0)),0))</f>
        <v>N/A</v>
      </c>
      <c r="N112" s="42">
        <f>IF(ISNUMBER(Matching_Engine!$M$112),1,0)</f>
        <v>0</v>
      </c>
      <c r="O112" s="65" t="str">
        <f ca="1">IF(NOT(ISNUMBER(IFERROR(INDEX('[1]#REF'!$V$16:'[1]#REF'!$Z$16,1,MATCH(Brand_Profile!$I$11,Lookup_Lists!$F$6:$F$10,0)),""))),"N/A",MIN(100,ROUND((IFERROR(INDEX('[1]#REF'!$V$16:'[1]#REF'!$Z$16,1,MATCH(Brand_Profile!$I$11,Lookup_Lists!$F$6:$F$10,0)),"")+0.5*IF(ISNUMBER(IFERROR(INDEX('[1]#REF'!$V$16:'[1]#REF'!$Z$16,1,MATCH(Brand_Profile!$I$12,Lookup_Lists!$F$6:$F$10,0)),"")),IFERROR(INDEX('[1]#REF'!$V$16:'[1]#REF'!$Z$16,1,MATCH(Brand_Profile!$I$12,Lookup_Lists!$F$6:$F$10,0)),""),0))/Lookup_Lists!$D$142*100,0)))</f>
        <v>N/A</v>
      </c>
      <c r="P112" s="65" t="str">
        <f>IF(Brand_Profile!$I$13="Any",100,IF(NOT(ISNUMBER('[1]#REF'!$AA$16)),"N/A",IF(Brand_Profile!$I$13="Female",MIN(100,ROUND('[1]#REF'!$AA$16/Lookup_Lists!$D$143*100,0)),IF(Brand_Profile!$I$13="Male",MIN(100,ROUND(IF(ISNUMBER('[1]#REF'!$AB$16),'[1]#REF'!$AB$16,100-'[1]#REF'!$AA$16)/Lookup_Lists!$D$143*100,0)),MAX(0,ROUND(100-ABS('[1]#REF'!$AA$16-50)*2,0))))))</f>
        <v>N/A</v>
      </c>
      <c r="Q112" s="65" t="str">
        <f>IF((IF(ISNUMBER(IF(NOT(ISNUMBER('[1]#REF'!$AE$16)),"N/A",IF('[1]#REF'!$AD$16&lt;&gt;Brand_Profile!$I$14,Lookup_Lists!$D$151,MIN(100,ROUND('[1]#REF'!$AE$16/Lookup_Lists!$D$316*100,0))))),Lookup_Lists!$D$118,0)+IF(ISNUMBER(IF(NOT(ISNUMBER('[1]#REF'!$AM$16)),"N/A",MIN(100,ROUND((IF('[1]#REF'!$AG$16=Brand_Profile!$I$15,IF(ISNUMBER('[1]#REF'!$AH$16),'[1]#REF'!$AH$16,0),0)+IF('[1]#REF'!$AI$16=Brand_Profile!$I$15,IF(ISNUMBER('[1]#REF'!$AJ$16),'[1]#REF'!$AJ$16,0),0)+IF('[1]#REF'!$AK$16=Brand_Profile!$I$15,IF(ISNUMBER('[1]#REF'!$AL$16),'[1]#REF'!$AL$16,0),0))/Lookup_Lists!$D$317*100,0)))),Lookup_Lists!$D$120,0))=0,"N/A",ROUND((IF(ISNUMBER(IF(NOT(ISNUMBER('[1]#REF'!$AE$16)),"N/A",IF('[1]#REF'!$AD$16&lt;&gt;Brand_Profile!$I$14,Lookup_Lists!$D$151,MIN(100,ROUND('[1]#REF'!$AE$16/Lookup_Lists!$D$316*100,0))))),IF(NOT(ISNUMBER('[1]#REF'!$AE$16)),"N/A",IF('[1]#REF'!$AD$16&lt;&gt;Brand_Profile!$I$14,Lookup_Lists!$D$151,MIN(100,ROUND('[1]#REF'!$AE$16/Lookup_Lists!$D$316*100,0))))*Lookup_Lists!$D$118,0)+IF(ISNUMBER(IF(NOT(ISNUMBER('[1]#REF'!$AM$16)),"N/A",MIN(100,ROUND((IF('[1]#REF'!$AG$16=Brand_Profile!$I$15,IF(ISNUMBER('[1]#REF'!$AH$16),'[1]#REF'!$AH$16,0),0)+IF('[1]#REF'!$AI$16=Brand_Profile!$I$15,IF(ISNUMBER('[1]#REF'!$AJ$16),'[1]#REF'!$AJ$16,0),0)+IF('[1]#REF'!$AK$16=Brand_Profile!$I$15,IF(ISNUMBER('[1]#REF'!$AL$16),'[1]#REF'!$AL$16,0),0))/Lookup_Lists!$D$317*100,0)))),IF(NOT(ISNUMBER('[1]#REF'!$AM$16)),"N/A",MIN(100,ROUND((IF('[1]#REF'!$AG$16=Brand_Profile!$I$15,IF(ISNUMBER('[1]#REF'!$AH$16),'[1]#REF'!$AH$16,0),0)+IF('[1]#REF'!$AI$16=Brand_Profile!$I$15,IF(ISNUMBER('[1]#REF'!$AJ$16),'[1]#REF'!$AJ$16,0),0)+IF('[1]#REF'!$AK$16=Brand_Profile!$I$15,IF(ISNUMBER('[1]#REF'!$AL$16),'[1]#REF'!$AL$16,0),0))/Lookup_Lists!$D$317*100,0)))*Lookup_Lists!$D$120,0))/(IF(ISNUMBER(IF(NOT(ISNUMBER('[1]#REF'!$AE$16)),"N/A",IF('[1]#REF'!$AD$16&lt;&gt;Brand_Profile!$I$14,Lookup_Lists!$D$151,MIN(100,ROUND('[1]#REF'!$AE$16/Lookup_Lists!$D$316*100,0))))),Lookup_Lists!$D$118,0)+IF(ISNUMBER(IF(NOT(ISNUMBER('[1]#REF'!$AM$16)),"N/A",MIN(100,ROUND((IF('[1]#REF'!$AG$16=Brand_Profile!$I$15,IF(ISNUMBER('[1]#REF'!$AH$16),'[1]#REF'!$AH$16,0),0)+IF('[1]#REF'!$AI$16=Brand_Profile!$I$15,IF(ISNUMBER('[1]#REF'!$AJ$16),'[1]#REF'!$AJ$16,0),0)+IF('[1]#REF'!$AK$16=Brand_Profile!$I$15,IF(ISNUMBER('[1]#REF'!$AL$16),'[1]#REF'!$AL$16,0),0))/Lookup_Lists!$D$317*100,0)))),Lookup_Lists!$D$120,0)),0))</f>
        <v>N/A</v>
      </c>
      <c r="R112" s="65" t="str">
        <f>IF(NOT(ISNUMBER('[1]#REF'!$AN$16)),"N/A",MIN(100,ROUND((IF(ISNUMBER('[1]#REF'!$AO$16),'[1]#REF'!$AO$16*Brand_Profile!$I$17,0)+IF(ISNUMBER('[1]#REF'!$AP$16),'[1]#REF'!$AP$16*Brand_Profile!$I$18,0)+IF(ISNUMBER('[1]#REF'!$AQ$16),'[1]#REF'!$AQ$16*Brand_Profile!$I$19,0)+IF(ISNUMBER('[1]#REF'!$AR$16),'[1]#REF'!$AR$16*Brand_Profile!$I$20,0)+IF(ISNUMBER('[1]#REF'!$AS$16),'[1]#REF'!$AS$16*Brand_Profile!$I$21,0)+IF(ISNUMBER('[1]#REF'!$AT$16),'[1]#REF'!$AT$16*Brand_Profile!$I$22,0)+IF(ISNUMBER('[1]#REF'!$AU$16),'[1]#REF'!$AU$16*Brand_Profile!$I$23,0)+IF(ISNUMBER('[1]#REF'!$AV$16),'[1]#REF'!$AV$16*Brand_Profile!$I$24,0)+IF(ISNUMBER('[1]#REF'!$AW$16),'[1]#REF'!$AW$16*Brand_Profile!$I$25,0)+IF(ISNUMBER('[1]#REF'!$AX$16),'[1]#REF'!$AX$16*Brand_Profile!$I$26,0)+IF(ISNUMBER('[1]#REF'!$AY$16),'[1]#REF'!$AY$16*Brand_Profile!$I$27,0)+IF(ISNUMBER('[1]#REF'!$AZ$16),'[1]#REF'!$AZ$16*Brand_Profile!$I$28,0)+IF(ISNUMBER('[1]#REF'!$BA$16),'[1]#REF'!$BA$16*Brand_Profile!$I$29,0)+IF(ISNUMBER('[1]#REF'!$BB$16),'[1]#REF'!$BB$16*Brand_Profile!$I$30,0)+IF(ISNUMBER('[1]#REF'!$BC$16),'[1]#REF'!$BC$16*Brand_Profile!$I$31,0)+IF(ISNUMBER('[1]#REF'!$BD$16),'[1]#REF'!$BD$16*Brand_Profile!$I$32,0)+IF(ISNUMBER('[1]#REF'!$BE$16),'[1]#REF'!$BE$16*Brand_Profile!$I$33,0)+IF(ISNUMBER('[1]#REF'!$BF$16),'[1]#REF'!$BF$16*Brand_Profile!$I$34,0))/Lookup_Lists!$D$318*100,0)))</f>
        <v>N/A</v>
      </c>
      <c r="S112" s="63" t="str">
        <f>IF((IF(ISNUMBER(Matching_Engine!$O$112),Lookup_Lists!$D$113,0)+IF(ISNUMBER(Matching_Engine!$P$112),Lookup_Lists!$D$114,0)+IF(ISNUMBER(Matching_Engine!$Q$112),Lookup_Lists!$D$115,0)+IF(ISNUMBER(Matching_Engine!$R$112),Lookup_Lists!$D$116,0))=0,"N/A",ROUND((IF(ISNUMBER(Matching_Engine!$O$112),Matching_Engine!$O$112*Lookup_Lists!$D$113,0)+IF(ISNUMBER(Matching_Engine!$P$112),Matching_Engine!$P$112*Lookup_Lists!$D$114,0)+IF(ISNUMBER(Matching_Engine!$Q$112),Matching_Engine!$Q$112*Lookup_Lists!$D$115,0)+IF(ISNUMBER(Matching_Engine!$R$112),Matching_Engine!$R$112*Lookup_Lists!$D$116,0))/(IF(ISNUMBER(Matching_Engine!$O$112),Lookup_Lists!$D$113,0)+IF(ISNUMBER(Matching_Engine!$P$112),Lookup_Lists!$D$114,0)+IF(ISNUMBER(Matching_Engine!$Q$112),Lookup_Lists!$D$115,0)+IF(ISNUMBER(Matching_Engine!$R$112),Lookup_Lists!$D$116,0)),0))</f>
        <v>N/A</v>
      </c>
      <c r="T112" s="42">
        <f>IF(ISNUMBER(Matching_Engine!$S$112),1,0)</f>
        <v>0</v>
      </c>
      <c r="U112" s="65" t="e">
        <f>IF(NOT(AND(ISTEXT('[1]#REF'!$M$16),'[1]#REF'!$M$16&lt;&gt;"N/A")),Lookup_Lists!$D$150,IF(Brand_Profile!$I$7='[1]#REF'!$M$16,100,IFERROR(INDEX(Lookup_Lists!$B$349:$J$357,MATCH(Brand_Profile!$I$7,Lookup_Lists!$A$349:$A$357,0),MATCH('[1]#REF'!$M$16,Lookup_Lists!$B$348:$J$348,0)),Lookup_Lists!$D$151)))</f>
        <v>#REF!</v>
      </c>
      <c r="V112" s="65" t="e">
        <f>IF(NOT(AND(ISTEXT('[1]#REF'!$P$16),'[1]#REF'!$P$16&lt;&gt;"N/A")),"N/A",IFERROR(INDEX(Lookup_Lists!$B$349:$J$357,MATCH(Brand_Profile!$I$7,Lookup_Lists!$A$349:$A$357,0),MATCH('[1]#REF'!$P$16,Lookup_Lists!$B$348:$J$348,0)),Lookup_Lists!$D$151))</f>
        <v>#REF!</v>
      </c>
      <c r="W112" s="65" t="str">
        <f>IF(LEN(TRIM(SUBSTITUTE(Matching_Engine!$BE$112,"|","")))=0,"N/A",IF(Brand_Profile!$I$60=0,Lookup_Lists!$D$150,ROUND((IF(Brand_Profile!$I$54="",0,IF(ISNUMBER(SEARCH(Brand_Profile!$I$54,Matching_Engine!$BE$112)),1,0))+IF(Brand_Profile!$I$55="",0,IF(ISNUMBER(SEARCH(Brand_Profile!$I$55,Matching_Engine!$BE$112)),1,0))+IF(Brand_Profile!$I$56="",0,IF(ISNUMBER(SEARCH(Brand_Profile!$I$56,Matching_Engine!$BE$112)),1,0))+IF(Brand_Profile!$I$57="",0,IF(ISNUMBER(SEARCH(Brand_Profile!$I$57,Matching_Engine!$BE$112)),1,0))+IF(Brand_Profile!$I$58="",0,IF(ISNUMBER(SEARCH(Brand_Profile!$I$58,Matching_Engine!$BE$112)),1,0))+IF(Brand_Profile!$I$59="",0,IF(ISNUMBER(SEARCH(Brand_Profile!$I$59,Matching_Engine!$BE$112)),1,0)))/Brand_Profile!$I$60*100,0)))</f>
        <v>N/A</v>
      </c>
      <c r="X112" s="65" t="e">
        <f>IF(NOT(AND(ISTEXT('[1]#REF'!$Q$16),'[1]#REF'!$Q$16&lt;&gt;"N/A")),"N/A",Lookup_Lists!$D$150)</f>
        <v>#REF!</v>
      </c>
      <c r="Y112" s="63" t="str">
        <f>IF((IF(ISNUMBER(Matching_Engine!$U$112),Lookup_Lists!$D$335,0)+IF(ISNUMBER(Matching_Engine!$V$112),Lookup_Lists!$D$122,0)+IF(ISNUMBER(Matching_Engine!$W$112),Lookup_Lists!$D$336,0)+IF(ISNUMBER(Matching_Engine!$X$112),Lookup_Lists!$D$124,0))=0,"N/A",ROUND((IF(ISNUMBER(Matching_Engine!$U$112),Matching_Engine!$U$112*Lookup_Lists!$D$335,0)+IF(ISNUMBER(Matching_Engine!$V$112),Matching_Engine!$V$112*Lookup_Lists!$D$122,0)+IF(ISNUMBER(Matching_Engine!$W$112),Matching_Engine!$W$112*Lookup_Lists!$D$336,0)+IF(ISNUMBER(Matching_Engine!$X$112),Matching_Engine!$X$112*Lookup_Lists!$D$124,0))/(IF(ISNUMBER(Matching_Engine!$U$112),Lookup_Lists!$D$335,0)+IF(ISNUMBER(Matching_Engine!$V$112),Lookup_Lists!$D$122,0)+IF(ISNUMBER(Matching_Engine!$W$112),Lookup_Lists!$D$336,0)+IF(ISNUMBER(Matching_Engine!$X$112),Lookup_Lists!$D$124,0)),0))</f>
        <v>N/A</v>
      </c>
      <c r="Z112" s="42">
        <f>IF(ISNUMBER(Matching_Engine!$Y$112),1,0)</f>
        <v>0</v>
      </c>
      <c r="AA112" s="65" t="e">
        <f>IF(NOT(AND(ISTEXT('[1]#REF'!$Q$16),'[1]#REF'!$Q$16&lt;&gt;"N/A")),"N/A",Lookup_Lists!$D$150)</f>
        <v>#REF!</v>
      </c>
      <c r="AB112" s="65" t="e">
        <f>IF(NOT(AND(ISTEXT('[1]#REF'!$Q$16),'[1]#REF'!$Q$16&lt;&gt;"N/A")),"N/A",Lookup_Lists!$D$150)</f>
        <v>#REF!</v>
      </c>
      <c r="AC112" s="65" t="str">
        <f t="shared" si="1"/>
        <v>N/A</v>
      </c>
      <c r="AD112" s="65" t="e">
        <f>IF(NOT(AND(ISTEXT('[1]#REF'!$Q$16),'[1]#REF'!$Q$16&lt;&gt;"N/A")),"N/A",Lookup_Lists!$D$150)</f>
        <v>#REF!</v>
      </c>
      <c r="AE112" s="63" t="str">
        <f>IF((IF(ISNUMBER(Matching_Engine!$AA$112),Lookup_Lists!$D$125,0)+IF(ISNUMBER(Matching_Engine!$AB$112),Lookup_Lists!$D$126,0)+IF(ISNUMBER(Matching_Engine!$AC$112),Lookup_Lists!$D$127,0)+IF(ISNUMBER(Matching_Engine!$AD$112),Lookup_Lists!$D$128,0))=0,"N/A",ROUND((IF(ISNUMBER(Matching_Engine!$AA$112),Matching_Engine!$AA$112*Lookup_Lists!$D$125,0)+IF(ISNUMBER(Matching_Engine!$AB$112),Matching_Engine!$AB$112*Lookup_Lists!$D$126,0)+IF(ISNUMBER(Matching_Engine!$AC$112),Matching_Engine!$AC$112*Lookup_Lists!$D$127,0)+IF(ISNUMBER(Matching_Engine!$AD$112),Matching_Engine!$AD$112*Lookup_Lists!$D$128,0))/(IF(ISNUMBER(Matching_Engine!$AA$112),Lookup_Lists!$D$125,0)+IF(ISNUMBER(Matching_Engine!$AB$112),Lookup_Lists!$D$126,0)+IF(ISNUMBER(Matching_Engine!$AC$112),Lookup_Lists!$D$127,0)+IF(ISNUMBER(Matching_Engine!$AD$112),Lookup_Lists!$D$128,0)),0))</f>
        <v>N/A</v>
      </c>
      <c r="AF112" s="42">
        <f>IF(ISNUMBER(Matching_Engine!$AE$112),1,0)</f>
        <v>0</v>
      </c>
      <c r="AG112" s="65" t="str">
        <f>IF(NOT(ISNUMBER('[1]#REF'!$BG$16)),"N/A",MIN(100,ROUND('[1]#REF'!$BG$16/IFERROR(INDEX(Lookup_Lists!$B$340:$B$344,MATCH('[1]#REF'!$H$16,Lookup_Lists!$A$340:$A$344,0)),Lookup_Lists!$D$141)*100,0)))</f>
        <v>N/A</v>
      </c>
      <c r="AH112" s="65" t="str">
        <f>IF(NOT(ISNUMBER('[1]#REF'!$BS$16)),"N/A",MIN(100,MAX(0,'[1]#REF'!$BS$16)))</f>
        <v>N/A</v>
      </c>
      <c r="AI112" s="65" t="e">
        <f>IF(OR(NOT(ISNUMBER('[1]#REF'!$BM$16)),NOT(ISNUMBER('[1]#REF'!$BN$16)),'[1]#REF'!$BN$16&lt;Lookup_Lists!$D$320),"N/A",MIN(100,ROUND('[1]#REF'!$BM$16/Lookup_Lists!$D$319*100,0)))</f>
        <v>#REF!</v>
      </c>
      <c r="AJ112" s="65" t="str">
        <f>IF(NOT(ISNUMBER('[1]#REF'!$BR$16)),"N/A",'[1]#REF'!$BR$16)</f>
        <v>N/A</v>
      </c>
      <c r="AK112" s="65" t="str">
        <f>IF(NOT(ISNUMBER('[1]#REF'!$BK$16)),"N/A",MIN(100,ROUND('[1]#REF'!$BK$16/Lookup_Lists!$D$321*100,0)))</f>
        <v>N/A</v>
      </c>
      <c r="AL112" s="65" t="str">
        <f>IF(NOT(ISNUMBER('[1]#REF'!$BP$16)),"N/A",MIN(100,MAX(0,ROUND(('[1]#REF'!$BP$16+2)/(Lookup_Lists!$D$145+2)*100,0))))</f>
        <v>N/A</v>
      </c>
      <c r="AM112" s="63" t="str">
        <f>IF((IF(ISNUMBER(Matching_Engine!$AG$112),Lookup_Lists!$D$129,0)+IF(ISNUMBER(Matching_Engine!$AH$112),Lookup_Lists!$D$130,0)+IF(ISNUMBER(Matching_Engine!$AI$112),Lookup_Lists!$D$131,0)+IF(ISNUMBER(Matching_Engine!$AJ$112),Lookup_Lists!$D$132,0)+IF(ISNUMBER(Matching_Engine!$AK$112),Lookup_Lists!$D$133,0)+IF(ISNUMBER(Matching_Engine!$AL$112),Lookup_Lists!$D$134,0))=0,"N/A",ROUND((IF(ISNUMBER(Matching_Engine!$AG$112),Matching_Engine!$AG$112*Lookup_Lists!$D$129,0)+IF(ISNUMBER(Matching_Engine!$AH$112),Matching_Engine!$AH$112*Lookup_Lists!$D$130,0)+IF(ISNUMBER(Matching_Engine!$AI$112),Matching_Engine!$AI$112*Lookup_Lists!$D$131,0)+IF(ISNUMBER(Matching_Engine!$AJ$112),Matching_Engine!$AJ$112*Lookup_Lists!$D$132,0)+IF(ISNUMBER(Matching_Engine!$AK$112),Matching_Engine!$AK$112*Lookup_Lists!$D$133,0)+IF(ISNUMBER(Matching_Engine!$AL$112),Matching_Engine!$AL$112*Lookup_Lists!$D$134,0))/(IF(ISNUMBER(Matching_Engine!$AG$112),Lookup_Lists!$D$129,0)+IF(ISNUMBER(Matching_Engine!$AH$112),Lookup_Lists!$D$130,0)+IF(ISNUMBER(Matching_Engine!$AI$112),Lookup_Lists!$D$131,0)+IF(ISNUMBER(Matching_Engine!$AJ$112),Lookup_Lists!$D$132,0)+IF(ISNUMBER(Matching_Engine!$AK$112),Lookup_Lists!$D$133,0)+IF(ISNUMBER(Matching_Engine!$AL$112),Lookup_Lists!$D$134,0)),0))</f>
        <v>N/A</v>
      </c>
      <c r="AN112" s="42">
        <f>IF(ISNUMBER(Matching_Engine!$AM$112),1,0)</f>
        <v>0</v>
      </c>
      <c r="AO112" s="65" t="str">
        <f>IF(NOT(ISNUMBER('[1]#REF'!$BT$16)),"N/A",MIN(100,MAX(0,'[1]#REF'!$BT$16)))</f>
        <v>N/A</v>
      </c>
      <c r="AP112" s="65" t="str">
        <f>IF(NOT(ISNUMBER('[1]#REF'!$BU$16)),"N/A",MIN(100,MAX(0,'[1]#REF'!$BU$16)))</f>
        <v>N/A</v>
      </c>
      <c r="AQ112" s="65" t="e">
        <f>IF('[1]#REF'!$I$16="Yes",Lookup_Lists!$D$326,IF('[1]#REF'!$I$16="No",Lookup_Lists!$D$327,"N/A"))</f>
        <v>#REF!</v>
      </c>
      <c r="AR112" s="65" t="str">
        <f>IF(NOT(ISNUMBER('[1]#REF'!$BQ$16)),"N/A",MAX(0,ROUND(100-'[1]#REF'!$BQ$16/Lookup_Lists!$D$328*100,0)))</f>
        <v>N/A</v>
      </c>
      <c r="AS112" s="65" t="e">
        <f>IF(NOT(AND(ISTEXT('[1]#REF'!$BV$16),'[1]#REF'!$BV$16&lt;&gt;"N/A")),"N/A",'[1]#REF'!$BV$16)</f>
        <v>#REF!</v>
      </c>
      <c r="AT112" s="63" t="str">
        <f>IF((IF(ISNUMBER(Matching_Engine!$AO$112),Lookup_Lists!$D$322,0)+IF(ISNUMBER(Matching_Engine!$AP$112),Lookup_Lists!$D$323,0)+IF(ISNUMBER(Matching_Engine!$AQ$112),Lookup_Lists!$D$324,0)+IF(ISNUMBER(Matching_Engine!$AR$112),Lookup_Lists!$D$325,0))=0,"N/A",ROUND((IF(ISNUMBER(Matching_Engine!$AO$112),Matching_Engine!$AO$112*Lookup_Lists!$D$322,0)+IF(ISNUMBER(Matching_Engine!$AP$112),Matching_Engine!$AP$112*Lookup_Lists!$D$323,0)+IF(ISNUMBER(Matching_Engine!$AQ$112),Matching_Engine!$AQ$112*Lookup_Lists!$D$324,0)+IF(ISNUMBER(Matching_Engine!$AR$112),Matching_Engine!$AR$112*Lookup_Lists!$D$325,0))/(IF(ISNUMBER(Matching_Engine!$AO$112),Lookup_Lists!$D$322,0)+IF(ISNUMBER(Matching_Engine!$AP$112),Lookup_Lists!$D$323,0)+IF(ISNUMBER(Matching_Engine!$AQ$112),Lookup_Lists!$D$324,0)+IF(ISNUMBER(Matching_Engine!$AR$112),Lookup_Lists!$D$325,0)),0))</f>
        <v>N/A</v>
      </c>
      <c r="AU112" s="42">
        <f>IF(ISNUMBER(Matching_Engine!$AT$112),1,0)</f>
        <v>0</v>
      </c>
      <c r="AV112" s="42" t="str">
        <f>IF(NOT(ISNUMBER(Matching_Engine!$AT$112)),"Not Screened",IF(Matching_Engine!$AT$112&gt;=Lookup_Lists!$D$329,"Low Risk",IF(Matching_Engine!$AT$112&gt;=Lookup_Lists!$D$330,"Moderate Risk",IF(Matching_Engine!$AT$112&gt;=Lookup_Lists!$D$331,"Elevated Risk","High Risk"))))</f>
        <v>Not Screened</v>
      </c>
      <c r="AW112" s="42" t="str">
        <f>IF(NOT(ISNUMBER(Matching_Engine!$AT$112)),"No integrity signal: no audience-analysis row for this account.","Integrity screen only — no content-risk reading exists (comments_analysis: 0 rows). "&amp;IF(ISNUMBER(Matching_Engine!$AO$112),"Authenticity "&amp;Matching_Engine!$AO$112&amp;". ","Authenticity N/A. ")&amp;IF(ISNUMBER(Matching_Engine!$AP$112),"Follower quality "&amp;Matching_Engine!$AP$112&amp;". ","Follower quality N/A. ")&amp;IF('[1]#REF'!$I$16="Yes","Platform-verified.","Not platform-verified."))</f>
        <v>No integrity signal: no audience-analysis row for this account.</v>
      </c>
      <c r="AX112" s="65">
        <f>Matching_Engine!$N$112*Lookup_Lists!$D$104+Matching_Engine!$T$112*Lookup_Lists!$D$105+Matching_Engine!$Z$112*Lookup_Lists!$D$106+Matching_Engine!$AF$112*Lookup_Lists!$D$107+Matching_Engine!$AN$112*Lookup_Lists!$D$108+Matching_Engine!$AU$112*Lookup_Lists!$D$109</f>
        <v>0</v>
      </c>
      <c r="AY112" s="74" t="str">
        <f>IF(Matching_Engine!$AX$112=0,"N/A",ROUND((IF(Matching_Engine!$N$112=1,Matching_Engine!$M$112*Lookup_Lists!$D$104,0)+IF(Matching_Engine!$T$112=1,Matching_Engine!$S$112*Lookup_Lists!$D$105,0)+IF(Matching_Engine!$Z$112=1,Matching_Engine!$Y$112*Lookup_Lists!$D$106,0)+IF(Matching_Engine!$AF$112=1,Matching_Engine!$AE$112*Lookup_Lists!$D$107,0)+IF(Matching_Engine!$AN$112=1,Matching_Engine!$AM$112*Lookup_Lists!$D$108,0)+IF(Matching_Engine!$AU$112=1,Matching_Engine!$AT$112*Lookup_Lists!$D$109,0))/Matching_Engine!$AX$112,0))</f>
        <v>N/A</v>
      </c>
      <c r="AZ112" s="42" t="str">
        <f>IF(NOT(ISNUMBER(Matching_Engine!$AY$112)),"Not Scored",IF(Matching_Engine!$AY$112&gt;=Lookup_Lists!$D$152,"Excellent Match",IF(Matching_Engine!$AY$112&gt;=Lookup_Lists!$D$153,"Strong Match",IF(Matching_Engine!$AY$112&gt;=Lookup_Lists!$D$154,"Good Match",IF(Matching_Engine!$AY$112&gt;=Lookup_Lists!$D$155,"Moderate Match","Low Match")))))</f>
        <v>Not Scored</v>
      </c>
      <c r="BA112" s="65" t="e">
        <f>'[1]#REF'!$BW$16</f>
        <v>#REF!</v>
      </c>
      <c r="BB112" s="42" t="e">
        <f>'[1]#REF'!$BX$16</f>
        <v>#REF!</v>
      </c>
      <c r="BC112" s="65">
        <f>IF(NOT(ISNUMBER(Matching_Engine!$AY$112)),-1,Matching_Engine!$AY$112*1000+14)</f>
        <v>-1</v>
      </c>
      <c r="BD112" s="42" t="e">
        <f>IF(AND(ISTEXT('[1]#REF'!$S$16),'[1]#REF'!$S$16&lt;&gt;"N/A"),'[1]#REF'!$S$16,"")&amp;" | "&amp;IF(AND(ISTEXT('[1]#REF'!$T$16),'[1]#REF'!$T$16&lt;&gt;"N/A"),'[1]#REF'!$T$16,"")&amp;" | "&amp;IF(AND(ISTEXT('[1]#REF'!$N$16),'[1]#REF'!$N$16&lt;&gt;"N/A"),'[1]#REF'!$N$16,"")&amp;" | "&amp;IF(AND(ISTEXT('[1]#REF'!$K$16),'[1]#REF'!$K$16&lt;&gt;"N/A"),'[1]#REF'!$K$16,"")&amp;" | "&amp;IF(AND(ISTEXT('[1]#REF'!$J$16),'[1]#REF'!$J$16&lt;&gt;"N/A"),'[1]#REF'!$J$16,"")</f>
        <v>#REF!</v>
      </c>
      <c r="BE112" s="42" t="e">
        <f>IF(AND(ISTEXT('[1]#REF'!$T$16),'[1]#REF'!$T$16&lt;&gt;"N/A"),'[1]#REF'!$T$16,"")&amp;" | "&amp;IF(AND(ISTEXT('[1]#REF'!$N$16),'[1]#REF'!$N$16&lt;&gt;"N/A"),'[1]#REF'!$N$16,"")&amp;" | "&amp;IF(AND(ISTEXT('[1]#REF'!$O$16),'[1]#REF'!$O$16&lt;&gt;"N/A"),'[1]#REF'!$O$16,"")&amp;" | "&amp;IF(AND(ISTEXT('[1]#REF'!$S$16),'[1]#REF'!$S$16&lt;&gt;"N/A"),'[1]#REF'!$S$16,"")</f>
        <v>#REF!</v>
      </c>
      <c r="BF112" s="42" t="e">
        <f>IF(AND(ISTEXT('[1]#REF'!$U$16),'[1]#REF'!$U$16&lt;&gt;"N/A"),'[1]#REF'!$U$16,"")</f>
        <v>#REF!</v>
      </c>
      <c r="BG112" s="42" t="str">
        <f>Matching_Engine!$A$112&amp;"|"&amp;Matching_Engine!$C$112</f>
        <v>|</v>
      </c>
    </row>
    <row r="113" spans="1:59">
      <c r="A113" s="64" t="s">
        <v>2531</v>
      </c>
      <c r="B113" s="42">
        <f>Brand_Profile!$I$6</f>
        <v>0</v>
      </c>
      <c r="C113" s="42" t="e">
        <f>'[1]#REF'!$A$17</f>
        <v>#REF!</v>
      </c>
      <c r="D113" s="42" t="e">
        <f>'[1]#REF'!$C$17</f>
        <v>#REF!</v>
      </c>
      <c r="E113" s="42" t="e">
        <f>'[1]#REF'!$D$17</f>
        <v>#REF!</v>
      </c>
      <c r="F113" s="42" t="e">
        <f>'[1]#REF'!$E$17</f>
        <v>#REF!</v>
      </c>
      <c r="G113" s="42" t="e">
        <f>'[1]#REF'!$K$17</f>
        <v>#REF!</v>
      </c>
      <c r="H113" s="72" t="e">
        <f>'[1]#REF'!$G$17</f>
        <v>#REF!</v>
      </c>
      <c r="I113" s="73" t="e">
        <f>'[1]#REF'!$BG$17</f>
        <v>#REF!</v>
      </c>
      <c r="J113" s="65" t="e">
        <f>IF(NOT(AND(ISTEXT('[1]#REF'!$K$17),'[1]#REF'!$K$17&lt;&gt;"N/A")),Lookup_Lists!$D$150,IF(Brand_Profile!$I$7='[1]#REF'!$K$17,100,IFERROR(INDEX(Lookup_Lists!$B$349:$J$357,MATCH(Brand_Profile!$I$7,Lookup_Lists!$A$349:$A$357,0),MATCH('[1]#REF'!$K$17,Lookup_Lists!$B$348:$J$348,0)),Lookup_Lists!$D$151)))</f>
        <v>#REF!</v>
      </c>
      <c r="K113" s="65" t="str">
        <f>IF(LEN(TRIM(SUBSTITUTE(Matching_Engine!$BD$113,"|","")))=0,"N/A",IF(Brand_Profile!$I$47=0,Lookup_Lists!$D$150,ROUND((IF(Brand_Profile!$I$41="",0,IF(ISNUMBER(SEARCH(Brand_Profile!$I$41,Matching_Engine!$BD$113)),1,0))+IF(Brand_Profile!$I$42="",0,IF(ISNUMBER(SEARCH(Brand_Profile!$I$42,Matching_Engine!$BD$113)),1,0))+IF(Brand_Profile!$I$43="",0,IF(ISNUMBER(SEARCH(Brand_Profile!$I$43,Matching_Engine!$BD$113)),1,0))+IF(Brand_Profile!$I$44="",0,IF(ISNUMBER(SEARCH(Brand_Profile!$I$44,Matching_Engine!$BD$113)),1,0))+IF(Brand_Profile!$I$45="",0,IF(ISNUMBER(SEARCH(Brand_Profile!$I$45,Matching_Engine!$BD$113)),1,0))+IF(Brand_Profile!$I$46="",0,IF(ISNUMBER(SEARCH(Brand_Profile!$I$46,Matching_Engine!$BD$113)),1,0)))/Brand_Profile!$I$47*100,0)))</f>
        <v>N/A</v>
      </c>
      <c r="L113" s="65" t="e">
        <f>IF(NOT(AND(ISTEXT('[1]#REF'!$U$17),'[1]#REF'!$U$17&lt;&gt;"N/A")),"N/A",IF(Brand_Profile!$I$53=0,Lookup_Lists!$D$150,ROUND((IF(Brand_Profile!$I$48="",0,IF(ISNUMBER(SEARCH(Brand_Profile!$I$48,Matching_Engine!$BF$113)),1,0))+IF(Brand_Profile!$I$49="",0,IF(ISNUMBER(SEARCH(Brand_Profile!$I$49,Matching_Engine!$BF$113)),1,0))+IF(Brand_Profile!$I$50="",0,IF(ISNUMBER(SEARCH(Brand_Profile!$I$50,Matching_Engine!$BF$113)),1,0))+IF(Brand_Profile!$I$51="",0,IF(ISNUMBER(SEARCH(Brand_Profile!$I$51,Matching_Engine!$BF$113)),1,0))+IF(Brand_Profile!$I$52="",0,IF(ISNUMBER(SEARCH(Brand_Profile!$I$52,Matching_Engine!$BF$113)),1,0)))/Brand_Profile!$I$53*100,0)))</f>
        <v>#REF!</v>
      </c>
      <c r="M113" s="63" t="str">
        <f>IF((IF(ISNUMBER(Matching_Engine!$J$113),Lookup_Lists!$D$332,0)+IF(ISNUMBER(Matching_Engine!$K$113),Lookup_Lists!$D$333,0)+IF(ISNUMBER(Matching_Engine!$L$113),Lookup_Lists!$D$334,0))=0,"N/A",ROUND((IF(ISNUMBER(Matching_Engine!$J$113),Matching_Engine!$J$113*Lookup_Lists!$D$332,0)+IF(ISNUMBER(Matching_Engine!$K$113),Matching_Engine!$K$113*Lookup_Lists!$D$333,0)+IF(ISNUMBER(Matching_Engine!$L$113),Matching_Engine!$L$113*Lookup_Lists!$D$334,0))/(IF(ISNUMBER(Matching_Engine!$J$113),Lookup_Lists!$D$332,0)+IF(ISNUMBER(Matching_Engine!$K$113),Lookup_Lists!$D$333,0)+IF(ISNUMBER(Matching_Engine!$L$113),Lookup_Lists!$D$334,0)),0))</f>
        <v>N/A</v>
      </c>
      <c r="N113" s="42">
        <f>IF(ISNUMBER(Matching_Engine!$M$113),1,0)</f>
        <v>0</v>
      </c>
      <c r="O113" s="65" t="str">
        <f ca="1">IF(NOT(ISNUMBER(IFERROR(INDEX('[1]#REF'!$V$17:'[1]#REF'!$Z$17,1,MATCH(Brand_Profile!$I$11,Lookup_Lists!$F$6:$F$10,0)),""))),"N/A",MIN(100,ROUND((IFERROR(INDEX('[1]#REF'!$V$17:'[1]#REF'!$Z$17,1,MATCH(Brand_Profile!$I$11,Lookup_Lists!$F$6:$F$10,0)),"")+0.5*IF(ISNUMBER(IFERROR(INDEX('[1]#REF'!$V$17:'[1]#REF'!$Z$17,1,MATCH(Brand_Profile!$I$12,Lookup_Lists!$F$6:$F$10,0)),"")),IFERROR(INDEX('[1]#REF'!$V$17:'[1]#REF'!$Z$17,1,MATCH(Brand_Profile!$I$12,Lookup_Lists!$F$6:$F$10,0)),""),0))/Lookup_Lists!$D$142*100,0)))</f>
        <v>N/A</v>
      </c>
      <c r="P113" s="65" t="str">
        <f>IF(Brand_Profile!$I$13="Any",100,IF(NOT(ISNUMBER('[1]#REF'!$AA$17)),"N/A",IF(Brand_Profile!$I$13="Female",MIN(100,ROUND('[1]#REF'!$AA$17/Lookup_Lists!$D$143*100,0)),IF(Brand_Profile!$I$13="Male",MIN(100,ROUND(IF(ISNUMBER('[1]#REF'!$AB$17),'[1]#REF'!$AB$17,100-'[1]#REF'!$AA$17)/Lookup_Lists!$D$143*100,0)),MAX(0,ROUND(100-ABS('[1]#REF'!$AA$17-50)*2,0))))))</f>
        <v>N/A</v>
      </c>
      <c r="Q113" s="65" t="str">
        <f>IF((IF(ISNUMBER(IF(NOT(ISNUMBER('[1]#REF'!$AE$17)),"N/A",IF('[1]#REF'!$AD$17&lt;&gt;Brand_Profile!$I$14,Lookup_Lists!$D$151,MIN(100,ROUND('[1]#REF'!$AE$17/Lookup_Lists!$D$316*100,0))))),Lookup_Lists!$D$118,0)+IF(ISNUMBER(IF(NOT(ISNUMBER('[1]#REF'!$AM$17)),"N/A",MIN(100,ROUND((IF('[1]#REF'!$AG$17=Brand_Profile!$I$15,IF(ISNUMBER('[1]#REF'!$AH$17),'[1]#REF'!$AH$17,0),0)+IF('[1]#REF'!$AI$17=Brand_Profile!$I$15,IF(ISNUMBER('[1]#REF'!$AJ$17),'[1]#REF'!$AJ$17,0),0)+IF('[1]#REF'!$AK$17=Brand_Profile!$I$15,IF(ISNUMBER('[1]#REF'!$AL$17),'[1]#REF'!$AL$17,0),0))/Lookup_Lists!$D$317*100,0)))),Lookup_Lists!$D$120,0))=0,"N/A",ROUND((IF(ISNUMBER(IF(NOT(ISNUMBER('[1]#REF'!$AE$17)),"N/A",IF('[1]#REF'!$AD$17&lt;&gt;Brand_Profile!$I$14,Lookup_Lists!$D$151,MIN(100,ROUND('[1]#REF'!$AE$17/Lookup_Lists!$D$316*100,0))))),IF(NOT(ISNUMBER('[1]#REF'!$AE$17)),"N/A",IF('[1]#REF'!$AD$17&lt;&gt;Brand_Profile!$I$14,Lookup_Lists!$D$151,MIN(100,ROUND('[1]#REF'!$AE$17/Lookup_Lists!$D$316*100,0))))*Lookup_Lists!$D$118,0)+IF(ISNUMBER(IF(NOT(ISNUMBER('[1]#REF'!$AM$17)),"N/A",MIN(100,ROUND((IF('[1]#REF'!$AG$17=Brand_Profile!$I$15,IF(ISNUMBER('[1]#REF'!$AH$17),'[1]#REF'!$AH$17,0),0)+IF('[1]#REF'!$AI$17=Brand_Profile!$I$15,IF(ISNUMBER('[1]#REF'!$AJ$17),'[1]#REF'!$AJ$17,0),0)+IF('[1]#REF'!$AK$17=Brand_Profile!$I$15,IF(ISNUMBER('[1]#REF'!$AL$17),'[1]#REF'!$AL$17,0),0))/Lookup_Lists!$D$317*100,0)))),IF(NOT(ISNUMBER('[1]#REF'!$AM$17)),"N/A",MIN(100,ROUND((IF('[1]#REF'!$AG$17=Brand_Profile!$I$15,IF(ISNUMBER('[1]#REF'!$AH$17),'[1]#REF'!$AH$17,0),0)+IF('[1]#REF'!$AI$17=Brand_Profile!$I$15,IF(ISNUMBER('[1]#REF'!$AJ$17),'[1]#REF'!$AJ$17,0),0)+IF('[1]#REF'!$AK$17=Brand_Profile!$I$15,IF(ISNUMBER('[1]#REF'!$AL$17),'[1]#REF'!$AL$17,0),0))/Lookup_Lists!$D$317*100,0)))*Lookup_Lists!$D$120,0))/(IF(ISNUMBER(IF(NOT(ISNUMBER('[1]#REF'!$AE$17)),"N/A",IF('[1]#REF'!$AD$17&lt;&gt;Brand_Profile!$I$14,Lookup_Lists!$D$151,MIN(100,ROUND('[1]#REF'!$AE$17/Lookup_Lists!$D$316*100,0))))),Lookup_Lists!$D$118,0)+IF(ISNUMBER(IF(NOT(ISNUMBER('[1]#REF'!$AM$17)),"N/A",MIN(100,ROUND((IF('[1]#REF'!$AG$17=Brand_Profile!$I$15,IF(ISNUMBER('[1]#REF'!$AH$17),'[1]#REF'!$AH$17,0),0)+IF('[1]#REF'!$AI$17=Brand_Profile!$I$15,IF(ISNUMBER('[1]#REF'!$AJ$17),'[1]#REF'!$AJ$17,0),0)+IF('[1]#REF'!$AK$17=Brand_Profile!$I$15,IF(ISNUMBER('[1]#REF'!$AL$17),'[1]#REF'!$AL$17,0),0))/Lookup_Lists!$D$317*100,0)))),Lookup_Lists!$D$120,0)),0))</f>
        <v>N/A</v>
      </c>
      <c r="R113" s="65" t="str">
        <f>IF(NOT(ISNUMBER('[1]#REF'!$AN$17)),"N/A",MIN(100,ROUND((IF(ISNUMBER('[1]#REF'!$AO$17),'[1]#REF'!$AO$17*Brand_Profile!$I$17,0)+IF(ISNUMBER('[1]#REF'!$AP$17),'[1]#REF'!$AP$17*Brand_Profile!$I$18,0)+IF(ISNUMBER('[1]#REF'!$AQ$17),'[1]#REF'!$AQ$17*Brand_Profile!$I$19,0)+IF(ISNUMBER('[1]#REF'!$AR$17),'[1]#REF'!$AR$17*Brand_Profile!$I$20,0)+IF(ISNUMBER('[1]#REF'!$AS$17),'[1]#REF'!$AS$17*Brand_Profile!$I$21,0)+IF(ISNUMBER('[1]#REF'!$AT$17),'[1]#REF'!$AT$17*Brand_Profile!$I$22,0)+IF(ISNUMBER('[1]#REF'!$AU$17),'[1]#REF'!$AU$17*Brand_Profile!$I$23,0)+IF(ISNUMBER('[1]#REF'!$AV$17),'[1]#REF'!$AV$17*Brand_Profile!$I$24,0)+IF(ISNUMBER('[1]#REF'!$AW$17),'[1]#REF'!$AW$17*Brand_Profile!$I$25,0)+IF(ISNUMBER('[1]#REF'!$AX$17),'[1]#REF'!$AX$17*Brand_Profile!$I$26,0)+IF(ISNUMBER('[1]#REF'!$AY$17),'[1]#REF'!$AY$17*Brand_Profile!$I$27,0)+IF(ISNUMBER('[1]#REF'!$AZ$17),'[1]#REF'!$AZ$17*Brand_Profile!$I$28,0)+IF(ISNUMBER('[1]#REF'!$BA$17),'[1]#REF'!$BA$17*Brand_Profile!$I$29,0)+IF(ISNUMBER('[1]#REF'!$BB$17),'[1]#REF'!$BB$17*Brand_Profile!$I$30,0)+IF(ISNUMBER('[1]#REF'!$BC$17),'[1]#REF'!$BC$17*Brand_Profile!$I$31,0)+IF(ISNUMBER('[1]#REF'!$BD$17),'[1]#REF'!$BD$17*Brand_Profile!$I$32,0)+IF(ISNUMBER('[1]#REF'!$BE$17),'[1]#REF'!$BE$17*Brand_Profile!$I$33,0)+IF(ISNUMBER('[1]#REF'!$BF$17),'[1]#REF'!$BF$17*Brand_Profile!$I$34,0))/Lookup_Lists!$D$318*100,0)))</f>
        <v>N/A</v>
      </c>
      <c r="S113" s="63" t="str">
        <f>IF((IF(ISNUMBER(Matching_Engine!$O$113),Lookup_Lists!$D$113,0)+IF(ISNUMBER(Matching_Engine!$P$113),Lookup_Lists!$D$114,0)+IF(ISNUMBER(Matching_Engine!$Q$113),Lookup_Lists!$D$115,0)+IF(ISNUMBER(Matching_Engine!$R$113),Lookup_Lists!$D$116,0))=0,"N/A",ROUND((IF(ISNUMBER(Matching_Engine!$O$113),Matching_Engine!$O$113*Lookup_Lists!$D$113,0)+IF(ISNUMBER(Matching_Engine!$P$113),Matching_Engine!$P$113*Lookup_Lists!$D$114,0)+IF(ISNUMBER(Matching_Engine!$Q$113),Matching_Engine!$Q$113*Lookup_Lists!$D$115,0)+IF(ISNUMBER(Matching_Engine!$R$113),Matching_Engine!$R$113*Lookup_Lists!$D$116,0))/(IF(ISNUMBER(Matching_Engine!$O$113),Lookup_Lists!$D$113,0)+IF(ISNUMBER(Matching_Engine!$P$113),Lookup_Lists!$D$114,0)+IF(ISNUMBER(Matching_Engine!$Q$113),Lookup_Lists!$D$115,0)+IF(ISNUMBER(Matching_Engine!$R$113),Lookup_Lists!$D$116,0)),0))</f>
        <v>N/A</v>
      </c>
      <c r="T113" s="42">
        <f>IF(ISNUMBER(Matching_Engine!$S$113),1,0)</f>
        <v>0</v>
      </c>
      <c r="U113" s="65" t="e">
        <f>IF(NOT(AND(ISTEXT('[1]#REF'!$M$17),'[1]#REF'!$M$17&lt;&gt;"N/A")),Lookup_Lists!$D$150,IF(Brand_Profile!$I$7='[1]#REF'!$M$17,100,IFERROR(INDEX(Lookup_Lists!$B$349:$J$357,MATCH(Brand_Profile!$I$7,Lookup_Lists!$A$349:$A$357,0),MATCH('[1]#REF'!$M$17,Lookup_Lists!$B$348:$J$348,0)),Lookup_Lists!$D$151)))</f>
        <v>#REF!</v>
      </c>
      <c r="V113" s="65" t="e">
        <f>IF(NOT(AND(ISTEXT('[1]#REF'!$P$17),'[1]#REF'!$P$17&lt;&gt;"N/A")),"N/A",IFERROR(INDEX(Lookup_Lists!$B$349:$J$357,MATCH(Brand_Profile!$I$7,Lookup_Lists!$A$349:$A$357,0),MATCH('[1]#REF'!$P$17,Lookup_Lists!$B$348:$J$348,0)),Lookup_Lists!$D$151))</f>
        <v>#REF!</v>
      </c>
      <c r="W113" s="65" t="str">
        <f>IF(LEN(TRIM(SUBSTITUTE(Matching_Engine!$BE$113,"|","")))=0,"N/A",IF(Brand_Profile!$I$60=0,Lookup_Lists!$D$150,ROUND((IF(Brand_Profile!$I$54="",0,IF(ISNUMBER(SEARCH(Brand_Profile!$I$54,Matching_Engine!$BE$113)),1,0))+IF(Brand_Profile!$I$55="",0,IF(ISNUMBER(SEARCH(Brand_Profile!$I$55,Matching_Engine!$BE$113)),1,0))+IF(Brand_Profile!$I$56="",0,IF(ISNUMBER(SEARCH(Brand_Profile!$I$56,Matching_Engine!$BE$113)),1,0))+IF(Brand_Profile!$I$57="",0,IF(ISNUMBER(SEARCH(Brand_Profile!$I$57,Matching_Engine!$BE$113)),1,0))+IF(Brand_Profile!$I$58="",0,IF(ISNUMBER(SEARCH(Brand_Profile!$I$58,Matching_Engine!$BE$113)),1,0))+IF(Brand_Profile!$I$59="",0,IF(ISNUMBER(SEARCH(Brand_Profile!$I$59,Matching_Engine!$BE$113)),1,0)))/Brand_Profile!$I$60*100,0)))</f>
        <v>N/A</v>
      </c>
      <c r="X113" s="65" t="e">
        <f>IF(NOT(AND(ISTEXT('[1]#REF'!$Q$17),'[1]#REF'!$Q$17&lt;&gt;"N/A")),"N/A",Lookup_Lists!$D$150)</f>
        <v>#REF!</v>
      </c>
      <c r="Y113" s="63" t="str">
        <f>IF((IF(ISNUMBER(Matching_Engine!$U$113),Lookup_Lists!$D$335,0)+IF(ISNUMBER(Matching_Engine!$V$113),Lookup_Lists!$D$122,0)+IF(ISNUMBER(Matching_Engine!$W$113),Lookup_Lists!$D$336,0)+IF(ISNUMBER(Matching_Engine!$X$113),Lookup_Lists!$D$124,0))=0,"N/A",ROUND((IF(ISNUMBER(Matching_Engine!$U$113),Matching_Engine!$U$113*Lookup_Lists!$D$335,0)+IF(ISNUMBER(Matching_Engine!$V$113),Matching_Engine!$V$113*Lookup_Lists!$D$122,0)+IF(ISNUMBER(Matching_Engine!$W$113),Matching_Engine!$W$113*Lookup_Lists!$D$336,0)+IF(ISNUMBER(Matching_Engine!$X$113),Matching_Engine!$X$113*Lookup_Lists!$D$124,0))/(IF(ISNUMBER(Matching_Engine!$U$113),Lookup_Lists!$D$335,0)+IF(ISNUMBER(Matching_Engine!$V$113),Lookup_Lists!$D$122,0)+IF(ISNUMBER(Matching_Engine!$W$113),Lookup_Lists!$D$336,0)+IF(ISNUMBER(Matching_Engine!$X$113),Lookup_Lists!$D$124,0)),0))</f>
        <v>N/A</v>
      </c>
      <c r="Z113" s="42">
        <f>IF(ISNUMBER(Matching_Engine!$Y$113),1,0)</f>
        <v>0</v>
      </c>
      <c r="AA113" s="65" t="e">
        <f>IF(NOT(AND(ISTEXT('[1]#REF'!$Q$17),'[1]#REF'!$Q$17&lt;&gt;"N/A")),"N/A",Lookup_Lists!$D$150)</f>
        <v>#REF!</v>
      </c>
      <c r="AB113" s="65" t="e">
        <f>IF(NOT(AND(ISTEXT('[1]#REF'!$Q$17),'[1]#REF'!$Q$17&lt;&gt;"N/A")),"N/A",Lookup_Lists!$D$150)</f>
        <v>#REF!</v>
      </c>
      <c r="AC113" s="65" t="str">
        <f t="shared" si="1"/>
        <v>N/A</v>
      </c>
      <c r="AD113" s="65" t="e">
        <f>IF(NOT(AND(ISTEXT('[1]#REF'!$Q$17),'[1]#REF'!$Q$17&lt;&gt;"N/A")),"N/A",Lookup_Lists!$D$150)</f>
        <v>#REF!</v>
      </c>
      <c r="AE113" s="63" t="str">
        <f>IF((IF(ISNUMBER(Matching_Engine!$AA$113),Lookup_Lists!$D$125,0)+IF(ISNUMBER(Matching_Engine!$AB$113),Lookup_Lists!$D$126,0)+IF(ISNUMBER(Matching_Engine!$AC$113),Lookup_Lists!$D$127,0)+IF(ISNUMBER(Matching_Engine!$AD$113),Lookup_Lists!$D$128,0))=0,"N/A",ROUND((IF(ISNUMBER(Matching_Engine!$AA$113),Matching_Engine!$AA$113*Lookup_Lists!$D$125,0)+IF(ISNUMBER(Matching_Engine!$AB$113),Matching_Engine!$AB$113*Lookup_Lists!$D$126,0)+IF(ISNUMBER(Matching_Engine!$AC$113),Matching_Engine!$AC$113*Lookup_Lists!$D$127,0)+IF(ISNUMBER(Matching_Engine!$AD$113),Matching_Engine!$AD$113*Lookup_Lists!$D$128,0))/(IF(ISNUMBER(Matching_Engine!$AA$113),Lookup_Lists!$D$125,0)+IF(ISNUMBER(Matching_Engine!$AB$113),Lookup_Lists!$D$126,0)+IF(ISNUMBER(Matching_Engine!$AC$113),Lookup_Lists!$D$127,0)+IF(ISNUMBER(Matching_Engine!$AD$113),Lookup_Lists!$D$128,0)),0))</f>
        <v>N/A</v>
      </c>
      <c r="AF113" s="42">
        <f>IF(ISNUMBER(Matching_Engine!$AE$113),1,0)</f>
        <v>0</v>
      </c>
      <c r="AG113" s="65" t="str">
        <f>IF(NOT(ISNUMBER('[1]#REF'!$BG$17)),"N/A",MIN(100,ROUND('[1]#REF'!$BG$17/IFERROR(INDEX(Lookup_Lists!$B$340:$B$344,MATCH('[1]#REF'!$H$17,Lookup_Lists!$A$340:$A$344,0)),Lookup_Lists!$D$141)*100,0)))</f>
        <v>N/A</v>
      </c>
      <c r="AH113" s="65" t="str">
        <f>IF(NOT(ISNUMBER('[1]#REF'!$BS$17)),"N/A",MIN(100,MAX(0,'[1]#REF'!$BS$17)))</f>
        <v>N/A</v>
      </c>
      <c r="AI113" s="65" t="e">
        <f>IF(OR(NOT(ISNUMBER('[1]#REF'!$BM$17)),NOT(ISNUMBER('[1]#REF'!$BN$17)),'[1]#REF'!$BN$17&lt;Lookup_Lists!$D$320),"N/A",MIN(100,ROUND('[1]#REF'!$BM$17/Lookup_Lists!$D$319*100,0)))</f>
        <v>#REF!</v>
      </c>
      <c r="AJ113" s="65" t="str">
        <f>IF(NOT(ISNUMBER('[1]#REF'!$BR$17)),"N/A",'[1]#REF'!$BR$17)</f>
        <v>N/A</v>
      </c>
      <c r="AK113" s="65" t="str">
        <f>IF(NOT(ISNUMBER('[1]#REF'!$BK$17)),"N/A",MIN(100,ROUND('[1]#REF'!$BK$17/Lookup_Lists!$D$321*100,0)))</f>
        <v>N/A</v>
      </c>
      <c r="AL113" s="65" t="str">
        <f>IF(NOT(ISNUMBER('[1]#REF'!$BP$17)),"N/A",MIN(100,MAX(0,ROUND(('[1]#REF'!$BP$17+2)/(Lookup_Lists!$D$145+2)*100,0))))</f>
        <v>N/A</v>
      </c>
      <c r="AM113" s="63" t="str">
        <f>IF((IF(ISNUMBER(Matching_Engine!$AG$113),Lookup_Lists!$D$129,0)+IF(ISNUMBER(Matching_Engine!$AH$113),Lookup_Lists!$D$130,0)+IF(ISNUMBER(Matching_Engine!$AI$113),Lookup_Lists!$D$131,0)+IF(ISNUMBER(Matching_Engine!$AJ$113),Lookup_Lists!$D$132,0)+IF(ISNUMBER(Matching_Engine!$AK$113),Lookup_Lists!$D$133,0)+IF(ISNUMBER(Matching_Engine!$AL$113),Lookup_Lists!$D$134,0))=0,"N/A",ROUND((IF(ISNUMBER(Matching_Engine!$AG$113),Matching_Engine!$AG$113*Lookup_Lists!$D$129,0)+IF(ISNUMBER(Matching_Engine!$AH$113),Matching_Engine!$AH$113*Lookup_Lists!$D$130,0)+IF(ISNUMBER(Matching_Engine!$AI$113),Matching_Engine!$AI$113*Lookup_Lists!$D$131,0)+IF(ISNUMBER(Matching_Engine!$AJ$113),Matching_Engine!$AJ$113*Lookup_Lists!$D$132,0)+IF(ISNUMBER(Matching_Engine!$AK$113),Matching_Engine!$AK$113*Lookup_Lists!$D$133,0)+IF(ISNUMBER(Matching_Engine!$AL$113),Matching_Engine!$AL$113*Lookup_Lists!$D$134,0))/(IF(ISNUMBER(Matching_Engine!$AG$113),Lookup_Lists!$D$129,0)+IF(ISNUMBER(Matching_Engine!$AH$113),Lookup_Lists!$D$130,0)+IF(ISNUMBER(Matching_Engine!$AI$113),Lookup_Lists!$D$131,0)+IF(ISNUMBER(Matching_Engine!$AJ$113),Lookup_Lists!$D$132,0)+IF(ISNUMBER(Matching_Engine!$AK$113),Lookup_Lists!$D$133,0)+IF(ISNUMBER(Matching_Engine!$AL$113),Lookup_Lists!$D$134,0)),0))</f>
        <v>N/A</v>
      </c>
      <c r="AN113" s="42">
        <f>IF(ISNUMBER(Matching_Engine!$AM$113),1,0)</f>
        <v>0</v>
      </c>
      <c r="AO113" s="65" t="str">
        <f>IF(NOT(ISNUMBER('[1]#REF'!$BT$17)),"N/A",MIN(100,MAX(0,'[1]#REF'!$BT$17)))</f>
        <v>N/A</v>
      </c>
      <c r="AP113" s="65" t="str">
        <f>IF(NOT(ISNUMBER('[1]#REF'!$BU$17)),"N/A",MIN(100,MAX(0,'[1]#REF'!$BU$17)))</f>
        <v>N/A</v>
      </c>
      <c r="AQ113" s="65" t="e">
        <f>IF('[1]#REF'!$I$17="Yes",Lookup_Lists!$D$326,IF('[1]#REF'!$I$17="No",Lookup_Lists!$D$327,"N/A"))</f>
        <v>#REF!</v>
      </c>
      <c r="AR113" s="65" t="str">
        <f>IF(NOT(ISNUMBER('[1]#REF'!$BQ$17)),"N/A",MAX(0,ROUND(100-'[1]#REF'!$BQ$17/Lookup_Lists!$D$328*100,0)))</f>
        <v>N/A</v>
      </c>
      <c r="AS113" s="65" t="e">
        <f>IF(NOT(AND(ISTEXT('[1]#REF'!$BV$17),'[1]#REF'!$BV$17&lt;&gt;"N/A")),"N/A",'[1]#REF'!$BV$17)</f>
        <v>#REF!</v>
      </c>
      <c r="AT113" s="63" t="str">
        <f>IF((IF(ISNUMBER(Matching_Engine!$AO$113),Lookup_Lists!$D$322,0)+IF(ISNUMBER(Matching_Engine!$AP$113),Lookup_Lists!$D$323,0)+IF(ISNUMBER(Matching_Engine!$AQ$113),Lookup_Lists!$D$324,0)+IF(ISNUMBER(Matching_Engine!$AR$113),Lookup_Lists!$D$325,0))=0,"N/A",ROUND((IF(ISNUMBER(Matching_Engine!$AO$113),Matching_Engine!$AO$113*Lookup_Lists!$D$322,0)+IF(ISNUMBER(Matching_Engine!$AP$113),Matching_Engine!$AP$113*Lookup_Lists!$D$323,0)+IF(ISNUMBER(Matching_Engine!$AQ$113),Matching_Engine!$AQ$113*Lookup_Lists!$D$324,0)+IF(ISNUMBER(Matching_Engine!$AR$113),Matching_Engine!$AR$113*Lookup_Lists!$D$325,0))/(IF(ISNUMBER(Matching_Engine!$AO$113),Lookup_Lists!$D$322,0)+IF(ISNUMBER(Matching_Engine!$AP$113),Lookup_Lists!$D$323,0)+IF(ISNUMBER(Matching_Engine!$AQ$113),Lookup_Lists!$D$324,0)+IF(ISNUMBER(Matching_Engine!$AR$113),Lookup_Lists!$D$325,0)),0))</f>
        <v>N/A</v>
      </c>
      <c r="AU113" s="42">
        <f>IF(ISNUMBER(Matching_Engine!$AT$113),1,0)</f>
        <v>0</v>
      </c>
      <c r="AV113" s="42" t="str">
        <f>IF(NOT(ISNUMBER(Matching_Engine!$AT$113)),"Not Screened",IF(Matching_Engine!$AT$113&gt;=Lookup_Lists!$D$329,"Low Risk",IF(Matching_Engine!$AT$113&gt;=Lookup_Lists!$D$330,"Moderate Risk",IF(Matching_Engine!$AT$113&gt;=Lookup_Lists!$D$331,"Elevated Risk","High Risk"))))</f>
        <v>Not Screened</v>
      </c>
      <c r="AW113" s="42" t="str">
        <f>IF(NOT(ISNUMBER(Matching_Engine!$AT$113)),"No integrity signal: no audience-analysis row for this account.","Integrity screen only — no content-risk reading exists (comments_analysis: 0 rows). "&amp;IF(ISNUMBER(Matching_Engine!$AO$113),"Authenticity "&amp;Matching_Engine!$AO$113&amp;". ","Authenticity N/A. ")&amp;IF(ISNUMBER(Matching_Engine!$AP$113),"Follower quality "&amp;Matching_Engine!$AP$113&amp;". ","Follower quality N/A. ")&amp;IF('[1]#REF'!$I$17="Yes","Platform-verified.","Not platform-verified."))</f>
        <v>No integrity signal: no audience-analysis row for this account.</v>
      </c>
      <c r="AX113" s="65">
        <f>Matching_Engine!$N$113*Lookup_Lists!$D$104+Matching_Engine!$T$113*Lookup_Lists!$D$105+Matching_Engine!$Z$113*Lookup_Lists!$D$106+Matching_Engine!$AF$113*Lookup_Lists!$D$107+Matching_Engine!$AN$113*Lookup_Lists!$D$108+Matching_Engine!$AU$113*Lookup_Lists!$D$109</f>
        <v>0</v>
      </c>
      <c r="AY113" s="74" t="str">
        <f>IF(Matching_Engine!$AX$113=0,"N/A",ROUND((IF(Matching_Engine!$N$113=1,Matching_Engine!$M$113*Lookup_Lists!$D$104,0)+IF(Matching_Engine!$T$113=1,Matching_Engine!$S$113*Lookup_Lists!$D$105,0)+IF(Matching_Engine!$Z$113=1,Matching_Engine!$Y$113*Lookup_Lists!$D$106,0)+IF(Matching_Engine!$AF$113=1,Matching_Engine!$AE$113*Lookup_Lists!$D$107,0)+IF(Matching_Engine!$AN$113=1,Matching_Engine!$AM$113*Lookup_Lists!$D$108,0)+IF(Matching_Engine!$AU$113=1,Matching_Engine!$AT$113*Lookup_Lists!$D$109,0))/Matching_Engine!$AX$113,0))</f>
        <v>N/A</v>
      </c>
      <c r="AZ113" s="42" t="str">
        <f>IF(NOT(ISNUMBER(Matching_Engine!$AY$113)),"Not Scored",IF(Matching_Engine!$AY$113&gt;=Lookup_Lists!$D$152,"Excellent Match",IF(Matching_Engine!$AY$113&gt;=Lookup_Lists!$D$153,"Strong Match",IF(Matching_Engine!$AY$113&gt;=Lookup_Lists!$D$154,"Good Match",IF(Matching_Engine!$AY$113&gt;=Lookup_Lists!$D$155,"Moderate Match","Low Match")))))</f>
        <v>Not Scored</v>
      </c>
      <c r="BA113" s="65" t="e">
        <f>'[1]#REF'!$BW$17</f>
        <v>#REF!</v>
      </c>
      <c r="BB113" s="42" t="e">
        <f>'[1]#REF'!$BX$17</f>
        <v>#REF!</v>
      </c>
      <c r="BC113" s="65">
        <f>IF(NOT(ISNUMBER(Matching_Engine!$AY$113)),-1,Matching_Engine!$AY$113*1000+13)</f>
        <v>-1</v>
      </c>
      <c r="BD113" s="42" t="e">
        <f>IF(AND(ISTEXT('[1]#REF'!$S$17),'[1]#REF'!$S$17&lt;&gt;"N/A"),'[1]#REF'!$S$17,"")&amp;" | "&amp;IF(AND(ISTEXT('[1]#REF'!$T$17),'[1]#REF'!$T$17&lt;&gt;"N/A"),'[1]#REF'!$T$17,"")&amp;" | "&amp;IF(AND(ISTEXT('[1]#REF'!$N$17),'[1]#REF'!$N$17&lt;&gt;"N/A"),'[1]#REF'!$N$17,"")&amp;" | "&amp;IF(AND(ISTEXT('[1]#REF'!$K$17),'[1]#REF'!$K$17&lt;&gt;"N/A"),'[1]#REF'!$K$17,"")&amp;" | "&amp;IF(AND(ISTEXT('[1]#REF'!$J$17),'[1]#REF'!$J$17&lt;&gt;"N/A"),'[1]#REF'!$J$17,"")</f>
        <v>#REF!</v>
      </c>
      <c r="BE113" s="42" t="e">
        <f>IF(AND(ISTEXT('[1]#REF'!$T$17),'[1]#REF'!$T$17&lt;&gt;"N/A"),'[1]#REF'!$T$17,"")&amp;" | "&amp;IF(AND(ISTEXT('[1]#REF'!$N$17),'[1]#REF'!$N$17&lt;&gt;"N/A"),'[1]#REF'!$N$17,"")&amp;" | "&amp;IF(AND(ISTEXT('[1]#REF'!$O$17),'[1]#REF'!$O$17&lt;&gt;"N/A"),'[1]#REF'!$O$17,"")&amp;" | "&amp;IF(AND(ISTEXT('[1]#REF'!$S$17),'[1]#REF'!$S$17&lt;&gt;"N/A"),'[1]#REF'!$S$17,"")</f>
        <v>#REF!</v>
      </c>
      <c r="BF113" s="42" t="e">
        <f>IF(AND(ISTEXT('[1]#REF'!$U$17),'[1]#REF'!$U$17&lt;&gt;"N/A"),'[1]#REF'!$U$17,"")</f>
        <v>#REF!</v>
      </c>
      <c r="BG113" s="42" t="str">
        <f>Matching_Engine!$A$113&amp;"|"&amp;Matching_Engine!$C$113</f>
        <v>|</v>
      </c>
    </row>
    <row r="114" spans="1:59">
      <c r="A114" s="64" t="s">
        <v>2531</v>
      </c>
      <c r="B114" s="42">
        <f>Brand_Profile!$I$6</f>
        <v>0</v>
      </c>
      <c r="C114" s="42" t="e">
        <f>'[1]#REF'!$A$18</f>
        <v>#REF!</v>
      </c>
      <c r="D114" s="42" t="e">
        <f>'[1]#REF'!$C$18</f>
        <v>#REF!</v>
      </c>
      <c r="E114" s="42" t="e">
        <f>'[1]#REF'!$D$18</f>
        <v>#REF!</v>
      </c>
      <c r="F114" s="42" t="e">
        <f>'[1]#REF'!$E$18</f>
        <v>#REF!</v>
      </c>
      <c r="G114" s="42" t="e">
        <f>'[1]#REF'!$K$18</f>
        <v>#REF!</v>
      </c>
      <c r="H114" s="72" t="e">
        <f>'[1]#REF'!$G$18</f>
        <v>#REF!</v>
      </c>
      <c r="I114" s="73" t="e">
        <f>'[1]#REF'!$BG$18</f>
        <v>#REF!</v>
      </c>
      <c r="J114" s="65" t="e">
        <f>IF(NOT(AND(ISTEXT('[1]#REF'!$K$18),'[1]#REF'!$K$18&lt;&gt;"N/A")),Lookup_Lists!$D$150,IF(Brand_Profile!$I$7='[1]#REF'!$K$18,100,IFERROR(INDEX(Lookup_Lists!$B$349:$J$357,MATCH(Brand_Profile!$I$7,Lookup_Lists!$A$349:$A$357,0),MATCH('[1]#REF'!$K$18,Lookup_Lists!$B$348:$J$348,0)),Lookup_Lists!$D$151)))</f>
        <v>#REF!</v>
      </c>
      <c r="K114" s="65" t="str">
        <f>IF(LEN(TRIM(SUBSTITUTE(Matching_Engine!$BD$114,"|","")))=0,"N/A",IF(Brand_Profile!$I$47=0,Lookup_Lists!$D$150,ROUND((IF(Brand_Profile!$I$41="",0,IF(ISNUMBER(SEARCH(Brand_Profile!$I$41,Matching_Engine!$BD$114)),1,0))+IF(Brand_Profile!$I$42="",0,IF(ISNUMBER(SEARCH(Brand_Profile!$I$42,Matching_Engine!$BD$114)),1,0))+IF(Brand_Profile!$I$43="",0,IF(ISNUMBER(SEARCH(Brand_Profile!$I$43,Matching_Engine!$BD$114)),1,0))+IF(Brand_Profile!$I$44="",0,IF(ISNUMBER(SEARCH(Brand_Profile!$I$44,Matching_Engine!$BD$114)),1,0))+IF(Brand_Profile!$I$45="",0,IF(ISNUMBER(SEARCH(Brand_Profile!$I$45,Matching_Engine!$BD$114)),1,0))+IF(Brand_Profile!$I$46="",0,IF(ISNUMBER(SEARCH(Brand_Profile!$I$46,Matching_Engine!$BD$114)),1,0)))/Brand_Profile!$I$47*100,0)))</f>
        <v>N/A</v>
      </c>
      <c r="L114" s="65" t="e">
        <f>IF(NOT(AND(ISTEXT('[1]#REF'!$U$18),'[1]#REF'!$U$18&lt;&gt;"N/A")),"N/A",IF(Brand_Profile!$I$53=0,Lookup_Lists!$D$150,ROUND((IF(Brand_Profile!$I$48="",0,IF(ISNUMBER(SEARCH(Brand_Profile!$I$48,Matching_Engine!$BF$114)),1,0))+IF(Brand_Profile!$I$49="",0,IF(ISNUMBER(SEARCH(Brand_Profile!$I$49,Matching_Engine!$BF$114)),1,0))+IF(Brand_Profile!$I$50="",0,IF(ISNUMBER(SEARCH(Brand_Profile!$I$50,Matching_Engine!$BF$114)),1,0))+IF(Brand_Profile!$I$51="",0,IF(ISNUMBER(SEARCH(Brand_Profile!$I$51,Matching_Engine!$BF$114)),1,0))+IF(Brand_Profile!$I$52="",0,IF(ISNUMBER(SEARCH(Brand_Profile!$I$52,Matching_Engine!$BF$114)),1,0)))/Brand_Profile!$I$53*100,0)))</f>
        <v>#REF!</v>
      </c>
      <c r="M114" s="63" t="str">
        <f>IF((IF(ISNUMBER(Matching_Engine!$J$114),Lookup_Lists!$D$332,0)+IF(ISNUMBER(Matching_Engine!$K$114),Lookup_Lists!$D$333,0)+IF(ISNUMBER(Matching_Engine!$L$114),Lookup_Lists!$D$334,0))=0,"N/A",ROUND((IF(ISNUMBER(Matching_Engine!$J$114),Matching_Engine!$J$114*Lookup_Lists!$D$332,0)+IF(ISNUMBER(Matching_Engine!$K$114),Matching_Engine!$K$114*Lookup_Lists!$D$333,0)+IF(ISNUMBER(Matching_Engine!$L$114),Matching_Engine!$L$114*Lookup_Lists!$D$334,0))/(IF(ISNUMBER(Matching_Engine!$J$114),Lookup_Lists!$D$332,0)+IF(ISNUMBER(Matching_Engine!$K$114),Lookup_Lists!$D$333,0)+IF(ISNUMBER(Matching_Engine!$L$114),Lookup_Lists!$D$334,0)),0))</f>
        <v>N/A</v>
      </c>
      <c r="N114" s="42">
        <f>IF(ISNUMBER(Matching_Engine!$M$114),1,0)</f>
        <v>0</v>
      </c>
      <c r="O114" s="65" t="str">
        <f ca="1">IF(NOT(ISNUMBER(IFERROR(INDEX('[1]#REF'!$V$18:'[1]#REF'!$Z$18,1,MATCH(Brand_Profile!$I$11,Lookup_Lists!$F$6:$F$10,0)),""))),"N/A",MIN(100,ROUND((IFERROR(INDEX('[1]#REF'!$V$18:'[1]#REF'!$Z$18,1,MATCH(Brand_Profile!$I$11,Lookup_Lists!$F$6:$F$10,0)),"")+0.5*IF(ISNUMBER(IFERROR(INDEX('[1]#REF'!$V$18:'[1]#REF'!$Z$18,1,MATCH(Brand_Profile!$I$12,Lookup_Lists!$F$6:$F$10,0)),"")),IFERROR(INDEX('[1]#REF'!$V$18:'[1]#REF'!$Z$18,1,MATCH(Brand_Profile!$I$12,Lookup_Lists!$F$6:$F$10,0)),""),0))/Lookup_Lists!$D$142*100,0)))</f>
        <v>N/A</v>
      </c>
      <c r="P114" s="65" t="str">
        <f>IF(Brand_Profile!$I$13="Any",100,IF(NOT(ISNUMBER('[1]#REF'!$AA$18)),"N/A",IF(Brand_Profile!$I$13="Female",MIN(100,ROUND('[1]#REF'!$AA$18/Lookup_Lists!$D$143*100,0)),IF(Brand_Profile!$I$13="Male",MIN(100,ROUND(IF(ISNUMBER('[1]#REF'!$AB$18),'[1]#REF'!$AB$18,100-'[1]#REF'!$AA$18)/Lookup_Lists!$D$143*100,0)),MAX(0,ROUND(100-ABS('[1]#REF'!$AA$18-50)*2,0))))))</f>
        <v>N/A</v>
      </c>
      <c r="Q114" s="65" t="str">
        <f>IF((IF(ISNUMBER(IF(NOT(ISNUMBER('[1]#REF'!$AE$18)),"N/A",IF('[1]#REF'!$AD$18&lt;&gt;Brand_Profile!$I$14,Lookup_Lists!$D$151,MIN(100,ROUND('[1]#REF'!$AE$18/Lookup_Lists!$D$316*100,0))))),Lookup_Lists!$D$118,0)+IF(ISNUMBER(IF(NOT(ISNUMBER('[1]#REF'!$AM$18)),"N/A",MIN(100,ROUND((IF('[1]#REF'!$AG$18=Brand_Profile!$I$15,IF(ISNUMBER('[1]#REF'!$AH$18),'[1]#REF'!$AH$18,0),0)+IF('[1]#REF'!$AI$18=Brand_Profile!$I$15,IF(ISNUMBER('[1]#REF'!$AJ$18),'[1]#REF'!$AJ$18,0),0)+IF('[1]#REF'!$AK$18=Brand_Profile!$I$15,IF(ISNUMBER('[1]#REF'!$AL$18),'[1]#REF'!$AL$18,0),0))/Lookup_Lists!$D$317*100,0)))),Lookup_Lists!$D$120,0))=0,"N/A",ROUND((IF(ISNUMBER(IF(NOT(ISNUMBER('[1]#REF'!$AE$18)),"N/A",IF('[1]#REF'!$AD$18&lt;&gt;Brand_Profile!$I$14,Lookup_Lists!$D$151,MIN(100,ROUND('[1]#REF'!$AE$18/Lookup_Lists!$D$316*100,0))))),IF(NOT(ISNUMBER('[1]#REF'!$AE$18)),"N/A",IF('[1]#REF'!$AD$18&lt;&gt;Brand_Profile!$I$14,Lookup_Lists!$D$151,MIN(100,ROUND('[1]#REF'!$AE$18/Lookup_Lists!$D$316*100,0))))*Lookup_Lists!$D$118,0)+IF(ISNUMBER(IF(NOT(ISNUMBER('[1]#REF'!$AM$18)),"N/A",MIN(100,ROUND((IF('[1]#REF'!$AG$18=Brand_Profile!$I$15,IF(ISNUMBER('[1]#REF'!$AH$18),'[1]#REF'!$AH$18,0),0)+IF('[1]#REF'!$AI$18=Brand_Profile!$I$15,IF(ISNUMBER('[1]#REF'!$AJ$18),'[1]#REF'!$AJ$18,0),0)+IF('[1]#REF'!$AK$18=Brand_Profile!$I$15,IF(ISNUMBER('[1]#REF'!$AL$18),'[1]#REF'!$AL$18,0),0))/Lookup_Lists!$D$317*100,0)))),IF(NOT(ISNUMBER('[1]#REF'!$AM$18)),"N/A",MIN(100,ROUND((IF('[1]#REF'!$AG$18=Brand_Profile!$I$15,IF(ISNUMBER('[1]#REF'!$AH$18),'[1]#REF'!$AH$18,0),0)+IF('[1]#REF'!$AI$18=Brand_Profile!$I$15,IF(ISNUMBER('[1]#REF'!$AJ$18),'[1]#REF'!$AJ$18,0),0)+IF('[1]#REF'!$AK$18=Brand_Profile!$I$15,IF(ISNUMBER('[1]#REF'!$AL$18),'[1]#REF'!$AL$18,0),0))/Lookup_Lists!$D$317*100,0)))*Lookup_Lists!$D$120,0))/(IF(ISNUMBER(IF(NOT(ISNUMBER('[1]#REF'!$AE$18)),"N/A",IF('[1]#REF'!$AD$18&lt;&gt;Brand_Profile!$I$14,Lookup_Lists!$D$151,MIN(100,ROUND('[1]#REF'!$AE$18/Lookup_Lists!$D$316*100,0))))),Lookup_Lists!$D$118,0)+IF(ISNUMBER(IF(NOT(ISNUMBER('[1]#REF'!$AM$18)),"N/A",MIN(100,ROUND((IF('[1]#REF'!$AG$18=Brand_Profile!$I$15,IF(ISNUMBER('[1]#REF'!$AH$18),'[1]#REF'!$AH$18,0),0)+IF('[1]#REF'!$AI$18=Brand_Profile!$I$15,IF(ISNUMBER('[1]#REF'!$AJ$18),'[1]#REF'!$AJ$18,0),0)+IF('[1]#REF'!$AK$18=Brand_Profile!$I$15,IF(ISNUMBER('[1]#REF'!$AL$18),'[1]#REF'!$AL$18,0),0))/Lookup_Lists!$D$317*100,0)))),Lookup_Lists!$D$120,0)),0))</f>
        <v>N/A</v>
      </c>
      <c r="R114" s="65" t="str">
        <f>IF(NOT(ISNUMBER('[1]#REF'!$AN$18)),"N/A",MIN(100,ROUND((IF(ISNUMBER('[1]#REF'!$AO$18),'[1]#REF'!$AO$18*Brand_Profile!$I$17,0)+IF(ISNUMBER('[1]#REF'!$AP$18),'[1]#REF'!$AP$18*Brand_Profile!$I$18,0)+IF(ISNUMBER('[1]#REF'!$AQ$18),'[1]#REF'!$AQ$18*Brand_Profile!$I$19,0)+IF(ISNUMBER('[1]#REF'!$AR$18),'[1]#REF'!$AR$18*Brand_Profile!$I$20,0)+IF(ISNUMBER('[1]#REF'!$AS$18),'[1]#REF'!$AS$18*Brand_Profile!$I$21,0)+IF(ISNUMBER('[1]#REF'!$AT$18),'[1]#REF'!$AT$18*Brand_Profile!$I$22,0)+IF(ISNUMBER('[1]#REF'!$AU$18),'[1]#REF'!$AU$18*Brand_Profile!$I$23,0)+IF(ISNUMBER('[1]#REF'!$AV$18),'[1]#REF'!$AV$18*Brand_Profile!$I$24,0)+IF(ISNUMBER('[1]#REF'!$AW$18),'[1]#REF'!$AW$18*Brand_Profile!$I$25,0)+IF(ISNUMBER('[1]#REF'!$AX$18),'[1]#REF'!$AX$18*Brand_Profile!$I$26,0)+IF(ISNUMBER('[1]#REF'!$AY$18),'[1]#REF'!$AY$18*Brand_Profile!$I$27,0)+IF(ISNUMBER('[1]#REF'!$AZ$18),'[1]#REF'!$AZ$18*Brand_Profile!$I$28,0)+IF(ISNUMBER('[1]#REF'!$BA$18),'[1]#REF'!$BA$18*Brand_Profile!$I$29,0)+IF(ISNUMBER('[1]#REF'!$BB$18),'[1]#REF'!$BB$18*Brand_Profile!$I$30,0)+IF(ISNUMBER('[1]#REF'!$BC$18),'[1]#REF'!$BC$18*Brand_Profile!$I$31,0)+IF(ISNUMBER('[1]#REF'!$BD$18),'[1]#REF'!$BD$18*Brand_Profile!$I$32,0)+IF(ISNUMBER('[1]#REF'!$BE$18),'[1]#REF'!$BE$18*Brand_Profile!$I$33,0)+IF(ISNUMBER('[1]#REF'!$BF$18),'[1]#REF'!$BF$18*Brand_Profile!$I$34,0))/Lookup_Lists!$D$318*100,0)))</f>
        <v>N/A</v>
      </c>
      <c r="S114" s="63" t="str">
        <f>IF((IF(ISNUMBER(Matching_Engine!$O$114),Lookup_Lists!$D$113,0)+IF(ISNUMBER(Matching_Engine!$P$114),Lookup_Lists!$D$114,0)+IF(ISNUMBER(Matching_Engine!$Q$114),Lookup_Lists!$D$115,0)+IF(ISNUMBER(Matching_Engine!$R$114),Lookup_Lists!$D$116,0))=0,"N/A",ROUND((IF(ISNUMBER(Matching_Engine!$O$114),Matching_Engine!$O$114*Lookup_Lists!$D$113,0)+IF(ISNUMBER(Matching_Engine!$P$114),Matching_Engine!$P$114*Lookup_Lists!$D$114,0)+IF(ISNUMBER(Matching_Engine!$Q$114),Matching_Engine!$Q$114*Lookup_Lists!$D$115,0)+IF(ISNUMBER(Matching_Engine!$R$114),Matching_Engine!$R$114*Lookup_Lists!$D$116,0))/(IF(ISNUMBER(Matching_Engine!$O$114),Lookup_Lists!$D$113,0)+IF(ISNUMBER(Matching_Engine!$P$114),Lookup_Lists!$D$114,0)+IF(ISNUMBER(Matching_Engine!$Q$114),Lookup_Lists!$D$115,0)+IF(ISNUMBER(Matching_Engine!$R$114),Lookup_Lists!$D$116,0)),0))</f>
        <v>N/A</v>
      </c>
      <c r="T114" s="42">
        <f>IF(ISNUMBER(Matching_Engine!$S$114),1,0)</f>
        <v>0</v>
      </c>
      <c r="U114" s="65" t="e">
        <f>IF(NOT(AND(ISTEXT('[1]#REF'!$M$18),'[1]#REF'!$M$18&lt;&gt;"N/A")),Lookup_Lists!$D$150,IF(Brand_Profile!$I$7='[1]#REF'!$M$18,100,IFERROR(INDEX(Lookup_Lists!$B$349:$J$357,MATCH(Brand_Profile!$I$7,Lookup_Lists!$A$349:$A$357,0),MATCH('[1]#REF'!$M$18,Lookup_Lists!$B$348:$J$348,0)),Lookup_Lists!$D$151)))</f>
        <v>#REF!</v>
      </c>
      <c r="V114" s="65" t="e">
        <f>IF(NOT(AND(ISTEXT('[1]#REF'!$P$18),'[1]#REF'!$P$18&lt;&gt;"N/A")),"N/A",IFERROR(INDEX(Lookup_Lists!$B$349:$J$357,MATCH(Brand_Profile!$I$7,Lookup_Lists!$A$349:$A$357,0),MATCH('[1]#REF'!$P$18,Lookup_Lists!$B$348:$J$348,0)),Lookup_Lists!$D$151))</f>
        <v>#REF!</v>
      </c>
      <c r="W114" s="65" t="str">
        <f>IF(LEN(TRIM(SUBSTITUTE(Matching_Engine!$BE$114,"|","")))=0,"N/A",IF(Brand_Profile!$I$60=0,Lookup_Lists!$D$150,ROUND((IF(Brand_Profile!$I$54="",0,IF(ISNUMBER(SEARCH(Brand_Profile!$I$54,Matching_Engine!$BE$114)),1,0))+IF(Brand_Profile!$I$55="",0,IF(ISNUMBER(SEARCH(Brand_Profile!$I$55,Matching_Engine!$BE$114)),1,0))+IF(Brand_Profile!$I$56="",0,IF(ISNUMBER(SEARCH(Brand_Profile!$I$56,Matching_Engine!$BE$114)),1,0))+IF(Brand_Profile!$I$57="",0,IF(ISNUMBER(SEARCH(Brand_Profile!$I$57,Matching_Engine!$BE$114)),1,0))+IF(Brand_Profile!$I$58="",0,IF(ISNUMBER(SEARCH(Brand_Profile!$I$58,Matching_Engine!$BE$114)),1,0))+IF(Brand_Profile!$I$59="",0,IF(ISNUMBER(SEARCH(Brand_Profile!$I$59,Matching_Engine!$BE$114)),1,0)))/Brand_Profile!$I$60*100,0)))</f>
        <v>N/A</v>
      </c>
      <c r="X114" s="65" t="e">
        <f>IF(NOT(AND(ISTEXT('[1]#REF'!$Q$18),'[1]#REF'!$Q$18&lt;&gt;"N/A")),"N/A",Lookup_Lists!$D$150)</f>
        <v>#REF!</v>
      </c>
      <c r="Y114" s="63" t="str">
        <f>IF((IF(ISNUMBER(Matching_Engine!$U$114),Lookup_Lists!$D$335,0)+IF(ISNUMBER(Matching_Engine!$V$114),Lookup_Lists!$D$122,0)+IF(ISNUMBER(Matching_Engine!$W$114),Lookup_Lists!$D$336,0)+IF(ISNUMBER(Matching_Engine!$X$114),Lookup_Lists!$D$124,0))=0,"N/A",ROUND((IF(ISNUMBER(Matching_Engine!$U$114),Matching_Engine!$U$114*Lookup_Lists!$D$335,0)+IF(ISNUMBER(Matching_Engine!$V$114),Matching_Engine!$V$114*Lookup_Lists!$D$122,0)+IF(ISNUMBER(Matching_Engine!$W$114),Matching_Engine!$W$114*Lookup_Lists!$D$336,0)+IF(ISNUMBER(Matching_Engine!$X$114),Matching_Engine!$X$114*Lookup_Lists!$D$124,0))/(IF(ISNUMBER(Matching_Engine!$U$114),Lookup_Lists!$D$335,0)+IF(ISNUMBER(Matching_Engine!$V$114),Lookup_Lists!$D$122,0)+IF(ISNUMBER(Matching_Engine!$W$114),Lookup_Lists!$D$336,0)+IF(ISNUMBER(Matching_Engine!$X$114),Lookup_Lists!$D$124,0)),0))</f>
        <v>N/A</v>
      </c>
      <c r="Z114" s="42">
        <f>IF(ISNUMBER(Matching_Engine!$Y$114),1,0)</f>
        <v>0</v>
      </c>
      <c r="AA114" s="65" t="e">
        <f>IF(NOT(AND(ISTEXT('[1]#REF'!$Q$18),'[1]#REF'!$Q$18&lt;&gt;"N/A")),"N/A",Lookup_Lists!$D$150)</f>
        <v>#REF!</v>
      </c>
      <c r="AB114" s="65" t="e">
        <f>IF(NOT(AND(ISTEXT('[1]#REF'!$Q$18),'[1]#REF'!$Q$18&lt;&gt;"N/A")),"N/A",Lookup_Lists!$D$150)</f>
        <v>#REF!</v>
      </c>
      <c r="AC114" s="65" t="str">
        <f t="shared" si="1"/>
        <v>N/A</v>
      </c>
      <c r="AD114" s="65" t="e">
        <f>IF(NOT(AND(ISTEXT('[1]#REF'!$Q$18),'[1]#REF'!$Q$18&lt;&gt;"N/A")),"N/A",Lookup_Lists!$D$150)</f>
        <v>#REF!</v>
      </c>
      <c r="AE114" s="63" t="str">
        <f>IF((IF(ISNUMBER(Matching_Engine!$AA$114),Lookup_Lists!$D$125,0)+IF(ISNUMBER(Matching_Engine!$AB$114),Lookup_Lists!$D$126,0)+IF(ISNUMBER(Matching_Engine!$AC$114),Lookup_Lists!$D$127,0)+IF(ISNUMBER(Matching_Engine!$AD$114),Lookup_Lists!$D$128,0))=0,"N/A",ROUND((IF(ISNUMBER(Matching_Engine!$AA$114),Matching_Engine!$AA$114*Lookup_Lists!$D$125,0)+IF(ISNUMBER(Matching_Engine!$AB$114),Matching_Engine!$AB$114*Lookup_Lists!$D$126,0)+IF(ISNUMBER(Matching_Engine!$AC$114),Matching_Engine!$AC$114*Lookup_Lists!$D$127,0)+IF(ISNUMBER(Matching_Engine!$AD$114),Matching_Engine!$AD$114*Lookup_Lists!$D$128,0))/(IF(ISNUMBER(Matching_Engine!$AA$114),Lookup_Lists!$D$125,0)+IF(ISNUMBER(Matching_Engine!$AB$114),Lookup_Lists!$D$126,0)+IF(ISNUMBER(Matching_Engine!$AC$114),Lookup_Lists!$D$127,0)+IF(ISNUMBER(Matching_Engine!$AD$114),Lookup_Lists!$D$128,0)),0))</f>
        <v>N/A</v>
      </c>
      <c r="AF114" s="42">
        <f>IF(ISNUMBER(Matching_Engine!$AE$114),1,0)</f>
        <v>0</v>
      </c>
      <c r="AG114" s="65" t="str">
        <f>IF(NOT(ISNUMBER('[1]#REF'!$BG$18)),"N/A",MIN(100,ROUND('[1]#REF'!$BG$18/IFERROR(INDEX(Lookup_Lists!$B$340:$B$344,MATCH('[1]#REF'!$H$18,Lookup_Lists!$A$340:$A$344,0)),Lookup_Lists!$D$141)*100,0)))</f>
        <v>N/A</v>
      </c>
      <c r="AH114" s="65" t="str">
        <f>IF(NOT(ISNUMBER('[1]#REF'!$BS$18)),"N/A",MIN(100,MAX(0,'[1]#REF'!$BS$18)))</f>
        <v>N/A</v>
      </c>
      <c r="AI114" s="65" t="e">
        <f>IF(OR(NOT(ISNUMBER('[1]#REF'!$BM$18)),NOT(ISNUMBER('[1]#REF'!$BN$18)),'[1]#REF'!$BN$18&lt;Lookup_Lists!$D$320),"N/A",MIN(100,ROUND('[1]#REF'!$BM$18/Lookup_Lists!$D$319*100,0)))</f>
        <v>#REF!</v>
      </c>
      <c r="AJ114" s="65" t="str">
        <f>IF(NOT(ISNUMBER('[1]#REF'!$BR$18)),"N/A",'[1]#REF'!$BR$18)</f>
        <v>N/A</v>
      </c>
      <c r="AK114" s="65" t="str">
        <f>IF(NOT(ISNUMBER('[1]#REF'!$BK$18)),"N/A",MIN(100,ROUND('[1]#REF'!$BK$18/Lookup_Lists!$D$321*100,0)))</f>
        <v>N/A</v>
      </c>
      <c r="AL114" s="65" t="str">
        <f>IF(NOT(ISNUMBER('[1]#REF'!$BP$18)),"N/A",MIN(100,MAX(0,ROUND(('[1]#REF'!$BP$18+2)/(Lookup_Lists!$D$145+2)*100,0))))</f>
        <v>N/A</v>
      </c>
      <c r="AM114" s="63" t="str">
        <f>IF((IF(ISNUMBER(Matching_Engine!$AG$114),Lookup_Lists!$D$129,0)+IF(ISNUMBER(Matching_Engine!$AH$114),Lookup_Lists!$D$130,0)+IF(ISNUMBER(Matching_Engine!$AI$114),Lookup_Lists!$D$131,0)+IF(ISNUMBER(Matching_Engine!$AJ$114),Lookup_Lists!$D$132,0)+IF(ISNUMBER(Matching_Engine!$AK$114),Lookup_Lists!$D$133,0)+IF(ISNUMBER(Matching_Engine!$AL$114),Lookup_Lists!$D$134,0))=0,"N/A",ROUND((IF(ISNUMBER(Matching_Engine!$AG$114),Matching_Engine!$AG$114*Lookup_Lists!$D$129,0)+IF(ISNUMBER(Matching_Engine!$AH$114),Matching_Engine!$AH$114*Lookup_Lists!$D$130,0)+IF(ISNUMBER(Matching_Engine!$AI$114),Matching_Engine!$AI$114*Lookup_Lists!$D$131,0)+IF(ISNUMBER(Matching_Engine!$AJ$114),Matching_Engine!$AJ$114*Lookup_Lists!$D$132,0)+IF(ISNUMBER(Matching_Engine!$AK$114),Matching_Engine!$AK$114*Lookup_Lists!$D$133,0)+IF(ISNUMBER(Matching_Engine!$AL$114),Matching_Engine!$AL$114*Lookup_Lists!$D$134,0))/(IF(ISNUMBER(Matching_Engine!$AG$114),Lookup_Lists!$D$129,0)+IF(ISNUMBER(Matching_Engine!$AH$114),Lookup_Lists!$D$130,0)+IF(ISNUMBER(Matching_Engine!$AI$114),Lookup_Lists!$D$131,0)+IF(ISNUMBER(Matching_Engine!$AJ$114),Lookup_Lists!$D$132,0)+IF(ISNUMBER(Matching_Engine!$AK$114),Lookup_Lists!$D$133,0)+IF(ISNUMBER(Matching_Engine!$AL$114),Lookup_Lists!$D$134,0)),0))</f>
        <v>N/A</v>
      </c>
      <c r="AN114" s="42">
        <f>IF(ISNUMBER(Matching_Engine!$AM$114),1,0)</f>
        <v>0</v>
      </c>
      <c r="AO114" s="65" t="str">
        <f>IF(NOT(ISNUMBER('[1]#REF'!$BT$18)),"N/A",MIN(100,MAX(0,'[1]#REF'!$BT$18)))</f>
        <v>N/A</v>
      </c>
      <c r="AP114" s="65" t="str">
        <f>IF(NOT(ISNUMBER('[1]#REF'!$BU$18)),"N/A",MIN(100,MAX(0,'[1]#REF'!$BU$18)))</f>
        <v>N/A</v>
      </c>
      <c r="AQ114" s="65" t="e">
        <f>IF('[1]#REF'!$I$18="Yes",Lookup_Lists!$D$326,IF('[1]#REF'!$I$18="No",Lookup_Lists!$D$327,"N/A"))</f>
        <v>#REF!</v>
      </c>
      <c r="AR114" s="65" t="str">
        <f>IF(NOT(ISNUMBER('[1]#REF'!$BQ$18)),"N/A",MAX(0,ROUND(100-'[1]#REF'!$BQ$18/Lookup_Lists!$D$328*100,0)))</f>
        <v>N/A</v>
      </c>
      <c r="AS114" s="65" t="e">
        <f>IF(NOT(AND(ISTEXT('[1]#REF'!$BV$18),'[1]#REF'!$BV$18&lt;&gt;"N/A")),"N/A",'[1]#REF'!$BV$18)</f>
        <v>#REF!</v>
      </c>
      <c r="AT114" s="63" t="str">
        <f>IF((IF(ISNUMBER(Matching_Engine!$AO$114),Lookup_Lists!$D$322,0)+IF(ISNUMBER(Matching_Engine!$AP$114),Lookup_Lists!$D$323,0)+IF(ISNUMBER(Matching_Engine!$AQ$114),Lookup_Lists!$D$324,0)+IF(ISNUMBER(Matching_Engine!$AR$114),Lookup_Lists!$D$325,0))=0,"N/A",ROUND((IF(ISNUMBER(Matching_Engine!$AO$114),Matching_Engine!$AO$114*Lookup_Lists!$D$322,0)+IF(ISNUMBER(Matching_Engine!$AP$114),Matching_Engine!$AP$114*Lookup_Lists!$D$323,0)+IF(ISNUMBER(Matching_Engine!$AQ$114),Matching_Engine!$AQ$114*Lookup_Lists!$D$324,0)+IF(ISNUMBER(Matching_Engine!$AR$114),Matching_Engine!$AR$114*Lookup_Lists!$D$325,0))/(IF(ISNUMBER(Matching_Engine!$AO$114),Lookup_Lists!$D$322,0)+IF(ISNUMBER(Matching_Engine!$AP$114),Lookup_Lists!$D$323,0)+IF(ISNUMBER(Matching_Engine!$AQ$114),Lookup_Lists!$D$324,0)+IF(ISNUMBER(Matching_Engine!$AR$114),Lookup_Lists!$D$325,0)),0))</f>
        <v>N/A</v>
      </c>
      <c r="AU114" s="42">
        <f>IF(ISNUMBER(Matching_Engine!$AT$114),1,0)</f>
        <v>0</v>
      </c>
      <c r="AV114" s="42" t="str">
        <f>IF(NOT(ISNUMBER(Matching_Engine!$AT$114)),"Not Screened",IF(Matching_Engine!$AT$114&gt;=Lookup_Lists!$D$329,"Low Risk",IF(Matching_Engine!$AT$114&gt;=Lookup_Lists!$D$330,"Moderate Risk",IF(Matching_Engine!$AT$114&gt;=Lookup_Lists!$D$331,"Elevated Risk","High Risk"))))</f>
        <v>Not Screened</v>
      </c>
      <c r="AW114" s="42" t="str">
        <f>IF(NOT(ISNUMBER(Matching_Engine!$AT$114)),"No integrity signal: no audience-analysis row for this account.","Integrity screen only — no content-risk reading exists (comments_analysis: 0 rows). "&amp;IF(ISNUMBER(Matching_Engine!$AO$114),"Authenticity "&amp;Matching_Engine!$AO$114&amp;". ","Authenticity N/A. ")&amp;IF(ISNUMBER(Matching_Engine!$AP$114),"Follower quality "&amp;Matching_Engine!$AP$114&amp;". ","Follower quality N/A. ")&amp;IF('[1]#REF'!$I$18="Yes","Platform-verified.","Not platform-verified."))</f>
        <v>No integrity signal: no audience-analysis row for this account.</v>
      </c>
      <c r="AX114" s="65">
        <f>Matching_Engine!$N$114*Lookup_Lists!$D$104+Matching_Engine!$T$114*Lookup_Lists!$D$105+Matching_Engine!$Z$114*Lookup_Lists!$D$106+Matching_Engine!$AF$114*Lookup_Lists!$D$107+Matching_Engine!$AN$114*Lookup_Lists!$D$108+Matching_Engine!$AU$114*Lookup_Lists!$D$109</f>
        <v>0</v>
      </c>
      <c r="AY114" s="74" t="str">
        <f>IF(Matching_Engine!$AX$114=0,"N/A",ROUND((IF(Matching_Engine!$N$114=1,Matching_Engine!$M$114*Lookup_Lists!$D$104,0)+IF(Matching_Engine!$T$114=1,Matching_Engine!$S$114*Lookup_Lists!$D$105,0)+IF(Matching_Engine!$Z$114=1,Matching_Engine!$Y$114*Lookup_Lists!$D$106,0)+IF(Matching_Engine!$AF$114=1,Matching_Engine!$AE$114*Lookup_Lists!$D$107,0)+IF(Matching_Engine!$AN$114=1,Matching_Engine!$AM$114*Lookup_Lists!$D$108,0)+IF(Matching_Engine!$AU$114=1,Matching_Engine!$AT$114*Lookup_Lists!$D$109,0))/Matching_Engine!$AX$114,0))</f>
        <v>N/A</v>
      </c>
      <c r="AZ114" s="42" t="str">
        <f>IF(NOT(ISNUMBER(Matching_Engine!$AY$114)),"Not Scored",IF(Matching_Engine!$AY$114&gt;=Lookup_Lists!$D$152,"Excellent Match",IF(Matching_Engine!$AY$114&gt;=Lookup_Lists!$D$153,"Strong Match",IF(Matching_Engine!$AY$114&gt;=Lookup_Lists!$D$154,"Good Match",IF(Matching_Engine!$AY$114&gt;=Lookup_Lists!$D$155,"Moderate Match","Low Match")))))</f>
        <v>Not Scored</v>
      </c>
      <c r="BA114" s="65" t="e">
        <f>'[1]#REF'!$BW$18</f>
        <v>#REF!</v>
      </c>
      <c r="BB114" s="42" t="e">
        <f>'[1]#REF'!$BX$18</f>
        <v>#REF!</v>
      </c>
      <c r="BC114" s="65">
        <f>IF(NOT(ISNUMBER(Matching_Engine!$AY$114)),-1,Matching_Engine!$AY$114*1000+12)</f>
        <v>-1</v>
      </c>
      <c r="BD114" s="42" t="e">
        <f>IF(AND(ISTEXT('[1]#REF'!$S$18),'[1]#REF'!$S$18&lt;&gt;"N/A"),'[1]#REF'!$S$18,"")&amp;" | "&amp;IF(AND(ISTEXT('[1]#REF'!$T$18),'[1]#REF'!$T$18&lt;&gt;"N/A"),'[1]#REF'!$T$18,"")&amp;" | "&amp;IF(AND(ISTEXT('[1]#REF'!$N$18),'[1]#REF'!$N$18&lt;&gt;"N/A"),'[1]#REF'!$N$18,"")&amp;" | "&amp;IF(AND(ISTEXT('[1]#REF'!$K$18),'[1]#REF'!$K$18&lt;&gt;"N/A"),'[1]#REF'!$K$18,"")&amp;" | "&amp;IF(AND(ISTEXT('[1]#REF'!$J$18),'[1]#REF'!$J$18&lt;&gt;"N/A"),'[1]#REF'!$J$18,"")</f>
        <v>#REF!</v>
      </c>
      <c r="BE114" s="42" t="e">
        <f>IF(AND(ISTEXT('[1]#REF'!$T$18),'[1]#REF'!$T$18&lt;&gt;"N/A"),'[1]#REF'!$T$18,"")&amp;" | "&amp;IF(AND(ISTEXT('[1]#REF'!$N$18),'[1]#REF'!$N$18&lt;&gt;"N/A"),'[1]#REF'!$N$18,"")&amp;" | "&amp;IF(AND(ISTEXT('[1]#REF'!$O$18),'[1]#REF'!$O$18&lt;&gt;"N/A"),'[1]#REF'!$O$18,"")&amp;" | "&amp;IF(AND(ISTEXT('[1]#REF'!$S$18),'[1]#REF'!$S$18&lt;&gt;"N/A"),'[1]#REF'!$S$18,"")</f>
        <v>#REF!</v>
      </c>
      <c r="BF114" s="42" t="e">
        <f>IF(AND(ISTEXT('[1]#REF'!$U$18),'[1]#REF'!$U$18&lt;&gt;"N/A"),'[1]#REF'!$U$18,"")</f>
        <v>#REF!</v>
      </c>
      <c r="BG114" s="42" t="str">
        <f>Matching_Engine!$A$114&amp;"|"&amp;Matching_Engine!$C$114</f>
        <v>|</v>
      </c>
    </row>
    <row r="115" spans="1:59">
      <c r="A115" s="64" t="s">
        <v>2531</v>
      </c>
      <c r="B115" s="42">
        <f>Brand_Profile!$I$6</f>
        <v>0</v>
      </c>
      <c r="C115" s="42" t="e">
        <f>'[1]#REF'!$A$19</f>
        <v>#REF!</v>
      </c>
      <c r="D115" s="42" t="e">
        <f>'[1]#REF'!$C$19</f>
        <v>#REF!</v>
      </c>
      <c r="E115" s="42" t="e">
        <f>'[1]#REF'!$D$19</f>
        <v>#REF!</v>
      </c>
      <c r="F115" s="42" t="e">
        <f>'[1]#REF'!$E$19</f>
        <v>#REF!</v>
      </c>
      <c r="G115" s="42" t="e">
        <f>'[1]#REF'!$K$19</f>
        <v>#REF!</v>
      </c>
      <c r="H115" s="72" t="e">
        <f>'[1]#REF'!$G$19</f>
        <v>#REF!</v>
      </c>
      <c r="I115" s="73" t="e">
        <f>'[1]#REF'!$BG$19</f>
        <v>#REF!</v>
      </c>
      <c r="J115" s="65" t="e">
        <f>IF(NOT(AND(ISTEXT('[1]#REF'!$K$19),'[1]#REF'!$K$19&lt;&gt;"N/A")),Lookup_Lists!$D$150,IF(Brand_Profile!$I$7='[1]#REF'!$K$19,100,IFERROR(INDEX(Lookup_Lists!$B$349:$J$357,MATCH(Brand_Profile!$I$7,Lookup_Lists!$A$349:$A$357,0),MATCH('[1]#REF'!$K$19,Lookup_Lists!$B$348:$J$348,0)),Lookup_Lists!$D$151)))</f>
        <v>#REF!</v>
      </c>
      <c r="K115" s="65" t="str">
        <f>IF(LEN(TRIM(SUBSTITUTE(Matching_Engine!$BD$115,"|","")))=0,"N/A",IF(Brand_Profile!$I$47=0,Lookup_Lists!$D$150,ROUND((IF(Brand_Profile!$I$41="",0,IF(ISNUMBER(SEARCH(Brand_Profile!$I$41,Matching_Engine!$BD$115)),1,0))+IF(Brand_Profile!$I$42="",0,IF(ISNUMBER(SEARCH(Brand_Profile!$I$42,Matching_Engine!$BD$115)),1,0))+IF(Brand_Profile!$I$43="",0,IF(ISNUMBER(SEARCH(Brand_Profile!$I$43,Matching_Engine!$BD$115)),1,0))+IF(Brand_Profile!$I$44="",0,IF(ISNUMBER(SEARCH(Brand_Profile!$I$44,Matching_Engine!$BD$115)),1,0))+IF(Brand_Profile!$I$45="",0,IF(ISNUMBER(SEARCH(Brand_Profile!$I$45,Matching_Engine!$BD$115)),1,0))+IF(Brand_Profile!$I$46="",0,IF(ISNUMBER(SEARCH(Brand_Profile!$I$46,Matching_Engine!$BD$115)),1,0)))/Brand_Profile!$I$47*100,0)))</f>
        <v>N/A</v>
      </c>
      <c r="L115" s="65" t="e">
        <f>IF(NOT(AND(ISTEXT('[1]#REF'!$U$19),'[1]#REF'!$U$19&lt;&gt;"N/A")),"N/A",IF(Brand_Profile!$I$53=0,Lookup_Lists!$D$150,ROUND((IF(Brand_Profile!$I$48="",0,IF(ISNUMBER(SEARCH(Brand_Profile!$I$48,Matching_Engine!$BF$115)),1,0))+IF(Brand_Profile!$I$49="",0,IF(ISNUMBER(SEARCH(Brand_Profile!$I$49,Matching_Engine!$BF$115)),1,0))+IF(Brand_Profile!$I$50="",0,IF(ISNUMBER(SEARCH(Brand_Profile!$I$50,Matching_Engine!$BF$115)),1,0))+IF(Brand_Profile!$I$51="",0,IF(ISNUMBER(SEARCH(Brand_Profile!$I$51,Matching_Engine!$BF$115)),1,0))+IF(Brand_Profile!$I$52="",0,IF(ISNUMBER(SEARCH(Brand_Profile!$I$52,Matching_Engine!$BF$115)),1,0)))/Brand_Profile!$I$53*100,0)))</f>
        <v>#REF!</v>
      </c>
      <c r="M115" s="63" t="str">
        <f>IF((IF(ISNUMBER(Matching_Engine!$J$115),Lookup_Lists!$D$332,0)+IF(ISNUMBER(Matching_Engine!$K$115),Lookup_Lists!$D$333,0)+IF(ISNUMBER(Matching_Engine!$L$115),Lookup_Lists!$D$334,0))=0,"N/A",ROUND((IF(ISNUMBER(Matching_Engine!$J$115),Matching_Engine!$J$115*Lookup_Lists!$D$332,0)+IF(ISNUMBER(Matching_Engine!$K$115),Matching_Engine!$K$115*Lookup_Lists!$D$333,0)+IF(ISNUMBER(Matching_Engine!$L$115),Matching_Engine!$L$115*Lookup_Lists!$D$334,0))/(IF(ISNUMBER(Matching_Engine!$J$115),Lookup_Lists!$D$332,0)+IF(ISNUMBER(Matching_Engine!$K$115),Lookup_Lists!$D$333,0)+IF(ISNUMBER(Matching_Engine!$L$115),Lookup_Lists!$D$334,0)),0))</f>
        <v>N/A</v>
      </c>
      <c r="N115" s="42">
        <f>IF(ISNUMBER(Matching_Engine!$M$115),1,0)</f>
        <v>0</v>
      </c>
      <c r="O115" s="65" t="str">
        <f ca="1">IF(NOT(ISNUMBER(IFERROR(INDEX('[1]#REF'!$V$19:'[1]#REF'!$Z$19,1,MATCH(Brand_Profile!$I$11,Lookup_Lists!$F$6:$F$10,0)),""))),"N/A",MIN(100,ROUND((IFERROR(INDEX('[1]#REF'!$V$19:'[1]#REF'!$Z$19,1,MATCH(Brand_Profile!$I$11,Lookup_Lists!$F$6:$F$10,0)),"")+0.5*IF(ISNUMBER(IFERROR(INDEX('[1]#REF'!$V$19:'[1]#REF'!$Z$19,1,MATCH(Brand_Profile!$I$12,Lookup_Lists!$F$6:$F$10,0)),"")),IFERROR(INDEX('[1]#REF'!$V$19:'[1]#REF'!$Z$19,1,MATCH(Brand_Profile!$I$12,Lookup_Lists!$F$6:$F$10,0)),""),0))/Lookup_Lists!$D$142*100,0)))</f>
        <v>N/A</v>
      </c>
      <c r="P115" s="65" t="str">
        <f>IF(Brand_Profile!$I$13="Any",100,IF(NOT(ISNUMBER('[1]#REF'!$AA$19)),"N/A",IF(Brand_Profile!$I$13="Female",MIN(100,ROUND('[1]#REF'!$AA$19/Lookup_Lists!$D$143*100,0)),IF(Brand_Profile!$I$13="Male",MIN(100,ROUND(IF(ISNUMBER('[1]#REF'!$AB$19),'[1]#REF'!$AB$19,100-'[1]#REF'!$AA$19)/Lookup_Lists!$D$143*100,0)),MAX(0,ROUND(100-ABS('[1]#REF'!$AA$19-50)*2,0))))))</f>
        <v>N/A</v>
      </c>
      <c r="Q115" s="65" t="str">
        <f>IF((IF(ISNUMBER(IF(NOT(ISNUMBER('[1]#REF'!$AE$19)),"N/A",IF('[1]#REF'!$AD$19&lt;&gt;Brand_Profile!$I$14,Lookup_Lists!$D$151,MIN(100,ROUND('[1]#REF'!$AE$19/Lookup_Lists!$D$316*100,0))))),Lookup_Lists!$D$118,0)+IF(ISNUMBER(IF(NOT(ISNUMBER('[1]#REF'!$AM$19)),"N/A",MIN(100,ROUND((IF('[1]#REF'!$AG$19=Brand_Profile!$I$15,IF(ISNUMBER('[1]#REF'!$AH$19),'[1]#REF'!$AH$19,0),0)+IF('[1]#REF'!$AI$19=Brand_Profile!$I$15,IF(ISNUMBER('[1]#REF'!$AJ$19),'[1]#REF'!$AJ$19,0),0)+IF('[1]#REF'!$AK$19=Brand_Profile!$I$15,IF(ISNUMBER('[1]#REF'!$AL$19),'[1]#REF'!$AL$19,0),0))/Lookup_Lists!$D$317*100,0)))),Lookup_Lists!$D$120,0))=0,"N/A",ROUND((IF(ISNUMBER(IF(NOT(ISNUMBER('[1]#REF'!$AE$19)),"N/A",IF('[1]#REF'!$AD$19&lt;&gt;Brand_Profile!$I$14,Lookup_Lists!$D$151,MIN(100,ROUND('[1]#REF'!$AE$19/Lookup_Lists!$D$316*100,0))))),IF(NOT(ISNUMBER('[1]#REF'!$AE$19)),"N/A",IF('[1]#REF'!$AD$19&lt;&gt;Brand_Profile!$I$14,Lookup_Lists!$D$151,MIN(100,ROUND('[1]#REF'!$AE$19/Lookup_Lists!$D$316*100,0))))*Lookup_Lists!$D$118,0)+IF(ISNUMBER(IF(NOT(ISNUMBER('[1]#REF'!$AM$19)),"N/A",MIN(100,ROUND((IF('[1]#REF'!$AG$19=Brand_Profile!$I$15,IF(ISNUMBER('[1]#REF'!$AH$19),'[1]#REF'!$AH$19,0),0)+IF('[1]#REF'!$AI$19=Brand_Profile!$I$15,IF(ISNUMBER('[1]#REF'!$AJ$19),'[1]#REF'!$AJ$19,0),0)+IF('[1]#REF'!$AK$19=Brand_Profile!$I$15,IF(ISNUMBER('[1]#REF'!$AL$19),'[1]#REF'!$AL$19,0),0))/Lookup_Lists!$D$317*100,0)))),IF(NOT(ISNUMBER('[1]#REF'!$AM$19)),"N/A",MIN(100,ROUND((IF('[1]#REF'!$AG$19=Brand_Profile!$I$15,IF(ISNUMBER('[1]#REF'!$AH$19),'[1]#REF'!$AH$19,0),0)+IF('[1]#REF'!$AI$19=Brand_Profile!$I$15,IF(ISNUMBER('[1]#REF'!$AJ$19),'[1]#REF'!$AJ$19,0),0)+IF('[1]#REF'!$AK$19=Brand_Profile!$I$15,IF(ISNUMBER('[1]#REF'!$AL$19),'[1]#REF'!$AL$19,0),0))/Lookup_Lists!$D$317*100,0)))*Lookup_Lists!$D$120,0))/(IF(ISNUMBER(IF(NOT(ISNUMBER('[1]#REF'!$AE$19)),"N/A",IF('[1]#REF'!$AD$19&lt;&gt;Brand_Profile!$I$14,Lookup_Lists!$D$151,MIN(100,ROUND('[1]#REF'!$AE$19/Lookup_Lists!$D$316*100,0))))),Lookup_Lists!$D$118,0)+IF(ISNUMBER(IF(NOT(ISNUMBER('[1]#REF'!$AM$19)),"N/A",MIN(100,ROUND((IF('[1]#REF'!$AG$19=Brand_Profile!$I$15,IF(ISNUMBER('[1]#REF'!$AH$19),'[1]#REF'!$AH$19,0),0)+IF('[1]#REF'!$AI$19=Brand_Profile!$I$15,IF(ISNUMBER('[1]#REF'!$AJ$19),'[1]#REF'!$AJ$19,0),0)+IF('[1]#REF'!$AK$19=Brand_Profile!$I$15,IF(ISNUMBER('[1]#REF'!$AL$19),'[1]#REF'!$AL$19,0),0))/Lookup_Lists!$D$317*100,0)))),Lookup_Lists!$D$120,0)),0))</f>
        <v>N/A</v>
      </c>
      <c r="R115" s="65" t="str">
        <f>IF(NOT(ISNUMBER('[1]#REF'!$AN$19)),"N/A",MIN(100,ROUND((IF(ISNUMBER('[1]#REF'!$AO$19),'[1]#REF'!$AO$19*Brand_Profile!$I$17,0)+IF(ISNUMBER('[1]#REF'!$AP$19),'[1]#REF'!$AP$19*Brand_Profile!$I$18,0)+IF(ISNUMBER('[1]#REF'!$AQ$19),'[1]#REF'!$AQ$19*Brand_Profile!$I$19,0)+IF(ISNUMBER('[1]#REF'!$AR$19),'[1]#REF'!$AR$19*Brand_Profile!$I$20,0)+IF(ISNUMBER('[1]#REF'!$AS$19),'[1]#REF'!$AS$19*Brand_Profile!$I$21,0)+IF(ISNUMBER('[1]#REF'!$AT$19),'[1]#REF'!$AT$19*Brand_Profile!$I$22,0)+IF(ISNUMBER('[1]#REF'!$AU$19),'[1]#REF'!$AU$19*Brand_Profile!$I$23,0)+IF(ISNUMBER('[1]#REF'!$AV$19),'[1]#REF'!$AV$19*Brand_Profile!$I$24,0)+IF(ISNUMBER('[1]#REF'!$AW$19),'[1]#REF'!$AW$19*Brand_Profile!$I$25,0)+IF(ISNUMBER('[1]#REF'!$AX$19),'[1]#REF'!$AX$19*Brand_Profile!$I$26,0)+IF(ISNUMBER('[1]#REF'!$AY$19),'[1]#REF'!$AY$19*Brand_Profile!$I$27,0)+IF(ISNUMBER('[1]#REF'!$AZ$19),'[1]#REF'!$AZ$19*Brand_Profile!$I$28,0)+IF(ISNUMBER('[1]#REF'!$BA$19),'[1]#REF'!$BA$19*Brand_Profile!$I$29,0)+IF(ISNUMBER('[1]#REF'!$BB$19),'[1]#REF'!$BB$19*Brand_Profile!$I$30,0)+IF(ISNUMBER('[1]#REF'!$BC$19),'[1]#REF'!$BC$19*Brand_Profile!$I$31,0)+IF(ISNUMBER('[1]#REF'!$BD$19),'[1]#REF'!$BD$19*Brand_Profile!$I$32,0)+IF(ISNUMBER('[1]#REF'!$BE$19),'[1]#REF'!$BE$19*Brand_Profile!$I$33,0)+IF(ISNUMBER('[1]#REF'!$BF$19),'[1]#REF'!$BF$19*Brand_Profile!$I$34,0))/Lookup_Lists!$D$318*100,0)))</f>
        <v>N/A</v>
      </c>
      <c r="S115" s="63" t="str">
        <f>IF((IF(ISNUMBER(Matching_Engine!$O$115),Lookup_Lists!$D$113,0)+IF(ISNUMBER(Matching_Engine!$P$115),Lookup_Lists!$D$114,0)+IF(ISNUMBER(Matching_Engine!$Q$115),Lookup_Lists!$D$115,0)+IF(ISNUMBER(Matching_Engine!$R$115),Lookup_Lists!$D$116,0))=0,"N/A",ROUND((IF(ISNUMBER(Matching_Engine!$O$115),Matching_Engine!$O$115*Lookup_Lists!$D$113,0)+IF(ISNUMBER(Matching_Engine!$P$115),Matching_Engine!$P$115*Lookup_Lists!$D$114,0)+IF(ISNUMBER(Matching_Engine!$Q$115),Matching_Engine!$Q$115*Lookup_Lists!$D$115,0)+IF(ISNUMBER(Matching_Engine!$R$115),Matching_Engine!$R$115*Lookup_Lists!$D$116,0))/(IF(ISNUMBER(Matching_Engine!$O$115),Lookup_Lists!$D$113,0)+IF(ISNUMBER(Matching_Engine!$P$115),Lookup_Lists!$D$114,0)+IF(ISNUMBER(Matching_Engine!$Q$115),Lookup_Lists!$D$115,0)+IF(ISNUMBER(Matching_Engine!$R$115),Lookup_Lists!$D$116,0)),0))</f>
        <v>N/A</v>
      </c>
      <c r="T115" s="42">
        <f>IF(ISNUMBER(Matching_Engine!$S$115),1,0)</f>
        <v>0</v>
      </c>
      <c r="U115" s="65" t="e">
        <f>IF(NOT(AND(ISTEXT('[1]#REF'!$M$19),'[1]#REF'!$M$19&lt;&gt;"N/A")),Lookup_Lists!$D$150,IF(Brand_Profile!$I$7='[1]#REF'!$M$19,100,IFERROR(INDEX(Lookup_Lists!$B$349:$J$357,MATCH(Brand_Profile!$I$7,Lookup_Lists!$A$349:$A$357,0),MATCH('[1]#REF'!$M$19,Lookup_Lists!$B$348:$J$348,0)),Lookup_Lists!$D$151)))</f>
        <v>#REF!</v>
      </c>
      <c r="V115" s="65" t="e">
        <f>IF(NOT(AND(ISTEXT('[1]#REF'!$P$19),'[1]#REF'!$P$19&lt;&gt;"N/A")),"N/A",IFERROR(INDEX(Lookup_Lists!$B$349:$J$357,MATCH(Brand_Profile!$I$7,Lookup_Lists!$A$349:$A$357,0),MATCH('[1]#REF'!$P$19,Lookup_Lists!$B$348:$J$348,0)),Lookup_Lists!$D$151))</f>
        <v>#REF!</v>
      </c>
      <c r="W115" s="65" t="str">
        <f>IF(LEN(TRIM(SUBSTITUTE(Matching_Engine!$BE$115,"|","")))=0,"N/A",IF(Brand_Profile!$I$60=0,Lookup_Lists!$D$150,ROUND((IF(Brand_Profile!$I$54="",0,IF(ISNUMBER(SEARCH(Brand_Profile!$I$54,Matching_Engine!$BE$115)),1,0))+IF(Brand_Profile!$I$55="",0,IF(ISNUMBER(SEARCH(Brand_Profile!$I$55,Matching_Engine!$BE$115)),1,0))+IF(Brand_Profile!$I$56="",0,IF(ISNUMBER(SEARCH(Brand_Profile!$I$56,Matching_Engine!$BE$115)),1,0))+IF(Brand_Profile!$I$57="",0,IF(ISNUMBER(SEARCH(Brand_Profile!$I$57,Matching_Engine!$BE$115)),1,0))+IF(Brand_Profile!$I$58="",0,IF(ISNUMBER(SEARCH(Brand_Profile!$I$58,Matching_Engine!$BE$115)),1,0))+IF(Brand_Profile!$I$59="",0,IF(ISNUMBER(SEARCH(Brand_Profile!$I$59,Matching_Engine!$BE$115)),1,0)))/Brand_Profile!$I$60*100,0)))</f>
        <v>N/A</v>
      </c>
      <c r="X115" s="65" t="e">
        <f>IF(NOT(AND(ISTEXT('[1]#REF'!$Q$19),'[1]#REF'!$Q$19&lt;&gt;"N/A")),"N/A",Lookup_Lists!$D$150)</f>
        <v>#REF!</v>
      </c>
      <c r="Y115" s="63" t="str">
        <f>IF((IF(ISNUMBER(Matching_Engine!$U$115),Lookup_Lists!$D$335,0)+IF(ISNUMBER(Matching_Engine!$V$115),Lookup_Lists!$D$122,0)+IF(ISNUMBER(Matching_Engine!$W$115),Lookup_Lists!$D$336,0)+IF(ISNUMBER(Matching_Engine!$X$115),Lookup_Lists!$D$124,0))=0,"N/A",ROUND((IF(ISNUMBER(Matching_Engine!$U$115),Matching_Engine!$U$115*Lookup_Lists!$D$335,0)+IF(ISNUMBER(Matching_Engine!$V$115),Matching_Engine!$V$115*Lookup_Lists!$D$122,0)+IF(ISNUMBER(Matching_Engine!$W$115),Matching_Engine!$W$115*Lookup_Lists!$D$336,0)+IF(ISNUMBER(Matching_Engine!$X$115),Matching_Engine!$X$115*Lookup_Lists!$D$124,0))/(IF(ISNUMBER(Matching_Engine!$U$115),Lookup_Lists!$D$335,0)+IF(ISNUMBER(Matching_Engine!$V$115),Lookup_Lists!$D$122,0)+IF(ISNUMBER(Matching_Engine!$W$115),Lookup_Lists!$D$336,0)+IF(ISNUMBER(Matching_Engine!$X$115),Lookup_Lists!$D$124,0)),0))</f>
        <v>N/A</v>
      </c>
      <c r="Z115" s="42">
        <f>IF(ISNUMBER(Matching_Engine!$Y$115),1,0)</f>
        <v>0</v>
      </c>
      <c r="AA115" s="65" t="e">
        <f>IF(NOT(AND(ISTEXT('[1]#REF'!$Q$19),'[1]#REF'!$Q$19&lt;&gt;"N/A")),"N/A",Lookup_Lists!$D$150)</f>
        <v>#REF!</v>
      </c>
      <c r="AB115" s="65" t="e">
        <f>IF(NOT(AND(ISTEXT('[1]#REF'!$Q$19),'[1]#REF'!$Q$19&lt;&gt;"N/A")),"N/A",Lookup_Lists!$D$150)</f>
        <v>#REF!</v>
      </c>
      <c r="AC115" s="65" t="str">
        <f t="shared" si="1"/>
        <v>N/A</v>
      </c>
      <c r="AD115" s="65" t="e">
        <f>IF(NOT(AND(ISTEXT('[1]#REF'!$Q$19),'[1]#REF'!$Q$19&lt;&gt;"N/A")),"N/A",Lookup_Lists!$D$150)</f>
        <v>#REF!</v>
      </c>
      <c r="AE115" s="63" t="str">
        <f>IF((IF(ISNUMBER(Matching_Engine!$AA$115),Lookup_Lists!$D$125,0)+IF(ISNUMBER(Matching_Engine!$AB$115),Lookup_Lists!$D$126,0)+IF(ISNUMBER(Matching_Engine!$AC$115),Lookup_Lists!$D$127,0)+IF(ISNUMBER(Matching_Engine!$AD$115),Lookup_Lists!$D$128,0))=0,"N/A",ROUND((IF(ISNUMBER(Matching_Engine!$AA$115),Matching_Engine!$AA$115*Lookup_Lists!$D$125,0)+IF(ISNUMBER(Matching_Engine!$AB$115),Matching_Engine!$AB$115*Lookup_Lists!$D$126,0)+IF(ISNUMBER(Matching_Engine!$AC$115),Matching_Engine!$AC$115*Lookup_Lists!$D$127,0)+IF(ISNUMBER(Matching_Engine!$AD$115),Matching_Engine!$AD$115*Lookup_Lists!$D$128,0))/(IF(ISNUMBER(Matching_Engine!$AA$115),Lookup_Lists!$D$125,0)+IF(ISNUMBER(Matching_Engine!$AB$115),Lookup_Lists!$D$126,0)+IF(ISNUMBER(Matching_Engine!$AC$115),Lookup_Lists!$D$127,0)+IF(ISNUMBER(Matching_Engine!$AD$115),Lookup_Lists!$D$128,0)),0))</f>
        <v>N/A</v>
      </c>
      <c r="AF115" s="42">
        <f>IF(ISNUMBER(Matching_Engine!$AE$115),1,0)</f>
        <v>0</v>
      </c>
      <c r="AG115" s="65" t="str">
        <f>IF(NOT(ISNUMBER('[1]#REF'!$BG$19)),"N/A",MIN(100,ROUND('[1]#REF'!$BG$19/IFERROR(INDEX(Lookup_Lists!$B$340:$B$344,MATCH('[1]#REF'!$H$19,Lookup_Lists!$A$340:$A$344,0)),Lookup_Lists!$D$141)*100,0)))</f>
        <v>N/A</v>
      </c>
      <c r="AH115" s="65" t="str">
        <f>IF(NOT(ISNUMBER('[1]#REF'!$BS$19)),"N/A",MIN(100,MAX(0,'[1]#REF'!$BS$19)))</f>
        <v>N/A</v>
      </c>
      <c r="AI115" s="65" t="e">
        <f>IF(OR(NOT(ISNUMBER('[1]#REF'!$BM$19)),NOT(ISNUMBER('[1]#REF'!$BN$19)),'[1]#REF'!$BN$19&lt;Lookup_Lists!$D$320),"N/A",MIN(100,ROUND('[1]#REF'!$BM$19/Lookup_Lists!$D$319*100,0)))</f>
        <v>#REF!</v>
      </c>
      <c r="AJ115" s="65" t="str">
        <f>IF(NOT(ISNUMBER('[1]#REF'!$BR$19)),"N/A",'[1]#REF'!$BR$19)</f>
        <v>N/A</v>
      </c>
      <c r="AK115" s="65" t="str">
        <f>IF(NOT(ISNUMBER('[1]#REF'!$BK$19)),"N/A",MIN(100,ROUND('[1]#REF'!$BK$19/Lookup_Lists!$D$321*100,0)))</f>
        <v>N/A</v>
      </c>
      <c r="AL115" s="65" t="str">
        <f>IF(NOT(ISNUMBER('[1]#REF'!$BP$19)),"N/A",MIN(100,MAX(0,ROUND(('[1]#REF'!$BP$19+2)/(Lookup_Lists!$D$145+2)*100,0))))</f>
        <v>N/A</v>
      </c>
      <c r="AM115" s="63" t="str">
        <f>IF((IF(ISNUMBER(Matching_Engine!$AG$115),Lookup_Lists!$D$129,0)+IF(ISNUMBER(Matching_Engine!$AH$115),Lookup_Lists!$D$130,0)+IF(ISNUMBER(Matching_Engine!$AI$115),Lookup_Lists!$D$131,0)+IF(ISNUMBER(Matching_Engine!$AJ$115),Lookup_Lists!$D$132,0)+IF(ISNUMBER(Matching_Engine!$AK$115),Lookup_Lists!$D$133,0)+IF(ISNUMBER(Matching_Engine!$AL$115),Lookup_Lists!$D$134,0))=0,"N/A",ROUND((IF(ISNUMBER(Matching_Engine!$AG$115),Matching_Engine!$AG$115*Lookup_Lists!$D$129,0)+IF(ISNUMBER(Matching_Engine!$AH$115),Matching_Engine!$AH$115*Lookup_Lists!$D$130,0)+IF(ISNUMBER(Matching_Engine!$AI$115),Matching_Engine!$AI$115*Lookup_Lists!$D$131,0)+IF(ISNUMBER(Matching_Engine!$AJ$115),Matching_Engine!$AJ$115*Lookup_Lists!$D$132,0)+IF(ISNUMBER(Matching_Engine!$AK$115),Matching_Engine!$AK$115*Lookup_Lists!$D$133,0)+IF(ISNUMBER(Matching_Engine!$AL$115),Matching_Engine!$AL$115*Lookup_Lists!$D$134,0))/(IF(ISNUMBER(Matching_Engine!$AG$115),Lookup_Lists!$D$129,0)+IF(ISNUMBER(Matching_Engine!$AH$115),Lookup_Lists!$D$130,0)+IF(ISNUMBER(Matching_Engine!$AI$115),Lookup_Lists!$D$131,0)+IF(ISNUMBER(Matching_Engine!$AJ$115),Lookup_Lists!$D$132,0)+IF(ISNUMBER(Matching_Engine!$AK$115),Lookup_Lists!$D$133,0)+IF(ISNUMBER(Matching_Engine!$AL$115),Lookup_Lists!$D$134,0)),0))</f>
        <v>N/A</v>
      </c>
      <c r="AN115" s="42">
        <f>IF(ISNUMBER(Matching_Engine!$AM$115),1,0)</f>
        <v>0</v>
      </c>
      <c r="AO115" s="65" t="str">
        <f>IF(NOT(ISNUMBER('[1]#REF'!$BT$19)),"N/A",MIN(100,MAX(0,'[1]#REF'!$BT$19)))</f>
        <v>N/A</v>
      </c>
      <c r="AP115" s="65" t="str">
        <f>IF(NOT(ISNUMBER('[1]#REF'!$BU$19)),"N/A",MIN(100,MAX(0,'[1]#REF'!$BU$19)))</f>
        <v>N/A</v>
      </c>
      <c r="AQ115" s="65" t="e">
        <f>IF('[1]#REF'!$I$19="Yes",Lookup_Lists!$D$326,IF('[1]#REF'!$I$19="No",Lookup_Lists!$D$327,"N/A"))</f>
        <v>#REF!</v>
      </c>
      <c r="AR115" s="65" t="str">
        <f>IF(NOT(ISNUMBER('[1]#REF'!$BQ$19)),"N/A",MAX(0,ROUND(100-'[1]#REF'!$BQ$19/Lookup_Lists!$D$328*100,0)))</f>
        <v>N/A</v>
      </c>
      <c r="AS115" s="65" t="e">
        <f>IF(NOT(AND(ISTEXT('[1]#REF'!$BV$19),'[1]#REF'!$BV$19&lt;&gt;"N/A")),"N/A",'[1]#REF'!$BV$19)</f>
        <v>#REF!</v>
      </c>
      <c r="AT115" s="63" t="str">
        <f>IF((IF(ISNUMBER(Matching_Engine!$AO$115),Lookup_Lists!$D$322,0)+IF(ISNUMBER(Matching_Engine!$AP$115),Lookup_Lists!$D$323,0)+IF(ISNUMBER(Matching_Engine!$AQ$115),Lookup_Lists!$D$324,0)+IF(ISNUMBER(Matching_Engine!$AR$115),Lookup_Lists!$D$325,0))=0,"N/A",ROUND((IF(ISNUMBER(Matching_Engine!$AO$115),Matching_Engine!$AO$115*Lookup_Lists!$D$322,0)+IF(ISNUMBER(Matching_Engine!$AP$115),Matching_Engine!$AP$115*Lookup_Lists!$D$323,0)+IF(ISNUMBER(Matching_Engine!$AQ$115),Matching_Engine!$AQ$115*Lookup_Lists!$D$324,0)+IF(ISNUMBER(Matching_Engine!$AR$115),Matching_Engine!$AR$115*Lookup_Lists!$D$325,0))/(IF(ISNUMBER(Matching_Engine!$AO$115),Lookup_Lists!$D$322,0)+IF(ISNUMBER(Matching_Engine!$AP$115),Lookup_Lists!$D$323,0)+IF(ISNUMBER(Matching_Engine!$AQ$115),Lookup_Lists!$D$324,0)+IF(ISNUMBER(Matching_Engine!$AR$115),Lookup_Lists!$D$325,0)),0))</f>
        <v>N/A</v>
      </c>
      <c r="AU115" s="42">
        <f>IF(ISNUMBER(Matching_Engine!$AT$115),1,0)</f>
        <v>0</v>
      </c>
      <c r="AV115" s="42" t="str">
        <f>IF(NOT(ISNUMBER(Matching_Engine!$AT$115)),"Not Screened",IF(Matching_Engine!$AT$115&gt;=Lookup_Lists!$D$329,"Low Risk",IF(Matching_Engine!$AT$115&gt;=Lookup_Lists!$D$330,"Moderate Risk",IF(Matching_Engine!$AT$115&gt;=Lookup_Lists!$D$331,"Elevated Risk","High Risk"))))</f>
        <v>Not Screened</v>
      </c>
      <c r="AW115" s="42" t="str">
        <f>IF(NOT(ISNUMBER(Matching_Engine!$AT$115)),"No integrity signal: no audience-analysis row for this account.","Integrity screen only — no content-risk reading exists (comments_analysis: 0 rows). "&amp;IF(ISNUMBER(Matching_Engine!$AO$115),"Authenticity "&amp;Matching_Engine!$AO$115&amp;". ","Authenticity N/A. ")&amp;IF(ISNUMBER(Matching_Engine!$AP$115),"Follower quality "&amp;Matching_Engine!$AP$115&amp;". ","Follower quality N/A. ")&amp;IF('[1]#REF'!$I$19="Yes","Platform-verified.","Not platform-verified."))</f>
        <v>No integrity signal: no audience-analysis row for this account.</v>
      </c>
      <c r="AX115" s="65">
        <f>Matching_Engine!$N$115*Lookup_Lists!$D$104+Matching_Engine!$T$115*Lookup_Lists!$D$105+Matching_Engine!$Z$115*Lookup_Lists!$D$106+Matching_Engine!$AF$115*Lookup_Lists!$D$107+Matching_Engine!$AN$115*Lookup_Lists!$D$108+Matching_Engine!$AU$115*Lookup_Lists!$D$109</f>
        <v>0</v>
      </c>
      <c r="AY115" s="74" t="str">
        <f>IF(Matching_Engine!$AX$115=0,"N/A",ROUND((IF(Matching_Engine!$N$115=1,Matching_Engine!$M$115*Lookup_Lists!$D$104,0)+IF(Matching_Engine!$T$115=1,Matching_Engine!$S$115*Lookup_Lists!$D$105,0)+IF(Matching_Engine!$Z$115=1,Matching_Engine!$Y$115*Lookup_Lists!$D$106,0)+IF(Matching_Engine!$AF$115=1,Matching_Engine!$AE$115*Lookup_Lists!$D$107,0)+IF(Matching_Engine!$AN$115=1,Matching_Engine!$AM$115*Lookup_Lists!$D$108,0)+IF(Matching_Engine!$AU$115=1,Matching_Engine!$AT$115*Lookup_Lists!$D$109,0))/Matching_Engine!$AX$115,0))</f>
        <v>N/A</v>
      </c>
      <c r="AZ115" s="42" t="str">
        <f>IF(NOT(ISNUMBER(Matching_Engine!$AY$115)),"Not Scored",IF(Matching_Engine!$AY$115&gt;=Lookup_Lists!$D$152,"Excellent Match",IF(Matching_Engine!$AY$115&gt;=Lookup_Lists!$D$153,"Strong Match",IF(Matching_Engine!$AY$115&gt;=Lookup_Lists!$D$154,"Good Match",IF(Matching_Engine!$AY$115&gt;=Lookup_Lists!$D$155,"Moderate Match","Low Match")))))</f>
        <v>Not Scored</v>
      </c>
      <c r="BA115" s="65" t="e">
        <f>'[1]#REF'!$BW$19</f>
        <v>#REF!</v>
      </c>
      <c r="BB115" s="42" t="e">
        <f>'[1]#REF'!$BX$19</f>
        <v>#REF!</v>
      </c>
      <c r="BC115" s="65">
        <f>IF(NOT(ISNUMBER(Matching_Engine!$AY$115)),-1,Matching_Engine!$AY$115*1000+11)</f>
        <v>-1</v>
      </c>
      <c r="BD115" s="42" t="e">
        <f>IF(AND(ISTEXT('[1]#REF'!$S$19),'[1]#REF'!$S$19&lt;&gt;"N/A"),'[1]#REF'!$S$19,"")&amp;" | "&amp;IF(AND(ISTEXT('[1]#REF'!$T$19),'[1]#REF'!$T$19&lt;&gt;"N/A"),'[1]#REF'!$T$19,"")&amp;" | "&amp;IF(AND(ISTEXT('[1]#REF'!$N$19),'[1]#REF'!$N$19&lt;&gt;"N/A"),'[1]#REF'!$N$19,"")&amp;" | "&amp;IF(AND(ISTEXT('[1]#REF'!$K$19),'[1]#REF'!$K$19&lt;&gt;"N/A"),'[1]#REF'!$K$19,"")&amp;" | "&amp;IF(AND(ISTEXT('[1]#REF'!$J$19),'[1]#REF'!$J$19&lt;&gt;"N/A"),'[1]#REF'!$J$19,"")</f>
        <v>#REF!</v>
      </c>
      <c r="BE115" s="42" t="e">
        <f>IF(AND(ISTEXT('[1]#REF'!$T$19),'[1]#REF'!$T$19&lt;&gt;"N/A"),'[1]#REF'!$T$19,"")&amp;" | "&amp;IF(AND(ISTEXT('[1]#REF'!$N$19),'[1]#REF'!$N$19&lt;&gt;"N/A"),'[1]#REF'!$N$19,"")&amp;" | "&amp;IF(AND(ISTEXT('[1]#REF'!$O$19),'[1]#REF'!$O$19&lt;&gt;"N/A"),'[1]#REF'!$O$19,"")&amp;" | "&amp;IF(AND(ISTEXT('[1]#REF'!$S$19),'[1]#REF'!$S$19&lt;&gt;"N/A"),'[1]#REF'!$S$19,"")</f>
        <v>#REF!</v>
      </c>
      <c r="BF115" s="42" t="e">
        <f>IF(AND(ISTEXT('[1]#REF'!$U$19),'[1]#REF'!$U$19&lt;&gt;"N/A"),'[1]#REF'!$U$19,"")</f>
        <v>#REF!</v>
      </c>
      <c r="BG115" s="42" t="str">
        <f>Matching_Engine!$A$115&amp;"|"&amp;Matching_Engine!$C$115</f>
        <v>|</v>
      </c>
    </row>
    <row r="116" spans="1:59">
      <c r="A116" s="64" t="s">
        <v>2531</v>
      </c>
      <c r="B116" s="42">
        <f>Brand_Profile!$I$6</f>
        <v>0</v>
      </c>
      <c r="C116" s="42" t="e">
        <f>'[1]#REF'!$A$20</f>
        <v>#REF!</v>
      </c>
      <c r="D116" s="42" t="e">
        <f>'[1]#REF'!$C$20</f>
        <v>#REF!</v>
      </c>
      <c r="E116" s="42" t="e">
        <f>'[1]#REF'!$D$20</f>
        <v>#REF!</v>
      </c>
      <c r="F116" s="42" t="e">
        <f>'[1]#REF'!$E$20</f>
        <v>#REF!</v>
      </c>
      <c r="G116" s="42" t="e">
        <f>'[1]#REF'!$K$20</f>
        <v>#REF!</v>
      </c>
      <c r="H116" s="72" t="e">
        <f>'[1]#REF'!$G$20</f>
        <v>#REF!</v>
      </c>
      <c r="I116" s="73" t="e">
        <f>'[1]#REF'!$BG$20</f>
        <v>#REF!</v>
      </c>
      <c r="J116" s="65" t="e">
        <f>IF(NOT(AND(ISTEXT('[1]#REF'!$K$20),'[1]#REF'!$K$20&lt;&gt;"N/A")),Lookup_Lists!$D$150,IF(Brand_Profile!$I$7='[1]#REF'!$K$20,100,IFERROR(INDEX(Lookup_Lists!$B$349:$J$357,MATCH(Brand_Profile!$I$7,Lookup_Lists!$A$349:$A$357,0),MATCH('[1]#REF'!$K$20,Lookup_Lists!$B$348:$J$348,0)),Lookup_Lists!$D$151)))</f>
        <v>#REF!</v>
      </c>
      <c r="K116" s="65" t="str">
        <f>IF(LEN(TRIM(SUBSTITUTE(Matching_Engine!$BD$116,"|","")))=0,"N/A",IF(Brand_Profile!$I$47=0,Lookup_Lists!$D$150,ROUND((IF(Brand_Profile!$I$41="",0,IF(ISNUMBER(SEARCH(Brand_Profile!$I$41,Matching_Engine!$BD$116)),1,0))+IF(Brand_Profile!$I$42="",0,IF(ISNUMBER(SEARCH(Brand_Profile!$I$42,Matching_Engine!$BD$116)),1,0))+IF(Brand_Profile!$I$43="",0,IF(ISNUMBER(SEARCH(Brand_Profile!$I$43,Matching_Engine!$BD$116)),1,0))+IF(Brand_Profile!$I$44="",0,IF(ISNUMBER(SEARCH(Brand_Profile!$I$44,Matching_Engine!$BD$116)),1,0))+IF(Brand_Profile!$I$45="",0,IF(ISNUMBER(SEARCH(Brand_Profile!$I$45,Matching_Engine!$BD$116)),1,0))+IF(Brand_Profile!$I$46="",0,IF(ISNUMBER(SEARCH(Brand_Profile!$I$46,Matching_Engine!$BD$116)),1,0)))/Brand_Profile!$I$47*100,0)))</f>
        <v>N/A</v>
      </c>
      <c r="L116" s="65" t="e">
        <f>IF(NOT(AND(ISTEXT('[1]#REF'!$U$20),'[1]#REF'!$U$20&lt;&gt;"N/A")),"N/A",IF(Brand_Profile!$I$53=0,Lookup_Lists!$D$150,ROUND((IF(Brand_Profile!$I$48="",0,IF(ISNUMBER(SEARCH(Brand_Profile!$I$48,Matching_Engine!$BF$116)),1,0))+IF(Brand_Profile!$I$49="",0,IF(ISNUMBER(SEARCH(Brand_Profile!$I$49,Matching_Engine!$BF$116)),1,0))+IF(Brand_Profile!$I$50="",0,IF(ISNUMBER(SEARCH(Brand_Profile!$I$50,Matching_Engine!$BF$116)),1,0))+IF(Brand_Profile!$I$51="",0,IF(ISNUMBER(SEARCH(Brand_Profile!$I$51,Matching_Engine!$BF$116)),1,0))+IF(Brand_Profile!$I$52="",0,IF(ISNUMBER(SEARCH(Brand_Profile!$I$52,Matching_Engine!$BF$116)),1,0)))/Brand_Profile!$I$53*100,0)))</f>
        <v>#REF!</v>
      </c>
      <c r="M116" s="63" t="str">
        <f>IF((IF(ISNUMBER(Matching_Engine!$J$116),Lookup_Lists!$D$332,0)+IF(ISNUMBER(Matching_Engine!$K$116),Lookup_Lists!$D$333,0)+IF(ISNUMBER(Matching_Engine!$L$116),Lookup_Lists!$D$334,0))=0,"N/A",ROUND((IF(ISNUMBER(Matching_Engine!$J$116),Matching_Engine!$J$116*Lookup_Lists!$D$332,0)+IF(ISNUMBER(Matching_Engine!$K$116),Matching_Engine!$K$116*Lookup_Lists!$D$333,0)+IF(ISNUMBER(Matching_Engine!$L$116),Matching_Engine!$L$116*Lookup_Lists!$D$334,0))/(IF(ISNUMBER(Matching_Engine!$J$116),Lookup_Lists!$D$332,0)+IF(ISNUMBER(Matching_Engine!$K$116),Lookup_Lists!$D$333,0)+IF(ISNUMBER(Matching_Engine!$L$116),Lookup_Lists!$D$334,0)),0))</f>
        <v>N/A</v>
      </c>
      <c r="N116" s="42">
        <f>IF(ISNUMBER(Matching_Engine!$M$116),1,0)</f>
        <v>0</v>
      </c>
      <c r="O116" s="65" t="str">
        <f ca="1">IF(NOT(ISNUMBER(IFERROR(INDEX('[1]#REF'!$V$20:'[1]#REF'!$Z$20,1,MATCH(Brand_Profile!$I$11,Lookup_Lists!$F$6:$F$10,0)),""))),"N/A",MIN(100,ROUND((IFERROR(INDEX('[1]#REF'!$V$20:'[1]#REF'!$Z$20,1,MATCH(Brand_Profile!$I$11,Lookup_Lists!$F$6:$F$10,0)),"")+0.5*IF(ISNUMBER(IFERROR(INDEX('[1]#REF'!$V$20:'[1]#REF'!$Z$20,1,MATCH(Brand_Profile!$I$12,Lookup_Lists!$F$6:$F$10,0)),"")),IFERROR(INDEX('[1]#REF'!$V$20:'[1]#REF'!$Z$20,1,MATCH(Brand_Profile!$I$12,Lookup_Lists!$F$6:$F$10,0)),""),0))/Lookup_Lists!$D$142*100,0)))</f>
        <v>N/A</v>
      </c>
      <c r="P116" s="65" t="str">
        <f>IF(Brand_Profile!$I$13="Any",100,IF(NOT(ISNUMBER('[1]#REF'!$AA$20)),"N/A",IF(Brand_Profile!$I$13="Female",MIN(100,ROUND('[1]#REF'!$AA$20/Lookup_Lists!$D$143*100,0)),IF(Brand_Profile!$I$13="Male",MIN(100,ROUND(IF(ISNUMBER('[1]#REF'!$AB$20),'[1]#REF'!$AB$20,100-'[1]#REF'!$AA$20)/Lookup_Lists!$D$143*100,0)),MAX(0,ROUND(100-ABS('[1]#REF'!$AA$20-50)*2,0))))))</f>
        <v>N/A</v>
      </c>
      <c r="Q116" s="65" t="str">
        <f>IF((IF(ISNUMBER(IF(NOT(ISNUMBER('[1]#REF'!$AE$20)),"N/A",IF('[1]#REF'!$AD$20&lt;&gt;Brand_Profile!$I$14,Lookup_Lists!$D$151,MIN(100,ROUND('[1]#REF'!$AE$20/Lookup_Lists!$D$316*100,0))))),Lookup_Lists!$D$118,0)+IF(ISNUMBER(IF(NOT(ISNUMBER('[1]#REF'!$AM$20)),"N/A",MIN(100,ROUND((IF('[1]#REF'!$AG$20=Brand_Profile!$I$15,IF(ISNUMBER('[1]#REF'!$AH$20),'[1]#REF'!$AH$20,0),0)+IF('[1]#REF'!$AI$20=Brand_Profile!$I$15,IF(ISNUMBER('[1]#REF'!$AJ$20),'[1]#REF'!$AJ$20,0),0)+IF('[1]#REF'!$AK$20=Brand_Profile!$I$15,IF(ISNUMBER('[1]#REF'!$AL$20),'[1]#REF'!$AL$20,0),0))/Lookup_Lists!$D$317*100,0)))),Lookup_Lists!$D$120,0))=0,"N/A",ROUND((IF(ISNUMBER(IF(NOT(ISNUMBER('[1]#REF'!$AE$20)),"N/A",IF('[1]#REF'!$AD$20&lt;&gt;Brand_Profile!$I$14,Lookup_Lists!$D$151,MIN(100,ROUND('[1]#REF'!$AE$20/Lookup_Lists!$D$316*100,0))))),IF(NOT(ISNUMBER('[1]#REF'!$AE$20)),"N/A",IF('[1]#REF'!$AD$20&lt;&gt;Brand_Profile!$I$14,Lookup_Lists!$D$151,MIN(100,ROUND('[1]#REF'!$AE$20/Lookup_Lists!$D$316*100,0))))*Lookup_Lists!$D$118,0)+IF(ISNUMBER(IF(NOT(ISNUMBER('[1]#REF'!$AM$20)),"N/A",MIN(100,ROUND((IF('[1]#REF'!$AG$20=Brand_Profile!$I$15,IF(ISNUMBER('[1]#REF'!$AH$20),'[1]#REF'!$AH$20,0),0)+IF('[1]#REF'!$AI$20=Brand_Profile!$I$15,IF(ISNUMBER('[1]#REF'!$AJ$20),'[1]#REF'!$AJ$20,0),0)+IF('[1]#REF'!$AK$20=Brand_Profile!$I$15,IF(ISNUMBER('[1]#REF'!$AL$20),'[1]#REF'!$AL$20,0),0))/Lookup_Lists!$D$317*100,0)))),IF(NOT(ISNUMBER('[1]#REF'!$AM$20)),"N/A",MIN(100,ROUND((IF('[1]#REF'!$AG$20=Brand_Profile!$I$15,IF(ISNUMBER('[1]#REF'!$AH$20),'[1]#REF'!$AH$20,0),0)+IF('[1]#REF'!$AI$20=Brand_Profile!$I$15,IF(ISNUMBER('[1]#REF'!$AJ$20),'[1]#REF'!$AJ$20,0),0)+IF('[1]#REF'!$AK$20=Brand_Profile!$I$15,IF(ISNUMBER('[1]#REF'!$AL$20),'[1]#REF'!$AL$20,0),0))/Lookup_Lists!$D$317*100,0)))*Lookup_Lists!$D$120,0))/(IF(ISNUMBER(IF(NOT(ISNUMBER('[1]#REF'!$AE$20)),"N/A",IF('[1]#REF'!$AD$20&lt;&gt;Brand_Profile!$I$14,Lookup_Lists!$D$151,MIN(100,ROUND('[1]#REF'!$AE$20/Lookup_Lists!$D$316*100,0))))),Lookup_Lists!$D$118,0)+IF(ISNUMBER(IF(NOT(ISNUMBER('[1]#REF'!$AM$20)),"N/A",MIN(100,ROUND((IF('[1]#REF'!$AG$20=Brand_Profile!$I$15,IF(ISNUMBER('[1]#REF'!$AH$20),'[1]#REF'!$AH$20,0),0)+IF('[1]#REF'!$AI$20=Brand_Profile!$I$15,IF(ISNUMBER('[1]#REF'!$AJ$20),'[1]#REF'!$AJ$20,0),0)+IF('[1]#REF'!$AK$20=Brand_Profile!$I$15,IF(ISNUMBER('[1]#REF'!$AL$20),'[1]#REF'!$AL$20,0),0))/Lookup_Lists!$D$317*100,0)))),Lookup_Lists!$D$120,0)),0))</f>
        <v>N/A</v>
      </c>
      <c r="R116" s="65" t="str">
        <f>IF(NOT(ISNUMBER('[1]#REF'!$AN$20)),"N/A",MIN(100,ROUND((IF(ISNUMBER('[1]#REF'!$AO$20),'[1]#REF'!$AO$20*Brand_Profile!$I$17,0)+IF(ISNUMBER('[1]#REF'!$AP$20),'[1]#REF'!$AP$20*Brand_Profile!$I$18,0)+IF(ISNUMBER('[1]#REF'!$AQ$20),'[1]#REF'!$AQ$20*Brand_Profile!$I$19,0)+IF(ISNUMBER('[1]#REF'!$AR$20),'[1]#REF'!$AR$20*Brand_Profile!$I$20,0)+IF(ISNUMBER('[1]#REF'!$AS$20),'[1]#REF'!$AS$20*Brand_Profile!$I$21,0)+IF(ISNUMBER('[1]#REF'!$AT$20),'[1]#REF'!$AT$20*Brand_Profile!$I$22,0)+IF(ISNUMBER('[1]#REF'!$AU$20),'[1]#REF'!$AU$20*Brand_Profile!$I$23,0)+IF(ISNUMBER('[1]#REF'!$AV$20),'[1]#REF'!$AV$20*Brand_Profile!$I$24,0)+IF(ISNUMBER('[1]#REF'!$AW$20),'[1]#REF'!$AW$20*Brand_Profile!$I$25,0)+IF(ISNUMBER('[1]#REF'!$AX$20),'[1]#REF'!$AX$20*Brand_Profile!$I$26,0)+IF(ISNUMBER('[1]#REF'!$AY$20),'[1]#REF'!$AY$20*Brand_Profile!$I$27,0)+IF(ISNUMBER('[1]#REF'!$AZ$20),'[1]#REF'!$AZ$20*Brand_Profile!$I$28,0)+IF(ISNUMBER('[1]#REF'!$BA$20),'[1]#REF'!$BA$20*Brand_Profile!$I$29,0)+IF(ISNUMBER('[1]#REF'!$BB$20),'[1]#REF'!$BB$20*Brand_Profile!$I$30,0)+IF(ISNUMBER('[1]#REF'!$BC$20),'[1]#REF'!$BC$20*Brand_Profile!$I$31,0)+IF(ISNUMBER('[1]#REF'!$BD$20),'[1]#REF'!$BD$20*Brand_Profile!$I$32,0)+IF(ISNUMBER('[1]#REF'!$BE$20),'[1]#REF'!$BE$20*Brand_Profile!$I$33,0)+IF(ISNUMBER('[1]#REF'!$BF$20),'[1]#REF'!$BF$20*Brand_Profile!$I$34,0))/Lookup_Lists!$D$318*100,0)))</f>
        <v>N/A</v>
      </c>
      <c r="S116" s="63" t="str">
        <f>IF((IF(ISNUMBER(Matching_Engine!$O$116),Lookup_Lists!$D$113,0)+IF(ISNUMBER(Matching_Engine!$P$116),Lookup_Lists!$D$114,0)+IF(ISNUMBER(Matching_Engine!$Q$116),Lookup_Lists!$D$115,0)+IF(ISNUMBER(Matching_Engine!$R$116),Lookup_Lists!$D$116,0))=0,"N/A",ROUND((IF(ISNUMBER(Matching_Engine!$O$116),Matching_Engine!$O$116*Lookup_Lists!$D$113,0)+IF(ISNUMBER(Matching_Engine!$P$116),Matching_Engine!$P$116*Lookup_Lists!$D$114,0)+IF(ISNUMBER(Matching_Engine!$Q$116),Matching_Engine!$Q$116*Lookup_Lists!$D$115,0)+IF(ISNUMBER(Matching_Engine!$R$116),Matching_Engine!$R$116*Lookup_Lists!$D$116,0))/(IF(ISNUMBER(Matching_Engine!$O$116),Lookup_Lists!$D$113,0)+IF(ISNUMBER(Matching_Engine!$P$116),Lookup_Lists!$D$114,0)+IF(ISNUMBER(Matching_Engine!$Q$116),Lookup_Lists!$D$115,0)+IF(ISNUMBER(Matching_Engine!$R$116),Lookup_Lists!$D$116,0)),0))</f>
        <v>N/A</v>
      </c>
      <c r="T116" s="42">
        <f>IF(ISNUMBER(Matching_Engine!$S$116),1,0)</f>
        <v>0</v>
      </c>
      <c r="U116" s="65" t="e">
        <f>IF(NOT(AND(ISTEXT('[1]#REF'!$M$20),'[1]#REF'!$M$20&lt;&gt;"N/A")),Lookup_Lists!$D$150,IF(Brand_Profile!$I$7='[1]#REF'!$M$20,100,IFERROR(INDEX(Lookup_Lists!$B$349:$J$357,MATCH(Brand_Profile!$I$7,Lookup_Lists!$A$349:$A$357,0),MATCH('[1]#REF'!$M$20,Lookup_Lists!$B$348:$J$348,0)),Lookup_Lists!$D$151)))</f>
        <v>#REF!</v>
      </c>
      <c r="V116" s="65" t="e">
        <f>IF(NOT(AND(ISTEXT('[1]#REF'!$P$20),'[1]#REF'!$P$20&lt;&gt;"N/A")),"N/A",IFERROR(INDEX(Lookup_Lists!$B$349:$J$357,MATCH(Brand_Profile!$I$7,Lookup_Lists!$A$349:$A$357,0),MATCH('[1]#REF'!$P$20,Lookup_Lists!$B$348:$J$348,0)),Lookup_Lists!$D$151))</f>
        <v>#REF!</v>
      </c>
      <c r="W116" s="65" t="str">
        <f>IF(LEN(TRIM(SUBSTITUTE(Matching_Engine!$BE$116,"|","")))=0,"N/A",IF(Brand_Profile!$I$60=0,Lookup_Lists!$D$150,ROUND((IF(Brand_Profile!$I$54="",0,IF(ISNUMBER(SEARCH(Brand_Profile!$I$54,Matching_Engine!$BE$116)),1,0))+IF(Brand_Profile!$I$55="",0,IF(ISNUMBER(SEARCH(Brand_Profile!$I$55,Matching_Engine!$BE$116)),1,0))+IF(Brand_Profile!$I$56="",0,IF(ISNUMBER(SEARCH(Brand_Profile!$I$56,Matching_Engine!$BE$116)),1,0))+IF(Brand_Profile!$I$57="",0,IF(ISNUMBER(SEARCH(Brand_Profile!$I$57,Matching_Engine!$BE$116)),1,0))+IF(Brand_Profile!$I$58="",0,IF(ISNUMBER(SEARCH(Brand_Profile!$I$58,Matching_Engine!$BE$116)),1,0))+IF(Brand_Profile!$I$59="",0,IF(ISNUMBER(SEARCH(Brand_Profile!$I$59,Matching_Engine!$BE$116)),1,0)))/Brand_Profile!$I$60*100,0)))</f>
        <v>N/A</v>
      </c>
      <c r="X116" s="65" t="e">
        <f>IF(NOT(AND(ISTEXT('[1]#REF'!$Q$20),'[1]#REF'!$Q$20&lt;&gt;"N/A")),"N/A",Lookup_Lists!$D$150)</f>
        <v>#REF!</v>
      </c>
      <c r="Y116" s="63" t="str">
        <f>IF((IF(ISNUMBER(Matching_Engine!$U$116),Lookup_Lists!$D$335,0)+IF(ISNUMBER(Matching_Engine!$V$116),Lookup_Lists!$D$122,0)+IF(ISNUMBER(Matching_Engine!$W$116),Lookup_Lists!$D$336,0)+IF(ISNUMBER(Matching_Engine!$X$116),Lookup_Lists!$D$124,0))=0,"N/A",ROUND((IF(ISNUMBER(Matching_Engine!$U$116),Matching_Engine!$U$116*Lookup_Lists!$D$335,0)+IF(ISNUMBER(Matching_Engine!$V$116),Matching_Engine!$V$116*Lookup_Lists!$D$122,0)+IF(ISNUMBER(Matching_Engine!$W$116),Matching_Engine!$W$116*Lookup_Lists!$D$336,0)+IF(ISNUMBER(Matching_Engine!$X$116),Matching_Engine!$X$116*Lookup_Lists!$D$124,0))/(IF(ISNUMBER(Matching_Engine!$U$116),Lookup_Lists!$D$335,0)+IF(ISNUMBER(Matching_Engine!$V$116),Lookup_Lists!$D$122,0)+IF(ISNUMBER(Matching_Engine!$W$116),Lookup_Lists!$D$336,0)+IF(ISNUMBER(Matching_Engine!$X$116),Lookup_Lists!$D$124,0)),0))</f>
        <v>N/A</v>
      </c>
      <c r="Z116" s="42">
        <f>IF(ISNUMBER(Matching_Engine!$Y$116),1,0)</f>
        <v>0</v>
      </c>
      <c r="AA116" s="65" t="e">
        <f>IF(NOT(AND(ISTEXT('[1]#REF'!$Q$20),'[1]#REF'!$Q$20&lt;&gt;"N/A")),"N/A",Lookup_Lists!$D$150)</f>
        <v>#REF!</v>
      </c>
      <c r="AB116" s="65" t="e">
        <f>IF(NOT(AND(ISTEXT('[1]#REF'!$Q$20),'[1]#REF'!$Q$20&lt;&gt;"N/A")),"N/A",Lookup_Lists!$D$150)</f>
        <v>#REF!</v>
      </c>
      <c r="AC116" s="65" t="str">
        <f t="shared" si="1"/>
        <v>N/A</v>
      </c>
      <c r="AD116" s="65" t="e">
        <f>IF(NOT(AND(ISTEXT('[1]#REF'!$Q$20),'[1]#REF'!$Q$20&lt;&gt;"N/A")),"N/A",Lookup_Lists!$D$150)</f>
        <v>#REF!</v>
      </c>
      <c r="AE116" s="63" t="str">
        <f>IF((IF(ISNUMBER(Matching_Engine!$AA$116),Lookup_Lists!$D$125,0)+IF(ISNUMBER(Matching_Engine!$AB$116),Lookup_Lists!$D$126,0)+IF(ISNUMBER(Matching_Engine!$AC$116),Lookup_Lists!$D$127,0)+IF(ISNUMBER(Matching_Engine!$AD$116),Lookup_Lists!$D$128,0))=0,"N/A",ROUND((IF(ISNUMBER(Matching_Engine!$AA$116),Matching_Engine!$AA$116*Lookup_Lists!$D$125,0)+IF(ISNUMBER(Matching_Engine!$AB$116),Matching_Engine!$AB$116*Lookup_Lists!$D$126,0)+IF(ISNUMBER(Matching_Engine!$AC$116),Matching_Engine!$AC$116*Lookup_Lists!$D$127,0)+IF(ISNUMBER(Matching_Engine!$AD$116),Matching_Engine!$AD$116*Lookup_Lists!$D$128,0))/(IF(ISNUMBER(Matching_Engine!$AA$116),Lookup_Lists!$D$125,0)+IF(ISNUMBER(Matching_Engine!$AB$116),Lookup_Lists!$D$126,0)+IF(ISNUMBER(Matching_Engine!$AC$116),Lookup_Lists!$D$127,0)+IF(ISNUMBER(Matching_Engine!$AD$116),Lookup_Lists!$D$128,0)),0))</f>
        <v>N/A</v>
      </c>
      <c r="AF116" s="42">
        <f>IF(ISNUMBER(Matching_Engine!$AE$116),1,0)</f>
        <v>0</v>
      </c>
      <c r="AG116" s="65" t="str">
        <f>IF(NOT(ISNUMBER('[1]#REF'!$BG$20)),"N/A",MIN(100,ROUND('[1]#REF'!$BG$20/IFERROR(INDEX(Lookup_Lists!$B$340:$B$344,MATCH('[1]#REF'!$H$20,Lookup_Lists!$A$340:$A$344,0)),Lookup_Lists!$D$141)*100,0)))</f>
        <v>N/A</v>
      </c>
      <c r="AH116" s="65" t="str">
        <f>IF(NOT(ISNUMBER('[1]#REF'!$BS$20)),"N/A",MIN(100,MAX(0,'[1]#REF'!$BS$20)))</f>
        <v>N/A</v>
      </c>
      <c r="AI116" s="65" t="e">
        <f>IF(OR(NOT(ISNUMBER('[1]#REF'!$BM$20)),NOT(ISNUMBER('[1]#REF'!$BN$20)),'[1]#REF'!$BN$20&lt;Lookup_Lists!$D$320),"N/A",MIN(100,ROUND('[1]#REF'!$BM$20/Lookup_Lists!$D$319*100,0)))</f>
        <v>#REF!</v>
      </c>
      <c r="AJ116" s="65" t="str">
        <f>IF(NOT(ISNUMBER('[1]#REF'!$BR$20)),"N/A",'[1]#REF'!$BR$20)</f>
        <v>N/A</v>
      </c>
      <c r="AK116" s="65" t="str">
        <f>IF(NOT(ISNUMBER('[1]#REF'!$BK$20)),"N/A",MIN(100,ROUND('[1]#REF'!$BK$20/Lookup_Lists!$D$321*100,0)))</f>
        <v>N/A</v>
      </c>
      <c r="AL116" s="65" t="str">
        <f>IF(NOT(ISNUMBER('[1]#REF'!$BP$20)),"N/A",MIN(100,MAX(0,ROUND(('[1]#REF'!$BP$20+2)/(Lookup_Lists!$D$145+2)*100,0))))</f>
        <v>N/A</v>
      </c>
      <c r="AM116" s="63" t="str">
        <f>IF((IF(ISNUMBER(Matching_Engine!$AG$116),Lookup_Lists!$D$129,0)+IF(ISNUMBER(Matching_Engine!$AH$116),Lookup_Lists!$D$130,0)+IF(ISNUMBER(Matching_Engine!$AI$116),Lookup_Lists!$D$131,0)+IF(ISNUMBER(Matching_Engine!$AJ$116),Lookup_Lists!$D$132,0)+IF(ISNUMBER(Matching_Engine!$AK$116),Lookup_Lists!$D$133,0)+IF(ISNUMBER(Matching_Engine!$AL$116),Lookup_Lists!$D$134,0))=0,"N/A",ROUND((IF(ISNUMBER(Matching_Engine!$AG$116),Matching_Engine!$AG$116*Lookup_Lists!$D$129,0)+IF(ISNUMBER(Matching_Engine!$AH$116),Matching_Engine!$AH$116*Lookup_Lists!$D$130,0)+IF(ISNUMBER(Matching_Engine!$AI$116),Matching_Engine!$AI$116*Lookup_Lists!$D$131,0)+IF(ISNUMBER(Matching_Engine!$AJ$116),Matching_Engine!$AJ$116*Lookup_Lists!$D$132,0)+IF(ISNUMBER(Matching_Engine!$AK$116),Matching_Engine!$AK$116*Lookup_Lists!$D$133,0)+IF(ISNUMBER(Matching_Engine!$AL$116),Matching_Engine!$AL$116*Lookup_Lists!$D$134,0))/(IF(ISNUMBER(Matching_Engine!$AG$116),Lookup_Lists!$D$129,0)+IF(ISNUMBER(Matching_Engine!$AH$116),Lookup_Lists!$D$130,0)+IF(ISNUMBER(Matching_Engine!$AI$116),Lookup_Lists!$D$131,0)+IF(ISNUMBER(Matching_Engine!$AJ$116),Lookup_Lists!$D$132,0)+IF(ISNUMBER(Matching_Engine!$AK$116),Lookup_Lists!$D$133,0)+IF(ISNUMBER(Matching_Engine!$AL$116),Lookup_Lists!$D$134,0)),0))</f>
        <v>N/A</v>
      </c>
      <c r="AN116" s="42">
        <f>IF(ISNUMBER(Matching_Engine!$AM$116),1,0)</f>
        <v>0</v>
      </c>
      <c r="AO116" s="65" t="str">
        <f>IF(NOT(ISNUMBER('[1]#REF'!$BT$20)),"N/A",MIN(100,MAX(0,'[1]#REF'!$BT$20)))</f>
        <v>N/A</v>
      </c>
      <c r="AP116" s="65" t="str">
        <f>IF(NOT(ISNUMBER('[1]#REF'!$BU$20)),"N/A",MIN(100,MAX(0,'[1]#REF'!$BU$20)))</f>
        <v>N/A</v>
      </c>
      <c r="AQ116" s="65" t="e">
        <f>IF('[1]#REF'!$I$20="Yes",Lookup_Lists!$D$326,IF('[1]#REF'!$I$20="No",Lookup_Lists!$D$327,"N/A"))</f>
        <v>#REF!</v>
      </c>
      <c r="AR116" s="65" t="str">
        <f>IF(NOT(ISNUMBER('[1]#REF'!$BQ$20)),"N/A",MAX(0,ROUND(100-'[1]#REF'!$BQ$20/Lookup_Lists!$D$328*100,0)))</f>
        <v>N/A</v>
      </c>
      <c r="AS116" s="65" t="e">
        <f>IF(NOT(AND(ISTEXT('[1]#REF'!$BV$20),'[1]#REF'!$BV$20&lt;&gt;"N/A")),"N/A",'[1]#REF'!$BV$20)</f>
        <v>#REF!</v>
      </c>
      <c r="AT116" s="63" t="str">
        <f>IF((IF(ISNUMBER(Matching_Engine!$AO$116),Lookup_Lists!$D$322,0)+IF(ISNUMBER(Matching_Engine!$AP$116),Lookup_Lists!$D$323,0)+IF(ISNUMBER(Matching_Engine!$AQ$116),Lookup_Lists!$D$324,0)+IF(ISNUMBER(Matching_Engine!$AR$116),Lookup_Lists!$D$325,0))=0,"N/A",ROUND((IF(ISNUMBER(Matching_Engine!$AO$116),Matching_Engine!$AO$116*Lookup_Lists!$D$322,0)+IF(ISNUMBER(Matching_Engine!$AP$116),Matching_Engine!$AP$116*Lookup_Lists!$D$323,0)+IF(ISNUMBER(Matching_Engine!$AQ$116),Matching_Engine!$AQ$116*Lookup_Lists!$D$324,0)+IF(ISNUMBER(Matching_Engine!$AR$116),Matching_Engine!$AR$116*Lookup_Lists!$D$325,0))/(IF(ISNUMBER(Matching_Engine!$AO$116),Lookup_Lists!$D$322,0)+IF(ISNUMBER(Matching_Engine!$AP$116),Lookup_Lists!$D$323,0)+IF(ISNUMBER(Matching_Engine!$AQ$116),Lookup_Lists!$D$324,0)+IF(ISNUMBER(Matching_Engine!$AR$116),Lookup_Lists!$D$325,0)),0))</f>
        <v>N/A</v>
      </c>
      <c r="AU116" s="42">
        <f>IF(ISNUMBER(Matching_Engine!$AT$116),1,0)</f>
        <v>0</v>
      </c>
      <c r="AV116" s="42" t="str">
        <f>IF(NOT(ISNUMBER(Matching_Engine!$AT$116)),"Not Screened",IF(Matching_Engine!$AT$116&gt;=Lookup_Lists!$D$329,"Low Risk",IF(Matching_Engine!$AT$116&gt;=Lookup_Lists!$D$330,"Moderate Risk",IF(Matching_Engine!$AT$116&gt;=Lookup_Lists!$D$331,"Elevated Risk","High Risk"))))</f>
        <v>Not Screened</v>
      </c>
      <c r="AW116" s="42" t="str">
        <f>IF(NOT(ISNUMBER(Matching_Engine!$AT$116)),"No integrity signal: no audience-analysis row for this account.","Integrity screen only — no content-risk reading exists (comments_analysis: 0 rows). "&amp;IF(ISNUMBER(Matching_Engine!$AO$116),"Authenticity "&amp;Matching_Engine!$AO$116&amp;". ","Authenticity N/A. ")&amp;IF(ISNUMBER(Matching_Engine!$AP$116),"Follower quality "&amp;Matching_Engine!$AP$116&amp;". ","Follower quality N/A. ")&amp;IF('[1]#REF'!$I$20="Yes","Platform-verified.","Not platform-verified."))</f>
        <v>No integrity signal: no audience-analysis row for this account.</v>
      </c>
      <c r="AX116" s="65">
        <f>Matching_Engine!$N$116*Lookup_Lists!$D$104+Matching_Engine!$T$116*Lookup_Lists!$D$105+Matching_Engine!$Z$116*Lookup_Lists!$D$106+Matching_Engine!$AF$116*Lookup_Lists!$D$107+Matching_Engine!$AN$116*Lookup_Lists!$D$108+Matching_Engine!$AU$116*Lookup_Lists!$D$109</f>
        <v>0</v>
      </c>
      <c r="AY116" s="74" t="str">
        <f>IF(Matching_Engine!$AX$116=0,"N/A",ROUND((IF(Matching_Engine!$N$116=1,Matching_Engine!$M$116*Lookup_Lists!$D$104,0)+IF(Matching_Engine!$T$116=1,Matching_Engine!$S$116*Lookup_Lists!$D$105,0)+IF(Matching_Engine!$Z$116=1,Matching_Engine!$Y$116*Lookup_Lists!$D$106,0)+IF(Matching_Engine!$AF$116=1,Matching_Engine!$AE$116*Lookup_Lists!$D$107,0)+IF(Matching_Engine!$AN$116=1,Matching_Engine!$AM$116*Lookup_Lists!$D$108,0)+IF(Matching_Engine!$AU$116=1,Matching_Engine!$AT$116*Lookup_Lists!$D$109,0))/Matching_Engine!$AX$116,0))</f>
        <v>N/A</v>
      </c>
      <c r="AZ116" s="42" t="str">
        <f>IF(NOT(ISNUMBER(Matching_Engine!$AY$116)),"Not Scored",IF(Matching_Engine!$AY$116&gt;=Lookup_Lists!$D$152,"Excellent Match",IF(Matching_Engine!$AY$116&gt;=Lookup_Lists!$D$153,"Strong Match",IF(Matching_Engine!$AY$116&gt;=Lookup_Lists!$D$154,"Good Match",IF(Matching_Engine!$AY$116&gt;=Lookup_Lists!$D$155,"Moderate Match","Low Match")))))</f>
        <v>Not Scored</v>
      </c>
      <c r="BA116" s="65" t="e">
        <f>'[1]#REF'!$BW$20</f>
        <v>#REF!</v>
      </c>
      <c r="BB116" s="42" t="e">
        <f>'[1]#REF'!$BX$20</f>
        <v>#REF!</v>
      </c>
      <c r="BC116" s="65">
        <f>IF(NOT(ISNUMBER(Matching_Engine!$AY$116)),-1,Matching_Engine!$AY$116*1000+10)</f>
        <v>-1</v>
      </c>
      <c r="BD116" s="42" t="e">
        <f>IF(AND(ISTEXT('[1]#REF'!$S$20),'[1]#REF'!$S$20&lt;&gt;"N/A"),'[1]#REF'!$S$20,"")&amp;" | "&amp;IF(AND(ISTEXT('[1]#REF'!$T$20),'[1]#REF'!$T$20&lt;&gt;"N/A"),'[1]#REF'!$T$20,"")&amp;" | "&amp;IF(AND(ISTEXT('[1]#REF'!$N$20),'[1]#REF'!$N$20&lt;&gt;"N/A"),'[1]#REF'!$N$20,"")&amp;" | "&amp;IF(AND(ISTEXT('[1]#REF'!$K$20),'[1]#REF'!$K$20&lt;&gt;"N/A"),'[1]#REF'!$K$20,"")&amp;" | "&amp;IF(AND(ISTEXT('[1]#REF'!$J$20),'[1]#REF'!$J$20&lt;&gt;"N/A"),'[1]#REF'!$J$20,"")</f>
        <v>#REF!</v>
      </c>
      <c r="BE116" s="42" t="e">
        <f>IF(AND(ISTEXT('[1]#REF'!$T$20),'[1]#REF'!$T$20&lt;&gt;"N/A"),'[1]#REF'!$T$20,"")&amp;" | "&amp;IF(AND(ISTEXT('[1]#REF'!$N$20),'[1]#REF'!$N$20&lt;&gt;"N/A"),'[1]#REF'!$N$20,"")&amp;" | "&amp;IF(AND(ISTEXT('[1]#REF'!$O$20),'[1]#REF'!$O$20&lt;&gt;"N/A"),'[1]#REF'!$O$20,"")&amp;" | "&amp;IF(AND(ISTEXT('[1]#REF'!$S$20),'[1]#REF'!$S$20&lt;&gt;"N/A"),'[1]#REF'!$S$20,"")</f>
        <v>#REF!</v>
      </c>
      <c r="BF116" s="42" t="e">
        <f>IF(AND(ISTEXT('[1]#REF'!$U$20),'[1]#REF'!$U$20&lt;&gt;"N/A"),'[1]#REF'!$U$20,"")</f>
        <v>#REF!</v>
      </c>
      <c r="BG116" s="42" t="str">
        <f>Matching_Engine!$A$116&amp;"|"&amp;Matching_Engine!$C$116</f>
        <v>|</v>
      </c>
    </row>
    <row r="117" spans="1:59">
      <c r="A117" s="64" t="s">
        <v>2531</v>
      </c>
      <c r="B117" s="42">
        <f>Brand_Profile!$I$6</f>
        <v>0</v>
      </c>
      <c r="C117" s="42" t="e">
        <f>'[1]#REF'!$A$21</f>
        <v>#REF!</v>
      </c>
      <c r="D117" s="42" t="e">
        <f>'[1]#REF'!$C$21</f>
        <v>#REF!</v>
      </c>
      <c r="E117" s="42" t="e">
        <f>'[1]#REF'!$D$21</f>
        <v>#REF!</v>
      </c>
      <c r="F117" s="42" t="e">
        <f>'[1]#REF'!$E$21</f>
        <v>#REF!</v>
      </c>
      <c r="G117" s="42" t="e">
        <f>'[1]#REF'!$K$21</f>
        <v>#REF!</v>
      </c>
      <c r="H117" s="72" t="e">
        <f>'[1]#REF'!$G$21</f>
        <v>#REF!</v>
      </c>
      <c r="I117" s="73" t="e">
        <f>'[1]#REF'!$BG$21</f>
        <v>#REF!</v>
      </c>
      <c r="J117" s="65" t="e">
        <f>IF(NOT(AND(ISTEXT('[1]#REF'!$K$21),'[1]#REF'!$K$21&lt;&gt;"N/A")),Lookup_Lists!$D$150,IF(Brand_Profile!$I$7='[1]#REF'!$K$21,100,IFERROR(INDEX(Lookup_Lists!$B$349:$J$357,MATCH(Brand_Profile!$I$7,Lookup_Lists!$A$349:$A$357,0),MATCH('[1]#REF'!$K$21,Lookup_Lists!$B$348:$J$348,0)),Lookup_Lists!$D$151)))</f>
        <v>#REF!</v>
      </c>
      <c r="K117" s="65" t="str">
        <f>IF(LEN(TRIM(SUBSTITUTE(Matching_Engine!$BD$117,"|","")))=0,"N/A",IF(Brand_Profile!$I$47=0,Lookup_Lists!$D$150,ROUND((IF(Brand_Profile!$I$41="",0,IF(ISNUMBER(SEARCH(Brand_Profile!$I$41,Matching_Engine!$BD$117)),1,0))+IF(Brand_Profile!$I$42="",0,IF(ISNUMBER(SEARCH(Brand_Profile!$I$42,Matching_Engine!$BD$117)),1,0))+IF(Brand_Profile!$I$43="",0,IF(ISNUMBER(SEARCH(Brand_Profile!$I$43,Matching_Engine!$BD$117)),1,0))+IF(Brand_Profile!$I$44="",0,IF(ISNUMBER(SEARCH(Brand_Profile!$I$44,Matching_Engine!$BD$117)),1,0))+IF(Brand_Profile!$I$45="",0,IF(ISNUMBER(SEARCH(Brand_Profile!$I$45,Matching_Engine!$BD$117)),1,0))+IF(Brand_Profile!$I$46="",0,IF(ISNUMBER(SEARCH(Brand_Profile!$I$46,Matching_Engine!$BD$117)),1,0)))/Brand_Profile!$I$47*100,0)))</f>
        <v>N/A</v>
      </c>
      <c r="L117" s="65" t="e">
        <f>IF(NOT(AND(ISTEXT('[1]#REF'!$U$21),'[1]#REF'!$U$21&lt;&gt;"N/A")),"N/A",IF(Brand_Profile!$I$53=0,Lookup_Lists!$D$150,ROUND((IF(Brand_Profile!$I$48="",0,IF(ISNUMBER(SEARCH(Brand_Profile!$I$48,Matching_Engine!$BF$117)),1,0))+IF(Brand_Profile!$I$49="",0,IF(ISNUMBER(SEARCH(Brand_Profile!$I$49,Matching_Engine!$BF$117)),1,0))+IF(Brand_Profile!$I$50="",0,IF(ISNUMBER(SEARCH(Brand_Profile!$I$50,Matching_Engine!$BF$117)),1,0))+IF(Brand_Profile!$I$51="",0,IF(ISNUMBER(SEARCH(Brand_Profile!$I$51,Matching_Engine!$BF$117)),1,0))+IF(Brand_Profile!$I$52="",0,IF(ISNUMBER(SEARCH(Brand_Profile!$I$52,Matching_Engine!$BF$117)),1,0)))/Brand_Profile!$I$53*100,0)))</f>
        <v>#REF!</v>
      </c>
      <c r="M117" s="63" t="str">
        <f>IF((IF(ISNUMBER(Matching_Engine!$J$117),Lookup_Lists!$D$332,0)+IF(ISNUMBER(Matching_Engine!$K$117),Lookup_Lists!$D$333,0)+IF(ISNUMBER(Matching_Engine!$L$117),Lookup_Lists!$D$334,0))=0,"N/A",ROUND((IF(ISNUMBER(Matching_Engine!$J$117),Matching_Engine!$J$117*Lookup_Lists!$D$332,0)+IF(ISNUMBER(Matching_Engine!$K$117),Matching_Engine!$K$117*Lookup_Lists!$D$333,0)+IF(ISNUMBER(Matching_Engine!$L$117),Matching_Engine!$L$117*Lookup_Lists!$D$334,0))/(IF(ISNUMBER(Matching_Engine!$J$117),Lookup_Lists!$D$332,0)+IF(ISNUMBER(Matching_Engine!$K$117),Lookup_Lists!$D$333,0)+IF(ISNUMBER(Matching_Engine!$L$117),Lookup_Lists!$D$334,0)),0))</f>
        <v>N/A</v>
      </c>
      <c r="N117" s="42">
        <f>IF(ISNUMBER(Matching_Engine!$M$117),1,0)</f>
        <v>0</v>
      </c>
      <c r="O117" s="65" t="str">
        <f ca="1">IF(NOT(ISNUMBER(IFERROR(INDEX('[1]#REF'!$V$21:'[1]#REF'!$Z$21,1,MATCH(Brand_Profile!$I$11,Lookup_Lists!$F$6:$F$10,0)),""))),"N/A",MIN(100,ROUND((IFERROR(INDEX('[1]#REF'!$V$21:'[1]#REF'!$Z$21,1,MATCH(Brand_Profile!$I$11,Lookup_Lists!$F$6:$F$10,0)),"")+0.5*IF(ISNUMBER(IFERROR(INDEX('[1]#REF'!$V$21:'[1]#REF'!$Z$21,1,MATCH(Brand_Profile!$I$12,Lookup_Lists!$F$6:$F$10,0)),"")),IFERROR(INDEX('[1]#REF'!$V$21:'[1]#REF'!$Z$21,1,MATCH(Brand_Profile!$I$12,Lookup_Lists!$F$6:$F$10,0)),""),0))/Lookup_Lists!$D$142*100,0)))</f>
        <v>N/A</v>
      </c>
      <c r="P117" s="65" t="str">
        <f>IF(Brand_Profile!$I$13="Any",100,IF(NOT(ISNUMBER('[1]#REF'!$AA$21)),"N/A",IF(Brand_Profile!$I$13="Female",MIN(100,ROUND('[1]#REF'!$AA$21/Lookup_Lists!$D$143*100,0)),IF(Brand_Profile!$I$13="Male",MIN(100,ROUND(IF(ISNUMBER('[1]#REF'!$AB$21),'[1]#REF'!$AB$21,100-'[1]#REF'!$AA$21)/Lookup_Lists!$D$143*100,0)),MAX(0,ROUND(100-ABS('[1]#REF'!$AA$21-50)*2,0))))))</f>
        <v>N/A</v>
      </c>
      <c r="Q117" s="65" t="str">
        <f>IF((IF(ISNUMBER(IF(NOT(ISNUMBER('[1]#REF'!$AE$21)),"N/A",IF('[1]#REF'!$AD$21&lt;&gt;Brand_Profile!$I$14,Lookup_Lists!$D$151,MIN(100,ROUND('[1]#REF'!$AE$21/Lookup_Lists!$D$316*100,0))))),Lookup_Lists!$D$118,0)+IF(ISNUMBER(IF(NOT(ISNUMBER('[1]#REF'!$AM$21)),"N/A",MIN(100,ROUND((IF('[1]#REF'!$AG$21=Brand_Profile!$I$15,IF(ISNUMBER('[1]#REF'!$AH$21),'[1]#REF'!$AH$21,0),0)+IF('[1]#REF'!$AI$21=Brand_Profile!$I$15,IF(ISNUMBER('[1]#REF'!$AJ$21),'[1]#REF'!$AJ$21,0),0)+IF('[1]#REF'!$AK$21=Brand_Profile!$I$15,IF(ISNUMBER('[1]#REF'!$AL$21),'[1]#REF'!$AL$21,0),0))/Lookup_Lists!$D$317*100,0)))),Lookup_Lists!$D$120,0))=0,"N/A",ROUND((IF(ISNUMBER(IF(NOT(ISNUMBER('[1]#REF'!$AE$21)),"N/A",IF('[1]#REF'!$AD$21&lt;&gt;Brand_Profile!$I$14,Lookup_Lists!$D$151,MIN(100,ROUND('[1]#REF'!$AE$21/Lookup_Lists!$D$316*100,0))))),IF(NOT(ISNUMBER('[1]#REF'!$AE$21)),"N/A",IF('[1]#REF'!$AD$21&lt;&gt;Brand_Profile!$I$14,Lookup_Lists!$D$151,MIN(100,ROUND('[1]#REF'!$AE$21/Lookup_Lists!$D$316*100,0))))*Lookup_Lists!$D$118,0)+IF(ISNUMBER(IF(NOT(ISNUMBER('[1]#REF'!$AM$21)),"N/A",MIN(100,ROUND((IF('[1]#REF'!$AG$21=Brand_Profile!$I$15,IF(ISNUMBER('[1]#REF'!$AH$21),'[1]#REF'!$AH$21,0),0)+IF('[1]#REF'!$AI$21=Brand_Profile!$I$15,IF(ISNUMBER('[1]#REF'!$AJ$21),'[1]#REF'!$AJ$21,0),0)+IF('[1]#REF'!$AK$21=Brand_Profile!$I$15,IF(ISNUMBER('[1]#REF'!$AL$21),'[1]#REF'!$AL$21,0),0))/Lookup_Lists!$D$317*100,0)))),IF(NOT(ISNUMBER('[1]#REF'!$AM$21)),"N/A",MIN(100,ROUND((IF('[1]#REF'!$AG$21=Brand_Profile!$I$15,IF(ISNUMBER('[1]#REF'!$AH$21),'[1]#REF'!$AH$21,0),0)+IF('[1]#REF'!$AI$21=Brand_Profile!$I$15,IF(ISNUMBER('[1]#REF'!$AJ$21),'[1]#REF'!$AJ$21,0),0)+IF('[1]#REF'!$AK$21=Brand_Profile!$I$15,IF(ISNUMBER('[1]#REF'!$AL$21),'[1]#REF'!$AL$21,0),0))/Lookup_Lists!$D$317*100,0)))*Lookup_Lists!$D$120,0))/(IF(ISNUMBER(IF(NOT(ISNUMBER('[1]#REF'!$AE$21)),"N/A",IF('[1]#REF'!$AD$21&lt;&gt;Brand_Profile!$I$14,Lookup_Lists!$D$151,MIN(100,ROUND('[1]#REF'!$AE$21/Lookup_Lists!$D$316*100,0))))),Lookup_Lists!$D$118,0)+IF(ISNUMBER(IF(NOT(ISNUMBER('[1]#REF'!$AM$21)),"N/A",MIN(100,ROUND((IF('[1]#REF'!$AG$21=Brand_Profile!$I$15,IF(ISNUMBER('[1]#REF'!$AH$21),'[1]#REF'!$AH$21,0),0)+IF('[1]#REF'!$AI$21=Brand_Profile!$I$15,IF(ISNUMBER('[1]#REF'!$AJ$21),'[1]#REF'!$AJ$21,0),0)+IF('[1]#REF'!$AK$21=Brand_Profile!$I$15,IF(ISNUMBER('[1]#REF'!$AL$21),'[1]#REF'!$AL$21,0),0))/Lookup_Lists!$D$317*100,0)))),Lookup_Lists!$D$120,0)),0))</f>
        <v>N/A</v>
      </c>
      <c r="R117" s="65" t="str">
        <f>IF(NOT(ISNUMBER('[1]#REF'!$AN$21)),"N/A",MIN(100,ROUND((IF(ISNUMBER('[1]#REF'!$AO$21),'[1]#REF'!$AO$21*Brand_Profile!$I$17,0)+IF(ISNUMBER('[1]#REF'!$AP$21),'[1]#REF'!$AP$21*Brand_Profile!$I$18,0)+IF(ISNUMBER('[1]#REF'!$AQ$21),'[1]#REF'!$AQ$21*Brand_Profile!$I$19,0)+IF(ISNUMBER('[1]#REF'!$AR$21),'[1]#REF'!$AR$21*Brand_Profile!$I$20,0)+IF(ISNUMBER('[1]#REF'!$AS$21),'[1]#REF'!$AS$21*Brand_Profile!$I$21,0)+IF(ISNUMBER('[1]#REF'!$AT$21),'[1]#REF'!$AT$21*Brand_Profile!$I$22,0)+IF(ISNUMBER('[1]#REF'!$AU$21),'[1]#REF'!$AU$21*Brand_Profile!$I$23,0)+IF(ISNUMBER('[1]#REF'!$AV$21),'[1]#REF'!$AV$21*Brand_Profile!$I$24,0)+IF(ISNUMBER('[1]#REF'!$AW$21),'[1]#REF'!$AW$21*Brand_Profile!$I$25,0)+IF(ISNUMBER('[1]#REF'!$AX$21),'[1]#REF'!$AX$21*Brand_Profile!$I$26,0)+IF(ISNUMBER('[1]#REF'!$AY$21),'[1]#REF'!$AY$21*Brand_Profile!$I$27,0)+IF(ISNUMBER('[1]#REF'!$AZ$21),'[1]#REF'!$AZ$21*Brand_Profile!$I$28,0)+IF(ISNUMBER('[1]#REF'!$BA$21),'[1]#REF'!$BA$21*Brand_Profile!$I$29,0)+IF(ISNUMBER('[1]#REF'!$BB$21),'[1]#REF'!$BB$21*Brand_Profile!$I$30,0)+IF(ISNUMBER('[1]#REF'!$BC$21),'[1]#REF'!$BC$21*Brand_Profile!$I$31,0)+IF(ISNUMBER('[1]#REF'!$BD$21),'[1]#REF'!$BD$21*Brand_Profile!$I$32,0)+IF(ISNUMBER('[1]#REF'!$BE$21),'[1]#REF'!$BE$21*Brand_Profile!$I$33,0)+IF(ISNUMBER('[1]#REF'!$BF$21),'[1]#REF'!$BF$21*Brand_Profile!$I$34,0))/Lookup_Lists!$D$318*100,0)))</f>
        <v>N/A</v>
      </c>
      <c r="S117" s="63" t="str">
        <f>IF((IF(ISNUMBER(Matching_Engine!$O$117),Lookup_Lists!$D$113,0)+IF(ISNUMBER(Matching_Engine!$P$117),Lookup_Lists!$D$114,0)+IF(ISNUMBER(Matching_Engine!$Q$117),Lookup_Lists!$D$115,0)+IF(ISNUMBER(Matching_Engine!$R$117),Lookup_Lists!$D$116,0))=0,"N/A",ROUND((IF(ISNUMBER(Matching_Engine!$O$117),Matching_Engine!$O$117*Lookup_Lists!$D$113,0)+IF(ISNUMBER(Matching_Engine!$P$117),Matching_Engine!$P$117*Lookup_Lists!$D$114,0)+IF(ISNUMBER(Matching_Engine!$Q$117),Matching_Engine!$Q$117*Lookup_Lists!$D$115,0)+IF(ISNUMBER(Matching_Engine!$R$117),Matching_Engine!$R$117*Lookup_Lists!$D$116,0))/(IF(ISNUMBER(Matching_Engine!$O$117),Lookup_Lists!$D$113,0)+IF(ISNUMBER(Matching_Engine!$P$117),Lookup_Lists!$D$114,0)+IF(ISNUMBER(Matching_Engine!$Q$117),Lookup_Lists!$D$115,0)+IF(ISNUMBER(Matching_Engine!$R$117),Lookup_Lists!$D$116,0)),0))</f>
        <v>N/A</v>
      </c>
      <c r="T117" s="42">
        <f>IF(ISNUMBER(Matching_Engine!$S$117),1,0)</f>
        <v>0</v>
      </c>
      <c r="U117" s="65" t="e">
        <f>IF(NOT(AND(ISTEXT('[1]#REF'!$M$21),'[1]#REF'!$M$21&lt;&gt;"N/A")),Lookup_Lists!$D$150,IF(Brand_Profile!$I$7='[1]#REF'!$M$21,100,IFERROR(INDEX(Lookup_Lists!$B$349:$J$357,MATCH(Brand_Profile!$I$7,Lookup_Lists!$A$349:$A$357,0),MATCH('[1]#REF'!$M$21,Lookup_Lists!$B$348:$J$348,0)),Lookup_Lists!$D$151)))</f>
        <v>#REF!</v>
      </c>
      <c r="V117" s="65" t="e">
        <f>IF(NOT(AND(ISTEXT('[1]#REF'!$P$21),'[1]#REF'!$P$21&lt;&gt;"N/A")),"N/A",IFERROR(INDEX(Lookup_Lists!$B$349:$J$357,MATCH(Brand_Profile!$I$7,Lookup_Lists!$A$349:$A$357,0),MATCH('[1]#REF'!$P$21,Lookup_Lists!$B$348:$J$348,0)),Lookup_Lists!$D$151))</f>
        <v>#REF!</v>
      </c>
      <c r="W117" s="65" t="str">
        <f>IF(LEN(TRIM(SUBSTITUTE(Matching_Engine!$BE$117,"|","")))=0,"N/A",IF(Brand_Profile!$I$60=0,Lookup_Lists!$D$150,ROUND((IF(Brand_Profile!$I$54="",0,IF(ISNUMBER(SEARCH(Brand_Profile!$I$54,Matching_Engine!$BE$117)),1,0))+IF(Brand_Profile!$I$55="",0,IF(ISNUMBER(SEARCH(Brand_Profile!$I$55,Matching_Engine!$BE$117)),1,0))+IF(Brand_Profile!$I$56="",0,IF(ISNUMBER(SEARCH(Brand_Profile!$I$56,Matching_Engine!$BE$117)),1,0))+IF(Brand_Profile!$I$57="",0,IF(ISNUMBER(SEARCH(Brand_Profile!$I$57,Matching_Engine!$BE$117)),1,0))+IF(Brand_Profile!$I$58="",0,IF(ISNUMBER(SEARCH(Brand_Profile!$I$58,Matching_Engine!$BE$117)),1,0))+IF(Brand_Profile!$I$59="",0,IF(ISNUMBER(SEARCH(Brand_Profile!$I$59,Matching_Engine!$BE$117)),1,0)))/Brand_Profile!$I$60*100,0)))</f>
        <v>N/A</v>
      </c>
      <c r="X117" s="65" t="e">
        <f>IF(NOT(AND(ISTEXT('[1]#REF'!$Q$21),'[1]#REF'!$Q$21&lt;&gt;"N/A")),"N/A",Lookup_Lists!$D$150)</f>
        <v>#REF!</v>
      </c>
      <c r="Y117" s="63" t="str">
        <f>IF((IF(ISNUMBER(Matching_Engine!$U$117),Lookup_Lists!$D$335,0)+IF(ISNUMBER(Matching_Engine!$V$117),Lookup_Lists!$D$122,0)+IF(ISNUMBER(Matching_Engine!$W$117),Lookup_Lists!$D$336,0)+IF(ISNUMBER(Matching_Engine!$X$117),Lookup_Lists!$D$124,0))=0,"N/A",ROUND((IF(ISNUMBER(Matching_Engine!$U$117),Matching_Engine!$U$117*Lookup_Lists!$D$335,0)+IF(ISNUMBER(Matching_Engine!$V$117),Matching_Engine!$V$117*Lookup_Lists!$D$122,0)+IF(ISNUMBER(Matching_Engine!$W$117),Matching_Engine!$W$117*Lookup_Lists!$D$336,0)+IF(ISNUMBER(Matching_Engine!$X$117),Matching_Engine!$X$117*Lookup_Lists!$D$124,0))/(IF(ISNUMBER(Matching_Engine!$U$117),Lookup_Lists!$D$335,0)+IF(ISNUMBER(Matching_Engine!$V$117),Lookup_Lists!$D$122,0)+IF(ISNUMBER(Matching_Engine!$W$117),Lookup_Lists!$D$336,0)+IF(ISNUMBER(Matching_Engine!$X$117),Lookup_Lists!$D$124,0)),0))</f>
        <v>N/A</v>
      </c>
      <c r="Z117" s="42">
        <f>IF(ISNUMBER(Matching_Engine!$Y$117),1,0)</f>
        <v>0</v>
      </c>
      <c r="AA117" s="65" t="e">
        <f>IF(NOT(AND(ISTEXT('[1]#REF'!$Q$21),'[1]#REF'!$Q$21&lt;&gt;"N/A")),"N/A",Lookup_Lists!$D$150)</f>
        <v>#REF!</v>
      </c>
      <c r="AB117" s="65" t="e">
        <f>IF(NOT(AND(ISTEXT('[1]#REF'!$Q$21),'[1]#REF'!$Q$21&lt;&gt;"N/A")),"N/A",Lookup_Lists!$D$150)</f>
        <v>#REF!</v>
      </c>
      <c r="AC117" s="65" t="str">
        <f t="shared" si="1"/>
        <v>N/A</v>
      </c>
      <c r="AD117" s="65" t="e">
        <f>IF(NOT(AND(ISTEXT('[1]#REF'!$Q$21),'[1]#REF'!$Q$21&lt;&gt;"N/A")),"N/A",Lookup_Lists!$D$150)</f>
        <v>#REF!</v>
      </c>
      <c r="AE117" s="63" t="str">
        <f>IF((IF(ISNUMBER(Matching_Engine!$AA$117),Lookup_Lists!$D$125,0)+IF(ISNUMBER(Matching_Engine!$AB$117),Lookup_Lists!$D$126,0)+IF(ISNUMBER(Matching_Engine!$AC$117),Lookup_Lists!$D$127,0)+IF(ISNUMBER(Matching_Engine!$AD$117),Lookup_Lists!$D$128,0))=0,"N/A",ROUND((IF(ISNUMBER(Matching_Engine!$AA$117),Matching_Engine!$AA$117*Lookup_Lists!$D$125,0)+IF(ISNUMBER(Matching_Engine!$AB$117),Matching_Engine!$AB$117*Lookup_Lists!$D$126,0)+IF(ISNUMBER(Matching_Engine!$AC$117),Matching_Engine!$AC$117*Lookup_Lists!$D$127,0)+IF(ISNUMBER(Matching_Engine!$AD$117),Matching_Engine!$AD$117*Lookup_Lists!$D$128,0))/(IF(ISNUMBER(Matching_Engine!$AA$117),Lookup_Lists!$D$125,0)+IF(ISNUMBER(Matching_Engine!$AB$117),Lookup_Lists!$D$126,0)+IF(ISNUMBER(Matching_Engine!$AC$117),Lookup_Lists!$D$127,0)+IF(ISNUMBER(Matching_Engine!$AD$117),Lookup_Lists!$D$128,0)),0))</f>
        <v>N/A</v>
      </c>
      <c r="AF117" s="42">
        <f>IF(ISNUMBER(Matching_Engine!$AE$117),1,0)</f>
        <v>0</v>
      </c>
      <c r="AG117" s="65" t="str">
        <f>IF(NOT(ISNUMBER('[1]#REF'!$BG$21)),"N/A",MIN(100,ROUND('[1]#REF'!$BG$21/IFERROR(INDEX(Lookup_Lists!$B$340:$B$344,MATCH('[1]#REF'!$H$21,Lookup_Lists!$A$340:$A$344,0)),Lookup_Lists!$D$141)*100,0)))</f>
        <v>N/A</v>
      </c>
      <c r="AH117" s="65" t="str">
        <f>IF(NOT(ISNUMBER('[1]#REF'!$BS$21)),"N/A",MIN(100,MAX(0,'[1]#REF'!$BS$21)))</f>
        <v>N/A</v>
      </c>
      <c r="AI117" s="65" t="e">
        <f>IF(OR(NOT(ISNUMBER('[1]#REF'!$BM$21)),NOT(ISNUMBER('[1]#REF'!$BN$21)),'[1]#REF'!$BN$21&lt;Lookup_Lists!$D$320),"N/A",MIN(100,ROUND('[1]#REF'!$BM$21/Lookup_Lists!$D$319*100,0)))</f>
        <v>#REF!</v>
      </c>
      <c r="AJ117" s="65" t="str">
        <f>IF(NOT(ISNUMBER('[1]#REF'!$BR$21)),"N/A",'[1]#REF'!$BR$21)</f>
        <v>N/A</v>
      </c>
      <c r="AK117" s="65" t="str">
        <f>IF(NOT(ISNUMBER('[1]#REF'!$BK$21)),"N/A",MIN(100,ROUND('[1]#REF'!$BK$21/Lookup_Lists!$D$321*100,0)))</f>
        <v>N/A</v>
      </c>
      <c r="AL117" s="65" t="str">
        <f>IF(NOT(ISNUMBER('[1]#REF'!$BP$21)),"N/A",MIN(100,MAX(0,ROUND(('[1]#REF'!$BP$21+2)/(Lookup_Lists!$D$145+2)*100,0))))</f>
        <v>N/A</v>
      </c>
      <c r="AM117" s="63" t="str">
        <f>IF((IF(ISNUMBER(Matching_Engine!$AG$117),Lookup_Lists!$D$129,0)+IF(ISNUMBER(Matching_Engine!$AH$117),Lookup_Lists!$D$130,0)+IF(ISNUMBER(Matching_Engine!$AI$117),Lookup_Lists!$D$131,0)+IF(ISNUMBER(Matching_Engine!$AJ$117),Lookup_Lists!$D$132,0)+IF(ISNUMBER(Matching_Engine!$AK$117),Lookup_Lists!$D$133,0)+IF(ISNUMBER(Matching_Engine!$AL$117),Lookup_Lists!$D$134,0))=0,"N/A",ROUND((IF(ISNUMBER(Matching_Engine!$AG$117),Matching_Engine!$AG$117*Lookup_Lists!$D$129,0)+IF(ISNUMBER(Matching_Engine!$AH$117),Matching_Engine!$AH$117*Lookup_Lists!$D$130,0)+IF(ISNUMBER(Matching_Engine!$AI$117),Matching_Engine!$AI$117*Lookup_Lists!$D$131,0)+IF(ISNUMBER(Matching_Engine!$AJ$117),Matching_Engine!$AJ$117*Lookup_Lists!$D$132,0)+IF(ISNUMBER(Matching_Engine!$AK$117),Matching_Engine!$AK$117*Lookup_Lists!$D$133,0)+IF(ISNUMBER(Matching_Engine!$AL$117),Matching_Engine!$AL$117*Lookup_Lists!$D$134,0))/(IF(ISNUMBER(Matching_Engine!$AG$117),Lookup_Lists!$D$129,0)+IF(ISNUMBER(Matching_Engine!$AH$117),Lookup_Lists!$D$130,0)+IF(ISNUMBER(Matching_Engine!$AI$117),Lookup_Lists!$D$131,0)+IF(ISNUMBER(Matching_Engine!$AJ$117),Lookup_Lists!$D$132,0)+IF(ISNUMBER(Matching_Engine!$AK$117),Lookup_Lists!$D$133,0)+IF(ISNUMBER(Matching_Engine!$AL$117),Lookup_Lists!$D$134,0)),0))</f>
        <v>N/A</v>
      </c>
      <c r="AN117" s="42">
        <f>IF(ISNUMBER(Matching_Engine!$AM$117),1,0)</f>
        <v>0</v>
      </c>
      <c r="AO117" s="65" t="str">
        <f>IF(NOT(ISNUMBER('[1]#REF'!$BT$21)),"N/A",MIN(100,MAX(0,'[1]#REF'!$BT$21)))</f>
        <v>N/A</v>
      </c>
      <c r="AP117" s="65" t="str">
        <f>IF(NOT(ISNUMBER('[1]#REF'!$BU$21)),"N/A",MIN(100,MAX(0,'[1]#REF'!$BU$21)))</f>
        <v>N/A</v>
      </c>
      <c r="AQ117" s="65" t="e">
        <f>IF('[1]#REF'!$I$21="Yes",Lookup_Lists!$D$326,IF('[1]#REF'!$I$21="No",Lookup_Lists!$D$327,"N/A"))</f>
        <v>#REF!</v>
      </c>
      <c r="AR117" s="65" t="str">
        <f>IF(NOT(ISNUMBER('[1]#REF'!$BQ$21)),"N/A",MAX(0,ROUND(100-'[1]#REF'!$BQ$21/Lookup_Lists!$D$328*100,0)))</f>
        <v>N/A</v>
      </c>
      <c r="AS117" s="65" t="e">
        <f>IF(NOT(AND(ISTEXT('[1]#REF'!$BV$21),'[1]#REF'!$BV$21&lt;&gt;"N/A")),"N/A",'[1]#REF'!$BV$21)</f>
        <v>#REF!</v>
      </c>
      <c r="AT117" s="63" t="str">
        <f>IF((IF(ISNUMBER(Matching_Engine!$AO$117),Lookup_Lists!$D$322,0)+IF(ISNUMBER(Matching_Engine!$AP$117),Lookup_Lists!$D$323,0)+IF(ISNUMBER(Matching_Engine!$AQ$117),Lookup_Lists!$D$324,0)+IF(ISNUMBER(Matching_Engine!$AR$117),Lookup_Lists!$D$325,0))=0,"N/A",ROUND((IF(ISNUMBER(Matching_Engine!$AO$117),Matching_Engine!$AO$117*Lookup_Lists!$D$322,0)+IF(ISNUMBER(Matching_Engine!$AP$117),Matching_Engine!$AP$117*Lookup_Lists!$D$323,0)+IF(ISNUMBER(Matching_Engine!$AQ$117),Matching_Engine!$AQ$117*Lookup_Lists!$D$324,0)+IF(ISNUMBER(Matching_Engine!$AR$117),Matching_Engine!$AR$117*Lookup_Lists!$D$325,0))/(IF(ISNUMBER(Matching_Engine!$AO$117),Lookup_Lists!$D$322,0)+IF(ISNUMBER(Matching_Engine!$AP$117),Lookup_Lists!$D$323,0)+IF(ISNUMBER(Matching_Engine!$AQ$117),Lookup_Lists!$D$324,0)+IF(ISNUMBER(Matching_Engine!$AR$117),Lookup_Lists!$D$325,0)),0))</f>
        <v>N/A</v>
      </c>
      <c r="AU117" s="42">
        <f>IF(ISNUMBER(Matching_Engine!$AT$117),1,0)</f>
        <v>0</v>
      </c>
      <c r="AV117" s="42" t="str">
        <f>IF(NOT(ISNUMBER(Matching_Engine!$AT$117)),"Not Screened",IF(Matching_Engine!$AT$117&gt;=Lookup_Lists!$D$329,"Low Risk",IF(Matching_Engine!$AT$117&gt;=Lookup_Lists!$D$330,"Moderate Risk",IF(Matching_Engine!$AT$117&gt;=Lookup_Lists!$D$331,"Elevated Risk","High Risk"))))</f>
        <v>Not Screened</v>
      </c>
      <c r="AW117" s="42" t="str">
        <f>IF(NOT(ISNUMBER(Matching_Engine!$AT$117)),"No integrity signal: no audience-analysis row for this account.","Integrity screen only — no content-risk reading exists (comments_analysis: 0 rows). "&amp;IF(ISNUMBER(Matching_Engine!$AO$117),"Authenticity "&amp;Matching_Engine!$AO$117&amp;". ","Authenticity N/A. ")&amp;IF(ISNUMBER(Matching_Engine!$AP$117),"Follower quality "&amp;Matching_Engine!$AP$117&amp;". ","Follower quality N/A. ")&amp;IF('[1]#REF'!$I$21="Yes","Platform-verified.","Not platform-verified."))</f>
        <v>No integrity signal: no audience-analysis row for this account.</v>
      </c>
      <c r="AX117" s="65">
        <f>Matching_Engine!$N$117*Lookup_Lists!$D$104+Matching_Engine!$T$117*Lookup_Lists!$D$105+Matching_Engine!$Z$117*Lookup_Lists!$D$106+Matching_Engine!$AF$117*Lookup_Lists!$D$107+Matching_Engine!$AN$117*Lookup_Lists!$D$108+Matching_Engine!$AU$117*Lookup_Lists!$D$109</f>
        <v>0</v>
      </c>
      <c r="AY117" s="74" t="str">
        <f>IF(Matching_Engine!$AX$117=0,"N/A",ROUND((IF(Matching_Engine!$N$117=1,Matching_Engine!$M$117*Lookup_Lists!$D$104,0)+IF(Matching_Engine!$T$117=1,Matching_Engine!$S$117*Lookup_Lists!$D$105,0)+IF(Matching_Engine!$Z$117=1,Matching_Engine!$Y$117*Lookup_Lists!$D$106,0)+IF(Matching_Engine!$AF$117=1,Matching_Engine!$AE$117*Lookup_Lists!$D$107,0)+IF(Matching_Engine!$AN$117=1,Matching_Engine!$AM$117*Lookup_Lists!$D$108,0)+IF(Matching_Engine!$AU$117=1,Matching_Engine!$AT$117*Lookup_Lists!$D$109,0))/Matching_Engine!$AX$117,0))</f>
        <v>N/A</v>
      </c>
      <c r="AZ117" s="42" t="str">
        <f>IF(NOT(ISNUMBER(Matching_Engine!$AY$117)),"Not Scored",IF(Matching_Engine!$AY$117&gt;=Lookup_Lists!$D$152,"Excellent Match",IF(Matching_Engine!$AY$117&gt;=Lookup_Lists!$D$153,"Strong Match",IF(Matching_Engine!$AY$117&gt;=Lookup_Lists!$D$154,"Good Match",IF(Matching_Engine!$AY$117&gt;=Lookup_Lists!$D$155,"Moderate Match","Low Match")))))</f>
        <v>Not Scored</v>
      </c>
      <c r="BA117" s="65" t="e">
        <f>'[1]#REF'!$BW$21</f>
        <v>#REF!</v>
      </c>
      <c r="BB117" s="42" t="e">
        <f>'[1]#REF'!$BX$21</f>
        <v>#REF!</v>
      </c>
      <c r="BC117" s="65">
        <f>IF(NOT(ISNUMBER(Matching_Engine!$AY$117)),-1,Matching_Engine!$AY$117*1000+9)</f>
        <v>-1</v>
      </c>
      <c r="BD117" s="42" t="e">
        <f>IF(AND(ISTEXT('[1]#REF'!$S$21),'[1]#REF'!$S$21&lt;&gt;"N/A"),'[1]#REF'!$S$21,"")&amp;" | "&amp;IF(AND(ISTEXT('[1]#REF'!$T$21),'[1]#REF'!$T$21&lt;&gt;"N/A"),'[1]#REF'!$T$21,"")&amp;" | "&amp;IF(AND(ISTEXT('[1]#REF'!$N$21),'[1]#REF'!$N$21&lt;&gt;"N/A"),'[1]#REF'!$N$21,"")&amp;" | "&amp;IF(AND(ISTEXT('[1]#REF'!$K$21),'[1]#REF'!$K$21&lt;&gt;"N/A"),'[1]#REF'!$K$21,"")&amp;" | "&amp;IF(AND(ISTEXT('[1]#REF'!$J$21),'[1]#REF'!$J$21&lt;&gt;"N/A"),'[1]#REF'!$J$21,"")</f>
        <v>#REF!</v>
      </c>
      <c r="BE117" s="42" t="e">
        <f>IF(AND(ISTEXT('[1]#REF'!$T$21),'[1]#REF'!$T$21&lt;&gt;"N/A"),'[1]#REF'!$T$21,"")&amp;" | "&amp;IF(AND(ISTEXT('[1]#REF'!$N$21),'[1]#REF'!$N$21&lt;&gt;"N/A"),'[1]#REF'!$N$21,"")&amp;" | "&amp;IF(AND(ISTEXT('[1]#REF'!$O$21),'[1]#REF'!$O$21&lt;&gt;"N/A"),'[1]#REF'!$O$21,"")&amp;" | "&amp;IF(AND(ISTEXT('[1]#REF'!$S$21),'[1]#REF'!$S$21&lt;&gt;"N/A"),'[1]#REF'!$S$21,"")</f>
        <v>#REF!</v>
      </c>
      <c r="BF117" s="42" t="e">
        <f>IF(AND(ISTEXT('[1]#REF'!$U$21),'[1]#REF'!$U$21&lt;&gt;"N/A"),'[1]#REF'!$U$21,"")</f>
        <v>#REF!</v>
      </c>
      <c r="BG117" s="42" t="str">
        <f>Matching_Engine!$A$117&amp;"|"&amp;Matching_Engine!$C$117</f>
        <v>|</v>
      </c>
    </row>
    <row r="118" spans="1:59">
      <c r="A118" s="64" t="s">
        <v>2531</v>
      </c>
      <c r="B118" s="42">
        <f>Brand_Profile!$I$6</f>
        <v>0</v>
      </c>
      <c r="C118" s="42" t="e">
        <f>'[1]#REF'!$A$22</f>
        <v>#REF!</v>
      </c>
      <c r="D118" s="42" t="e">
        <f>'[1]#REF'!$C$22</f>
        <v>#REF!</v>
      </c>
      <c r="E118" s="42" t="e">
        <f>'[1]#REF'!$D$22</f>
        <v>#REF!</v>
      </c>
      <c r="F118" s="42" t="e">
        <f>'[1]#REF'!$E$22</f>
        <v>#REF!</v>
      </c>
      <c r="G118" s="42" t="e">
        <f>'[1]#REF'!$K$22</f>
        <v>#REF!</v>
      </c>
      <c r="H118" s="72" t="e">
        <f>'[1]#REF'!$G$22</f>
        <v>#REF!</v>
      </c>
      <c r="I118" s="73" t="e">
        <f>'[1]#REF'!$BG$22</f>
        <v>#REF!</v>
      </c>
      <c r="J118" s="65" t="e">
        <f>IF(NOT(AND(ISTEXT('[1]#REF'!$K$22),'[1]#REF'!$K$22&lt;&gt;"N/A")),Lookup_Lists!$D$150,IF(Brand_Profile!$I$7='[1]#REF'!$K$22,100,IFERROR(INDEX(Lookup_Lists!$B$349:$J$357,MATCH(Brand_Profile!$I$7,Lookup_Lists!$A$349:$A$357,0),MATCH('[1]#REF'!$K$22,Lookup_Lists!$B$348:$J$348,0)),Lookup_Lists!$D$151)))</f>
        <v>#REF!</v>
      </c>
      <c r="K118" s="65" t="str">
        <f>IF(LEN(TRIM(SUBSTITUTE(Matching_Engine!$BD$118,"|","")))=0,"N/A",IF(Brand_Profile!$I$47=0,Lookup_Lists!$D$150,ROUND((IF(Brand_Profile!$I$41="",0,IF(ISNUMBER(SEARCH(Brand_Profile!$I$41,Matching_Engine!$BD$118)),1,0))+IF(Brand_Profile!$I$42="",0,IF(ISNUMBER(SEARCH(Brand_Profile!$I$42,Matching_Engine!$BD$118)),1,0))+IF(Brand_Profile!$I$43="",0,IF(ISNUMBER(SEARCH(Brand_Profile!$I$43,Matching_Engine!$BD$118)),1,0))+IF(Brand_Profile!$I$44="",0,IF(ISNUMBER(SEARCH(Brand_Profile!$I$44,Matching_Engine!$BD$118)),1,0))+IF(Brand_Profile!$I$45="",0,IF(ISNUMBER(SEARCH(Brand_Profile!$I$45,Matching_Engine!$BD$118)),1,0))+IF(Brand_Profile!$I$46="",0,IF(ISNUMBER(SEARCH(Brand_Profile!$I$46,Matching_Engine!$BD$118)),1,0)))/Brand_Profile!$I$47*100,0)))</f>
        <v>N/A</v>
      </c>
      <c r="L118" s="65" t="e">
        <f>IF(NOT(AND(ISTEXT('[1]#REF'!$U$22),'[1]#REF'!$U$22&lt;&gt;"N/A")),"N/A",IF(Brand_Profile!$I$53=0,Lookup_Lists!$D$150,ROUND((IF(Brand_Profile!$I$48="",0,IF(ISNUMBER(SEARCH(Brand_Profile!$I$48,Matching_Engine!$BF$118)),1,0))+IF(Brand_Profile!$I$49="",0,IF(ISNUMBER(SEARCH(Brand_Profile!$I$49,Matching_Engine!$BF$118)),1,0))+IF(Brand_Profile!$I$50="",0,IF(ISNUMBER(SEARCH(Brand_Profile!$I$50,Matching_Engine!$BF$118)),1,0))+IF(Brand_Profile!$I$51="",0,IF(ISNUMBER(SEARCH(Brand_Profile!$I$51,Matching_Engine!$BF$118)),1,0))+IF(Brand_Profile!$I$52="",0,IF(ISNUMBER(SEARCH(Brand_Profile!$I$52,Matching_Engine!$BF$118)),1,0)))/Brand_Profile!$I$53*100,0)))</f>
        <v>#REF!</v>
      </c>
      <c r="M118" s="63" t="str">
        <f>IF((IF(ISNUMBER(Matching_Engine!$J$118),Lookup_Lists!$D$332,0)+IF(ISNUMBER(Matching_Engine!$K$118),Lookup_Lists!$D$333,0)+IF(ISNUMBER(Matching_Engine!$L$118),Lookup_Lists!$D$334,0))=0,"N/A",ROUND((IF(ISNUMBER(Matching_Engine!$J$118),Matching_Engine!$J$118*Lookup_Lists!$D$332,0)+IF(ISNUMBER(Matching_Engine!$K$118),Matching_Engine!$K$118*Lookup_Lists!$D$333,0)+IF(ISNUMBER(Matching_Engine!$L$118),Matching_Engine!$L$118*Lookup_Lists!$D$334,0))/(IF(ISNUMBER(Matching_Engine!$J$118),Lookup_Lists!$D$332,0)+IF(ISNUMBER(Matching_Engine!$K$118),Lookup_Lists!$D$333,0)+IF(ISNUMBER(Matching_Engine!$L$118),Lookup_Lists!$D$334,0)),0))</f>
        <v>N/A</v>
      </c>
      <c r="N118" s="42">
        <f>IF(ISNUMBER(Matching_Engine!$M$118),1,0)</f>
        <v>0</v>
      </c>
      <c r="O118" s="65" t="str">
        <f ca="1">IF(NOT(ISNUMBER(IFERROR(INDEX('[1]#REF'!$V$22:'[1]#REF'!$Z$22,1,MATCH(Brand_Profile!$I$11,Lookup_Lists!$F$6:$F$10,0)),""))),"N/A",MIN(100,ROUND((IFERROR(INDEX('[1]#REF'!$V$22:'[1]#REF'!$Z$22,1,MATCH(Brand_Profile!$I$11,Lookup_Lists!$F$6:$F$10,0)),"")+0.5*IF(ISNUMBER(IFERROR(INDEX('[1]#REF'!$V$22:'[1]#REF'!$Z$22,1,MATCH(Brand_Profile!$I$12,Lookup_Lists!$F$6:$F$10,0)),"")),IFERROR(INDEX('[1]#REF'!$V$22:'[1]#REF'!$Z$22,1,MATCH(Brand_Profile!$I$12,Lookup_Lists!$F$6:$F$10,0)),""),0))/Lookup_Lists!$D$142*100,0)))</f>
        <v>N/A</v>
      </c>
      <c r="P118" s="65" t="str">
        <f>IF(Brand_Profile!$I$13="Any",100,IF(NOT(ISNUMBER('[1]#REF'!$AA$22)),"N/A",IF(Brand_Profile!$I$13="Female",MIN(100,ROUND('[1]#REF'!$AA$22/Lookup_Lists!$D$143*100,0)),IF(Brand_Profile!$I$13="Male",MIN(100,ROUND(IF(ISNUMBER('[1]#REF'!$AB$22),'[1]#REF'!$AB$22,100-'[1]#REF'!$AA$22)/Lookup_Lists!$D$143*100,0)),MAX(0,ROUND(100-ABS('[1]#REF'!$AA$22-50)*2,0))))))</f>
        <v>N/A</v>
      </c>
      <c r="Q118" s="65" t="str">
        <f>IF((IF(ISNUMBER(IF(NOT(ISNUMBER('[1]#REF'!$AE$22)),"N/A",IF('[1]#REF'!$AD$22&lt;&gt;Brand_Profile!$I$14,Lookup_Lists!$D$151,MIN(100,ROUND('[1]#REF'!$AE$22/Lookup_Lists!$D$316*100,0))))),Lookup_Lists!$D$118,0)+IF(ISNUMBER(IF(NOT(ISNUMBER('[1]#REF'!$AM$22)),"N/A",MIN(100,ROUND((IF('[1]#REF'!$AG$22=Brand_Profile!$I$15,IF(ISNUMBER('[1]#REF'!$AH$22),'[1]#REF'!$AH$22,0),0)+IF('[1]#REF'!$AI$22=Brand_Profile!$I$15,IF(ISNUMBER('[1]#REF'!$AJ$22),'[1]#REF'!$AJ$22,0),0)+IF('[1]#REF'!$AK$22=Brand_Profile!$I$15,IF(ISNUMBER('[1]#REF'!$AL$22),'[1]#REF'!$AL$22,0),0))/Lookup_Lists!$D$317*100,0)))),Lookup_Lists!$D$120,0))=0,"N/A",ROUND((IF(ISNUMBER(IF(NOT(ISNUMBER('[1]#REF'!$AE$22)),"N/A",IF('[1]#REF'!$AD$22&lt;&gt;Brand_Profile!$I$14,Lookup_Lists!$D$151,MIN(100,ROUND('[1]#REF'!$AE$22/Lookup_Lists!$D$316*100,0))))),IF(NOT(ISNUMBER('[1]#REF'!$AE$22)),"N/A",IF('[1]#REF'!$AD$22&lt;&gt;Brand_Profile!$I$14,Lookup_Lists!$D$151,MIN(100,ROUND('[1]#REF'!$AE$22/Lookup_Lists!$D$316*100,0))))*Lookup_Lists!$D$118,0)+IF(ISNUMBER(IF(NOT(ISNUMBER('[1]#REF'!$AM$22)),"N/A",MIN(100,ROUND((IF('[1]#REF'!$AG$22=Brand_Profile!$I$15,IF(ISNUMBER('[1]#REF'!$AH$22),'[1]#REF'!$AH$22,0),0)+IF('[1]#REF'!$AI$22=Brand_Profile!$I$15,IF(ISNUMBER('[1]#REF'!$AJ$22),'[1]#REF'!$AJ$22,0),0)+IF('[1]#REF'!$AK$22=Brand_Profile!$I$15,IF(ISNUMBER('[1]#REF'!$AL$22),'[1]#REF'!$AL$22,0),0))/Lookup_Lists!$D$317*100,0)))),IF(NOT(ISNUMBER('[1]#REF'!$AM$22)),"N/A",MIN(100,ROUND((IF('[1]#REF'!$AG$22=Brand_Profile!$I$15,IF(ISNUMBER('[1]#REF'!$AH$22),'[1]#REF'!$AH$22,0),0)+IF('[1]#REF'!$AI$22=Brand_Profile!$I$15,IF(ISNUMBER('[1]#REF'!$AJ$22),'[1]#REF'!$AJ$22,0),0)+IF('[1]#REF'!$AK$22=Brand_Profile!$I$15,IF(ISNUMBER('[1]#REF'!$AL$22),'[1]#REF'!$AL$22,0),0))/Lookup_Lists!$D$317*100,0)))*Lookup_Lists!$D$120,0))/(IF(ISNUMBER(IF(NOT(ISNUMBER('[1]#REF'!$AE$22)),"N/A",IF('[1]#REF'!$AD$22&lt;&gt;Brand_Profile!$I$14,Lookup_Lists!$D$151,MIN(100,ROUND('[1]#REF'!$AE$22/Lookup_Lists!$D$316*100,0))))),Lookup_Lists!$D$118,0)+IF(ISNUMBER(IF(NOT(ISNUMBER('[1]#REF'!$AM$22)),"N/A",MIN(100,ROUND((IF('[1]#REF'!$AG$22=Brand_Profile!$I$15,IF(ISNUMBER('[1]#REF'!$AH$22),'[1]#REF'!$AH$22,0),0)+IF('[1]#REF'!$AI$22=Brand_Profile!$I$15,IF(ISNUMBER('[1]#REF'!$AJ$22),'[1]#REF'!$AJ$22,0),0)+IF('[1]#REF'!$AK$22=Brand_Profile!$I$15,IF(ISNUMBER('[1]#REF'!$AL$22),'[1]#REF'!$AL$22,0),0))/Lookup_Lists!$D$317*100,0)))),Lookup_Lists!$D$120,0)),0))</f>
        <v>N/A</v>
      </c>
      <c r="R118" s="65" t="str">
        <f>IF(NOT(ISNUMBER('[1]#REF'!$AN$22)),"N/A",MIN(100,ROUND((IF(ISNUMBER('[1]#REF'!$AO$22),'[1]#REF'!$AO$22*Brand_Profile!$I$17,0)+IF(ISNUMBER('[1]#REF'!$AP$22),'[1]#REF'!$AP$22*Brand_Profile!$I$18,0)+IF(ISNUMBER('[1]#REF'!$AQ$22),'[1]#REF'!$AQ$22*Brand_Profile!$I$19,0)+IF(ISNUMBER('[1]#REF'!$AR$22),'[1]#REF'!$AR$22*Brand_Profile!$I$20,0)+IF(ISNUMBER('[1]#REF'!$AS$22),'[1]#REF'!$AS$22*Brand_Profile!$I$21,0)+IF(ISNUMBER('[1]#REF'!$AT$22),'[1]#REF'!$AT$22*Brand_Profile!$I$22,0)+IF(ISNUMBER('[1]#REF'!$AU$22),'[1]#REF'!$AU$22*Brand_Profile!$I$23,0)+IF(ISNUMBER('[1]#REF'!$AV$22),'[1]#REF'!$AV$22*Brand_Profile!$I$24,0)+IF(ISNUMBER('[1]#REF'!$AW$22),'[1]#REF'!$AW$22*Brand_Profile!$I$25,0)+IF(ISNUMBER('[1]#REF'!$AX$22),'[1]#REF'!$AX$22*Brand_Profile!$I$26,0)+IF(ISNUMBER('[1]#REF'!$AY$22),'[1]#REF'!$AY$22*Brand_Profile!$I$27,0)+IF(ISNUMBER('[1]#REF'!$AZ$22),'[1]#REF'!$AZ$22*Brand_Profile!$I$28,0)+IF(ISNUMBER('[1]#REF'!$BA$22),'[1]#REF'!$BA$22*Brand_Profile!$I$29,0)+IF(ISNUMBER('[1]#REF'!$BB$22),'[1]#REF'!$BB$22*Brand_Profile!$I$30,0)+IF(ISNUMBER('[1]#REF'!$BC$22),'[1]#REF'!$BC$22*Brand_Profile!$I$31,0)+IF(ISNUMBER('[1]#REF'!$BD$22),'[1]#REF'!$BD$22*Brand_Profile!$I$32,0)+IF(ISNUMBER('[1]#REF'!$BE$22),'[1]#REF'!$BE$22*Brand_Profile!$I$33,0)+IF(ISNUMBER('[1]#REF'!$BF$22),'[1]#REF'!$BF$22*Brand_Profile!$I$34,0))/Lookup_Lists!$D$318*100,0)))</f>
        <v>N/A</v>
      </c>
      <c r="S118" s="63" t="str">
        <f>IF((IF(ISNUMBER(Matching_Engine!$O$118),Lookup_Lists!$D$113,0)+IF(ISNUMBER(Matching_Engine!$P$118),Lookup_Lists!$D$114,0)+IF(ISNUMBER(Matching_Engine!$Q$118),Lookup_Lists!$D$115,0)+IF(ISNUMBER(Matching_Engine!$R$118),Lookup_Lists!$D$116,0))=0,"N/A",ROUND((IF(ISNUMBER(Matching_Engine!$O$118),Matching_Engine!$O$118*Lookup_Lists!$D$113,0)+IF(ISNUMBER(Matching_Engine!$P$118),Matching_Engine!$P$118*Lookup_Lists!$D$114,0)+IF(ISNUMBER(Matching_Engine!$Q$118),Matching_Engine!$Q$118*Lookup_Lists!$D$115,0)+IF(ISNUMBER(Matching_Engine!$R$118),Matching_Engine!$R$118*Lookup_Lists!$D$116,0))/(IF(ISNUMBER(Matching_Engine!$O$118),Lookup_Lists!$D$113,0)+IF(ISNUMBER(Matching_Engine!$P$118),Lookup_Lists!$D$114,0)+IF(ISNUMBER(Matching_Engine!$Q$118),Lookup_Lists!$D$115,0)+IF(ISNUMBER(Matching_Engine!$R$118),Lookup_Lists!$D$116,0)),0))</f>
        <v>N/A</v>
      </c>
      <c r="T118" s="42">
        <f>IF(ISNUMBER(Matching_Engine!$S$118),1,0)</f>
        <v>0</v>
      </c>
      <c r="U118" s="65" t="e">
        <f>IF(NOT(AND(ISTEXT('[1]#REF'!$M$22),'[1]#REF'!$M$22&lt;&gt;"N/A")),Lookup_Lists!$D$150,IF(Brand_Profile!$I$7='[1]#REF'!$M$22,100,IFERROR(INDEX(Lookup_Lists!$B$349:$J$357,MATCH(Brand_Profile!$I$7,Lookup_Lists!$A$349:$A$357,0),MATCH('[1]#REF'!$M$22,Lookup_Lists!$B$348:$J$348,0)),Lookup_Lists!$D$151)))</f>
        <v>#REF!</v>
      </c>
      <c r="V118" s="65" t="e">
        <f>IF(NOT(AND(ISTEXT('[1]#REF'!$P$22),'[1]#REF'!$P$22&lt;&gt;"N/A")),"N/A",IFERROR(INDEX(Lookup_Lists!$B$349:$J$357,MATCH(Brand_Profile!$I$7,Lookup_Lists!$A$349:$A$357,0),MATCH('[1]#REF'!$P$22,Lookup_Lists!$B$348:$J$348,0)),Lookup_Lists!$D$151))</f>
        <v>#REF!</v>
      </c>
      <c r="W118" s="65" t="str">
        <f>IF(LEN(TRIM(SUBSTITUTE(Matching_Engine!$BE$118,"|","")))=0,"N/A",IF(Brand_Profile!$I$60=0,Lookup_Lists!$D$150,ROUND((IF(Brand_Profile!$I$54="",0,IF(ISNUMBER(SEARCH(Brand_Profile!$I$54,Matching_Engine!$BE$118)),1,0))+IF(Brand_Profile!$I$55="",0,IF(ISNUMBER(SEARCH(Brand_Profile!$I$55,Matching_Engine!$BE$118)),1,0))+IF(Brand_Profile!$I$56="",0,IF(ISNUMBER(SEARCH(Brand_Profile!$I$56,Matching_Engine!$BE$118)),1,0))+IF(Brand_Profile!$I$57="",0,IF(ISNUMBER(SEARCH(Brand_Profile!$I$57,Matching_Engine!$BE$118)),1,0))+IF(Brand_Profile!$I$58="",0,IF(ISNUMBER(SEARCH(Brand_Profile!$I$58,Matching_Engine!$BE$118)),1,0))+IF(Brand_Profile!$I$59="",0,IF(ISNUMBER(SEARCH(Brand_Profile!$I$59,Matching_Engine!$BE$118)),1,0)))/Brand_Profile!$I$60*100,0)))</f>
        <v>N/A</v>
      </c>
      <c r="X118" s="65" t="e">
        <f>IF(NOT(AND(ISTEXT('[1]#REF'!$Q$22),'[1]#REF'!$Q$22&lt;&gt;"N/A")),"N/A",Lookup_Lists!$D$150)</f>
        <v>#REF!</v>
      </c>
      <c r="Y118" s="63" t="str">
        <f>IF((IF(ISNUMBER(Matching_Engine!$U$118),Lookup_Lists!$D$335,0)+IF(ISNUMBER(Matching_Engine!$V$118),Lookup_Lists!$D$122,0)+IF(ISNUMBER(Matching_Engine!$W$118),Lookup_Lists!$D$336,0)+IF(ISNUMBER(Matching_Engine!$X$118),Lookup_Lists!$D$124,0))=0,"N/A",ROUND((IF(ISNUMBER(Matching_Engine!$U$118),Matching_Engine!$U$118*Lookup_Lists!$D$335,0)+IF(ISNUMBER(Matching_Engine!$V$118),Matching_Engine!$V$118*Lookup_Lists!$D$122,0)+IF(ISNUMBER(Matching_Engine!$W$118),Matching_Engine!$W$118*Lookup_Lists!$D$336,0)+IF(ISNUMBER(Matching_Engine!$X$118),Matching_Engine!$X$118*Lookup_Lists!$D$124,0))/(IF(ISNUMBER(Matching_Engine!$U$118),Lookup_Lists!$D$335,0)+IF(ISNUMBER(Matching_Engine!$V$118),Lookup_Lists!$D$122,0)+IF(ISNUMBER(Matching_Engine!$W$118),Lookup_Lists!$D$336,0)+IF(ISNUMBER(Matching_Engine!$X$118),Lookup_Lists!$D$124,0)),0))</f>
        <v>N/A</v>
      </c>
      <c r="Z118" s="42">
        <f>IF(ISNUMBER(Matching_Engine!$Y$118),1,0)</f>
        <v>0</v>
      </c>
      <c r="AA118" s="65" t="e">
        <f>IF(NOT(AND(ISTEXT('[1]#REF'!$Q$22),'[1]#REF'!$Q$22&lt;&gt;"N/A")),"N/A",Lookup_Lists!$D$150)</f>
        <v>#REF!</v>
      </c>
      <c r="AB118" s="65" t="e">
        <f>IF(NOT(AND(ISTEXT('[1]#REF'!$Q$22),'[1]#REF'!$Q$22&lt;&gt;"N/A")),"N/A",Lookup_Lists!$D$150)</f>
        <v>#REF!</v>
      </c>
      <c r="AC118" s="65" t="str">
        <f t="shared" si="1"/>
        <v>N/A</v>
      </c>
      <c r="AD118" s="65" t="e">
        <f>IF(NOT(AND(ISTEXT('[1]#REF'!$Q$22),'[1]#REF'!$Q$22&lt;&gt;"N/A")),"N/A",Lookup_Lists!$D$150)</f>
        <v>#REF!</v>
      </c>
      <c r="AE118" s="63" t="str">
        <f>IF((IF(ISNUMBER(Matching_Engine!$AA$118),Lookup_Lists!$D$125,0)+IF(ISNUMBER(Matching_Engine!$AB$118),Lookup_Lists!$D$126,0)+IF(ISNUMBER(Matching_Engine!$AC$118),Lookup_Lists!$D$127,0)+IF(ISNUMBER(Matching_Engine!$AD$118),Lookup_Lists!$D$128,0))=0,"N/A",ROUND((IF(ISNUMBER(Matching_Engine!$AA$118),Matching_Engine!$AA$118*Lookup_Lists!$D$125,0)+IF(ISNUMBER(Matching_Engine!$AB$118),Matching_Engine!$AB$118*Lookup_Lists!$D$126,0)+IF(ISNUMBER(Matching_Engine!$AC$118),Matching_Engine!$AC$118*Lookup_Lists!$D$127,0)+IF(ISNUMBER(Matching_Engine!$AD$118),Matching_Engine!$AD$118*Lookup_Lists!$D$128,0))/(IF(ISNUMBER(Matching_Engine!$AA$118),Lookup_Lists!$D$125,0)+IF(ISNUMBER(Matching_Engine!$AB$118),Lookup_Lists!$D$126,0)+IF(ISNUMBER(Matching_Engine!$AC$118),Lookup_Lists!$D$127,0)+IF(ISNUMBER(Matching_Engine!$AD$118),Lookup_Lists!$D$128,0)),0))</f>
        <v>N/A</v>
      </c>
      <c r="AF118" s="42">
        <f>IF(ISNUMBER(Matching_Engine!$AE$118),1,0)</f>
        <v>0</v>
      </c>
      <c r="AG118" s="65" t="str">
        <f>IF(NOT(ISNUMBER('[1]#REF'!$BG$22)),"N/A",MIN(100,ROUND('[1]#REF'!$BG$22/IFERROR(INDEX(Lookup_Lists!$B$340:$B$344,MATCH('[1]#REF'!$H$22,Lookup_Lists!$A$340:$A$344,0)),Lookup_Lists!$D$141)*100,0)))</f>
        <v>N/A</v>
      </c>
      <c r="AH118" s="65" t="str">
        <f>IF(NOT(ISNUMBER('[1]#REF'!$BS$22)),"N/A",MIN(100,MAX(0,'[1]#REF'!$BS$22)))</f>
        <v>N/A</v>
      </c>
      <c r="AI118" s="65" t="e">
        <f>IF(OR(NOT(ISNUMBER('[1]#REF'!$BM$22)),NOT(ISNUMBER('[1]#REF'!$BN$22)),'[1]#REF'!$BN$22&lt;Lookup_Lists!$D$320),"N/A",MIN(100,ROUND('[1]#REF'!$BM$22/Lookup_Lists!$D$319*100,0)))</f>
        <v>#REF!</v>
      </c>
      <c r="AJ118" s="65" t="str">
        <f>IF(NOT(ISNUMBER('[1]#REF'!$BR$22)),"N/A",'[1]#REF'!$BR$22)</f>
        <v>N/A</v>
      </c>
      <c r="AK118" s="65" t="str">
        <f>IF(NOT(ISNUMBER('[1]#REF'!$BK$22)),"N/A",MIN(100,ROUND('[1]#REF'!$BK$22/Lookup_Lists!$D$321*100,0)))</f>
        <v>N/A</v>
      </c>
      <c r="AL118" s="65" t="str">
        <f>IF(NOT(ISNUMBER('[1]#REF'!$BP$22)),"N/A",MIN(100,MAX(0,ROUND(('[1]#REF'!$BP$22+2)/(Lookup_Lists!$D$145+2)*100,0))))</f>
        <v>N/A</v>
      </c>
      <c r="AM118" s="63" t="str">
        <f>IF((IF(ISNUMBER(Matching_Engine!$AG$118),Lookup_Lists!$D$129,0)+IF(ISNUMBER(Matching_Engine!$AH$118),Lookup_Lists!$D$130,0)+IF(ISNUMBER(Matching_Engine!$AI$118),Lookup_Lists!$D$131,0)+IF(ISNUMBER(Matching_Engine!$AJ$118),Lookup_Lists!$D$132,0)+IF(ISNUMBER(Matching_Engine!$AK$118),Lookup_Lists!$D$133,0)+IF(ISNUMBER(Matching_Engine!$AL$118),Lookup_Lists!$D$134,0))=0,"N/A",ROUND((IF(ISNUMBER(Matching_Engine!$AG$118),Matching_Engine!$AG$118*Lookup_Lists!$D$129,0)+IF(ISNUMBER(Matching_Engine!$AH$118),Matching_Engine!$AH$118*Lookup_Lists!$D$130,0)+IF(ISNUMBER(Matching_Engine!$AI$118),Matching_Engine!$AI$118*Lookup_Lists!$D$131,0)+IF(ISNUMBER(Matching_Engine!$AJ$118),Matching_Engine!$AJ$118*Lookup_Lists!$D$132,0)+IF(ISNUMBER(Matching_Engine!$AK$118),Matching_Engine!$AK$118*Lookup_Lists!$D$133,0)+IF(ISNUMBER(Matching_Engine!$AL$118),Matching_Engine!$AL$118*Lookup_Lists!$D$134,0))/(IF(ISNUMBER(Matching_Engine!$AG$118),Lookup_Lists!$D$129,0)+IF(ISNUMBER(Matching_Engine!$AH$118),Lookup_Lists!$D$130,0)+IF(ISNUMBER(Matching_Engine!$AI$118),Lookup_Lists!$D$131,0)+IF(ISNUMBER(Matching_Engine!$AJ$118),Lookup_Lists!$D$132,0)+IF(ISNUMBER(Matching_Engine!$AK$118),Lookup_Lists!$D$133,0)+IF(ISNUMBER(Matching_Engine!$AL$118),Lookup_Lists!$D$134,0)),0))</f>
        <v>N/A</v>
      </c>
      <c r="AN118" s="42">
        <f>IF(ISNUMBER(Matching_Engine!$AM$118),1,0)</f>
        <v>0</v>
      </c>
      <c r="AO118" s="65" t="str">
        <f>IF(NOT(ISNUMBER('[1]#REF'!$BT$22)),"N/A",MIN(100,MAX(0,'[1]#REF'!$BT$22)))</f>
        <v>N/A</v>
      </c>
      <c r="AP118" s="65" t="str">
        <f>IF(NOT(ISNUMBER('[1]#REF'!$BU$22)),"N/A",MIN(100,MAX(0,'[1]#REF'!$BU$22)))</f>
        <v>N/A</v>
      </c>
      <c r="AQ118" s="65" t="e">
        <f>IF('[1]#REF'!$I$22="Yes",Lookup_Lists!$D$326,IF('[1]#REF'!$I$22="No",Lookup_Lists!$D$327,"N/A"))</f>
        <v>#REF!</v>
      </c>
      <c r="AR118" s="65" t="str">
        <f>IF(NOT(ISNUMBER('[1]#REF'!$BQ$22)),"N/A",MAX(0,ROUND(100-'[1]#REF'!$BQ$22/Lookup_Lists!$D$328*100,0)))</f>
        <v>N/A</v>
      </c>
      <c r="AS118" s="65" t="e">
        <f>IF(NOT(AND(ISTEXT('[1]#REF'!$BV$22),'[1]#REF'!$BV$22&lt;&gt;"N/A")),"N/A",'[1]#REF'!$BV$22)</f>
        <v>#REF!</v>
      </c>
      <c r="AT118" s="63" t="str">
        <f>IF((IF(ISNUMBER(Matching_Engine!$AO$118),Lookup_Lists!$D$322,0)+IF(ISNUMBER(Matching_Engine!$AP$118),Lookup_Lists!$D$323,0)+IF(ISNUMBER(Matching_Engine!$AQ$118),Lookup_Lists!$D$324,0)+IF(ISNUMBER(Matching_Engine!$AR$118),Lookup_Lists!$D$325,0))=0,"N/A",ROUND((IF(ISNUMBER(Matching_Engine!$AO$118),Matching_Engine!$AO$118*Lookup_Lists!$D$322,0)+IF(ISNUMBER(Matching_Engine!$AP$118),Matching_Engine!$AP$118*Lookup_Lists!$D$323,0)+IF(ISNUMBER(Matching_Engine!$AQ$118),Matching_Engine!$AQ$118*Lookup_Lists!$D$324,0)+IF(ISNUMBER(Matching_Engine!$AR$118),Matching_Engine!$AR$118*Lookup_Lists!$D$325,0))/(IF(ISNUMBER(Matching_Engine!$AO$118),Lookup_Lists!$D$322,0)+IF(ISNUMBER(Matching_Engine!$AP$118),Lookup_Lists!$D$323,0)+IF(ISNUMBER(Matching_Engine!$AQ$118),Lookup_Lists!$D$324,0)+IF(ISNUMBER(Matching_Engine!$AR$118),Lookup_Lists!$D$325,0)),0))</f>
        <v>N/A</v>
      </c>
      <c r="AU118" s="42">
        <f>IF(ISNUMBER(Matching_Engine!$AT$118),1,0)</f>
        <v>0</v>
      </c>
      <c r="AV118" s="42" t="str">
        <f>IF(NOT(ISNUMBER(Matching_Engine!$AT$118)),"Not Screened",IF(Matching_Engine!$AT$118&gt;=Lookup_Lists!$D$329,"Low Risk",IF(Matching_Engine!$AT$118&gt;=Lookup_Lists!$D$330,"Moderate Risk",IF(Matching_Engine!$AT$118&gt;=Lookup_Lists!$D$331,"Elevated Risk","High Risk"))))</f>
        <v>Not Screened</v>
      </c>
      <c r="AW118" s="42" t="str">
        <f>IF(NOT(ISNUMBER(Matching_Engine!$AT$118)),"No integrity signal: no audience-analysis row for this account.","Integrity screen only — no content-risk reading exists (comments_analysis: 0 rows). "&amp;IF(ISNUMBER(Matching_Engine!$AO$118),"Authenticity "&amp;Matching_Engine!$AO$118&amp;". ","Authenticity N/A. ")&amp;IF(ISNUMBER(Matching_Engine!$AP$118),"Follower quality "&amp;Matching_Engine!$AP$118&amp;". ","Follower quality N/A. ")&amp;IF('[1]#REF'!$I$22="Yes","Platform-verified.","Not platform-verified."))</f>
        <v>No integrity signal: no audience-analysis row for this account.</v>
      </c>
      <c r="AX118" s="65">
        <f>Matching_Engine!$N$118*Lookup_Lists!$D$104+Matching_Engine!$T$118*Lookup_Lists!$D$105+Matching_Engine!$Z$118*Lookup_Lists!$D$106+Matching_Engine!$AF$118*Lookup_Lists!$D$107+Matching_Engine!$AN$118*Lookup_Lists!$D$108+Matching_Engine!$AU$118*Lookup_Lists!$D$109</f>
        <v>0</v>
      </c>
      <c r="AY118" s="74" t="str">
        <f>IF(Matching_Engine!$AX$118=0,"N/A",ROUND((IF(Matching_Engine!$N$118=1,Matching_Engine!$M$118*Lookup_Lists!$D$104,0)+IF(Matching_Engine!$T$118=1,Matching_Engine!$S$118*Lookup_Lists!$D$105,0)+IF(Matching_Engine!$Z$118=1,Matching_Engine!$Y$118*Lookup_Lists!$D$106,0)+IF(Matching_Engine!$AF$118=1,Matching_Engine!$AE$118*Lookup_Lists!$D$107,0)+IF(Matching_Engine!$AN$118=1,Matching_Engine!$AM$118*Lookup_Lists!$D$108,0)+IF(Matching_Engine!$AU$118=1,Matching_Engine!$AT$118*Lookup_Lists!$D$109,0))/Matching_Engine!$AX$118,0))</f>
        <v>N/A</v>
      </c>
      <c r="AZ118" s="42" t="str">
        <f>IF(NOT(ISNUMBER(Matching_Engine!$AY$118)),"Not Scored",IF(Matching_Engine!$AY$118&gt;=Lookup_Lists!$D$152,"Excellent Match",IF(Matching_Engine!$AY$118&gt;=Lookup_Lists!$D$153,"Strong Match",IF(Matching_Engine!$AY$118&gt;=Lookup_Lists!$D$154,"Good Match",IF(Matching_Engine!$AY$118&gt;=Lookup_Lists!$D$155,"Moderate Match","Low Match")))))</f>
        <v>Not Scored</v>
      </c>
      <c r="BA118" s="65" t="e">
        <f>'[1]#REF'!$BW$22</f>
        <v>#REF!</v>
      </c>
      <c r="BB118" s="42" t="e">
        <f>'[1]#REF'!$BX$22</f>
        <v>#REF!</v>
      </c>
      <c r="BC118" s="65">
        <f>IF(NOT(ISNUMBER(Matching_Engine!$AY$118)),-1,Matching_Engine!$AY$118*1000+8)</f>
        <v>-1</v>
      </c>
      <c r="BD118" s="42" t="e">
        <f>IF(AND(ISTEXT('[1]#REF'!$S$22),'[1]#REF'!$S$22&lt;&gt;"N/A"),'[1]#REF'!$S$22,"")&amp;" | "&amp;IF(AND(ISTEXT('[1]#REF'!$T$22),'[1]#REF'!$T$22&lt;&gt;"N/A"),'[1]#REF'!$T$22,"")&amp;" | "&amp;IF(AND(ISTEXT('[1]#REF'!$N$22),'[1]#REF'!$N$22&lt;&gt;"N/A"),'[1]#REF'!$N$22,"")&amp;" | "&amp;IF(AND(ISTEXT('[1]#REF'!$K$22),'[1]#REF'!$K$22&lt;&gt;"N/A"),'[1]#REF'!$K$22,"")&amp;" | "&amp;IF(AND(ISTEXT('[1]#REF'!$J$22),'[1]#REF'!$J$22&lt;&gt;"N/A"),'[1]#REF'!$J$22,"")</f>
        <v>#REF!</v>
      </c>
      <c r="BE118" s="42" t="e">
        <f>IF(AND(ISTEXT('[1]#REF'!$T$22),'[1]#REF'!$T$22&lt;&gt;"N/A"),'[1]#REF'!$T$22,"")&amp;" | "&amp;IF(AND(ISTEXT('[1]#REF'!$N$22),'[1]#REF'!$N$22&lt;&gt;"N/A"),'[1]#REF'!$N$22,"")&amp;" | "&amp;IF(AND(ISTEXT('[1]#REF'!$O$22),'[1]#REF'!$O$22&lt;&gt;"N/A"),'[1]#REF'!$O$22,"")&amp;" | "&amp;IF(AND(ISTEXT('[1]#REF'!$S$22),'[1]#REF'!$S$22&lt;&gt;"N/A"),'[1]#REF'!$S$22,"")</f>
        <v>#REF!</v>
      </c>
      <c r="BF118" s="42" t="e">
        <f>IF(AND(ISTEXT('[1]#REF'!$U$22),'[1]#REF'!$U$22&lt;&gt;"N/A"),'[1]#REF'!$U$22,"")</f>
        <v>#REF!</v>
      </c>
      <c r="BG118" s="42" t="str">
        <f>Matching_Engine!$A$118&amp;"|"&amp;Matching_Engine!$C$118</f>
        <v>|</v>
      </c>
    </row>
    <row r="119" spans="1:59">
      <c r="A119" s="64" t="s">
        <v>2531</v>
      </c>
      <c r="B119" s="42">
        <f>Brand_Profile!$I$6</f>
        <v>0</v>
      </c>
      <c r="C119" s="42" t="e">
        <f>'[1]#REF'!$A$23</f>
        <v>#REF!</v>
      </c>
      <c r="D119" s="42" t="e">
        <f>'[1]#REF'!$C$23</f>
        <v>#REF!</v>
      </c>
      <c r="E119" s="42" t="e">
        <f>'[1]#REF'!$D$23</f>
        <v>#REF!</v>
      </c>
      <c r="F119" s="42" t="e">
        <f>'[1]#REF'!$E$23</f>
        <v>#REF!</v>
      </c>
      <c r="G119" s="42" t="e">
        <f>'[1]#REF'!$K$23</f>
        <v>#REF!</v>
      </c>
      <c r="H119" s="72" t="e">
        <f>'[1]#REF'!$G$23</f>
        <v>#REF!</v>
      </c>
      <c r="I119" s="73" t="e">
        <f>'[1]#REF'!$BG$23</f>
        <v>#REF!</v>
      </c>
      <c r="J119" s="65" t="e">
        <f>IF(NOT(AND(ISTEXT('[1]#REF'!$K$23),'[1]#REF'!$K$23&lt;&gt;"N/A")),Lookup_Lists!$D$150,IF(Brand_Profile!$I$7='[1]#REF'!$K$23,100,IFERROR(INDEX(Lookup_Lists!$B$349:$J$357,MATCH(Brand_Profile!$I$7,Lookup_Lists!$A$349:$A$357,0),MATCH('[1]#REF'!$K$23,Lookup_Lists!$B$348:$J$348,0)),Lookup_Lists!$D$151)))</f>
        <v>#REF!</v>
      </c>
      <c r="K119" s="65" t="str">
        <f>IF(LEN(TRIM(SUBSTITUTE(Matching_Engine!$BD$119,"|","")))=0,"N/A",IF(Brand_Profile!$I$47=0,Lookup_Lists!$D$150,ROUND((IF(Brand_Profile!$I$41="",0,IF(ISNUMBER(SEARCH(Brand_Profile!$I$41,Matching_Engine!$BD$119)),1,0))+IF(Brand_Profile!$I$42="",0,IF(ISNUMBER(SEARCH(Brand_Profile!$I$42,Matching_Engine!$BD$119)),1,0))+IF(Brand_Profile!$I$43="",0,IF(ISNUMBER(SEARCH(Brand_Profile!$I$43,Matching_Engine!$BD$119)),1,0))+IF(Brand_Profile!$I$44="",0,IF(ISNUMBER(SEARCH(Brand_Profile!$I$44,Matching_Engine!$BD$119)),1,0))+IF(Brand_Profile!$I$45="",0,IF(ISNUMBER(SEARCH(Brand_Profile!$I$45,Matching_Engine!$BD$119)),1,0))+IF(Brand_Profile!$I$46="",0,IF(ISNUMBER(SEARCH(Brand_Profile!$I$46,Matching_Engine!$BD$119)),1,0)))/Brand_Profile!$I$47*100,0)))</f>
        <v>N/A</v>
      </c>
      <c r="L119" s="65" t="e">
        <f>IF(NOT(AND(ISTEXT('[1]#REF'!$U$23),'[1]#REF'!$U$23&lt;&gt;"N/A")),"N/A",IF(Brand_Profile!$I$53=0,Lookup_Lists!$D$150,ROUND((IF(Brand_Profile!$I$48="",0,IF(ISNUMBER(SEARCH(Brand_Profile!$I$48,Matching_Engine!$BF$119)),1,0))+IF(Brand_Profile!$I$49="",0,IF(ISNUMBER(SEARCH(Brand_Profile!$I$49,Matching_Engine!$BF$119)),1,0))+IF(Brand_Profile!$I$50="",0,IF(ISNUMBER(SEARCH(Brand_Profile!$I$50,Matching_Engine!$BF$119)),1,0))+IF(Brand_Profile!$I$51="",0,IF(ISNUMBER(SEARCH(Brand_Profile!$I$51,Matching_Engine!$BF$119)),1,0))+IF(Brand_Profile!$I$52="",0,IF(ISNUMBER(SEARCH(Brand_Profile!$I$52,Matching_Engine!$BF$119)),1,0)))/Brand_Profile!$I$53*100,0)))</f>
        <v>#REF!</v>
      </c>
      <c r="M119" s="63" t="str">
        <f>IF((IF(ISNUMBER(Matching_Engine!$J$119),Lookup_Lists!$D$332,0)+IF(ISNUMBER(Matching_Engine!$K$119),Lookup_Lists!$D$333,0)+IF(ISNUMBER(Matching_Engine!$L$119),Lookup_Lists!$D$334,0))=0,"N/A",ROUND((IF(ISNUMBER(Matching_Engine!$J$119),Matching_Engine!$J$119*Lookup_Lists!$D$332,0)+IF(ISNUMBER(Matching_Engine!$K$119),Matching_Engine!$K$119*Lookup_Lists!$D$333,0)+IF(ISNUMBER(Matching_Engine!$L$119),Matching_Engine!$L$119*Lookup_Lists!$D$334,0))/(IF(ISNUMBER(Matching_Engine!$J$119),Lookup_Lists!$D$332,0)+IF(ISNUMBER(Matching_Engine!$K$119),Lookup_Lists!$D$333,0)+IF(ISNUMBER(Matching_Engine!$L$119),Lookup_Lists!$D$334,0)),0))</f>
        <v>N/A</v>
      </c>
      <c r="N119" s="42">
        <f>IF(ISNUMBER(Matching_Engine!$M$119),1,0)</f>
        <v>0</v>
      </c>
      <c r="O119" s="65" t="str">
        <f ca="1">IF(NOT(ISNUMBER(IFERROR(INDEX('[1]#REF'!$V$23:'[1]#REF'!$Z$23,1,MATCH(Brand_Profile!$I$11,Lookup_Lists!$F$6:$F$10,0)),""))),"N/A",MIN(100,ROUND((IFERROR(INDEX('[1]#REF'!$V$23:'[1]#REF'!$Z$23,1,MATCH(Brand_Profile!$I$11,Lookup_Lists!$F$6:$F$10,0)),"")+0.5*IF(ISNUMBER(IFERROR(INDEX('[1]#REF'!$V$23:'[1]#REF'!$Z$23,1,MATCH(Brand_Profile!$I$12,Lookup_Lists!$F$6:$F$10,0)),"")),IFERROR(INDEX('[1]#REF'!$V$23:'[1]#REF'!$Z$23,1,MATCH(Brand_Profile!$I$12,Lookup_Lists!$F$6:$F$10,0)),""),0))/Lookup_Lists!$D$142*100,0)))</f>
        <v>N/A</v>
      </c>
      <c r="P119" s="65" t="str">
        <f>IF(Brand_Profile!$I$13="Any",100,IF(NOT(ISNUMBER('[1]#REF'!$AA$23)),"N/A",IF(Brand_Profile!$I$13="Female",MIN(100,ROUND('[1]#REF'!$AA$23/Lookup_Lists!$D$143*100,0)),IF(Brand_Profile!$I$13="Male",MIN(100,ROUND(IF(ISNUMBER('[1]#REF'!$AB$23),'[1]#REF'!$AB$23,100-'[1]#REF'!$AA$23)/Lookup_Lists!$D$143*100,0)),MAX(0,ROUND(100-ABS('[1]#REF'!$AA$23-50)*2,0))))))</f>
        <v>N/A</v>
      </c>
      <c r="Q119" s="65" t="str">
        <f>IF((IF(ISNUMBER(IF(NOT(ISNUMBER('[1]#REF'!$AE$23)),"N/A",IF('[1]#REF'!$AD$23&lt;&gt;Brand_Profile!$I$14,Lookup_Lists!$D$151,MIN(100,ROUND('[1]#REF'!$AE$23/Lookup_Lists!$D$316*100,0))))),Lookup_Lists!$D$118,0)+IF(ISNUMBER(IF(NOT(ISNUMBER('[1]#REF'!$AM$23)),"N/A",MIN(100,ROUND((IF('[1]#REF'!$AG$23=Brand_Profile!$I$15,IF(ISNUMBER('[1]#REF'!$AH$23),'[1]#REF'!$AH$23,0),0)+IF('[1]#REF'!$AI$23=Brand_Profile!$I$15,IF(ISNUMBER('[1]#REF'!$AJ$23),'[1]#REF'!$AJ$23,0),0)+IF('[1]#REF'!$AK$23=Brand_Profile!$I$15,IF(ISNUMBER('[1]#REF'!$AL$23),'[1]#REF'!$AL$23,0),0))/Lookup_Lists!$D$317*100,0)))),Lookup_Lists!$D$120,0))=0,"N/A",ROUND((IF(ISNUMBER(IF(NOT(ISNUMBER('[1]#REF'!$AE$23)),"N/A",IF('[1]#REF'!$AD$23&lt;&gt;Brand_Profile!$I$14,Lookup_Lists!$D$151,MIN(100,ROUND('[1]#REF'!$AE$23/Lookup_Lists!$D$316*100,0))))),IF(NOT(ISNUMBER('[1]#REF'!$AE$23)),"N/A",IF('[1]#REF'!$AD$23&lt;&gt;Brand_Profile!$I$14,Lookup_Lists!$D$151,MIN(100,ROUND('[1]#REF'!$AE$23/Lookup_Lists!$D$316*100,0))))*Lookup_Lists!$D$118,0)+IF(ISNUMBER(IF(NOT(ISNUMBER('[1]#REF'!$AM$23)),"N/A",MIN(100,ROUND((IF('[1]#REF'!$AG$23=Brand_Profile!$I$15,IF(ISNUMBER('[1]#REF'!$AH$23),'[1]#REF'!$AH$23,0),0)+IF('[1]#REF'!$AI$23=Brand_Profile!$I$15,IF(ISNUMBER('[1]#REF'!$AJ$23),'[1]#REF'!$AJ$23,0),0)+IF('[1]#REF'!$AK$23=Brand_Profile!$I$15,IF(ISNUMBER('[1]#REF'!$AL$23),'[1]#REF'!$AL$23,0),0))/Lookup_Lists!$D$317*100,0)))),IF(NOT(ISNUMBER('[1]#REF'!$AM$23)),"N/A",MIN(100,ROUND((IF('[1]#REF'!$AG$23=Brand_Profile!$I$15,IF(ISNUMBER('[1]#REF'!$AH$23),'[1]#REF'!$AH$23,0),0)+IF('[1]#REF'!$AI$23=Brand_Profile!$I$15,IF(ISNUMBER('[1]#REF'!$AJ$23),'[1]#REF'!$AJ$23,0),0)+IF('[1]#REF'!$AK$23=Brand_Profile!$I$15,IF(ISNUMBER('[1]#REF'!$AL$23),'[1]#REF'!$AL$23,0),0))/Lookup_Lists!$D$317*100,0)))*Lookup_Lists!$D$120,0))/(IF(ISNUMBER(IF(NOT(ISNUMBER('[1]#REF'!$AE$23)),"N/A",IF('[1]#REF'!$AD$23&lt;&gt;Brand_Profile!$I$14,Lookup_Lists!$D$151,MIN(100,ROUND('[1]#REF'!$AE$23/Lookup_Lists!$D$316*100,0))))),Lookup_Lists!$D$118,0)+IF(ISNUMBER(IF(NOT(ISNUMBER('[1]#REF'!$AM$23)),"N/A",MIN(100,ROUND((IF('[1]#REF'!$AG$23=Brand_Profile!$I$15,IF(ISNUMBER('[1]#REF'!$AH$23),'[1]#REF'!$AH$23,0),0)+IF('[1]#REF'!$AI$23=Brand_Profile!$I$15,IF(ISNUMBER('[1]#REF'!$AJ$23),'[1]#REF'!$AJ$23,0),0)+IF('[1]#REF'!$AK$23=Brand_Profile!$I$15,IF(ISNUMBER('[1]#REF'!$AL$23),'[1]#REF'!$AL$23,0),0))/Lookup_Lists!$D$317*100,0)))),Lookup_Lists!$D$120,0)),0))</f>
        <v>N/A</v>
      </c>
      <c r="R119" s="65" t="str">
        <f>IF(NOT(ISNUMBER('[1]#REF'!$AN$23)),"N/A",MIN(100,ROUND((IF(ISNUMBER('[1]#REF'!$AO$23),'[1]#REF'!$AO$23*Brand_Profile!$I$17,0)+IF(ISNUMBER('[1]#REF'!$AP$23),'[1]#REF'!$AP$23*Brand_Profile!$I$18,0)+IF(ISNUMBER('[1]#REF'!$AQ$23),'[1]#REF'!$AQ$23*Brand_Profile!$I$19,0)+IF(ISNUMBER('[1]#REF'!$AR$23),'[1]#REF'!$AR$23*Brand_Profile!$I$20,0)+IF(ISNUMBER('[1]#REF'!$AS$23),'[1]#REF'!$AS$23*Brand_Profile!$I$21,0)+IF(ISNUMBER('[1]#REF'!$AT$23),'[1]#REF'!$AT$23*Brand_Profile!$I$22,0)+IF(ISNUMBER('[1]#REF'!$AU$23),'[1]#REF'!$AU$23*Brand_Profile!$I$23,0)+IF(ISNUMBER('[1]#REF'!$AV$23),'[1]#REF'!$AV$23*Brand_Profile!$I$24,0)+IF(ISNUMBER('[1]#REF'!$AW$23),'[1]#REF'!$AW$23*Brand_Profile!$I$25,0)+IF(ISNUMBER('[1]#REF'!$AX$23),'[1]#REF'!$AX$23*Brand_Profile!$I$26,0)+IF(ISNUMBER('[1]#REF'!$AY$23),'[1]#REF'!$AY$23*Brand_Profile!$I$27,0)+IF(ISNUMBER('[1]#REF'!$AZ$23),'[1]#REF'!$AZ$23*Brand_Profile!$I$28,0)+IF(ISNUMBER('[1]#REF'!$BA$23),'[1]#REF'!$BA$23*Brand_Profile!$I$29,0)+IF(ISNUMBER('[1]#REF'!$BB$23),'[1]#REF'!$BB$23*Brand_Profile!$I$30,0)+IF(ISNUMBER('[1]#REF'!$BC$23),'[1]#REF'!$BC$23*Brand_Profile!$I$31,0)+IF(ISNUMBER('[1]#REF'!$BD$23),'[1]#REF'!$BD$23*Brand_Profile!$I$32,0)+IF(ISNUMBER('[1]#REF'!$BE$23),'[1]#REF'!$BE$23*Brand_Profile!$I$33,0)+IF(ISNUMBER('[1]#REF'!$BF$23),'[1]#REF'!$BF$23*Brand_Profile!$I$34,0))/Lookup_Lists!$D$318*100,0)))</f>
        <v>N/A</v>
      </c>
      <c r="S119" s="63" t="str">
        <f>IF((IF(ISNUMBER(Matching_Engine!$O$119),Lookup_Lists!$D$113,0)+IF(ISNUMBER(Matching_Engine!$P$119),Lookup_Lists!$D$114,0)+IF(ISNUMBER(Matching_Engine!$Q$119),Lookup_Lists!$D$115,0)+IF(ISNUMBER(Matching_Engine!$R$119),Lookup_Lists!$D$116,0))=0,"N/A",ROUND((IF(ISNUMBER(Matching_Engine!$O$119),Matching_Engine!$O$119*Lookup_Lists!$D$113,0)+IF(ISNUMBER(Matching_Engine!$P$119),Matching_Engine!$P$119*Lookup_Lists!$D$114,0)+IF(ISNUMBER(Matching_Engine!$Q$119),Matching_Engine!$Q$119*Lookup_Lists!$D$115,0)+IF(ISNUMBER(Matching_Engine!$R$119),Matching_Engine!$R$119*Lookup_Lists!$D$116,0))/(IF(ISNUMBER(Matching_Engine!$O$119),Lookup_Lists!$D$113,0)+IF(ISNUMBER(Matching_Engine!$P$119),Lookup_Lists!$D$114,0)+IF(ISNUMBER(Matching_Engine!$Q$119),Lookup_Lists!$D$115,0)+IF(ISNUMBER(Matching_Engine!$R$119),Lookup_Lists!$D$116,0)),0))</f>
        <v>N/A</v>
      </c>
      <c r="T119" s="42">
        <f>IF(ISNUMBER(Matching_Engine!$S$119),1,0)</f>
        <v>0</v>
      </c>
      <c r="U119" s="65" t="e">
        <f>IF(NOT(AND(ISTEXT('[1]#REF'!$M$23),'[1]#REF'!$M$23&lt;&gt;"N/A")),Lookup_Lists!$D$150,IF(Brand_Profile!$I$7='[1]#REF'!$M$23,100,IFERROR(INDEX(Lookup_Lists!$B$349:$J$357,MATCH(Brand_Profile!$I$7,Lookup_Lists!$A$349:$A$357,0),MATCH('[1]#REF'!$M$23,Lookup_Lists!$B$348:$J$348,0)),Lookup_Lists!$D$151)))</f>
        <v>#REF!</v>
      </c>
      <c r="V119" s="65" t="e">
        <f>IF(NOT(AND(ISTEXT('[1]#REF'!$P$23),'[1]#REF'!$P$23&lt;&gt;"N/A")),"N/A",IFERROR(INDEX(Lookup_Lists!$B$349:$J$357,MATCH(Brand_Profile!$I$7,Lookup_Lists!$A$349:$A$357,0),MATCH('[1]#REF'!$P$23,Lookup_Lists!$B$348:$J$348,0)),Lookup_Lists!$D$151))</f>
        <v>#REF!</v>
      </c>
      <c r="W119" s="65" t="str">
        <f>IF(LEN(TRIM(SUBSTITUTE(Matching_Engine!$BE$119,"|","")))=0,"N/A",IF(Brand_Profile!$I$60=0,Lookup_Lists!$D$150,ROUND((IF(Brand_Profile!$I$54="",0,IF(ISNUMBER(SEARCH(Brand_Profile!$I$54,Matching_Engine!$BE$119)),1,0))+IF(Brand_Profile!$I$55="",0,IF(ISNUMBER(SEARCH(Brand_Profile!$I$55,Matching_Engine!$BE$119)),1,0))+IF(Brand_Profile!$I$56="",0,IF(ISNUMBER(SEARCH(Brand_Profile!$I$56,Matching_Engine!$BE$119)),1,0))+IF(Brand_Profile!$I$57="",0,IF(ISNUMBER(SEARCH(Brand_Profile!$I$57,Matching_Engine!$BE$119)),1,0))+IF(Brand_Profile!$I$58="",0,IF(ISNUMBER(SEARCH(Brand_Profile!$I$58,Matching_Engine!$BE$119)),1,0))+IF(Brand_Profile!$I$59="",0,IF(ISNUMBER(SEARCH(Brand_Profile!$I$59,Matching_Engine!$BE$119)),1,0)))/Brand_Profile!$I$60*100,0)))</f>
        <v>N/A</v>
      </c>
      <c r="X119" s="65" t="e">
        <f>IF(NOT(AND(ISTEXT('[1]#REF'!$Q$23),'[1]#REF'!$Q$23&lt;&gt;"N/A")),"N/A",Lookup_Lists!$D$150)</f>
        <v>#REF!</v>
      </c>
      <c r="Y119" s="63" t="str">
        <f>IF((IF(ISNUMBER(Matching_Engine!$U$119),Lookup_Lists!$D$335,0)+IF(ISNUMBER(Matching_Engine!$V$119),Lookup_Lists!$D$122,0)+IF(ISNUMBER(Matching_Engine!$W$119),Lookup_Lists!$D$336,0)+IF(ISNUMBER(Matching_Engine!$X$119),Lookup_Lists!$D$124,0))=0,"N/A",ROUND((IF(ISNUMBER(Matching_Engine!$U$119),Matching_Engine!$U$119*Lookup_Lists!$D$335,0)+IF(ISNUMBER(Matching_Engine!$V$119),Matching_Engine!$V$119*Lookup_Lists!$D$122,0)+IF(ISNUMBER(Matching_Engine!$W$119),Matching_Engine!$W$119*Lookup_Lists!$D$336,0)+IF(ISNUMBER(Matching_Engine!$X$119),Matching_Engine!$X$119*Lookup_Lists!$D$124,0))/(IF(ISNUMBER(Matching_Engine!$U$119),Lookup_Lists!$D$335,0)+IF(ISNUMBER(Matching_Engine!$V$119),Lookup_Lists!$D$122,0)+IF(ISNUMBER(Matching_Engine!$W$119),Lookup_Lists!$D$336,0)+IF(ISNUMBER(Matching_Engine!$X$119),Lookup_Lists!$D$124,0)),0))</f>
        <v>N/A</v>
      </c>
      <c r="Z119" s="42">
        <f>IF(ISNUMBER(Matching_Engine!$Y$119),1,0)</f>
        <v>0</v>
      </c>
      <c r="AA119" s="65" t="e">
        <f>IF(NOT(AND(ISTEXT('[1]#REF'!$Q$23),'[1]#REF'!$Q$23&lt;&gt;"N/A")),"N/A",Lookup_Lists!$D$150)</f>
        <v>#REF!</v>
      </c>
      <c r="AB119" s="65" t="e">
        <f>IF(NOT(AND(ISTEXT('[1]#REF'!$Q$23),'[1]#REF'!$Q$23&lt;&gt;"N/A")),"N/A",Lookup_Lists!$D$150)</f>
        <v>#REF!</v>
      </c>
      <c r="AC119" s="65" t="str">
        <f t="shared" si="1"/>
        <v>N/A</v>
      </c>
      <c r="AD119" s="65" t="e">
        <f>IF(NOT(AND(ISTEXT('[1]#REF'!$Q$23),'[1]#REF'!$Q$23&lt;&gt;"N/A")),"N/A",Lookup_Lists!$D$150)</f>
        <v>#REF!</v>
      </c>
      <c r="AE119" s="63" t="str">
        <f>IF((IF(ISNUMBER(Matching_Engine!$AA$119),Lookup_Lists!$D$125,0)+IF(ISNUMBER(Matching_Engine!$AB$119),Lookup_Lists!$D$126,0)+IF(ISNUMBER(Matching_Engine!$AC$119),Lookup_Lists!$D$127,0)+IF(ISNUMBER(Matching_Engine!$AD$119),Lookup_Lists!$D$128,0))=0,"N/A",ROUND((IF(ISNUMBER(Matching_Engine!$AA$119),Matching_Engine!$AA$119*Lookup_Lists!$D$125,0)+IF(ISNUMBER(Matching_Engine!$AB$119),Matching_Engine!$AB$119*Lookup_Lists!$D$126,0)+IF(ISNUMBER(Matching_Engine!$AC$119),Matching_Engine!$AC$119*Lookup_Lists!$D$127,0)+IF(ISNUMBER(Matching_Engine!$AD$119),Matching_Engine!$AD$119*Lookup_Lists!$D$128,0))/(IF(ISNUMBER(Matching_Engine!$AA$119),Lookup_Lists!$D$125,0)+IF(ISNUMBER(Matching_Engine!$AB$119),Lookup_Lists!$D$126,0)+IF(ISNUMBER(Matching_Engine!$AC$119),Lookup_Lists!$D$127,0)+IF(ISNUMBER(Matching_Engine!$AD$119),Lookup_Lists!$D$128,0)),0))</f>
        <v>N/A</v>
      </c>
      <c r="AF119" s="42">
        <f>IF(ISNUMBER(Matching_Engine!$AE$119),1,0)</f>
        <v>0</v>
      </c>
      <c r="AG119" s="65" t="str">
        <f>IF(NOT(ISNUMBER('[1]#REF'!$BG$23)),"N/A",MIN(100,ROUND('[1]#REF'!$BG$23/IFERROR(INDEX(Lookup_Lists!$B$340:$B$344,MATCH('[1]#REF'!$H$23,Lookup_Lists!$A$340:$A$344,0)),Lookup_Lists!$D$141)*100,0)))</f>
        <v>N/A</v>
      </c>
      <c r="AH119" s="65" t="str">
        <f>IF(NOT(ISNUMBER('[1]#REF'!$BS$23)),"N/A",MIN(100,MAX(0,'[1]#REF'!$BS$23)))</f>
        <v>N/A</v>
      </c>
      <c r="AI119" s="65" t="e">
        <f>IF(OR(NOT(ISNUMBER('[1]#REF'!$BM$23)),NOT(ISNUMBER('[1]#REF'!$BN$23)),'[1]#REF'!$BN$23&lt;Lookup_Lists!$D$320),"N/A",MIN(100,ROUND('[1]#REF'!$BM$23/Lookup_Lists!$D$319*100,0)))</f>
        <v>#REF!</v>
      </c>
      <c r="AJ119" s="65" t="str">
        <f>IF(NOT(ISNUMBER('[1]#REF'!$BR$23)),"N/A",'[1]#REF'!$BR$23)</f>
        <v>N/A</v>
      </c>
      <c r="AK119" s="65" t="str">
        <f>IF(NOT(ISNUMBER('[1]#REF'!$BK$23)),"N/A",MIN(100,ROUND('[1]#REF'!$BK$23/Lookup_Lists!$D$321*100,0)))</f>
        <v>N/A</v>
      </c>
      <c r="AL119" s="65" t="str">
        <f>IF(NOT(ISNUMBER('[1]#REF'!$BP$23)),"N/A",MIN(100,MAX(0,ROUND(('[1]#REF'!$BP$23+2)/(Lookup_Lists!$D$145+2)*100,0))))</f>
        <v>N/A</v>
      </c>
      <c r="AM119" s="63" t="str">
        <f>IF((IF(ISNUMBER(Matching_Engine!$AG$119),Lookup_Lists!$D$129,0)+IF(ISNUMBER(Matching_Engine!$AH$119),Lookup_Lists!$D$130,0)+IF(ISNUMBER(Matching_Engine!$AI$119),Lookup_Lists!$D$131,0)+IF(ISNUMBER(Matching_Engine!$AJ$119),Lookup_Lists!$D$132,0)+IF(ISNUMBER(Matching_Engine!$AK$119),Lookup_Lists!$D$133,0)+IF(ISNUMBER(Matching_Engine!$AL$119),Lookup_Lists!$D$134,0))=0,"N/A",ROUND((IF(ISNUMBER(Matching_Engine!$AG$119),Matching_Engine!$AG$119*Lookup_Lists!$D$129,0)+IF(ISNUMBER(Matching_Engine!$AH$119),Matching_Engine!$AH$119*Lookup_Lists!$D$130,0)+IF(ISNUMBER(Matching_Engine!$AI$119),Matching_Engine!$AI$119*Lookup_Lists!$D$131,0)+IF(ISNUMBER(Matching_Engine!$AJ$119),Matching_Engine!$AJ$119*Lookup_Lists!$D$132,0)+IF(ISNUMBER(Matching_Engine!$AK$119),Matching_Engine!$AK$119*Lookup_Lists!$D$133,0)+IF(ISNUMBER(Matching_Engine!$AL$119),Matching_Engine!$AL$119*Lookup_Lists!$D$134,0))/(IF(ISNUMBER(Matching_Engine!$AG$119),Lookup_Lists!$D$129,0)+IF(ISNUMBER(Matching_Engine!$AH$119),Lookup_Lists!$D$130,0)+IF(ISNUMBER(Matching_Engine!$AI$119),Lookup_Lists!$D$131,0)+IF(ISNUMBER(Matching_Engine!$AJ$119),Lookup_Lists!$D$132,0)+IF(ISNUMBER(Matching_Engine!$AK$119),Lookup_Lists!$D$133,0)+IF(ISNUMBER(Matching_Engine!$AL$119),Lookup_Lists!$D$134,0)),0))</f>
        <v>N/A</v>
      </c>
      <c r="AN119" s="42">
        <f>IF(ISNUMBER(Matching_Engine!$AM$119),1,0)</f>
        <v>0</v>
      </c>
      <c r="AO119" s="65" t="str">
        <f>IF(NOT(ISNUMBER('[1]#REF'!$BT$23)),"N/A",MIN(100,MAX(0,'[1]#REF'!$BT$23)))</f>
        <v>N/A</v>
      </c>
      <c r="AP119" s="65" t="str">
        <f>IF(NOT(ISNUMBER('[1]#REF'!$BU$23)),"N/A",MIN(100,MAX(0,'[1]#REF'!$BU$23)))</f>
        <v>N/A</v>
      </c>
      <c r="AQ119" s="65" t="e">
        <f>IF('[1]#REF'!$I$23="Yes",Lookup_Lists!$D$326,IF('[1]#REF'!$I$23="No",Lookup_Lists!$D$327,"N/A"))</f>
        <v>#REF!</v>
      </c>
      <c r="AR119" s="65" t="str">
        <f>IF(NOT(ISNUMBER('[1]#REF'!$BQ$23)),"N/A",MAX(0,ROUND(100-'[1]#REF'!$BQ$23/Lookup_Lists!$D$328*100,0)))</f>
        <v>N/A</v>
      </c>
      <c r="AS119" s="65" t="e">
        <f>IF(NOT(AND(ISTEXT('[1]#REF'!$BV$23),'[1]#REF'!$BV$23&lt;&gt;"N/A")),"N/A",'[1]#REF'!$BV$23)</f>
        <v>#REF!</v>
      </c>
      <c r="AT119" s="63" t="str">
        <f>IF((IF(ISNUMBER(Matching_Engine!$AO$119),Lookup_Lists!$D$322,0)+IF(ISNUMBER(Matching_Engine!$AP$119),Lookup_Lists!$D$323,0)+IF(ISNUMBER(Matching_Engine!$AQ$119),Lookup_Lists!$D$324,0)+IF(ISNUMBER(Matching_Engine!$AR$119),Lookup_Lists!$D$325,0))=0,"N/A",ROUND((IF(ISNUMBER(Matching_Engine!$AO$119),Matching_Engine!$AO$119*Lookup_Lists!$D$322,0)+IF(ISNUMBER(Matching_Engine!$AP$119),Matching_Engine!$AP$119*Lookup_Lists!$D$323,0)+IF(ISNUMBER(Matching_Engine!$AQ$119),Matching_Engine!$AQ$119*Lookup_Lists!$D$324,0)+IF(ISNUMBER(Matching_Engine!$AR$119),Matching_Engine!$AR$119*Lookup_Lists!$D$325,0))/(IF(ISNUMBER(Matching_Engine!$AO$119),Lookup_Lists!$D$322,0)+IF(ISNUMBER(Matching_Engine!$AP$119),Lookup_Lists!$D$323,0)+IF(ISNUMBER(Matching_Engine!$AQ$119),Lookup_Lists!$D$324,0)+IF(ISNUMBER(Matching_Engine!$AR$119),Lookup_Lists!$D$325,0)),0))</f>
        <v>N/A</v>
      </c>
      <c r="AU119" s="42">
        <f>IF(ISNUMBER(Matching_Engine!$AT$119),1,0)</f>
        <v>0</v>
      </c>
      <c r="AV119" s="42" t="str">
        <f>IF(NOT(ISNUMBER(Matching_Engine!$AT$119)),"Not Screened",IF(Matching_Engine!$AT$119&gt;=Lookup_Lists!$D$329,"Low Risk",IF(Matching_Engine!$AT$119&gt;=Lookup_Lists!$D$330,"Moderate Risk",IF(Matching_Engine!$AT$119&gt;=Lookup_Lists!$D$331,"Elevated Risk","High Risk"))))</f>
        <v>Not Screened</v>
      </c>
      <c r="AW119" s="42" t="str">
        <f>IF(NOT(ISNUMBER(Matching_Engine!$AT$119)),"No integrity signal: no audience-analysis row for this account.","Integrity screen only — no content-risk reading exists (comments_analysis: 0 rows). "&amp;IF(ISNUMBER(Matching_Engine!$AO$119),"Authenticity "&amp;Matching_Engine!$AO$119&amp;". ","Authenticity N/A. ")&amp;IF(ISNUMBER(Matching_Engine!$AP$119),"Follower quality "&amp;Matching_Engine!$AP$119&amp;". ","Follower quality N/A. ")&amp;IF('[1]#REF'!$I$23="Yes","Platform-verified.","Not platform-verified."))</f>
        <v>No integrity signal: no audience-analysis row for this account.</v>
      </c>
      <c r="AX119" s="65">
        <f>Matching_Engine!$N$119*Lookup_Lists!$D$104+Matching_Engine!$T$119*Lookup_Lists!$D$105+Matching_Engine!$Z$119*Lookup_Lists!$D$106+Matching_Engine!$AF$119*Lookup_Lists!$D$107+Matching_Engine!$AN$119*Lookup_Lists!$D$108+Matching_Engine!$AU$119*Lookup_Lists!$D$109</f>
        <v>0</v>
      </c>
      <c r="AY119" s="74" t="str">
        <f>IF(Matching_Engine!$AX$119=0,"N/A",ROUND((IF(Matching_Engine!$N$119=1,Matching_Engine!$M$119*Lookup_Lists!$D$104,0)+IF(Matching_Engine!$T$119=1,Matching_Engine!$S$119*Lookup_Lists!$D$105,0)+IF(Matching_Engine!$Z$119=1,Matching_Engine!$Y$119*Lookup_Lists!$D$106,0)+IF(Matching_Engine!$AF$119=1,Matching_Engine!$AE$119*Lookup_Lists!$D$107,0)+IF(Matching_Engine!$AN$119=1,Matching_Engine!$AM$119*Lookup_Lists!$D$108,0)+IF(Matching_Engine!$AU$119=1,Matching_Engine!$AT$119*Lookup_Lists!$D$109,0))/Matching_Engine!$AX$119,0))</f>
        <v>N/A</v>
      </c>
      <c r="AZ119" s="42" t="str">
        <f>IF(NOT(ISNUMBER(Matching_Engine!$AY$119)),"Not Scored",IF(Matching_Engine!$AY$119&gt;=Lookup_Lists!$D$152,"Excellent Match",IF(Matching_Engine!$AY$119&gt;=Lookup_Lists!$D$153,"Strong Match",IF(Matching_Engine!$AY$119&gt;=Lookup_Lists!$D$154,"Good Match",IF(Matching_Engine!$AY$119&gt;=Lookup_Lists!$D$155,"Moderate Match","Low Match")))))</f>
        <v>Not Scored</v>
      </c>
      <c r="BA119" s="65" t="e">
        <f>'[1]#REF'!$BW$23</f>
        <v>#REF!</v>
      </c>
      <c r="BB119" s="42" t="e">
        <f>'[1]#REF'!$BX$23</f>
        <v>#REF!</v>
      </c>
      <c r="BC119" s="65">
        <f>IF(NOT(ISNUMBER(Matching_Engine!$AY$119)),-1,Matching_Engine!$AY$119*1000+7)</f>
        <v>-1</v>
      </c>
      <c r="BD119" s="42" t="e">
        <f>IF(AND(ISTEXT('[1]#REF'!$S$23),'[1]#REF'!$S$23&lt;&gt;"N/A"),'[1]#REF'!$S$23,"")&amp;" | "&amp;IF(AND(ISTEXT('[1]#REF'!$T$23),'[1]#REF'!$T$23&lt;&gt;"N/A"),'[1]#REF'!$T$23,"")&amp;" | "&amp;IF(AND(ISTEXT('[1]#REF'!$N$23),'[1]#REF'!$N$23&lt;&gt;"N/A"),'[1]#REF'!$N$23,"")&amp;" | "&amp;IF(AND(ISTEXT('[1]#REF'!$K$23),'[1]#REF'!$K$23&lt;&gt;"N/A"),'[1]#REF'!$K$23,"")&amp;" | "&amp;IF(AND(ISTEXT('[1]#REF'!$J$23),'[1]#REF'!$J$23&lt;&gt;"N/A"),'[1]#REF'!$J$23,"")</f>
        <v>#REF!</v>
      </c>
      <c r="BE119" s="42" t="e">
        <f>IF(AND(ISTEXT('[1]#REF'!$T$23),'[1]#REF'!$T$23&lt;&gt;"N/A"),'[1]#REF'!$T$23,"")&amp;" | "&amp;IF(AND(ISTEXT('[1]#REF'!$N$23),'[1]#REF'!$N$23&lt;&gt;"N/A"),'[1]#REF'!$N$23,"")&amp;" | "&amp;IF(AND(ISTEXT('[1]#REF'!$O$23),'[1]#REF'!$O$23&lt;&gt;"N/A"),'[1]#REF'!$O$23,"")&amp;" | "&amp;IF(AND(ISTEXT('[1]#REF'!$S$23),'[1]#REF'!$S$23&lt;&gt;"N/A"),'[1]#REF'!$S$23,"")</f>
        <v>#REF!</v>
      </c>
      <c r="BF119" s="42" t="e">
        <f>IF(AND(ISTEXT('[1]#REF'!$U$23),'[1]#REF'!$U$23&lt;&gt;"N/A"),'[1]#REF'!$U$23,"")</f>
        <v>#REF!</v>
      </c>
      <c r="BG119" s="42" t="str">
        <f>Matching_Engine!$A$119&amp;"|"&amp;Matching_Engine!$C$119</f>
        <v>|</v>
      </c>
    </row>
    <row r="120" spans="1:59">
      <c r="A120" s="64" t="s">
        <v>2531</v>
      </c>
      <c r="B120" s="42">
        <f>Brand_Profile!$I$6</f>
        <v>0</v>
      </c>
      <c r="C120" s="42" t="e">
        <f>'[1]#REF'!$A$24</f>
        <v>#REF!</v>
      </c>
      <c r="D120" s="42" t="e">
        <f>'[1]#REF'!$C$24</f>
        <v>#REF!</v>
      </c>
      <c r="E120" s="42" t="e">
        <f>'[1]#REF'!$D$24</f>
        <v>#REF!</v>
      </c>
      <c r="F120" s="42" t="e">
        <f>'[1]#REF'!$E$24</f>
        <v>#REF!</v>
      </c>
      <c r="G120" s="42" t="e">
        <f>'[1]#REF'!$K$24</f>
        <v>#REF!</v>
      </c>
      <c r="H120" s="72" t="e">
        <f>'[1]#REF'!$G$24</f>
        <v>#REF!</v>
      </c>
      <c r="I120" s="73" t="e">
        <f>'[1]#REF'!$BG$24</f>
        <v>#REF!</v>
      </c>
      <c r="J120" s="65" t="e">
        <f>IF(NOT(AND(ISTEXT('[1]#REF'!$K$24),'[1]#REF'!$K$24&lt;&gt;"N/A")),Lookup_Lists!$D$150,IF(Brand_Profile!$I$7='[1]#REF'!$K$24,100,IFERROR(INDEX(Lookup_Lists!$B$349:$J$357,MATCH(Brand_Profile!$I$7,Lookup_Lists!$A$349:$A$357,0),MATCH('[1]#REF'!$K$24,Lookup_Lists!$B$348:$J$348,0)),Lookup_Lists!$D$151)))</f>
        <v>#REF!</v>
      </c>
      <c r="K120" s="65" t="str">
        <f>IF(LEN(TRIM(SUBSTITUTE(Matching_Engine!$BD$120,"|","")))=0,"N/A",IF(Brand_Profile!$I$47=0,Lookup_Lists!$D$150,ROUND((IF(Brand_Profile!$I$41="",0,IF(ISNUMBER(SEARCH(Brand_Profile!$I$41,Matching_Engine!$BD$120)),1,0))+IF(Brand_Profile!$I$42="",0,IF(ISNUMBER(SEARCH(Brand_Profile!$I$42,Matching_Engine!$BD$120)),1,0))+IF(Brand_Profile!$I$43="",0,IF(ISNUMBER(SEARCH(Brand_Profile!$I$43,Matching_Engine!$BD$120)),1,0))+IF(Brand_Profile!$I$44="",0,IF(ISNUMBER(SEARCH(Brand_Profile!$I$44,Matching_Engine!$BD$120)),1,0))+IF(Brand_Profile!$I$45="",0,IF(ISNUMBER(SEARCH(Brand_Profile!$I$45,Matching_Engine!$BD$120)),1,0))+IF(Brand_Profile!$I$46="",0,IF(ISNUMBER(SEARCH(Brand_Profile!$I$46,Matching_Engine!$BD$120)),1,0)))/Brand_Profile!$I$47*100,0)))</f>
        <v>N/A</v>
      </c>
      <c r="L120" s="65" t="e">
        <f>IF(NOT(AND(ISTEXT('[1]#REF'!$U$24),'[1]#REF'!$U$24&lt;&gt;"N/A")),"N/A",IF(Brand_Profile!$I$53=0,Lookup_Lists!$D$150,ROUND((IF(Brand_Profile!$I$48="",0,IF(ISNUMBER(SEARCH(Brand_Profile!$I$48,Matching_Engine!$BF$120)),1,0))+IF(Brand_Profile!$I$49="",0,IF(ISNUMBER(SEARCH(Brand_Profile!$I$49,Matching_Engine!$BF$120)),1,0))+IF(Brand_Profile!$I$50="",0,IF(ISNUMBER(SEARCH(Brand_Profile!$I$50,Matching_Engine!$BF$120)),1,0))+IF(Brand_Profile!$I$51="",0,IF(ISNUMBER(SEARCH(Brand_Profile!$I$51,Matching_Engine!$BF$120)),1,0))+IF(Brand_Profile!$I$52="",0,IF(ISNUMBER(SEARCH(Brand_Profile!$I$52,Matching_Engine!$BF$120)),1,0)))/Brand_Profile!$I$53*100,0)))</f>
        <v>#REF!</v>
      </c>
      <c r="M120" s="63" t="str">
        <f>IF((IF(ISNUMBER(Matching_Engine!$J$120),Lookup_Lists!$D$332,0)+IF(ISNUMBER(Matching_Engine!$K$120),Lookup_Lists!$D$333,0)+IF(ISNUMBER(Matching_Engine!$L$120),Lookup_Lists!$D$334,0))=0,"N/A",ROUND((IF(ISNUMBER(Matching_Engine!$J$120),Matching_Engine!$J$120*Lookup_Lists!$D$332,0)+IF(ISNUMBER(Matching_Engine!$K$120),Matching_Engine!$K$120*Lookup_Lists!$D$333,0)+IF(ISNUMBER(Matching_Engine!$L$120),Matching_Engine!$L$120*Lookup_Lists!$D$334,0))/(IF(ISNUMBER(Matching_Engine!$J$120),Lookup_Lists!$D$332,0)+IF(ISNUMBER(Matching_Engine!$K$120),Lookup_Lists!$D$333,0)+IF(ISNUMBER(Matching_Engine!$L$120),Lookup_Lists!$D$334,0)),0))</f>
        <v>N/A</v>
      </c>
      <c r="N120" s="42">
        <f>IF(ISNUMBER(Matching_Engine!$M$120),1,0)</f>
        <v>0</v>
      </c>
      <c r="O120" s="65" t="str">
        <f ca="1">IF(NOT(ISNUMBER(IFERROR(INDEX('[1]#REF'!$V$24:'[1]#REF'!$Z$24,1,MATCH(Brand_Profile!$I$11,Lookup_Lists!$F$6:$F$10,0)),""))),"N/A",MIN(100,ROUND((IFERROR(INDEX('[1]#REF'!$V$24:'[1]#REF'!$Z$24,1,MATCH(Brand_Profile!$I$11,Lookup_Lists!$F$6:$F$10,0)),"")+0.5*IF(ISNUMBER(IFERROR(INDEX('[1]#REF'!$V$24:'[1]#REF'!$Z$24,1,MATCH(Brand_Profile!$I$12,Lookup_Lists!$F$6:$F$10,0)),"")),IFERROR(INDEX('[1]#REF'!$V$24:'[1]#REF'!$Z$24,1,MATCH(Brand_Profile!$I$12,Lookup_Lists!$F$6:$F$10,0)),""),0))/Lookup_Lists!$D$142*100,0)))</f>
        <v>N/A</v>
      </c>
      <c r="P120" s="65" t="str">
        <f>IF(Brand_Profile!$I$13="Any",100,IF(NOT(ISNUMBER('[1]#REF'!$AA$24)),"N/A",IF(Brand_Profile!$I$13="Female",MIN(100,ROUND('[1]#REF'!$AA$24/Lookup_Lists!$D$143*100,0)),IF(Brand_Profile!$I$13="Male",MIN(100,ROUND(IF(ISNUMBER('[1]#REF'!$AB$24),'[1]#REF'!$AB$24,100-'[1]#REF'!$AA$24)/Lookup_Lists!$D$143*100,0)),MAX(0,ROUND(100-ABS('[1]#REF'!$AA$24-50)*2,0))))))</f>
        <v>N/A</v>
      </c>
      <c r="Q120" s="65" t="str">
        <f>IF((IF(ISNUMBER(IF(NOT(ISNUMBER('[1]#REF'!$AE$24)),"N/A",IF('[1]#REF'!$AD$24&lt;&gt;Brand_Profile!$I$14,Lookup_Lists!$D$151,MIN(100,ROUND('[1]#REF'!$AE$24/Lookup_Lists!$D$316*100,0))))),Lookup_Lists!$D$118,0)+IF(ISNUMBER(IF(NOT(ISNUMBER('[1]#REF'!$AM$24)),"N/A",MIN(100,ROUND((IF('[1]#REF'!$AG$24=Brand_Profile!$I$15,IF(ISNUMBER('[1]#REF'!$AH$24),'[1]#REF'!$AH$24,0),0)+IF('[1]#REF'!$AI$24=Brand_Profile!$I$15,IF(ISNUMBER('[1]#REF'!$AJ$24),'[1]#REF'!$AJ$24,0),0)+IF('[1]#REF'!$AK$24=Brand_Profile!$I$15,IF(ISNUMBER('[1]#REF'!$AL$24),'[1]#REF'!$AL$24,0),0))/Lookup_Lists!$D$317*100,0)))),Lookup_Lists!$D$120,0))=0,"N/A",ROUND((IF(ISNUMBER(IF(NOT(ISNUMBER('[1]#REF'!$AE$24)),"N/A",IF('[1]#REF'!$AD$24&lt;&gt;Brand_Profile!$I$14,Lookup_Lists!$D$151,MIN(100,ROUND('[1]#REF'!$AE$24/Lookup_Lists!$D$316*100,0))))),IF(NOT(ISNUMBER('[1]#REF'!$AE$24)),"N/A",IF('[1]#REF'!$AD$24&lt;&gt;Brand_Profile!$I$14,Lookup_Lists!$D$151,MIN(100,ROUND('[1]#REF'!$AE$24/Lookup_Lists!$D$316*100,0))))*Lookup_Lists!$D$118,0)+IF(ISNUMBER(IF(NOT(ISNUMBER('[1]#REF'!$AM$24)),"N/A",MIN(100,ROUND((IF('[1]#REF'!$AG$24=Brand_Profile!$I$15,IF(ISNUMBER('[1]#REF'!$AH$24),'[1]#REF'!$AH$24,0),0)+IF('[1]#REF'!$AI$24=Brand_Profile!$I$15,IF(ISNUMBER('[1]#REF'!$AJ$24),'[1]#REF'!$AJ$24,0),0)+IF('[1]#REF'!$AK$24=Brand_Profile!$I$15,IF(ISNUMBER('[1]#REF'!$AL$24),'[1]#REF'!$AL$24,0),0))/Lookup_Lists!$D$317*100,0)))),IF(NOT(ISNUMBER('[1]#REF'!$AM$24)),"N/A",MIN(100,ROUND((IF('[1]#REF'!$AG$24=Brand_Profile!$I$15,IF(ISNUMBER('[1]#REF'!$AH$24),'[1]#REF'!$AH$24,0),0)+IF('[1]#REF'!$AI$24=Brand_Profile!$I$15,IF(ISNUMBER('[1]#REF'!$AJ$24),'[1]#REF'!$AJ$24,0),0)+IF('[1]#REF'!$AK$24=Brand_Profile!$I$15,IF(ISNUMBER('[1]#REF'!$AL$24),'[1]#REF'!$AL$24,0),0))/Lookup_Lists!$D$317*100,0)))*Lookup_Lists!$D$120,0))/(IF(ISNUMBER(IF(NOT(ISNUMBER('[1]#REF'!$AE$24)),"N/A",IF('[1]#REF'!$AD$24&lt;&gt;Brand_Profile!$I$14,Lookup_Lists!$D$151,MIN(100,ROUND('[1]#REF'!$AE$24/Lookup_Lists!$D$316*100,0))))),Lookup_Lists!$D$118,0)+IF(ISNUMBER(IF(NOT(ISNUMBER('[1]#REF'!$AM$24)),"N/A",MIN(100,ROUND((IF('[1]#REF'!$AG$24=Brand_Profile!$I$15,IF(ISNUMBER('[1]#REF'!$AH$24),'[1]#REF'!$AH$24,0),0)+IF('[1]#REF'!$AI$24=Brand_Profile!$I$15,IF(ISNUMBER('[1]#REF'!$AJ$24),'[1]#REF'!$AJ$24,0),0)+IF('[1]#REF'!$AK$24=Brand_Profile!$I$15,IF(ISNUMBER('[1]#REF'!$AL$24),'[1]#REF'!$AL$24,0),0))/Lookup_Lists!$D$317*100,0)))),Lookup_Lists!$D$120,0)),0))</f>
        <v>N/A</v>
      </c>
      <c r="R120" s="65" t="str">
        <f>IF(NOT(ISNUMBER('[1]#REF'!$AN$24)),"N/A",MIN(100,ROUND((IF(ISNUMBER('[1]#REF'!$AO$24),'[1]#REF'!$AO$24*Brand_Profile!$I$17,0)+IF(ISNUMBER('[1]#REF'!$AP$24),'[1]#REF'!$AP$24*Brand_Profile!$I$18,0)+IF(ISNUMBER('[1]#REF'!$AQ$24),'[1]#REF'!$AQ$24*Brand_Profile!$I$19,0)+IF(ISNUMBER('[1]#REF'!$AR$24),'[1]#REF'!$AR$24*Brand_Profile!$I$20,0)+IF(ISNUMBER('[1]#REF'!$AS$24),'[1]#REF'!$AS$24*Brand_Profile!$I$21,0)+IF(ISNUMBER('[1]#REF'!$AT$24),'[1]#REF'!$AT$24*Brand_Profile!$I$22,0)+IF(ISNUMBER('[1]#REF'!$AU$24),'[1]#REF'!$AU$24*Brand_Profile!$I$23,0)+IF(ISNUMBER('[1]#REF'!$AV$24),'[1]#REF'!$AV$24*Brand_Profile!$I$24,0)+IF(ISNUMBER('[1]#REF'!$AW$24),'[1]#REF'!$AW$24*Brand_Profile!$I$25,0)+IF(ISNUMBER('[1]#REF'!$AX$24),'[1]#REF'!$AX$24*Brand_Profile!$I$26,0)+IF(ISNUMBER('[1]#REF'!$AY$24),'[1]#REF'!$AY$24*Brand_Profile!$I$27,0)+IF(ISNUMBER('[1]#REF'!$AZ$24),'[1]#REF'!$AZ$24*Brand_Profile!$I$28,0)+IF(ISNUMBER('[1]#REF'!$BA$24),'[1]#REF'!$BA$24*Brand_Profile!$I$29,0)+IF(ISNUMBER('[1]#REF'!$BB$24),'[1]#REF'!$BB$24*Brand_Profile!$I$30,0)+IF(ISNUMBER('[1]#REF'!$BC$24),'[1]#REF'!$BC$24*Brand_Profile!$I$31,0)+IF(ISNUMBER('[1]#REF'!$BD$24),'[1]#REF'!$BD$24*Brand_Profile!$I$32,0)+IF(ISNUMBER('[1]#REF'!$BE$24),'[1]#REF'!$BE$24*Brand_Profile!$I$33,0)+IF(ISNUMBER('[1]#REF'!$BF$24),'[1]#REF'!$BF$24*Brand_Profile!$I$34,0))/Lookup_Lists!$D$318*100,0)))</f>
        <v>N/A</v>
      </c>
      <c r="S120" s="63" t="str">
        <f>IF((IF(ISNUMBER(Matching_Engine!$O$120),Lookup_Lists!$D$113,0)+IF(ISNUMBER(Matching_Engine!$P$120),Lookup_Lists!$D$114,0)+IF(ISNUMBER(Matching_Engine!$Q$120),Lookup_Lists!$D$115,0)+IF(ISNUMBER(Matching_Engine!$R$120),Lookup_Lists!$D$116,0))=0,"N/A",ROUND((IF(ISNUMBER(Matching_Engine!$O$120),Matching_Engine!$O$120*Lookup_Lists!$D$113,0)+IF(ISNUMBER(Matching_Engine!$P$120),Matching_Engine!$P$120*Lookup_Lists!$D$114,0)+IF(ISNUMBER(Matching_Engine!$Q$120),Matching_Engine!$Q$120*Lookup_Lists!$D$115,0)+IF(ISNUMBER(Matching_Engine!$R$120),Matching_Engine!$R$120*Lookup_Lists!$D$116,0))/(IF(ISNUMBER(Matching_Engine!$O$120),Lookup_Lists!$D$113,0)+IF(ISNUMBER(Matching_Engine!$P$120),Lookup_Lists!$D$114,0)+IF(ISNUMBER(Matching_Engine!$Q$120),Lookup_Lists!$D$115,0)+IF(ISNUMBER(Matching_Engine!$R$120),Lookup_Lists!$D$116,0)),0))</f>
        <v>N/A</v>
      </c>
      <c r="T120" s="42">
        <f>IF(ISNUMBER(Matching_Engine!$S$120),1,0)</f>
        <v>0</v>
      </c>
      <c r="U120" s="65" t="e">
        <f>IF(NOT(AND(ISTEXT('[1]#REF'!$M$24),'[1]#REF'!$M$24&lt;&gt;"N/A")),Lookup_Lists!$D$150,IF(Brand_Profile!$I$7='[1]#REF'!$M$24,100,IFERROR(INDEX(Lookup_Lists!$B$349:$J$357,MATCH(Brand_Profile!$I$7,Lookup_Lists!$A$349:$A$357,0),MATCH('[1]#REF'!$M$24,Lookup_Lists!$B$348:$J$348,0)),Lookup_Lists!$D$151)))</f>
        <v>#REF!</v>
      </c>
      <c r="V120" s="65" t="e">
        <f>IF(NOT(AND(ISTEXT('[1]#REF'!$P$24),'[1]#REF'!$P$24&lt;&gt;"N/A")),"N/A",IFERROR(INDEX(Lookup_Lists!$B$349:$J$357,MATCH(Brand_Profile!$I$7,Lookup_Lists!$A$349:$A$357,0),MATCH('[1]#REF'!$P$24,Lookup_Lists!$B$348:$J$348,0)),Lookup_Lists!$D$151))</f>
        <v>#REF!</v>
      </c>
      <c r="W120" s="65" t="str">
        <f>IF(LEN(TRIM(SUBSTITUTE(Matching_Engine!$BE$120,"|","")))=0,"N/A",IF(Brand_Profile!$I$60=0,Lookup_Lists!$D$150,ROUND((IF(Brand_Profile!$I$54="",0,IF(ISNUMBER(SEARCH(Brand_Profile!$I$54,Matching_Engine!$BE$120)),1,0))+IF(Brand_Profile!$I$55="",0,IF(ISNUMBER(SEARCH(Brand_Profile!$I$55,Matching_Engine!$BE$120)),1,0))+IF(Brand_Profile!$I$56="",0,IF(ISNUMBER(SEARCH(Brand_Profile!$I$56,Matching_Engine!$BE$120)),1,0))+IF(Brand_Profile!$I$57="",0,IF(ISNUMBER(SEARCH(Brand_Profile!$I$57,Matching_Engine!$BE$120)),1,0))+IF(Brand_Profile!$I$58="",0,IF(ISNUMBER(SEARCH(Brand_Profile!$I$58,Matching_Engine!$BE$120)),1,0))+IF(Brand_Profile!$I$59="",0,IF(ISNUMBER(SEARCH(Brand_Profile!$I$59,Matching_Engine!$BE$120)),1,0)))/Brand_Profile!$I$60*100,0)))</f>
        <v>N/A</v>
      </c>
      <c r="X120" s="65" t="e">
        <f>IF(NOT(AND(ISTEXT('[1]#REF'!$Q$24),'[1]#REF'!$Q$24&lt;&gt;"N/A")),"N/A",Lookup_Lists!$D$150)</f>
        <v>#REF!</v>
      </c>
      <c r="Y120" s="63" t="str">
        <f>IF((IF(ISNUMBER(Matching_Engine!$U$120),Lookup_Lists!$D$335,0)+IF(ISNUMBER(Matching_Engine!$V$120),Lookup_Lists!$D$122,0)+IF(ISNUMBER(Matching_Engine!$W$120),Lookup_Lists!$D$336,0)+IF(ISNUMBER(Matching_Engine!$X$120),Lookup_Lists!$D$124,0))=0,"N/A",ROUND((IF(ISNUMBER(Matching_Engine!$U$120),Matching_Engine!$U$120*Lookup_Lists!$D$335,0)+IF(ISNUMBER(Matching_Engine!$V$120),Matching_Engine!$V$120*Lookup_Lists!$D$122,0)+IF(ISNUMBER(Matching_Engine!$W$120),Matching_Engine!$W$120*Lookup_Lists!$D$336,0)+IF(ISNUMBER(Matching_Engine!$X$120),Matching_Engine!$X$120*Lookup_Lists!$D$124,0))/(IF(ISNUMBER(Matching_Engine!$U$120),Lookup_Lists!$D$335,0)+IF(ISNUMBER(Matching_Engine!$V$120),Lookup_Lists!$D$122,0)+IF(ISNUMBER(Matching_Engine!$W$120),Lookup_Lists!$D$336,0)+IF(ISNUMBER(Matching_Engine!$X$120),Lookup_Lists!$D$124,0)),0))</f>
        <v>N/A</v>
      </c>
      <c r="Z120" s="42">
        <f>IF(ISNUMBER(Matching_Engine!$Y$120),1,0)</f>
        <v>0</v>
      </c>
      <c r="AA120" s="65" t="e">
        <f>IF(NOT(AND(ISTEXT('[1]#REF'!$Q$24),'[1]#REF'!$Q$24&lt;&gt;"N/A")),"N/A",Lookup_Lists!$D$150)</f>
        <v>#REF!</v>
      </c>
      <c r="AB120" s="65" t="e">
        <f>IF(NOT(AND(ISTEXT('[1]#REF'!$Q$24),'[1]#REF'!$Q$24&lt;&gt;"N/A")),"N/A",Lookup_Lists!$D$150)</f>
        <v>#REF!</v>
      </c>
      <c r="AC120" s="65" t="str">
        <f t="shared" si="1"/>
        <v>N/A</v>
      </c>
      <c r="AD120" s="65" t="e">
        <f>IF(NOT(AND(ISTEXT('[1]#REF'!$Q$24),'[1]#REF'!$Q$24&lt;&gt;"N/A")),"N/A",Lookup_Lists!$D$150)</f>
        <v>#REF!</v>
      </c>
      <c r="AE120" s="63" t="str">
        <f>IF((IF(ISNUMBER(Matching_Engine!$AA$120),Lookup_Lists!$D$125,0)+IF(ISNUMBER(Matching_Engine!$AB$120),Lookup_Lists!$D$126,0)+IF(ISNUMBER(Matching_Engine!$AC$120),Lookup_Lists!$D$127,0)+IF(ISNUMBER(Matching_Engine!$AD$120),Lookup_Lists!$D$128,0))=0,"N/A",ROUND((IF(ISNUMBER(Matching_Engine!$AA$120),Matching_Engine!$AA$120*Lookup_Lists!$D$125,0)+IF(ISNUMBER(Matching_Engine!$AB$120),Matching_Engine!$AB$120*Lookup_Lists!$D$126,0)+IF(ISNUMBER(Matching_Engine!$AC$120),Matching_Engine!$AC$120*Lookup_Lists!$D$127,0)+IF(ISNUMBER(Matching_Engine!$AD$120),Matching_Engine!$AD$120*Lookup_Lists!$D$128,0))/(IF(ISNUMBER(Matching_Engine!$AA$120),Lookup_Lists!$D$125,0)+IF(ISNUMBER(Matching_Engine!$AB$120),Lookup_Lists!$D$126,0)+IF(ISNUMBER(Matching_Engine!$AC$120),Lookup_Lists!$D$127,0)+IF(ISNUMBER(Matching_Engine!$AD$120),Lookup_Lists!$D$128,0)),0))</f>
        <v>N/A</v>
      </c>
      <c r="AF120" s="42">
        <f>IF(ISNUMBER(Matching_Engine!$AE$120),1,0)</f>
        <v>0</v>
      </c>
      <c r="AG120" s="65" t="str">
        <f>IF(NOT(ISNUMBER('[1]#REF'!$BG$24)),"N/A",MIN(100,ROUND('[1]#REF'!$BG$24/IFERROR(INDEX(Lookup_Lists!$B$340:$B$344,MATCH('[1]#REF'!$H$24,Lookup_Lists!$A$340:$A$344,0)),Lookup_Lists!$D$141)*100,0)))</f>
        <v>N/A</v>
      </c>
      <c r="AH120" s="65" t="str">
        <f>IF(NOT(ISNUMBER('[1]#REF'!$BS$24)),"N/A",MIN(100,MAX(0,'[1]#REF'!$BS$24)))</f>
        <v>N/A</v>
      </c>
      <c r="AI120" s="65" t="e">
        <f>IF(OR(NOT(ISNUMBER('[1]#REF'!$BM$24)),NOT(ISNUMBER('[1]#REF'!$BN$24)),'[1]#REF'!$BN$24&lt;Lookup_Lists!$D$320),"N/A",MIN(100,ROUND('[1]#REF'!$BM$24/Lookup_Lists!$D$319*100,0)))</f>
        <v>#REF!</v>
      </c>
      <c r="AJ120" s="65" t="str">
        <f>IF(NOT(ISNUMBER('[1]#REF'!$BR$24)),"N/A",'[1]#REF'!$BR$24)</f>
        <v>N/A</v>
      </c>
      <c r="AK120" s="65" t="str">
        <f>IF(NOT(ISNUMBER('[1]#REF'!$BK$24)),"N/A",MIN(100,ROUND('[1]#REF'!$BK$24/Lookup_Lists!$D$321*100,0)))</f>
        <v>N/A</v>
      </c>
      <c r="AL120" s="65" t="str">
        <f>IF(NOT(ISNUMBER('[1]#REF'!$BP$24)),"N/A",MIN(100,MAX(0,ROUND(('[1]#REF'!$BP$24+2)/(Lookup_Lists!$D$145+2)*100,0))))</f>
        <v>N/A</v>
      </c>
      <c r="AM120" s="63" t="str">
        <f>IF((IF(ISNUMBER(Matching_Engine!$AG$120),Lookup_Lists!$D$129,0)+IF(ISNUMBER(Matching_Engine!$AH$120),Lookup_Lists!$D$130,0)+IF(ISNUMBER(Matching_Engine!$AI$120),Lookup_Lists!$D$131,0)+IF(ISNUMBER(Matching_Engine!$AJ$120),Lookup_Lists!$D$132,0)+IF(ISNUMBER(Matching_Engine!$AK$120),Lookup_Lists!$D$133,0)+IF(ISNUMBER(Matching_Engine!$AL$120),Lookup_Lists!$D$134,0))=0,"N/A",ROUND((IF(ISNUMBER(Matching_Engine!$AG$120),Matching_Engine!$AG$120*Lookup_Lists!$D$129,0)+IF(ISNUMBER(Matching_Engine!$AH$120),Matching_Engine!$AH$120*Lookup_Lists!$D$130,0)+IF(ISNUMBER(Matching_Engine!$AI$120),Matching_Engine!$AI$120*Lookup_Lists!$D$131,0)+IF(ISNUMBER(Matching_Engine!$AJ$120),Matching_Engine!$AJ$120*Lookup_Lists!$D$132,0)+IF(ISNUMBER(Matching_Engine!$AK$120),Matching_Engine!$AK$120*Lookup_Lists!$D$133,0)+IF(ISNUMBER(Matching_Engine!$AL$120),Matching_Engine!$AL$120*Lookup_Lists!$D$134,0))/(IF(ISNUMBER(Matching_Engine!$AG$120),Lookup_Lists!$D$129,0)+IF(ISNUMBER(Matching_Engine!$AH$120),Lookup_Lists!$D$130,0)+IF(ISNUMBER(Matching_Engine!$AI$120),Lookup_Lists!$D$131,0)+IF(ISNUMBER(Matching_Engine!$AJ$120),Lookup_Lists!$D$132,0)+IF(ISNUMBER(Matching_Engine!$AK$120),Lookup_Lists!$D$133,0)+IF(ISNUMBER(Matching_Engine!$AL$120),Lookup_Lists!$D$134,0)),0))</f>
        <v>N/A</v>
      </c>
      <c r="AN120" s="42">
        <f>IF(ISNUMBER(Matching_Engine!$AM$120),1,0)</f>
        <v>0</v>
      </c>
      <c r="AO120" s="65" t="str">
        <f>IF(NOT(ISNUMBER('[1]#REF'!$BT$24)),"N/A",MIN(100,MAX(0,'[1]#REF'!$BT$24)))</f>
        <v>N/A</v>
      </c>
      <c r="AP120" s="65" t="str">
        <f>IF(NOT(ISNUMBER('[1]#REF'!$BU$24)),"N/A",MIN(100,MAX(0,'[1]#REF'!$BU$24)))</f>
        <v>N/A</v>
      </c>
      <c r="AQ120" s="65" t="e">
        <f>IF('[1]#REF'!$I$24="Yes",Lookup_Lists!$D$326,IF('[1]#REF'!$I$24="No",Lookup_Lists!$D$327,"N/A"))</f>
        <v>#REF!</v>
      </c>
      <c r="AR120" s="65" t="str">
        <f>IF(NOT(ISNUMBER('[1]#REF'!$BQ$24)),"N/A",MAX(0,ROUND(100-'[1]#REF'!$BQ$24/Lookup_Lists!$D$328*100,0)))</f>
        <v>N/A</v>
      </c>
      <c r="AS120" s="65" t="e">
        <f>IF(NOT(AND(ISTEXT('[1]#REF'!$BV$24),'[1]#REF'!$BV$24&lt;&gt;"N/A")),"N/A",'[1]#REF'!$BV$24)</f>
        <v>#REF!</v>
      </c>
      <c r="AT120" s="63" t="str">
        <f>IF((IF(ISNUMBER(Matching_Engine!$AO$120),Lookup_Lists!$D$322,0)+IF(ISNUMBER(Matching_Engine!$AP$120),Lookup_Lists!$D$323,0)+IF(ISNUMBER(Matching_Engine!$AQ$120),Lookup_Lists!$D$324,0)+IF(ISNUMBER(Matching_Engine!$AR$120),Lookup_Lists!$D$325,0))=0,"N/A",ROUND((IF(ISNUMBER(Matching_Engine!$AO$120),Matching_Engine!$AO$120*Lookup_Lists!$D$322,0)+IF(ISNUMBER(Matching_Engine!$AP$120),Matching_Engine!$AP$120*Lookup_Lists!$D$323,0)+IF(ISNUMBER(Matching_Engine!$AQ$120),Matching_Engine!$AQ$120*Lookup_Lists!$D$324,0)+IF(ISNUMBER(Matching_Engine!$AR$120),Matching_Engine!$AR$120*Lookup_Lists!$D$325,0))/(IF(ISNUMBER(Matching_Engine!$AO$120),Lookup_Lists!$D$322,0)+IF(ISNUMBER(Matching_Engine!$AP$120),Lookup_Lists!$D$323,0)+IF(ISNUMBER(Matching_Engine!$AQ$120),Lookup_Lists!$D$324,0)+IF(ISNUMBER(Matching_Engine!$AR$120),Lookup_Lists!$D$325,0)),0))</f>
        <v>N/A</v>
      </c>
      <c r="AU120" s="42">
        <f>IF(ISNUMBER(Matching_Engine!$AT$120),1,0)</f>
        <v>0</v>
      </c>
      <c r="AV120" s="42" t="str">
        <f>IF(NOT(ISNUMBER(Matching_Engine!$AT$120)),"Not Screened",IF(Matching_Engine!$AT$120&gt;=Lookup_Lists!$D$329,"Low Risk",IF(Matching_Engine!$AT$120&gt;=Lookup_Lists!$D$330,"Moderate Risk",IF(Matching_Engine!$AT$120&gt;=Lookup_Lists!$D$331,"Elevated Risk","High Risk"))))</f>
        <v>Not Screened</v>
      </c>
      <c r="AW120" s="42" t="str">
        <f>IF(NOT(ISNUMBER(Matching_Engine!$AT$120)),"No integrity signal: no audience-analysis row for this account.","Integrity screen only — no content-risk reading exists (comments_analysis: 0 rows). "&amp;IF(ISNUMBER(Matching_Engine!$AO$120),"Authenticity "&amp;Matching_Engine!$AO$120&amp;". ","Authenticity N/A. ")&amp;IF(ISNUMBER(Matching_Engine!$AP$120),"Follower quality "&amp;Matching_Engine!$AP$120&amp;". ","Follower quality N/A. ")&amp;IF('[1]#REF'!$I$24="Yes","Platform-verified.","Not platform-verified."))</f>
        <v>No integrity signal: no audience-analysis row for this account.</v>
      </c>
      <c r="AX120" s="65">
        <f>Matching_Engine!$N$120*Lookup_Lists!$D$104+Matching_Engine!$T$120*Lookup_Lists!$D$105+Matching_Engine!$Z$120*Lookup_Lists!$D$106+Matching_Engine!$AF$120*Lookup_Lists!$D$107+Matching_Engine!$AN$120*Lookup_Lists!$D$108+Matching_Engine!$AU$120*Lookup_Lists!$D$109</f>
        <v>0</v>
      </c>
      <c r="AY120" s="74" t="str">
        <f>IF(Matching_Engine!$AX$120=0,"N/A",ROUND((IF(Matching_Engine!$N$120=1,Matching_Engine!$M$120*Lookup_Lists!$D$104,0)+IF(Matching_Engine!$T$120=1,Matching_Engine!$S$120*Lookup_Lists!$D$105,0)+IF(Matching_Engine!$Z$120=1,Matching_Engine!$Y$120*Lookup_Lists!$D$106,0)+IF(Matching_Engine!$AF$120=1,Matching_Engine!$AE$120*Lookup_Lists!$D$107,0)+IF(Matching_Engine!$AN$120=1,Matching_Engine!$AM$120*Lookup_Lists!$D$108,0)+IF(Matching_Engine!$AU$120=1,Matching_Engine!$AT$120*Lookup_Lists!$D$109,0))/Matching_Engine!$AX$120,0))</f>
        <v>N/A</v>
      </c>
      <c r="AZ120" s="42" t="str">
        <f>IF(NOT(ISNUMBER(Matching_Engine!$AY$120)),"Not Scored",IF(Matching_Engine!$AY$120&gt;=Lookup_Lists!$D$152,"Excellent Match",IF(Matching_Engine!$AY$120&gt;=Lookup_Lists!$D$153,"Strong Match",IF(Matching_Engine!$AY$120&gt;=Lookup_Lists!$D$154,"Good Match",IF(Matching_Engine!$AY$120&gt;=Lookup_Lists!$D$155,"Moderate Match","Low Match")))))</f>
        <v>Not Scored</v>
      </c>
      <c r="BA120" s="65" t="e">
        <f>'[1]#REF'!$BW$24</f>
        <v>#REF!</v>
      </c>
      <c r="BB120" s="42" t="e">
        <f>'[1]#REF'!$BX$24</f>
        <v>#REF!</v>
      </c>
      <c r="BC120" s="65">
        <f>IF(NOT(ISNUMBER(Matching_Engine!$AY$120)),-1,Matching_Engine!$AY$120*1000+6)</f>
        <v>-1</v>
      </c>
      <c r="BD120" s="42" t="e">
        <f>IF(AND(ISTEXT('[1]#REF'!$S$24),'[1]#REF'!$S$24&lt;&gt;"N/A"),'[1]#REF'!$S$24,"")&amp;" | "&amp;IF(AND(ISTEXT('[1]#REF'!$T$24),'[1]#REF'!$T$24&lt;&gt;"N/A"),'[1]#REF'!$T$24,"")&amp;" | "&amp;IF(AND(ISTEXT('[1]#REF'!$N$24),'[1]#REF'!$N$24&lt;&gt;"N/A"),'[1]#REF'!$N$24,"")&amp;" | "&amp;IF(AND(ISTEXT('[1]#REF'!$K$24),'[1]#REF'!$K$24&lt;&gt;"N/A"),'[1]#REF'!$K$24,"")&amp;" | "&amp;IF(AND(ISTEXT('[1]#REF'!$J$24),'[1]#REF'!$J$24&lt;&gt;"N/A"),'[1]#REF'!$J$24,"")</f>
        <v>#REF!</v>
      </c>
      <c r="BE120" s="42" t="e">
        <f>IF(AND(ISTEXT('[1]#REF'!$T$24),'[1]#REF'!$T$24&lt;&gt;"N/A"),'[1]#REF'!$T$24,"")&amp;" | "&amp;IF(AND(ISTEXT('[1]#REF'!$N$24),'[1]#REF'!$N$24&lt;&gt;"N/A"),'[1]#REF'!$N$24,"")&amp;" | "&amp;IF(AND(ISTEXT('[1]#REF'!$O$24),'[1]#REF'!$O$24&lt;&gt;"N/A"),'[1]#REF'!$O$24,"")&amp;" | "&amp;IF(AND(ISTEXT('[1]#REF'!$S$24),'[1]#REF'!$S$24&lt;&gt;"N/A"),'[1]#REF'!$S$24,"")</f>
        <v>#REF!</v>
      </c>
      <c r="BF120" s="42" t="e">
        <f>IF(AND(ISTEXT('[1]#REF'!$U$24),'[1]#REF'!$U$24&lt;&gt;"N/A"),'[1]#REF'!$U$24,"")</f>
        <v>#REF!</v>
      </c>
      <c r="BG120" s="42" t="str">
        <f>Matching_Engine!$A$120&amp;"|"&amp;Matching_Engine!$C$120</f>
        <v>|</v>
      </c>
    </row>
    <row r="121" spans="1:59">
      <c r="A121" s="64" t="s">
        <v>2531</v>
      </c>
      <c r="B121" s="42">
        <f>Brand_Profile!$I$6</f>
        <v>0</v>
      </c>
      <c r="C121" s="42" t="e">
        <f>'[1]#REF'!$A$25</f>
        <v>#REF!</v>
      </c>
      <c r="D121" s="42" t="e">
        <f>'[1]#REF'!$C$25</f>
        <v>#REF!</v>
      </c>
      <c r="E121" s="42" t="e">
        <f>'[1]#REF'!$D$25</f>
        <v>#REF!</v>
      </c>
      <c r="F121" s="42" t="e">
        <f>'[1]#REF'!$E$25</f>
        <v>#REF!</v>
      </c>
      <c r="G121" s="42" t="e">
        <f>'[1]#REF'!$K$25</f>
        <v>#REF!</v>
      </c>
      <c r="H121" s="72" t="e">
        <f>'[1]#REF'!$G$25</f>
        <v>#REF!</v>
      </c>
      <c r="I121" s="73" t="e">
        <f>'[1]#REF'!$BG$25</f>
        <v>#REF!</v>
      </c>
      <c r="J121" s="65" t="e">
        <f>IF(NOT(AND(ISTEXT('[1]#REF'!$K$25),'[1]#REF'!$K$25&lt;&gt;"N/A")),Lookup_Lists!$D$150,IF(Brand_Profile!$I$7='[1]#REF'!$K$25,100,IFERROR(INDEX(Lookup_Lists!$B$349:$J$357,MATCH(Brand_Profile!$I$7,Lookup_Lists!$A$349:$A$357,0),MATCH('[1]#REF'!$K$25,Lookup_Lists!$B$348:$J$348,0)),Lookup_Lists!$D$151)))</f>
        <v>#REF!</v>
      </c>
      <c r="K121" s="65" t="str">
        <f>IF(LEN(TRIM(SUBSTITUTE(Matching_Engine!$BD$121,"|","")))=0,"N/A",IF(Brand_Profile!$I$47=0,Lookup_Lists!$D$150,ROUND((IF(Brand_Profile!$I$41="",0,IF(ISNUMBER(SEARCH(Brand_Profile!$I$41,Matching_Engine!$BD$121)),1,0))+IF(Brand_Profile!$I$42="",0,IF(ISNUMBER(SEARCH(Brand_Profile!$I$42,Matching_Engine!$BD$121)),1,0))+IF(Brand_Profile!$I$43="",0,IF(ISNUMBER(SEARCH(Brand_Profile!$I$43,Matching_Engine!$BD$121)),1,0))+IF(Brand_Profile!$I$44="",0,IF(ISNUMBER(SEARCH(Brand_Profile!$I$44,Matching_Engine!$BD$121)),1,0))+IF(Brand_Profile!$I$45="",0,IF(ISNUMBER(SEARCH(Brand_Profile!$I$45,Matching_Engine!$BD$121)),1,0))+IF(Brand_Profile!$I$46="",0,IF(ISNUMBER(SEARCH(Brand_Profile!$I$46,Matching_Engine!$BD$121)),1,0)))/Brand_Profile!$I$47*100,0)))</f>
        <v>N/A</v>
      </c>
      <c r="L121" s="65" t="e">
        <f>IF(NOT(AND(ISTEXT('[1]#REF'!$U$25),'[1]#REF'!$U$25&lt;&gt;"N/A")),"N/A",IF(Brand_Profile!$I$53=0,Lookup_Lists!$D$150,ROUND((IF(Brand_Profile!$I$48="",0,IF(ISNUMBER(SEARCH(Brand_Profile!$I$48,Matching_Engine!$BF$121)),1,0))+IF(Brand_Profile!$I$49="",0,IF(ISNUMBER(SEARCH(Brand_Profile!$I$49,Matching_Engine!$BF$121)),1,0))+IF(Brand_Profile!$I$50="",0,IF(ISNUMBER(SEARCH(Brand_Profile!$I$50,Matching_Engine!$BF$121)),1,0))+IF(Brand_Profile!$I$51="",0,IF(ISNUMBER(SEARCH(Brand_Profile!$I$51,Matching_Engine!$BF$121)),1,0))+IF(Brand_Profile!$I$52="",0,IF(ISNUMBER(SEARCH(Brand_Profile!$I$52,Matching_Engine!$BF$121)),1,0)))/Brand_Profile!$I$53*100,0)))</f>
        <v>#REF!</v>
      </c>
      <c r="M121" s="63" t="str">
        <f>IF((IF(ISNUMBER(Matching_Engine!$J$121),Lookup_Lists!$D$332,0)+IF(ISNUMBER(Matching_Engine!$K$121),Lookup_Lists!$D$333,0)+IF(ISNUMBER(Matching_Engine!$L$121),Lookup_Lists!$D$334,0))=0,"N/A",ROUND((IF(ISNUMBER(Matching_Engine!$J$121),Matching_Engine!$J$121*Lookup_Lists!$D$332,0)+IF(ISNUMBER(Matching_Engine!$K$121),Matching_Engine!$K$121*Lookup_Lists!$D$333,0)+IF(ISNUMBER(Matching_Engine!$L$121),Matching_Engine!$L$121*Lookup_Lists!$D$334,0))/(IF(ISNUMBER(Matching_Engine!$J$121),Lookup_Lists!$D$332,0)+IF(ISNUMBER(Matching_Engine!$K$121),Lookup_Lists!$D$333,0)+IF(ISNUMBER(Matching_Engine!$L$121),Lookup_Lists!$D$334,0)),0))</f>
        <v>N/A</v>
      </c>
      <c r="N121" s="42">
        <f>IF(ISNUMBER(Matching_Engine!$M$121),1,0)</f>
        <v>0</v>
      </c>
      <c r="O121" s="65" t="str">
        <f ca="1">IF(NOT(ISNUMBER(IFERROR(INDEX('[1]#REF'!$V$25:'[1]#REF'!$Z$25,1,MATCH(Brand_Profile!$I$11,Lookup_Lists!$F$6:$F$10,0)),""))),"N/A",MIN(100,ROUND((IFERROR(INDEX('[1]#REF'!$V$25:'[1]#REF'!$Z$25,1,MATCH(Brand_Profile!$I$11,Lookup_Lists!$F$6:$F$10,0)),"")+0.5*IF(ISNUMBER(IFERROR(INDEX('[1]#REF'!$V$25:'[1]#REF'!$Z$25,1,MATCH(Brand_Profile!$I$12,Lookup_Lists!$F$6:$F$10,0)),"")),IFERROR(INDEX('[1]#REF'!$V$25:'[1]#REF'!$Z$25,1,MATCH(Brand_Profile!$I$12,Lookup_Lists!$F$6:$F$10,0)),""),0))/Lookup_Lists!$D$142*100,0)))</f>
        <v>N/A</v>
      </c>
      <c r="P121" s="65" t="str">
        <f>IF(Brand_Profile!$I$13="Any",100,IF(NOT(ISNUMBER('[1]#REF'!$AA$25)),"N/A",IF(Brand_Profile!$I$13="Female",MIN(100,ROUND('[1]#REF'!$AA$25/Lookup_Lists!$D$143*100,0)),IF(Brand_Profile!$I$13="Male",MIN(100,ROUND(IF(ISNUMBER('[1]#REF'!$AB$25),'[1]#REF'!$AB$25,100-'[1]#REF'!$AA$25)/Lookup_Lists!$D$143*100,0)),MAX(0,ROUND(100-ABS('[1]#REF'!$AA$25-50)*2,0))))))</f>
        <v>N/A</v>
      </c>
      <c r="Q121" s="65" t="str">
        <f>IF((IF(ISNUMBER(IF(NOT(ISNUMBER('[1]#REF'!$AE$25)),"N/A",IF('[1]#REF'!$AD$25&lt;&gt;Brand_Profile!$I$14,Lookup_Lists!$D$151,MIN(100,ROUND('[1]#REF'!$AE$25/Lookup_Lists!$D$316*100,0))))),Lookup_Lists!$D$118,0)+IF(ISNUMBER(IF(NOT(ISNUMBER('[1]#REF'!$AM$25)),"N/A",MIN(100,ROUND((IF('[1]#REF'!$AG$25=Brand_Profile!$I$15,IF(ISNUMBER('[1]#REF'!$AH$25),'[1]#REF'!$AH$25,0),0)+IF('[1]#REF'!$AI$25=Brand_Profile!$I$15,IF(ISNUMBER('[1]#REF'!$AJ$25),'[1]#REF'!$AJ$25,0),0)+IF('[1]#REF'!$AK$25=Brand_Profile!$I$15,IF(ISNUMBER('[1]#REF'!$AL$25),'[1]#REF'!$AL$25,0),0))/Lookup_Lists!$D$317*100,0)))),Lookup_Lists!$D$120,0))=0,"N/A",ROUND((IF(ISNUMBER(IF(NOT(ISNUMBER('[1]#REF'!$AE$25)),"N/A",IF('[1]#REF'!$AD$25&lt;&gt;Brand_Profile!$I$14,Lookup_Lists!$D$151,MIN(100,ROUND('[1]#REF'!$AE$25/Lookup_Lists!$D$316*100,0))))),IF(NOT(ISNUMBER('[1]#REF'!$AE$25)),"N/A",IF('[1]#REF'!$AD$25&lt;&gt;Brand_Profile!$I$14,Lookup_Lists!$D$151,MIN(100,ROUND('[1]#REF'!$AE$25/Lookup_Lists!$D$316*100,0))))*Lookup_Lists!$D$118,0)+IF(ISNUMBER(IF(NOT(ISNUMBER('[1]#REF'!$AM$25)),"N/A",MIN(100,ROUND((IF('[1]#REF'!$AG$25=Brand_Profile!$I$15,IF(ISNUMBER('[1]#REF'!$AH$25),'[1]#REF'!$AH$25,0),0)+IF('[1]#REF'!$AI$25=Brand_Profile!$I$15,IF(ISNUMBER('[1]#REF'!$AJ$25),'[1]#REF'!$AJ$25,0),0)+IF('[1]#REF'!$AK$25=Brand_Profile!$I$15,IF(ISNUMBER('[1]#REF'!$AL$25),'[1]#REF'!$AL$25,0),0))/Lookup_Lists!$D$317*100,0)))),IF(NOT(ISNUMBER('[1]#REF'!$AM$25)),"N/A",MIN(100,ROUND((IF('[1]#REF'!$AG$25=Brand_Profile!$I$15,IF(ISNUMBER('[1]#REF'!$AH$25),'[1]#REF'!$AH$25,0),0)+IF('[1]#REF'!$AI$25=Brand_Profile!$I$15,IF(ISNUMBER('[1]#REF'!$AJ$25),'[1]#REF'!$AJ$25,0),0)+IF('[1]#REF'!$AK$25=Brand_Profile!$I$15,IF(ISNUMBER('[1]#REF'!$AL$25),'[1]#REF'!$AL$25,0),0))/Lookup_Lists!$D$317*100,0)))*Lookup_Lists!$D$120,0))/(IF(ISNUMBER(IF(NOT(ISNUMBER('[1]#REF'!$AE$25)),"N/A",IF('[1]#REF'!$AD$25&lt;&gt;Brand_Profile!$I$14,Lookup_Lists!$D$151,MIN(100,ROUND('[1]#REF'!$AE$25/Lookup_Lists!$D$316*100,0))))),Lookup_Lists!$D$118,0)+IF(ISNUMBER(IF(NOT(ISNUMBER('[1]#REF'!$AM$25)),"N/A",MIN(100,ROUND((IF('[1]#REF'!$AG$25=Brand_Profile!$I$15,IF(ISNUMBER('[1]#REF'!$AH$25),'[1]#REF'!$AH$25,0),0)+IF('[1]#REF'!$AI$25=Brand_Profile!$I$15,IF(ISNUMBER('[1]#REF'!$AJ$25),'[1]#REF'!$AJ$25,0),0)+IF('[1]#REF'!$AK$25=Brand_Profile!$I$15,IF(ISNUMBER('[1]#REF'!$AL$25),'[1]#REF'!$AL$25,0),0))/Lookup_Lists!$D$317*100,0)))),Lookup_Lists!$D$120,0)),0))</f>
        <v>N/A</v>
      </c>
      <c r="R121" s="65" t="str">
        <f>IF(NOT(ISNUMBER('[1]#REF'!$AN$25)),"N/A",MIN(100,ROUND((IF(ISNUMBER('[1]#REF'!$AO$25),'[1]#REF'!$AO$25*Brand_Profile!$I$17,0)+IF(ISNUMBER('[1]#REF'!$AP$25),'[1]#REF'!$AP$25*Brand_Profile!$I$18,0)+IF(ISNUMBER('[1]#REF'!$AQ$25),'[1]#REF'!$AQ$25*Brand_Profile!$I$19,0)+IF(ISNUMBER('[1]#REF'!$AR$25),'[1]#REF'!$AR$25*Brand_Profile!$I$20,0)+IF(ISNUMBER('[1]#REF'!$AS$25),'[1]#REF'!$AS$25*Brand_Profile!$I$21,0)+IF(ISNUMBER('[1]#REF'!$AT$25),'[1]#REF'!$AT$25*Brand_Profile!$I$22,0)+IF(ISNUMBER('[1]#REF'!$AU$25),'[1]#REF'!$AU$25*Brand_Profile!$I$23,0)+IF(ISNUMBER('[1]#REF'!$AV$25),'[1]#REF'!$AV$25*Brand_Profile!$I$24,0)+IF(ISNUMBER('[1]#REF'!$AW$25),'[1]#REF'!$AW$25*Brand_Profile!$I$25,0)+IF(ISNUMBER('[1]#REF'!$AX$25),'[1]#REF'!$AX$25*Brand_Profile!$I$26,0)+IF(ISNUMBER('[1]#REF'!$AY$25),'[1]#REF'!$AY$25*Brand_Profile!$I$27,0)+IF(ISNUMBER('[1]#REF'!$AZ$25),'[1]#REF'!$AZ$25*Brand_Profile!$I$28,0)+IF(ISNUMBER('[1]#REF'!$BA$25),'[1]#REF'!$BA$25*Brand_Profile!$I$29,0)+IF(ISNUMBER('[1]#REF'!$BB$25),'[1]#REF'!$BB$25*Brand_Profile!$I$30,0)+IF(ISNUMBER('[1]#REF'!$BC$25),'[1]#REF'!$BC$25*Brand_Profile!$I$31,0)+IF(ISNUMBER('[1]#REF'!$BD$25),'[1]#REF'!$BD$25*Brand_Profile!$I$32,0)+IF(ISNUMBER('[1]#REF'!$BE$25),'[1]#REF'!$BE$25*Brand_Profile!$I$33,0)+IF(ISNUMBER('[1]#REF'!$BF$25),'[1]#REF'!$BF$25*Brand_Profile!$I$34,0))/Lookup_Lists!$D$318*100,0)))</f>
        <v>N/A</v>
      </c>
      <c r="S121" s="63" t="str">
        <f>IF((IF(ISNUMBER(Matching_Engine!$O$121),Lookup_Lists!$D$113,0)+IF(ISNUMBER(Matching_Engine!$P$121),Lookup_Lists!$D$114,0)+IF(ISNUMBER(Matching_Engine!$Q$121),Lookup_Lists!$D$115,0)+IF(ISNUMBER(Matching_Engine!$R$121),Lookup_Lists!$D$116,0))=0,"N/A",ROUND((IF(ISNUMBER(Matching_Engine!$O$121),Matching_Engine!$O$121*Lookup_Lists!$D$113,0)+IF(ISNUMBER(Matching_Engine!$P$121),Matching_Engine!$P$121*Lookup_Lists!$D$114,0)+IF(ISNUMBER(Matching_Engine!$Q$121),Matching_Engine!$Q$121*Lookup_Lists!$D$115,0)+IF(ISNUMBER(Matching_Engine!$R$121),Matching_Engine!$R$121*Lookup_Lists!$D$116,0))/(IF(ISNUMBER(Matching_Engine!$O$121),Lookup_Lists!$D$113,0)+IF(ISNUMBER(Matching_Engine!$P$121),Lookup_Lists!$D$114,0)+IF(ISNUMBER(Matching_Engine!$Q$121),Lookup_Lists!$D$115,0)+IF(ISNUMBER(Matching_Engine!$R$121),Lookup_Lists!$D$116,0)),0))</f>
        <v>N/A</v>
      </c>
      <c r="T121" s="42">
        <f>IF(ISNUMBER(Matching_Engine!$S$121),1,0)</f>
        <v>0</v>
      </c>
      <c r="U121" s="65" t="e">
        <f>IF(NOT(AND(ISTEXT('[1]#REF'!$M$25),'[1]#REF'!$M$25&lt;&gt;"N/A")),Lookup_Lists!$D$150,IF(Brand_Profile!$I$7='[1]#REF'!$M$25,100,IFERROR(INDEX(Lookup_Lists!$B$349:$J$357,MATCH(Brand_Profile!$I$7,Lookup_Lists!$A$349:$A$357,0),MATCH('[1]#REF'!$M$25,Lookup_Lists!$B$348:$J$348,0)),Lookup_Lists!$D$151)))</f>
        <v>#REF!</v>
      </c>
      <c r="V121" s="65" t="e">
        <f>IF(NOT(AND(ISTEXT('[1]#REF'!$P$25),'[1]#REF'!$P$25&lt;&gt;"N/A")),"N/A",IFERROR(INDEX(Lookup_Lists!$B$349:$J$357,MATCH(Brand_Profile!$I$7,Lookup_Lists!$A$349:$A$357,0),MATCH('[1]#REF'!$P$25,Lookup_Lists!$B$348:$J$348,0)),Lookup_Lists!$D$151))</f>
        <v>#REF!</v>
      </c>
      <c r="W121" s="65" t="str">
        <f>IF(LEN(TRIM(SUBSTITUTE(Matching_Engine!$BE$121,"|","")))=0,"N/A",IF(Brand_Profile!$I$60=0,Lookup_Lists!$D$150,ROUND((IF(Brand_Profile!$I$54="",0,IF(ISNUMBER(SEARCH(Brand_Profile!$I$54,Matching_Engine!$BE$121)),1,0))+IF(Brand_Profile!$I$55="",0,IF(ISNUMBER(SEARCH(Brand_Profile!$I$55,Matching_Engine!$BE$121)),1,0))+IF(Brand_Profile!$I$56="",0,IF(ISNUMBER(SEARCH(Brand_Profile!$I$56,Matching_Engine!$BE$121)),1,0))+IF(Brand_Profile!$I$57="",0,IF(ISNUMBER(SEARCH(Brand_Profile!$I$57,Matching_Engine!$BE$121)),1,0))+IF(Brand_Profile!$I$58="",0,IF(ISNUMBER(SEARCH(Brand_Profile!$I$58,Matching_Engine!$BE$121)),1,0))+IF(Brand_Profile!$I$59="",0,IF(ISNUMBER(SEARCH(Brand_Profile!$I$59,Matching_Engine!$BE$121)),1,0)))/Brand_Profile!$I$60*100,0)))</f>
        <v>N/A</v>
      </c>
      <c r="X121" s="65" t="e">
        <f>IF(NOT(AND(ISTEXT('[1]#REF'!$Q$25),'[1]#REF'!$Q$25&lt;&gt;"N/A")),"N/A",Lookup_Lists!$D$150)</f>
        <v>#REF!</v>
      </c>
      <c r="Y121" s="63" t="str">
        <f>IF((IF(ISNUMBER(Matching_Engine!$U$121),Lookup_Lists!$D$335,0)+IF(ISNUMBER(Matching_Engine!$V$121),Lookup_Lists!$D$122,0)+IF(ISNUMBER(Matching_Engine!$W$121),Lookup_Lists!$D$336,0)+IF(ISNUMBER(Matching_Engine!$X$121),Lookup_Lists!$D$124,0))=0,"N/A",ROUND((IF(ISNUMBER(Matching_Engine!$U$121),Matching_Engine!$U$121*Lookup_Lists!$D$335,0)+IF(ISNUMBER(Matching_Engine!$V$121),Matching_Engine!$V$121*Lookup_Lists!$D$122,0)+IF(ISNUMBER(Matching_Engine!$W$121),Matching_Engine!$W$121*Lookup_Lists!$D$336,0)+IF(ISNUMBER(Matching_Engine!$X$121),Matching_Engine!$X$121*Lookup_Lists!$D$124,0))/(IF(ISNUMBER(Matching_Engine!$U$121),Lookup_Lists!$D$335,0)+IF(ISNUMBER(Matching_Engine!$V$121),Lookup_Lists!$D$122,0)+IF(ISNUMBER(Matching_Engine!$W$121),Lookup_Lists!$D$336,0)+IF(ISNUMBER(Matching_Engine!$X$121),Lookup_Lists!$D$124,0)),0))</f>
        <v>N/A</v>
      </c>
      <c r="Z121" s="42">
        <f>IF(ISNUMBER(Matching_Engine!$Y$121),1,0)</f>
        <v>0</v>
      </c>
      <c r="AA121" s="65" t="e">
        <f>IF(NOT(AND(ISTEXT('[1]#REF'!$Q$25),'[1]#REF'!$Q$25&lt;&gt;"N/A")),"N/A",Lookup_Lists!$D$150)</f>
        <v>#REF!</v>
      </c>
      <c r="AB121" s="65" t="e">
        <f>IF(NOT(AND(ISTEXT('[1]#REF'!$Q$25),'[1]#REF'!$Q$25&lt;&gt;"N/A")),"N/A",Lookup_Lists!$D$150)</f>
        <v>#REF!</v>
      </c>
      <c r="AC121" s="65" t="str">
        <f t="shared" si="1"/>
        <v>N/A</v>
      </c>
      <c r="AD121" s="65" t="e">
        <f>IF(NOT(AND(ISTEXT('[1]#REF'!$Q$25),'[1]#REF'!$Q$25&lt;&gt;"N/A")),"N/A",Lookup_Lists!$D$150)</f>
        <v>#REF!</v>
      </c>
      <c r="AE121" s="63" t="str">
        <f>IF((IF(ISNUMBER(Matching_Engine!$AA$121),Lookup_Lists!$D$125,0)+IF(ISNUMBER(Matching_Engine!$AB$121),Lookup_Lists!$D$126,0)+IF(ISNUMBER(Matching_Engine!$AC$121),Lookup_Lists!$D$127,0)+IF(ISNUMBER(Matching_Engine!$AD$121),Lookup_Lists!$D$128,0))=0,"N/A",ROUND((IF(ISNUMBER(Matching_Engine!$AA$121),Matching_Engine!$AA$121*Lookup_Lists!$D$125,0)+IF(ISNUMBER(Matching_Engine!$AB$121),Matching_Engine!$AB$121*Lookup_Lists!$D$126,0)+IF(ISNUMBER(Matching_Engine!$AC$121),Matching_Engine!$AC$121*Lookup_Lists!$D$127,0)+IF(ISNUMBER(Matching_Engine!$AD$121),Matching_Engine!$AD$121*Lookup_Lists!$D$128,0))/(IF(ISNUMBER(Matching_Engine!$AA$121),Lookup_Lists!$D$125,0)+IF(ISNUMBER(Matching_Engine!$AB$121),Lookup_Lists!$D$126,0)+IF(ISNUMBER(Matching_Engine!$AC$121),Lookup_Lists!$D$127,0)+IF(ISNUMBER(Matching_Engine!$AD$121),Lookup_Lists!$D$128,0)),0))</f>
        <v>N/A</v>
      </c>
      <c r="AF121" s="42">
        <f>IF(ISNUMBER(Matching_Engine!$AE$121),1,0)</f>
        <v>0</v>
      </c>
      <c r="AG121" s="65" t="str">
        <f>IF(NOT(ISNUMBER('[1]#REF'!$BG$25)),"N/A",MIN(100,ROUND('[1]#REF'!$BG$25/IFERROR(INDEX(Lookup_Lists!$B$340:$B$344,MATCH('[1]#REF'!$H$25,Lookup_Lists!$A$340:$A$344,0)),Lookup_Lists!$D$141)*100,0)))</f>
        <v>N/A</v>
      </c>
      <c r="AH121" s="65" t="str">
        <f>IF(NOT(ISNUMBER('[1]#REF'!$BS$25)),"N/A",MIN(100,MAX(0,'[1]#REF'!$BS$25)))</f>
        <v>N/A</v>
      </c>
      <c r="AI121" s="65" t="e">
        <f>IF(OR(NOT(ISNUMBER('[1]#REF'!$BM$25)),NOT(ISNUMBER('[1]#REF'!$BN$25)),'[1]#REF'!$BN$25&lt;Lookup_Lists!$D$320),"N/A",MIN(100,ROUND('[1]#REF'!$BM$25/Lookup_Lists!$D$319*100,0)))</f>
        <v>#REF!</v>
      </c>
      <c r="AJ121" s="65" t="str">
        <f>IF(NOT(ISNUMBER('[1]#REF'!$BR$25)),"N/A",'[1]#REF'!$BR$25)</f>
        <v>N/A</v>
      </c>
      <c r="AK121" s="65" t="str">
        <f>IF(NOT(ISNUMBER('[1]#REF'!$BK$25)),"N/A",MIN(100,ROUND('[1]#REF'!$BK$25/Lookup_Lists!$D$321*100,0)))</f>
        <v>N/A</v>
      </c>
      <c r="AL121" s="65" t="str">
        <f>IF(NOT(ISNUMBER('[1]#REF'!$BP$25)),"N/A",MIN(100,MAX(0,ROUND(('[1]#REF'!$BP$25+2)/(Lookup_Lists!$D$145+2)*100,0))))</f>
        <v>N/A</v>
      </c>
      <c r="AM121" s="63" t="str">
        <f>IF((IF(ISNUMBER(Matching_Engine!$AG$121),Lookup_Lists!$D$129,0)+IF(ISNUMBER(Matching_Engine!$AH$121),Lookup_Lists!$D$130,0)+IF(ISNUMBER(Matching_Engine!$AI$121),Lookup_Lists!$D$131,0)+IF(ISNUMBER(Matching_Engine!$AJ$121),Lookup_Lists!$D$132,0)+IF(ISNUMBER(Matching_Engine!$AK$121),Lookup_Lists!$D$133,0)+IF(ISNUMBER(Matching_Engine!$AL$121),Lookup_Lists!$D$134,0))=0,"N/A",ROUND((IF(ISNUMBER(Matching_Engine!$AG$121),Matching_Engine!$AG$121*Lookup_Lists!$D$129,0)+IF(ISNUMBER(Matching_Engine!$AH$121),Matching_Engine!$AH$121*Lookup_Lists!$D$130,0)+IF(ISNUMBER(Matching_Engine!$AI$121),Matching_Engine!$AI$121*Lookup_Lists!$D$131,0)+IF(ISNUMBER(Matching_Engine!$AJ$121),Matching_Engine!$AJ$121*Lookup_Lists!$D$132,0)+IF(ISNUMBER(Matching_Engine!$AK$121),Matching_Engine!$AK$121*Lookup_Lists!$D$133,0)+IF(ISNUMBER(Matching_Engine!$AL$121),Matching_Engine!$AL$121*Lookup_Lists!$D$134,0))/(IF(ISNUMBER(Matching_Engine!$AG$121),Lookup_Lists!$D$129,0)+IF(ISNUMBER(Matching_Engine!$AH$121),Lookup_Lists!$D$130,0)+IF(ISNUMBER(Matching_Engine!$AI$121),Lookup_Lists!$D$131,0)+IF(ISNUMBER(Matching_Engine!$AJ$121),Lookup_Lists!$D$132,0)+IF(ISNUMBER(Matching_Engine!$AK$121),Lookup_Lists!$D$133,0)+IF(ISNUMBER(Matching_Engine!$AL$121),Lookup_Lists!$D$134,0)),0))</f>
        <v>N/A</v>
      </c>
      <c r="AN121" s="42">
        <f>IF(ISNUMBER(Matching_Engine!$AM$121),1,0)</f>
        <v>0</v>
      </c>
      <c r="AO121" s="65" t="str">
        <f>IF(NOT(ISNUMBER('[1]#REF'!$BT$25)),"N/A",MIN(100,MAX(0,'[1]#REF'!$BT$25)))</f>
        <v>N/A</v>
      </c>
      <c r="AP121" s="65" t="str">
        <f>IF(NOT(ISNUMBER('[1]#REF'!$BU$25)),"N/A",MIN(100,MAX(0,'[1]#REF'!$BU$25)))</f>
        <v>N/A</v>
      </c>
      <c r="AQ121" s="65" t="e">
        <f>IF('[1]#REF'!$I$25="Yes",Lookup_Lists!$D$326,IF('[1]#REF'!$I$25="No",Lookup_Lists!$D$327,"N/A"))</f>
        <v>#REF!</v>
      </c>
      <c r="AR121" s="65" t="str">
        <f>IF(NOT(ISNUMBER('[1]#REF'!$BQ$25)),"N/A",MAX(0,ROUND(100-'[1]#REF'!$BQ$25/Lookup_Lists!$D$328*100,0)))</f>
        <v>N/A</v>
      </c>
      <c r="AS121" s="65" t="e">
        <f>IF(NOT(AND(ISTEXT('[1]#REF'!$BV$25),'[1]#REF'!$BV$25&lt;&gt;"N/A")),"N/A",'[1]#REF'!$BV$25)</f>
        <v>#REF!</v>
      </c>
      <c r="AT121" s="63" t="str">
        <f>IF((IF(ISNUMBER(Matching_Engine!$AO$121),Lookup_Lists!$D$322,0)+IF(ISNUMBER(Matching_Engine!$AP$121),Lookup_Lists!$D$323,0)+IF(ISNUMBER(Matching_Engine!$AQ$121),Lookup_Lists!$D$324,0)+IF(ISNUMBER(Matching_Engine!$AR$121),Lookup_Lists!$D$325,0))=0,"N/A",ROUND((IF(ISNUMBER(Matching_Engine!$AO$121),Matching_Engine!$AO$121*Lookup_Lists!$D$322,0)+IF(ISNUMBER(Matching_Engine!$AP$121),Matching_Engine!$AP$121*Lookup_Lists!$D$323,0)+IF(ISNUMBER(Matching_Engine!$AQ$121),Matching_Engine!$AQ$121*Lookup_Lists!$D$324,0)+IF(ISNUMBER(Matching_Engine!$AR$121),Matching_Engine!$AR$121*Lookup_Lists!$D$325,0))/(IF(ISNUMBER(Matching_Engine!$AO$121),Lookup_Lists!$D$322,0)+IF(ISNUMBER(Matching_Engine!$AP$121),Lookup_Lists!$D$323,0)+IF(ISNUMBER(Matching_Engine!$AQ$121),Lookup_Lists!$D$324,0)+IF(ISNUMBER(Matching_Engine!$AR$121),Lookup_Lists!$D$325,0)),0))</f>
        <v>N/A</v>
      </c>
      <c r="AU121" s="42">
        <f>IF(ISNUMBER(Matching_Engine!$AT$121),1,0)</f>
        <v>0</v>
      </c>
      <c r="AV121" s="42" t="str">
        <f>IF(NOT(ISNUMBER(Matching_Engine!$AT$121)),"Not Screened",IF(Matching_Engine!$AT$121&gt;=Lookup_Lists!$D$329,"Low Risk",IF(Matching_Engine!$AT$121&gt;=Lookup_Lists!$D$330,"Moderate Risk",IF(Matching_Engine!$AT$121&gt;=Lookup_Lists!$D$331,"Elevated Risk","High Risk"))))</f>
        <v>Not Screened</v>
      </c>
      <c r="AW121" s="42" t="str">
        <f>IF(NOT(ISNUMBER(Matching_Engine!$AT$121)),"No integrity signal: no audience-analysis row for this account.","Integrity screen only — no content-risk reading exists (comments_analysis: 0 rows). "&amp;IF(ISNUMBER(Matching_Engine!$AO$121),"Authenticity "&amp;Matching_Engine!$AO$121&amp;". ","Authenticity N/A. ")&amp;IF(ISNUMBER(Matching_Engine!$AP$121),"Follower quality "&amp;Matching_Engine!$AP$121&amp;". ","Follower quality N/A. ")&amp;IF('[1]#REF'!$I$25="Yes","Platform-verified.","Not platform-verified."))</f>
        <v>No integrity signal: no audience-analysis row for this account.</v>
      </c>
      <c r="AX121" s="65">
        <f>Matching_Engine!$N$121*Lookup_Lists!$D$104+Matching_Engine!$T$121*Lookup_Lists!$D$105+Matching_Engine!$Z$121*Lookup_Lists!$D$106+Matching_Engine!$AF$121*Lookup_Lists!$D$107+Matching_Engine!$AN$121*Lookup_Lists!$D$108+Matching_Engine!$AU$121*Lookup_Lists!$D$109</f>
        <v>0</v>
      </c>
      <c r="AY121" s="74" t="str">
        <f>IF(Matching_Engine!$AX$121=0,"N/A",ROUND((IF(Matching_Engine!$N$121=1,Matching_Engine!$M$121*Lookup_Lists!$D$104,0)+IF(Matching_Engine!$T$121=1,Matching_Engine!$S$121*Lookup_Lists!$D$105,0)+IF(Matching_Engine!$Z$121=1,Matching_Engine!$Y$121*Lookup_Lists!$D$106,0)+IF(Matching_Engine!$AF$121=1,Matching_Engine!$AE$121*Lookup_Lists!$D$107,0)+IF(Matching_Engine!$AN$121=1,Matching_Engine!$AM$121*Lookup_Lists!$D$108,0)+IF(Matching_Engine!$AU$121=1,Matching_Engine!$AT$121*Lookup_Lists!$D$109,0))/Matching_Engine!$AX$121,0))</f>
        <v>N/A</v>
      </c>
      <c r="AZ121" s="42" t="str">
        <f>IF(NOT(ISNUMBER(Matching_Engine!$AY$121)),"Not Scored",IF(Matching_Engine!$AY$121&gt;=Lookup_Lists!$D$152,"Excellent Match",IF(Matching_Engine!$AY$121&gt;=Lookup_Lists!$D$153,"Strong Match",IF(Matching_Engine!$AY$121&gt;=Lookup_Lists!$D$154,"Good Match",IF(Matching_Engine!$AY$121&gt;=Lookup_Lists!$D$155,"Moderate Match","Low Match")))))</f>
        <v>Not Scored</v>
      </c>
      <c r="BA121" s="65" t="e">
        <f>'[1]#REF'!$BW$25</f>
        <v>#REF!</v>
      </c>
      <c r="BB121" s="42" t="e">
        <f>'[1]#REF'!$BX$25</f>
        <v>#REF!</v>
      </c>
      <c r="BC121" s="65">
        <f>IF(NOT(ISNUMBER(Matching_Engine!$AY$121)),-1,Matching_Engine!$AY$121*1000+5)</f>
        <v>-1</v>
      </c>
      <c r="BD121" s="42" t="e">
        <f>IF(AND(ISTEXT('[1]#REF'!$S$25),'[1]#REF'!$S$25&lt;&gt;"N/A"),'[1]#REF'!$S$25,"")&amp;" | "&amp;IF(AND(ISTEXT('[1]#REF'!$T$25),'[1]#REF'!$T$25&lt;&gt;"N/A"),'[1]#REF'!$T$25,"")&amp;" | "&amp;IF(AND(ISTEXT('[1]#REF'!$N$25),'[1]#REF'!$N$25&lt;&gt;"N/A"),'[1]#REF'!$N$25,"")&amp;" | "&amp;IF(AND(ISTEXT('[1]#REF'!$K$25),'[1]#REF'!$K$25&lt;&gt;"N/A"),'[1]#REF'!$K$25,"")&amp;" | "&amp;IF(AND(ISTEXT('[1]#REF'!$J$25),'[1]#REF'!$J$25&lt;&gt;"N/A"),'[1]#REF'!$J$25,"")</f>
        <v>#REF!</v>
      </c>
      <c r="BE121" s="42" t="e">
        <f>IF(AND(ISTEXT('[1]#REF'!$T$25),'[1]#REF'!$T$25&lt;&gt;"N/A"),'[1]#REF'!$T$25,"")&amp;" | "&amp;IF(AND(ISTEXT('[1]#REF'!$N$25),'[1]#REF'!$N$25&lt;&gt;"N/A"),'[1]#REF'!$N$25,"")&amp;" | "&amp;IF(AND(ISTEXT('[1]#REF'!$O$25),'[1]#REF'!$O$25&lt;&gt;"N/A"),'[1]#REF'!$O$25,"")&amp;" | "&amp;IF(AND(ISTEXT('[1]#REF'!$S$25),'[1]#REF'!$S$25&lt;&gt;"N/A"),'[1]#REF'!$S$25,"")</f>
        <v>#REF!</v>
      </c>
      <c r="BF121" s="42" t="e">
        <f>IF(AND(ISTEXT('[1]#REF'!$U$25),'[1]#REF'!$U$25&lt;&gt;"N/A"),'[1]#REF'!$U$25,"")</f>
        <v>#REF!</v>
      </c>
      <c r="BG121" s="42" t="str">
        <f>Matching_Engine!$A$121&amp;"|"&amp;Matching_Engine!$C$121</f>
        <v>|</v>
      </c>
    </row>
    <row r="122" spans="1:59">
      <c r="A122" s="64" t="s">
        <v>2531</v>
      </c>
      <c r="B122" s="42">
        <f>Brand_Profile!$I$6</f>
        <v>0</v>
      </c>
      <c r="C122" s="42" t="e">
        <f>'[1]#REF'!$A$26</f>
        <v>#REF!</v>
      </c>
      <c r="D122" s="42" t="e">
        <f>'[1]#REF'!$C$26</f>
        <v>#REF!</v>
      </c>
      <c r="E122" s="42" t="e">
        <f>'[1]#REF'!$D$26</f>
        <v>#REF!</v>
      </c>
      <c r="F122" s="42" t="e">
        <f>'[1]#REF'!$E$26</f>
        <v>#REF!</v>
      </c>
      <c r="G122" s="42" t="e">
        <f>'[1]#REF'!$K$26</f>
        <v>#REF!</v>
      </c>
      <c r="H122" s="72" t="e">
        <f>'[1]#REF'!$G$26</f>
        <v>#REF!</v>
      </c>
      <c r="I122" s="73" t="e">
        <f>'[1]#REF'!$BG$26</f>
        <v>#REF!</v>
      </c>
      <c r="J122" s="65" t="e">
        <f>IF(NOT(AND(ISTEXT('[1]#REF'!$K$26),'[1]#REF'!$K$26&lt;&gt;"N/A")),Lookup_Lists!$D$150,IF(Brand_Profile!$I$7='[1]#REF'!$K$26,100,IFERROR(INDEX(Lookup_Lists!$B$349:$J$357,MATCH(Brand_Profile!$I$7,Lookup_Lists!$A$349:$A$357,0),MATCH('[1]#REF'!$K$26,Lookup_Lists!$B$348:$J$348,0)),Lookup_Lists!$D$151)))</f>
        <v>#REF!</v>
      </c>
      <c r="K122" s="65" t="str">
        <f>IF(LEN(TRIM(SUBSTITUTE(Matching_Engine!$BD$122,"|","")))=0,"N/A",IF(Brand_Profile!$I$47=0,Lookup_Lists!$D$150,ROUND((IF(Brand_Profile!$I$41="",0,IF(ISNUMBER(SEARCH(Brand_Profile!$I$41,Matching_Engine!$BD$122)),1,0))+IF(Brand_Profile!$I$42="",0,IF(ISNUMBER(SEARCH(Brand_Profile!$I$42,Matching_Engine!$BD$122)),1,0))+IF(Brand_Profile!$I$43="",0,IF(ISNUMBER(SEARCH(Brand_Profile!$I$43,Matching_Engine!$BD$122)),1,0))+IF(Brand_Profile!$I$44="",0,IF(ISNUMBER(SEARCH(Brand_Profile!$I$44,Matching_Engine!$BD$122)),1,0))+IF(Brand_Profile!$I$45="",0,IF(ISNUMBER(SEARCH(Brand_Profile!$I$45,Matching_Engine!$BD$122)),1,0))+IF(Brand_Profile!$I$46="",0,IF(ISNUMBER(SEARCH(Brand_Profile!$I$46,Matching_Engine!$BD$122)),1,0)))/Brand_Profile!$I$47*100,0)))</f>
        <v>N/A</v>
      </c>
      <c r="L122" s="65" t="e">
        <f>IF(NOT(AND(ISTEXT('[1]#REF'!$U$26),'[1]#REF'!$U$26&lt;&gt;"N/A")),"N/A",IF(Brand_Profile!$I$53=0,Lookup_Lists!$D$150,ROUND((IF(Brand_Profile!$I$48="",0,IF(ISNUMBER(SEARCH(Brand_Profile!$I$48,Matching_Engine!$BF$122)),1,0))+IF(Brand_Profile!$I$49="",0,IF(ISNUMBER(SEARCH(Brand_Profile!$I$49,Matching_Engine!$BF$122)),1,0))+IF(Brand_Profile!$I$50="",0,IF(ISNUMBER(SEARCH(Brand_Profile!$I$50,Matching_Engine!$BF$122)),1,0))+IF(Brand_Profile!$I$51="",0,IF(ISNUMBER(SEARCH(Brand_Profile!$I$51,Matching_Engine!$BF$122)),1,0))+IF(Brand_Profile!$I$52="",0,IF(ISNUMBER(SEARCH(Brand_Profile!$I$52,Matching_Engine!$BF$122)),1,0)))/Brand_Profile!$I$53*100,0)))</f>
        <v>#REF!</v>
      </c>
      <c r="M122" s="63" t="str">
        <f>IF((IF(ISNUMBER(Matching_Engine!$J$122),Lookup_Lists!$D$332,0)+IF(ISNUMBER(Matching_Engine!$K$122),Lookup_Lists!$D$333,0)+IF(ISNUMBER(Matching_Engine!$L$122),Lookup_Lists!$D$334,0))=0,"N/A",ROUND((IF(ISNUMBER(Matching_Engine!$J$122),Matching_Engine!$J$122*Lookup_Lists!$D$332,0)+IF(ISNUMBER(Matching_Engine!$K$122),Matching_Engine!$K$122*Lookup_Lists!$D$333,0)+IF(ISNUMBER(Matching_Engine!$L$122),Matching_Engine!$L$122*Lookup_Lists!$D$334,0))/(IF(ISNUMBER(Matching_Engine!$J$122),Lookup_Lists!$D$332,0)+IF(ISNUMBER(Matching_Engine!$K$122),Lookup_Lists!$D$333,0)+IF(ISNUMBER(Matching_Engine!$L$122),Lookup_Lists!$D$334,0)),0))</f>
        <v>N/A</v>
      </c>
      <c r="N122" s="42">
        <f>IF(ISNUMBER(Matching_Engine!$M$122),1,0)</f>
        <v>0</v>
      </c>
      <c r="O122" s="65" t="str">
        <f ca="1">IF(NOT(ISNUMBER(IFERROR(INDEX('[1]#REF'!$V$26:'[1]#REF'!$Z$26,1,MATCH(Brand_Profile!$I$11,Lookup_Lists!$F$6:$F$10,0)),""))),"N/A",MIN(100,ROUND((IFERROR(INDEX('[1]#REF'!$V$26:'[1]#REF'!$Z$26,1,MATCH(Brand_Profile!$I$11,Lookup_Lists!$F$6:$F$10,0)),"")+0.5*IF(ISNUMBER(IFERROR(INDEX('[1]#REF'!$V$26:'[1]#REF'!$Z$26,1,MATCH(Brand_Profile!$I$12,Lookup_Lists!$F$6:$F$10,0)),"")),IFERROR(INDEX('[1]#REF'!$V$26:'[1]#REF'!$Z$26,1,MATCH(Brand_Profile!$I$12,Lookup_Lists!$F$6:$F$10,0)),""),0))/Lookup_Lists!$D$142*100,0)))</f>
        <v>N/A</v>
      </c>
      <c r="P122" s="65" t="str">
        <f>IF(Brand_Profile!$I$13="Any",100,IF(NOT(ISNUMBER('[1]#REF'!$AA$26)),"N/A",IF(Brand_Profile!$I$13="Female",MIN(100,ROUND('[1]#REF'!$AA$26/Lookup_Lists!$D$143*100,0)),IF(Brand_Profile!$I$13="Male",MIN(100,ROUND(IF(ISNUMBER('[1]#REF'!$AB$26),'[1]#REF'!$AB$26,100-'[1]#REF'!$AA$26)/Lookup_Lists!$D$143*100,0)),MAX(0,ROUND(100-ABS('[1]#REF'!$AA$26-50)*2,0))))))</f>
        <v>N/A</v>
      </c>
      <c r="Q122" s="65" t="str">
        <f>IF((IF(ISNUMBER(IF(NOT(ISNUMBER('[1]#REF'!$AE$26)),"N/A",IF('[1]#REF'!$AD$26&lt;&gt;Brand_Profile!$I$14,Lookup_Lists!$D$151,MIN(100,ROUND('[1]#REF'!$AE$26/Lookup_Lists!$D$316*100,0))))),Lookup_Lists!$D$118,0)+IF(ISNUMBER(IF(NOT(ISNUMBER('[1]#REF'!$AM$26)),"N/A",MIN(100,ROUND((IF('[1]#REF'!$AG$26=Brand_Profile!$I$15,IF(ISNUMBER('[1]#REF'!$AH$26),'[1]#REF'!$AH$26,0),0)+IF('[1]#REF'!$AI$26=Brand_Profile!$I$15,IF(ISNUMBER('[1]#REF'!$AJ$26),'[1]#REF'!$AJ$26,0),0)+IF('[1]#REF'!$AK$26=Brand_Profile!$I$15,IF(ISNUMBER('[1]#REF'!$AL$26),'[1]#REF'!$AL$26,0),0))/Lookup_Lists!$D$317*100,0)))),Lookup_Lists!$D$120,0))=0,"N/A",ROUND((IF(ISNUMBER(IF(NOT(ISNUMBER('[1]#REF'!$AE$26)),"N/A",IF('[1]#REF'!$AD$26&lt;&gt;Brand_Profile!$I$14,Lookup_Lists!$D$151,MIN(100,ROUND('[1]#REF'!$AE$26/Lookup_Lists!$D$316*100,0))))),IF(NOT(ISNUMBER('[1]#REF'!$AE$26)),"N/A",IF('[1]#REF'!$AD$26&lt;&gt;Brand_Profile!$I$14,Lookup_Lists!$D$151,MIN(100,ROUND('[1]#REF'!$AE$26/Lookup_Lists!$D$316*100,0))))*Lookup_Lists!$D$118,0)+IF(ISNUMBER(IF(NOT(ISNUMBER('[1]#REF'!$AM$26)),"N/A",MIN(100,ROUND((IF('[1]#REF'!$AG$26=Brand_Profile!$I$15,IF(ISNUMBER('[1]#REF'!$AH$26),'[1]#REF'!$AH$26,0),0)+IF('[1]#REF'!$AI$26=Brand_Profile!$I$15,IF(ISNUMBER('[1]#REF'!$AJ$26),'[1]#REF'!$AJ$26,0),0)+IF('[1]#REF'!$AK$26=Brand_Profile!$I$15,IF(ISNUMBER('[1]#REF'!$AL$26),'[1]#REF'!$AL$26,0),0))/Lookup_Lists!$D$317*100,0)))),IF(NOT(ISNUMBER('[1]#REF'!$AM$26)),"N/A",MIN(100,ROUND((IF('[1]#REF'!$AG$26=Brand_Profile!$I$15,IF(ISNUMBER('[1]#REF'!$AH$26),'[1]#REF'!$AH$26,0),0)+IF('[1]#REF'!$AI$26=Brand_Profile!$I$15,IF(ISNUMBER('[1]#REF'!$AJ$26),'[1]#REF'!$AJ$26,0),0)+IF('[1]#REF'!$AK$26=Brand_Profile!$I$15,IF(ISNUMBER('[1]#REF'!$AL$26),'[1]#REF'!$AL$26,0),0))/Lookup_Lists!$D$317*100,0)))*Lookup_Lists!$D$120,0))/(IF(ISNUMBER(IF(NOT(ISNUMBER('[1]#REF'!$AE$26)),"N/A",IF('[1]#REF'!$AD$26&lt;&gt;Brand_Profile!$I$14,Lookup_Lists!$D$151,MIN(100,ROUND('[1]#REF'!$AE$26/Lookup_Lists!$D$316*100,0))))),Lookup_Lists!$D$118,0)+IF(ISNUMBER(IF(NOT(ISNUMBER('[1]#REF'!$AM$26)),"N/A",MIN(100,ROUND((IF('[1]#REF'!$AG$26=Brand_Profile!$I$15,IF(ISNUMBER('[1]#REF'!$AH$26),'[1]#REF'!$AH$26,0),0)+IF('[1]#REF'!$AI$26=Brand_Profile!$I$15,IF(ISNUMBER('[1]#REF'!$AJ$26),'[1]#REF'!$AJ$26,0),0)+IF('[1]#REF'!$AK$26=Brand_Profile!$I$15,IF(ISNUMBER('[1]#REF'!$AL$26),'[1]#REF'!$AL$26,0),0))/Lookup_Lists!$D$317*100,0)))),Lookup_Lists!$D$120,0)),0))</f>
        <v>N/A</v>
      </c>
      <c r="R122" s="65" t="str">
        <f>IF(NOT(ISNUMBER('[1]#REF'!$AN$26)),"N/A",MIN(100,ROUND((IF(ISNUMBER('[1]#REF'!$AO$26),'[1]#REF'!$AO$26*Brand_Profile!$I$17,0)+IF(ISNUMBER('[1]#REF'!$AP$26),'[1]#REF'!$AP$26*Brand_Profile!$I$18,0)+IF(ISNUMBER('[1]#REF'!$AQ$26),'[1]#REF'!$AQ$26*Brand_Profile!$I$19,0)+IF(ISNUMBER('[1]#REF'!$AR$26),'[1]#REF'!$AR$26*Brand_Profile!$I$20,0)+IF(ISNUMBER('[1]#REF'!$AS$26),'[1]#REF'!$AS$26*Brand_Profile!$I$21,0)+IF(ISNUMBER('[1]#REF'!$AT$26),'[1]#REF'!$AT$26*Brand_Profile!$I$22,0)+IF(ISNUMBER('[1]#REF'!$AU$26),'[1]#REF'!$AU$26*Brand_Profile!$I$23,0)+IF(ISNUMBER('[1]#REF'!$AV$26),'[1]#REF'!$AV$26*Brand_Profile!$I$24,0)+IF(ISNUMBER('[1]#REF'!$AW$26),'[1]#REF'!$AW$26*Brand_Profile!$I$25,0)+IF(ISNUMBER('[1]#REF'!$AX$26),'[1]#REF'!$AX$26*Brand_Profile!$I$26,0)+IF(ISNUMBER('[1]#REF'!$AY$26),'[1]#REF'!$AY$26*Brand_Profile!$I$27,0)+IF(ISNUMBER('[1]#REF'!$AZ$26),'[1]#REF'!$AZ$26*Brand_Profile!$I$28,0)+IF(ISNUMBER('[1]#REF'!$BA$26),'[1]#REF'!$BA$26*Brand_Profile!$I$29,0)+IF(ISNUMBER('[1]#REF'!$BB$26),'[1]#REF'!$BB$26*Brand_Profile!$I$30,0)+IF(ISNUMBER('[1]#REF'!$BC$26),'[1]#REF'!$BC$26*Brand_Profile!$I$31,0)+IF(ISNUMBER('[1]#REF'!$BD$26),'[1]#REF'!$BD$26*Brand_Profile!$I$32,0)+IF(ISNUMBER('[1]#REF'!$BE$26),'[1]#REF'!$BE$26*Brand_Profile!$I$33,0)+IF(ISNUMBER('[1]#REF'!$BF$26),'[1]#REF'!$BF$26*Brand_Profile!$I$34,0))/Lookup_Lists!$D$318*100,0)))</f>
        <v>N/A</v>
      </c>
      <c r="S122" s="63" t="str">
        <f>IF((IF(ISNUMBER(Matching_Engine!$O$122),Lookup_Lists!$D$113,0)+IF(ISNUMBER(Matching_Engine!$P$122),Lookup_Lists!$D$114,0)+IF(ISNUMBER(Matching_Engine!$Q$122),Lookup_Lists!$D$115,0)+IF(ISNUMBER(Matching_Engine!$R$122),Lookup_Lists!$D$116,0))=0,"N/A",ROUND((IF(ISNUMBER(Matching_Engine!$O$122),Matching_Engine!$O$122*Lookup_Lists!$D$113,0)+IF(ISNUMBER(Matching_Engine!$P$122),Matching_Engine!$P$122*Lookup_Lists!$D$114,0)+IF(ISNUMBER(Matching_Engine!$Q$122),Matching_Engine!$Q$122*Lookup_Lists!$D$115,0)+IF(ISNUMBER(Matching_Engine!$R$122),Matching_Engine!$R$122*Lookup_Lists!$D$116,0))/(IF(ISNUMBER(Matching_Engine!$O$122),Lookup_Lists!$D$113,0)+IF(ISNUMBER(Matching_Engine!$P$122),Lookup_Lists!$D$114,0)+IF(ISNUMBER(Matching_Engine!$Q$122),Lookup_Lists!$D$115,0)+IF(ISNUMBER(Matching_Engine!$R$122),Lookup_Lists!$D$116,0)),0))</f>
        <v>N/A</v>
      </c>
      <c r="T122" s="42">
        <f>IF(ISNUMBER(Matching_Engine!$S$122),1,0)</f>
        <v>0</v>
      </c>
      <c r="U122" s="65" t="e">
        <f>IF(NOT(AND(ISTEXT('[1]#REF'!$M$26),'[1]#REF'!$M$26&lt;&gt;"N/A")),Lookup_Lists!$D$150,IF(Brand_Profile!$I$7='[1]#REF'!$M$26,100,IFERROR(INDEX(Lookup_Lists!$B$349:$J$357,MATCH(Brand_Profile!$I$7,Lookup_Lists!$A$349:$A$357,0),MATCH('[1]#REF'!$M$26,Lookup_Lists!$B$348:$J$348,0)),Lookup_Lists!$D$151)))</f>
        <v>#REF!</v>
      </c>
      <c r="V122" s="65" t="e">
        <f>IF(NOT(AND(ISTEXT('[1]#REF'!$P$26),'[1]#REF'!$P$26&lt;&gt;"N/A")),"N/A",IFERROR(INDEX(Lookup_Lists!$B$349:$J$357,MATCH(Brand_Profile!$I$7,Lookup_Lists!$A$349:$A$357,0),MATCH('[1]#REF'!$P$26,Lookup_Lists!$B$348:$J$348,0)),Lookup_Lists!$D$151))</f>
        <v>#REF!</v>
      </c>
      <c r="W122" s="65" t="str">
        <f>IF(LEN(TRIM(SUBSTITUTE(Matching_Engine!$BE$122,"|","")))=0,"N/A",IF(Brand_Profile!$I$60=0,Lookup_Lists!$D$150,ROUND((IF(Brand_Profile!$I$54="",0,IF(ISNUMBER(SEARCH(Brand_Profile!$I$54,Matching_Engine!$BE$122)),1,0))+IF(Brand_Profile!$I$55="",0,IF(ISNUMBER(SEARCH(Brand_Profile!$I$55,Matching_Engine!$BE$122)),1,0))+IF(Brand_Profile!$I$56="",0,IF(ISNUMBER(SEARCH(Brand_Profile!$I$56,Matching_Engine!$BE$122)),1,0))+IF(Brand_Profile!$I$57="",0,IF(ISNUMBER(SEARCH(Brand_Profile!$I$57,Matching_Engine!$BE$122)),1,0))+IF(Brand_Profile!$I$58="",0,IF(ISNUMBER(SEARCH(Brand_Profile!$I$58,Matching_Engine!$BE$122)),1,0))+IF(Brand_Profile!$I$59="",0,IF(ISNUMBER(SEARCH(Brand_Profile!$I$59,Matching_Engine!$BE$122)),1,0)))/Brand_Profile!$I$60*100,0)))</f>
        <v>N/A</v>
      </c>
      <c r="X122" s="65" t="e">
        <f>IF(NOT(AND(ISTEXT('[1]#REF'!$Q$26),'[1]#REF'!$Q$26&lt;&gt;"N/A")),"N/A",Lookup_Lists!$D$150)</f>
        <v>#REF!</v>
      </c>
      <c r="Y122" s="63" t="str">
        <f>IF((IF(ISNUMBER(Matching_Engine!$U$122),Lookup_Lists!$D$335,0)+IF(ISNUMBER(Matching_Engine!$V$122),Lookup_Lists!$D$122,0)+IF(ISNUMBER(Matching_Engine!$W$122),Lookup_Lists!$D$336,0)+IF(ISNUMBER(Matching_Engine!$X$122),Lookup_Lists!$D$124,0))=0,"N/A",ROUND((IF(ISNUMBER(Matching_Engine!$U$122),Matching_Engine!$U$122*Lookup_Lists!$D$335,0)+IF(ISNUMBER(Matching_Engine!$V$122),Matching_Engine!$V$122*Lookup_Lists!$D$122,0)+IF(ISNUMBER(Matching_Engine!$W$122),Matching_Engine!$W$122*Lookup_Lists!$D$336,0)+IF(ISNUMBER(Matching_Engine!$X$122),Matching_Engine!$X$122*Lookup_Lists!$D$124,0))/(IF(ISNUMBER(Matching_Engine!$U$122),Lookup_Lists!$D$335,0)+IF(ISNUMBER(Matching_Engine!$V$122),Lookup_Lists!$D$122,0)+IF(ISNUMBER(Matching_Engine!$W$122),Lookup_Lists!$D$336,0)+IF(ISNUMBER(Matching_Engine!$X$122),Lookup_Lists!$D$124,0)),0))</f>
        <v>N/A</v>
      </c>
      <c r="Z122" s="42">
        <f>IF(ISNUMBER(Matching_Engine!$Y$122),1,0)</f>
        <v>0</v>
      </c>
      <c r="AA122" s="65" t="e">
        <f>IF(NOT(AND(ISTEXT('[1]#REF'!$Q$26),'[1]#REF'!$Q$26&lt;&gt;"N/A")),"N/A",Lookup_Lists!$D$150)</f>
        <v>#REF!</v>
      </c>
      <c r="AB122" s="65" t="e">
        <f>IF(NOT(AND(ISTEXT('[1]#REF'!$Q$26),'[1]#REF'!$Q$26&lt;&gt;"N/A")),"N/A",Lookup_Lists!$D$150)</f>
        <v>#REF!</v>
      </c>
      <c r="AC122" s="65" t="str">
        <f t="shared" si="1"/>
        <v>N/A</v>
      </c>
      <c r="AD122" s="65" t="e">
        <f>IF(NOT(AND(ISTEXT('[1]#REF'!$Q$26),'[1]#REF'!$Q$26&lt;&gt;"N/A")),"N/A",Lookup_Lists!$D$150)</f>
        <v>#REF!</v>
      </c>
      <c r="AE122" s="63" t="str">
        <f>IF((IF(ISNUMBER(Matching_Engine!$AA$122),Lookup_Lists!$D$125,0)+IF(ISNUMBER(Matching_Engine!$AB$122),Lookup_Lists!$D$126,0)+IF(ISNUMBER(Matching_Engine!$AC$122),Lookup_Lists!$D$127,0)+IF(ISNUMBER(Matching_Engine!$AD$122),Lookup_Lists!$D$128,0))=0,"N/A",ROUND((IF(ISNUMBER(Matching_Engine!$AA$122),Matching_Engine!$AA$122*Lookup_Lists!$D$125,0)+IF(ISNUMBER(Matching_Engine!$AB$122),Matching_Engine!$AB$122*Lookup_Lists!$D$126,0)+IF(ISNUMBER(Matching_Engine!$AC$122),Matching_Engine!$AC$122*Lookup_Lists!$D$127,0)+IF(ISNUMBER(Matching_Engine!$AD$122),Matching_Engine!$AD$122*Lookup_Lists!$D$128,0))/(IF(ISNUMBER(Matching_Engine!$AA$122),Lookup_Lists!$D$125,0)+IF(ISNUMBER(Matching_Engine!$AB$122),Lookup_Lists!$D$126,0)+IF(ISNUMBER(Matching_Engine!$AC$122),Lookup_Lists!$D$127,0)+IF(ISNUMBER(Matching_Engine!$AD$122),Lookup_Lists!$D$128,0)),0))</f>
        <v>N/A</v>
      </c>
      <c r="AF122" s="42">
        <f>IF(ISNUMBER(Matching_Engine!$AE$122),1,0)</f>
        <v>0</v>
      </c>
      <c r="AG122" s="65" t="str">
        <f>IF(NOT(ISNUMBER('[1]#REF'!$BG$26)),"N/A",MIN(100,ROUND('[1]#REF'!$BG$26/IFERROR(INDEX(Lookup_Lists!$B$340:$B$344,MATCH('[1]#REF'!$H$26,Lookup_Lists!$A$340:$A$344,0)),Lookup_Lists!$D$141)*100,0)))</f>
        <v>N/A</v>
      </c>
      <c r="AH122" s="65" t="str">
        <f>IF(NOT(ISNUMBER('[1]#REF'!$BS$26)),"N/A",MIN(100,MAX(0,'[1]#REF'!$BS$26)))</f>
        <v>N/A</v>
      </c>
      <c r="AI122" s="65" t="e">
        <f>IF(OR(NOT(ISNUMBER('[1]#REF'!$BM$26)),NOT(ISNUMBER('[1]#REF'!$BN$26)),'[1]#REF'!$BN$26&lt;Lookup_Lists!$D$320),"N/A",MIN(100,ROUND('[1]#REF'!$BM$26/Lookup_Lists!$D$319*100,0)))</f>
        <v>#REF!</v>
      </c>
      <c r="AJ122" s="65" t="str">
        <f>IF(NOT(ISNUMBER('[1]#REF'!$BR$26)),"N/A",'[1]#REF'!$BR$26)</f>
        <v>N/A</v>
      </c>
      <c r="AK122" s="65" t="str">
        <f>IF(NOT(ISNUMBER('[1]#REF'!$BK$26)),"N/A",MIN(100,ROUND('[1]#REF'!$BK$26/Lookup_Lists!$D$321*100,0)))</f>
        <v>N/A</v>
      </c>
      <c r="AL122" s="65" t="str">
        <f>IF(NOT(ISNUMBER('[1]#REF'!$BP$26)),"N/A",MIN(100,MAX(0,ROUND(('[1]#REF'!$BP$26+2)/(Lookup_Lists!$D$145+2)*100,0))))</f>
        <v>N/A</v>
      </c>
      <c r="AM122" s="63" t="str">
        <f>IF((IF(ISNUMBER(Matching_Engine!$AG$122),Lookup_Lists!$D$129,0)+IF(ISNUMBER(Matching_Engine!$AH$122),Lookup_Lists!$D$130,0)+IF(ISNUMBER(Matching_Engine!$AI$122),Lookup_Lists!$D$131,0)+IF(ISNUMBER(Matching_Engine!$AJ$122),Lookup_Lists!$D$132,0)+IF(ISNUMBER(Matching_Engine!$AK$122),Lookup_Lists!$D$133,0)+IF(ISNUMBER(Matching_Engine!$AL$122),Lookup_Lists!$D$134,0))=0,"N/A",ROUND((IF(ISNUMBER(Matching_Engine!$AG$122),Matching_Engine!$AG$122*Lookup_Lists!$D$129,0)+IF(ISNUMBER(Matching_Engine!$AH$122),Matching_Engine!$AH$122*Lookup_Lists!$D$130,0)+IF(ISNUMBER(Matching_Engine!$AI$122),Matching_Engine!$AI$122*Lookup_Lists!$D$131,0)+IF(ISNUMBER(Matching_Engine!$AJ$122),Matching_Engine!$AJ$122*Lookup_Lists!$D$132,0)+IF(ISNUMBER(Matching_Engine!$AK$122),Matching_Engine!$AK$122*Lookup_Lists!$D$133,0)+IF(ISNUMBER(Matching_Engine!$AL$122),Matching_Engine!$AL$122*Lookup_Lists!$D$134,0))/(IF(ISNUMBER(Matching_Engine!$AG$122),Lookup_Lists!$D$129,0)+IF(ISNUMBER(Matching_Engine!$AH$122),Lookup_Lists!$D$130,0)+IF(ISNUMBER(Matching_Engine!$AI$122),Lookup_Lists!$D$131,0)+IF(ISNUMBER(Matching_Engine!$AJ$122),Lookup_Lists!$D$132,0)+IF(ISNUMBER(Matching_Engine!$AK$122),Lookup_Lists!$D$133,0)+IF(ISNUMBER(Matching_Engine!$AL$122),Lookup_Lists!$D$134,0)),0))</f>
        <v>N/A</v>
      </c>
      <c r="AN122" s="42">
        <f>IF(ISNUMBER(Matching_Engine!$AM$122),1,0)</f>
        <v>0</v>
      </c>
      <c r="AO122" s="65" t="str">
        <f>IF(NOT(ISNUMBER('[1]#REF'!$BT$26)),"N/A",MIN(100,MAX(0,'[1]#REF'!$BT$26)))</f>
        <v>N/A</v>
      </c>
      <c r="AP122" s="65" t="str">
        <f>IF(NOT(ISNUMBER('[1]#REF'!$BU$26)),"N/A",MIN(100,MAX(0,'[1]#REF'!$BU$26)))</f>
        <v>N/A</v>
      </c>
      <c r="AQ122" s="65" t="e">
        <f>IF('[1]#REF'!$I$26="Yes",Lookup_Lists!$D$326,IF('[1]#REF'!$I$26="No",Lookup_Lists!$D$327,"N/A"))</f>
        <v>#REF!</v>
      </c>
      <c r="AR122" s="65" t="str">
        <f>IF(NOT(ISNUMBER('[1]#REF'!$BQ$26)),"N/A",MAX(0,ROUND(100-'[1]#REF'!$BQ$26/Lookup_Lists!$D$328*100,0)))</f>
        <v>N/A</v>
      </c>
      <c r="AS122" s="65" t="e">
        <f>IF(NOT(AND(ISTEXT('[1]#REF'!$BV$26),'[1]#REF'!$BV$26&lt;&gt;"N/A")),"N/A",'[1]#REF'!$BV$26)</f>
        <v>#REF!</v>
      </c>
      <c r="AT122" s="63" t="str">
        <f>IF((IF(ISNUMBER(Matching_Engine!$AO$122),Lookup_Lists!$D$322,0)+IF(ISNUMBER(Matching_Engine!$AP$122),Lookup_Lists!$D$323,0)+IF(ISNUMBER(Matching_Engine!$AQ$122),Lookup_Lists!$D$324,0)+IF(ISNUMBER(Matching_Engine!$AR$122),Lookup_Lists!$D$325,0))=0,"N/A",ROUND((IF(ISNUMBER(Matching_Engine!$AO$122),Matching_Engine!$AO$122*Lookup_Lists!$D$322,0)+IF(ISNUMBER(Matching_Engine!$AP$122),Matching_Engine!$AP$122*Lookup_Lists!$D$323,0)+IF(ISNUMBER(Matching_Engine!$AQ$122),Matching_Engine!$AQ$122*Lookup_Lists!$D$324,0)+IF(ISNUMBER(Matching_Engine!$AR$122),Matching_Engine!$AR$122*Lookup_Lists!$D$325,0))/(IF(ISNUMBER(Matching_Engine!$AO$122),Lookup_Lists!$D$322,0)+IF(ISNUMBER(Matching_Engine!$AP$122),Lookup_Lists!$D$323,0)+IF(ISNUMBER(Matching_Engine!$AQ$122),Lookup_Lists!$D$324,0)+IF(ISNUMBER(Matching_Engine!$AR$122),Lookup_Lists!$D$325,0)),0))</f>
        <v>N/A</v>
      </c>
      <c r="AU122" s="42">
        <f>IF(ISNUMBER(Matching_Engine!$AT$122),1,0)</f>
        <v>0</v>
      </c>
      <c r="AV122" s="42" t="str">
        <f>IF(NOT(ISNUMBER(Matching_Engine!$AT$122)),"Not Screened",IF(Matching_Engine!$AT$122&gt;=Lookup_Lists!$D$329,"Low Risk",IF(Matching_Engine!$AT$122&gt;=Lookup_Lists!$D$330,"Moderate Risk",IF(Matching_Engine!$AT$122&gt;=Lookup_Lists!$D$331,"Elevated Risk","High Risk"))))</f>
        <v>Not Screened</v>
      </c>
      <c r="AW122" s="42" t="str">
        <f>IF(NOT(ISNUMBER(Matching_Engine!$AT$122)),"No integrity signal: no audience-analysis row for this account.","Integrity screen only — no content-risk reading exists (comments_analysis: 0 rows). "&amp;IF(ISNUMBER(Matching_Engine!$AO$122),"Authenticity "&amp;Matching_Engine!$AO$122&amp;". ","Authenticity N/A. ")&amp;IF(ISNUMBER(Matching_Engine!$AP$122),"Follower quality "&amp;Matching_Engine!$AP$122&amp;". ","Follower quality N/A. ")&amp;IF('[1]#REF'!$I$26="Yes","Platform-verified.","Not platform-verified."))</f>
        <v>No integrity signal: no audience-analysis row for this account.</v>
      </c>
      <c r="AX122" s="65">
        <f>Matching_Engine!$N$122*Lookup_Lists!$D$104+Matching_Engine!$T$122*Lookup_Lists!$D$105+Matching_Engine!$Z$122*Lookup_Lists!$D$106+Matching_Engine!$AF$122*Lookup_Lists!$D$107+Matching_Engine!$AN$122*Lookup_Lists!$D$108+Matching_Engine!$AU$122*Lookup_Lists!$D$109</f>
        <v>0</v>
      </c>
      <c r="AY122" s="74" t="str">
        <f>IF(Matching_Engine!$AX$122=0,"N/A",ROUND((IF(Matching_Engine!$N$122=1,Matching_Engine!$M$122*Lookup_Lists!$D$104,0)+IF(Matching_Engine!$T$122=1,Matching_Engine!$S$122*Lookup_Lists!$D$105,0)+IF(Matching_Engine!$Z$122=1,Matching_Engine!$Y$122*Lookup_Lists!$D$106,0)+IF(Matching_Engine!$AF$122=1,Matching_Engine!$AE$122*Lookup_Lists!$D$107,0)+IF(Matching_Engine!$AN$122=1,Matching_Engine!$AM$122*Lookup_Lists!$D$108,0)+IF(Matching_Engine!$AU$122=1,Matching_Engine!$AT$122*Lookup_Lists!$D$109,0))/Matching_Engine!$AX$122,0))</f>
        <v>N/A</v>
      </c>
      <c r="AZ122" s="42" t="str">
        <f>IF(NOT(ISNUMBER(Matching_Engine!$AY$122)),"Not Scored",IF(Matching_Engine!$AY$122&gt;=Lookup_Lists!$D$152,"Excellent Match",IF(Matching_Engine!$AY$122&gt;=Lookup_Lists!$D$153,"Strong Match",IF(Matching_Engine!$AY$122&gt;=Lookup_Lists!$D$154,"Good Match",IF(Matching_Engine!$AY$122&gt;=Lookup_Lists!$D$155,"Moderate Match","Low Match")))))</f>
        <v>Not Scored</v>
      </c>
      <c r="BA122" s="65" t="e">
        <f>'[1]#REF'!$BW$26</f>
        <v>#REF!</v>
      </c>
      <c r="BB122" s="42" t="e">
        <f>'[1]#REF'!$BX$26</f>
        <v>#REF!</v>
      </c>
      <c r="BC122" s="65">
        <f>IF(NOT(ISNUMBER(Matching_Engine!$AY$122)),-1,Matching_Engine!$AY$122*1000+4)</f>
        <v>-1</v>
      </c>
      <c r="BD122" s="42" t="e">
        <f>IF(AND(ISTEXT('[1]#REF'!$S$26),'[1]#REF'!$S$26&lt;&gt;"N/A"),'[1]#REF'!$S$26,"")&amp;" | "&amp;IF(AND(ISTEXT('[1]#REF'!$T$26),'[1]#REF'!$T$26&lt;&gt;"N/A"),'[1]#REF'!$T$26,"")&amp;" | "&amp;IF(AND(ISTEXT('[1]#REF'!$N$26),'[1]#REF'!$N$26&lt;&gt;"N/A"),'[1]#REF'!$N$26,"")&amp;" | "&amp;IF(AND(ISTEXT('[1]#REF'!$K$26),'[1]#REF'!$K$26&lt;&gt;"N/A"),'[1]#REF'!$K$26,"")&amp;" | "&amp;IF(AND(ISTEXT('[1]#REF'!$J$26),'[1]#REF'!$J$26&lt;&gt;"N/A"),'[1]#REF'!$J$26,"")</f>
        <v>#REF!</v>
      </c>
      <c r="BE122" s="42" t="e">
        <f>IF(AND(ISTEXT('[1]#REF'!$T$26),'[1]#REF'!$T$26&lt;&gt;"N/A"),'[1]#REF'!$T$26,"")&amp;" | "&amp;IF(AND(ISTEXT('[1]#REF'!$N$26),'[1]#REF'!$N$26&lt;&gt;"N/A"),'[1]#REF'!$N$26,"")&amp;" | "&amp;IF(AND(ISTEXT('[1]#REF'!$O$26),'[1]#REF'!$O$26&lt;&gt;"N/A"),'[1]#REF'!$O$26,"")&amp;" | "&amp;IF(AND(ISTEXT('[1]#REF'!$S$26),'[1]#REF'!$S$26&lt;&gt;"N/A"),'[1]#REF'!$S$26,"")</f>
        <v>#REF!</v>
      </c>
      <c r="BF122" s="42" t="e">
        <f>IF(AND(ISTEXT('[1]#REF'!$U$26),'[1]#REF'!$U$26&lt;&gt;"N/A"),'[1]#REF'!$U$26,"")</f>
        <v>#REF!</v>
      </c>
      <c r="BG122" s="42" t="str">
        <f>Matching_Engine!$A$122&amp;"|"&amp;Matching_Engine!$C$122</f>
        <v>|</v>
      </c>
    </row>
    <row r="123" spans="1:59">
      <c r="A123" s="64" t="s">
        <v>2531</v>
      </c>
      <c r="B123" s="42">
        <f>Brand_Profile!$I$6</f>
        <v>0</v>
      </c>
      <c r="C123" s="42" t="e">
        <f>'[1]#REF'!$A$27</f>
        <v>#REF!</v>
      </c>
      <c r="D123" s="42" t="e">
        <f>'[1]#REF'!$C$27</f>
        <v>#REF!</v>
      </c>
      <c r="E123" s="42" t="e">
        <f>'[1]#REF'!$D$27</f>
        <v>#REF!</v>
      </c>
      <c r="F123" s="42" t="e">
        <f>'[1]#REF'!$E$27</f>
        <v>#REF!</v>
      </c>
      <c r="G123" s="42" t="e">
        <f>'[1]#REF'!$K$27</f>
        <v>#REF!</v>
      </c>
      <c r="H123" s="72" t="e">
        <f>'[1]#REF'!$G$27</f>
        <v>#REF!</v>
      </c>
      <c r="I123" s="73" t="e">
        <f>'[1]#REF'!$BG$27</f>
        <v>#REF!</v>
      </c>
      <c r="J123" s="65" t="e">
        <f>IF(NOT(AND(ISTEXT('[1]#REF'!$K$27),'[1]#REF'!$K$27&lt;&gt;"N/A")),Lookup_Lists!$D$150,IF(Brand_Profile!$I$7='[1]#REF'!$K$27,100,IFERROR(INDEX(Lookup_Lists!$B$349:$J$357,MATCH(Brand_Profile!$I$7,Lookup_Lists!$A$349:$A$357,0),MATCH('[1]#REF'!$K$27,Lookup_Lists!$B$348:$J$348,0)),Lookup_Lists!$D$151)))</f>
        <v>#REF!</v>
      </c>
      <c r="K123" s="65" t="str">
        <f>IF(LEN(TRIM(SUBSTITUTE(Matching_Engine!$BD$123,"|","")))=0,"N/A",IF(Brand_Profile!$I$47=0,Lookup_Lists!$D$150,ROUND((IF(Brand_Profile!$I$41="",0,IF(ISNUMBER(SEARCH(Brand_Profile!$I$41,Matching_Engine!$BD$123)),1,0))+IF(Brand_Profile!$I$42="",0,IF(ISNUMBER(SEARCH(Brand_Profile!$I$42,Matching_Engine!$BD$123)),1,0))+IF(Brand_Profile!$I$43="",0,IF(ISNUMBER(SEARCH(Brand_Profile!$I$43,Matching_Engine!$BD$123)),1,0))+IF(Brand_Profile!$I$44="",0,IF(ISNUMBER(SEARCH(Brand_Profile!$I$44,Matching_Engine!$BD$123)),1,0))+IF(Brand_Profile!$I$45="",0,IF(ISNUMBER(SEARCH(Brand_Profile!$I$45,Matching_Engine!$BD$123)),1,0))+IF(Brand_Profile!$I$46="",0,IF(ISNUMBER(SEARCH(Brand_Profile!$I$46,Matching_Engine!$BD$123)),1,0)))/Brand_Profile!$I$47*100,0)))</f>
        <v>N/A</v>
      </c>
      <c r="L123" s="65" t="e">
        <f>IF(NOT(AND(ISTEXT('[1]#REF'!$U$27),'[1]#REF'!$U$27&lt;&gt;"N/A")),"N/A",IF(Brand_Profile!$I$53=0,Lookup_Lists!$D$150,ROUND((IF(Brand_Profile!$I$48="",0,IF(ISNUMBER(SEARCH(Brand_Profile!$I$48,Matching_Engine!$BF$123)),1,0))+IF(Brand_Profile!$I$49="",0,IF(ISNUMBER(SEARCH(Brand_Profile!$I$49,Matching_Engine!$BF$123)),1,0))+IF(Brand_Profile!$I$50="",0,IF(ISNUMBER(SEARCH(Brand_Profile!$I$50,Matching_Engine!$BF$123)),1,0))+IF(Brand_Profile!$I$51="",0,IF(ISNUMBER(SEARCH(Brand_Profile!$I$51,Matching_Engine!$BF$123)),1,0))+IF(Brand_Profile!$I$52="",0,IF(ISNUMBER(SEARCH(Brand_Profile!$I$52,Matching_Engine!$BF$123)),1,0)))/Brand_Profile!$I$53*100,0)))</f>
        <v>#REF!</v>
      </c>
      <c r="M123" s="63" t="str">
        <f>IF((IF(ISNUMBER(Matching_Engine!$J$123),Lookup_Lists!$D$332,0)+IF(ISNUMBER(Matching_Engine!$K$123),Lookup_Lists!$D$333,0)+IF(ISNUMBER(Matching_Engine!$L$123),Lookup_Lists!$D$334,0))=0,"N/A",ROUND((IF(ISNUMBER(Matching_Engine!$J$123),Matching_Engine!$J$123*Lookup_Lists!$D$332,0)+IF(ISNUMBER(Matching_Engine!$K$123),Matching_Engine!$K$123*Lookup_Lists!$D$333,0)+IF(ISNUMBER(Matching_Engine!$L$123),Matching_Engine!$L$123*Lookup_Lists!$D$334,0))/(IF(ISNUMBER(Matching_Engine!$J$123),Lookup_Lists!$D$332,0)+IF(ISNUMBER(Matching_Engine!$K$123),Lookup_Lists!$D$333,0)+IF(ISNUMBER(Matching_Engine!$L$123),Lookup_Lists!$D$334,0)),0))</f>
        <v>N/A</v>
      </c>
      <c r="N123" s="42">
        <f>IF(ISNUMBER(Matching_Engine!$M$123),1,0)</f>
        <v>0</v>
      </c>
      <c r="O123" s="65" t="str">
        <f ca="1">IF(NOT(ISNUMBER(IFERROR(INDEX('[1]#REF'!$V$27:'[1]#REF'!$Z$27,1,MATCH(Brand_Profile!$I$11,Lookup_Lists!$F$6:$F$10,0)),""))),"N/A",MIN(100,ROUND((IFERROR(INDEX('[1]#REF'!$V$27:'[1]#REF'!$Z$27,1,MATCH(Brand_Profile!$I$11,Lookup_Lists!$F$6:$F$10,0)),"")+0.5*IF(ISNUMBER(IFERROR(INDEX('[1]#REF'!$V$27:'[1]#REF'!$Z$27,1,MATCH(Brand_Profile!$I$12,Lookup_Lists!$F$6:$F$10,0)),"")),IFERROR(INDEX('[1]#REF'!$V$27:'[1]#REF'!$Z$27,1,MATCH(Brand_Profile!$I$12,Lookup_Lists!$F$6:$F$10,0)),""),0))/Lookup_Lists!$D$142*100,0)))</f>
        <v>N/A</v>
      </c>
      <c r="P123" s="65" t="str">
        <f>IF(Brand_Profile!$I$13="Any",100,IF(NOT(ISNUMBER('[1]#REF'!$AA$27)),"N/A",IF(Brand_Profile!$I$13="Female",MIN(100,ROUND('[1]#REF'!$AA$27/Lookup_Lists!$D$143*100,0)),IF(Brand_Profile!$I$13="Male",MIN(100,ROUND(IF(ISNUMBER('[1]#REF'!$AB$27),'[1]#REF'!$AB$27,100-'[1]#REF'!$AA$27)/Lookup_Lists!$D$143*100,0)),MAX(0,ROUND(100-ABS('[1]#REF'!$AA$27-50)*2,0))))))</f>
        <v>N/A</v>
      </c>
      <c r="Q123" s="65" t="str">
        <f>IF((IF(ISNUMBER(IF(NOT(ISNUMBER('[1]#REF'!$AE$27)),"N/A",IF('[1]#REF'!$AD$27&lt;&gt;Brand_Profile!$I$14,Lookup_Lists!$D$151,MIN(100,ROUND('[1]#REF'!$AE$27/Lookup_Lists!$D$316*100,0))))),Lookup_Lists!$D$118,0)+IF(ISNUMBER(IF(NOT(ISNUMBER('[1]#REF'!$AM$27)),"N/A",MIN(100,ROUND((IF('[1]#REF'!$AG$27=Brand_Profile!$I$15,IF(ISNUMBER('[1]#REF'!$AH$27),'[1]#REF'!$AH$27,0),0)+IF('[1]#REF'!$AI$27=Brand_Profile!$I$15,IF(ISNUMBER('[1]#REF'!$AJ$27),'[1]#REF'!$AJ$27,0),0)+IF('[1]#REF'!$AK$27=Brand_Profile!$I$15,IF(ISNUMBER('[1]#REF'!$AL$27),'[1]#REF'!$AL$27,0),0))/Lookup_Lists!$D$317*100,0)))),Lookup_Lists!$D$120,0))=0,"N/A",ROUND((IF(ISNUMBER(IF(NOT(ISNUMBER('[1]#REF'!$AE$27)),"N/A",IF('[1]#REF'!$AD$27&lt;&gt;Brand_Profile!$I$14,Lookup_Lists!$D$151,MIN(100,ROUND('[1]#REF'!$AE$27/Lookup_Lists!$D$316*100,0))))),IF(NOT(ISNUMBER('[1]#REF'!$AE$27)),"N/A",IF('[1]#REF'!$AD$27&lt;&gt;Brand_Profile!$I$14,Lookup_Lists!$D$151,MIN(100,ROUND('[1]#REF'!$AE$27/Lookup_Lists!$D$316*100,0))))*Lookup_Lists!$D$118,0)+IF(ISNUMBER(IF(NOT(ISNUMBER('[1]#REF'!$AM$27)),"N/A",MIN(100,ROUND((IF('[1]#REF'!$AG$27=Brand_Profile!$I$15,IF(ISNUMBER('[1]#REF'!$AH$27),'[1]#REF'!$AH$27,0),0)+IF('[1]#REF'!$AI$27=Brand_Profile!$I$15,IF(ISNUMBER('[1]#REF'!$AJ$27),'[1]#REF'!$AJ$27,0),0)+IF('[1]#REF'!$AK$27=Brand_Profile!$I$15,IF(ISNUMBER('[1]#REF'!$AL$27),'[1]#REF'!$AL$27,0),0))/Lookup_Lists!$D$317*100,0)))),IF(NOT(ISNUMBER('[1]#REF'!$AM$27)),"N/A",MIN(100,ROUND((IF('[1]#REF'!$AG$27=Brand_Profile!$I$15,IF(ISNUMBER('[1]#REF'!$AH$27),'[1]#REF'!$AH$27,0),0)+IF('[1]#REF'!$AI$27=Brand_Profile!$I$15,IF(ISNUMBER('[1]#REF'!$AJ$27),'[1]#REF'!$AJ$27,0),0)+IF('[1]#REF'!$AK$27=Brand_Profile!$I$15,IF(ISNUMBER('[1]#REF'!$AL$27),'[1]#REF'!$AL$27,0),0))/Lookup_Lists!$D$317*100,0)))*Lookup_Lists!$D$120,0))/(IF(ISNUMBER(IF(NOT(ISNUMBER('[1]#REF'!$AE$27)),"N/A",IF('[1]#REF'!$AD$27&lt;&gt;Brand_Profile!$I$14,Lookup_Lists!$D$151,MIN(100,ROUND('[1]#REF'!$AE$27/Lookup_Lists!$D$316*100,0))))),Lookup_Lists!$D$118,0)+IF(ISNUMBER(IF(NOT(ISNUMBER('[1]#REF'!$AM$27)),"N/A",MIN(100,ROUND((IF('[1]#REF'!$AG$27=Brand_Profile!$I$15,IF(ISNUMBER('[1]#REF'!$AH$27),'[1]#REF'!$AH$27,0),0)+IF('[1]#REF'!$AI$27=Brand_Profile!$I$15,IF(ISNUMBER('[1]#REF'!$AJ$27),'[1]#REF'!$AJ$27,0),0)+IF('[1]#REF'!$AK$27=Brand_Profile!$I$15,IF(ISNUMBER('[1]#REF'!$AL$27),'[1]#REF'!$AL$27,0),0))/Lookup_Lists!$D$317*100,0)))),Lookup_Lists!$D$120,0)),0))</f>
        <v>N/A</v>
      </c>
      <c r="R123" s="65" t="str">
        <f>IF(NOT(ISNUMBER('[1]#REF'!$AN$27)),"N/A",MIN(100,ROUND((IF(ISNUMBER('[1]#REF'!$AO$27),'[1]#REF'!$AO$27*Brand_Profile!$I$17,0)+IF(ISNUMBER('[1]#REF'!$AP$27),'[1]#REF'!$AP$27*Brand_Profile!$I$18,0)+IF(ISNUMBER('[1]#REF'!$AQ$27),'[1]#REF'!$AQ$27*Brand_Profile!$I$19,0)+IF(ISNUMBER('[1]#REF'!$AR$27),'[1]#REF'!$AR$27*Brand_Profile!$I$20,0)+IF(ISNUMBER('[1]#REF'!$AS$27),'[1]#REF'!$AS$27*Brand_Profile!$I$21,0)+IF(ISNUMBER('[1]#REF'!$AT$27),'[1]#REF'!$AT$27*Brand_Profile!$I$22,0)+IF(ISNUMBER('[1]#REF'!$AU$27),'[1]#REF'!$AU$27*Brand_Profile!$I$23,0)+IF(ISNUMBER('[1]#REF'!$AV$27),'[1]#REF'!$AV$27*Brand_Profile!$I$24,0)+IF(ISNUMBER('[1]#REF'!$AW$27),'[1]#REF'!$AW$27*Brand_Profile!$I$25,0)+IF(ISNUMBER('[1]#REF'!$AX$27),'[1]#REF'!$AX$27*Brand_Profile!$I$26,0)+IF(ISNUMBER('[1]#REF'!$AY$27),'[1]#REF'!$AY$27*Brand_Profile!$I$27,0)+IF(ISNUMBER('[1]#REF'!$AZ$27),'[1]#REF'!$AZ$27*Brand_Profile!$I$28,0)+IF(ISNUMBER('[1]#REF'!$BA$27),'[1]#REF'!$BA$27*Brand_Profile!$I$29,0)+IF(ISNUMBER('[1]#REF'!$BB$27),'[1]#REF'!$BB$27*Brand_Profile!$I$30,0)+IF(ISNUMBER('[1]#REF'!$BC$27),'[1]#REF'!$BC$27*Brand_Profile!$I$31,0)+IF(ISNUMBER('[1]#REF'!$BD$27),'[1]#REF'!$BD$27*Brand_Profile!$I$32,0)+IF(ISNUMBER('[1]#REF'!$BE$27),'[1]#REF'!$BE$27*Brand_Profile!$I$33,0)+IF(ISNUMBER('[1]#REF'!$BF$27),'[1]#REF'!$BF$27*Brand_Profile!$I$34,0))/Lookup_Lists!$D$318*100,0)))</f>
        <v>N/A</v>
      </c>
      <c r="S123" s="63" t="str">
        <f>IF((IF(ISNUMBER(Matching_Engine!$O$123),Lookup_Lists!$D$113,0)+IF(ISNUMBER(Matching_Engine!$P$123),Lookup_Lists!$D$114,0)+IF(ISNUMBER(Matching_Engine!$Q$123),Lookup_Lists!$D$115,0)+IF(ISNUMBER(Matching_Engine!$R$123),Lookup_Lists!$D$116,0))=0,"N/A",ROUND((IF(ISNUMBER(Matching_Engine!$O$123),Matching_Engine!$O$123*Lookup_Lists!$D$113,0)+IF(ISNUMBER(Matching_Engine!$P$123),Matching_Engine!$P$123*Lookup_Lists!$D$114,0)+IF(ISNUMBER(Matching_Engine!$Q$123),Matching_Engine!$Q$123*Lookup_Lists!$D$115,0)+IF(ISNUMBER(Matching_Engine!$R$123),Matching_Engine!$R$123*Lookup_Lists!$D$116,0))/(IF(ISNUMBER(Matching_Engine!$O$123),Lookup_Lists!$D$113,0)+IF(ISNUMBER(Matching_Engine!$P$123),Lookup_Lists!$D$114,0)+IF(ISNUMBER(Matching_Engine!$Q$123),Lookup_Lists!$D$115,0)+IF(ISNUMBER(Matching_Engine!$R$123),Lookup_Lists!$D$116,0)),0))</f>
        <v>N/A</v>
      </c>
      <c r="T123" s="42">
        <f>IF(ISNUMBER(Matching_Engine!$S$123),1,0)</f>
        <v>0</v>
      </c>
      <c r="U123" s="65" t="e">
        <f>IF(NOT(AND(ISTEXT('[1]#REF'!$M$27),'[1]#REF'!$M$27&lt;&gt;"N/A")),Lookup_Lists!$D$150,IF(Brand_Profile!$I$7='[1]#REF'!$M$27,100,IFERROR(INDEX(Lookup_Lists!$B$349:$J$357,MATCH(Brand_Profile!$I$7,Lookup_Lists!$A$349:$A$357,0),MATCH('[1]#REF'!$M$27,Lookup_Lists!$B$348:$J$348,0)),Lookup_Lists!$D$151)))</f>
        <v>#REF!</v>
      </c>
      <c r="V123" s="65" t="e">
        <f>IF(NOT(AND(ISTEXT('[1]#REF'!$P$27),'[1]#REF'!$P$27&lt;&gt;"N/A")),"N/A",IFERROR(INDEX(Lookup_Lists!$B$349:$J$357,MATCH(Brand_Profile!$I$7,Lookup_Lists!$A$349:$A$357,0),MATCH('[1]#REF'!$P$27,Lookup_Lists!$B$348:$J$348,0)),Lookup_Lists!$D$151))</f>
        <v>#REF!</v>
      </c>
      <c r="W123" s="65" t="str">
        <f>IF(LEN(TRIM(SUBSTITUTE(Matching_Engine!$BE$123,"|","")))=0,"N/A",IF(Brand_Profile!$I$60=0,Lookup_Lists!$D$150,ROUND((IF(Brand_Profile!$I$54="",0,IF(ISNUMBER(SEARCH(Brand_Profile!$I$54,Matching_Engine!$BE$123)),1,0))+IF(Brand_Profile!$I$55="",0,IF(ISNUMBER(SEARCH(Brand_Profile!$I$55,Matching_Engine!$BE$123)),1,0))+IF(Brand_Profile!$I$56="",0,IF(ISNUMBER(SEARCH(Brand_Profile!$I$56,Matching_Engine!$BE$123)),1,0))+IF(Brand_Profile!$I$57="",0,IF(ISNUMBER(SEARCH(Brand_Profile!$I$57,Matching_Engine!$BE$123)),1,0))+IF(Brand_Profile!$I$58="",0,IF(ISNUMBER(SEARCH(Brand_Profile!$I$58,Matching_Engine!$BE$123)),1,0))+IF(Brand_Profile!$I$59="",0,IF(ISNUMBER(SEARCH(Brand_Profile!$I$59,Matching_Engine!$BE$123)),1,0)))/Brand_Profile!$I$60*100,0)))</f>
        <v>N/A</v>
      </c>
      <c r="X123" s="65" t="e">
        <f>IF(NOT(AND(ISTEXT('[1]#REF'!$Q$27),'[1]#REF'!$Q$27&lt;&gt;"N/A")),"N/A",Lookup_Lists!$D$150)</f>
        <v>#REF!</v>
      </c>
      <c r="Y123" s="63" t="str">
        <f>IF((IF(ISNUMBER(Matching_Engine!$U$123),Lookup_Lists!$D$335,0)+IF(ISNUMBER(Matching_Engine!$V$123),Lookup_Lists!$D$122,0)+IF(ISNUMBER(Matching_Engine!$W$123),Lookup_Lists!$D$336,0)+IF(ISNUMBER(Matching_Engine!$X$123),Lookup_Lists!$D$124,0))=0,"N/A",ROUND((IF(ISNUMBER(Matching_Engine!$U$123),Matching_Engine!$U$123*Lookup_Lists!$D$335,0)+IF(ISNUMBER(Matching_Engine!$V$123),Matching_Engine!$V$123*Lookup_Lists!$D$122,0)+IF(ISNUMBER(Matching_Engine!$W$123),Matching_Engine!$W$123*Lookup_Lists!$D$336,0)+IF(ISNUMBER(Matching_Engine!$X$123),Matching_Engine!$X$123*Lookup_Lists!$D$124,0))/(IF(ISNUMBER(Matching_Engine!$U$123),Lookup_Lists!$D$335,0)+IF(ISNUMBER(Matching_Engine!$V$123),Lookup_Lists!$D$122,0)+IF(ISNUMBER(Matching_Engine!$W$123),Lookup_Lists!$D$336,0)+IF(ISNUMBER(Matching_Engine!$X$123),Lookup_Lists!$D$124,0)),0))</f>
        <v>N/A</v>
      </c>
      <c r="Z123" s="42">
        <f>IF(ISNUMBER(Matching_Engine!$Y$123),1,0)</f>
        <v>0</v>
      </c>
      <c r="AA123" s="65" t="e">
        <f>IF(NOT(AND(ISTEXT('[1]#REF'!$Q$27),'[1]#REF'!$Q$27&lt;&gt;"N/A")),"N/A",Lookup_Lists!$D$150)</f>
        <v>#REF!</v>
      </c>
      <c r="AB123" s="65" t="e">
        <f>IF(NOT(AND(ISTEXT('[1]#REF'!$Q$27),'[1]#REF'!$Q$27&lt;&gt;"N/A")),"N/A",Lookup_Lists!$D$150)</f>
        <v>#REF!</v>
      </c>
      <c r="AC123" s="65" t="str">
        <f t="shared" si="1"/>
        <v>N/A</v>
      </c>
      <c r="AD123" s="65" t="e">
        <f>IF(NOT(AND(ISTEXT('[1]#REF'!$Q$27),'[1]#REF'!$Q$27&lt;&gt;"N/A")),"N/A",Lookup_Lists!$D$150)</f>
        <v>#REF!</v>
      </c>
      <c r="AE123" s="63" t="str">
        <f>IF((IF(ISNUMBER(Matching_Engine!$AA$123),Lookup_Lists!$D$125,0)+IF(ISNUMBER(Matching_Engine!$AB$123),Lookup_Lists!$D$126,0)+IF(ISNUMBER(Matching_Engine!$AC$123),Lookup_Lists!$D$127,0)+IF(ISNUMBER(Matching_Engine!$AD$123),Lookup_Lists!$D$128,0))=0,"N/A",ROUND((IF(ISNUMBER(Matching_Engine!$AA$123),Matching_Engine!$AA$123*Lookup_Lists!$D$125,0)+IF(ISNUMBER(Matching_Engine!$AB$123),Matching_Engine!$AB$123*Lookup_Lists!$D$126,0)+IF(ISNUMBER(Matching_Engine!$AC$123),Matching_Engine!$AC$123*Lookup_Lists!$D$127,0)+IF(ISNUMBER(Matching_Engine!$AD$123),Matching_Engine!$AD$123*Lookup_Lists!$D$128,0))/(IF(ISNUMBER(Matching_Engine!$AA$123),Lookup_Lists!$D$125,0)+IF(ISNUMBER(Matching_Engine!$AB$123),Lookup_Lists!$D$126,0)+IF(ISNUMBER(Matching_Engine!$AC$123),Lookup_Lists!$D$127,0)+IF(ISNUMBER(Matching_Engine!$AD$123),Lookup_Lists!$D$128,0)),0))</f>
        <v>N/A</v>
      </c>
      <c r="AF123" s="42">
        <f>IF(ISNUMBER(Matching_Engine!$AE$123),1,0)</f>
        <v>0</v>
      </c>
      <c r="AG123" s="65" t="str">
        <f>IF(NOT(ISNUMBER('[1]#REF'!$BG$27)),"N/A",MIN(100,ROUND('[1]#REF'!$BG$27/IFERROR(INDEX(Lookup_Lists!$B$340:$B$344,MATCH('[1]#REF'!$H$27,Lookup_Lists!$A$340:$A$344,0)),Lookup_Lists!$D$141)*100,0)))</f>
        <v>N/A</v>
      </c>
      <c r="AH123" s="65" t="str">
        <f>IF(NOT(ISNUMBER('[1]#REF'!$BS$27)),"N/A",MIN(100,MAX(0,'[1]#REF'!$BS$27)))</f>
        <v>N/A</v>
      </c>
      <c r="AI123" s="65" t="e">
        <f>IF(OR(NOT(ISNUMBER('[1]#REF'!$BM$27)),NOT(ISNUMBER('[1]#REF'!$BN$27)),'[1]#REF'!$BN$27&lt;Lookup_Lists!$D$320),"N/A",MIN(100,ROUND('[1]#REF'!$BM$27/Lookup_Lists!$D$319*100,0)))</f>
        <v>#REF!</v>
      </c>
      <c r="AJ123" s="65" t="str">
        <f>IF(NOT(ISNUMBER('[1]#REF'!$BR$27)),"N/A",'[1]#REF'!$BR$27)</f>
        <v>N/A</v>
      </c>
      <c r="AK123" s="65" t="str">
        <f>IF(NOT(ISNUMBER('[1]#REF'!$BK$27)),"N/A",MIN(100,ROUND('[1]#REF'!$BK$27/Lookup_Lists!$D$321*100,0)))</f>
        <v>N/A</v>
      </c>
      <c r="AL123" s="65" t="str">
        <f>IF(NOT(ISNUMBER('[1]#REF'!$BP$27)),"N/A",MIN(100,MAX(0,ROUND(('[1]#REF'!$BP$27+2)/(Lookup_Lists!$D$145+2)*100,0))))</f>
        <v>N/A</v>
      </c>
      <c r="AM123" s="63" t="str">
        <f>IF((IF(ISNUMBER(Matching_Engine!$AG$123),Lookup_Lists!$D$129,0)+IF(ISNUMBER(Matching_Engine!$AH$123),Lookup_Lists!$D$130,0)+IF(ISNUMBER(Matching_Engine!$AI$123),Lookup_Lists!$D$131,0)+IF(ISNUMBER(Matching_Engine!$AJ$123),Lookup_Lists!$D$132,0)+IF(ISNUMBER(Matching_Engine!$AK$123),Lookup_Lists!$D$133,0)+IF(ISNUMBER(Matching_Engine!$AL$123),Lookup_Lists!$D$134,0))=0,"N/A",ROUND((IF(ISNUMBER(Matching_Engine!$AG$123),Matching_Engine!$AG$123*Lookup_Lists!$D$129,0)+IF(ISNUMBER(Matching_Engine!$AH$123),Matching_Engine!$AH$123*Lookup_Lists!$D$130,0)+IF(ISNUMBER(Matching_Engine!$AI$123),Matching_Engine!$AI$123*Lookup_Lists!$D$131,0)+IF(ISNUMBER(Matching_Engine!$AJ$123),Matching_Engine!$AJ$123*Lookup_Lists!$D$132,0)+IF(ISNUMBER(Matching_Engine!$AK$123),Matching_Engine!$AK$123*Lookup_Lists!$D$133,0)+IF(ISNUMBER(Matching_Engine!$AL$123),Matching_Engine!$AL$123*Lookup_Lists!$D$134,0))/(IF(ISNUMBER(Matching_Engine!$AG$123),Lookup_Lists!$D$129,0)+IF(ISNUMBER(Matching_Engine!$AH$123),Lookup_Lists!$D$130,0)+IF(ISNUMBER(Matching_Engine!$AI$123),Lookup_Lists!$D$131,0)+IF(ISNUMBER(Matching_Engine!$AJ$123),Lookup_Lists!$D$132,0)+IF(ISNUMBER(Matching_Engine!$AK$123),Lookup_Lists!$D$133,0)+IF(ISNUMBER(Matching_Engine!$AL$123),Lookup_Lists!$D$134,0)),0))</f>
        <v>N/A</v>
      </c>
      <c r="AN123" s="42">
        <f>IF(ISNUMBER(Matching_Engine!$AM$123),1,0)</f>
        <v>0</v>
      </c>
      <c r="AO123" s="65" t="str">
        <f>IF(NOT(ISNUMBER('[1]#REF'!$BT$27)),"N/A",MIN(100,MAX(0,'[1]#REF'!$BT$27)))</f>
        <v>N/A</v>
      </c>
      <c r="AP123" s="65" t="str">
        <f>IF(NOT(ISNUMBER('[1]#REF'!$BU$27)),"N/A",MIN(100,MAX(0,'[1]#REF'!$BU$27)))</f>
        <v>N/A</v>
      </c>
      <c r="AQ123" s="65" t="e">
        <f>IF('[1]#REF'!$I$27="Yes",Lookup_Lists!$D$326,IF('[1]#REF'!$I$27="No",Lookup_Lists!$D$327,"N/A"))</f>
        <v>#REF!</v>
      </c>
      <c r="AR123" s="65" t="str">
        <f>IF(NOT(ISNUMBER('[1]#REF'!$BQ$27)),"N/A",MAX(0,ROUND(100-'[1]#REF'!$BQ$27/Lookup_Lists!$D$328*100,0)))</f>
        <v>N/A</v>
      </c>
      <c r="AS123" s="65" t="e">
        <f>IF(NOT(AND(ISTEXT('[1]#REF'!$BV$27),'[1]#REF'!$BV$27&lt;&gt;"N/A")),"N/A",'[1]#REF'!$BV$27)</f>
        <v>#REF!</v>
      </c>
      <c r="AT123" s="63" t="str">
        <f>IF((IF(ISNUMBER(Matching_Engine!$AO$123),Lookup_Lists!$D$322,0)+IF(ISNUMBER(Matching_Engine!$AP$123),Lookup_Lists!$D$323,0)+IF(ISNUMBER(Matching_Engine!$AQ$123),Lookup_Lists!$D$324,0)+IF(ISNUMBER(Matching_Engine!$AR$123),Lookup_Lists!$D$325,0))=0,"N/A",ROUND((IF(ISNUMBER(Matching_Engine!$AO$123),Matching_Engine!$AO$123*Lookup_Lists!$D$322,0)+IF(ISNUMBER(Matching_Engine!$AP$123),Matching_Engine!$AP$123*Lookup_Lists!$D$323,0)+IF(ISNUMBER(Matching_Engine!$AQ$123),Matching_Engine!$AQ$123*Lookup_Lists!$D$324,0)+IF(ISNUMBER(Matching_Engine!$AR$123),Matching_Engine!$AR$123*Lookup_Lists!$D$325,0))/(IF(ISNUMBER(Matching_Engine!$AO$123),Lookup_Lists!$D$322,0)+IF(ISNUMBER(Matching_Engine!$AP$123),Lookup_Lists!$D$323,0)+IF(ISNUMBER(Matching_Engine!$AQ$123),Lookup_Lists!$D$324,0)+IF(ISNUMBER(Matching_Engine!$AR$123),Lookup_Lists!$D$325,0)),0))</f>
        <v>N/A</v>
      </c>
      <c r="AU123" s="42">
        <f>IF(ISNUMBER(Matching_Engine!$AT$123),1,0)</f>
        <v>0</v>
      </c>
      <c r="AV123" s="42" t="str">
        <f>IF(NOT(ISNUMBER(Matching_Engine!$AT$123)),"Not Screened",IF(Matching_Engine!$AT$123&gt;=Lookup_Lists!$D$329,"Low Risk",IF(Matching_Engine!$AT$123&gt;=Lookup_Lists!$D$330,"Moderate Risk",IF(Matching_Engine!$AT$123&gt;=Lookup_Lists!$D$331,"Elevated Risk","High Risk"))))</f>
        <v>Not Screened</v>
      </c>
      <c r="AW123" s="42" t="str">
        <f>IF(NOT(ISNUMBER(Matching_Engine!$AT$123)),"No integrity signal: no audience-analysis row for this account.","Integrity screen only — no content-risk reading exists (comments_analysis: 0 rows). "&amp;IF(ISNUMBER(Matching_Engine!$AO$123),"Authenticity "&amp;Matching_Engine!$AO$123&amp;". ","Authenticity N/A. ")&amp;IF(ISNUMBER(Matching_Engine!$AP$123),"Follower quality "&amp;Matching_Engine!$AP$123&amp;". ","Follower quality N/A. ")&amp;IF('[1]#REF'!$I$27="Yes","Platform-verified.","Not platform-verified."))</f>
        <v>No integrity signal: no audience-analysis row for this account.</v>
      </c>
      <c r="AX123" s="65">
        <f>Matching_Engine!$N$123*Lookup_Lists!$D$104+Matching_Engine!$T$123*Lookup_Lists!$D$105+Matching_Engine!$Z$123*Lookup_Lists!$D$106+Matching_Engine!$AF$123*Lookup_Lists!$D$107+Matching_Engine!$AN$123*Lookup_Lists!$D$108+Matching_Engine!$AU$123*Lookup_Lists!$D$109</f>
        <v>0</v>
      </c>
      <c r="AY123" s="74" t="str">
        <f>IF(Matching_Engine!$AX$123=0,"N/A",ROUND((IF(Matching_Engine!$N$123=1,Matching_Engine!$M$123*Lookup_Lists!$D$104,0)+IF(Matching_Engine!$T$123=1,Matching_Engine!$S$123*Lookup_Lists!$D$105,0)+IF(Matching_Engine!$Z$123=1,Matching_Engine!$Y$123*Lookup_Lists!$D$106,0)+IF(Matching_Engine!$AF$123=1,Matching_Engine!$AE$123*Lookup_Lists!$D$107,0)+IF(Matching_Engine!$AN$123=1,Matching_Engine!$AM$123*Lookup_Lists!$D$108,0)+IF(Matching_Engine!$AU$123=1,Matching_Engine!$AT$123*Lookup_Lists!$D$109,0))/Matching_Engine!$AX$123,0))</f>
        <v>N/A</v>
      </c>
      <c r="AZ123" s="42" t="str">
        <f>IF(NOT(ISNUMBER(Matching_Engine!$AY$123)),"Not Scored",IF(Matching_Engine!$AY$123&gt;=Lookup_Lists!$D$152,"Excellent Match",IF(Matching_Engine!$AY$123&gt;=Lookup_Lists!$D$153,"Strong Match",IF(Matching_Engine!$AY$123&gt;=Lookup_Lists!$D$154,"Good Match",IF(Matching_Engine!$AY$123&gt;=Lookup_Lists!$D$155,"Moderate Match","Low Match")))))</f>
        <v>Not Scored</v>
      </c>
      <c r="BA123" s="65" t="e">
        <f>'[1]#REF'!$BW$27</f>
        <v>#REF!</v>
      </c>
      <c r="BB123" s="42" t="e">
        <f>'[1]#REF'!$BX$27</f>
        <v>#REF!</v>
      </c>
      <c r="BC123" s="65">
        <f>IF(NOT(ISNUMBER(Matching_Engine!$AY$123)),-1,Matching_Engine!$AY$123*1000+3)</f>
        <v>-1</v>
      </c>
      <c r="BD123" s="42" t="e">
        <f>IF(AND(ISTEXT('[1]#REF'!$S$27),'[1]#REF'!$S$27&lt;&gt;"N/A"),'[1]#REF'!$S$27,"")&amp;" | "&amp;IF(AND(ISTEXT('[1]#REF'!$T$27),'[1]#REF'!$T$27&lt;&gt;"N/A"),'[1]#REF'!$T$27,"")&amp;" | "&amp;IF(AND(ISTEXT('[1]#REF'!$N$27),'[1]#REF'!$N$27&lt;&gt;"N/A"),'[1]#REF'!$N$27,"")&amp;" | "&amp;IF(AND(ISTEXT('[1]#REF'!$K$27),'[1]#REF'!$K$27&lt;&gt;"N/A"),'[1]#REF'!$K$27,"")&amp;" | "&amp;IF(AND(ISTEXT('[1]#REF'!$J$27),'[1]#REF'!$J$27&lt;&gt;"N/A"),'[1]#REF'!$J$27,"")</f>
        <v>#REF!</v>
      </c>
      <c r="BE123" s="42" t="e">
        <f>IF(AND(ISTEXT('[1]#REF'!$T$27),'[1]#REF'!$T$27&lt;&gt;"N/A"),'[1]#REF'!$T$27,"")&amp;" | "&amp;IF(AND(ISTEXT('[1]#REF'!$N$27),'[1]#REF'!$N$27&lt;&gt;"N/A"),'[1]#REF'!$N$27,"")&amp;" | "&amp;IF(AND(ISTEXT('[1]#REF'!$O$27),'[1]#REF'!$O$27&lt;&gt;"N/A"),'[1]#REF'!$O$27,"")&amp;" | "&amp;IF(AND(ISTEXT('[1]#REF'!$S$27),'[1]#REF'!$S$27&lt;&gt;"N/A"),'[1]#REF'!$S$27,"")</f>
        <v>#REF!</v>
      </c>
      <c r="BF123" s="42" t="e">
        <f>IF(AND(ISTEXT('[1]#REF'!$U$27),'[1]#REF'!$U$27&lt;&gt;"N/A"),'[1]#REF'!$U$27,"")</f>
        <v>#REF!</v>
      </c>
      <c r="BG123" s="42" t="str">
        <f>Matching_Engine!$A$123&amp;"|"&amp;Matching_Engine!$C$123</f>
        <v>|</v>
      </c>
    </row>
    <row r="124" spans="1:59">
      <c r="A124" s="64" t="s">
        <v>2531</v>
      </c>
      <c r="B124" s="42">
        <f>Brand_Profile!$I$6</f>
        <v>0</v>
      </c>
      <c r="C124" s="42" t="e">
        <f>'[1]#REF'!$A$28</f>
        <v>#REF!</v>
      </c>
      <c r="D124" s="42" t="e">
        <f>'[1]#REF'!$C$28</f>
        <v>#REF!</v>
      </c>
      <c r="E124" s="42" t="e">
        <f>'[1]#REF'!$D$28</f>
        <v>#REF!</v>
      </c>
      <c r="F124" s="42" t="e">
        <f>'[1]#REF'!$E$28</f>
        <v>#REF!</v>
      </c>
      <c r="G124" s="42" t="e">
        <f>'[1]#REF'!$K$28</f>
        <v>#REF!</v>
      </c>
      <c r="H124" s="72" t="e">
        <f>'[1]#REF'!$G$28</f>
        <v>#REF!</v>
      </c>
      <c r="I124" s="73" t="e">
        <f>'[1]#REF'!$BG$28</f>
        <v>#REF!</v>
      </c>
      <c r="J124" s="65" t="e">
        <f>IF(NOT(AND(ISTEXT('[1]#REF'!$K$28),'[1]#REF'!$K$28&lt;&gt;"N/A")),Lookup_Lists!$D$150,IF(Brand_Profile!$I$7='[1]#REF'!$K$28,100,IFERROR(INDEX(Lookup_Lists!$B$349:$J$357,MATCH(Brand_Profile!$I$7,Lookup_Lists!$A$349:$A$357,0),MATCH('[1]#REF'!$K$28,Lookup_Lists!$B$348:$J$348,0)),Lookup_Lists!$D$151)))</f>
        <v>#REF!</v>
      </c>
      <c r="K124" s="65" t="str">
        <f>IF(LEN(TRIM(SUBSTITUTE(Matching_Engine!$BD$124,"|","")))=0,"N/A",IF(Brand_Profile!$I$47=0,Lookup_Lists!$D$150,ROUND((IF(Brand_Profile!$I$41="",0,IF(ISNUMBER(SEARCH(Brand_Profile!$I$41,Matching_Engine!$BD$124)),1,0))+IF(Brand_Profile!$I$42="",0,IF(ISNUMBER(SEARCH(Brand_Profile!$I$42,Matching_Engine!$BD$124)),1,0))+IF(Brand_Profile!$I$43="",0,IF(ISNUMBER(SEARCH(Brand_Profile!$I$43,Matching_Engine!$BD$124)),1,0))+IF(Brand_Profile!$I$44="",0,IF(ISNUMBER(SEARCH(Brand_Profile!$I$44,Matching_Engine!$BD$124)),1,0))+IF(Brand_Profile!$I$45="",0,IF(ISNUMBER(SEARCH(Brand_Profile!$I$45,Matching_Engine!$BD$124)),1,0))+IF(Brand_Profile!$I$46="",0,IF(ISNUMBER(SEARCH(Brand_Profile!$I$46,Matching_Engine!$BD$124)),1,0)))/Brand_Profile!$I$47*100,0)))</f>
        <v>N/A</v>
      </c>
      <c r="L124" s="65" t="e">
        <f>IF(NOT(AND(ISTEXT('[1]#REF'!$U$28),'[1]#REF'!$U$28&lt;&gt;"N/A")),"N/A",IF(Brand_Profile!$I$53=0,Lookup_Lists!$D$150,ROUND((IF(Brand_Profile!$I$48="",0,IF(ISNUMBER(SEARCH(Brand_Profile!$I$48,Matching_Engine!$BF$124)),1,0))+IF(Brand_Profile!$I$49="",0,IF(ISNUMBER(SEARCH(Brand_Profile!$I$49,Matching_Engine!$BF$124)),1,0))+IF(Brand_Profile!$I$50="",0,IF(ISNUMBER(SEARCH(Brand_Profile!$I$50,Matching_Engine!$BF$124)),1,0))+IF(Brand_Profile!$I$51="",0,IF(ISNUMBER(SEARCH(Brand_Profile!$I$51,Matching_Engine!$BF$124)),1,0))+IF(Brand_Profile!$I$52="",0,IF(ISNUMBER(SEARCH(Brand_Profile!$I$52,Matching_Engine!$BF$124)),1,0)))/Brand_Profile!$I$53*100,0)))</f>
        <v>#REF!</v>
      </c>
      <c r="M124" s="63" t="str">
        <f>IF((IF(ISNUMBER(Matching_Engine!$J$124),Lookup_Lists!$D$332,0)+IF(ISNUMBER(Matching_Engine!$K$124),Lookup_Lists!$D$333,0)+IF(ISNUMBER(Matching_Engine!$L$124),Lookup_Lists!$D$334,0))=0,"N/A",ROUND((IF(ISNUMBER(Matching_Engine!$J$124),Matching_Engine!$J$124*Lookup_Lists!$D$332,0)+IF(ISNUMBER(Matching_Engine!$K$124),Matching_Engine!$K$124*Lookup_Lists!$D$333,0)+IF(ISNUMBER(Matching_Engine!$L$124),Matching_Engine!$L$124*Lookup_Lists!$D$334,0))/(IF(ISNUMBER(Matching_Engine!$J$124),Lookup_Lists!$D$332,0)+IF(ISNUMBER(Matching_Engine!$K$124),Lookup_Lists!$D$333,0)+IF(ISNUMBER(Matching_Engine!$L$124),Lookup_Lists!$D$334,0)),0))</f>
        <v>N/A</v>
      </c>
      <c r="N124" s="42">
        <f>IF(ISNUMBER(Matching_Engine!$M$124),1,0)</f>
        <v>0</v>
      </c>
      <c r="O124" s="65" t="str">
        <f ca="1">IF(NOT(ISNUMBER(IFERROR(INDEX('[1]#REF'!$V$28:'[1]#REF'!$Z$28,1,MATCH(Brand_Profile!$I$11,Lookup_Lists!$F$6:$F$10,0)),""))),"N/A",MIN(100,ROUND((IFERROR(INDEX('[1]#REF'!$V$28:'[1]#REF'!$Z$28,1,MATCH(Brand_Profile!$I$11,Lookup_Lists!$F$6:$F$10,0)),"")+0.5*IF(ISNUMBER(IFERROR(INDEX('[1]#REF'!$V$28:'[1]#REF'!$Z$28,1,MATCH(Brand_Profile!$I$12,Lookup_Lists!$F$6:$F$10,0)),"")),IFERROR(INDEX('[1]#REF'!$V$28:'[1]#REF'!$Z$28,1,MATCH(Brand_Profile!$I$12,Lookup_Lists!$F$6:$F$10,0)),""),0))/Lookup_Lists!$D$142*100,0)))</f>
        <v>N/A</v>
      </c>
      <c r="P124" s="65" t="str">
        <f>IF(Brand_Profile!$I$13="Any",100,IF(NOT(ISNUMBER('[1]#REF'!$AA$28)),"N/A",IF(Brand_Profile!$I$13="Female",MIN(100,ROUND('[1]#REF'!$AA$28/Lookup_Lists!$D$143*100,0)),IF(Brand_Profile!$I$13="Male",MIN(100,ROUND(IF(ISNUMBER('[1]#REF'!$AB$28),'[1]#REF'!$AB$28,100-'[1]#REF'!$AA$28)/Lookup_Lists!$D$143*100,0)),MAX(0,ROUND(100-ABS('[1]#REF'!$AA$28-50)*2,0))))))</f>
        <v>N/A</v>
      </c>
      <c r="Q124" s="65" t="str">
        <f>IF((IF(ISNUMBER(IF(NOT(ISNUMBER('[1]#REF'!$AE$28)),"N/A",IF('[1]#REF'!$AD$28&lt;&gt;Brand_Profile!$I$14,Lookup_Lists!$D$151,MIN(100,ROUND('[1]#REF'!$AE$28/Lookup_Lists!$D$316*100,0))))),Lookup_Lists!$D$118,0)+IF(ISNUMBER(IF(NOT(ISNUMBER('[1]#REF'!$AM$28)),"N/A",MIN(100,ROUND((IF('[1]#REF'!$AG$28=Brand_Profile!$I$15,IF(ISNUMBER('[1]#REF'!$AH$28),'[1]#REF'!$AH$28,0),0)+IF('[1]#REF'!$AI$28=Brand_Profile!$I$15,IF(ISNUMBER('[1]#REF'!$AJ$28),'[1]#REF'!$AJ$28,0),0)+IF('[1]#REF'!$AK$28=Brand_Profile!$I$15,IF(ISNUMBER('[1]#REF'!$AL$28),'[1]#REF'!$AL$28,0),0))/Lookup_Lists!$D$317*100,0)))),Lookup_Lists!$D$120,0))=0,"N/A",ROUND((IF(ISNUMBER(IF(NOT(ISNUMBER('[1]#REF'!$AE$28)),"N/A",IF('[1]#REF'!$AD$28&lt;&gt;Brand_Profile!$I$14,Lookup_Lists!$D$151,MIN(100,ROUND('[1]#REF'!$AE$28/Lookup_Lists!$D$316*100,0))))),IF(NOT(ISNUMBER('[1]#REF'!$AE$28)),"N/A",IF('[1]#REF'!$AD$28&lt;&gt;Brand_Profile!$I$14,Lookup_Lists!$D$151,MIN(100,ROUND('[1]#REF'!$AE$28/Lookup_Lists!$D$316*100,0))))*Lookup_Lists!$D$118,0)+IF(ISNUMBER(IF(NOT(ISNUMBER('[1]#REF'!$AM$28)),"N/A",MIN(100,ROUND((IF('[1]#REF'!$AG$28=Brand_Profile!$I$15,IF(ISNUMBER('[1]#REF'!$AH$28),'[1]#REF'!$AH$28,0),0)+IF('[1]#REF'!$AI$28=Brand_Profile!$I$15,IF(ISNUMBER('[1]#REF'!$AJ$28),'[1]#REF'!$AJ$28,0),0)+IF('[1]#REF'!$AK$28=Brand_Profile!$I$15,IF(ISNUMBER('[1]#REF'!$AL$28),'[1]#REF'!$AL$28,0),0))/Lookup_Lists!$D$317*100,0)))),IF(NOT(ISNUMBER('[1]#REF'!$AM$28)),"N/A",MIN(100,ROUND((IF('[1]#REF'!$AG$28=Brand_Profile!$I$15,IF(ISNUMBER('[1]#REF'!$AH$28),'[1]#REF'!$AH$28,0),0)+IF('[1]#REF'!$AI$28=Brand_Profile!$I$15,IF(ISNUMBER('[1]#REF'!$AJ$28),'[1]#REF'!$AJ$28,0),0)+IF('[1]#REF'!$AK$28=Brand_Profile!$I$15,IF(ISNUMBER('[1]#REF'!$AL$28),'[1]#REF'!$AL$28,0),0))/Lookup_Lists!$D$317*100,0)))*Lookup_Lists!$D$120,0))/(IF(ISNUMBER(IF(NOT(ISNUMBER('[1]#REF'!$AE$28)),"N/A",IF('[1]#REF'!$AD$28&lt;&gt;Brand_Profile!$I$14,Lookup_Lists!$D$151,MIN(100,ROUND('[1]#REF'!$AE$28/Lookup_Lists!$D$316*100,0))))),Lookup_Lists!$D$118,0)+IF(ISNUMBER(IF(NOT(ISNUMBER('[1]#REF'!$AM$28)),"N/A",MIN(100,ROUND((IF('[1]#REF'!$AG$28=Brand_Profile!$I$15,IF(ISNUMBER('[1]#REF'!$AH$28),'[1]#REF'!$AH$28,0),0)+IF('[1]#REF'!$AI$28=Brand_Profile!$I$15,IF(ISNUMBER('[1]#REF'!$AJ$28),'[1]#REF'!$AJ$28,0),0)+IF('[1]#REF'!$AK$28=Brand_Profile!$I$15,IF(ISNUMBER('[1]#REF'!$AL$28),'[1]#REF'!$AL$28,0),0))/Lookup_Lists!$D$317*100,0)))),Lookup_Lists!$D$120,0)),0))</f>
        <v>N/A</v>
      </c>
      <c r="R124" s="65" t="str">
        <f>IF(NOT(ISNUMBER('[1]#REF'!$AN$28)),"N/A",MIN(100,ROUND((IF(ISNUMBER('[1]#REF'!$AO$28),'[1]#REF'!$AO$28*Brand_Profile!$I$17,0)+IF(ISNUMBER('[1]#REF'!$AP$28),'[1]#REF'!$AP$28*Brand_Profile!$I$18,0)+IF(ISNUMBER('[1]#REF'!$AQ$28),'[1]#REF'!$AQ$28*Brand_Profile!$I$19,0)+IF(ISNUMBER('[1]#REF'!$AR$28),'[1]#REF'!$AR$28*Brand_Profile!$I$20,0)+IF(ISNUMBER('[1]#REF'!$AS$28),'[1]#REF'!$AS$28*Brand_Profile!$I$21,0)+IF(ISNUMBER('[1]#REF'!$AT$28),'[1]#REF'!$AT$28*Brand_Profile!$I$22,0)+IF(ISNUMBER('[1]#REF'!$AU$28),'[1]#REF'!$AU$28*Brand_Profile!$I$23,0)+IF(ISNUMBER('[1]#REF'!$AV$28),'[1]#REF'!$AV$28*Brand_Profile!$I$24,0)+IF(ISNUMBER('[1]#REF'!$AW$28),'[1]#REF'!$AW$28*Brand_Profile!$I$25,0)+IF(ISNUMBER('[1]#REF'!$AX$28),'[1]#REF'!$AX$28*Brand_Profile!$I$26,0)+IF(ISNUMBER('[1]#REF'!$AY$28),'[1]#REF'!$AY$28*Brand_Profile!$I$27,0)+IF(ISNUMBER('[1]#REF'!$AZ$28),'[1]#REF'!$AZ$28*Brand_Profile!$I$28,0)+IF(ISNUMBER('[1]#REF'!$BA$28),'[1]#REF'!$BA$28*Brand_Profile!$I$29,0)+IF(ISNUMBER('[1]#REF'!$BB$28),'[1]#REF'!$BB$28*Brand_Profile!$I$30,0)+IF(ISNUMBER('[1]#REF'!$BC$28),'[1]#REF'!$BC$28*Brand_Profile!$I$31,0)+IF(ISNUMBER('[1]#REF'!$BD$28),'[1]#REF'!$BD$28*Brand_Profile!$I$32,0)+IF(ISNUMBER('[1]#REF'!$BE$28),'[1]#REF'!$BE$28*Brand_Profile!$I$33,0)+IF(ISNUMBER('[1]#REF'!$BF$28),'[1]#REF'!$BF$28*Brand_Profile!$I$34,0))/Lookup_Lists!$D$318*100,0)))</f>
        <v>N/A</v>
      </c>
      <c r="S124" s="63" t="str">
        <f>IF((IF(ISNUMBER(Matching_Engine!$O$124),Lookup_Lists!$D$113,0)+IF(ISNUMBER(Matching_Engine!$P$124),Lookup_Lists!$D$114,0)+IF(ISNUMBER(Matching_Engine!$Q$124),Lookup_Lists!$D$115,0)+IF(ISNUMBER(Matching_Engine!$R$124),Lookup_Lists!$D$116,0))=0,"N/A",ROUND((IF(ISNUMBER(Matching_Engine!$O$124),Matching_Engine!$O$124*Lookup_Lists!$D$113,0)+IF(ISNUMBER(Matching_Engine!$P$124),Matching_Engine!$P$124*Lookup_Lists!$D$114,0)+IF(ISNUMBER(Matching_Engine!$Q$124),Matching_Engine!$Q$124*Lookup_Lists!$D$115,0)+IF(ISNUMBER(Matching_Engine!$R$124),Matching_Engine!$R$124*Lookup_Lists!$D$116,0))/(IF(ISNUMBER(Matching_Engine!$O$124),Lookup_Lists!$D$113,0)+IF(ISNUMBER(Matching_Engine!$P$124),Lookup_Lists!$D$114,0)+IF(ISNUMBER(Matching_Engine!$Q$124),Lookup_Lists!$D$115,0)+IF(ISNUMBER(Matching_Engine!$R$124),Lookup_Lists!$D$116,0)),0))</f>
        <v>N/A</v>
      </c>
      <c r="T124" s="42">
        <f>IF(ISNUMBER(Matching_Engine!$S$124),1,0)</f>
        <v>0</v>
      </c>
      <c r="U124" s="65" t="e">
        <f>IF(NOT(AND(ISTEXT('[1]#REF'!$M$28),'[1]#REF'!$M$28&lt;&gt;"N/A")),Lookup_Lists!$D$150,IF(Brand_Profile!$I$7='[1]#REF'!$M$28,100,IFERROR(INDEX(Lookup_Lists!$B$349:$J$357,MATCH(Brand_Profile!$I$7,Lookup_Lists!$A$349:$A$357,0),MATCH('[1]#REF'!$M$28,Lookup_Lists!$B$348:$J$348,0)),Lookup_Lists!$D$151)))</f>
        <v>#REF!</v>
      </c>
      <c r="V124" s="65" t="e">
        <f>IF(NOT(AND(ISTEXT('[1]#REF'!$P$28),'[1]#REF'!$P$28&lt;&gt;"N/A")),"N/A",IFERROR(INDEX(Lookup_Lists!$B$349:$J$357,MATCH(Brand_Profile!$I$7,Lookup_Lists!$A$349:$A$357,0),MATCH('[1]#REF'!$P$28,Lookup_Lists!$B$348:$J$348,0)),Lookup_Lists!$D$151))</f>
        <v>#REF!</v>
      </c>
      <c r="W124" s="65" t="str">
        <f>IF(LEN(TRIM(SUBSTITUTE(Matching_Engine!$BE$124,"|","")))=0,"N/A",IF(Brand_Profile!$I$60=0,Lookup_Lists!$D$150,ROUND((IF(Brand_Profile!$I$54="",0,IF(ISNUMBER(SEARCH(Brand_Profile!$I$54,Matching_Engine!$BE$124)),1,0))+IF(Brand_Profile!$I$55="",0,IF(ISNUMBER(SEARCH(Brand_Profile!$I$55,Matching_Engine!$BE$124)),1,0))+IF(Brand_Profile!$I$56="",0,IF(ISNUMBER(SEARCH(Brand_Profile!$I$56,Matching_Engine!$BE$124)),1,0))+IF(Brand_Profile!$I$57="",0,IF(ISNUMBER(SEARCH(Brand_Profile!$I$57,Matching_Engine!$BE$124)),1,0))+IF(Brand_Profile!$I$58="",0,IF(ISNUMBER(SEARCH(Brand_Profile!$I$58,Matching_Engine!$BE$124)),1,0))+IF(Brand_Profile!$I$59="",0,IF(ISNUMBER(SEARCH(Brand_Profile!$I$59,Matching_Engine!$BE$124)),1,0)))/Brand_Profile!$I$60*100,0)))</f>
        <v>N/A</v>
      </c>
      <c r="X124" s="65" t="e">
        <f>IF(NOT(AND(ISTEXT('[1]#REF'!$Q$28),'[1]#REF'!$Q$28&lt;&gt;"N/A")),"N/A",Lookup_Lists!$D$150)</f>
        <v>#REF!</v>
      </c>
      <c r="Y124" s="63" t="str">
        <f>IF((IF(ISNUMBER(Matching_Engine!$U$124),Lookup_Lists!$D$335,0)+IF(ISNUMBER(Matching_Engine!$V$124),Lookup_Lists!$D$122,0)+IF(ISNUMBER(Matching_Engine!$W$124),Lookup_Lists!$D$336,0)+IF(ISNUMBER(Matching_Engine!$X$124),Lookup_Lists!$D$124,0))=0,"N/A",ROUND((IF(ISNUMBER(Matching_Engine!$U$124),Matching_Engine!$U$124*Lookup_Lists!$D$335,0)+IF(ISNUMBER(Matching_Engine!$V$124),Matching_Engine!$V$124*Lookup_Lists!$D$122,0)+IF(ISNUMBER(Matching_Engine!$W$124),Matching_Engine!$W$124*Lookup_Lists!$D$336,0)+IF(ISNUMBER(Matching_Engine!$X$124),Matching_Engine!$X$124*Lookup_Lists!$D$124,0))/(IF(ISNUMBER(Matching_Engine!$U$124),Lookup_Lists!$D$335,0)+IF(ISNUMBER(Matching_Engine!$V$124),Lookup_Lists!$D$122,0)+IF(ISNUMBER(Matching_Engine!$W$124),Lookup_Lists!$D$336,0)+IF(ISNUMBER(Matching_Engine!$X$124),Lookup_Lists!$D$124,0)),0))</f>
        <v>N/A</v>
      </c>
      <c r="Z124" s="42">
        <f>IF(ISNUMBER(Matching_Engine!$Y$124),1,0)</f>
        <v>0</v>
      </c>
      <c r="AA124" s="65" t="e">
        <f>IF(NOT(AND(ISTEXT('[1]#REF'!$Q$28),'[1]#REF'!$Q$28&lt;&gt;"N/A")),"N/A",Lookup_Lists!$D$150)</f>
        <v>#REF!</v>
      </c>
      <c r="AB124" s="65" t="e">
        <f>IF(NOT(AND(ISTEXT('[1]#REF'!$Q$28),'[1]#REF'!$Q$28&lt;&gt;"N/A")),"N/A",Lookup_Lists!$D$150)</f>
        <v>#REF!</v>
      </c>
      <c r="AC124" s="65" t="str">
        <f t="shared" si="1"/>
        <v>N/A</v>
      </c>
      <c r="AD124" s="65" t="e">
        <f>IF(NOT(AND(ISTEXT('[1]#REF'!$Q$28),'[1]#REF'!$Q$28&lt;&gt;"N/A")),"N/A",Lookup_Lists!$D$150)</f>
        <v>#REF!</v>
      </c>
      <c r="AE124" s="63" t="str">
        <f>IF((IF(ISNUMBER(Matching_Engine!$AA$124),Lookup_Lists!$D$125,0)+IF(ISNUMBER(Matching_Engine!$AB$124),Lookup_Lists!$D$126,0)+IF(ISNUMBER(Matching_Engine!$AC$124),Lookup_Lists!$D$127,0)+IF(ISNUMBER(Matching_Engine!$AD$124),Lookup_Lists!$D$128,0))=0,"N/A",ROUND((IF(ISNUMBER(Matching_Engine!$AA$124),Matching_Engine!$AA$124*Lookup_Lists!$D$125,0)+IF(ISNUMBER(Matching_Engine!$AB$124),Matching_Engine!$AB$124*Lookup_Lists!$D$126,0)+IF(ISNUMBER(Matching_Engine!$AC$124),Matching_Engine!$AC$124*Lookup_Lists!$D$127,0)+IF(ISNUMBER(Matching_Engine!$AD$124),Matching_Engine!$AD$124*Lookup_Lists!$D$128,0))/(IF(ISNUMBER(Matching_Engine!$AA$124),Lookup_Lists!$D$125,0)+IF(ISNUMBER(Matching_Engine!$AB$124),Lookup_Lists!$D$126,0)+IF(ISNUMBER(Matching_Engine!$AC$124),Lookup_Lists!$D$127,0)+IF(ISNUMBER(Matching_Engine!$AD$124),Lookup_Lists!$D$128,0)),0))</f>
        <v>N/A</v>
      </c>
      <c r="AF124" s="42">
        <f>IF(ISNUMBER(Matching_Engine!$AE$124),1,0)</f>
        <v>0</v>
      </c>
      <c r="AG124" s="65" t="str">
        <f>IF(NOT(ISNUMBER('[1]#REF'!$BG$28)),"N/A",MIN(100,ROUND('[1]#REF'!$BG$28/IFERROR(INDEX(Lookup_Lists!$B$340:$B$344,MATCH('[1]#REF'!$H$28,Lookup_Lists!$A$340:$A$344,0)),Lookup_Lists!$D$141)*100,0)))</f>
        <v>N/A</v>
      </c>
      <c r="AH124" s="65" t="str">
        <f>IF(NOT(ISNUMBER('[1]#REF'!$BS$28)),"N/A",MIN(100,MAX(0,'[1]#REF'!$BS$28)))</f>
        <v>N/A</v>
      </c>
      <c r="AI124" s="65" t="e">
        <f>IF(OR(NOT(ISNUMBER('[1]#REF'!$BM$28)),NOT(ISNUMBER('[1]#REF'!$BN$28)),'[1]#REF'!$BN$28&lt;Lookup_Lists!$D$320),"N/A",MIN(100,ROUND('[1]#REF'!$BM$28/Lookup_Lists!$D$319*100,0)))</f>
        <v>#REF!</v>
      </c>
      <c r="AJ124" s="65" t="str">
        <f>IF(NOT(ISNUMBER('[1]#REF'!$BR$28)),"N/A",'[1]#REF'!$BR$28)</f>
        <v>N/A</v>
      </c>
      <c r="AK124" s="65" t="str">
        <f>IF(NOT(ISNUMBER('[1]#REF'!$BK$28)),"N/A",MIN(100,ROUND('[1]#REF'!$BK$28/Lookup_Lists!$D$321*100,0)))</f>
        <v>N/A</v>
      </c>
      <c r="AL124" s="65" t="str">
        <f>IF(NOT(ISNUMBER('[1]#REF'!$BP$28)),"N/A",MIN(100,MAX(0,ROUND(('[1]#REF'!$BP$28+2)/(Lookup_Lists!$D$145+2)*100,0))))</f>
        <v>N/A</v>
      </c>
      <c r="AM124" s="63" t="str">
        <f>IF((IF(ISNUMBER(Matching_Engine!$AG$124),Lookup_Lists!$D$129,0)+IF(ISNUMBER(Matching_Engine!$AH$124),Lookup_Lists!$D$130,0)+IF(ISNUMBER(Matching_Engine!$AI$124),Lookup_Lists!$D$131,0)+IF(ISNUMBER(Matching_Engine!$AJ$124),Lookup_Lists!$D$132,0)+IF(ISNUMBER(Matching_Engine!$AK$124),Lookup_Lists!$D$133,0)+IF(ISNUMBER(Matching_Engine!$AL$124),Lookup_Lists!$D$134,0))=0,"N/A",ROUND((IF(ISNUMBER(Matching_Engine!$AG$124),Matching_Engine!$AG$124*Lookup_Lists!$D$129,0)+IF(ISNUMBER(Matching_Engine!$AH$124),Matching_Engine!$AH$124*Lookup_Lists!$D$130,0)+IF(ISNUMBER(Matching_Engine!$AI$124),Matching_Engine!$AI$124*Lookup_Lists!$D$131,0)+IF(ISNUMBER(Matching_Engine!$AJ$124),Matching_Engine!$AJ$124*Lookup_Lists!$D$132,0)+IF(ISNUMBER(Matching_Engine!$AK$124),Matching_Engine!$AK$124*Lookup_Lists!$D$133,0)+IF(ISNUMBER(Matching_Engine!$AL$124),Matching_Engine!$AL$124*Lookup_Lists!$D$134,0))/(IF(ISNUMBER(Matching_Engine!$AG$124),Lookup_Lists!$D$129,0)+IF(ISNUMBER(Matching_Engine!$AH$124),Lookup_Lists!$D$130,0)+IF(ISNUMBER(Matching_Engine!$AI$124),Lookup_Lists!$D$131,0)+IF(ISNUMBER(Matching_Engine!$AJ$124),Lookup_Lists!$D$132,0)+IF(ISNUMBER(Matching_Engine!$AK$124),Lookup_Lists!$D$133,0)+IF(ISNUMBER(Matching_Engine!$AL$124),Lookup_Lists!$D$134,0)),0))</f>
        <v>N/A</v>
      </c>
      <c r="AN124" s="42">
        <f>IF(ISNUMBER(Matching_Engine!$AM$124),1,0)</f>
        <v>0</v>
      </c>
      <c r="AO124" s="65" t="str">
        <f>IF(NOT(ISNUMBER('[1]#REF'!$BT$28)),"N/A",MIN(100,MAX(0,'[1]#REF'!$BT$28)))</f>
        <v>N/A</v>
      </c>
      <c r="AP124" s="65" t="str">
        <f>IF(NOT(ISNUMBER('[1]#REF'!$BU$28)),"N/A",MIN(100,MAX(0,'[1]#REF'!$BU$28)))</f>
        <v>N/A</v>
      </c>
      <c r="AQ124" s="65" t="e">
        <f>IF('[1]#REF'!$I$28="Yes",Lookup_Lists!$D$326,IF('[1]#REF'!$I$28="No",Lookup_Lists!$D$327,"N/A"))</f>
        <v>#REF!</v>
      </c>
      <c r="AR124" s="65" t="str">
        <f>IF(NOT(ISNUMBER('[1]#REF'!$BQ$28)),"N/A",MAX(0,ROUND(100-'[1]#REF'!$BQ$28/Lookup_Lists!$D$328*100,0)))</f>
        <v>N/A</v>
      </c>
      <c r="AS124" s="65" t="e">
        <f>IF(NOT(AND(ISTEXT('[1]#REF'!$BV$28),'[1]#REF'!$BV$28&lt;&gt;"N/A")),"N/A",'[1]#REF'!$BV$28)</f>
        <v>#REF!</v>
      </c>
      <c r="AT124" s="63" t="str">
        <f>IF((IF(ISNUMBER(Matching_Engine!$AO$124),Lookup_Lists!$D$322,0)+IF(ISNUMBER(Matching_Engine!$AP$124),Lookup_Lists!$D$323,0)+IF(ISNUMBER(Matching_Engine!$AQ$124),Lookup_Lists!$D$324,0)+IF(ISNUMBER(Matching_Engine!$AR$124),Lookup_Lists!$D$325,0))=0,"N/A",ROUND((IF(ISNUMBER(Matching_Engine!$AO$124),Matching_Engine!$AO$124*Lookup_Lists!$D$322,0)+IF(ISNUMBER(Matching_Engine!$AP$124),Matching_Engine!$AP$124*Lookup_Lists!$D$323,0)+IF(ISNUMBER(Matching_Engine!$AQ$124),Matching_Engine!$AQ$124*Lookup_Lists!$D$324,0)+IF(ISNUMBER(Matching_Engine!$AR$124),Matching_Engine!$AR$124*Lookup_Lists!$D$325,0))/(IF(ISNUMBER(Matching_Engine!$AO$124),Lookup_Lists!$D$322,0)+IF(ISNUMBER(Matching_Engine!$AP$124),Lookup_Lists!$D$323,0)+IF(ISNUMBER(Matching_Engine!$AQ$124),Lookup_Lists!$D$324,0)+IF(ISNUMBER(Matching_Engine!$AR$124),Lookup_Lists!$D$325,0)),0))</f>
        <v>N/A</v>
      </c>
      <c r="AU124" s="42">
        <f>IF(ISNUMBER(Matching_Engine!$AT$124),1,0)</f>
        <v>0</v>
      </c>
      <c r="AV124" s="42" t="str">
        <f>IF(NOT(ISNUMBER(Matching_Engine!$AT$124)),"Not Screened",IF(Matching_Engine!$AT$124&gt;=Lookup_Lists!$D$329,"Low Risk",IF(Matching_Engine!$AT$124&gt;=Lookup_Lists!$D$330,"Moderate Risk",IF(Matching_Engine!$AT$124&gt;=Lookup_Lists!$D$331,"Elevated Risk","High Risk"))))</f>
        <v>Not Screened</v>
      </c>
      <c r="AW124" s="42" t="str">
        <f>IF(NOT(ISNUMBER(Matching_Engine!$AT$124)),"No integrity signal: no audience-analysis row for this account.","Integrity screen only — no content-risk reading exists (comments_analysis: 0 rows). "&amp;IF(ISNUMBER(Matching_Engine!$AO$124),"Authenticity "&amp;Matching_Engine!$AO$124&amp;". ","Authenticity N/A. ")&amp;IF(ISNUMBER(Matching_Engine!$AP$124),"Follower quality "&amp;Matching_Engine!$AP$124&amp;". ","Follower quality N/A. ")&amp;IF('[1]#REF'!$I$28="Yes","Platform-verified.","Not platform-verified."))</f>
        <v>No integrity signal: no audience-analysis row for this account.</v>
      </c>
      <c r="AX124" s="65">
        <f>Matching_Engine!$N$124*Lookup_Lists!$D$104+Matching_Engine!$T$124*Lookup_Lists!$D$105+Matching_Engine!$Z$124*Lookup_Lists!$D$106+Matching_Engine!$AF$124*Lookup_Lists!$D$107+Matching_Engine!$AN$124*Lookup_Lists!$D$108+Matching_Engine!$AU$124*Lookup_Lists!$D$109</f>
        <v>0</v>
      </c>
      <c r="AY124" s="74" t="str">
        <f>IF(Matching_Engine!$AX$124=0,"N/A",ROUND((IF(Matching_Engine!$N$124=1,Matching_Engine!$M$124*Lookup_Lists!$D$104,0)+IF(Matching_Engine!$T$124=1,Matching_Engine!$S$124*Lookup_Lists!$D$105,0)+IF(Matching_Engine!$Z$124=1,Matching_Engine!$Y$124*Lookup_Lists!$D$106,0)+IF(Matching_Engine!$AF$124=1,Matching_Engine!$AE$124*Lookup_Lists!$D$107,0)+IF(Matching_Engine!$AN$124=1,Matching_Engine!$AM$124*Lookup_Lists!$D$108,0)+IF(Matching_Engine!$AU$124=1,Matching_Engine!$AT$124*Lookup_Lists!$D$109,0))/Matching_Engine!$AX$124,0))</f>
        <v>N/A</v>
      </c>
      <c r="AZ124" s="42" t="str">
        <f>IF(NOT(ISNUMBER(Matching_Engine!$AY$124)),"Not Scored",IF(Matching_Engine!$AY$124&gt;=Lookup_Lists!$D$152,"Excellent Match",IF(Matching_Engine!$AY$124&gt;=Lookup_Lists!$D$153,"Strong Match",IF(Matching_Engine!$AY$124&gt;=Lookup_Lists!$D$154,"Good Match",IF(Matching_Engine!$AY$124&gt;=Lookup_Lists!$D$155,"Moderate Match","Low Match")))))</f>
        <v>Not Scored</v>
      </c>
      <c r="BA124" s="65" t="e">
        <f>'[1]#REF'!$BW$28</f>
        <v>#REF!</v>
      </c>
      <c r="BB124" s="42" t="e">
        <f>'[1]#REF'!$BX$28</f>
        <v>#REF!</v>
      </c>
      <c r="BC124" s="65">
        <f>IF(NOT(ISNUMBER(Matching_Engine!$AY$124)),-1,Matching_Engine!$AY$124*1000+2)</f>
        <v>-1</v>
      </c>
      <c r="BD124" s="42" t="e">
        <f>IF(AND(ISTEXT('[1]#REF'!$S$28),'[1]#REF'!$S$28&lt;&gt;"N/A"),'[1]#REF'!$S$28,"")&amp;" | "&amp;IF(AND(ISTEXT('[1]#REF'!$T$28),'[1]#REF'!$T$28&lt;&gt;"N/A"),'[1]#REF'!$T$28,"")&amp;" | "&amp;IF(AND(ISTEXT('[1]#REF'!$N$28),'[1]#REF'!$N$28&lt;&gt;"N/A"),'[1]#REF'!$N$28,"")&amp;" | "&amp;IF(AND(ISTEXT('[1]#REF'!$K$28),'[1]#REF'!$K$28&lt;&gt;"N/A"),'[1]#REF'!$K$28,"")&amp;" | "&amp;IF(AND(ISTEXT('[1]#REF'!$J$28),'[1]#REF'!$J$28&lt;&gt;"N/A"),'[1]#REF'!$J$28,"")</f>
        <v>#REF!</v>
      </c>
      <c r="BE124" s="42" t="e">
        <f>IF(AND(ISTEXT('[1]#REF'!$T$28),'[1]#REF'!$T$28&lt;&gt;"N/A"),'[1]#REF'!$T$28,"")&amp;" | "&amp;IF(AND(ISTEXT('[1]#REF'!$N$28),'[1]#REF'!$N$28&lt;&gt;"N/A"),'[1]#REF'!$N$28,"")&amp;" | "&amp;IF(AND(ISTEXT('[1]#REF'!$O$28),'[1]#REF'!$O$28&lt;&gt;"N/A"),'[1]#REF'!$O$28,"")&amp;" | "&amp;IF(AND(ISTEXT('[1]#REF'!$S$28),'[1]#REF'!$S$28&lt;&gt;"N/A"),'[1]#REF'!$S$28,"")</f>
        <v>#REF!</v>
      </c>
      <c r="BF124" s="42" t="e">
        <f>IF(AND(ISTEXT('[1]#REF'!$U$28),'[1]#REF'!$U$28&lt;&gt;"N/A"),'[1]#REF'!$U$28,"")</f>
        <v>#REF!</v>
      </c>
      <c r="BG124" s="42" t="str">
        <f>Matching_Engine!$A$124&amp;"|"&amp;Matching_Engine!$C$124</f>
        <v>|</v>
      </c>
    </row>
    <row r="125" spans="1:59">
      <c r="A125" s="64" t="s">
        <v>2531</v>
      </c>
      <c r="B125" s="42">
        <f>Brand_Profile!$I$6</f>
        <v>0</v>
      </c>
      <c r="C125" s="42" t="e">
        <f>'[1]#REF'!$A$29</f>
        <v>#REF!</v>
      </c>
      <c r="D125" s="42" t="e">
        <f>'[1]#REF'!$C$29</f>
        <v>#REF!</v>
      </c>
      <c r="E125" s="42" t="e">
        <f>'[1]#REF'!$D$29</f>
        <v>#REF!</v>
      </c>
      <c r="F125" s="42" t="e">
        <f>'[1]#REF'!$E$29</f>
        <v>#REF!</v>
      </c>
      <c r="G125" s="42" t="e">
        <f>'[1]#REF'!$K$29</f>
        <v>#REF!</v>
      </c>
      <c r="H125" s="72" t="e">
        <f>'[1]#REF'!$G$29</f>
        <v>#REF!</v>
      </c>
      <c r="I125" s="73" t="e">
        <f>'[1]#REF'!$BG$29</f>
        <v>#REF!</v>
      </c>
      <c r="J125" s="65" t="e">
        <f>IF(NOT(AND(ISTEXT('[1]#REF'!$K$29),'[1]#REF'!$K$29&lt;&gt;"N/A")),Lookup_Lists!$D$150,IF(Brand_Profile!$I$7='[1]#REF'!$K$29,100,IFERROR(INDEX(Lookup_Lists!$B$349:$J$357,MATCH(Brand_Profile!$I$7,Lookup_Lists!$A$349:$A$357,0),MATCH('[1]#REF'!$K$29,Lookup_Lists!$B$348:$J$348,0)),Lookup_Lists!$D$151)))</f>
        <v>#REF!</v>
      </c>
      <c r="K125" s="65" t="str">
        <f>IF(LEN(TRIM(SUBSTITUTE(Matching_Engine!$BD$125,"|","")))=0,"N/A",IF(Brand_Profile!$I$47=0,Lookup_Lists!$D$150,ROUND((IF(Brand_Profile!$I$41="",0,IF(ISNUMBER(SEARCH(Brand_Profile!$I$41,Matching_Engine!$BD$125)),1,0))+IF(Brand_Profile!$I$42="",0,IF(ISNUMBER(SEARCH(Brand_Profile!$I$42,Matching_Engine!$BD$125)),1,0))+IF(Brand_Profile!$I$43="",0,IF(ISNUMBER(SEARCH(Brand_Profile!$I$43,Matching_Engine!$BD$125)),1,0))+IF(Brand_Profile!$I$44="",0,IF(ISNUMBER(SEARCH(Brand_Profile!$I$44,Matching_Engine!$BD$125)),1,0))+IF(Brand_Profile!$I$45="",0,IF(ISNUMBER(SEARCH(Brand_Profile!$I$45,Matching_Engine!$BD$125)),1,0))+IF(Brand_Profile!$I$46="",0,IF(ISNUMBER(SEARCH(Brand_Profile!$I$46,Matching_Engine!$BD$125)),1,0)))/Brand_Profile!$I$47*100,0)))</f>
        <v>N/A</v>
      </c>
      <c r="L125" s="65" t="e">
        <f>IF(NOT(AND(ISTEXT('[1]#REF'!$U$29),'[1]#REF'!$U$29&lt;&gt;"N/A")),"N/A",IF(Brand_Profile!$I$53=0,Lookup_Lists!$D$150,ROUND((IF(Brand_Profile!$I$48="",0,IF(ISNUMBER(SEARCH(Brand_Profile!$I$48,Matching_Engine!$BF$125)),1,0))+IF(Brand_Profile!$I$49="",0,IF(ISNUMBER(SEARCH(Brand_Profile!$I$49,Matching_Engine!$BF$125)),1,0))+IF(Brand_Profile!$I$50="",0,IF(ISNUMBER(SEARCH(Brand_Profile!$I$50,Matching_Engine!$BF$125)),1,0))+IF(Brand_Profile!$I$51="",0,IF(ISNUMBER(SEARCH(Brand_Profile!$I$51,Matching_Engine!$BF$125)),1,0))+IF(Brand_Profile!$I$52="",0,IF(ISNUMBER(SEARCH(Brand_Profile!$I$52,Matching_Engine!$BF$125)),1,0)))/Brand_Profile!$I$53*100,0)))</f>
        <v>#REF!</v>
      </c>
      <c r="M125" s="63" t="str">
        <f>IF((IF(ISNUMBER(Matching_Engine!$J$125),Lookup_Lists!$D$332,0)+IF(ISNUMBER(Matching_Engine!$K$125),Lookup_Lists!$D$333,0)+IF(ISNUMBER(Matching_Engine!$L$125),Lookup_Lists!$D$334,0))=0,"N/A",ROUND((IF(ISNUMBER(Matching_Engine!$J$125),Matching_Engine!$J$125*Lookup_Lists!$D$332,0)+IF(ISNUMBER(Matching_Engine!$K$125),Matching_Engine!$K$125*Lookup_Lists!$D$333,0)+IF(ISNUMBER(Matching_Engine!$L$125),Matching_Engine!$L$125*Lookup_Lists!$D$334,0))/(IF(ISNUMBER(Matching_Engine!$J$125),Lookup_Lists!$D$332,0)+IF(ISNUMBER(Matching_Engine!$K$125),Lookup_Lists!$D$333,0)+IF(ISNUMBER(Matching_Engine!$L$125),Lookup_Lists!$D$334,0)),0))</f>
        <v>N/A</v>
      </c>
      <c r="N125" s="42">
        <f>IF(ISNUMBER(Matching_Engine!$M$125),1,0)</f>
        <v>0</v>
      </c>
      <c r="O125" s="65" t="str">
        <f ca="1">IF(NOT(ISNUMBER(IFERROR(INDEX('[1]#REF'!$V$29:'[1]#REF'!$Z$29,1,MATCH(Brand_Profile!$I$11,Lookup_Lists!$F$6:$F$10,0)),""))),"N/A",MIN(100,ROUND((IFERROR(INDEX('[1]#REF'!$V$29:'[1]#REF'!$Z$29,1,MATCH(Brand_Profile!$I$11,Lookup_Lists!$F$6:$F$10,0)),"")+0.5*IF(ISNUMBER(IFERROR(INDEX('[1]#REF'!$V$29:'[1]#REF'!$Z$29,1,MATCH(Brand_Profile!$I$12,Lookup_Lists!$F$6:$F$10,0)),"")),IFERROR(INDEX('[1]#REF'!$V$29:'[1]#REF'!$Z$29,1,MATCH(Brand_Profile!$I$12,Lookup_Lists!$F$6:$F$10,0)),""),0))/Lookup_Lists!$D$142*100,0)))</f>
        <v>N/A</v>
      </c>
      <c r="P125" s="65" t="str">
        <f>IF(Brand_Profile!$I$13="Any",100,IF(NOT(ISNUMBER('[1]#REF'!$AA$29)),"N/A",IF(Brand_Profile!$I$13="Female",MIN(100,ROUND('[1]#REF'!$AA$29/Lookup_Lists!$D$143*100,0)),IF(Brand_Profile!$I$13="Male",MIN(100,ROUND(IF(ISNUMBER('[1]#REF'!$AB$29),'[1]#REF'!$AB$29,100-'[1]#REF'!$AA$29)/Lookup_Lists!$D$143*100,0)),MAX(0,ROUND(100-ABS('[1]#REF'!$AA$29-50)*2,0))))))</f>
        <v>N/A</v>
      </c>
      <c r="Q125" s="65" t="str">
        <f>IF((IF(ISNUMBER(IF(NOT(ISNUMBER('[1]#REF'!$AE$29)),"N/A",IF('[1]#REF'!$AD$29&lt;&gt;Brand_Profile!$I$14,Lookup_Lists!$D$151,MIN(100,ROUND('[1]#REF'!$AE$29/Lookup_Lists!$D$316*100,0))))),Lookup_Lists!$D$118,0)+IF(ISNUMBER(IF(NOT(ISNUMBER('[1]#REF'!$AM$29)),"N/A",MIN(100,ROUND((IF('[1]#REF'!$AG$29=Brand_Profile!$I$15,IF(ISNUMBER('[1]#REF'!$AH$29),'[1]#REF'!$AH$29,0),0)+IF('[1]#REF'!$AI$29=Brand_Profile!$I$15,IF(ISNUMBER('[1]#REF'!$AJ$29),'[1]#REF'!$AJ$29,0),0)+IF('[1]#REF'!$AK$29=Brand_Profile!$I$15,IF(ISNUMBER('[1]#REF'!$AL$29),'[1]#REF'!$AL$29,0),0))/Lookup_Lists!$D$317*100,0)))),Lookup_Lists!$D$120,0))=0,"N/A",ROUND((IF(ISNUMBER(IF(NOT(ISNUMBER('[1]#REF'!$AE$29)),"N/A",IF('[1]#REF'!$AD$29&lt;&gt;Brand_Profile!$I$14,Lookup_Lists!$D$151,MIN(100,ROUND('[1]#REF'!$AE$29/Lookup_Lists!$D$316*100,0))))),IF(NOT(ISNUMBER('[1]#REF'!$AE$29)),"N/A",IF('[1]#REF'!$AD$29&lt;&gt;Brand_Profile!$I$14,Lookup_Lists!$D$151,MIN(100,ROUND('[1]#REF'!$AE$29/Lookup_Lists!$D$316*100,0))))*Lookup_Lists!$D$118,0)+IF(ISNUMBER(IF(NOT(ISNUMBER('[1]#REF'!$AM$29)),"N/A",MIN(100,ROUND((IF('[1]#REF'!$AG$29=Brand_Profile!$I$15,IF(ISNUMBER('[1]#REF'!$AH$29),'[1]#REF'!$AH$29,0),0)+IF('[1]#REF'!$AI$29=Brand_Profile!$I$15,IF(ISNUMBER('[1]#REF'!$AJ$29),'[1]#REF'!$AJ$29,0),0)+IF('[1]#REF'!$AK$29=Brand_Profile!$I$15,IF(ISNUMBER('[1]#REF'!$AL$29),'[1]#REF'!$AL$29,0),0))/Lookup_Lists!$D$317*100,0)))),IF(NOT(ISNUMBER('[1]#REF'!$AM$29)),"N/A",MIN(100,ROUND((IF('[1]#REF'!$AG$29=Brand_Profile!$I$15,IF(ISNUMBER('[1]#REF'!$AH$29),'[1]#REF'!$AH$29,0),0)+IF('[1]#REF'!$AI$29=Brand_Profile!$I$15,IF(ISNUMBER('[1]#REF'!$AJ$29),'[1]#REF'!$AJ$29,0),0)+IF('[1]#REF'!$AK$29=Brand_Profile!$I$15,IF(ISNUMBER('[1]#REF'!$AL$29),'[1]#REF'!$AL$29,0),0))/Lookup_Lists!$D$317*100,0)))*Lookup_Lists!$D$120,0))/(IF(ISNUMBER(IF(NOT(ISNUMBER('[1]#REF'!$AE$29)),"N/A",IF('[1]#REF'!$AD$29&lt;&gt;Brand_Profile!$I$14,Lookup_Lists!$D$151,MIN(100,ROUND('[1]#REF'!$AE$29/Lookup_Lists!$D$316*100,0))))),Lookup_Lists!$D$118,0)+IF(ISNUMBER(IF(NOT(ISNUMBER('[1]#REF'!$AM$29)),"N/A",MIN(100,ROUND((IF('[1]#REF'!$AG$29=Brand_Profile!$I$15,IF(ISNUMBER('[1]#REF'!$AH$29),'[1]#REF'!$AH$29,0),0)+IF('[1]#REF'!$AI$29=Brand_Profile!$I$15,IF(ISNUMBER('[1]#REF'!$AJ$29),'[1]#REF'!$AJ$29,0),0)+IF('[1]#REF'!$AK$29=Brand_Profile!$I$15,IF(ISNUMBER('[1]#REF'!$AL$29),'[1]#REF'!$AL$29,0),0))/Lookup_Lists!$D$317*100,0)))),Lookup_Lists!$D$120,0)),0))</f>
        <v>N/A</v>
      </c>
      <c r="R125" s="65" t="str">
        <f>IF(NOT(ISNUMBER('[1]#REF'!$AN$29)),"N/A",MIN(100,ROUND((IF(ISNUMBER('[1]#REF'!$AO$29),'[1]#REF'!$AO$29*Brand_Profile!$I$17,0)+IF(ISNUMBER('[1]#REF'!$AP$29),'[1]#REF'!$AP$29*Brand_Profile!$I$18,0)+IF(ISNUMBER('[1]#REF'!$AQ$29),'[1]#REF'!$AQ$29*Brand_Profile!$I$19,0)+IF(ISNUMBER('[1]#REF'!$AR$29),'[1]#REF'!$AR$29*Brand_Profile!$I$20,0)+IF(ISNUMBER('[1]#REF'!$AS$29),'[1]#REF'!$AS$29*Brand_Profile!$I$21,0)+IF(ISNUMBER('[1]#REF'!$AT$29),'[1]#REF'!$AT$29*Brand_Profile!$I$22,0)+IF(ISNUMBER('[1]#REF'!$AU$29),'[1]#REF'!$AU$29*Brand_Profile!$I$23,0)+IF(ISNUMBER('[1]#REF'!$AV$29),'[1]#REF'!$AV$29*Brand_Profile!$I$24,0)+IF(ISNUMBER('[1]#REF'!$AW$29),'[1]#REF'!$AW$29*Brand_Profile!$I$25,0)+IF(ISNUMBER('[1]#REF'!$AX$29),'[1]#REF'!$AX$29*Brand_Profile!$I$26,0)+IF(ISNUMBER('[1]#REF'!$AY$29),'[1]#REF'!$AY$29*Brand_Profile!$I$27,0)+IF(ISNUMBER('[1]#REF'!$AZ$29),'[1]#REF'!$AZ$29*Brand_Profile!$I$28,0)+IF(ISNUMBER('[1]#REF'!$BA$29),'[1]#REF'!$BA$29*Brand_Profile!$I$29,0)+IF(ISNUMBER('[1]#REF'!$BB$29),'[1]#REF'!$BB$29*Brand_Profile!$I$30,0)+IF(ISNUMBER('[1]#REF'!$BC$29),'[1]#REF'!$BC$29*Brand_Profile!$I$31,0)+IF(ISNUMBER('[1]#REF'!$BD$29),'[1]#REF'!$BD$29*Brand_Profile!$I$32,0)+IF(ISNUMBER('[1]#REF'!$BE$29),'[1]#REF'!$BE$29*Brand_Profile!$I$33,0)+IF(ISNUMBER('[1]#REF'!$BF$29),'[1]#REF'!$BF$29*Brand_Profile!$I$34,0))/Lookup_Lists!$D$318*100,0)))</f>
        <v>N/A</v>
      </c>
      <c r="S125" s="63" t="str">
        <f>IF((IF(ISNUMBER(Matching_Engine!$O$125),Lookup_Lists!$D$113,0)+IF(ISNUMBER(Matching_Engine!$P$125),Lookup_Lists!$D$114,0)+IF(ISNUMBER(Matching_Engine!$Q$125),Lookup_Lists!$D$115,0)+IF(ISNUMBER(Matching_Engine!$R$125),Lookup_Lists!$D$116,0))=0,"N/A",ROUND((IF(ISNUMBER(Matching_Engine!$O$125),Matching_Engine!$O$125*Lookup_Lists!$D$113,0)+IF(ISNUMBER(Matching_Engine!$P$125),Matching_Engine!$P$125*Lookup_Lists!$D$114,0)+IF(ISNUMBER(Matching_Engine!$Q$125),Matching_Engine!$Q$125*Lookup_Lists!$D$115,0)+IF(ISNUMBER(Matching_Engine!$R$125),Matching_Engine!$R$125*Lookup_Lists!$D$116,0))/(IF(ISNUMBER(Matching_Engine!$O$125),Lookup_Lists!$D$113,0)+IF(ISNUMBER(Matching_Engine!$P$125),Lookup_Lists!$D$114,0)+IF(ISNUMBER(Matching_Engine!$Q$125),Lookup_Lists!$D$115,0)+IF(ISNUMBER(Matching_Engine!$R$125),Lookup_Lists!$D$116,0)),0))</f>
        <v>N/A</v>
      </c>
      <c r="T125" s="42">
        <f>IF(ISNUMBER(Matching_Engine!$S$125),1,0)</f>
        <v>0</v>
      </c>
      <c r="U125" s="65" t="e">
        <f>IF(NOT(AND(ISTEXT('[1]#REF'!$M$29),'[1]#REF'!$M$29&lt;&gt;"N/A")),Lookup_Lists!$D$150,IF(Brand_Profile!$I$7='[1]#REF'!$M$29,100,IFERROR(INDEX(Lookup_Lists!$B$349:$J$357,MATCH(Brand_Profile!$I$7,Lookup_Lists!$A$349:$A$357,0),MATCH('[1]#REF'!$M$29,Lookup_Lists!$B$348:$J$348,0)),Lookup_Lists!$D$151)))</f>
        <v>#REF!</v>
      </c>
      <c r="V125" s="65" t="e">
        <f>IF(NOT(AND(ISTEXT('[1]#REF'!$P$29),'[1]#REF'!$P$29&lt;&gt;"N/A")),"N/A",IFERROR(INDEX(Lookup_Lists!$B$349:$J$357,MATCH(Brand_Profile!$I$7,Lookup_Lists!$A$349:$A$357,0),MATCH('[1]#REF'!$P$29,Lookup_Lists!$B$348:$J$348,0)),Lookup_Lists!$D$151))</f>
        <v>#REF!</v>
      </c>
      <c r="W125" s="65" t="str">
        <f>IF(LEN(TRIM(SUBSTITUTE(Matching_Engine!$BE$125,"|","")))=0,"N/A",IF(Brand_Profile!$I$60=0,Lookup_Lists!$D$150,ROUND((IF(Brand_Profile!$I$54="",0,IF(ISNUMBER(SEARCH(Brand_Profile!$I$54,Matching_Engine!$BE$125)),1,0))+IF(Brand_Profile!$I$55="",0,IF(ISNUMBER(SEARCH(Brand_Profile!$I$55,Matching_Engine!$BE$125)),1,0))+IF(Brand_Profile!$I$56="",0,IF(ISNUMBER(SEARCH(Brand_Profile!$I$56,Matching_Engine!$BE$125)),1,0))+IF(Brand_Profile!$I$57="",0,IF(ISNUMBER(SEARCH(Brand_Profile!$I$57,Matching_Engine!$BE$125)),1,0))+IF(Brand_Profile!$I$58="",0,IF(ISNUMBER(SEARCH(Brand_Profile!$I$58,Matching_Engine!$BE$125)),1,0))+IF(Brand_Profile!$I$59="",0,IF(ISNUMBER(SEARCH(Brand_Profile!$I$59,Matching_Engine!$BE$125)),1,0)))/Brand_Profile!$I$60*100,0)))</f>
        <v>N/A</v>
      </c>
      <c r="X125" s="65" t="e">
        <f>IF(NOT(AND(ISTEXT('[1]#REF'!$Q$29),'[1]#REF'!$Q$29&lt;&gt;"N/A")),"N/A",Lookup_Lists!$D$150)</f>
        <v>#REF!</v>
      </c>
      <c r="Y125" s="63" t="str">
        <f>IF((IF(ISNUMBER(Matching_Engine!$U$125),Lookup_Lists!$D$335,0)+IF(ISNUMBER(Matching_Engine!$V$125),Lookup_Lists!$D$122,0)+IF(ISNUMBER(Matching_Engine!$W$125),Lookup_Lists!$D$336,0)+IF(ISNUMBER(Matching_Engine!$X$125),Lookup_Lists!$D$124,0))=0,"N/A",ROUND((IF(ISNUMBER(Matching_Engine!$U$125),Matching_Engine!$U$125*Lookup_Lists!$D$335,0)+IF(ISNUMBER(Matching_Engine!$V$125),Matching_Engine!$V$125*Lookup_Lists!$D$122,0)+IF(ISNUMBER(Matching_Engine!$W$125),Matching_Engine!$W$125*Lookup_Lists!$D$336,0)+IF(ISNUMBER(Matching_Engine!$X$125),Matching_Engine!$X$125*Lookup_Lists!$D$124,0))/(IF(ISNUMBER(Matching_Engine!$U$125),Lookup_Lists!$D$335,0)+IF(ISNUMBER(Matching_Engine!$V$125),Lookup_Lists!$D$122,0)+IF(ISNUMBER(Matching_Engine!$W$125),Lookup_Lists!$D$336,0)+IF(ISNUMBER(Matching_Engine!$X$125),Lookup_Lists!$D$124,0)),0))</f>
        <v>N/A</v>
      </c>
      <c r="Z125" s="42">
        <f>IF(ISNUMBER(Matching_Engine!$Y$125),1,0)</f>
        <v>0</v>
      </c>
      <c r="AA125" s="65" t="e">
        <f>IF(NOT(AND(ISTEXT('[1]#REF'!$Q$29),'[1]#REF'!$Q$29&lt;&gt;"N/A")),"N/A",Lookup_Lists!$D$150)</f>
        <v>#REF!</v>
      </c>
      <c r="AB125" s="65" t="e">
        <f>IF(NOT(AND(ISTEXT('[1]#REF'!$Q$29),'[1]#REF'!$Q$29&lt;&gt;"N/A")),"N/A",Lookup_Lists!$D$150)</f>
        <v>#REF!</v>
      </c>
      <c r="AC125" s="65" t="str">
        <f t="shared" si="1"/>
        <v>N/A</v>
      </c>
      <c r="AD125" s="65" t="e">
        <f>IF(NOT(AND(ISTEXT('[1]#REF'!$Q$29),'[1]#REF'!$Q$29&lt;&gt;"N/A")),"N/A",Lookup_Lists!$D$150)</f>
        <v>#REF!</v>
      </c>
      <c r="AE125" s="63" t="str">
        <f>IF((IF(ISNUMBER(Matching_Engine!$AA$125),Lookup_Lists!$D$125,0)+IF(ISNUMBER(Matching_Engine!$AB$125),Lookup_Lists!$D$126,0)+IF(ISNUMBER(Matching_Engine!$AC$125),Lookup_Lists!$D$127,0)+IF(ISNUMBER(Matching_Engine!$AD$125),Lookup_Lists!$D$128,0))=0,"N/A",ROUND((IF(ISNUMBER(Matching_Engine!$AA$125),Matching_Engine!$AA$125*Lookup_Lists!$D$125,0)+IF(ISNUMBER(Matching_Engine!$AB$125),Matching_Engine!$AB$125*Lookup_Lists!$D$126,0)+IF(ISNUMBER(Matching_Engine!$AC$125),Matching_Engine!$AC$125*Lookup_Lists!$D$127,0)+IF(ISNUMBER(Matching_Engine!$AD$125),Matching_Engine!$AD$125*Lookup_Lists!$D$128,0))/(IF(ISNUMBER(Matching_Engine!$AA$125),Lookup_Lists!$D$125,0)+IF(ISNUMBER(Matching_Engine!$AB$125),Lookup_Lists!$D$126,0)+IF(ISNUMBER(Matching_Engine!$AC$125),Lookup_Lists!$D$127,0)+IF(ISNUMBER(Matching_Engine!$AD$125),Lookup_Lists!$D$128,0)),0))</f>
        <v>N/A</v>
      </c>
      <c r="AF125" s="42">
        <f>IF(ISNUMBER(Matching_Engine!$AE$125),1,0)</f>
        <v>0</v>
      </c>
      <c r="AG125" s="65" t="str">
        <f>IF(NOT(ISNUMBER('[1]#REF'!$BG$29)),"N/A",MIN(100,ROUND('[1]#REF'!$BG$29/IFERROR(INDEX(Lookup_Lists!$B$340:$B$344,MATCH('[1]#REF'!$H$29,Lookup_Lists!$A$340:$A$344,0)),Lookup_Lists!$D$141)*100,0)))</f>
        <v>N/A</v>
      </c>
      <c r="AH125" s="65" t="str">
        <f>IF(NOT(ISNUMBER('[1]#REF'!$BS$29)),"N/A",MIN(100,MAX(0,'[1]#REF'!$BS$29)))</f>
        <v>N/A</v>
      </c>
      <c r="AI125" s="65" t="e">
        <f>IF(OR(NOT(ISNUMBER('[1]#REF'!$BM$29)),NOT(ISNUMBER('[1]#REF'!$BN$29)),'[1]#REF'!$BN$29&lt;Lookup_Lists!$D$320),"N/A",MIN(100,ROUND('[1]#REF'!$BM$29/Lookup_Lists!$D$319*100,0)))</f>
        <v>#REF!</v>
      </c>
      <c r="AJ125" s="65" t="str">
        <f>IF(NOT(ISNUMBER('[1]#REF'!$BR$29)),"N/A",'[1]#REF'!$BR$29)</f>
        <v>N/A</v>
      </c>
      <c r="AK125" s="65" t="str">
        <f>IF(NOT(ISNUMBER('[1]#REF'!$BK$29)),"N/A",MIN(100,ROUND('[1]#REF'!$BK$29/Lookup_Lists!$D$321*100,0)))</f>
        <v>N/A</v>
      </c>
      <c r="AL125" s="65" t="str">
        <f>IF(NOT(ISNUMBER('[1]#REF'!$BP$29)),"N/A",MIN(100,MAX(0,ROUND(('[1]#REF'!$BP$29+2)/(Lookup_Lists!$D$145+2)*100,0))))</f>
        <v>N/A</v>
      </c>
      <c r="AM125" s="63" t="str">
        <f>IF((IF(ISNUMBER(Matching_Engine!$AG$125),Lookup_Lists!$D$129,0)+IF(ISNUMBER(Matching_Engine!$AH$125),Lookup_Lists!$D$130,0)+IF(ISNUMBER(Matching_Engine!$AI$125),Lookup_Lists!$D$131,0)+IF(ISNUMBER(Matching_Engine!$AJ$125),Lookup_Lists!$D$132,0)+IF(ISNUMBER(Matching_Engine!$AK$125),Lookup_Lists!$D$133,0)+IF(ISNUMBER(Matching_Engine!$AL$125),Lookup_Lists!$D$134,0))=0,"N/A",ROUND((IF(ISNUMBER(Matching_Engine!$AG$125),Matching_Engine!$AG$125*Lookup_Lists!$D$129,0)+IF(ISNUMBER(Matching_Engine!$AH$125),Matching_Engine!$AH$125*Lookup_Lists!$D$130,0)+IF(ISNUMBER(Matching_Engine!$AI$125),Matching_Engine!$AI$125*Lookup_Lists!$D$131,0)+IF(ISNUMBER(Matching_Engine!$AJ$125),Matching_Engine!$AJ$125*Lookup_Lists!$D$132,0)+IF(ISNUMBER(Matching_Engine!$AK$125),Matching_Engine!$AK$125*Lookup_Lists!$D$133,0)+IF(ISNUMBER(Matching_Engine!$AL$125),Matching_Engine!$AL$125*Lookup_Lists!$D$134,0))/(IF(ISNUMBER(Matching_Engine!$AG$125),Lookup_Lists!$D$129,0)+IF(ISNUMBER(Matching_Engine!$AH$125),Lookup_Lists!$D$130,0)+IF(ISNUMBER(Matching_Engine!$AI$125),Lookup_Lists!$D$131,0)+IF(ISNUMBER(Matching_Engine!$AJ$125),Lookup_Lists!$D$132,0)+IF(ISNUMBER(Matching_Engine!$AK$125),Lookup_Lists!$D$133,0)+IF(ISNUMBER(Matching_Engine!$AL$125),Lookup_Lists!$D$134,0)),0))</f>
        <v>N/A</v>
      </c>
      <c r="AN125" s="42">
        <f>IF(ISNUMBER(Matching_Engine!$AM$125),1,0)</f>
        <v>0</v>
      </c>
      <c r="AO125" s="65" t="str">
        <f>IF(NOT(ISNUMBER('[1]#REF'!$BT$29)),"N/A",MIN(100,MAX(0,'[1]#REF'!$BT$29)))</f>
        <v>N/A</v>
      </c>
      <c r="AP125" s="65" t="str">
        <f>IF(NOT(ISNUMBER('[1]#REF'!$BU$29)),"N/A",MIN(100,MAX(0,'[1]#REF'!$BU$29)))</f>
        <v>N/A</v>
      </c>
      <c r="AQ125" s="65" t="e">
        <f>IF('[1]#REF'!$I$29="Yes",Lookup_Lists!$D$326,IF('[1]#REF'!$I$29="No",Lookup_Lists!$D$327,"N/A"))</f>
        <v>#REF!</v>
      </c>
      <c r="AR125" s="65" t="str">
        <f>IF(NOT(ISNUMBER('[1]#REF'!$BQ$29)),"N/A",MAX(0,ROUND(100-'[1]#REF'!$BQ$29/Lookup_Lists!$D$328*100,0)))</f>
        <v>N/A</v>
      </c>
      <c r="AS125" s="65" t="e">
        <f>IF(NOT(AND(ISTEXT('[1]#REF'!$BV$29),'[1]#REF'!$BV$29&lt;&gt;"N/A")),"N/A",'[1]#REF'!$BV$29)</f>
        <v>#REF!</v>
      </c>
      <c r="AT125" s="63" t="str">
        <f>IF((IF(ISNUMBER(Matching_Engine!$AO$125),Lookup_Lists!$D$322,0)+IF(ISNUMBER(Matching_Engine!$AP$125),Lookup_Lists!$D$323,0)+IF(ISNUMBER(Matching_Engine!$AQ$125),Lookup_Lists!$D$324,0)+IF(ISNUMBER(Matching_Engine!$AR$125),Lookup_Lists!$D$325,0))=0,"N/A",ROUND((IF(ISNUMBER(Matching_Engine!$AO$125),Matching_Engine!$AO$125*Lookup_Lists!$D$322,0)+IF(ISNUMBER(Matching_Engine!$AP$125),Matching_Engine!$AP$125*Lookup_Lists!$D$323,0)+IF(ISNUMBER(Matching_Engine!$AQ$125),Matching_Engine!$AQ$125*Lookup_Lists!$D$324,0)+IF(ISNUMBER(Matching_Engine!$AR$125),Matching_Engine!$AR$125*Lookup_Lists!$D$325,0))/(IF(ISNUMBER(Matching_Engine!$AO$125),Lookup_Lists!$D$322,0)+IF(ISNUMBER(Matching_Engine!$AP$125),Lookup_Lists!$D$323,0)+IF(ISNUMBER(Matching_Engine!$AQ$125),Lookup_Lists!$D$324,0)+IF(ISNUMBER(Matching_Engine!$AR$125),Lookup_Lists!$D$325,0)),0))</f>
        <v>N/A</v>
      </c>
      <c r="AU125" s="42">
        <f>IF(ISNUMBER(Matching_Engine!$AT$125),1,0)</f>
        <v>0</v>
      </c>
      <c r="AV125" s="42" t="str">
        <f>IF(NOT(ISNUMBER(Matching_Engine!$AT$125)),"Not Screened",IF(Matching_Engine!$AT$125&gt;=Lookup_Lists!$D$329,"Low Risk",IF(Matching_Engine!$AT$125&gt;=Lookup_Lists!$D$330,"Moderate Risk",IF(Matching_Engine!$AT$125&gt;=Lookup_Lists!$D$331,"Elevated Risk","High Risk"))))</f>
        <v>Not Screened</v>
      </c>
      <c r="AW125" s="42" t="str">
        <f>IF(NOT(ISNUMBER(Matching_Engine!$AT$125)),"No integrity signal: no audience-analysis row for this account.","Integrity screen only — no content-risk reading exists (comments_analysis: 0 rows). "&amp;IF(ISNUMBER(Matching_Engine!$AO$125),"Authenticity "&amp;Matching_Engine!$AO$125&amp;". ","Authenticity N/A. ")&amp;IF(ISNUMBER(Matching_Engine!$AP$125),"Follower quality "&amp;Matching_Engine!$AP$125&amp;". ","Follower quality N/A. ")&amp;IF('[1]#REF'!$I$29="Yes","Platform-verified.","Not platform-verified."))</f>
        <v>No integrity signal: no audience-analysis row for this account.</v>
      </c>
      <c r="AX125" s="65">
        <f>Matching_Engine!$N$125*Lookup_Lists!$D$104+Matching_Engine!$T$125*Lookup_Lists!$D$105+Matching_Engine!$Z$125*Lookup_Lists!$D$106+Matching_Engine!$AF$125*Lookup_Lists!$D$107+Matching_Engine!$AN$125*Lookup_Lists!$D$108+Matching_Engine!$AU$125*Lookup_Lists!$D$109</f>
        <v>0</v>
      </c>
      <c r="AY125" s="74" t="str">
        <f>IF(Matching_Engine!$AX$125=0,"N/A",ROUND((IF(Matching_Engine!$N$125=1,Matching_Engine!$M$125*Lookup_Lists!$D$104,0)+IF(Matching_Engine!$T$125=1,Matching_Engine!$S$125*Lookup_Lists!$D$105,0)+IF(Matching_Engine!$Z$125=1,Matching_Engine!$Y$125*Lookup_Lists!$D$106,0)+IF(Matching_Engine!$AF$125=1,Matching_Engine!$AE$125*Lookup_Lists!$D$107,0)+IF(Matching_Engine!$AN$125=1,Matching_Engine!$AM$125*Lookup_Lists!$D$108,0)+IF(Matching_Engine!$AU$125=1,Matching_Engine!$AT$125*Lookup_Lists!$D$109,0))/Matching_Engine!$AX$125,0))</f>
        <v>N/A</v>
      </c>
      <c r="AZ125" s="42" t="str">
        <f>IF(NOT(ISNUMBER(Matching_Engine!$AY$125)),"Not Scored",IF(Matching_Engine!$AY$125&gt;=Lookup_Lists!$D$152,"Excellent Match",IF(Matching_Engine!$AY$125&gt;=Lookup_Lists!$D$153,"Strong Match",IF(Matching_Engine!$AY$125&gt;=Lookup_Lists!$D$154,"Good Match",IF(Matching_Engine!$AY$125&gt;=Lookup_Lists!$D$155,"Moderate Match","Low Match")))))</f>
        <v>Not Scored</v>
      </c>
      <c r="BA125" s="65" t="e">
        <f>'[1]#REF'!$BW$29</f>
        <v>#REF!</v>
      </c>
      <c r="BB125" s="42" t="e">
        <f>'[1]#REF'!$BX$29</f>
        <v>#REF!</v>
      </c>
      <c r="BC125" s="65">
        <f>IF(NOT(ISNUMBER(Matching_Engine!$AY$125)),-1,Matching_Engine!$AY$125*1000+1)</f>
        <v>-1</v>
      </c>
      <c r="BD125" s="42" t="e">
        <f>IF(AND(ISTEXT('[1]#REF'!$S$29),'[1]#REF'!$S$29&lt;&gt;"N/A"),'[1]#REF'!$S$29,"")&amp;" | "&amp;IF(AND(ISTEXT('[1]#REF'!$T$29),'[1]#REF'!$T$29&lt;&gt;"N/A"),'[1]#REF'!$T$29,"")&amp;" | "&amp;IF(AND(ISTEXT('[1]#REF'!$N$29),'[1]#REF'!$N$29&lt;&gt;"N/A"),'[1]#REF'!$N$29,"")&amp;" | "&amp;IF(AND(ISTEXT('[1]#REF'!$K$29),'[1]#REF'!$K$29&lt;&gt;"N/A"),'[1]#REF'!$K$29,"")&amp;" | "&amp;IF(AND(ISTEXT('[1]#REF'!$J$29),'[1]#REF'!$J$29&lt;&gt;"N/A"),'[1]#REF'!$J$29,"")</f>
        <v>#REF!</v>
      </c>
      <c r="BE125" s="42" t="e">
        <f>IF(AND(ISTEXT('[1]#REF'!$T$29),'[1]#REF'!$T$29&lt;&gt;"N/A"),'[1]#REF'!$T$29,"")&amp;" | "&amp;IF(AND(ISTEXT('[1]#REF'!$N$29),'[1]#REF'!$N$29&lt;&gt;"N/A"),'[1]#REF'!$N$29,"")&amp;" | "&amp;IF(AND(ISTEXT('[1]#REF'!$O$29),'[1]#REF'!$O$29&lt;&gt;"N/A"),'[1]#REF'!$O$29,"")&amp;" | "&amp;IF(AND(ISTEXT('[1]#REF'!$S$29),'[1]#REF'!$S$29&lt;&gt;"N/A"),'[1]#REF'!$S$29,"")</f>
        <v>#REF!</v>
      </c>
      <c r="BF125" s="42" t="e">
        <f>IF(AND(ISTEXT('[1]#REF'!$U$29),'[1]#REF'!$U$29&lt;&gt;"N/A"),'[1]#REF'!$U$29,"")</f>
        <v>#REF!</v>
      </c>
      <c r="BG125" s="42" t="str">
        <f>Matching_Engine!$A$125&amp;"|"&amp;Matching_Engine!$C$125</f>
        <v>|</v>
      </c>
    </row>
  </sheetData>
  <autoFilter xmlns:etc="http://www.wps.cn/officeDocument/2017/etCustomData" ref="A5:BG125" etc:filterBottomFollowUsedRange="0">
    <extLst/>
  </autoFilter>
  <mergeCells count="11">
    <mergeCell ref="A1:BG1"/>
    <mergeCell ref="A2:BG2"/>
    <mergeCell ref="A4:I4"/>
    <mergeCell ref="J4:N4"/>
    <mergeCell ref="O4:T4"/>
    <mergeCell ref="U4:Z4"/>
    <mergeCell ref="AA4:AF4"/>
    <mergeCell ref="AG4:AN4"/>
    <mergeCell ref="AO4:AW4"/>
    <mergeCell ref="AX4:BC4"/>
    <mergeCell ref="BD4:BG4"/>
  </mergeCells>
  <pageMargins left="0.7" right="0.7" top="0.75" bottom="0.75" header="0.3" footer="0.3"/>
  <pageSetup paperSize="1" orientation="portrait"/>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125"/>
  <sheetViews>
    <sheetView workbookViewId="0">
      <pane xSplit="3" ySplit="5" topLeftCell="D6" activePane="bottomRight" state="frozen"/>
      <selection/>
      <selection pane="topRight"/>
      <selection pane="bottomLeft"/>
      <selection pane="bottomRight" activeCell="A1" sqref="A1:R1"/>
    </sheetView>
  </sheetViews>
  <sheetFormatPr defaultColWidth="9" defaultRowHeight="15"/>
  <cols>
    <col min="1" max="3" width="10" customWidth="1"/>
    <col min="4" max="4" width="11" customWidth="1"/>
    <col min="5" max="5" width="12" customWidth="1"/>
    <col min="6" max="6" width="15" customWidth="1"/>
    <col min="7" max="10" width="17" customWidth="1"/>
    <col min="11" max="11" width="16" customWidth="1"/>
    <col min="12" max="13" width="20" customWidth="1"/>
    <col min="14" max="14" width="15" customWidth="1"/>
    <col min="15" max="15" width="19" customWidth="1"/>
    <col min="16" max="17" width="14" customWidth="1"/>
    <col min="18" max="18" width="13" customWidth="1"/>
  </cols>
  <sheetData>
    <row r="1" ht="24" customHeight="1" spans="1:18">
      <c r="A1" s="38" t="s">
        <v>2751</v>
      </c>
    </row>
    <row r="2" ht="30" customHeight="1" spans="1:18">
      <c r="A2" s="39" t="s">
        <v>2752</v>
      </c>
    </row>
    <row r="4" ht="15.75" spans="1:18">
      <c r="A4" s="66" t="s">
        <v>741</v>
      </c>
      <c r="B4" s="67"/>
      <c r="C4" s="67"/>
      <c r="D4" s="68"/>
      <c r="E4" s="66" t="s">
        <v>2753</v>
      </c>
      <c r="F4" s="67"/>
      <c r="G4" s="67"/>
      <c r="H4" s="68"/>
      <c r="I4" s="66" t="s">
        <v>2754</v>
      </c>
      <c r="J4" s="67"/>
      <c r="K4" s="67"/>
      <c r="L4" s="67"/>
      <c r="M4" s="67"/>
      <c r="N4" s="68"/>
      <c r="O4" s="66" t="s">
        <v>748</v>
      </c>
      <c r="P4" s="67"/>
      <c r="Q4" s="67"/>
      <c r="R4" s="68"/>
    </row>
    <row r="5" ht="40" customHeight="1" spans="1:18">
      <c r="A5" s="41" t="s">
        <v>750</v>
      </c>
      <c r="B5" s="41" t="s">
        <v>1031</v>
      </c>
      <c r="C5" s="41" t="s">
        <v>415</v>
      </c>
      <c r="D5" s="41" t="s">
        <v>416</v>
      </c>
      <c r="E5" s="41" t="s">
        <v>2721</v>
      </c>
      <c r="F5" s="41" t="s">
        <v>2722</v>
      </c>
      <c r="G5" s="41" t="s">
        <v>2723</v>
      </c>
      <c r="H5" s="41" t="s">
        <v>2724</v>
      </c>
      <c r="I5" s="41" t="s">
        <v>2719</v>
      </c>
      <c r="J5" s="41" t="s">
        <v>2725</v>
      </c>
      <c r="K5" s="41" t="s">
        <v>2728</v>
      </c>
      <c r="L5" s="41" t="s">
        <v>2732</v>
      </c>
      <c r="M5" s="41" t="s">
        <v>2735</v>
      </c>
      <c r="N5" s="41" t="s">
        <v>2742</v>
      </c>
      <c r="O5" s="41" t="s">
        <v>2746</v>
      </c>
      <c r="P5" s="41" t="s">
        <v>2755</v>
      </c>
      <c r="Q5" s="41" t="s">
        <v>424</v>
      </c>
      <c r="R5" s="41" t="s">
        <v>773</v>
      </c>
    </row>
    <row r="6" spans="1:18">
      <c r="A6" s="42" t="str">
        <f>Matching_Engine!$B$6</f>
        <v>Nusatech Cloud</v>
      </c>
      <c r="B6" s="42" t="str">
        <f>Matching_Engine!$D$6</f>
        <v>Ardi Nugraha</v>
      </c>
      <c r="C6" s="42" t="str">
        <f>Matching_Engine!$E$6</f>
        <v>@ardidigital</v>
      </c>
      <c r="D6" s="42" t="str">
        <f>Matching_Engine!$G$6</f>
        <v>Tech</v>
      </c>
      <c r="E6" s="65">
        <f ca="1">Matching_Engine!$O$6</f>
        <v>100</v>
      </c>
      <c r="F6" s="65">
        <f>Matching_Engine!$P$6</f>
        <v>100</v>
      </c>
      <c r="G6" s="65">
        <f>Matching_Engine!$Q$6</f>
        <v>100</v>
      </c>
      <c r="H6" s="65">
        <f>Matching_Engine!$R$6</f>
        <v>60</v>
      </c>
      <c r="I6" s="65">
        <f>Matching_Engine!$M$6</f>
        <v>60</v>
      </c>
      <c r="J6" s="65">
        <f ca="1">Matching_Engine!$S$6</f>
        <v>83</v>
      </c>
      <c r="K6" s="65">
        <f>Matching_Engine!$Y$6</f>
        <v>85</v>
      </c>
      <c r="L6" s="65">
        <f>Matching_Engine!$AE$6</f>
        <v>83</v>
      </c>
      <c r="M6" s="65" t="str">
        <f>Matching_Engine!$AM$6</f>
        <v>None</v>
      </c>
      <c r="N6" s="65">
        <f>Matching_Engine!$AT$6</f>
        <v>81</v>
      </c>
      <c r="O6" s="65" t="str">
        <f ca="1">Matching_Engine!$AX$6</f>
        <v>Recommended</v>
      </c>
      <c r="P6" s="63">
        <f ca="1">Matching_Engine!$AY$6</f>
        <v>80</v>
      </c>
      <c r="Q6" s="42" t="str">
        <f>Matching_Engine!$AZ$6</f>
        <v>BRAND-A|KOL-01</v>
      </c>
      <c r="R6" s="42" t="str">
        <f>Matching_Engine!$BB$6</f>
        <v>Tech</v>
      </c>
    </row>
    <row r="7" spans="1:18">
      <c r="A7" s="42" t="str">
        <f>Matching_Engine!$B$7</f>
        <v>Nusatech Cloud</v>
      </c>
      <c r="B7" s="42" t="str">
        <f>Matching_Engine!$D$7</f>
        <v>Rifqi Pratama</v>
      </c>
      <c r="C7" s="42" t="str">
        <f>Matching_Engine!$E$7</f>
        <v>@rifqi.codes</v>
      </c>
      <c r="D7" s="42" t="str">
        <f>Matching_Engine!$G$7</f>
        <v>Tech</v>
      </c>
      <c r="E7" s="65">
        <f ca="1">Matching_Engine!$O$7</f>
        <v>100</v>
      </c>
      <c r="F7" s="65">
        <f>Matching_Engine!$P$7</f>
        <v>100</v>
      </c>
      <c r="G7" s="65">
        <f>Matching_Engine!$Q$7</f>
        <v>65</v>
      </c>
      <c r="H7" s="65">
        <f>Matching_Engine!$R$7</f>
        <v>100</v>
      </c>
      <c r="I7" s="65">
        <f>Matching_Engine!$M$7</f>
        <v>100</v>
      </c>
      <c r="J7" s="65">
        <f ca="1">Matching_Engine!$S$7</f>
        <v>91</v>
      </c>
      <c r="K7" s="65">
        <f>Matching_Engine!$Y$7</f>
        <v>95</v>
      </c>
      <c r="L7" s="65">
        <f>Matching_Engine!$AE$7</f>
        <v>75</v>
      </c>
      <c r="M7" s="65" t="str">
        <f>Matching_Engine!$AM$7</f>
        <v>None</v>
      </c>
      <c r="N7" s="65">
        <f>Matching_Engine!$AT$7</f>
        <v>98</v>
      </c>
      <c r="O7" s="65" t="str">
        <f ca="1">Matching_Engine!$AX$7</f>
        <v>Highly Recommended</v>
      </c>
      <c r="P7" s="63">
        <f ca="1">Matching_Engine!$AY$7</f>
        <v>93</v>
      </c>
      <c r="Q7" s="42" t="str">
        <f>Matching_Engine!$AZ$7</f>
        <v>BRAND-A|KOL-02</v>
      </c>
      <c r="R7" s="42" t="str">
        <f>Matching_Engine!$BB$7</f>
        <v>Tech</v>
      </c>
    </row>
    <row r="8" spans="1:18">
      <c r="A8" s="42" t="str">
        <f>Matching_Engine!$B$8</f>
        <v>Nusatech Cloud</v>
      </c>
      <c r="B8" s="42" t="str">
        <f>Matching_Engine!$D$8</f>
        <v>Salsa Aulia</v>
      </c>
      <c r="C8" s="42" t="str">
        <f>Matching_Engine!$E$8</f>
        <v>@salsabeautydiary</v>
      </c>
      <c r="D8" s="42" t="str">
        <f>Matching_Engine!$G$8</f>
        <v>Beauty</v>
      </c>
      <c r="E8" s="65">
        <f ca="1">Matching_Engine!$O$8</f>
        <v>100</v>
      </c>
      <c r="F8" s="65">
        <f>Matching_Engine!$P$8</f>
        <v>100</v>
      </c>
      <c r="G8" s="65">
        <f>Matching_Engine!$Q$8</f>
        <v>100</v>
      </c>
      <c r="H8" s="65">
        <f>Matching_Engine!$R$8</f>
        <v>0</v>
      </c>
      <c r="I8" s="65">
        <f>Matching_Engine!$M$8</f>
        <v>0</v>
      </c>
      <c r="J8" s="65">
        <f ca="1">Matching_Engine!$S$8</f>
        <v>58</v>
      </c>
      <c r="K8" s="65">
        <f>Matching_Engine!$Y$8</f>
        <v>85</v>
      </c>
      <c r="L8" s="65">
        <f>Matching_Engine!$AE$8</f>
        <v>77</v>
      </c>
      <c r="M8" s="65" t="str">
        <f>Matching_Engine!$AM$8</f>
        <v>None</v>
      </c>
      <c r="N8" s="65">
        <f>Matching_Engine!$AT$8</f>
        <v>38</v>
      </c>
      <c r="O8" s="65" t="str">
        <f ca="1">Matching_Engine!$AX$8</f>
        <v>Low Priority</v>
      </c>
      <c r="P8" s="63">
        <f ca="1">Matching_Engine!$AY$8</f>
        <v>48</v>
      </c>
      <c r="Q8" s="42" t="str">
        <f>Matching_Engine!$AZ$8</f>
        <v>BRAND-A|KOL-03</v>
      </c>
      <c r="R8" s="42" t="str">
        <f>Matching_Engine!$BB$8</f>
        <v>Beauty</v>
      </c>
    </row>
    <row r="9" spans="1:18">
      <c r="A9" s="42" t="str">
        <f>Matching_Engine!$B$9</f>
        <v>Nusatech Cloud</v>
      </c>
      <c r="B9" s="42" t="str">
        <f>Matching_Engine!$D$9</f>
        <v>Nadia Puspa</v>
      </c>
      <c r="C9" s="42" t="str">
        <f>Matching_Engine!$E$9</f>
        <v>@nadiaglowup</v>
      </c>
      <c r="D9" s="42" t="str">
        <f>Matching_Engine!$G$9</f>
        <v>Beauty</v>
      </c>
      <c r="E9" s="65">
        <f ca="1">Matching_Engine!$O$9</f>
        <v>100</v>
      </c>
      <c r="F9" s="65">
        <f>Matching_Engine!$P$9</f>
        <v>100</v>
      </c>
      <c r="G9" s="65">
        <f>Matching_Engine!$Q$9</f>
        <v>65</v>
      </c>
      <c r="H9" s="65">
        <f>Matching_Engine!$R$9</f>
        <v>0</v>
      </c>
      <c r="I9" s="65">
        <f>Matching_Engine!$M$9</f>
        <v>0</v>
      </c>
      <c r="J9" s="65">
        <f ca="1">Matching_Engine!$S$9</f>
        <v>49</v>
      </c>
      <c r="K9" s="65">
        <f>Matching_Engine!$Y$9</f>
        <v>95</v>
      </c>
      <c r="L9" s="65">
        <f>Matching_Engine!$AE$9</f>
        <v>82</v>
      </c>
      <c r="M9" s="65" t="str">
        <f>Matching_Engine!$AM$9</f>
        <v>Medium</v>
      </c>
      <c r="N9" s="65">
        <f>Matching_Engine!$AT$9</f>
        <v>40</v>
      </c>
      <c r="O9" s="65" t="str">
        <f ca="1">Matching_Engine!$AX$9</f>
        <v>Low Priority</v>
      </c>
      <c r="P9" s="63">
        <f ca="1">Matching_Engine!$AY$9</f>
        <v>46</v>
      </c>
      <c r="Q9" s="42" t="str">
        <f>Matching_Engine!$AZ$9</f>
        <v>BRAND-A|KOL-04</v>
      </c>
      <c r="R9" s="42" t="str">
        <f>Matching_Engine!$BB$9</f>
        <v>Beauty</v>
      </c>
    </row>
    <row r="10" spans="1:18">
      <c r="A10" s="42" t="str">
        <f>Matching_Engine!$B$10</f>
        <v>Nusatech Cloud</v>
      </c>
      <c r="B10" s="42" t="str">
        <f>Matching_Engine!$D$10</f>
        <v>Bimo Saputra</v>
      </c>
      <c r="C10" s="42" t="str">
        <f>Matching_Engine!$E$10</f>
        <v>@bimomakan</v>
      </c>
      <c r="D10" s="42" t="str">
        <f>Matching_Engine!$G$10</f>
        <v>Food</v>
      </c>
      <c r="E10" s="65">
        <f ca="1">Matching_Engine!$O$10</f>
        <v>100</v>
      </c>
      <c r="F10" s="65">
        <f>Matching_Engine!$P$10</f>
        <v>100</v>
      </c>
      <c r="G10" s="65">
        <f>Matching_Engine!$Q$10</f>
        <v>85</v>
      </c>
      <c r="H10" s="65">
        <f>Matching_Engine!$R$10</f>
        <v>0</v>
      </c>
      <c r="I10" s="65">
        <f>Matching_Engine!$M$10</f>
        <v>0</v>
      </c>
      <c r="J10" s="65">
        <f ca="1">Matching_Engine!$S$10</f>
        <v>54</v>
      </c>
      <c r="K10" s="65">
        <f>Matching_Engine!$Y$10</f>
        <v>50</v>
      </c>
      <c r="L10" s="65">
        <f>Matching_Engine!$AE$10</f>
        <v>70</v>
      </c>
      <c r="M10" s="65" t="str">
        <f>Matching_Engine!$AM$10</f>
        <v>Low</v>
      </c>
      <c r="N10" s="65">
        <f>Matching_Engine!$AT$10</f>
        <v>30</v>
      </c>
      <c r="O10" s="65" t="str">
        <f ca="1">Matching_Engine!$AX$10</f>
        <v>Low Priority</v>
      </c>
      <c r="P10" s="63">
        <f ca="1">Matching_Engine!$AY$10</f>
        <v>45</v>
      </c>
      <c r="Q10" s="42" t="str">
        <f>Matching_Engine!$AZ$10</f>
        <v>BRAND-A|KOL-05</v>
      </c>
      <c r="R10" s="42" t="str">
        <f>Matching_Engine!$BB$10</f>
        <v>Food</v>
      </c>
    </row>
    <row r="11" spans="1:18">
      <c r="A11" s="42" t="str">
        <f>Matching_Engine!$B$11</f>
        <v>Nusatech Cloud</v>
      </c>
      <c r="B11" s="42" t="str">
        <f>Matching_Engine!$D$11</f>
        <v>Ayu Lestari</v>
      </c>
      <c r="C11" s="42" t="str">
        <f>Matching_Engine!$E$11</f>
        <v>@dapurayu</v>
      </c>
      <c r="D11" s="42" t="str">
        <f>Matching_Engine!$G$11</f>
        <v>Food</v>
      </c>
      <c r="E11" s="65">
        <f ca="1">Matching_Engine!$O$11</f>
        <v>100</v>
      </c>
      <c r="F11" s="65">
        <f>Matching_Engine!$P$11</f>
        <v>100</v>
      </c>
      <c r="G11" s="65">
        <f>Matching_Engine!$Q$11</f>
        <v>68</v>
      </c>
      <c r="H11" s="65">
        <f>Matching_Engine!$R$11</f>
        <v>0</v>
      </c>
      <c r="I11" s="65">
        <f>Matching_Engine!$M$11</f>
        <v>0</v>
      </c>
      <c r="J11" s="65">
        <f ca="1">Matching_Engine!$S$11</f>
        <v>50</v>
      </c>
      <c r="K11" s="65">
        <f>Matching_Engine!$Y$11</f>
        <v>50</v>
      </c>
      <c r="L11" s="65">
        <f>Matching_Engine!$AE$11</f>
        <v>73</v>
      </c>
      <c r="M11" s="65" t="str">
        <f>Matching_Engine!$AM$11</f>
        <v>Low</v>
      </c>
      <c r="N11" s="65">
        <f>Matching_Engine!$AT$11</f>
        <v>34</v>
      </c>
      <c r="O11" s="65" t="str">
        <f ca="1">Matching_Engine!$AX$11</f>
        <v>Low Priority</v>
      </c>
      <c r="P11" s="63">
        <f ca="1">Matching_Engine!$AY$11</f>
        <v>44</v>
      </c>
      <c r="Q11" s="42" t="str">
        <f>Matching_Engine!$AZ$11</f>
        <v>BRAND-A|KOL-06</v>
      </c>
      <c r="R11" s="42" t="str">
        <f>Matching_Engine!$BB$11</f>
        <v>Food</v>
      </c>
    </row>
    <row r="12" spans="1:18">
      <c r="A12" s="42" t="str">
        <f>Matching_Engine!$B$12</f>
        <v>Nusatech Cloud</v>
      </c>
      <c r="B12" s="42" t="str">
        <f>Matching_Engine!$D$12</f>
        <v>Fajar Ramadhan</v>
      </c>
      <c r="C12" s="42" t="str">
        <f>Matching_Engine!$E$12</f>
        <v>@fajarfinance</v>
      </c>
      <c r="D12" s="42" t="str">
        <f>Matching_Engine!$G$12</f>
        <v>Finance</v>
      </c>
      <c r="E12" s="65">
        <f ca="1">Matching_Engine!$O$12</f>
        <v>100</v>
      </c>
      <c r="F12" s="65">
        <f>Matching_Engine!$P$12</f>
        <v>100</v>
      </c>
      <c r="G12" s="65">
        <f>Matching_Engine!$Q$12</f>
        <v>100</v>
      </c>
      <c r="H12" s="65">
        <f>Matching_Engine!$R$12</f>
        <v>100</v>
      </c>
      <c r="I12" s="65">
        <f>Matching_Engine!$M$12</f>
        <v>100</v>
      </c>
      <c r="J12" s="65">
        <f ca="1">Matching_Engine!$S$12</f>
        <v>100</v>
      </c>
      <c r="K12" s="65">
        <f>Matching_Engine!$Y$12</f>
        <v>70</v>
      </c>
      <c r="L12" s="65">
        <f>Matching_Engine!$AE$12</f>
        <v>86</v>
      </c>
      <c r="M12" s="65" t="str">
        <f>Matching_Engine!$AM$12</f>
        <v>None</v>
      </c>
      <c r="N12" s="65">
        <f>Matching_Engine!$AT$12</f>
        <v>83</v>
      </c>
      <c r="O12" s="65" t="str">
        <f ca="1">Matching_Engine!$AX$12</f>
        <v>Highly Recommended</v>
      </c>
      <c r="P12" s="63">
        <f ca="1">Matching_Engine!$AY$12</f>
        <v>87</v>
      </c>
      <c r="Q12" s="42" t="str">
        <f>Matching_Engine!$AZ$12</f>
        <v>BRAND-A|KOL-07</v>
      </c>
      <c r="R12" s="42" t="str">
        <f>Matching_Engine!$BB$12</f>
        <v>Finance</v>
      </c>
    </row>
    <row r="13" spans="1:18">
      <c r="A13" s="42" t="str">
        <f>Matching_Engine!$B$13</f>
        <v>Nusatech Cloud</v>
      </c>
      <c r="B13" s="42" t="str">
        <f>Matching_Engine!$D$13</f>
        <v>Tania Wijaya</v>
      </c>
      <c r="C13" s="42" t="str">
        <f>Matching_Engine!$E$13</f>
        <v>@taniainvest</v>
      </c>
      <c r="D13" s="42" t="str">
        <f>Matching_Engine!$G$13</f>
        <v>Finance</v>
      </c>
      <c r="E13" s="65">
        <f ca="1">Matching_Engine!$O$13</f>
        <v>100</v>
      </c>
      <c r="F13" s="65">
        <f>Matching_Engine!$P$13</f>
        <v>100</v>
      </c>
      <c r="G13" s="65">
        <f>Matching_Engine!$Q$13</f>
        <v>100</v>
      </c>
      <c r="H13" s="65">
        <f>Matching_Engine!$R$13</f>
        <v>80</v>
      </c>
      <c r="I13" s="65">
        <f>Matching_Engine!$M$13</f>
        <v>80</v>
      </c>
      <c r="J13" s="65">
        <f ca="1">Matching_Engine!$S$13</f>
        <v>92</v>
      </c>
      <c r="K13" s="65">
        <f>Matching_Engine!$Y$13</f>
        <v>95</v>
      </c>
      <c r="L13" s="65">
        <f>Matching_Engine!$AE$13</f>
        <v>64</v>
      </c>
      <c r="M13" s="65" t="str">
        <f>Matching_Engine!$AM$13</f>
        <v>Low</v>
      </c>
      <c r="N13" s="65">
        <f>Matching_Engine!$AT$13</f>
        <v>82</v>
      </c>
      <c r="O13" s="65" t="str">
        <f ca="1">Matching_Engine!$AX$13</f>
        <v>Excluded</v>
      </c>
      <c r="P13" s="63" t="str">
        <f ca="1">Matching_Engine!$AY$13</f>
        <v/>
      </c>
      <c r="Q13" s="42" t="str">
        <f>Matching_Engine!$AZ$13</f>
        <v>BRAND-A|KOL-08</v>
      </c>
      <c r="R13" s="42" t="str">
        <f>Matching_Engine!$BB$13</f>
        <v>Finance</v>
      </c>
    </row>
    <row r="14" spans="1:18">
      <c r="A14" s="42" t="str">
        <f>Matching_Engine!$B$14</f>
        <v>Nusatech Cloud</v>
      </c>
      <c r="B14" s="42" t="str">
        <f>Matching_Engine!$D$14</f>
        <v>Gilang Prakoso</v>
      </c>
      <c r="C14" s="42" t="str">
        <f>Matching_Engine!$E$14</f>
        <v>@gilangbelajar</v>
      </c>
      <c r="D14" s="42" t="str">
        <f>Matching_Engine!$G$14</f>
        <v>Education</v>
      </c>
      <c r="E14" s="65">
        <f ca="1">Matching_Engine!$O$14</f>
        <v>100</v>
      </c>
      <c r="F14" s="65">
        <f>Matching_Engine!$P$14</f>
        <v>100</v>
      </c>
      <c r="G14" s="65">
        <f>Matching_Engine!$Q$14</f>
        <v>65</v>
      </c>
      <c r="H14" s="65">
        <f>Matching_Engine!$R$14</f>
        <v>80</v>
      </c>
      <c r="I14" s="65">
        <f>Matching_Engine!$M$14</f>
        <v>80</v>
      </c>
      <c r="J14" s="65">
        <f ca="1">Matching_Engine!$S$14</f>
        <v>83</v>
      </c>
      <c r="K14" s="65">
        <f>Matching_Engine!$Y$14</f>
        <v>95</v>
      </c>
      <c r="L14" s="65">
        <f>Matching_Engine!$AE$14</f>
        <v>86</v>
      </c>
      <c r="M14" s="65" t="str">
        <f>Matching_Engine!$AM$14</f>
        <v>None</v>
      </c>
      <c r="N14" s="65">
        <f>Matching_Engine!$AT$14</f>
        <v>80</v>
      </c>
      <c r="O14" s="65" t="str">
        <f ca="1">Matching_Engine!$AX$14</f>
        <v>Recommended</v>
      </c>
      <c r="P14" s="63">
        <f ca="1">Matching_Engine!$AY$14</f>
        <v>81</v>
      </c>
      <c r="Q14" s="42" t="str">
        <f>Matching_Engine!$AZ$14</f>
        <v>BRAND-A|KOL-09</v>
      </c>
      <c r="R14" s="42" t="str">
        <f>Matching_Engine!$BB$14</f>
        <v>Education</v>
      </c>
    </row>
    <row r="15" spans="1:18">
      <c r="A15" s="42" t="str">
        <f>Matching_Engine!$B$15</f>
        <v>Nusatech Cloud</v>
      </c>
      <c r="B15" s="42" t="str">
        <f>Matching_Engine!$D$15</f>
        <v>Mira Handayani</v>
      </c>
      <c r="C15" s="42" t="str">
        <f>Matching_Engine!$E$15</f>
        <v>@mirabahasa</v>
      </c>
      <c r="D15" s="42" t="str">
        <f>Matching_Engine!$G$15</f>
        <v>Education</v>
      </c>
      <c r="E15" s="65">
        <f ca="1">Matching_Engine!$O$15</f>
        <v>100</v>
      </c>
      <c r="F15" s="65">
        <f>Matching_Engine!$P$15</f>
        <v>100</v>
      </c>
      <c r="G15" s="65">
        <f>Matching_Engine!$Q$15</f>
        <v>65</v>
      </c>
      <c r="H15" s="65">
        <f>Matching_Engine!$R$15</f>
        <v>60</v>
      </c>
      <c r="I15" s="65">
        <f>Matching_Engine!$M$15</f>
        <v>60</v>
      </c>
      <c r="J15" s="65">
        <f ca="1">Matching_Engine!$S$15</f>
        <v>74</v>
      </c>
      <c r="K15" s="65">
        <f>Matching_Engine!$Y$15</f>
        <v>95</v>
      </c>
      <c r="L15" s="65">
        <f>Matching_Engine!$AE$15</f>
        <v>75</v>
      </c>
      <c r="M15" s="65" t="str">
        <f>Matching_Engine!$AM$15</f>
        <v>None</v>
      </c>
      <c r="N15" s="65">
        <f>Matching_Engine!$AT$15</f>
        <v>74</v>
      </c>
      <c r="O15" s="65" t="str">
        <f ca="1">Matching_Engine!$AX$15</f>
        <v>Recommended</v>
      </c>
      <c r="P15" s="63">
        <f ca="1">Matching_Engine!$AY$15</f>
        <v>74</v>
      </c>
      <c r="Q15" s="42" t="str">
        <f>Matching_Engine!$AZ$15</f>
        <v>BRAND-A|KOL-10</v>
      </c>
      <c r="R15" s="42" t="str">
        <f>Matching_Engine!$BB$15</f>
        <v>Education</v>
      </c>
    </row>
    <row r="16" spans="1:18">
      <c r="A16" s="42" t="str">
        <f>Matching_Engine!$B$16</f>
        <v>Nusatech Cloud</v>
      </c>
      <c r="B16" s="42" t="str">
        <f>Matching_Engine!$D$16</f>
        <v>Dimas Anggara</v>
      </c>
      <c r="C16" s="42" t="str">
        <f>Matching_Engine!$E$16</f>
        <v>@dimasfit</v>
      </c>
      <c r="D16" s="42" t="str">
        <f>Matching_Engine!$G$16</f>
        <v>Fitness</v>
      </c>
      <c r="E16" s="65">
        <f ca="1">Matching_Engine!$O$16</f>
        <v>100</v>
      </c>
      <c r="F16" s="65">
        <f>Matching_Engine!$P$16</f>
        <v>100</v>
      </c>
      <c r="G16" s="65">
        <f>Matching_Engine!$Q$16</f>
        <v>100</v>
      </c>
      <c r="H16" s="65">
        <f>Matching_Engine!$R$16</f>
        <v>0</v>
      </c>
      <c r="I16" s="65">
        <f>Matching_Engine!$M$16</f>
        <v>0</v>
      </c>
      <c r="J16" s="65">
        <f ca="1">Matching_Engine!$S$16</f>
        <v>58</v>
      </c>
      <c r="K16" s="65">
        <f>Matching_Engine!$Y$16</f>
        <v>70</v>
      </c>
      <c r="L16" s="65">
        <f>Matching_Engine!$AE$16</f>
        <v>61</v>
      </c>
      <c r="M16" s="65" t="str">
        <f>Matching_Engine!$AM$16</f>
        <v>Low</v>
      </c>
      <c r="N16" s="65">
        <f>Matching_Engine!$AT$16</f>
        <v>39</v>
      </c>
      <c r="O16" s="65" t="str">
        <f ca="1">Matching_Engine!$AX$16</f>
        <v>Excluded</v>
      </c>
      <c r="P16" s="63" t="str">
        <f ca="1">Matching_Engine!$AY$16</f>
        <v/>
      </c>
      <c r="Q16" s="42" t="str">
        <f>Matching_Engine!$AZ$16</f>
        <v>BRAND-A|KOL-11</v>
      </c>
      <c r="R16" s="42" t="str">
        <f>Matching_Engine!$BB$16</f>
        <v>Fitness</v>
      </c>
    </row>
    <row r="17" spans="1:18">
      <c r="A17" s="42" t="str">
        <f>Matching_Engine!$B$17</f>
        <v>Nusatech Cloud</v>
      </c>
      <c r="B17" s="42" t="str">
        <f>Matching_Engine!$D$17</f>
        <v>Rani Kusuma</v>
      </c>
      <c r="C17" s="42" t="str">
        <f>Matching_Engine!$E$17</f>
        <v>@ranihomeworkout</v>
      </c>
      <c r="D17" s="42" t="str">
        <f>Matching_Engine!$G$17</f>
        <v>Fitness</v>
      </c>
      <c r="E17" s="65">
        <f ca="1">Matching_Engine!$O$17</f>
        <v>100</v>
      </c>
      <c r="F17" s="65">
        <f>Matching_Engine!$P$17</f>
        <v>100</v>
      </c>
      <c r="G17" s="65">
        <f>Matching_Engine!$Q$17</f>
        <v>65</v>
      </c>
      <c r="H17" s="65">
        <f>Matching_Engine!$R$17</f>
        <v>0</v>
      </c>
      <c r="I17" s="65">
        <f>Matching_Engine!$M$17</f>
        <v>0</v>
      </c>
      <c r="J17" s="65">
        <f ca="1">Matching_Engine!$S$17</f>
        <v>49</v>
      </c>
      <c r="K17" s="65">
        <f>Matching_Engine!$Y$17</f>
        <v>70</v>
      </c>
      <c r="L17" s="65">
        <f>Matching_Engine!$AE$17</f>
        <v>80</v>
      </c>
      <c r="M17" s="65" t="str">
        <f>Matching_Engine!$AM$17</f>
        <v>None</v>
      </c>
      <c r="N17" s="65">
        <f>Matching_Engine!$AT$17</f>
        <v>39</v>
      </c>
      <c r="O17" s="65" t="str">
        <f ca="1">Matching_Engine!$AX$17</f>
        <v>Low Priority</v>
      </c>
      <c r="P17" s="63">
        <f ca="1">Matching_Engine!$AY$17</f>
        <v>48</v>
      </c>
      <c r="Q17" s="42" t="str">
        <f>Matching_Engine!$AZ$17</f>
        <v>BRAND-A|KOL-12</v>
      </c>
      <c r="R17" s="42" t="str">
        <f>Matching_Engine!$BB$17</f>
        <v>Fitness</v>
      </c>
    </row>
    <row r="18" spans="1:18">
      <c r="A18" s="42" t="str">
        <f>Matching_Engine!$B$18</f>
        <v>Nusatech Cloud</v>
      </c>
      <c r="B18" s="42" t="str">
        <f>Matching_Engine!$D$18</f>
        <v>Kevin Halim</v>
      </c>
      <c r="C18" s="42" t="str">
        <f>Matching_Engine!$E$18</f>
        <v>@kevinstyleid</v>
      </c>
      <c r="D18" s="42" t="str">
        <f>Matching_Engine!$G$18</f>
        <v>Fashion</v>
      </c>
      <c r="E18" s="65">
        <f ca="1">Matching_Engine!$O$18</f>
        <v>100</v>
      </c>
      <c r="F18" s="65">
        <f>Matching_Engine!$P$18</f>
        <v>100</v>
      </c>
      <c r="G18" s="65">
        <f>Matching_Engine!$Q$18</f>
        <v>100</v>
      </c>
      <c r="H18" s="65">
        <f>Matching_Engine!$R$18</f>
        <v>0</v>
      </c>
      <c r="I18" s="65">
        <f>Matching_Engine!$M$18</f>
        <v>0</v>
      </c>
      <c r="J18" s="65">
        <f ca="1">Matching_Engine!$S$18</f>
        <v>58</v>
      </c>
      <c r="K18" s="65">
        <f>Matching_Engine!$Y$18</f>
        <v>95</v>
      </c>
      <c r="L18" s="65">
        <f>Matching_Engine!$AE$18</f>
        <v>86</v>
      </c>
      <c r="M18" s="65" t="str">
        <f>Matching_Engine!$AM$18</f>
        <v>None</v>
      </c>
      <c r="N18" s="65">
        <f>Matching_Engine!$AT$18</f>
        <v>30</v>
      </c>
      <c r="O18" s="65" t="str">
        <f ca="1">Matching_Engine!$AX$18</f>
        <v>Low Priority</v>
      </c>
      <c r="P18" s="63">
        <f ca="1">Matching_Engine!$AY$18</f>
        <v>45</v>
      </c>
      <c r="Q18" s="42" t="str">
        <f>Matching_Engine!$AZ$18</f>
        <v>BRAND-A|KOL-13</v>
      </c>
      <c r="R18" s="42" t="str">
        <f>Matching_Engine!$BB$18</f>
        <v>Fashion</v>
      </c>
    </row>
    <row r="19" spans="1:18">
      <c r="A19" s="42" t="str">
        <f>Matching_Engine!$B$19</f>
        <v>Nusatech Cloud</v>
      </c>
      <c r="B19" s="42" t="str">
        <f>Matching_Engine!$D$19</f>
        <v>Zahra Amelia</v>
      </c>
      <c r="C19" s="42" t="str">
        <f>Matching_Engine!$E$19</f>
        <v>@zahrahijabstyle</v>
      </c>
      <c r="D19" s="42" t="str">
        <f>Matching_Engine!$G$19</f>
        <v>Fashion</v>
      </c>
      <c r="E19" s="65">
        <f ca="1">Matching_Engine!$O$19</f>
        <v>100</v>
      </c>
      <c r="F19" s="65">
        <f>Matching_Engine!$P$19</f>
        <v>100</v>
      </c>
      <c r="G19" s="65">
        <f>Matching_Engine!$Q$19</f>
        <v>65</v>
      </c>
      <c r="H19" s="65">
        <f>Matching_Engine!$R$19</f>
        <v>0</v>
      </c>
      <c r="I19" s="65">
        <f>Matching_Engine!$M$19</f>
        <v>0</v>
      </c>
      <c r="J19" s="65">
        <f ca="1">Matching_Engine!$S$19</f>
        <v>49</v>
      </c>
      <c r="K19" s="65">
        <f>Matching_Engine!$Y$19</f>
        <v>60</v>
      </c>
      <c r="L19" s="65">
        <f>Matching_Engine!$AE$19</f>
        <v>62</v>
      </c>
      <c r="M19" s="65" t="str">
        <f>Matching_Engine!$AM$19</f>
        <v>Low</v>
      </c>
      <c r="N19" s="65">
        <f>Matching_Engine!$AT$19</f>
        <v>28</v>
      </c>
      <c r="O19" s="65" t="str">
        <f ca="1">Matching_Engine!$AX$19</f>
        <v>Excluded</v>
      </c>
      <c r="P19" s="63" t="str">
        <f ca="1">Matching_Engine!$AY$19</f>
        <v/>
      </c>
      <c r="Q19" s="42" t="str">
        <f>Matching_Engine!$AZ$19</f>
        <v>BRAND-A|KOL-14</v>
      </c>
      <c r="R19" s="42" t="str">
        <f>Matching_Engine!$BB$19</f>
        <v>Fashion</v>
      </c>
    </row>
    <row r="20" spans="1:18">
      <c r="A20" s="42" t="str">
        <f>Matching_Engine!$B$20</f>
        <v>Nusatech Cloud</v>
      </c>
      <c r="B20" s="42" t="str">
        <f>Matching_Engine!$D$20</f>
        <v>Andini Rahma</v>
      </c>
      <c r="C20" s="42" t="str">
        <f>Matching_Engine!$E$20</f>
        <v>@andinidaily</v>
      </c>
      <c r="D20" s="42" t="str">
        <f>Matching_Engine!$G$20</f>
        <v>Lifestyle</v>
      </c>
      <c r="E20" s="65">
        <f ca="1">Matching_Engine!$O$20</f>
        <v>100</v>
      </c>
      <c r="F20" s="65">
        <f>Matching_Engine!$P$20</f>
        <v>100</v>
      </c>
      <c r="G20" s="65">
        <f>Matching_Engine!$Q$20</f>
        <v>100</v>
      </c>
      <c r="H20" s="65">
        <f>Matching_Engine!$R$20</f>
        <v>0</v>
      </c>
      <c r="I20" s="65">
        <f>Matching_Engine!$M$20</f>
        <v>0</v>
      </c>
      <c r="J20" s="65">
        <f ca="1">Matching_Engine!$S$20</f>
        <v>58</v>
      </c>
      <c r="K20" s="65">
        <f>Matching_Engine!$Y$20</f>
        <v>50</v>
      </c>
      <c r="L20" s="65">
        <f>Matching_Engine!$AE$20</f>
        <v>79</v>
      </c>
      <c r="M20" s="65" t="str">
        <f>Matching_Engine!$AM$20</f>
        <v>None</v>
      </c>
      <c r="N20" s="65">
        <f>Matching_Engine!$AT$20</f>
        <v>31</v>
      </c>
      <c r="O20" s="65" t="str">
        <f ca="1">Matching_Engine!$AX$20</f>
        <v>Low Priority</v>
      </c>
      <c r="P20" s="63">
        <f ca="1">Matching_Engine!$AY$20</f>
        <v>48</v>
      </c>
      <c r="Q20" s="42" t="str">
        <f>Matching_Engine!$AZ$20</f>
        <v>BRAND-A|KOL-15</v>
      </c>
      <c r="R20" s="42" t="str">
        <f>Matching_Engine!$BB$20</f>
        <v>Lifestyle</v>
      </c>
    </row>
    <row r="21" spans="1:18">
      <c r="A21" s="42" t="str">
        <f>Matching_Engine!$B$21</f>
        <v>Nusatech Cloud</v>
      </c>
      <c r="B21" s="42" t="str">
        <f>Matching_Engine!$D$21</f>
        <v>Yoga Pratama</v>
      </c>
      <c r="C21" s="42" t="str">
        <f>Matching_Engine!$E$21</f>
        <v>@yogaminimal</v>
      </c>
      <c r="D21" s="42" t="str">
        <f>Matching_Engine!$G$21</f>
        <v>Lifestyle</v>
      </c>
      <c r="E21" s="65">
        <f ca="1">Matching_Engine!$O$21</f>
        <v>100</v>
      </c>
      <c r="F21" s="65">
        <f>Matching_Engine!$P$21</f>
        <v>100</v>
      </c>
      <c r="G21" s="65">
        <f>Matching_Engine!$Q$21</f>
        <v>65</v>
      </c>
      <c r="H21" s="65">
        <f>Matching_Engine!$R$21</f>
        <v>80</v>
      </c>
      <c r="I21" s="65">
        <f>Matching_Engine!$M$21</f>
        <v>80</v>
      </c>
      <c r="J21" s="65">
        <f ca="1">Matching_Engine!$S$21</f>
        <v>83</v>
      </c>
      <c r="K21" s="65">
        <f>Matching_Engine!$Y$21</f>
        <v>70</v>
      </c>
      <c r="L21" s="65">
        <f>Matching_Engine!$AE$21</f>
        <v>72</v>
      </c>
      <c r="M21" s="65" t="str">
        <f>Matching_Engine!$AM$21</f>
        <v>Low</v>
      </c>
      <c r="N21" s="65">
        <f>Matching_Engine!$AT$21</f>
        <v>54</v>
      </c>
      <c r="O21" s="65" t="str">
        <f ca="1">Matching_Engine!$AX$21</f>
        <v>Consider</v>
      </c>
      <c r="P21" s="63">
        <f ca="1">Matching_Engine!$AY$21</f>
        <v>67</v>
      </c>
      <c r="Q21" s="42" t="str">
        <f>Matching_Engine!$AZ$21</f>
        <v>BRAND-A|KOL-16</v>
      </c>
      <c r="R21" s="42" t="str">
        <f>Matching_Engine!$BB$21</f>
        <v>Lifestyle</v>
      </c>
    </row>
    <row r="22" spans="1:18">
      <c r="A22" s="42" t="str">
        <f>Matching_Engine!$B$22</f>
        <v>Nusatech Cloud</v>
      </c>
      <c r="B22" s="42" t="str">
        <f>Matching_Engine!$D$22</f>
        <v>Sinta Maharani</v>
      </c>
      <c r="C22" s="42" t="str">
        <f>Matching_Engine!$E$22</f>
        <v>@sintajalanjalan</v>
      </c>
      <c r="D22" s="42" t="str">
        <f>Matching_Engine!$G$22</f>
        <v>Travel</v>
      </c>
      <c r="E22" s="65">
        <f ca="1">Matching_Engine!$O$22</f>
        <v>100</v>
      </c>
      <c r="F22" s="65">
        <f>Matching_Engine!$P$22</f>
        <v>100</v>
      </c>
      <c r="G22" s="65">
        <f>Matching_Engine!$Q$22</f>
        <v>65</v>
      </c>
      <c r="H22" s="65">
        <f>Matching_Engine!$R$22</f>
        <v>0</v>
      </c>
      <c r="I22" s="65">
        <f>Matching_Engine!$M$22</f>
        <v>0</v>
      </c>
      <c r="J22" s="65">
        <f ca="1">Matching_Engine!$S$22</f>
        <v>49</v>
      </c>
      <c r="K22" s="65">
        <f>Matching_Engine!$Y$22</f>
        <v>60</v>
      </c>
      <c r="L22" s="65">
        <f>Matching_Engine!$AE$22</f>
        <v>79</v>
      </c>
      <c r="M22" s="65" t="str">
        <f>Matching_Engine!$AM$22</f>
        <v>None</v>
      </c>
      <c r="N22" s="65">
        <f>Matching_Engine!$AT$22</f>
        <v>29</v>
      </c>
      <c r="O22" s="65" t="str">
        <f ca="1">Matching_Engine!$AX$22</f>
        <v>Low Priority</v>
      </c>
      <c r="P22" s="63">
        <f ca="1">Matching_Engine!$AY$22</f>
        <v>42</v>
      </c>
      <c r="Q22" s="42" t="str">
        <f>Matching_Engine!$AZ$22</f>
        <v>BRAND-A|KOL-17</v>
      </c>
      <c r="R22" s="42" t="str">
        <f>Matching_Engine!$BB$22</f>
        <v>Travel</v>
      </c>
    </row>
    <row r="23" spans="1:18">
      <c r="A23" s="42" t="str">
        <f>Matching_Engine!$B$23</f>
        <v>Nusatech Cloud</v>
      </c>
      <c r="B23" s="42" t="str">
        <f>Matching_Engine!$D$23</f>
        <v>Reza Fadillah</v>
      </c>
      <c r="C23" s="42" t="str">
        <f>Matching_Engine!$E$23</f>
        <v>@rezabudgettrip</v>
      </c>
      <c r="D23" s="42" t="str">
        <f>Matching_Engine!$G$23</f>
        <v>Travel</v>
      </c>
      <c r="E23" s="65">
        <f ca="1">Matching_Engine!$O$23</f>
        <v>100</v>
      </c>
      <c r="F23" s="65">
        <f>Matching_Engine!$P$23</f>
        <v>100</v>
      </c>
      <c r="G23" s="65">
        <f>Matching_Engine!$Q$23</f>
        <v>65</v>
      </c>
      <c r="H23" s="65">
        <f>Matching_Engine!$R$23</f>
        <v>20</v>
      </c>
      <c r="I23" s="65">
        <f>Matching_Engine!$M$23</f>
        <v>20</v>
      </c>
      <c r="J23" s="65">
        <f ca="1">Matching_Engine!$S$23</f>
        <v>57</v>
      </c>
      <c r="K23" s="65">
        <f>Matching_Engine!$Y$23</f>
        <v>40</v>
      </c>
      <c r="L23" s="65">
        <f>Matching_Engine!$AE$23</f>
        <v>82</v>
      </c>
      <c r="M23" s="65" t="str">
        <f>Matching_Engine!$AM$23</f>
        <v>None</v>
      </c>
      <c r="N23" s="65">
        <f>Matching_Engine!$AT$23</f>
        <v>29</v>
      </c>
      <c r="O23" s="65" t="str">
        <f ca="1">Matching_Engine!$AX$23</f>
        <v>Low Priority</v>
      </c>
      <c r="P23" s="63">
        <f ca="1">Matching_Engine!$AY$23</f>
        <v>48</v>
      </c>
      <c r="Q23" s="42" t="str">
        <f>Matching_Engine!$AZ$23</f>
        <v>BRAND-A|KOL-18</v>
      </c>
      <c r="R23" s="42" t="str">
        <f>Matching_Engine!$BB$23</f>
        <v>Travel</v>
      </c>
    </row>
    <row r="24" spans="1:18">
      <c r="A24" s="42" t="str">
        <f>Matching_Engine!$B$24</f>
        <v>Nusatech Cloud</v>
      </c>
      <c r="B24" s="42" t="str">
        <f>Matching_Engine!$D$24</f>
        <v>Putri Amanda</v>
      </c>
      <c r="C24" s="42" t="str">
        <f>Matching_Engine!$E$24</f>
        <v>@putrimomlife</v>
      </c>
      <c r="D24" s="42" t="str">
        <f>Matching_Engine!$G$24</f>
        <v>Parenting</v>
      </c>
      <c r="E24" s="65">
        <f ca="1">Matching_Engine!$O$24</f>
        <v>100</v>
      </c>
      <c r="F24" s="65">
        <f>Matching_Engine!$P$24</f>
        <v>100</v>
      </c>
      <c r="G24" s="65">
        <f>Matching_Engine!$Q$24</f>
        <v>65</v>
      </c>
      <c r="H24" s="65">
        <f>Matching_Engine!$R$24</f>
        <v>0</v>
      </c>
      <c r="I24" s="65">
        <f>Matching_Engine!$M$24</f>
        <v>0</v>
      </c>
      <c r="J24" s="65">
        <f ca="1">Matching_Engine!$S$24</f>
        <v>49</v>
      </c>
      <c r="K24" s="65">
        <f>Matching_Engine!$Y$24</f>
        <v>50</v>
      </c>
      <c r="L24" s="65">
        <f>Matching_Engine!$AE$24</f>
        <v>79</v>
      </c>
      <c r="M24" s="65" t="str">
        <f>Matching_Engine!$AM$24</f>
        <v>None</v>
      </c>
      <c r="N24" s="65">
        <f>Matching_Engine!$AT$24</f>
        <v>27</v>
      </c>
      <c r="O24" s="65" t="str">
        <f ca="1">Matching_Engine!$AX$24</f>
        <v>Low Priority</v>
      </c>
      <c r="P24" s="63">
        <f ca="1">Matching_Engine!$AY$24</f>
        <v>41</v>
      </c>
      <c r="Q24" s="42" t="str">
        <f>Matching_Engine!$AZ$24</f>
        <v>BRAND-A|KOL-19</v>
      </c>
      <c r="R24" s="42" t="str">
        <f>Matching_Engine!$BB$24</f>
        <v>Parenting</v>
      </c>
    </row>
    <row r="25" spans="1:18">
      <c r="A25" s="42" t="str">
        <f>Matching_Engine!$B$25</f>
        <v>Nusatech Cloud</v>
      </c>
      <c r="B25" s="42" t="str">
        <f>Matching_Engine!$D$25</f>
        <v>Hendra Wijoyo</v>
      </c>
      <c r="C25" s="42" t="str">
        <f>Matching_Engine!$E$25</f>
        <v>@hendrakeluarga</v>
      </c>
      <c r="D25" s="42" t="str">
        <f>Matching_Engine!$G$25</f>
        <v>Parenting</v>
      </c>
      <c r="E25" s="65">
        <f ca="1">Matching_Engine!$O$25</f>
        <v>97</v>
      </c>
      <c r="F25" s="65">
        <f>Matching_Engine!$P$25</f>
        <v>100</v>
      </c>
      <c r="G25" s="65">
        <f>Matching_Engine!$Q$25</f>
        <v>65</v>
      </c>
      <c r="H25" s="65">
        <f>Matching_Engine!$R$25</f>
        <v>20</v>
      </c>
      <c r="I25" s="65">
        <f>Matching_Engine!$M$25</f>
        <v>20</v>
      </c>
      <c r="J25" s="65">
        <f ca="1">Matching_Engine!$S$25</f>
        <v>57</v>
      </c>
      <c r="K25" s="65">
        <f>Matching_Engine!$Y$25</f>
        <v>30</v>
      </c>
      <c r="L25" s="65">
        <f>Matching_Engine!$AE$25</f>
        <v>85</v>
      </c>
      <c r="M25" s="65" t="str">
        <f>Matching_Engine!$AM$25</f>
        <v>None</v>
      </c>
      <c r="N25" s="65">
        <f>Matching_Engine!$AT$25</f>
        <v>24</v>
      </c>
      <c r="O25" s="65" t="str">
        <f ca="1">Matching_Engine!$AX$25</f>
        <v>Low Priority</v>
      </c>
      <c r="P25" s="63">
        <f ca="1">Matching_Engine!$AY$25</f>
        <v>45</v>
      </c>
      <c r="Q25" s="42" t="str">
        <f>Matching_Engine!$AZ$25</f>
        <v>BRAND-A|KOL-20</v>
      </c>
      <c r="R25" s="42" t="str">
        <f>Matching_Engine!$BB$25</f>
        <v>Parenting</v>
      </c>
    </row>
    <row r="26" spans="1:18">
      <c r="A26" s="42" t="str">
        <f>Matching_Engine!$B$26</f>
        <v>Nusatech Cloud</v>
      </c>
      <c r="B26" s="42" t="str">
        <f>Matching_Engine!$D$26</f>
        <v>Bagas Setiawan</v>
      </c>
      <c r="C26" s="42" t="str">
        <f>Matching_Engine!$E$26</f>
        <v>@bagaskomedi</v>
      </c>
      <c r="D26" s="42" t="str">
        <f>Matching_Engine!$G$26</f>
        <v>Entertainment</v>
      </c>
      <c r="E26" s="65">
        <f ca="1">Matching_Engine!$O$26</f>
        <v>100</v>
      </c>
      <c r="F26" s="65">
        <f>Matching_Engine!$P$26</f>
        <v>100</v>
      </c>
      <c r="G26" s="65">
        <f>Matching_Engine!$Q$26</f>
        <v>65</v>
      </c>
      <c r="H26" s="65">
        <f>Matching_Engine!$R$26</f>
        <v>0</v>
      </c>
      <c r="I26" s="65">
        <f>Matching_Engine!$M$26</f>
        <v>0</v>
      </c>
      <c r="J26" s="65">
        <f ca="1">Matching_Engine!$S$26</f>
        <v>49</v>
      </c>
      <c r="K26" s="65">
        <f>Matching_Engine!$Y$26</f>
        <v>30</v>
      </c>
      <c r="L26" s="65">
        <f>Matching_Engine!$AE$26</f>
        <v>76</v>
      </c>
      <c r="M26" s="65" t="str">
        <f>Matching_Engine!$AM$26</f>
        <v>Medium</v>
      </c>
      <c r="N26" s="65">
        <f>Matching_Engine!$AT$26</f>
        <v>23</v>
      </c>
      <c r="O26" s="65" t="str">
        <f ca="1">Matching_Engine!$AX$26</f>
        <v>Excluded</v>
      </c>
      <c r="P26" s="63" t="str">
        <f ca="1">Matching_Engine!$AY$26</f>
        <v/>
      </c>
      <c r="Q26" s="42" t="str">
        <f>Matching_Engine!$AZ$26</f>
        <v>BRAND-A|KOL-21</v>
      </c>
      <c r="R26" s="42" t="str">
        <f>Matching_Engine!$BB$26</f>
        <v>Entertainment</v>
      </c>
    </row>
    <row r="27" spans="1:18">
      <c r="A27" s="42" t="str">
        <f>Matching_Engine!$B$27</f>
        <v>Nusatech Cloud</v>
      </c>
      <c r="B27" s="42" t="str">
        <f>Matching_Engine!$D$27</f>
        <v>Nabila Kirana</v>
      </c>
      <c r="C27" s="42" t="str">
        <f>Matching_Engine!$E$27</f>
        <v>@nabilamusic</v>
      </c>
      <c r="D27" s="42" t="str">
        <f>Matching_Engine!$G$27</f>
        <v>Entertainment</v>
      </c>
      <c r="E27" s="65">
        <f ca="1">Matching_Engine!$O$27</f>
        <v>100</v>
      </c>
      <c r="F27" s="65">
        <f>Matching_Engine!$P$27</f>
        <v>100</v>
      </c>
      <c r="G27" s="65">
        <f>Matching_Engine!$Q$27</f>
        <v>85</v>
      </c>
      <c r="H27" s="65">
        <f>Matching_Engine!$R$27</f>
        <v>0</v>
      </c>
      <c r="I27" s="65">
        <f>Matching_Engine!$M$27</f>
        <v>0</v>
      </c>
      <c r="J27" s="65">
        <f ca="1">Matching_Engine!$S$27</f>
        <v>54</v>
      </c>
      <c r="K27" s="65">
        <f>Matching_Engine!$Y$27</f>
        <v>95</v>
      </c>
      <c r="L27" s="65">
        <f>Matching_Engine!$AE$27</f>
        <v>75</v>
      </c>
      <c r="M27" s="65" t="str">
        <f>Matching_Engine!$AM$27</f>
        <v>High</v>
      </c>
      <c r="N27" s="65">
        <f>Matching_Engine!$AT$27</f>
        <v>33</v>
      </c>
      <c r="O27" s="65" t="str">
        <f ca="1">Matching_Engine!$AX$27</f>
        <v>Excluded</v>
      </c>
      <c r="P27" s="63" t="str">
        <f ca="1">Matching_Engine!$AY$27</f>
        <v/>
      </c>
      <c r="Q27" s="42" t="str">
        <f>Matching_Engine!$AZ$27</f>
        <v>BRAND-A|KOL-22</v>
      </c>
      <c r="R27" s="42" t="str">
        <f>Matching_Engine!$BB$27</f>
        <v>Entertainment</v>
      </c>
    </row>
    <row r="28" spans="1:18">
      <c r="A28" s="42" t="str">
        <f>Matching_Engine!$B$28</f>
        <v>Nusatech Cloud</v>
      </c>
      <c r="B28" s="42" t="str">
        <f>Matching_Engine!$D$28</f>
        <v>Arya Mahendra</v>
      </c>
      <c r="C28" s="42" t="str">
        <f>Matching_Engine!$E$28</f>
        <v>@aryagaming</v>
      </c>
      <c r="D28" s="42" t="str">
        <f>Matching_Engine!$G$28</f>
        <v>Gaming</v>
      </c>
      <c r="E28" s="65">
        <f ca="1">Matching_Engine!$O$28</f>
        <v>100</v>
      </c>
      <c r="F28" s="65">
        <f>Matching_Engine!$P$28</f>
        <v>100</v>
      </c>
      <c r="G28" s="65">
        <f>Matching_Engine!$Q$28</f>
        <v>65</v>
      </c>
      <c r="H28" s="65">
        <f>Matching_Engine!$R$28</f>
        <v>20</v>
      </c>
      <c r="I28" s="65">
        <f>Matching_Engine!$M$28</f>
        <v>20</v>
      </c>
      <c r="J28" s="65">
        <f ca="1">Matching_Engine!$S$28</f>
        <v>57</v>
      </c>
      <c r="K28" s="65">
        <f>Matching_Engine!$Y$28</f>
        <v>45</v>
      </c>
      <c r="L28" s="65">
        <f>Matching_Engine!$AE$28</f>
        <v>73</v>
      </c>
      <c r="M28" s="65" t="str">
        <f>Matching_Engine!$AM$28</f>
        <v>None</v>
      </c>
      <c r="N28" s="65">
        <f>Matching_Engine!$AT$28</f>
        <v>45</v>
      </c>
      <c r="O28" s="65" t="str">
        <f ca="1">Matching_Engine!$AX$28</f>
        <v>Low Priority</v>
      </c>
      <c r="P28" s="63">
        <f ca="1">Matching_Engine!$AY$28</f>
        <v>57</v>
      </c>
      <c r="Q28" s="42" t="str">
        <f>Matching_Engine!$AZ$28</f>
        <v>BRAND-A|KOL-23</v>
      </c>
      <c r="R28" s="42" t="str">
        <f>Matching_Engine!$BB$28</f>
        <v>Gaming</v>
      </c>
    </row>
    <row r="29" spans="1:18">
      <c r="A29" s="42" t="str">
        <f>Matching_Engine!$B$29</f>
        <v>Nusatech Cloud</v>
      </c>
      <c r="B29" s="42" t="str">
        <f>Matching_Engine!$D$29</f>
        <v>Rio Saputra</v>
      </c>
      <c r="C29" s="42" t="str">
        <f>Matching_Engine!$E$29</f>
        <v>@riopcbuild</v>
      </c>
      <c r="D29" s="42" t="str">
        <f>Matching_Engine!$G$29</f>
        <v>Gaming</v>
      </c>
      <c r="E29" s="65">
        <f ca="1">Matching_Engine!$O$29</f>
        <v>100</v>
      </c>
      <c r="F29" s="65">
        <f>Matching_Engine!$P$29</f>
        <v>100</v>
      </c>
      <c r="G29" s="65">
        <f>Matching_Engine!$Q$29</f>
        <v>73</v>
      </c>
      <c r="H29" s="65">
        <f>Matching_Engine!$R$29</f>
        <v>40</v>
      </c>
      <c r="I29" s="65">
        <f>Matching_Engine!$M$29</f>
        <v>40</v>
      </c>
      <c r="J29" s="65">
        <f ca="1">Matching_Engine!$S$29</f>
        <v>68</v>
      </c>
      <c r="K29" s="65">
        <f>Matching_Engine!$Y$29</f>
        <v>100</v>
      </c>
      <c r="L29" s="65">
        <f>Matching_Engine!$AE$29</f>
        <v>74</v>
      </c>
      <c r="M29" s="65" t="str">
        <f>Matching_Engine!$AM$29</f>
        <v>None</v>
      </c>
      <c r="N29" s="65">
        <f>Matching_Engine!$AT$29</f>
        <v>65</v>
      </c>
      <c r="O29" s="65" t="str">
        <f ca="1">Matching_Engine!$AX$29</f>
        <v>Consider</v>
      </c>
      <c r="P29" s="63">
        <f ca="1">Matching_Engine!$AY$29</f>
        <v>66</v>
      </c>
      <c r="Q29" s="42" t="str">
        <f>Matching_Engine!$AZ$29</f>
        <v>BRAND-A|KOL-24</v>
      </c>
      <c r="R29" s="42" t="str">
        <f>Matching_Engine!$BB$29</f>
        <v>Gaming</v>
      </c>
    </row>
    <row r="30" spans="1:18">
      <c r="A30" s="42" t="str">
        <f>Matching_Engine!$B$30</f>
        <v>Nusatech Cloud</v>
      </c>
      <c r="B30" s="42" t="str">
        <f>Matching_Engine!$D$30</f>
        <v>Denny Kurniawan</v>
      </c>
      <c r="C30" s="42" t="str">
        <f>Matching_Engine!$E$30</f>
        <v>@dennymotovlog</v>
      </c>
      <c r="D30" s="42" t="str">
        <f>Matching_Engine!$G$30</f>
        <v>Automotive</v>
      </c>
      <c r="E30" s="65">
        <f ca="1">Matching_Engine!$O$30</f>
        <v>100</v>
      </c>
      <c r="F30" s="65">
        <f>Matching_Engine!$P$30</f>
        <v>100</v>
      </c>
      <c r="G30" s="65">
        <f>Matching_Engine!$Q$30</f>
        <v>65</v>
      </c>
      <c r="H30" s="65">
        <f>Matching_Engine!$R$30</f>
        <v>20</v>
      </c>
      <c r="I30" s="65">
        <f>Matching_Engine!$M$30</f>
        <v>20</v>
      </c>
      <c r="J30" s="65">
        <f ca="1">Matching_Engine!$S$30</f>
        <v>57</v>
      </c>
      <c r="K30" s="65">
        <f>Matching_Engine!$Y$30</f>
        <v>40</v>
      </c>
      <c r="L30" s="65">
        <f>Matching_Engine!$AE$30</f>
        <v>73</v>
      </c>
      <c r="M30" s="65" t="str">
        <f>Matching_Engine!$AM$30</f>
        <v>Low</v>
      </c>
      <c r="N30" s="65">
        <f>Matching_Engine!$AT$30</f>
        <v>41</v>
      </c>
      <c r="O30" s="65" t="str">
        <f ca="1">Matching_Engine!$AX$30</f>
        <v>Low Priority</v>
      </c>
      <c r="P30" s="63">
        <f ca="1">Matching_Engine!$AY$30</f>
        <v>54</v>
      </c>
      <c r="Q30" s="42" t="str">
        <f>Matching_Engine!$AZ$30</f>
        <v>BRAND-A|KOL-25</v>
      </c>
      <c r="R30" s="42" t="str">
        <f>Matching_Engine!$BB$30</f>
        <v>Automotive</v>
      </c>
    </row>
    <row r="31" spans="1:18">
      <c r="A31" s="42" t="str">
        <f>Matching_Engine!$B$31</f>
        <v>Nusatech Cloud</v>
      </c>
      <c r="B31" s="42" t="str">
        <f>Matching_Engine!$D$31</f>
        <v>Wisnu Adi</v>
      </c>
      <c r="C31" s="42" t="str">
        <f>Matching_Engine!$E$31</f>
        <v>@wisnucarreview</v>
      </c>
      <c r="D31" s="42" t="str">
        <f>Matching_Engine!$G$31</f>
        <v>Automotive</v>
      </c>
      <c r="E31" s="65">
        <f ca="1">Matching_Engine!$O$31</f>
        <v>100</v>
      </c>
      <c r="F31" s="65">
        <f>Matching_Engine!$P$31</f>
        <v>100</v>
      </c>
      <c r="G31" s="65">
        <f>Matching_Engine!$Q$31</f>
        <v>100</v>
      </c>
      <c r="H31" s="65">
        <f>Matching_Engine!$R$31</f>
        <v>60</v>
      </c>
      <c r="I31" s="65">
        <f>Matching_Engine!$M$31</f>
        <v>60</v>
      </c>
      <c r="J31" s="65">
        <f ca="1">Matching_Engine!$S$31</f>
        <v>83</v>
      </c>
      <c r="K31" s="65">
        <f>Matching_Engine!$Y$31</f>
        <v>70</v>
      </c>
      <c r="L31" s="65">
        <f>Matching_Engine!$AE$31</f>
        <v>64</v>
      </c>
      <c r="M31" s="65" t="str">
        <f>Matching_Engine!$AM$31</f>
        <v>Low</v>
      </c>
      <c r="N31" s="65">
        <f>Matching_Engine!$AT$31</f>
        <v>64</v>
      </c>
      <c r="O31" s="65" t="str">
        <f ca="1">Matching_Engine!$AX$31</f>
        <v>Excluded</v>
      </c>
      <c r="P31" s="63" t="str">
        <f ca="1">Matching_Engine!$AY$31</f>
        <v/>
      </c>
      <c r="Q31" s="42" t="str">
        <f>Matching_Engine!$AZ$31</f>
        <v>BRAND-A|KOL-26</v>
      </c>
      <c r="R31" s="42" t="str">
        <f>Matching_Engine!$BB$31</f>
        <v>Automotive</v>
      </c>
    </row>
    <row r="32" spans="1:18">
      <c r="A32" s="42" t="str">
        <f>Matching_Engine!$B$32</f>
        <v>Nusatech Cloud</v>
      </c>
      <c r="B32" s="42" t="str">
        <f>Matching_Engine!$D$32</f>
        <v>Laras Ayu</v>
      </c>
      <c r="C32" s="42" t="str">
        <f>Matching_Engine!$E$32</f>
        <v>@larasinterior</v>
      </c>
      <c r="D32" s="42" t="str">
        <f>Matching_Engine!$G$32</f>
        <v>Home &amp; Living</v>
      </c>
      <c r="E32" s="65">
        <f ca="1">Matching_Engine!$O$32</f>
        <v>100</v>
      </c>
      <c r="F32" s="65">
        <f>Matching_Engine!$P$32</f>
        <v>100</v>
      </c>
      <c r="G32" s="65">
        <f>Matching_Engine!$Q$32</f>
        <v>65</v>
      </c>
      <c r="H32" s="65">
        <f>Matching_Engine!$R$32</f>
        <v>0</v>
      </c>
      <c r="I32" s="65">
        <f>Matching_Engine!$M$32</f>
        <v>0</v>
      </c>
      <c r="J32" s="65">
        <f ca="1">Matching_Engine!$S$32</f>
        <v>49</v>
      </c>
      <c r="K32" s="65">
        <f>Matching_Engine!$Y$32</f>
        <v>60</v>
      </c>
      <c r="L32" s="65">
        <f>Matching_Engine!$AE$32</f>
        <v>88</v>
      </c>
      <c r="M32" s="65" t="str">
        <f>Matching_Engine!$AM$32</f>
        <v>None</v>
      </c>
      <c r="N32" s="65">
        <f>Matching_Engine!$AT$32</f>
        <v>29</v>
      </c>
      <c r="O32" s="65" t="str">
        <f ca="1">Matching_Engine!$AX$32</f>
        <v>Low Priority</v>
      </c>
      <c r="P32" s="63">
        <f ca="1">Matching_Engine!$AY$32</f>
        <v>42</v>
      </c>
      <c r="Q32" s="42" t="str">
        <f>Matching_Engine!$AZ$32</f>
        <v>BRAND-A|KOL-27</v>
      </c>
      <c r="R32" s="42" t="str">
        <f>Matching_Engine!$BB$32</f>
        <v>Home &amp; Living</v>
      </c>
    </row>
    <row r="33" spans="1:18">
      <c r="A33" s="42" t="str">
        <f>Matching_Engine!$B$33</f>
        <v>Nusatech Cloud</v>
      </c>
      <c r="B33" s="42" t="str">
        <f>Matching_Engine!$D$33</f>
        <v>Tiara Nisrina</v>
      </c>
      <c r="C33" s="42" t="str">
        <f>Matching_Engine!$E$33</f>
        <v>@tiararapihin</v>
      </c>
      <c r="D33" s="42" t="str">
        <f>Matching_Engine!$G$33</f>
        <v>Home &amp; Living</v>
      </c>
      <c r="E33" s="65">
        <f ca="1">Matching_Engine!$O$33</f>
        <v>100</v>
      </c>
      <c r="F33" s="65">
        <f>Matching_Engine!$P$33</f>
        <v>100</v>
      </c>
      <c r="G33" s="65">
        <f>Matching_Engine!$Q$33</f>
        <v>100</v>
      </c>
      <c r="H33" s="65">
        <f>Matching_Engine!$R$33</f>
        <v>20</v>
      </c>
      <c r="I33" s="65">
        <f>Matching_Engine!$M$33</f>
        <v>20</v>
      </c>
      <c r="J33" s="65">
        <f ca="1">Matching_Engine!$S$33</f>
        <v>66</v>
      </c>
      <c r="K33" s="65">
        <f>Matching_Engine!$Y$33</f>
        <v>50</v>
      </c>
      <c r="L33" s="65">
        <f>Matching_Engine!$AE$33</f>
        <v>81</v>
      </c>
      <c r="M33" s="65" t="str">
        <f>Matching_Engine!$AM$33</f>
        <v>None</v>
      </c>
      <c r="N33" s="65">
        <f>Matching_Engine!$AT$33</f>
        <v>40</v>
      </c>
      <c r="O33" s="65" t="str">
        <f ca="1">Matching_Engine!$AX$33</f>
        <v>Low Priority</v>
      </c>
      <c r="P33" s="63">
        <f ca="1">Matching_Engine!$AY$33</f>
        <v>55</v>
      </c>
      <c r="Q33" s="42" t="str">
        <f>Matching_Engine!$AZ$33</f>
        <v>BRAND-A|KOL-28</v>
      </c>
      <c r="R33" s="42" t="str">
        <f>Matching_Engine!$BB$33</f>
        <v>Home &amp; Living</v>
      </c>
    </row>
    <row r="34" spans="1:18">
      <c r="A34" s="42" t="str">
        <f>Matching_Engine!$B$34</f>
        <v>Nusatech Cloud</v>
      </c>
      <c r="B34" s="42" t="str">
        <f>Matching_Engine!$D$34</f>
        <v>Sekar Ayu</v>
      </c>
      <c r="C34" s="42" t="str">
        <f>Matching_Engine!$E$34</f>
        <v>@sekarskincarejujur</v>
      </c>
      <c r="D34" s="42" t="str">
        <f>Matching_Engine!$G$34</f>
        <v>Beauty</v>
      </c>
      <c r="E34" s="65">
        <f ca="1">Matching_Engine!$O$34</f>
        <v>100</v>
      </c>
      <c r="F34" s="65">
        <f>Matching_Engine!$P$34</f>
        <v>100</v>
      </c>
      <c r="G34" s="65">
        <f>Matching_Engine!$Q$34</f>
        <v>65</v>
      </c>
      <c r="H34" s="65">
        <f>Matching_Engine!$R$34</f>
        <v>0</v>
      </c>
      <c r="I34" s="65">
        <f>Matching_Engine!$M$34</f>
        <v>0</v>
      </c>
      <c r="J34" s="65">
        <f ca="1">Matching_Engine!$S$34</f>
        <v>49</v>
      </c>
      <c r="K34" s="65">
        <f>Matching_Engine!$Y$34</f>
        <v>50</v>
      </c>
      <c r="L34" s="65">
        <f>Matching_Engine!$AE$34</f>
        <v>91</v>
      </c>
      <c r="M34" s="65" t="str">
        <f>Matching_Engine!$AM$34</f>
        <v>None</v>
      </c>
      <c r="N34" s="65">
        <f>Matching_Engine!$AT$34</f>
        <v>34</v>
      </c>
      <c r="O34" s="65" t="str">
        <f ca="1">Matching_Engine!$AX$34</f>
        <v>Low Priority</v>
      </c>
      <c r="P34" s="63">
        <f ca="1">Matching_Engine!$AY$34</f>
        <v>47</v>
      </c>
      <c r="Q34" s="42" t="str">
        <f>Matching_Engine!$AZ$34</f>
        <v>BRAND-A|KOL-29</v>
      </c>
      <c r="R34" s="42" t="str">
        <f>Matching_Engine!$BB$34</f>
        <v>Beauty</v>
      </c>
    </row>
    <row r="35" spans="1:18">
      <c r="A35" s="42" t="str">
        <f>Matching_Engine!$B$35</f>
        <v>Nusatech Cloud</v>
      </c>
      <c r="B35" s="42" t="str">
        <f>Matching_Engine!$D$35</f>
        <v>Ibnu Faisal</v>
      </c>
      <c r="C35" s="42" t="str">
        <f>Matching_Engine!$E$35</f>
        <v>@ibnubisnis</v>
      </c>
      <c r="D35" s="42" t="str">
        <f>Matching_Engine!$G$35</f>
        <v>Finance</v>
      </c>
      <c r="E35" s="65">
        <f ca="1">Matching_Engine!$O$35</f>
        <v>97</v>
      </c>
      <c r="F35" s="65">
        <f>Matching_Engine!$P$35</f>
        <v>100</v>
      </c>
      <c r="G35" s="65">
        <f>Matching_Engine!$Q$35</f>
        <v>100</v>
      </c>
      <c r="H35" s="65">
        <f>Matching_Engine!$R$35</f>
        <v>100</v>
      </c>
      <c r="I35" s="65">
        <f>Matching_Engine!$M$35</f>
        <v>100</v>
      </c>
      <c r="J35" s="65">
        <f ca="1">Matching_Engine!$S$35</f>
        <v>99</v>
      </c>
      <c r="K35" s="65">
        <f>Matching_Engine!$Y$35</f>
        <v>70</v>
      </c>
      <c r="L35" s="65">
        <f>Matching_Engine!$AE$35</f>
        <v>66</v>
      </c>
      <c r="M35" s="65" t="str">
        <f>Matching_Engine!$AM$35</f>
        <v>Low</v>
      </c>
      <c r="N35" s="65">
        <f>Matching_Engine!$AT$35</f>
        <v>79</v>
      </c>
      <c r="O35" s="65" t="str">
        <f ca="1">Matching_Engine!$AX$35</f>
        <v>Recommended</v>
      </c>
      <c r="P35" s="63">
        <f ca="1">Matching_Engine!$AY$35</f>
        <v>82</v>
      </c>
      <c r="Q35" s="42" t="str">
        <f>Matching_Engine!$AZ$35</f>
        <v>BRAND-A|KOL-30</v>
      </c>
      <c r="R35" s="42" t="str">
        <f>Matching_Engine!$BB$35</f>
        <v>Finance</v>
      </c>
    </row>
    <row r="36" spans="1:18">
      <c r="A36" s="42" t="str">
        <f>Matching_Engine!$B$36</f>
        <v>Lumaya Skin</v>
      </c>
      <c r="B36" s="42" t="str">
        <f>Matching_Engine!$D$36</f>
        <v>Ardi Nugraha</v>
      </c>
      <c r="C36" s="42" t="str">
        <f>Matching_Engine!$E$36</f>
        <v>@ardidigital</v>
      </c>
      <c r="D36" s="42" t="str">
        <f>Matching_Engine!$G$36</f>
        <v>Tech</v>
      </c>
      <c r="E36" s="65">
        <f ca="1">Matching_Engine!$O$36</f>
        <v>98</v>
      </c>
      <c r="F36" s="65">
        <f>Matching_Engine!$P$36</f>
        <v>31</v>
      </c>
      <c r="G36" s="65">
        <f>Matching_Engine!$Q$36</f>
        <v>100</v>
      </c>
      <c r="H36" s="65">
        <f>Matching_Engine!$R$36</f>
        <v>20</v>
      </c>
      <c r="I36" s="65">
        <f>Matching_Engine!$M$36</f>
        <v>20</v>
      </c>
      <c r="J36" s="65">
        <f ca="1">Matching_Engine!$S$36</f>
        <v>60</v>
      </c>
      <c r="K36" s="65">
        <f>Matching_Engine!$Y$36</f>
        <v>95</v>
      </c>
      <c r="L36" s="65">
        <f>Matching_Engine!$AE$36</f>
        <v>83</v>
      </c>
      <c r="M36" s="65" t="str">
        <f>Matching_Engine!$AM$36</f>
        <v>None</v>
      </c>
      <c r="N36" s="65">
        <f>Matching_Engine!$AT$36</f>
        <v>42</v>
      </c>
      <c r="O36" s="65" t="str">
        <f ca="1">Matching_Engine!$AX$36</f>
        <v>Excluded</v>
      </c>
      <c r="P36" s="63" t="str">
        <f ca="1">Matching_Engine!$AY$36</f>
        <v/>
      </c>
      <c r="Q36" s="42" t="str">
        <f>Matching_Engine!$AZ$36</f>
        <v>BRAND-B|KOL-01</v>
      </c>
      <c r="R36" s="42" t="str">
        <f>Matching_Engine!$BB$36</f>
        <v>Tech</v>
      </c>
    </row>
    <row r="37" spans="1:18">
      <c r="A37" s="42" t="str">
        <f>Matching_Engine!$B$37</f>
        <v>Lumaya Skin</v>
      </c>
      <c r="B37" s="42" t="str">
        <f>Matching_Engine!$D$37</f>
        <v>Rifqi Pratama</v>
      </c>
      <c r="C37" s="42" t="str">
        <f>Matching_Engine!$E$37</f>
        <v>@rifqi.codes</v>
      </c>
      <c r="D37" s="42" t="str">
        <f>Matching_Engine!$G$37</f>
        <v>Tech</v>
      </c>
      <c r="E37" s="65">
        <f ca="1">Matching_Engine!$O$37</f>
        <v>100</v>
      </c>
      <c r="F37" s="65">
        <f>Matching_Engine!$P$37</f>
        <v>40</v>
      </c>
      <c r="G37" s="65">
        <f>Matching_Engine!$Q$37</f>
        <v>80</v>
      </c>
      <c r="H37" s="65">
        <f>Matching_Engine!$R$37</f>
        <v>0</v>
      </c>
      <c r="I37" s="65">
        <f>Matching_Engine!$M$37</f>
        <v>0</v>
      </c>
      <c r="J37" s="65">
        <f ca="1">Matching_Engine!$S$37</f>
        <v>53</v>
      </c>
      <c r="K37" s="65">
        <f>Matching_Engine!$Y$37</f>
        <v>55</v>
      </c>
      <c r="L37" s="65">
        <f>Matching_Engine!$AE$37</f>
        <v>75</v>
      </c>
      <c r="M37" s="65" t="str">
        <f>Matching_Engine!$AM$37</f>
        <v>None</v>
      </c>
      <c r="N37" s="65">
        <f>Matching_Engine!$AT$37</f>
        <v>30</v>
      </c>
      <c r="O37" s="65" t="str">
        <f ca="1">Matching_Engine!$AX$37</f>
        <v>Low Priority</v>
      </c>
      <c r="P37" s="63">
        <f ca="1">Matching_Engine!$AY$37</f>
        <v>45</v>
      </c>
      <c r="Q37" s="42" t="str">
        <f>Matching_Engine!$AZ$37</f>
        <v>BRAND-B|KOL-02</v>
      </c>
      <c r="R37" s="42" t="str">
        <f>Matching_Engine!$BB$37</f>
        <v>Tech</v>
      </c>
    </row>
    <row r="38" spans="1:18">
      <c r="A38" s="42" t="str">
        <f>Matching_Engine!$B$38</f>
        <v>Lumaya Skin</v>
      </c>
      <c r="B38" s="42" t="str">
        <f>Matching_Engine!$D$38</f>
        <v>Salsa Aulia</v>
      </c>
      <c r="C38" s="42" t="str">
        <f>Matching_Engine!$E$38</f>
        <v>@salsabeautydiary</v>
      </c>
      <c r="D38" s="42" t="str">
        <f>Matching_Engine!$G$38</f>
        <v>Beauty</v>
      </c>
      <c r="E38" s="65">
        <f ca="1">Matching_Engine!$O$38</f>
        <v>100</v>
      </c>
      <c r="F38" s="65">
        <f>Matching_Engine!$P$38</f>
        <v>100</v>
      </c>
      <c r="G38" s="65">
        <f>Matching_Engine!$Q$38</f>
        <v>100</v>
      </c>
      <c r="H38" s="65">
        <f>Matching_Engine!$R$38</f>
        <v>80</v>
      </c>
      <c r="I38" s="65">
        <f>Matching_Engine!$M$38</f>
        <v>100</v>
      </c>
      <c r="J38" s="65">
        <f ca="1">Matching_Engine!$S$38</f>
        <v>95</v>
      </c>
      <c r="K38" s="65">
        <f>Matching_Engine!$Y$38</f>
        <v>95</v>
      </c>
      <c r="L38" s="65">
        <f>Matching_Engine!$AE$38</f>
        <v>77</v>
      </c>
      <c r="M38" s="65" t="str">
        <f>Matching_Engine!$AM$38</f>
        <v>None</v>
      </c>
      <c r="N38" s="65">
        <f>Matching_Engine!$AT$38</f>
        <v>94</v>
      </c>
      <c r="O38" s="65" t="str">
        <f ca="1">Matching_Engine!$AX$38</f>
        <v>Excluded</v>
      </c>
      <c r="P38" s="63" t="str">
        <f ca="1">Matching_Engine!$AY$38</f>
        <v/>
      </c>
      <c r="Q38" s="42" t="str">
        <f>Matching_Engine!$AZ$38</f>
        <v>BRAND-B|KOL-03</v>
      </c>
      <c r="R38" s="42" t="str">
        <f>Matching_Engine!$BB$38</f>
        <v>Beauty</v>
      </c>
    </row>
    <row r="39" spans="1:18">
      <c r="A39" s="42" t="str">
        <f>Matching_Engine!$B$39</f>
        <v>Lumaya Skin</v>
      </c>
      <c r="B39" s="42" t="str">
        <f>Matching_Engine!$D$39</f>
        <v>Nadia Puspa</v>
      </c>
      <c r="C39" s="42" t="str">
        <f>Matching_Engine!$E$39</f>
        <v>@nadiaglowup</v>
      </c>
      <c r="D39" s="42" t="str">
        <f>Matching_Engine!$G$39</f>
        <v>Beauty</v>
      </c>
      <c r="E39" s="65">
        <f ca="1">Matching_Engine!$O$39</f>
        <v>100</v>
      </c>
      <c r="F39" s="65">
        <f>Matching_Engine!$P$39</f>
        <v>100</v>
      </c>
      <c r="G39" s="65">
        <f>Matching_Engine!$Q$39</f>
        <v>80</v>
      </c>
      <c r="H39" s="65">
        <f>Matching_Engine!$R$39</f>
        <v>80</v>
      </c>
      <c r="I39" s="65">
        <f>Matching_Engine!$M$39</f>
        <v>60</v>
      </c>
      <c r="J39" s="65">
        <f ca="1">Matching_Engine!$S$39</f>
        <v>90</v>
      </c>
      <c r="K39" s="65">
        <f>Matching_Engine!$Y$39</f>
        <v>65</v>
      </c>
      <c r="L39" s="65">
        <f>Matching_Engine!$AE$39</f>
        <v>82</v>
      </c>
      <c r="M39" s="65" t="str">
        <f>Matching_Engine!$AM$39</f>
        <v>Medium</v>
      </c>
      <c r="N39" s="65">
        <f>Matching_Engine!$AT$39</f>
        <v>74</v>
      </c>
      <c r="O39" s="65" t="str">
        <f ca="1">Matching_Engine!$AX$39</f>
        <v>Excluded</v>
      </c>
      <c r="P39" s="63" t="str">
        <f ca="1">Matching_Engine!$AY$39</f>
        <v/>
      </c>
      <c r="Q39" s="42" t="str">
        <f>Matching_Engine!$AZ$39</f>
        <v>BRAND-B|KOL-04</v>
      </c>
      <c r="R39" s="42" t="str">
        <f>Matching_Engine!$BB$39</f>
        <v>Beauty</v>
      </c>
    </row>
    <row r="40" spans="1:18">
      <c r="A40" s="42" t="str">
        <f>Matching_Engine!$B$40</f>
        <v>Lumaya Skin</v>
      </c>
      <c r="B40" s="42" t="str">
        <f>Matching_Engine!$D$40</f>
        <v>Bimo Saputra</v>
      </c>
      <c r="C40" s="42" t="str">
        <f>Matching_Engine!$E$40</f>
        <v>@bimomakan</v>
      </c>
      <c r="D40" s="42" t="str">
        <f>Matching_Engine!$G$40</f>
        <v>Food</v>
      </c>
      <c r="E40" s="65">
        <f ca="1">Matching_Engine!$O$40</f>
        <v>100</v>
      </c>
      <c r="F40" s="65">
        <f>Matching_Engine!$P$40</f>
        <v>74</v>
      </c>
      <c r="G40" s="65">
        <f>Matching_Engine!$Q$40</f>
        <v>100</v>
      </c>
      <c r="H40" s="65">
        <f>Matching_Engine!$R$40</f>
        <v>20</v>
      </c>
      <c r="I40" s="65">
        <f>Matching_Engine!$M$40</f>
        <v>20</v>
      </c>
      <c r="J40" s="65">
        <f ca="1">Matching_Engine!$S$40</f>
        <v>72</v>
      </c>
      <c r="K40" s="65">
        <f>Matching_Engine!$Y$40</f>
        <v>35</v>
      </c>
      <c r="L40" s="65">
        <f>Matching_Engine!$AE$40</f>
        <v>70</v>
      </c>
      <c r="M40" s="65" t="str">
        <f>Matching_Engine!$AM$40</f>
        <v>Low</v>
      </c>
      <c r="N40" s="65">
        <f>Matching_Engine!$AT$40</f>
        <v>43</v>
      </c>
      <c r="O40" s="65" t="str">
        <f ca="1">Matching_Engine!$AX$40</f>
        <v>Excluded</v>
      </c>
      <c r="P40" s="63" t="str">
        <f ca="1">Matching_Engine!$AY$40</f>
        <v/>
      </c>
      <c r="Q40" s="42" t="str">
        <f>Matching_Engine!$AZ$40</f>
        <v>BRAND-B|KOL-05</v>
      </c>
      <c r="R40" s="42" t="str">
        <f>Matching_Engine!$BB$40</f>
        <v>Food</v>
      </c>
    </row>
    <row r="41" spans="1:18">
      <c r="A41" s="42" t="str">
        <f>Matching_Engine!$B$41</f>
        <v>Lumaya Skin</v>
      </c>
      <c r="B41" s="42" t="str">
        <f>Matching_Engine!$D$41</f>
        <v>Ayu Lestari</v>
      </c>
      <c r="C41" s="42" t="str">
        <f>Matching_Engine!$E$41</f>
        <v>@dapurayu</v>
      </c>
      <c r="D41" s="42" t="str">
        <f>Matching_Engine!$G$41</f>
        <v>Food</v>
      </c>
      <c r="E41" s="65">
        <f ca="1">Matching_Engine!$O$41</f>
        <v>100</v>
      </c>
      <c r="F41" s="65">
        <f>Matching_Engine!$P$41</f>
        <v>100</v>
      </c>
      <c r="G41" s="65">
        <f>Matching_Engine!$Q$41</f>
        <v>80</v>
      </c>
      <c r="H41" s="65">
        <f>Matching_Engine!$R$41</f>
        <v>0</v>
      </c>
      <c r="I41" s="65">
        <f>Matching_Engine!$M$41</f>
        <v>20</v>
      </c>
      <c r="J41" s="65">
        <f ca="1">Matching_Engine!$S$41</f>
        <v>69</v>
      </c>
      <c r="K41" s="65">
        <f>Matching_Engine!$Y$41</f>
        <v>35</v>
      </c>
      <c r="L41" s="65">
        <f>Matching_Engine!$AE$41</f>
        <v>73</v>
      </c>
      <c r="M41" s="65" t="str">
        <f>Matching_Engine!$AM$41</f>
        <v>Low</v>
      </c>
      <c r="N41" s="65">
        <f>Matching_Engine!$AT$41</f>
        <v>42</v>
      </c>
      <c r="O41" s="65" t="str">
        <f ca="1">Matching_Engine!$AX$41</f>
        <v>Low Priority</v>
      </c>
      <c r="P41" s="63">
        <f ca="1">Matching_Engine!$AY$41</f>
        <v>56</v>
      </c>
      <c r="Q41" s="42" t="str">
        <f>Matching_Engine!$AZ$41</f>
        <v>BRAND-B|KOL-06</v>
      </c>
      <c r="R41" s="42" t="str">
        <f>Matching_Engine!$BB$41</f>
        <v>Food</v>
      </c>
    </row>
    <row r="42" spans="1:18">
      <c r="A42" s="42" t="str">
        <f>Matching_Engine!$B$42</f>
        <v>Lumaya Skin</v>
      </c>
      <c r="B42" s="42" t="str">
        <f>Matching_Engine!$D$42</f>
        <v>Fajar Ramadhan</v>
      </c>
      <c r="C42" s="42" t="str">
        <f>Matching_Engine!$E$42</f>
        <v>@fajarfinance</v>
      </c>
      <c r="D42" s="42" t="str">
        <f>Matching_Engine!$G$42</f>
        <v>Finance</v>
      </c>
      <c r="E42" s="65">
        <f ca="1">Matching_Engine!$O$42</f>
        <v>97</v>
      </c>
      <c r="F42" s="65">
        <f>Matching_Engine!$P$42</f>
        <v>32</v>
      </c>
      <c r="G42" s="65">
        <f>Matching_Engine!$Q$42</f>
        <v>100</v>
      </c>
      <c r="H42" s="65">
        <f>Matching_Engine!$R$42</f>
        <v>0</v>
      </c>
      <c r="I42" s="65">
        <f>Matching_Engine!$M$42</f>
        <v>0</v>
      </c>
      <c r="J42" s="65">
        <f ca="1">Matching_Engine!$S$42</f>
        <v>55</v>
      </c>
      <c r="K42" s="65">
        <f>Matching_Engine!$Y$42</f>
        <v>85</v>
      </c>
      <c r="L42" s="65">
        <f>Matching_Engine!$AE$42</f>
        <v>86</v>
      </c>
      <c r="M42" s="65" t="str">
        <f>Matching_Engine!$AM$42</f>
        <v>None</v>
      </c>
      <c r="N42" s="65">
        <f>Matching_Engine!$AT$42</f>
        <v>35</v>
      </c>
      <c r="O42" s="65" t="str">
        <f ca="1">Matching_Engine!$AX$42</f>
        <v>Excluded</v>
      </c>
      <c r="P42" s="63" t="str">
        <f ca="1">Matching_Engine!$AY$42</f>
        <v/>
      </c>
      <c r="Q42" s="42" t="str">
        <f>Matching_Engine!$AZ$42</f>
        <v>BRAND-B|KOL-07</v>
      </c>
      <c r="R42" s="42" t="str">
        <f>Matching_Engine!$BB$42</f>
        <v>Finance</v>
      </c>
    </row>
    <row r="43" spans="1:18">
      <c r="A43" s="42" t="str">
        <f>Matching_Engine!$B$43</f>
        <v>Lumaya Skin</v>
      </c>
      <c r="B43" s="42" t="str">
        <f>Matching_Engine!$D$43</f>
        <v>Tania Wijaya</v>
      </c>
      <c r="C43" s="42" t="str">
        <f>Matching_Engine!$E$43</f>
        <v>@taniainvest</v>
      </c>
      <c r="D43" s="42" t="str">
        <f>Matching_Engine!$G$43</f>
        <v>Finance</v>
      </c>
      <c r="E43" s="65">
        <f ca="1">Matching_Engine!$O$43</f>
        <v>100</v>
      </c>
      <c r="F43" s="65">
        <f>Matching_Engine!$P$43</f>
        <v>100</v>
      </c>
      <c r="G43" s="65">
        <f>Matching_Engine!$Q$43</f>
        <v>100</v>
      </c>
      <c r="H43" s="65">
        <f>Matching_Engine!$R$43</f>
        <v>20</v>
      </c>
      <c r="I43" s="65">
        <f>Matching_Engine!$M$43</f>
        <v>20</v>
      </c>
      <c r="J43" s="65">
        <f ca="1">Matching_Engine!$S$43</f>
        <v>79</v>
      </c>
      <c r="K43" s="65">
        <f>Matching_Engine!$Y$43</f>
        <v>55</v>
      </c>
      <c r="L43" s="65">
        <f>Matching_Engine!$AE$43</f>
        <v>64</v>
      </c>
      <c r="M43" s="65" t="str">
        <f>Matching_Engine!$AM$43</f>
        <v>Low</v>
      </c>
      <c r="N43" s="65">
        <f>Matching_Engine!$AT$43</f>
        <v>34</v>
      </c>
      <c r="O43" s="65" t="str">
        <f ca="1">Matching_Engine!$AX$43</f>
        <v>Excluded</v>
      </c>
      <c r="P43" s="63" t="str">
        <f ca="1">Matching_Engine!$AY$43</f>
        <v/>
      </c>
      <c r="Q43" s="42" t="str">
        <f>Matching_Engine!$AZ$43</f>
        <v>BRAND-B|KOL-08</v>
      </c>
      <c r="R43" s="42" t="str">
        <f>Matching_Engine!$BB$43</f>
        <v>Finance</v>
      </c>
    </row>
    <row r="44" spans="1:18">
      <c r="A44" s="42" t="str">
        <f>Matching_Engine!$B$44</f>
        <v>Lumaya Skin</v>
      </c>
      <c r="B44" s="42" t="str">
        <f>Matching_Engine!$D$44</f>
        <v>Gilang Prakoso</v>
      </c>
      <c r="C44" s="42" t="str">
        <f>Matching_Engine!$E$44</f>
        <v>@gilangbelajar</v>
      </c>
      <c r="D44" s="42" t="str">
        <f>Matching_Engine!$G$44</f>
        <v>Education</v>
      </c>
      <c r="E44" s="65">
        <f ca="1">Matching_Engine!$O$44</f>
        <v>100</v>
      </c>
      <c r="F44" s="65">
        <f>Matching_Engine!$P$44</f>
        <v>80</v>
      </c>
      <c r="G44" s="65">
        <f>Matching_Engine!$Q$44</f>
        <v>80</v>
      </c>
      <c r="H44" s="65">
        <f>Matching_Engine!$R$44</f>
        <v>0</v>
      </c>
      <c r="I44" s="65">
        <f>Matching_Engine!$M$44</f>
        <v>0</v>
      </c>
      <c r="J44" s="65">
        <f ca="1">Matching_Engine!$S$44</f>
        <v>63</v>
      </c>
      <c r="K44" s="65">
        <f>Matching_Engine!$Y$44</f>
        <v>55</v>
      </c>
      <c r="L44" s="65">
        <f>Matching_Engine!$AE$44</f>
        <v>86</v>
      </c>
      <c r="M44" s="65" t="str">
        <f>Matching_Engine!$AM$44</f>
        <v>None</v>
      </c>
      <c r="N44" s="65">
        <f>Matching_Engine!$AT$44</f>
        <v>30</v>
      </c>
      <c r="O44" s="65" t="str">
        <f ca="1">Matching_Engine!$AX$44</f>
        <v>Excluded</v>
      </c>
      <c r="P44" s="63" t="str">
        <f ca="1">Matching_Engine!$AY$44</f>
        <v/>
      </c>
      <c r="Q44" s="42" t="str">
        <f>Matching_Engine!$AZ$44</f>
        <v>BRAND-B|KOL-09</v>
      </c>
      <c r="R44" s="42" t="str">
        <f>Matching_Engine!$BB$44</f>
        <v>Education</v>
      </c>
    </row>
    <row r="45" spans="1:18">
      <c r="A45" s="42" t="str">
        <f>Matching_Engine!$B$45</f>
        <v>Lumaya Skin</v>
      </c>
      <c r="B45" s="42" t="str">
        <f>Matching_Engine!$D$45</f>
        <v>Mira Handayani</v>
      </c>
      <c r="C45" s="42" t="str">
        <f>Matching_Engine!$E$45</f>
        <v>@mirabahasa</v>
      </c>
      <c r="D45" s="42" t="str">
        <f>Matching_Engine!$G$45</f>
        <v>Education</v>
      </c>
      <c r="E45" s="65">
        <f ca="1">Matching_Engine!$O$45</f>
        <v>100</v>
      </c>
      <c r="F45" s="65">
        <f>Matching_Engine!$P$45</f>
        <v>100</v>
      </c>
      <c r="G45" s="65">
        <f>Matching_Engine!$Q$45</f>
        <v>80</v>
      </c>
      <c r="H45" s="65">
        <f>Matching_Engine!$R$45</f>
        <v>0</v>
      </c>
      <c r="I45" s="65">
        <f>Matching_Engine!$M$45</f>
        <v>0</v>
      </c>
      <c r="J45" s="65">
        <f ca="1">Matching_Engine!$S$45</f>
        <v>69</v>
      </c>
      <c r="K45" s="65">
        <f>Matching_Engine!$Y$45</f>
        <v>55</v>
      </c>
      <c r="L45" s="65">
        <f>Matching_Engine!$AE$45</f>
        <v>75</v>
      </c>
      <c r="M45" s="65" t="str">
        <f>Matching_Engine!$AM$45</f>
        <v>None</v>
      </c>
      <c r="N45" s="65">
        <f>Matching_Engine!$AT$45</f>
        <v>32</v>
      </c>
      <c r="O45" s="65" t="str">
        <f ca="1">Matching_Engine!$AX$45</f>
        <v>Low Priority</v>
      </c>
      <c r="P45" s="63">
        <f ca="1">Matching_Engine!$AY$45</f>
        <v>50</v>
      </c>
      <c r="Q45" s="42" t="str">
        <f>Matching_Engine!$AZ$45</f>
        <v>BRAND-B|KOL-10</v>
      </c>
      <c r="R45" s="42" t="str">
        <f>Matching_Engine!$BB$45</f>
        <v>Education</v>
      </c>
    </row>
    <row r="46" spans="1:18">
      <c r="A46" s="42" t="str">
        <f>Matching_Engine!$B$46</f>
        <v>Lumaya Skin</v>
      </c>
      <c r="B46" s="42" t="str">
        <f>Matching_Engine!$D$46</f>
        <v>Dimas Anggara</v>
      </c>
      <c r="C46" s="42" t="str">
        <f>Matching_Engine!$E$46</f>
        <v>@dimasfit</v>
      </c>
      <c r="D46" s="42" t="str">
        <f>Matching_Engine!$G$46</f>
        <v>Fitness</v>
      </c>
      <c r="E46" s="65">
        <f ca="1">Matching_Engine!$O$46</f>
        <v>100</v>
      </c>
      <c r="F46" s="65">
        <f>Matching_Engine!$P$46</f>
        <v>43</v>
      </c>
      <c r="G46" s="65">
        <f>Matching_Engine!$Q$46</f>
        <v>100</v>
      </c>
      <c r="H46" s="65">
        <f>Matching_Engine!$R$46</f>
        <v>40</v>
      </c>
      <c r="I46" s="65">
        <f>Matching_Engine!$M$46</f>
        <v>40</v>
      </c>
      <c r="J46" s="65">
        <f ca="1">Matching_Engine!$S$46</f>
        <v>69</v>
      </c>
      <c r="K46" s="65">
        <f>Matching_Engine!$Y$46</f>
        <v>85</v>
      </c>
      <c r="L46" s="65">
        <f>Matching_Engine!$AE$46</f>
        <v>61</v>
      </c>
      <c r="M46" s="65" t="str">
        <f>Matching_Engine!$AM$46</f>
        <v>Low</v>
      </c>
      <c r="N46" s="65">
        <f>Matching_Engine!$AT$46</f>
        <v>57</v>
      </c>
      <c r="O46" s="65" t="str">
        <f ca="1">Matching_Engine!$AX$46</f>
        <v>Excluded</v>
      </c>
      <c r="P46" s="63" t="str">
        <f ca="1">Matching_Engine!$AY$46</f>
        <v/>
      </c>
      <c r="Q46" s="42" t="str">
        <f>Matching_Engine!$AZ$46</f>
        <v>BRAND-B|KOL-11</v>
      </c>
      <c r="R46" s="42" t="str">
        <f>Matching_Engine!$BB$46</f>
        <v>Fitness</v>
      </c>
    </row>
    <row r="47" spans="1:18">
      <c r="A47" s="42" t="str">
        <f>Matching_Engine!$B$47</f>
        <v>Lumaya Skin</v>
      </c>
      <c r="B47" s="42" t="str">
        <f>Matching_Engine!$D$47</f>
        <v>Rani Kusuma</v>
      </c>
      <c r="C47" s="42" t="str">
        <f>Matching_Engine!$E$47</f>
        <v>@ranihomeworkout</v>
      </c>
      <c r="D47" s="42" t="str">
        <f>Matching_Engine!$G$47</f>
        <v>Fitness</v>
      </c>
      <c r="E47" s="65">
        <f ca="1">Matching_Engine!$O$47</f>
        <v>100</v>
      </c>
      <c r="F47" s="65">
        <f>Matching_Engine!$P$47</f>
        <v>100</v>
      </c>
      <c r="G47" s="65">
        <f>Matching_Engine!$Q$47</f>
        <v>80</v>
      </c>
      <c r="H47" s="65">
        <f>Matching_Engine!$R$47</f>
        <v>20</v>
      </c>
      <c r="I47" s="65">
        <f>Matching_Engine!$M$47</f>
        <v>40</v>
      </c>
      <c r="J47" s="65">
        <f ca="1">Matching_Engine!$S$47</f>
        <v>74</v>
      </c>
      <c r="K47" s="65">
        <f>Matching_Engine!$Y$47</f>
        <v>65</v>
      </c>
      <c r="L47" s="65">
        <f>Matching_Engine!$AE$47</f>
        <v>80</v>
      </c>
      <c r="M47" s="65" t="str">
        <f>Matching_Engine!$AM$47</f>
        <v>None</v>
      </c>
      <c r="N47" s="65">
        <f>Matching_Engine!$AT$47</f>
        <v>52</v>
      </c>
      <c r="O47" s="65" t="str">
        <f ca="1">Matching_Engine!$AX$47</f>
        <v>Excluded</v>
      </c>
      <c r="P47" s="63" t="str">
        <f ca="1">Matching_Engine!$AY$47</f>
        <v/>
      </c>
      <c r="Q47" s="42" t="str">
        <f>Matching_Engine!$AZ$47</f>
        <v>BRAND-B|KOL-12</v>
      </c>
      <c r="R47" s="42" t="str">
        <f>Matching_Engine!$BB$47</f>
        <v>Fitness</v>
      </c>
    </row>
    <row r="48" spans="1:18">
      <c r="A48" s="42" t="str">
        <f>Matching_Engine!$B$48</f>
        <v>Lumaya Skin</v>
      </c>
      <c r="B48" s="42" t="str">
        <f>Matching_Engine!$D$48</f>
        <v>Kevin Halim</v>
      </c>
      <c r="C48" s="42" t="str">
        <f>Matching_Engine!$E$48</f>
        <v>@kevinstyleid</v>
      </c>
      <c r="D48" s="42" t="str">
        <f>Matching_Engine!$G$48</f>
        <v>Fashion</v>
      </c>
      <c r="E48" s="65">
        <f ca="1">Matching_Engine!$O$48</f>
        <v>100</v>
      </c>
      <c r="F48" s="65">
        <f>Matching_Engine!$P$48</f>
        <v>51</v>
      </c>
      <c r="G48" s="65">
        <f>Matching_Engine!$Q$48</f>
        <v>100</v>
      </c>
      <c r="H48" s="65">
        <f>Matching_Engine!$R$48</f>
        <v>60</v>
      </c>
      <c r="I48" s="65">
        <f>Matching_Engine!$M$48</f>
        <v>40</v>
      </c>
      <c r="J48" s="65">
        <f ca="1">Matching_Engine!$S$48</f>
        <v>76</v>
      </c>
      <c r="K48" s="65">
        <f>Matching_Engine!$Y$48</f>
        <v>65</v>
      </c>
      <c r="L48" s="65">
        <f>Matching_Engine!$AE$48</f>
        <v>86</v>
      </c>
      <c r="M48" s="65" t="str">
        <f>Matching_Engine!$AM$48</f>
        <v>None</v>
      </c>
      <c r="N48" s="65">
        <f>Matching_Engine!$AT$48</f>
        <v>65</v>
      </c>
      <c r="O48" s="65" t="str">
        <f ca="1">Matching_Engine!$AX$48</f>
        <v>Consider</v>
      </c>
      <c r="P48" s="63">
        <f ca="1">Matching_Engine!$AY$48</f>
        <v>69</v>
      </c>
      <c r="Q48" s="42" t="str">
        <f>Matching_Engine!$AZ$48</f>
        <v>BRAND-B|KOL-13</v>
      </c>
      <c r="R48" s="42" t="str">
        <f>Matching_Engine!$BB$48</f>
        <v>Fashion</v>
      </c>
    </row>
    <row r="49" spans="1:18">
      <c r="A49" s="42" t="str">
        <f>Matching_Engine!$B$49</f>
        <v>Lumaya Skin</v>
      </c>
      <c r="B49" s="42" t="str">
        <f>Matching_Engine!$D$49</f>
        <v>Zahra Amelia</v>
      </c>
      <c r="C49" s="42" t="str">
        <f>Matching_Engine!$E$49</f>
        <v>@zahrahijabstyle</v>
      </c>
      <c r="D49" s="42" t="str">
        <f>Matching_Engine!$G$49</f>
        <v>Fashion</v>
      </c>
      <c r="E49" s="65">
        <f ca="1">Matching_Engine!$O$49</f>
        <v>100</v>
      </c>
      <c r="F49" s="65">
        <f>Matching_Engine!$P$49</f>
        <v>100</v>
      </c>
      <c r="G49" s="65">
        <f>Matching_Engine!$Q$49</f>
        <v>80</v>
      </c>
      <c r="H49" s="65">
        <f>Matching_Engine!$R$49</f>
        <v>80</v>
      </c>
      <c r="I49" s="65">
        <f>Matching_Engine!$M$49</f>
        <v>60</v>
      </c>
      <c r="J49" s="65">
        <f ca="1">Matching_Engine!$S$49</f>
        <v>90</v>
      </c>
      <c r="K49" s="65">
        <f>Matching_Engine!$Y$49</f>
        <v>100</v>
      </c>
      <c r="L49" s="65">
        <f>Matching_Engine!$AE$49</f>
        <v>62</v>
      </c>
      <c r="M49" s="65" t="str">
        <f>Matching_Engine!$AM$49</f>
        <v>Low</v>
      </c>
      <c r="N49" s="65">
        <f>Matching_Engine!$AT$49</f>
        <v>74</v>
      </c>
      <c r="O49" s="65" t="str">
        <f ca="1">Matching_Engine!$AX$49</f>
        <v>Excluded</v>
      </c>
      <c r="P49" s="63" t="str">
        <f ca="1">Matching_Engine!$AY$49</f>
        <v/>
      </c>
      <c r="Q49" s="42" t="str">
        <f>Matching_Engine!$AZ$49</f>
        <v>BRAND-B|KOL-14</v>
      </c>
      <c r="R49" s="42" t="str">
        <f>Matching_Engine!$BB$49</f>
        <v>Fashion</v>
      </c>
    </row>
    <row r="50" spans="1:18">
      <c r="A50" s="42" t="str">
        <f>Matching_Engine!$B$50</f>
        <v>Lumaya Skin</v>
      </c>
      <c r="B50" s="42" t="str">
        <f>Matching_Engine!$D$50</f>
        <v>Andini Rahma</v>
      </c>
      <c r="C50" s="42" t="str">
        <f>Matching_Engine!$E$50</f>
        <v>@andinidaily</v>
      </c>
      <c r="D50" s="42" t="str">
        <f>Matching_Engine!$G$50</f>
        <v>Lifestyle</v>
      </c>
      <c r="E50" s="65">
        <f ca="1">Matching_Engine!$O$50</f>
        <v>100</v>
      </c>
      <c r="F50" s="65">
        <f>Matching_Engine!$P$50</f>
        <v>100</v>
      </c>
      <c r="G50" s="65">
        <f>Matching_Engine!$Q$50</f>
        <v>100</v>
      </c>
      <c r="H50" s="65">
        <f>Matching_Engine!$R$50</f>
        <v>60</v>
      </c>
      <c r="I50" s="65">
        <f>Matching_Engine!$M$50</f>
        <v>40</v>
      </c>
      <c r="J50" s="65">
        <f ca="1">Matching_Engine!$S$50</f>
        <v>90</v>
      </c>
      <c r="K50" s="65">
        <f>Matching_Engine!$Y$50</f>
        <v>35</v>
      </c>
      <c r="L50" s="65">
        <f>Matching_Engine!$AE$50</f>
        <v>79</v>
      </c>
      <c r="M50" s="65" t="str">
        <f>Matching_Engine!$AM$50</f>
        <v>None</v>
      </c>
      <c r="N50" s="65">
        <f>Matching_Engine!$AT$50</f>
        <v>55</v>
      </c>
      <c r="O50" s="65" t="str">
        <f ca="1">Matching_Engine!$AX$50</f>
        <v>Consider</v>
      </c>
      <c r="P50" s="63">
        <f ca="1">Matching_Engine!$AY$50</f>
        <v>71</v>
      </c>
      <c r="Q50" s="42" t="str">
        <f>Matching_Engine!$AZ$50</f>
        <v>BRAND-B|KOL-15</v>
      </c>
      <c r="R50" s="42" t="str">
        <f>Matching_Engine!$BB$50</f>
        <v>Lifestyle</v>
      </c>
    </row>
    <row r="51" spans="1:18">
      <c r="A51" s="42" t="str">
        <f>Matching_Engine!$B$51</f>
        <v>Lumaya Skin</v>
      </c>
      <c r="B51" s="42" t="str">
        <f>Matching_Engine!$D$51</f>
        <v>Yoga Pratama</v>
      </c>
      <c r="C51" s="42" t="str">
        <f>Matching_Engine!$E$51</f>
        <v>@yogaminimal</v>
      </c>
      <c r="D51" s="42" t="str">
        <f>Matching_Engine!$G$51</f>
        <v>Lifestyle</v>
      </c>
      <c r="E51" s="65">
        <f ca="1">Matching_Engine!$O$51</f>
        <v>100</v>
      </c>
      <c r="F51" s="65">
        <f>Matching_Engine!$P$51</f>
        <v>77</v>
      </c>
      <c r="G51" s="65">
        <f>Matching_Engine!$Q$51</f>
        <v>80</v>
      </c>
      <c r="H51" s="65">
        <f>Matching_Engine!$R$51</f>
        <v>0</v>
      </c>
      <c r="I51" s="65">
        <f>Matching_Engine!$M$51</f>
        <v>20</v>
      </c>
      <c r="J51" s="65">
        <f ca="1">Matching_Engine!$S$51</f>
        <v>63</v>
      </c>
      <c r="K51" s="65">
        <f>Matching_Engine!$Y$51</f>
        <v>65</v>
      </c>
      <c r="L51" s="65">
        <f>Matching_Engine!$AE$51</f>
        <v>72</v>
      </c>
      <c r="M51" s="65" t="str">
        <f>Matching_Engine!$AM$51</f>
        <v>Low</v>
      </c>
      <c r="N51" s="65">
        <f>Matching_Engine!$AT$51</f>
        <v>58</v>
      </c>
      <c r="O51" s="65" t="str">
        <f ca="1">Matching_Engine!$AX$51</f>
        <v>Excluded</v>
      </c>
      <c r="P51" s="63" t="str">
        <f ca="1">Matching_Engine!$AY$51</f>
        <v/>
      </c>
      <c r="Q51" s="42" t="str">
        <f>Matching_Engine!$AZ$51</f>
        <v>BRAND-B|KOL-16</v>
      </c>
      <c r="R51" s="42" t="str">
        <f>Matching_Engine!$BB$51</f>
        <v>Lifestyle</v>
      </c>
    </row>
    <row r="52" spans="1:18">
      <c r="A52" s="42" t="str">
        <f>Matching_Engine!$B$52</f>
        <v>Lumaya Skin</v>
      </c>
      <c r="B52" s="42" t="str">
        <f>Matching_Engine!$D$52</f>
        <v>Sinta Maharani</v>
      </c>
      <c r="C52" s="42" t="str">
        <f>Matching_Engine!$E$52</f>
        <v>@sintajalanjalan</v>
      </c>
      <c r="D52" s="42" t="str">
        <f>Matching_Engine!$G$52</f>
        <v>Travel</v>
      </c>
      <c r="E52" s="65">
        <f ca="1">Matching_Engine!$O$52</f>
        <v>97</v>
      </c>
      <c r="F52" s="65">
        <f>Matching_Engine!$P$52</f>
        <v>100</v>
      </c>
      <c r="G52" s="65">
        <f>Matching_Engine!$Q$52</f>
        <v>80</v>
      </c>
      <c r="H52" s="65">
        <f>Matching_Engine!$R$52</f>
        <v>40</v>
      </c>
      <c r="I52" s="65">
        <f>Matching_Engine!$M$52</f>
        <v>20</v>
      </c>
      <c r="J52" s="65">
        <f ca="1">Matching_Engine!$S$52</f>
        <v>79</v>
      </c>
      <c r="K52" s="65">
        <f>Matching_Engine!$Y$52</f>
        <v>100</v>
      </c>
      <c r="L52" s="65">
        <f>Matching_Engine!$AE$52</f>
        <v>79</v>
      </c>
      <c r="M52" s="65" t="str">
        <f>Matching_Engine!$AM$52</f>
        <v>None</v>
      </c>
      <c r="N52" s="65">
        <f>Matching_Engine!$AT$52</f>
        <v>53</v>
      </c>
      <c r="O52" s="65" t="str">
        <f ca="1">Matching_Engine!$AX$52</f>
        <v>Excluded</v>
      </c>
      <c r="P52" s="63" t="str">
        <f ca="1">Matching_Engine!$AY$52</f>
        <v/>
      </c>
      <c r="Q52" s="42" t="str">
        <f>Matching_Engine!$AZ$52</f>
        <v>BRAND-B|KOL-17</v>
      </c>
      <c r="R52" s="42" t="str">
        <f>Matching_Engine!$BB$52</f>
        <v>Travel</v>
      </c>
    </row>
    <row r="53" spans="1:18">
      <c r="A53" s="42" t="str">
        <f>Matching_Engine!$B$53</f>
        <v>Lumaya Skin</v>
      </c>
      <c r="B53" s="42" t="str">
        <f>Matching_Engine!$D$53</f>
        <v>Reza Fadillah</v>
      </c>
      <c r="C53" s="42" t="str">
        <f>Matching_Engine!$E$53</f>
        <v>@rezabudgettrip</v>
      </c>
      <c r="D53" s="42" t="str">
        <f>Matching_Engine!$G$53</f>
        <v>Travel</v>
      </c>
      <c r="E53" s="65">
        <f ca="1">Matching_Engine!$O$53</f>
        <v>100</v>
      </c>
      <c r="F53" s="65">
        <f>Matching_Engine!$P$53</f>
        <v>69</v>
      </c>
      <c r="G53" s="65">
        <f>Matching_Engine!$Q$53</f>
        <v>80</v>
      </c>
      <c r="H53" s="65">
        <f>Matching_Engine!$R$53</f>
        <v>20</v>
      </c>
      <c r="I53" s="65">
        <f>Matching_Engine!$M$53</f>
        <v>20</v>
      </c>
      <c r="J53" s="65">
        <f ca="1">Matching_Engine!$S$53</f>
        <v>66</v>
      </c>
      <c r="K53" s="65">
        <f>Matching_Engine!$Y$53</f>
        <v>25</v>
      </c>
      <c r="L53" s="65">
        <f>Matching_Engine!$AE$53</f>
        <v>82</v>
      </c>
      <c r="M53" s="65" t="str">
        <f>Matching_Engine!$AM$53</f>
        <v>None</v>
      </c>
      <c r="N53" s="65">
        <f>Matching_Engine!$AT$53</f>
        <v>40</v>
      </c>
      <c r="O53" s="65" t="str">
        <f ca="1">Matching_Engine!$AX$53</f>
        <v>Low Priority</v>
      </c>
      <c r="P53" s="63">
        <f ca="1">Matching_Engine!$AY$53</f>
        <v>56</v>
      </c>
      <c r="Q53" s="42" t="str">
        <f>Matching_Engine!$AZ$53</f>
        <v>BRAND-B|KOL-18</v>
      </c>
      <c r="R53" s="42" t="str">
        <f>Matching_Engine!$BB$53</f>
        <v>Travel</v>
      </c>
    </row>
    <row r="54" spans="1:18">
      <c r="A54" s="42" t="str">
        <f>Matching_Engine!$B$54</f>
        <v>Lumaya Skin</v>
      </c>
      <c r="B54" s="42" t="str">
        <f>Matching_Engine!$D$54</f>
        <v>Putri Amanda</v>
      </c>
      <c r="C54" s="42" t="str">
        <f>Matching_Engine!$E$54</f>
        <v>@putrimomlife</v>
      </c>
      <c r="D54" s="42" t="str">
        <f>Matching_Engine!$G$54</f>
        <v>Parenting</v>
      </c>
      <c r="E54" s="65">
        <f ca="1">Matching_Engine!$O$54</f>
        <v>100</v>
      </c>
      <c r="F54" s="65">
        <f>Matching_Engine!$P$54</f>
        <v>100</v>
      </c>
      <c r="G54" s="65">
        <f>Matching_Engine!$Q$54</f>
        <v>80</v>
      </c>
      <c r="H54" s="65">
        <f>Matching_Engine!$R$54</f>
        <v>20</v>
      </c>
      <c r="I54" s="65">
        <f>Matching_Engine!$M$54</f>
        <v>40</v>
      </c>
      <c r="J54" s="65">
        <f ca="1">Matching_Engine!$S$54</f>
        <v>74</v>
      </c>
      <c r="K54" s="65">
        <f>Matching_Engine!$Y$54</f>
        <v>35</v>
      </c>
      <c r="L54" s="65">
        <f>Matching_Engine!$AE$54</f>
        <v>79</v>
      </c>
      <c r="M54" s="65" t="str">
        <f>Matching_Engine!$AM$54</f>
        <v>None</v>
      </c>
      <c r="N54" s="65">
        <f>Matching_Engine!$AT$54</f>
        <v>52</v>
      </c>
      <c r="O54" s="65" t="str">
        <f ca="1">Matching_Engine!$AX$54</f>
        <v>Excluded</v>
      </c>
      <c r="P54" s="63" t="str">
        <f ca="1">Matching_Engine!$AY$54</f>
        <v/>
      </c>
      <c r="Q54" s="42" t="str">
        <f>Matching_Engine!$AZ$54</f>
        <v>BRAND-B|KOL-19</v>
      </c>
      <c r="R54" s="42" t="str">
        <f>Matching_Engine!$BB$54</f>
        <v>Parenting</v>
      </c>
    </row>
    <row r="55" spans="1:18">
      <c r="A55" s="42" t="str">
        <f>Matching_Engine!$B$55</f>
        <v>Lumaya Skin</v>
      </c>
      <c r="B55" s="42" t="str">
        <f>Matching_Engine!$D$55</f>
        <v>Hendra Wijoyo</v>
      </c>
      <c r="C55" s="42" t="str">
        <f>Matching_Engine!$E$55</f>
        <v>@hendrakeluarga</v>
      </c>
      <c r="D55" s="42" t="str">
        <f>Matching_Engine!$G$55</f>
        <v>Parenting</v>
      </c>
      <c r="E55" s="65">
        <f ca="1">Matching_Engine!$O$55</f>
        <v>73</v>
      </c>
      <c r="F55" s="65">
        <f>Matching_Engine!$P$55</f>
        <v>82</v>
      </c>
      <c r="G55" s="65">
        <f>Matching_Engine!$Q$55</f>
        <v>80</v>
      </c>
      <c r="H55" s="65">
        <f>Matching_Engine!$R$55</f>
        <v>0</v>
      </c>
      <c r="I55" s="65">
        <f>Matching_Engine!$M$55</f>
        <v>0</v>
      </c>
      <c r="J55" s="65">
        <f ca="1">Matching_Engine!$S$55</f>
        <v>58</v>
      </c>
      <c r="K55" s="65">
        <f>Matching_Engine!$Y$55</f>
        <v>20</v>
      </c>
      <c r="L55" s="65">
        <f>Matching_Engine!$AE$55</f>
        <v>85</v>
      </c>
      <c r="M55" s="65" t="str">
        <f>Matching_Engine!$AM$55</f>
        <v>None</v>
      </c>
      <c r="N55" s="65">
        <f>Matching_Engine!$AT$55</f>
        <v>37</v>
      </c>
      <c r="O55" s="65" t="str">
        <f ca="1">Matching_Engine!$AX$55</f>
        <v>Low Priority</v>
      </c>
      <c r="P55" s="63">
        <f ca="1">Matching_Engine!$AY$55</f>
        <v>52</v>
      </c>
      <c r="Q55" s="42" t="str">
        <f>Matching_Engine!$AZ$55</f>
        <v>BRAND-B|KOL-20</v>
      </c>
      <c r="R55" s="42" t="str">
        <f>Matching_Engine!$BB$55</f>
        <v>Parenting</v>
      </c>
    </row>
    <row r="56" spans="1:18">
      <c r="A56" s="42" t="str">
        <f>Matching_Engine!$B$56</f>
        <v>Lumaya Skin</v>
      </c>
      <c r="B56" s="42" t="str">
        <f>Matching_Engine!$D$56</f>
        <v>Bagas Setiawan</v>
      </c>
      <c r="C56" s="42" t="str">
        <f>Matching_Engine!$E$56</f>
        <v>@bagaskomedi</v>
      </c>
      <c r="D56" s="42" t="str">
        <f>Matching_Engine!$G$56</f>
        <v>Entertainment</v>
      </c>
      <c r="E56" s="65">
        <f ca="1">Matching_Engine!$O$56</f>
        <v>100</v>
      </c>
      <c r="F56" s="65">
        <f>Matching_Engine!$P$56</f>
        <v>71</v>
      </c>
      <c r="G56" s="65">
        <f>Matching_Engine!$Q$56</f>
        <v>90</v>
      </c>
      <c r="H56" s="65">
        <f>Matching_Engine!$R$56</f>
        <v>20</v>
      </c>
      <c r="I56" s="65">
        <f>Matching_Engine!$M$56</f>
        <v>20</v>
      </c>
      <c r="J56" s="65">
        <f ca="1">Matching_Engine!$S$56</f>
        <v>69</v>
      </c>
      <c r="K56" s="65">
        <f>Matching_Engine!$Y$56</f>
        <v>20</v>
      </c>
      <c r="L56" s="65">
        <f>Matching_Engine!$AE$56</f>
        <v>76</v>
      </c>
      <c r="M56" s="65" t="str">
        <f>Matching_Engine!$AM$56</f>
        <v>Medium</v>
      </c>
      <c r="N56" s="65">
        <f>Matching_Engine!$AT$56</f>
        <v>29</v>
      </c>
      <c r="O56" s="65" t="str">
        <f ca="1">Matching_Engine!$AX$56</f>
        <v>Excluded</v>
      </c>
      <c r="P56" s="63" t="str">
        <f ca="1">Matching_Engine!$AY$56</f>
        <v/>
      </c>
      <c r="Q56" s="42" t="str">
        <f>Matching_Engine!$AZ$56</f>
        <v>BRAND-B|KOL-21</v>
      </c>
      <c r="R56" s="42" t="str">
        <f>Matching_Engine!$BB$56</f>
        <v>Entertainment</v>
      </c>
    </row>
    <row r="57" spans="1:18">
      <c r="A57" s="42" t="str">
        <f>Matching_Engine!$B$57</f>
        <v>Lumaya Skin</v>
      </c>
      <c r="B57" s="42" t="str">
        <f>Matching_Engine!$D$57</f>
        <v>Nabila Kirana</v>
      </c>
      <c r="C57" s="42" t="str">
        <f>Matching_Engine!$E$57</f>
        <v>@nabilamusic</v>
      </c>
      <c r="D57" s="42" t="str">
        <f>Matching_Engine!$G$57</f>
        <v>Entertainment</v>
      </c>
      <c r="E57" s="65">
        <f ca="1">Matching_Engine!$O$57</f>
        <v>100</v>
      </c>
      <c r="F57" s="65">
        <f>Matching_Engine!$P$57</f>
        <v>100</v>
      </c>
      <c r="G57" s="65">
        <f>Matching_Engine!$Q$57</f>
        <v>100</v>
      </c>
      <c r="H57" s="65">
        <f>Matching_Engine!$R$57</f>
        <v>60</v>
      </c>
      <c r="I57" s="65">
        <f>Matching_Engine!$M$57</f>
        <v>40</v>
      </c>
      <c r="J57" s="65">
        <f ca="1">Matching_Engine!$S$57</f>
        <v>90</v>
      </c>
      <c r="K57" s="65">
        <f>Matching_Engine!$Y$57</f>
        <v>65</v>
      </c>
      <c r="L57" s="65">
        <f>Matching_Engine!$AE$57</f>
        <v>75</v>
      </c>
      <c r="M57" s="65" t="str">
        <f>Matching_Engine!$AM$57</f>
        <v>High</v>
      </c>
      <c r="N57" s="65">
        <f>Matching_Engine!$AT$57</f>
        <v>48</v>
      </c>
      <c r="O57" s="65" t="str">
        <f ca="1">Matching_Engine!$AX$57</f>
        <v>Excluded</v>
      </c>
      <c r="P57" s="63" t="str">
        <f ca="1">Matching_Engine!$AY$57</f>
        <v/>
      </c>
      <c r="Q57" s="42" t="str">
        <f>Matching_Engine!$AZ$57</f>
        <v>BRAND-B|KOL-22</v>
      </c>
      <c r="R57" s="42" t="str">
        <f>Matching_Engine!$BB$57</f>
        <v>Entertainment</v>
      </c>
    </row>
    <row r="58" spans="1:18">
      <c r="A58" s="42" t="str">
        <f>Matching_Engine!$B$58</f>
        <v>Lumaya Skin</v>
      </c>
      <c r="B58" s="42" t="str">
        <f>Matching_Engine!$D$58</f>
        <v>Arya Mahendra</v>
      </c>
      <c r="C58" s="42" t="str">
        <f>Matching_Engine!$E$58</f>
        <v>@aryagaming</v>
      </c>
      <c r="D58" s="42" t="str">
        <f>Matching_Engine!$G$58</f>
        <v>Gaming</v>
      </c>
      <c r="E58" s="65">
        <f ca="1">Matching_Engine!$O$58</f>
        <v>100</v>
      </c>
      <c r="F58" s="65">
        <f>Matching_Engine!$P$58</f>
        <v>43</v>
      </c>
      <c r="G58" s="65">
        <f>Matching_Engine!$Q$58</f>
        <v>90</v>
      </c>
      <c r="H58" s="65">
        <f>Matching_Engine!$R$58</f>
        <v>20</v>
      </c>
      <c r="I58" s="65">
        <f>Matching_Engine!$M$58</f>
        <v>20</v>
      </c>
      <c r="J58" s="65">
        <f ca="1">Matching_Engine!$S$58</f>
        <v>61</v>
      </c>
      <c r="K58" s="65">
        <f>Matching_Engine!$Y$58</f>
        <v>30</v>
      </c>
      <c r="L58" s="65">
        <f>Matching_Engine!$AE$58</f>
        <v>73</v>
      </c>
      <c r="M58" s="65" t="str">
        <f>Matching_Engine!$AM$58</f>
        <v>None</v>
      </c>
      <c r="N58" s="65">
        <f>Matching_Engine!$AT$58</f>
        <v>27</v>
      </c>
      <c r="O58" s="65" t="str">
        <f ca="1">Matching_Engine!$AX$58</f>
        <v>Excluded</v>
      </c>
      <c r="P58" s="63" t="str">
        <f ca="1">Matching_Engine!$AY$58</f>
        <v/>
      </c>
      <c r="Q58" s="42" t="str">
        <f>Matching_Engine!$AZ$58</f>
        <v>BRAND-B|KOL-23</v>
      </c>
      <c r="R58" s="42" t="str">
        <f>Matching_Engine!$BB$58</f>
        <v>Gaming</v>
      </c>
    </row>
    <row r="59" spans="1:18">
      <c r="A59" s="42" t="str">
        <f>Matching_Engine!$B$59</f>
        <v>Lumaya Skin</v>
      </c>
      <c r="B59" s="42" t="str">
        <f>Matching_Engine!$D$59</f>
        <v>Rio Saputra</v>
      </c>
      <c r="C59" s="42" t="str">
        <f>Matching_Engine!$E$59</f>
        <v>@riopcbuild</v>
      </c>
      <c r="D59" s="42" t="str">
        <f>Matching_Engine!$G$59</f>
        <v>Gaming</v>
      </c>
      <c r="E59" s="65">
        <f ca="1">Matching_Engine!$O$59</f>
        <v>100</v>
      </c>
      <c r="F59" s="65">
        <f>Matching_Engine!$P$59</f>
        <v>45</v>
      </c>
      <c r="G59" s="65">
        <f>Matching_Engine!$Q$59</f>
        <v>88</v>
      </c>
      <c r="H59" s="65">
        <f>Matching_Engine!$R$59</f>
        <v>20</v>
      </c>
      <c r="I59" s="65">
        <f>Matching_Engine!$M$59</f>
        <v>20</v>
      </c>
      <c r="J59" s="65">
        <f ca="1">Matching_Engine!$S$59</f>
        <v>61</v>
      </c>
      <c r="K59" s="65">
        <f>Matching_Engine!$Y$59</f>
        <v>50</v>
      </c>
      <c r="L59" s="65">
        <f>Matching_Engine!$AE$59</f>
        <v>74</v>
      </c>
      <c r="M59" s="65" t="str">
        <f>Matching_Engine!$AM$59</f>
        <v>None</v>
      </c>
      <c r="N59" s="65">
        <f>Matching_Engine!$AT$59</f>
        <v>35</v>
      </c>
      <c r="O59" s="65" t="str">
        <f ca="1">Matching_Engine!$AX$59</f>
        <v>Low Priority</v>
      </c>
      <c r="P59" s="63">
        <f ca="1">Matching_Engine!$AY$59</f>
        <v>49</v>
      </c>
      <c r="Q59" s="42" t="str">
        <f>Matching_Engine!$AZ$59</f>
        <v>BRAND-B|KOL-24</v>
      </c>
      <c r="R59" s="42" t="str">
        <f>Matching_Engine!$BB$59</f>
        <v>Gaming</v>
      </c>
    </row>
    <row r="60" spans="1:18">
      <c r="A60" s="42" t="str">
        <f>Matching_Engine!$B$60</f>
        <v>Lumaya Skin</v>
      </c>
      <c r="B60" s="42" t="str">
        <f>Matching_Engine!$D$60</f>
        <v>Denny Kurniawan</v>
      </c>
      <c r="C60" s="42" t="str">
        <f>Matching_Engine!$E$60</f>
        <v>@dennymotovlog</v>
      </c>
      <c r="D60" s="42" t="str">
        <f>Matching_Engine!$G$60</f>
        <v>Automotive</v>
      </c>
      <c r="E60" s="65">
        <f ca="1">Matching_Engine!$O$60</f>
        <v>100</v>
      </c>
      <c r="F60" s="65">
        <f>Matching_Engine!$P$60</f>
        <v>34</v>
      </c>
      <c r="G60" s="65">
        <f>Matching_Engine!$Q$60</f>
        <v>80</v>
      </c>
      <c r="H60" s="65">
        <f>Matching_Engine!$R$60</f>
        <v>20</v>
      </c>
      <c r="I60" s="65">
        <f>Matching_Engine!$M$60</f>
        <v>20</v>
      </c>
      <c r="J60" s="65">
        <f ca="1">Matching_Engine!$S$60</f>
        <v>56</v>
      </c>
      <c r="K60" s="65">
        <f>Matching_Engine!$Y$60</f>
        <v>25</v>
      </c>
      <c r="L60" s="65">
        <f>Matching_Engine!$AE$60</f>
        <v>73</v>
      </c>
      <c r="M60" s="65" t="str">
        <f>Matching_Engine!$AM$60</f>
        <v>Low</v>
      </c>
      <c r="N60" s="65">
        <f>Matching_Engine!$AT$60</f>
        <v>28</v>
      </c>
      <c r="O60" s="65" t="str">
        <f ca="1">Matching_Engine!$AX$60</f>
        <v>Excluded</v>
      </c>
      <c r="P60" s="63" t="str">
        <f ca="1">Matching_Engine!$AY$60</f>
        <v/>
      </c>
      <c r="Q60" s="42" t="str">
        <f>Matching_Engine!$AZ$60</f>
        <v>BRAND-B|KOL-25</v>
      </c>
      <c r="R60" s="42" t="str">
        <f>Matching_Engine!$BB$60</f>
        <v>Automotive</v>
      </c>
    </row>
    <row r="61" spans="1:18">
      <c r="A61" s="42" t="str">
        <f>Matching_Engine!$B$61</f>
        <v>Lumaya Skin</v>
      </c>
      <c r="B61" s="42" t="str">
        <f>Matching_Engine!$D$61</f>
        <v>Wisnu Adi</v>
      </c>
      <c r="C61" s="42" t="str">
        <f>Matching_Engine!$E$61</f>
        <v>@wisnucarreview</v>
      </c>
      <c r="D61" s="42" t="str">
        <f>Matching_Engine!$G$61</f>
        <v>Automotive</v>
      </c>
      <c r="E61" s="65">
        <f ca="1">Matching_Engine!$O$61</f>
        <v>74</v>
      </c>
      <c r="F61" s="65">
        <f>Matching_Engine!$P$61</f>
        <v>45</v>
      </c>
      <c r="G61" s="65">
        <f>Matching_Engine!$Q$61</f>
        <v>100</v>
      </c>
      <c r="H61" s="65">
        <f>Matching_Engine!$R$61</f>
        <v>0</v>
      </c>
      <c r="I61" s="65">
        <f>Matching_Engine!$M$61</f>
        <v>0</v>
      </c>
      <c r="J61" s="65">
        <f ca="1">Matching_Engine!$S$61</f>
        <v>54</v>
      </c>
      <c r="K61" s="65">
        <f>Matching_Engine!$Y$61</f>
        <v>85</v>
      </c>
      <c r="L61" s="65">
        <f>Matching_Engine!$AE$61</f>
        <v>64</v>
      </c>
      <c r="M61" s="65" t="str">
        <f>Matching_Engine!$AM$61</f>
        <v>Low</v>
      </c>
      <c r="N61" s="65">
        <f>Matching_Engine!$AT$61</f>
        <v>37</v>
      </c>
      <c r="O61" s="65" t="str">
        <f ca="1">Matching_Engine!$AX$61</f>
        <v>Excluded</v>
      </c>
      <c r="P61" s="63" t="str">
        <f ca="1">Matching_Engine!$AY$61</f>
        <v/>
      </c>
      <c r="Q61" s="42" t="str">
        <f>Matching_Engine!$AZ$61</f>
        <v>BRAND-B|KOL-26</v>
      </c>
      <c r="R61" s="42" t="str">
        <f>Matching_Engine!$BB$61</f>
        <v>Automotive</v>
      </c>
    </row>
    <row r="62" spans="1:18">
      <c r="A62" s="42" t="str">
        <f>Matching_Engine!$B$62</f>
        <v>Lumaya Skin</v>
      </c>
      <c r="B62" s="42" t="str">
        <f>Matching_Engine!$D$62</f>
        <v>Laras Ayu</v>
      </c>
      <c r="C62" s="42" t="str">
        <f>Matching_Engine!$E$62</f>
        <v>@larasinterior</v>
      </c>
      <c r="D62" s="42" t="str">
        <f>Matching_Engine!$G$62</f>
        <v>Home &amp; Living</v>
      </c>
      <c r="E62" s="65">
        <f ca="1">Matching_Engine!$O$62</f>
        <v>98</v>
      </c>
      <c r="F62" s="65">
        <f>Matching_Engine!$P$62</f>
        <v>100</v>
      </c>
      <c r="G62" s="65">
        <f>Matching_Engine!$Q$62</f>
        <v>80</v>
      </c>
      <c r="H62" s="65">
        <f>Matching_Engine!$R$62</f>
        <v>40</v>
      </c>
      <c r="I62" s="65">
        <f>Matching_Engine!$M$62</f>
        <v>20</v>
      </c>
      <c r="J62" s="65">
        <f ca="1">Matching_Engine!$S$62</f>
        <v>79</v>
      </c>
      <c r="K62" s="65">
        <f>Matching_Engine!$Y$62</f>
        <v>100</v>
      </c>
      <c r="L62" s="65">
        <f>Matching_Engine!$AE$62</f>
        <v>88</v>
      </c>
      <c r="M62" s="65" t="str">
        <f>Matching_Engine!$AM$62</f>
        <v>None</v>
      </c>
      <c r="N62" s="65">
        <f>Matching_Engine!$AT$62</f>
        <v>53</v>
      </c>
      <c r="O62" s="65" t="str">
        <f ca="1">Matching_Engine!$AX$62</f>
        <v>Consider</v>
      </c>
      <c r="P62" s="63">
        <f ca="1">Matching_Engine!$AY$62</f>
        <v>62</v>
      </c>
      <c r="Q62" s="42" t="str">
        <f>Matching_Engine!$AZ$62</f>
        <v>BRAND-B|KOL-27</v>
      </c>
      <c r="R62" s="42" t="str">
        <f>Matching_Engine!$BB$62</f>
        <v>Home &amp; Living</v>
      </c>
    </row>
    <row r="63" spans="1:18">
      <c r="A63" s="42" t="str">
        <f>Matching_Engine!$B$63</f>
        <v>Lumaya Skin</v>
      </c>
      <c r="B63" s="42" t="str">
        <f>Matching_Engine!$D$63</f>
        <v>Tiara Nisrina</v>
      </c>
      <c r="C63" s="42" t="str">
        <f>Matching_Engine!$E$63</f>
        <v>@tiararapihin</v>
      </c>
      <c r="D63" s="42" t="str">
        <f>Matching_Engine!$G$63</f>
        <v>Home &amp; Living</v>
      </c>
      <c r="E63" s="65">
        <f ca="1">Matching_Engine!$O$63</f>
        <v>100</v>
      </c>
      <c r="F63" s="65">
        <f>Matching_Engine!$P$63</f>
        <v>100</v>
      </c>
      <c r="G63" s="65">
        <f>Matching_Engine!$Q$63</f>
        <v>100</v>
      </c>
      <c r="H63" s="65">
        <f>Matching_Engine!$R$63</f>
        <v>20</v>
      </c>
      <c r="I63" s="65">
        <f>Matching_Engine!$M$63</f>
        <v>20</v>
      </c>
      <c r="J63" s="65">
        <f ca="1">Matching_Engine!$S$63</f>
        <v>79</v>
      </c>
      <c r="K63" s="65">
        <f>Matching_Engine!$Y$63</f>
        <v>35</v>
      </c>
      <c r="L63" s="65">
        <f>Matching_Engine!$AE$63</f>
        <v>81</v>
      </c>
      <c r="M63" s="65" t="str">
        <f>Matching_Engine!$AM$63</f>
        <v>None</v>
      </c>
      <c r="N63" s="65">
        <f>Matching_Engine!$AT$63</f>
        <v>42</v>
      </c>
      <c r="O63" s="65" t="str">
        <f ca="1">Matching_Engine!$AX$63</f>
        <v>Excluded</v>
      </c>
      <c r="P63" s="63" t="str">
        <f ca="1">Matching_Engine!$AY$63</f>
        <v/>
      </c>
      <c r="Q63" s="42" t="str">
        <f>Matching_Engine!$AZ$63</f>
        <v>BRAND-B|KOL-28</v>
      </c>
      <c r="R63" s="42" t="str">
        <f>Matching_Engine!$BB$63</f>
        <v>Home &amp; Living</v>
      </c>
    </row>
    <row r="64" spans="1:18">
      <c r="A64" s="42" t="str">
        <f>Matching_Engine!$B$64</f>
        <v>Lumaya Skin</v>
      </c>
      <c r="B64" s="42" t="str">
        <f>Matching_Engine!$D$64</f>
        <v>Sekar Ayu</v>
      </c>
      <c r="C64" s="42" t="str">
        <f>Matching_Engine!$E$64</f>
        <v>@sekarskincarejujur</v>
      </c>
      <c r="D64" s="42" t="str">
        <f>Matching_Engine!$G$64</f>
        <v>Beauty</v>
      </c>
      <c r="E64" s="65">
        <f ca="1">Matching_Engine!$O$64</f>
        <v>100</v>
      </c>
      <c r="F64" s="65">
        <f>Matching_Engine!$P$64</f>
        <v>100</v>
      </c>
      <c r="G64" s="65">
        <f>Matching_Engine!$Q$64</f>
        <v>80</v>
      </c>
      <c r="H64" s="65">
        <f>Matching_Engine!$R$64</f>
        <v>80</v>
      </c>
      <c r="I64" s="65">
        <f>Matching_Engine!$M$64</f>
        <v>100</v>
      </c>
      <c r="J64" s="65">
        <f ca="1">Matching_Engine!$S$64</f>
        <v>90</v>
      </c>
      <c r="K64" s="65">
        <f>Matching_Engine!$Y$64</f>
        <v>35</v>
      </c>
      <c r="L64" s="65">
        <f>Matching_Engine!$AE$64</f>
        <v>91</v>
      </c>
      <c r="M64" s="65" t="str">
        <f>Matching_Engine!$AM$64</f>
        <v>None</v>
      </c>
      <c r="N64" s="65">
        <f>Matching_Engine!$AT$64</f>
        <v>85</v>
      </c>
      <c r="O64" s="65" t="str">
        <f ca="1">Matching_Engine!$AX$64</f>
        <v>Highly Recommended</v>
      </c>
      <c r="P64" s="63">
        <f ca="1">Matching_Engine!$AY$64</f>
        <v>91</v>
      </c>
      <c r="Q64" s="42" t="str">
        <f>Matching_Engine!$AZ$64</f>
        <v>BRAND-B|KOL-29</v>
      </c>
      <c r="R64" s="42" t="str">
        <f>Matching_Engine!$BB$64</f>
        <v>Beauty</v>
      </c>
    </row>
    <row r="65" spans="1:18">
      <c r="A65" s="42" t="str">
        <f>Matching_Engine!$B$65</f>
        <v>Lumaya Skin</v>
      </c>
      <c r="B65" s="42" t="str">
        <f>Matching_Engine!$D$65</f>
        <v>Ibnu Faisal</v>
      </c>
      <c r="C65" s="42" t="str">
        <f>Matching_Engine!$E$65</f>
        <v>@ibnubisnis</v>
      </c>
      <c r="D65" s="42" t="str">
        <f>Matching_Engine!$G$65</f>
        <v>Finance</v>
      </c>
      <c r="E65" s="65">
        <f ca="1">Matching_Engine!$O$65</f>
        <v>73</v>
      </c>
      <c r="F65" s="65">
        <f>Matching_Engine!$P$65</f>
        <v>32</v>
      </c>
      <c r="G65" s="65">
        <f>Matching_Engine!$Q$65</f>
        <v>100</v>
      </c>
      <c r="H65" s="65">
        <f>Matching_Engine!$R$65</f>
        <v>0</v>
      </c>
      <c r="I65" s="65">
        <f>Matching_Engine!$M$65</f>
        <v>0</v>
      </c>
      <c r="J65" s="65">
        <f ca="1">Matching_Engine!$S$65</f>
        <v>50</v>
      </c>
      <c r="K65" s="65">
        <f>Matching_Engine!$Y$65</f>
        <v>85</v>
      </c>
      <c r="L65" s="65">
        <f>Matching_Engine!$AE$65</f>
        <v>66</v>
      </c>
      <c r="M65" s="65" t="str">
        <f>Matching_Engine!$AM$65</f>
        <v>Low</v>
      </c>
      <c r="N65" s="65">
        <f>Matching_Engine!$AT$65</f>
        <v>34</v>
      </c>
      <c r="O65" s="65" t="str">
        <f ca="1">Matching_Engine!$AX$65</f>
        <v>Excluded</v>
      </c>
      <c r="P65" s="63" t="str">
        <f ca="1">Matching_Engine!$AY$65</f>
        <v/>
      </c>
      <c r="Q65" s="42" t="str">
        <f>Matching_Engine!$AZ$65</f>
        <v>BRAND-B|KOL-30</v>
      </c>
      <c r="R65" s="42" t="str">
        <f>Matching_Engine!$BB$65</f>
        <v>Finance</v>
      </c>
    </row>
    <row r="66" spans="1:18">
      <c r="A66" s="42" t="str">
        <f>Matching_Engine!$B$66</f>
        <v>Rasa Nusantara</v>
      </c>
      <c r="B66" s="42" t="str">
        <f>Matching_Engine!$D$66</f>
        <v>Ardi Nugraha</v>
      </c>
      <c r="C66" s="42" t="str">
        <f>Matching_Engine!$E$66</f>
        <v>@ardidigital</v>
      </c>
      <c r="D66" s="42" t="str">
        <f>Matching_Engine!$G$66</f>
        <v>Tech</v>
      </c>
      <c r="E66" s="65">
        <f ca="1">Matching_Engine!$O$66</f>
        <v>100</v>
      </c>
      <c r="F66" s="65">
        <f>Matching_Engine!$P$66</f>
        <v>40</v>
      </c>
      <c r="G66" s="65">
        <f>Matching_Engine!$Q$66</f>
        <v>100</v>
      </c>
      <c r="H66" s="65">
        <f>Matching_Engine!$R$66</f>
        <v>0</v>
      </c>
      <c r="I66" s="65">
        <f>Matching_Engine!$M$66</f>
        <v>20</v>
      </c>
      <c r="J66" s="65">
        <f ca="1">Matching_Engine!$S$66</f>
        <v>67</v>
      </c>
      <c r="K66" s="65">
        <f>Matching_Engine!$Y$66</f>
        <v>60</v>
      </c>
      <c r="L66" s="65">
        <f>Matching_Engine!$AE$66</f>
        <v>83</v>
      </c>
      <c r="M66" s="65" t="str">
        <f>Matching_Engine!$AM$66</f>
        <v>None</v>
      </c>
      <c r="N66" s="65">
        <f>Matching_Engine!$AT$66</f>
        <v>28</v>
      </c>
      <c r="O66" s="65" t="str">
        <f ca="1">Matching_Engine!$AX$66</f>
        <v>Excluded</v>
      </c>
      <c r="P66" s="63" t="str">
        <f ca="1">Matching_Engine!$AY$66</f>
        <v/>
      </c>
      <c r="Q66" s="42" t="str">
        <f>Matching_Engine!$AZ$66</f>
        <v>BRAND-C|KOL-01</v>
      </c>
      <c r="R66" s="42" t="str">
        <f>Matching_Engine!$BB$66</f>
        <v>Tech</v>
      </c>
    </row>
    <row r="67" spans="1:18">
      <c r="A67" s="42" t="str">
        <f>Matching_Engine!$B$67</f>
        <v>Rasa Nusantara</v>
      </c>
      <c r="B67" s="42" t="str">
        <f>Matching_Engine!$D$67</f>
        <v>Rifqi Pratama</v>
      </c>
      <c r="C67" s="42" t="str">
        <f>Matching_Engine!$E$67</f>
        <v>@rifqi.codes</v>
      </c>
      <c r="D67" s="42" t="str">
        <f>Matching_Engine!$G$67</f>
        <v>Tech</v>
      </c>
      <c r="E67" s="65">
        <f ca="1">Matching_Engine!$O$67</f>
        <v>88</v>
      </c>
      <c r="F67" s="65">
        <f>Matching_Engine!$P$67</f>
        <v>52</v>
      </c>
      <c r="G67" s="65">
        <f>Matching_Engine!$Q$67</f>
        <v>100</v>
      </c>
      <c r="H67" s="65">
        <f>Matching_Engine!$R$67</f>
        <v>0</v>
      </c>
      <c r="I67" s="65">
        <f>Matching_Engine!$M$67</f>
        <v>0</v>
      </c>
      <c r="J67" s="65">
        <f ca="1">Matching_Engine!$S$67</f>
        <v>64</v>
      </c>
      <c r="K67" s="65">
        <f>Matching_Engine!$Y$67</f>
        <v>60</v>
      </c>
      <c r="L67" s="65">
        <f>Matching_Engine!$AE$67</f>
        <v>75</v>
      </c>
      <c r="M67" s="65" t="str">
        <f>Matching_Engine!$AM$67</f>
        <v>None</v>
      </c>
      <c r="N67" s="65">
        <f>Matching_Engine!$AT$67</f>
        <v>26</v>
      </c>
      <c r="O67" s="65" t="str">
        <f ca="1">Matching_Engine!$AX$67</f>
        <v>Low Priority</v>
      </c>
      <c r="P67" s="63">
        <f ca="1">Matching_Engine!$AY$67</f>
        <v>47</v>
      </c>
      <c r="Q67" s="42" t="str">
        <f>Matching_Engine!$AZ$67</f>
        <v>BRAND-C|KOL-02</v>
      </c>
      <c r="R67" s="42" t="str">
        <f>Matching_Engine!$BB$67</f>
        <v>Tech</v>
      </c>
    </row>
    <row r="68" spans="1:18">
      <c r="A68" s="42" t="str">
        <f>Matching_Engine!$B$68</f>
        <v>Rasa Nusantara</v>
      </c>
      <c r="B68" s="42" t="str">
        <f>Matching_Engine!$D$68</f>
        <v>Salsa Aulia</v>
      </c>
      <c r="C68" s="42" t="str">
        <f>Matching_Engine!$E$68</f>
        <v>@salsabeautydiary</v>
      </c>
      <c r="D68" s="42" t="str">
        <f>Matching_Engine!$G$68</f>
        <v>Beauty</v>
      </c>
      <c r="E68" s="65">
        <f ca="1">Matching_Engine!$O$68</f>
        <v>93</v>
      </c>
      <c r="F68" s="65">
        <f>Matching_Engine!$P$68</f>
        <v>28</v>
      </c>
      <c r="G68" s="65">
        <f>Matching_Engine!$Q$68</f>
        <v>100</v>
      </c>
      <c r="H68" s="65">
        <f>Matching_Engine!$R$68</f>
        <v>0</v>
      </c>
      <c r="I68" s="65">
        <f>Matching_Engine!$M$68</f>
        <v>20</v>
      </c>
      <c r="J68" s="65">
        <f ca="1">Matching_Engine!$S$68</f>
        <v>63</v>
      </c>
      <c r="K68" s="65">
        <f>Matching_Engine!$Y$68</f>
        <v>60</v>
      </c>
      <c r="L68" s="65">
        <f>Matching_Engine!$AE$68</f>
        <v>77</v>
      </c>
      <c r="M68" s="65" t="str">
        <f>Matching_Engine!$AM$68</f>
        <v>None</v>
      </c>
      <c r="N68" s="65">
        <f>Matching_Engine!$AT$68</f>
        <v>40</v>
      </c>
      <c r="O68" s="65" t="str">
        <f ca="1">Matching_Engine!$AX$68</f>
        <v>Excluded</v>
      </c>
      <c r="P68" s="63" t="str">
        <f ca="1">Matching_Engine!$AY$68</f>
        <v/>
      </c>
      <c r="Q68" s="42" t="str">
        <f>Matching_Engine!$AZ$68</f>
        <v>BRAND-C|KOL-03</v>
      </c>
      <c r="R68" s="42" t="str">
        <f>Matching_Engine!$BB$68</f>
        <v>Beauty</v>
      </c>
    </row>
    <row r="69" spans="1:18">
      <c r="A69" s="42" t="str">
        <f>Matching_Engine!$B$69</f>
        <v>Rasa Nusantara</v>
      </c>
      <c r="B69" s="42" t="str">
        <f>Matching_Engine!$D$69</f>
        <v>Nadia Puspa</v>
      </c>
      <c r="C69" s="42" t="str">
        <f>Matching_Engine!$E$69</f>
        <v>@nadiaglowup</v>
      </c>
      <c r="D69" s="42" t="str">
        <f>Matching_Engine!$G$69</f>
        <v>Beauty</v>
      </c>
      <c r="E69" s="65">
        <f ca="1">Matching_Engine!$O$69</f>
        <v>78</v>
      </c>
      <c r="F69" s="65">
        <f>Matching_Engine!$P$69</f>
        <v>38</v>
      </c>
      <c r="G69" s="65">
        <f>Matching_Engine!$Q$69</f>
        <v>100</v>
      </c>
      <c r="H69" s="65">
        <f>Matching_Engine!$R$69</f>
        <v>20</v>
      </c>
      <c r="I69" s="65">
        <f>Matching_Engine!$M$69</f>
        <v>40</v>
      </c>
      <c r="J69" s="65">
        <f ca="1">Matching_Engine!$S$69</f>
        <v>64</v>
      </c>
      <c r="K69" s="65">
        <f>Matching_Engine!$Y$69</f>
        <v>60</v>
      </c>
      <c r="L69" s="65">
        <f>Matching_Engine!$AE$69</f>
        <v>82</v>
      </c>
      <c r="M69" s="65" t="str">
        <f>Matching_Engine!$AM$69</f>
        <v>Medium</v>
      </c>
      <c r="N69" s="65">
        <f>Matching_Engine!$AT$69</f>
        <v>46</v>
      </c>
      <c r="O69" s="65" t="str">
        <f ca="1">Matching_Engine!$AX$69</f>
        <v>Excluded</v>
      </c>
      <c r="P69" s="63" t="str">
        <f ca="1">Matching_Engine!$AY$69</f>
        <v/>
      </c>
      <c r="Q69" s="42" t="str">
        <f>Matching_Engine!$AZ$69</f>
        <v>BRAND-C|KOL-04</v>
      </c>
      <c r="R69" s="42" t="str">
        <f>Matching_Engine!$BB$69</f>
        <v>Beauty</v>
      </c>
    </row>
    <row r="70" spans="1:18">
      <c r="A70" s="42" t="str">
        <f>Matching_Engine!$B$70</f>
        <v>Rasa Nusantara</v>
      </c>
      <c r="B70" s="42" t="str">
        <f>Matching_Engine!$D$70</f>
        <v>Bimo Saputra</v>
      </c>
      <c r="C70" s="42" t="str">
        <f>Matching_Engine!$E$70</f>
        <v>@bimomakan</v>
      </c>
      <c r="D70" s="42" t="str">
        <f>Matching_Engine!$G$70</f>
        <v>Food</v>
      </c>
      <c r="E70" s="65">
        <f ca="1">Matching_Engine!$O$70</f>
        <v>92</v>
      </c>
      <c r="F70" s="65">
        <f>Matching_Engine!$P$70</f>
        <v>96</v>
      </c>
      <c r="G70" s="65">
        <f>Matching_Engine!$Q$70</f>
        <v>100</v>
      </c>
      <c r="H70" s="65">
        <f>Matching_Engine!$R$70</f>
        <v>80</v>
      </c>
      <c r="I70" s="65">
        <f>Matching_Engine!$M$70</f>
        <v>80</v>
      </c>
      <c r="J70" s="65">
        <f ca="1">Matching_Engine!$S$70</f>
        <v>91</v>
      </c>
      <c r="K70" s="65">
        <f>Matching_Engine!$Y$70</f>
        <v>100</v>
      </c>
      <c r="L70" s="65">
        <f>Matching_Engine!$AE$70</f>
        <v>70</v>
      </c>
      <c r="M70" s="65" t="str">
        <f>Matching_Engine!$AM$70</f>
        <v>Low</v>
      </c>
      <c r="N70" s="65">
        <f>Matching_Engine!$AT$70</f>
        <v>84</v>
      </c>
      <c r="O70" s="65" t="str">
        <f ca="1">Matching_Engine!$AX$70</f>
        <v>Excluded</v>
      </c>
      <c r="P70" s="63" t="str">
        <f ca="1">Matching_Engine!$AY$70</f>
        <v/>
      </c>
      <c r="Q70" s="42" t="str">
        <f>Matching_Engine!$AZ$70</f>
        <v>BRAND-C|KOL-05</v>
      </c>
      <c r="R70" s="42" t="str">
        <f>Matching_Engine!$BB$70</f>
        <v>Food</v>
      </c>
    </row>
    <row r="71" spans="1:18">
      <c r="A71" s="42" t="str">
        <f>Matching_Engine!$B$71</f>
        <v>Rasa Nusantara</v>
      </c>
      <c r="B71" s="42" t="str">
        <f>Matching_Engine!$D$71</f>
        <v>Ayu Lestari</v>
      </c>
      <c r="C71" s="42" t="str">
        <f>Matching_Engine!$E$71</f>
        <v>@dapurayu</v>
      </c>
      <c r="D71" s="42" t="str">
        <f>Matching_Engine!$G$71</f>
        <v>Food</v>
      </c>
      <c r="E71" s="65">
        <f ca="1">Matching_Engine!$O$71</f>
        <v>100</v>
      </c>
      <c r="F71" s="65">
        <f>Matching_Engine!$P$71</f>
        <v>28</v>
      </c>
      <c r="G71" s="65">
        <f>Matching_Engine!$Q$71</f>
        <v>100</v>
      </c>
      <c r="H71" s="65">
        <f>Matching_Engine!$R$71</f>
        <v>40</v>
      </c>
      <c r="I71" s="65">
        <f>Matching_Engine!$M$71</f>
        <v>40</v>
      </c>
      <c r="J71" s="65">
        <f ca="1">Matching_Engine!$S$71</f>
        <v>76</v>
      </c>
      <c r="K71" s="65">
        <f>Matching_Engine!$Y$71</f>
        <v>100</v>
      </c>
      <c r="L71" s="65">
        <f>Matching_Engine!$AE$71</f>
        <v>73</v>
      </c>
      <c r="M71" s="65" t="str">
        <f>Matching_Engine!$AM$71</f>
        <v>Low</v>
      </c>
      <c r="N71" s="65">
        <f>Matching_Engine!$AT$71</f>
        <v>73</v>
      </c>
      <c r="O71" s="65" t="str">
        <f ca="1">Matching_Engine!$AX$71</f>
        <v>Recommended</v>
      </c>
      <c r="P71" s="63">
        <f ca="1">Matching_Engine!$AY$71</f>
        <v>74</v>
      </c>
      <c r="Q71" s="42" t="str">
        <f>Matching_Engine!$AZ$71</f>
        <v>BRAND-C|KOL-06</v>
      </c>
      <c r="R71" s="42" t="str">
        <f>Matching_Engine!$BB$71</f>
        <v>Food</v>
      </c>
    </row>
    <row r="72" spans="1:18">
      <c r="A72" s="42" t="str">
        <f>Matching_Engine!$B$72</f>
        <v>Rasa Nusantara</v>
      </c>
      <c r="B72" s="42" t="str">
        <f>Matching_Engine!$D$72</f>
        <v>Fajar Ramadhan</v>
      </c>
      <c r="C72" s="42" t="str">
        <f>Matching_Engine!$E$72</f>
        <v>@fajarfinance</v>
      </c>
      <c r="D72" s="42" t="str">
        <f>Matching_Engine!$G$72</f>
        <v>Finance</v>
      </c>
      <c r="E72" s="65">
        <f ca="1">Matching_Engine!$O$72</f>
        <v>100</v>
      </c>
      <c r="F72" s="65">
        <f>Matching_Engine!$P$72</f>
        <v>42</v>
      </c>
      <c r="G72" s="65">
        <f>Matching_Engine!$Q$72</f>
        <v>100</v>
      </c>
      <c r="H72" s="65">
        <f>Matching_Engine!$R$72</f>
        <v>0</v>
      </c>
      <c r="I72" s="65">
        <f>Matching_Engine!$M$72</f>
        <v>0</v>
      </c>
      <c r="J72" s="65">
        <f ca="1">Matching_Engine!$S$72</f>
        <v>68</v>
      </c>
      <c r="K72" s="65">
        <f>Matching_Engine!$Y$72</f>
        <v>45</v>
      </c>
      <c r="L72" s="65">
        <f>Matching_Engine!$AE$72</f>
        <v>86</v>
      </c>
      <c r="M72" s="65" t="str">
        <f>Matching_Engine!$AM$72</f>
        <v>None</v>
      </c>
      <c r="N72" s="65">
        <f>Matching_Engine!$AT$72</f>
        <v>24</v>
      </c>
      <c r="O72" s="65" t="str">
        <f ca="1">Matching_Engine!$AX$72</f>
        <v>Excluded</v>
      </c>
      <c r="P72" s="63" t="str">
        <f ca="1">Matching_Engine!$AY$72</f>
        <v/>
      </c>
      <c r="Q72" s="42" t="str">
        <f>Matching_Engine!$AZ$72</f>
        <v>BRAND-C|KOL-07</v>
      </c>
      <c r="R72" s="42" t="str">
        <f>Matching_Engine!$BB$72</f>
        <v>Finance</v>
      </c>
    </row>
    <row r="73" spans="1:18">
      <c r="A73" s="42" t="str">
        <f>Matching_Engine!$B$73</f>
        <v>Rasa Nusantara</v>
      </c>
      <c r="B73" s="42" t="str">
        <f>Matching_Engine!$D$73</f>
        <v>Tania Wijaya</v>
      </c>
      <c r="C73" s="42" t="str">
        <f>Matching_Engine!$E$73</f>
        <v>@taniainvest</v>
      </c>
      <c r="D73" s="42" t="str">
        <f>Matching_Engine!$G$73</f>
        <v>Finance</v>
      </c>
      <c r="E73" s="65">
        <f ca="1">Matching_Engine!$O$73</f>
        <v>89</v>
      </c>
      <c r="F73" s="65">
        <f>Matching_Engine!$P$73</f>
        <v>64</v>
      </c>
      <c r="G73" s="65">
        <f>Matching_Engine!$Q$73</f>
        <v>100</v>
      </c>
      <c r="H73" s="65">
        <f>Matching_Engine!$R$73</f>
        <v>0</v>
      </c>
      <c r="I73" s="65">
        <f>Matching_Engine!$M$73</f>
        <v>20</v>
      </c>
      <c r="J73" s="65">
        <f ca="1">Matching_Engine!$S$73</f>
        <v>66</v>
      </c>
      <c r="K73" s="65">
        <f>Matching_Engine!$Y$73</f>
        <v>60</v>
      </c>
      <c r="L73" s="65">
        <f>Matching_Engine!$AE$73</f>
        <v>64</v>
      </c>
      <c r="M73" s="65" t="str">
        <f>Matching_Engine!$AM$73</f>
        <v>Low</v>
      </c>
      <c r="N73" s="65">
        <f>Matching_Engine!$AT$73</f>
        <v>28</v>
      </c>
      <c r="O73" s="65" t="str">
        <f ca="1">Matching_Engine!$AX$73</f>
        <v>Low Priority</v>
      </c>
      <c r="P73" s="63">
        <f ca="1">Matching_Engine!$AY$73</f>
        <v>47</v>
      </c>
      <c r="Q73" s="42" t="str">
        <f>Matching_Engine!$AZ$73</f>
        <v>BRAND-C|KOL-08</v>
      </c>
      <c r="R73" s="42" t="str">
        <f>Matching_Engine!$BB$73</f>
        <v>Finance</v>
      </c>
    </row>
    <row r="74" spans="1:18">
      <c r="A74" s="42" t="str">
        <f>Matching_Engine!$B$74</f>
        <v>Rasa Nusantara</v>
      </c>
      <c r="B74" s="42" t="str">
        <f>Matching_Engine!$D$74</f>
        <v>Gilang Prakoso</v>
      </c>
      <c r="C74" s="42" t="str">
        <f>Matching_Engine!$E$74</f>
        <v>@gilangbelajar</v>
      </c>
      <c r="D74" s="42" t="str">
        <f>Matching_Engine!$G$74</f>
        <v>Education</v>
      </c>
      <c r="E74" s="65">
        <f ca="1">Matching_Engine!$O$74</f>
        <v>78</v>
      </c>
      <c r="F74" s="65">
        <f>Matching_Engine!$P$74</f>
        <v>96</v>
      </c>
      <c r="G74" s="65">
        <f>Matching_Engine!$Q$74</f>
        <v>100</v>
      </c>
      <c r="H74" s="65">
        <f>Matching_Engine!$R$74</f>
        <v>20</v>
      </c>
      <c r="I74" s="65">
        <f>Matching_Engine!$M$74</f>
        <v>20</v>
      </c>
      <c r="J74" s="65">
        <f ca="1">Matching_Engine!$S$74</f>
        <v>71</v>
      </c>
      <c r="K74" s="65">
        <f>Matching_Engine!$Y$74</f>
        <v>60</v>
      </c>
      <c r="L74" s="65">
        <f>Matching_Engine!$AE$74</f>
        <v>86</v>
      </c>
      <c r="M74" s="65" t="str">
        <f>Matching_Engine!$AM$74</f>
        <v>None</v>
      </c>
      <c r="N74" s="65">
        <f>Matching_Engine!$AT$74</f>
        <v>34</v>
      </c>
      <c r="O74" s="65" t="str">
        <f ca="1">Matching_Engine!$AX$74</f>
        <v>Excluded</v>
      </c>
      <c r="P74" s="63" t="str">
        <f ca="1">Matching_Engine!$AY$74</f>
        <v/>
      </c>
      <c r="Q74" s="42" t="str">
        <f>Matching_Engine!$AZ$74</f>
        <v>BRAND-C|KOL-09</v>
      </c>
      <c r="R74" s="42" t="str">
        <f>Matching_Engine!$BB$74</f>
        <v>Education</v>
      </c>
    </row>
    <row r="75" spans="1:18">
      <c r="A75" s="42" t="str">
        <f>Matching_Engine!$B$75</f>
        <v>Rasa Nusantara</v>
      </c>
      <c r="B75" s="42" t="str">
        <f>Matching_Engine!$D$75</f>
        <v>Mira Handayani</v>
      </c>
      <c r="C75" s="42" t="str">
        <f>Matching_Engine!$E$75</f>
        <v>@mirabahasa</v>
      </c>
      <c r="D75" s="42" t="str">
        <f>Matching_Engine!$G$75</f>
        <v>Education</v>
      </c>
      <c r="E75" s="65">
        <f ca="1">Matching_Engine!$O$75</f>
        <v>94</v>
      </c>
      <c r="F75" s="65">
        <f>Matching_Engine!$P$75</f>
        <v>60</v>
      </c>
      <c r="G75" s="65">
        <f>Matching_Engine!$Q$75</f>
        <v>100</v>
      </c>
      <c r="H75" s="65">
        <f>Matching_Engine!$R$75</f>
        <v>40</v>
      </c>
      <c r="I75" s="65">
        <f>Matching_Engine!$M$75</f>
        <v>20</v>
      </c>
      <c r="J75" s="65">
        <f ca="1">Matching_Engine!$S$75</f>
        <v>78</v>
      </c>
      <c r="K75" s="65">
        <f>Matching_Engine!$Y$75</f>
        <v>60</v>
      </c>
      <c r="L75" s="65">
        <f>Matching_Engine!$AE$75</f>
        <v>75</v>
      </c>
      <c r="M75" s="65" t="str">
        <f>Matching_Engine!$AM$75</f>
        <v>None</v>
      </c>
      <c r="N75" s="65">
        <f>Matching_Engine!$AT$75</f>
        <v>37</v>
      </c>
      <c r="O75" s="65" t="str">
        <f ca="1">Matching_Engine!$AX$75</f>
        <v>Low Priority</v>
      </c>
      <c r="P75" s="63">
        <f ca="1">Matching_Engine!$AY$75</f>
        <v>56</v>
      </c>
      <c r="Q75" s="42" t="str">
        <f>Matching_Engine!$AZ$75</f>
        <v>BRAND-C|KOL-10</v>
      </c>
      <c r="R75" s="42" t="str">
        <f>Matching_Engine!$BB$75</f>
        <v>Education</v>
      </c>
    </row>
    <row r="76" spans="1:18">
      <c r="A76" s="42" t="str">
        <f>Matching_Engine!$B$76</f>
        <v>Rasa Nusantara</v>
      </c>
      <c r="B76" s="42" t="str">
        <f>Matching_Engine!$D$76</f>
        <v>Dimas Anggara</v>
      </c>
      <c r="C76" s="42" t="str">
        <f>Matching_Engine!$E$76</f>
        <v>@dimasfit</v>
      </c>
      <c r="D76" s="42" t="str">
        <f>Matching_Engine!$G$76</f>
        <v>Fitness</v>
      </c>
      <c r="E76" s="65">
        <f ca="1">Matching_Engine!$O$76</f>
        <v>100</v>
      </c>
      <c r="F76" s="65">
        <f>Matching_Engine!$P$76</f>
        <v>56</v>
      </c>
      <c r="G76" s="65">
        <f>Matching_Engine!$Q$76</f>
        <v>100</v>
      </c>
      <c r="H76" s="65">
        <f>Matching_Engine!$R$76</f>
        <v>20</v>
      </c>
      <c r="I76" s="65">
        <f>Matching_Engine!$M$76</f>
        <v>40</v>
      </c>
      <c r="J76" s="65">
        <f ca="1">Matching_Engine!$S$76</f>
        <v>74</v>
      </c>
      <c r="K76" s="65">
        <f>Matching_Engine!$Y$76</f>
        <v>45</v>
      </c>
      <c r="L76" s="65">
        <f>Matching_Engine!$AE$76</f>
        <v>61</v>
      </c>
      <c r="M76" s="65" t="str">
        <f>Matching_Engine!$AM$76</f>
        <v>Low</v>
      </c>
      <c r="N76" s="65">
        <f>Matching_Engine!$AT$76</f>
        <v>46</v>
      </c>
      <c r="O76" s="65" t="str">
        <f ca="1">Matching_Engine!$AX$76</f>
        <v>Excluded</v>
      </c>
      <c r="P76" s="63" t="str">
        <f ca="1">Matching_Engine!$AY$76</f>
        <v/>
      </c>
      <c r="Q76" s="42" t="str">
        <f>Matching_Engine!$AZ$76</f>
        <v>BRAND-C|KOL-11</v>
      </c>
      <c r="R76" s="42" t="str">
        <f>Matching_Engine!$BB$76</f>
        <v>Fitness</v>
      </c>
    </row>
    <row r="77" spans="1:18">
      <c r="A77" s="42" t="str">
        <f>Matching_Engine!$B$77</f>
        <v>Rasa Nusantara</v>
      </c>
      <c r="B77" s="42" t="str">
        <f>Matching_Engine!$D$77</f>
        <v>Rani Kusuma</v>
      </c>
      <c r="C77" s="42" t="str">
        <f>Matching_Engine!$E$77</f>
        <v>@ranihomeworkout</v>
      </c>
      <c r="D77" s="42" t="str">
        <f>Matching_Engine!$G$77</f>
        <v>Fitness</v>
      </c>
      <c r="E77" s="65">
        <f ca="1">Matching_Engine!$O$77</f>
        <v>97</v>
      </c>
      <c r="F77" s="65">
        <f>Matching_Engine!$P$77</f>
        <v>42</v>
      </c>
      <c r="G77" s="65">
        <f>Matching_Engine!$Q$77</f>
        <v>100</v>
      </c>
      <c r="H77" s="65">
        <f>Matching_Engine!$R$77</f>
        <v>20</v>
      </c>
      <c r="I77" s="65">
        <f>Matching_Engine!$M$77</f>
        <v>20</v>
      </c>
      <c r="J77" s="65">
        <f ca="1">Matching_Engine!$S$77</f>
        <v>72</v>
      </c>
      <c r="K77" s="65">
        <f>Matching_Engine!$Y$77</f>
        <v>65</v>
      </c>
      <c r="L77" s="65">
        <f>Matching_Engine!$AE$77</f>
        <v>80</v>
      </c>
      <c r="M77" s="65" t="str">
        <f>Matching_Engine!$AM$77</f>
        <v>None</v>
      </c>
      <c r="N77" s="65">
        <f>Matching_Engine!$AT$77</f>
        <v>50</v>
      </c>
      <c r="O77" s="65" t="str">
        <f ca="1">Matching_Engine!$AX$77</f>
        <v>Excluded</v>
      </c>
      <c r="P77" s="63" t="str">
        <f ca="1">Matching_Engine!$AY$77</f>
        <v/>
      </c>
      <c r="Q77" s="42" t="str">
        <f>Matching_Engine!$AZ$77</f>
        <v>BRAND-C|KOL-12</v>
      </c>
      <c r="R77" s="42" t="str">
        <f>Matching_Engine!$BB$77</f>
        <v>Fitness</v>
      </c>
    </row>
    <row r="78" spans="1:18">
      <c r="A78" s="42" t="str">
        <f>Matching_Engine!$B$78</f>
        <v>Rasa Nusantara</v>
      </c>
      <c r="B78" s="42" t="str">
        <f>Matching_Engine!$D$78</f>
        <v>Kevin Halim</v>
      </c>
      <c r="C78" s="42" t="str">
        <f>Matching_Engine!$E$78</f>
        <v>@kevinstyleid</v>
      </c>
      <c r="D78" s="42" t="str">
        <f>Matching_Engine!$G$78</f>
        <v>Fashion</v>
      </c>
      <c r="E78" s="65">
        <f ca="1">Matching_Engine!$O$78</f>
        <v>78</v>
      </c>
      <c r="F78" s="65">
        <f>Matching_Engine!$P$78</f>
        <v>66</v>
      </c>
      <c r="G78" s="65">
        <f>Matching_Engine!$Q$78</f>
        <v>100</v>
      </c>
      <c r="H78" s="65">
        <f>Matching_Engine!$R$78</f>
        <v>20</v>
      </c>
      <c r="I78" s="65">
        <f>Matching_Engine!$M$78</f>
        <v>40</v>
      </c>
      <c r="J78" s="65">
        <f ca="1">Matching_Engine!$S$78</f>
        <v>67</v>
      </c>
      <c r="K78" s="65">
        <f>Matching_Engine!$Y$78</f>
        <v>60</v>
      </c>
      <c r="L78" s="65">
        <f>Matching_Engine!$AE$78</f>
        <v>86</v>
      </c>
      <c r="M78" s="65" t="str">
        <f>Matching_Engine!$AM$78</f>
        <v>None</v>
      </c>
      <c r="N78" s="65">
        <f>Matching_Engine!$AT$78</f>
        <v>46</v>
      </c>
      <c r="O78" s="65" t="str">
        <f ca="1">Matching_Engine!$AX$78</f>
        <v>Excluded</v>
      </c>
      <c r="P78" s="63" t="str">
        <f ca="1">Matching_Engine!$AY$78</f>
        <v/>
      </c>
      <c r="Q78" s="42" t="str">
        <f>Matching_Engine!$AZ$78</f>
        <v>BRAND-C|KOL-13</v>
      </c>
      <c r="R78" s="42" t="str">
        <f>Matching_Engine!$BB$78</f>
        <v>Fashion</v>
      </c>
    </row>
    <row r="79" spans="1:18">
      <c r="A79" s="42" t="str">
        <f>Matching_Engine!$B$79</f>
        <v>Rasa Nusantara</v>
      </c>
      <c r="B79" s="42" t="str">
        <f>Matching_Engine!$D$79</f>
        <v>Zahra Amelia</v>
      </c>
      <c r="C79" s="42" t="str">
        <f>Matching_Engine!$E$79</f>
        <v>@zahrahijabstyle</v>
      </c>
      <c r="D79" s="42" t="str">
        <f>Matching_Engine!$G$79</f>
        <v>Fashion</v>
      </c>
      <c r="E79" s="65">
        <f ca="1">Matching_Engine!$O$79</f>
        <v>88</v>
      </c>
      <c r="F79" s="65">
        <f>Matching_Engine!$P$79</f>
        <v>48</v>
      </c>
      <c r="G79" s="65">
        <f>Matching_Engine!$Q$79</f>
        <v>100</v>
      </c>
      <c r="H79" s="65">
        <f>Matching_Engine!$R$79</f>
        <v>20</v>
      </c>
      <c r="I79" s="65">
        <f>Matching_Engine!$M$79</f>
        <v>20</v>
      </c>
      <c r="J79" s="65">
        <f ca="1">Matching_Engine!$S$79</f>
        <v>69</v>
      </c>
      <c r="K79" s="65">
        <f>Matching_Engine!$Y$79</f>
        <v>35</v>
      </c>
      <c r="L79" s="65">
        <f>Matching_Engine!$AE$79</f>
        <v>62</v>
      </c>
      <c r="M79" s="65" t="str">
        <f>Matching_Engine!$AM$79</f>
        <v>Low</v>
      </c>
      <c r="N79" s="65">
        <f>Matching_Engine!$AT$79</f>
        <v>39</v>
      </c>
      <c r="O79" s="65" t="str">
        <f ca="1">Matching_Engine!$AX$79</f>
        <v>Excluded</v>
      </c>
      <c r="P79" s="63" t="str">
        <f ca="1">Matching_Engine!$AY$79</f>
        <v/>
      </c>
      <c r="Q79" s="42" t="str">
        <f>Matching_Engine!$AZ$79</f>
        <v>BRAND-C|KOL-14</v>
      </c>
      <c r="R79" s="42" t="str">
        <f>Matching_Engine!$BB$79</f>
        <v>Fashion</v>
      </c>
    </row>
    <row r="80" spans="1:18">
      <c r="A80" s="42" t="str">
        <f>Matching_Engine!$B$80</f>
        <v>Rasa Nusantara</v>
      </c>
      <c r="B80" s="42" t="str">
        <f>Matching_Engine!$D$80</f>
        <v>Andini Rahma</v>
      </c>
      <c r="C80" s="42" t="str">
        <f>Matching_Engine!$E$80</f>
        <v>@andinidaily</v>
      </c>
      <c r="D80" s="42" t="str">
        <f>Matching_Engine!$G$80</f>
        <v>Lifestyle</v>
      </c>
      <c r="E80" s="65">
        <f ca="1">Matching_Engine!$O$80</f>
        <v>94</v>
      </c>
      <c r="F80" s="65">
        <f>Matching_Engine!$P$80</f>
        <v>44</v>
      </c>
      <c r="G80" s="65">
        <f>Matching_Engine!$Q$80</f>
        <v>100</v>
      </c>
      <c r="H80" s="65">
        <f>Matching_Engine!$R$80</f>
        <v>40</v>
      </c>
      <c r="I80" s="65">
        <f>Matching_Engine!$M$80</f>
        <v>40</v>
      </c>
      <c r="J80" s="65">
        <f ca="1">Matching_Engine!$S$80</f>
        <v>76</v>
      </c>
      <c r="K80" s="65">
        <f>Matching_Engine!$Y$80</f>
        <v>100</v>
      </c>
      <c r="L80" s="65">
        <f>Matching_Engine!$AE$80</f>
        <v>79</v>
      </c>
      <c r="M80" s="65" t="str">
        <f>Matching_Engine!$AM$80</f>
        <v>None</v>
      </c>
      <c r="N80" s="65">
        <f>Matching_Engine!$AT$80</f>
        <v>72</v>
      </c>
      <c r="O80" s="65" t="str">
        <f ca="1">Matching_Engine!$AX$80</f>
        <v>Recommended</v>
      </c>
      <c r="P80" s="63">
        <f ca="1">Matching_Engine!$AY$80</f>
        <v>72</v>
      </c>
      <c r="Q80" s="42" t="str">
        <f>Matching_Engine!$AZ$80</f>
        <v>BRAND-C|KOL-15</v>
      </c>
      <c r="R80" s="42" t="str">
        <f>Matching_Engine!$BB$80</f>
        <v>Lifestyle</v>
      </c>
    </row>
    <row r="81" spans="1:18">
      <c r="A81" s="42" t="str">
        <f>Matching_Engine!$B$81</f>
        <v>Rasa Nusantara</v>
      </c>
      <c r="B81" s="42" t="str">
        <f>Matching_Engine!$D$81</f>
        <v>Yoga Pratama</v>
      </c>
      <c r="C81" s="42" t="str">
        <f>Matching_Engine!$E$81</f>
        <v>@yogaminimal</v>
      </c>
      <c r="D81" s="42" t="str">
        <f>Matching_Engine!$G$81</f>
        <v>Lifestyle</v>
      </c>
      <c r="E81" s="65">
        <f ca="1">Matching_Engine!$O$81</f>
        <v>88</v>
      </c>
      <c r="F81" s="65">
        <f>Matching_Engine!$P$81</f>
        <v>100</v>
      </c>
      <c r="G81" s="65">
        <f>Matching_Engine!$Q$81</f>
        <v>100</v>
      </c>
      <c r="H81" s="65">
        <f>Matching_Engine!$R$81</f>
        <v>0</v>
      </c>
      <c r="I81" s="65">
        <f>Matching_Engine!$M$81</f>
        <v>0</v>
      </c>
      <c r="J81" s="65">
        <f ca="1">Matching_Engine!$S$81</f>
        <v>70</v>
      </c>
      <c r="K81" s="65">
        <f>Matching_Engine!$Y$81</f>
        <v>65</v>
      </c>
      <c r="L81" s="65">
        <f>Matching_Engine!$AE$81</f>
        <v>72</v>
      </c>
      <c r="M81" s="65" t="str">
        <f>Matching_Engine!$AM$81</f>
        <v>Low</v>
      </c>
      <c r="N81" s="65">
        <f>Matching_Engine!$AT$81</f>
        <v>57</v>
      </c>
      <c r="O81" s="65" t="str">
        <f ca="1">Matching_Engine!$AX$81</f>
        <v>Excluded</v>
      </c>
      <c r="P81" s="63" t="str">
        <f ca="1">Matching_Engine!$AY$81</f>
        <v/>
      </c>
      <c r="Q81" s="42" t="str">
        <f>Matching_Engine!$AZ$81</f>
        <v>BRAND-C|KOL-16</v>
      </c>
      <c r="R81" s="42" t="str">
        <f>Matching_Engine!$BB$81</f>
        <v>Lifestyle</v>
      </c>
    </row>
    <row r="82" spans="1:18">
      <c r="A82" s="42" t="str">
        <f>Matching_Engine!$B$82</f>
        <v>Rasa Nusantara</v>
      </c>
      <c r="B82" s="42" t="str">
        <f>Matching_Engine!$D$82</f>
        <v>Sinta Maharani</v>
      </c>
      <c r="C82" s="42" t="str">
        <f>Matching_Engine!$E$82</f>
        <v>@sintajalanjalan</v>
      </c>
      <c r="D82" s="42" t="str">
        <f>Matching_Engine!$G$82</f>
        <v>Travel</v>
      </c>
      <c r="E82" s="65">
        <f ca="1">Matching_Engine!$O$82</f>
        <v>100</v>
      </c>
      <c r="F82" s="65">
        <f>Matching_Engine!$P$82</f>
        <v>66</v>
      </c>
      <c r="G82" s="65">
        <f>Matching_Engine!$Q$82</f>
        <v>100</v>
      </c>
      <c r="H82" s="65">
        <f>Matching_Engine!$R$82</f>
        <v>60</v>
      </c>
      <c r="I82" s="65">
        <f>Matching_Engine!$M$82</f>
        <v>60</v>
      </c>
      <c r="J82" s="65">
        <f ca="1">Matching_Engine!$S$82</f>
        <v>86</v>
      </c>
      <c r="K82" s="65">
        <f>Matching_Engine!$Y$82</f>
        <v>35</v>
      </c>
      <c r="L82" s="65">
        <f>Matching_Engine!$AE$82</f>
        <v>79</v>
      </c>
      <c r="M82" s="65" t="str">
        <f>Matching_Engine!$AM$82</f>
        <v>None</v>
      </c>
      <c r="N82" s="65">
        <f>Matching_Engine!$AT$82</f>
        <v>61</v>
      </c>
      <c r="O82" s="65" t="str">
        <f ca="1">Matching_Engine!$AX$82</f>
        <v>Excluded</v>
      </c>
      <c r="P82" s="63" t="str">
        <f ca="1">Matching_Engine!$AY$82</f>
        <v/>
      </c>
      <c r="Q82" s="42" t="str">
        <f>Matching_Engine!$AZ$82</f>
        <v>BRAND-C|KOL-17</v>
      </c>
      <c r="R82" s="42" t="str">
        <f>Matching_Engine!$BB$82</f>
        <v>Travel</v>
      </c>
    </row>
    <row r="83" spans="1:18">
      <c r="A83" s="42" t="str">
        <f>Matching_Engine!$B$83</f>
        <v>Rasa Nusantara</v>
      </c>
      <c r="B83" s="42" t="str">
        <f>Matching_Engine!$D$83</f>
        <v>Reza Fadillah</v>
      </c>
      <c r="C83" s="42" t="str">
        <f>Matching_Engine!$E$83</f>
        <v>@rezabudgettrip</v>
      </c>
      <c r="D83" s="42" t="str">
        <f>Matching_Engine!$G$83</f>
        <v>Travel</v>
      </c>
      <c r="E83" s="65">
        <f ca="1">Matching_Engine!$O$83</f>
        <v>91</v>
      </c>
      <c r="F83" s="65">
        <f>Matching_Engine!$P$83</f>
        <v>90</v>
      </c>
      <c r="G83" s="65">
        <f>Matching_Engine!$Q$83</f>
        <v>100</v>
      </c>
      <c r="H83" s="65">
        <f>Matching_Engine!$R$83</f>
        <v>60</v>
      </c>
      <c r="I83" s="65">
        <f>Matching_Engine!$M$83</f>
        <v>60</v>
      </c>
      <c r="J83" s="65">
        <f ca="1">Matching_Engine!$S$83</f>
        <v>85</v>
      </c>
      <c r="K83" s="65">
        <f>Matching_Engine!$Y$83</f>
        <v>95</v>
      </c>
      <c r="L83" s="65">
        <f>Matching_Engine!$AE$83</f>
        <v>82</v>
      </c>
      <c r="M83" s="65" t="str">
        <f>Matching_Engine!$AM$83</f>
        <v>None</v>
      </c>
      <c r="N83" s="65">
        <f>Matching_Engine!$AT$83</f>
        <v>75</v>
      </c>
      <c r="O83" s="65" t="str">
        <f ca="1">Matching_Engine!$AX$83</f>
        <v>Recommended</v>
      </c>
      <c r="P83" s="63">
        <f ca="1">Matching_Engine!$AY$83</f>
        <v>78</v>
      </c>
      <c r="Q83" s="42" t="str">
        <f>Matching_Engine!$AZ$83</f>
        <v>BRAND-C|KOL-18</v>
      </c>
      <c r="R83" s="42" t="str">
        <f>Matching_Engine!$BB$83</f>
        <v>Travel</v>
      </c>
    </row>
    <row r="84" spans="1:18">
      <c r="A84" s="42" t="str">
        <f>Matching_Engine!$B$84</f>
        <v>Rasa Nusantara</v>
      </c>
      <c r="B84" s="42" t="str">
        <f>Matching_Engine!$D$84</f>
        <v>Putri Amanda</v>
      </c>
      <c r="C84" s="42" t="str">
        <f>Matching_Engine!$E$84</f>
        <v>@putrimomlife</v>
      </c>
      <c r="D84" s="42" t="str">
        <f>Matching_Engine!$G$84</f>
        <v>Parenting</v>
      </c>
      <c r="E84" s="65">
        <f ca="1">Matching_Engine!$O$84</f>
        <v>100</v>
      </c>
      <c r="F84" s="65">
        <f>Matching_Engine!$P$84</f>
        <v>50</v>
      </c>
      <c r="G84" s="65">
        <f>Matching_Engine!$Q$84</f>
        <v>100</v>
      </c>
      <c r="H84" s="65">
        <f>Matching_Engine!$R$84</f>
        <v>20</v>
      </c>
      <c r="I84" s="65">
        <f>Matching_Engine!$M$84</f>
        <v>40</v>
      </c>
      <c r="J84" s="65">
        <f ca="1">Matching_Engine!$S$84</f>
        <v>74</v>
      </c>
      <c r="K84" s="65">
        <f>Matching_Engine!$Y$84</f>
        <v>100</v>
      </c>
      <c r="L84" s="65">
        <f>Matching_Engine!$AE$84</f>
        <v>79</v>
      </c>
      <c r="M84" s="65" t="str">
        <f>Matching_Engine!$AM$84</f>
        <v>None</v>
      </c>
      <c r="N84" s="65">
        <f>Matching_Engine!$AT$84</f>
        <v>61</v>
      </c>
      <c r="O84" s="65" t="str">
        <f ca="1">Matching_Engine!$AX$84</f>
        <v>Excluded</v>
      </c>
      <c r="P84" s="63" t="str">
        <f ca="1">Matching_Engine!$AY$84</f>
        <v/>
      </c>
      <c r="Q84" s="42" t="str">
        <f>Matching_Engine!$AZ$84</f>
        <v>BRAND-C|KOL-19</v>
      </c>
      <c r="R84" s="42" t="str">
        <f>Matching_Engine!$BB$84</f>
        <v>Parenting</v>
      </c>
    </row>
    <row r="85" spans="1:18">
      <c r="A85" s="42" t="str">
        <f>Matching_Engine!$B$85</f>
        <v>Rasa Nusantara</v>
      </c>
      <c r="B85" s="42" t="str">
        <f>Matching_Engine!$D$85</f>
        <v>Hendra Wijoyo</v>
      </c>
      <c r="C85" s="42" t="str">
        <f>Matching_Engine!$E$85</f>
        <v>@hendrakeluarga</v>
      </c>
      <c r="D85" s="42" t="str">
        <f>Matching_Engine!$G$85</f>
        <v>Parenting</v>
      </c>
      <c r="E85" s="65">
        <f ca="1">Matching_Engine!$O$85</f>
        <v>100</v>
      </c>
      <c r="F85" s="65">
        <f>Matching_Engine!$P$85</f>
        <v>94</v>
      </c>
      <c r="G85" s="65">
        <f>Matching_Engine!$Q$85</f>
        <v>100</v>
      </c>
      <c r="H85" s="65">
        <f>Matching_Engine!$R$85</f>
        <v>40</v>
      </c>
      <c r="I85" s="65">
        <f>Matching_Engine!$M$85</f>
        <v>40</v>
      </c>
      <c r="J85" s="65">
        <f ca="1">Matching_Engine!$S$85</f>
        <v>84</v>
      </c>
      <c r="K85" s="65">
        <f>Matching_Engine!$Y$85</f>
        <v>70</v>
      </c>
      <c r="L85" s="65">
        <f>Matching_Engine!$AE$85</f>
        <v>85</v>
      </c>
      <c r="M85" s="65" t="str">
        <f>Matching_Engine!$AM$85</f>
        <v>None</v>
      </c>
      <c r="N85" s="65">
        <f>Matching_Engine!$AT$85</f>
        <v>56</v>
      </c>
      <c r="O85" s="65" t="str">
        <f ca="1">Matching_Engine!$AX$85</f>
        <v>Consider</v>
      </c>
      <c r="P85" s="63">
        <f ca="1">Matching_Engine!$AY$85</f>
        <v>67</v>
      </c>
      <c r="Q85" s="42" t="str">
        <f>Matching_Engine!$AZ$85</f>
        <v>BRAND-C|KOL-20</v>
      </c>
      <c r="R85" s="42" t="str">
        <f>Matching_Engine!$BB$85</f>
        <v>Parenting</v>
      </c>
    </row>
    <row r="86" spans="1:18">
      <c r="A86" s="42" t="str">
        <f>Matching_Engine!$B$86</f>
        <v>Rasa Nusantara</v>
      </c>
      <c r="B86" s="42" t="str">
        <f>Matching_Engine!$D$86</f>
        <v>Bagas Setiawan</v>
      </c>
      <c r="C86" s="42" t="str">
        <f>Matching_Engine!$E$86</f>
        <v>@bagaskomedi</v>
      </c>
      <c r="D86" s="42" t="str">
        <f>Matching_Engine!$G$86</f>
        <v>Entertainment</v>
      </c>
      <c r="E86" s="65">
        <f ca="1">Matching_Engine!$O$86</f>
        <v>78</v>
      </c>
      <c r="F86" s="65">
        <f>Matching_Engine!$P$86</f>
        <v>92</v>
      </c>
      <c r="G86" s="65">
        <f>Matching_Engine!$Q$86</f>
        <v>100</v>
      </c>
      <c r="H86" s="65">
        <f>Matching_Engine!$R$86</f>
        <v>40</v>
      </c>
      <c r="I86" s="65">
        <f>Matching_Engine!$M$86</f>
        <v>60</v>
      </c>
      <c r="J86" s="65">
        <f ca="1">Matching_Engine!$S$86</f>
        <v>75</v>
      </c>
      <c r="K86" s="65">
        <f>Matching_Engine!$Y$86</f>
        <v>70</v>
      </c>
      <c r="L86" s="65">
        <f>Matching_Engine!$AE$86</f>
        <v>76</v>
      </c>
      <c r="M86" s="65" t="str">
        <f>Matching_Engine!$AM$86</f>
        <v>Medium</v>
      </c>
      <c r="N86" s="65">
        <f>Matching_Engine!$AT$86</f>
        <v>51</v>
      </c>
      <c r="O86" s="65" t="str">
        <f ca="1">Matching_Engine!$AX$86</f>
        <v>Excluded</v>
      </c>
      <c r="P86" s="63" t="str">
        <f ca="1">Matching_Engine!$AY$86</f>
        <v/>
      </c>
      <c r="Q86" s="42" t="str">
        <f>Matching_Engine!$AZ$86</f>
        <v>BRAND-C|KOL-21</v>
      </c>
      <c r="R86" s="42" t="str">
        <f>Matching_Engine!$BB$86</f>
        <v>Entertainment</v>
      </c>
    </row>
    <row r="87" spans="1:18">
      <c r="A87" s="42" t="str">
        <f>Matching_Engine!$B$87</f>
        <v>Rasa Nusantara</v>
      </c>
      <c r="B87" s="42" t="str">
        <f>Matching_Engine!$D$87</f>
        <v>Nabila Kirana</v>
      </c>
      <c r="C87" s="42" t="str">
        <f>Matching_Engine!$E$87</f>
        <v>@nabilamusic</v>
      </c>
      <c r="D87" s="42" t="str">
        <f>Matching_Engine!$G$87</f>
        <v>Entertainment</v>
      </c>
      <c r="E87" s="65">
        <f ca="1">Matching_Engine!$O$87</f>
        <v>79</v>
      </c>
      <c r="F87" s="65">
        <f>Matching_Engine!$P$87</f>
        <v>68</v>
      </c>
      <c r="G87" s="65">
        <f>Matching_Engine!$Q$87</f>
        <v>100</v>
      </c>
      <c r="H87" s="65">
        <f>Matching_Engine!$R$87</f>
        <v>20</v>
      </c>
      <c r="I87" s="65">
        <f>Matching_Engine!$M$87</f>
        <v>40</v>
      </c>
      <c r="J87" s="65">
        <f ca="1">Matching_Engine!$S$87</f>
        <v>68</v>
      </c>
      <c r="K87" s="65">
        <f>Matching_Engine!$Y$87</f>
        <v>60</v>
      </c>
      <c r="L87" s="65">
        <f>Matching_Engine!$AE$87</f>
        <v>75</v>
      </c>
      <c r="M87" s="65" t="str">
        <f>Matching_Engine!$AM$87</f>
        <v>High</v>
      </c>
      <c r="N87" s="65">
        <f>Matching_Engine!$AT$87</f>
        <v>45</v>
      </c>
      <c r="O87" s="65" t="str">
        <f ca="1">Matching_Engine!$AX$87</f>
        <v>Excluded</v>
      </c>
      <c r="P87" s="63" t="str">
        <f ca="1">Matching_Engine!$AY$87</f>
        <v/>
      </c>
      <c r="Q87" s="42" t="str">
        <f>Matching_Engine!$AZ$87</f>
        <v>BRAND-C|KOL-22</v>
      </c>
      <c r="R87" s="42" t="str">
        <f>Matching_Engine!$BB$87</f>
        <v>Entertainment</v>
      </c>
    </row>
    <row r="88" spans="1:18">
      <c r="A88" s="42" t="str">
        <f>Matching_Engine!$B$88</f>
        <v>Rasa Nusantara</v>
      </c>
      <c r="B88" s="42" t="str">
        <f>Matching_Engine!$D$88</f>
        <v>Arya Mahendra</v>
      </c>
      <c r="C88" s="42" t="str">
        <f>Matching_Engine!$E$88</f>
        <v>@aryagaming</v>
      </c>
      <c r="D88" s="42" t="str">
        <f>Matching_Engine!$G$88</f>
        <v>Gaming</v>
      </c>
      <c r="E88" s="65">
        <f ca="1">Matching_Engine!$O$88</f>
        <v>77</v>
      </c>
      <c r="F88" s="65">
        <f>Matching_Engine!$P$88</f>
        <v>56</v>
      </c>
      <c r="G88" s="65">
        <f>Matching_Engine!$Q$88</f>
        <v>100</v>
      </c>
      <c r="H88" s="65">
        <f>Matching_Engine!$R$88</f>
        <v>20</v>
      </c>
      <c r="I88" s="65">
        <f>Matching_Engine!$M$88</f>
        <v>40</v>
      </c>
      <c r="J88" s="65">
        <f ca="1">Matching_Engine!$S$88</f>
        <v>66</v>
      </c>
      <c r="K88" s="65">
        <f>Matching_Engine!$Y$88</f>
        <v>75</v>
      </c>
      <c r="L88" s="65">
        <f>Matching_Engine!$AE$88</f>
        <v>73</v>
      </c>
      <c r="M88" s="65" t="str">
        <f>Matching_Engine!$AM$88</f>
        <v>None</v>
      </c>
      <c r="N88" s="65">
        <f>Matching_Engine!$AT$88</f>
        <v>38</v>
      </c>
      <c r="O88" s="65" t="str">
        <f ca="1">Matching_Engine!$AX$88</f>
        <v>Excluded</v>
      </c>
      <c r="P88" s="63" t="str">
        <f ca="1">Matching_Engine!$AY$88</f>
        <v/>
      </c>
      <c r="Q88" s="42" t="str">
        <f>Matching_Engine!$AZ$88</f>
        <v>BRAND-C|KOL-23</v>
      </c>
      <c r="R88" s="42" t="str">
        <f>Matching_Engine!$BB$88</f>
        <v>Gaming</v>
      </c>
    </row>
    <row r="89" spans="1:18">
      <c r="A89" s="42" t="str">
        <f>Matching_Engine!$B$89</f>
        <v>Rasa Nusantara</v>
      </c>
      <c r="B89" s="42" t="str">
        <f>Matching_Engine!$D$89</f>
        <v>Rio Saputra</v>
      </c>
      <c r="C89" s="42" t="str">
        <f>Matching_Engine!$E$89</f>
        <v>@riopcbuild</v>
      </c>
      <c r="D89" s="42" t="str">
        <f>Matching_Engine!$G$89</f>
        <v>Gaming</v>
      </c>
      <c r="E89" s="65">
        <f ca="1">Matching_Engine!$O$89</f>
        <v>91</v>
      </c>
      <c r="F89" s="65">
        <f>Matching_Engine!$P$89</f>
        <v>58</v>
      </c>
      <c r="G89" s="65">
        <f>Matching_Engine!$Q$89</f>
        <v>100</v>
      </c>
      <c r="H89" s="65">
        <f>Matching_Engine!$R$89</f>
        <v>20</v>
      </c>
      <c r="I89" s="65">
        <f>Matching_Engine!$M$89</f>
        <v>40</v>
      </c>
      <c r="J89" s="65">
        <f ca="1">Matching_Engine!$S$89</f>
        <v>71</v>
      </c>
      <c r="K89" s="65">
        <f>Matching_Engine!$Y$89</f>
        <v>45</v>
      </c>
      <c r="L89" s="65">
        <f>Matching_Engine!$AE$89</f>
        <v>74</v>
      </c>
      <c r="M89" s="65" t="str">
        <f>Matching_Engine!$AM$89</f>
        <v>None</v>
      </c>
      <c r="N89" s="65">
        <f>Matching_Engine!$AT$89</f>
        <v>29</v>
      </c>
      <c r="O89" s="65" t="str">
        <f ca="1">Matching_Engine!$AX$89</f>
        <v>Low Priority</v>
      </c>
      <c r="P89" s="63">
        <f ca="1">Matching_Engine!$AY$89</f>
        <v>50</v>
      </c>
      <c r="Q89" s="42" t="str">
        <f>Matching_Engine!$AZ$89</f>
        <v>BRAND-C|KOL-24</v>
      </c>
      <c r="R89" s="42" t="str">
        <f>Matching_Engine!$BB$89</f>
        <v>Gaming</v>
      </c>
    </row>
    <row r="90" spans="1:18">
      <c r="A90" s="42" t="str">
        <f>Matching_Engine!$B$90</f>
        <v>Rasa Nusantara</v>
      </c>
      <c r="B90" s="42" t="str">
        <f>Matching_Engine!$D$90</f>
        <v>Denny Kurniawan</v>
      </c>
      <c r="C90" s="42" t="str">
        <f>Matching_Engine!$E$90</f>
        <v>@dennymotovlog</v>
      </c>
      <c r="D90" s="42" t="str">
        <f>Matching_Engine!$G$90</f>
        <v>Automotive</v>
      </c>
      <c r="E90" s="65">
        <f ca="1">Matching_Engine!$O$90</f>
        <v>97</v>
      </c>
      <c r="F90" s="65">
        <f>Matching_Engine!$P$90</f>
        <v>44</v>
      </c>
      <c r="G90" s="65">
        <f>Matching_Engine!$Q$90</f>
        <v>100</v>
      </c>
      <c r="H90" s="65">
        <f>Matching_Engine!$R$90</f>
        <v>40</v>
      </c>
      <c r="I90" s="65">
        <f>Matching_Engine!$M$90</f>
        <v>40</v>
      </c>
      <c r="J90" s="65">
        <f ca="1">Matching_Engine!$S$90</f>
        <v>77</v>
      </c>
      <c r="K90" s="65">
        <f>Matching_Engine!$Y$90</f>
        <v>95</v>
      </c>
      <c r="L90" s="65">
        <f>Matching_Engine!$AE$90</f>
        <v>73</v>
      </c>
      <c r="M90" s="65" t="str">
        <f>Matching_Engine!$AM$90</f>
        <v>Low</v>
      </c>
      <c r="N90" s="65">
        <f>Matching_Engine!$AT$90</f>
        <v>49</v>
      </c>
      <c r="O90" s="65" t="str">
        <f ca="1">Matching_Engine!$AX$90</f>
        <v>Excluded</v>
      </c>
      <c r="P90" s="63" t="str">
        <f ca="1">Matching_Engine!$AY$90</f>
        <v/>
      </c>
      <c r="Q90" s="42" t="str">
        <f>Matching_Engine!$AZ$90</f>
        <v>BRAND-C|KOL-25</v>
      </c>
      <c r="R90" s="42" t="str">
        <f>Matching_Engine!$BB$90</f>
        <v>Automotive</v>
      </c>
    </row>
    <row r="91" spans="1:18">
      <c r="A91" s="42" t="str">
        <f>Matching_Engine!$B$91</f>
        <v>Rasa Nusantara</v>
      </c>
      <c r="B91" s="42" t="str">
        <f>Matching_Engine!$D$91</f>
        <v>Wisnu Adi</v>
      </c>
      <c r="C91" s="42" t="str">
        <f>Matching_Engine!$E$91</f>
        <v>@wisnucarreview</v>
      </c>
      <c r="D91" s="42" t="str">
        <f>Matching_Engine!$G$91</f>
        <v>Automotive</v>
      </c>
      <c r="E91" s="65">
        <f ca="1">Matching_Engine!$O$91</f>
        <v>100</v>
      </c>
      <c r="F91" s="65">
        <f>Matching_Engine!$P$91</f>
        <v>58</v>
      </c>
      <c r="G91" s="65">
        <f>Matching_Engine!$Q$91</f>
        <v>100</v>
      </c>
      <c r="H91" s="65">
        <f>Matching_Engine!$R$91</f>
        <v>20</v>
      </c>
      <c r="I91" s="65">
        <f>Matching_Engine!$M$91</f>
        <v>0</v>
      </c>
      <c r="J91" s="65">
        <f ca="1">Matching_Engine!$S$91</f>
        <v>75</v>
      </c>
      <c r="K91" s="65">
        <f>Matching_Engine!$Y$91</f>
        <v>45</v>
      </c>
      <c r="L91" s="65">
        <f>Matching_Engine!$AE$91</f>
        <v>64</v>
      </c>
      <c r="M91" s="65" t="str">
        <f>Matching_Engine!$AM$91</f>
        <v>Low</v>
      </c>
      <c r="N91" s="65">
        <f>Matching_Engine!$AT$91</f>
        <v>27</v>
      </c>
      <c r="O91" s="65" t="str">
        <f ca="1">Matching_Engine!$AX$91</f>
        <v>Excluded</v>
      </c>
      <c r="P91" s="63" t="str">
        <f ca="1">Matching_Engine!$AY$91</f>
        <v/>
      </c>
      <c r="Q91" s="42" t="str">
        <f>Matching_Engine!$AZ$91</f>
        <v>BRAND-C|KOL-26</v>
      </c>
      <c r="R91" s="42" t="str">
        <f>Matching_Engine!$BB$91</f>
        <v>Automotive</v>
      </c>
    </row>
    <row r="92" spans="1:18">
      <c r="A92" s="42" t="str">
        <f>Matching_Engine!$B$92</f>
        <v>Rasa Nusantara</v>
      </c>
      <c r="B92" s="42" t="str">
        <f>Matching_Engine!$D$92</f>
        <v>Laras Ayu</v>
      </c>
      <c r="C92" s="42" t="str">
        <f>Matching_Engine!$E$92</f>
        <v>@larasinterior</v>
      </c>
      <c r="D92" s="42" t="str">
        <f>Matching_Engine!$G$92</f>
        <v>Home &amp; Living</v>
      </c>
      <c r="E92" s="65">
        <f ca="1">Matching_Engine!$O$92</f>
        <v>100</v>
      </c>
      <c r="F92" s="65">
        <f>Matching_Engine!$P$92</f>
        <v>52</v>
      </c>
      <c r="G92" s="65">
        <f>Matching_Engine!$Q$92</f>
        <v>100</v>
      </c>
      <c r="H92" s="65">
        <f>Matching_Engine!$R$92</f>
        <v>20</v>
      </c>
      <c r="I92" s="65">
        <f>Matching_Engine!$M$92</f>
        <v>40</v>
      </c>
      <c r="J92" s="65">
        <f ca="1">Matching_Engine!$S$92</f>
        <v>74</v>
      </c>
      <c r="K92" s="65">
        <f>Matching_Engine!$Y$92</f>
        <v>35</v>
      </c>
      <c r="L92" s="65">
        <f>Matching_Engine!$AE$92</f>
        <v>88</v>
      </c>
      <c r="M92" s="65" t="str">
        <f>Matching_Engine!$AM$92</f>
        <v>None</v>
      </c>
      <c r="N92" s="65">
        <f>Matching_Engine!$AT$92</f>
        <v>44</v>
      </c>
      <c r="O92" s="65" t="str">
        <f ca="1">Matching_Engine!$AX$92</f>
        <v>Low Priority</v>
      </c>
      <c r="P92" s="63">
        <f ca="1">Matching_Engine!$AY$92</f>
        <v>59</v>
      </c>
      <c r="Q92" s="42" t="str">
        <f>Matching_Engine!$AZ$92</f>
        <v>BRAND-C|KOL-27</v>
      </c>
      <c r="R92" s="42" t="str">
        <f>Matching_Engine!$BB$92</f>
        <v>Home &amp; Living</v>
      </c>
    </row>
    <row r="93" spans="1:18">
      <c r="A93" s="42" t="str">
        <f>Matching_Engine!$B$93</f>
        <v>Rasa Nusantara</v>
      </c>
      <c r="B93" s="42" t="str">
        <f>Matching_Engine!$D$93</f>
        <v>Tiara Nisrina</v>
      </c>
      <c r="C93" s="42" t="str">
        <f>Matching_Engine!$E$93</f>
        <v>@tiararapihin</v>
      </c>
      <c r="D93" s="42" t="str">
        <f>Matching_Engine!$G$93</f>
        <v>Home &amp; Living</v>
      </c>
      <c r="E93" s="65">
        <f ca="1">Matching_Engine!$O$93</f>
        <v>89</v>
      </c>
      <c r="F93" s="65">
        <f>Matching_Engine!$P$93</f>
        <v>34</v>
      </c>
      <c r="G93" s="65">
        <f>Matching_Engine!$Q$93</f>
        <v>100</v>
      </c>
      <c r="H93" s="65">
        <f>Matching_Engine!$R$93</f>
        <v>20</v>
      </c>
      <c r="I93" s="65">
        <f>Matching_Engine!$M$93</f>
        <v>40</v>
      </c>
      <c r="J93" s="65">
        <f ca="1">Matching_Engine!$S$93</f>
        <v>68</v>
      </c>
      <c r="K93" s="65">
        <f>Matching_Engine!$Y$93</f>
        <v>100</v>
      </c>
      <c r="L93" s="65">
        <f>Matching_Engine!$AE$93</f>
        <v>81</v>
      </c>
      <c r="M93" s="65" t="str">
        <f>Matching_Engine!$AM$93</f>
        <v>None</v>
      </c>
      <c r="N93" s="65">
        <f>Matching_Engine!$AT$93</f>
        <v>55</v>
      </c>
      <c r="O93" s="65" t="str">
        <f ca="1">Matching_Engine!$AX$93</f>
        <v>Excluded</v>
      </c>
      <c r="P93" s="63" t="str">
        <f ca="1">Matching_Engine!$AY$93</f>
        <v/>
      </c>
      <c r="Q93" s="42" t="str">
        <f>Matching_Engine!$AZ$93</f>
        <v>BRAND-C|KOL-28</v>
      </c>
      <c r="R93" s="42" t="str">
        <f>Matching_Engine!$BB$93</f>
        <v>Home &amp; Living</v>
      </c>
    </row>
    <row r="94" spans="1:18">
      <c r="A94" s="42" t="str">
        <f>Matching_Engine!$B$94</f>
        <v>Rasa Nusantara</v>
      </c>
      <c r="B94" s="42" t="str">
        <f>Matching_Engine!$D$94</f>
        <v>Sekar Ayu</v>
      </c>
      <c r="C94" s="42" t="str">
        <f>Matching_Engine!$E$94</f>
        <v>@sekarskincarejujur</v>
      </c>
      <c r="D94" s="42" t="str">
        <f>Matching_Engine!$G$94</f>
        <v>Beauty</v>
      </c>
      <c r="E94" s="65">
        <f ca="1">Matching_Engine!$O$94</f>
        <v>88</v>
      </c>
      <c r="F94" s="65">
        <f>Matching_Engine!$P$94</f>
        <v>52</v>
      </c>
      <c r="G94" s="65">
        <f>Matching_Engine!$Q$94</f>
        <v>100</v>
      </c>
      <c r="H94" s="65">
        <f>Matching_Engine!$R$94</f>
        <v>0</v>
      </c>
      <c r="I94" s="65">
        <f>Matching_Engine!$M$94</f>
        <v>20</v>
      </c>
      <c r="J94" s="65">
        <f ca="1">Matching_Engine!$S$94</f>
        <v>64</v>
      </c>
      <c r="K94" s="65">
        <f>Matching_Engine!$Y$94</f>
        <v>100</v>
      </c>
      <c r="L94" s="65">
        <f>Matching_Engine!$AE$94</f>
        <v>91</v>
      </c>
      <c r="M94" s="65" t="str">
        <f>Matching_Engine!$AM$94</f>
        <v>None</v>
      </c>
      <c r="N94" s="65">
        <f>Matching_Engine!$AT$94</f>
        <v>44</v>
      </c>
      <c r="O94" s="65" t="str">
        <f ca="1">Matching_Engine!$AX$94</f>
        <v>Low Priority</v>
      </c>
      <c r="P94" s="63">
        <f ca="1">Matching_Engine!$AY$94</f>
        <v>57</v>
      </c>
      <c r="Q94" s="42" t="str">
        <f>Matching_Engine!$AZ$94</f>
        <v>BRAND-C|KOL-29</v>
      </c>
      <c r="R94" s="42" t="str">
        <f>Matching_Engine!$BB$94</f>
        <v>Beauty</v>
      </c>
    </row>
    <row r="95" spans="1:18">
      <c r="A95" s="42" t="str">
        <f>Matching_Engine!$B$95</f>
        <v>Rasa Nusantara</v>
      </c>
      <c r="B95" s="42" t="str">
        <f>Matching_Engine!$D$95</f>
        <v>Ibnu Faisal</v>
      </c>
      <c r="C95" s="42" t="str">
        <f>Matching_Engine!$E$95</f>
        <v>@ibnubisnis</v>
      </c>
      <c r="D95" s="42" t="str">
        <f>Matching_Engine!$G$95</f>
        <v>Finance</v>
      </c>
      <c r="E95" s="65">
        <f ca="1">Matching_Engine!$O$95</f>
        <v>100</v>
      </c>
      <c r="F95" s="65">
        <f>Matching_Engine!$P$95</f>
        <v>42</v>
      </c>
      <c r="G95" s="65">
        <f>Matching_Engine!$Q$95</f>
        <v>100</v>
      </c>
      <c r="H95" s="65">
        <f>Matching_Engine!$R$95</f>
        <v>0</v>
      </c>
      <c r="I95" s="65">
        <f>Matching_Engine!$M$95</f>
        <v>0</v>
      </c>
      <c r="J95" s="65">
        <f ca="1">Matching_Engine!$S$95</f>
        <v>68</v>
      </c>
      <c r="K95" s="65">
        <f>Matching_Engine!$Y$95</f>
        <v>45</v>
      </c>
      <c r="L95" s="65">
        <f>Matching_Engine!$AE$95</f>
        <v>66</v>
      </c>
      <c r="M95" s="65" t="str">
        <f>Matching_Engine!$AM$95</f>
        <v>Low</v>
      </c>
      <c r="N95" s="65">
        <f>Matching_Engine!$AT$95</f>
        <v>26</v>
      </c>
      <c r="O95" s="65" t="str">
        <f ca="1">Matching_Engine!$AX$95</f>
        <v>Excluded</v>
      </c>
      <c r="P95" s="63" t="str">
        <f ca="1">Matching_Engine!$AY$95</f>
        <v/>
      </c>
      <c r="Q95" s="42" t="str">
        <f>Matching_Engine!$AZ$95</f>
        <v>BRAND-C|KOL-30</v>
      </c>
      <c r="R95" s="42" t="str">
        <f>Matching_Engine!$BB$95</f>
        <v>Finance</v>
      </c>
    </row>
    <row r="96" spans="1:18">
      <c r="A96" s="42">
        <f>Matching_Engine!$B$96</f>
        <v>0</v>
      </c>
      <c r="B96" s="42">
        <f>Matching_Engine!$D$96</f>
        <v>0</v>
      </c>
      <c r="C96" s="42">
        <f>Matching_Engine!$E$96</f>
        <v>0</v>
      </c>
      <c r="D96" s="42">
        <f>Matching_Engine!$G$96</f>
        <v>0</v>
      </c>
      <c r="E96" s="65">
        <f>Matching_Engine!$O$96</f>
        <v>0</v>
      </c>
      <c r="F96" s="65">
        <f>Matching_Engine!$P$96</f>
        <v>0</v>
      </c>
      <c r="G96" s="65">
        <f>Matching_Engine!$Q$96</f>
        <v>0</v>
      </c>
      <c r="H96" s="65">
        <f>Matching_Engine!$R$96</f>
        <v>0</v>
      </c>
      <c r="I96" s="65">
        <f>Matching_Engine!$M$96</f>
        <v>0</v>
      </c>
      <c r="J96" s="65">
        <f>Matching_Engine!$S$96</f>
        <v>0</v>
      </c>
      <c r="K96" s="65">
        <f>Matching_Engine!$Y$96</f>
        <v>0</v>
      </c>
      <c r="L96" s="65">
        <f>Matching_Engine!$AE$96</f>
        <v>0</v>
      </c>
      <c r="M96" s="65">
        <f>Matching_Engine!$AM$96</f>
        <v>0</v>
      </c>
      <c r="N96" s="65">
        <f>Matching_Engine!$AT$96</f>
        <v>0</v>
      </c>
      <c r="O96" s="65">
        <f>Matching_Engine!$AX$96</f>
        <v>0</v>
      </c>
      <c r="P96" s="63">
        <f>Matching_Engine!$AY$96</f>
        <v>0</v>
      </c>
      <c r="Q96" s="42">
        <f>Matching_Engine!$AZ$96</f>
        <v>0</v>
      </c>
      <c r="R96" s="42">
        <f>Matching_Engine!$BB$96</f>
        <v>0</v>
      </c>
    </row>
    <row r="97" spans="1:18">
      <c r="A97" s="42">
        <f>Matching_Engine!$B$97</f>
        <v>0</v>
      </c>
      <c r="B97" s="42">
        <f>Matching_Engine!$D$97</f>
        <v>0</v>
      </c>
      <c r="C97" s="42">
        <f>Matching_Engine!$E$97</f>
        <v>0</v>
      </c>
      <c r="D97" s="42">
        <f>Matching_Engine!$G$97</f>
        <v>0</v>
      </c>
      <c r="E97" s="65">
        <f>Matching_Engine!$O$97</f>
        <v>0</v>
      </c>
      <c r="F97" s="65">
        <f>Matching_Engine!$P$97</f>
        <v>0</v>
      </c>
      <c r="G97" s="65">
        <f>Matching_Engine!$Q$97</f>
        <v>0</v>
      </c>
      <c r="H97" s="65">
        <f>Matching_Engine!$R$97</f>
        <v>0</v>
      </c>
      <c r="I97" s="65">
        <f>Matching_Engine!$M$97</f>
        <v>0</v>
      </c>
      <c r="J97" s="65">
        <f>Matching_Engine!$S$97</f>
        <v>0</v>
      </c>
      <c r="K97" s="65">
        <f>Matching_Engine!$Y$97</f>
        <v>0</v>
      </c>
      <c r="L97" s="65">
        <f>Matching_Engine!$AE$97</f>
        <v>0</v>
      </c>
      <c r="M97" s="65">
        <f>Matching_Engine!$AM$97</f>
        <v>0</v>
      </c>
      <c r="N97" s="65">
        <f>Matching_Engine!$AT$97</f>
        <v>0</v>
      </c>
      <c r="O97" s="65">
        <f>Matching_Engine!$AX$97</f>
        <v>0</v>
      </c>
      <c r="P97" s="63">
        <f>Matching_Engine!$AY$97</f>
        <v>0</v>
      </c>
      <c r="Q97" s="42">
        <f>Matching_Engine!$AZ$97</f>
        <v>0</v>
      </c>
      <c r="R97" s="42">
        <f>Matching_Engine!$BB$97</f>
        <v>0</v>
      </c>
    </row>
    <row r="98" spans="1:18">
      <c r="A98" s="42">
        <f>Matching_Engine!$B$98</f>
        <v>0</v>
      </c>
      <c r="B98" s="42">
        <f>Matching_Engine!$D$98</f>
        <v>0</v>
      </c>
      <c r="C98" s="42">
        <f>Matching_Engine!$E$98</f>
        <v>0</v>
      </c>
      <c r="D98" s="42">
        <f>Matching_Engine!$G$98</f>
        <v>0</v>
      </c>
      <c r="E98" s="65">
        <f>Matching_Engine!$O$98</f>
        <v>0</v>
      </c>
      <c r="F98" s="65">
        <f>Matching_Engine!$P$98</f>
        <v>0</v>
      </c>
      <c r="G98" s="65">
        <f>Matching_Engine!$Q$98</f>
        <v>0</v>
      </c>
      <c r="H98" s="65">
        <f>Matching_Engine!$R$98</f>
        <v>0</v>
      </c>
      <c r="I98" s="65">
        <f>Matching_Engine!$M$98</f>
        <v>0</v>
      </c>
      <c r="J98" s="65">
        <f>Matching_Engine!$S$98</f>
        <v>0</v>
      </c>
      <c r="K98" s="65">
        <f>Matching_Engine!$Y$98</f>
        <v>0</v>
      </c>
      <c r="L98" s="65">
        <f>Matching_Engine!$AE$98</f>
        <v>0</v>
      </c>
      <c r="M98" s="65">
        <f>Matching_Engine!$AM$98</f>
        <v>0</v>
      </c>
      <c r="N98" s="65">
        <f>Matching_Engine!$AT$98</f>
        <v>0</v>
      </c>
      <c r="O98" s="65">
        <f>Matching_Engine!$AX$98</f>
        <v>0</v>
      </c>
      <c r="P98" s="63">
        <f>Matching_Engine!$AY$98</f>
        <v>0</v>
      </c>
      <c r="Q98" s="42">
        <f>Matching_Engine!$AZ$98</f>
        <v>0</v>
      </c>
      <c r="R98" s="42">
        <f>Matching_Engine!$BB$98</f>
        <v>0</v>
      </c>
    </row>
    <row r="99" spans="1:18">
      <c r="A99" s="42">
        <f>Matching_Engine!$B$99</f>
        <v>0</v>
      </c>
      <c r="B99" s="42">
        <f>Matching_Engine!$D$99</f>
        <v>0</v>
      </c>
      <c r="C99" s="42">
        <f>Matching_Engine!$E$99</f>
        <v>0</v>
      </c>
      <c r="D99" s="42">
        <f>Matching_Engine!$G$99</f>
        <v>0</v>
      </c>
      <c r="E99" s="65">
        <f>Matching_Engine!$O$99</f>
        <v>0</v>
      </c>
      <c r="F99" s="65">
        <f>Matching_Engine!$P$99</f>
        <v>0</v>
      </c>
      <c r="G99" s="65">
        <f>Matching_Engine!$Q$99</f>
        <v>0</v>
      </c>
      <c r="H99" s="65">
        <f>Matching_Engine!$R$99</f>
        <v>0</v>
      </c>
      <c r="I99" s="65">
        <f>Matching_Engine!$M$99</f>
        <v>0</v>
      </c>
      <c r="J99" s="65">
        <f>Matching_Engine!$S$99</f>
        <v>0</v>
      </c>
      <c r="K99" s="65">
        <f>Matching_Engine!$Y$99</f>
        <v>0</v>
      </c>
      <c r="L99" s="65">
        <f>Matching_Engine!$AE$99</f>
        <v>0</v>
      </c>
      <c r="M99" s="65">
        <f>Matching_Engine!$AM$99</f>
        <v>0</v>
      </c>
      <c r="N99" s="65">
        <f>Matching_Engine!$AT$99</f>
        <v>0</v>
      </c>
      <c r="O99" s="65">
        <f>Matching_Engine!$AX$99</f>
        <v>0</v>
      </c>
      <c r="P99" s="63">
        <f>Matching_Engine!$AY$99</f>
        <v>0</v>
      </c>
      <c r="Q99" s="42">
        <f>Matching_Engine!$AZ$99</f>
        <v>0</v>
      </c>
      <c r="R99" s="42">
        <f>Matching_Engine!$BB$99</f>
        <v>0</v>
      </c>
    </row>
    <row r="100" spans="1:18">
      <c r="A100" s="42">
        <f>Matching_Engine!$B$100</f>
        <v>0</v>
      </c>
      <c r="B100" s="42">
        <f>Matching_Engine!$D$100</f>
        <v>0</v>
      </c>
      <c r="C100" s="42">
        <f>Matching_Engine!$E$100</f>
        <v>0</v>
      </c>
      <c r="D100" s="42">
        <f>Matching_Engine!$G$100</f>
        <v>0</v>
      </c>
      <c r="E100" s="65">
        <f>Matching_Engine!$O$100</f>
        <v>0</v>
      </c>
      <c r="F100" s="65">
        <f>Matching_Engine!$P$100</f>
        <v>0</v>
      </c>
      <c r="G100" s="65">
        <f>Matching_Engine!$Q$100</f>
        <v>0</v>
      </c>
      <c r="H100" s="65">
        <f>Matching_Engine!$R$100</f>
        <v>0</v>
      </c>
      <c r="I100" s="65">
        <f>Matching_Engine!$M$100</f>
        <v>0</v>
      </c>
      <c r="J100" s="65">
        <f>Matching_Engine!$S$100</f>
        <v>0</v>
      </c>
      <c r="K100" s="65">
        <f>Matching_Engine!$Y$100</f>
        <v>0</v>
      </c>
      <c r="L100" s="65">
        <f>Matching_Engine!$AE$100</f>
        <v>0</v>
      </c>
      <c r="M100" s="65">
        <f>Matching_Engine!$AM$100</f>
        <v>0</v>
      </c>
      <c r="N100" s="65">
        <f>Matching_Engine!$AT$100</f>
        <v>0</v>
      </c>
      <c r="O100" s="65">
        <f>Matching_Engine!$AX$100</f>
        <v>0</v>
      </c>
      <c r="P100" s="63">
        <f>Matching_Engine!$AY$100</f>
        <v>0</v>
      </c>
      <c r="Q100" s="42">
        <f>Matching_Engine!$AZ$100</f>
        <v>0</v>
      </c>
      <c r="R100" s="42">
        <f>Matching_Engine!$BB$100</f>
        <v>0</v>
      </c>
    </row>
    <row r="101" spans="1:18">
      <c r="A101" s="42">
        <f>Matching_Engine!$B$101</f>
        <v>0</v>
      </c>
      <c r="B101" s="42">
        <f>Matching_Engine!$D$101</f>
        <v>0</v>
      </c>
      <c r="C101" s="42">
        <f>Matching_Engine!$E$101</f>
        <v>0</v>
      </c>
      <c r="D101" s="42">
        <f>Matching_Engine!$G$101</f>
        <v>0</v>
      </c>
      <c r="E101" s="65">
        <f>Matching_Engine!$O$101</f>
        <v>0</v>
      </c>
      <c r="F101" s="65">
        <f>Matching_Engine!$P$101</f>
        <v>0</v>
      </c>
      <c r="G101" s="65">
        <f>Matching_Engine!$Q$101</f>
        <v>0</v>
      </c>
      <c r="H101" s="65">
        <f>Matching_Engine!$R$101</f>
        <v>0</v>
      </c>
      <c r="I101" s="65">
        <f>Matching_Engine!$M$101</f>
        <v>0</v>
      </c>
      <c r="J101" s="65">
        <f>Matching_Engine!$S$101</f>
        <v>0</v>
      </c>
      <c r="K101" s="65">
        <f>Matching_Engine!$Y$101</f>
        <v>0</v>
      </c>
      <c r="L101" s="65">
        <f>Matching_Engine!$AE$101</f>
        <v>0</v>
      </c>
      <c r="M101" s="65">
        <f>Matching_Engine!$AM$101</f>
        <v>0</v>
      </c>
      <c r="N101" s="65">
        <f>Matching_Engine!$AT$101</f>
        <v>0</v>
      </c>
      <c r="O101" s="65">
        <f>Matching_Engine!$AX$101</f>
        <v>0</v>
      </c>
      <c r="P101" s="63">
        <f>Matching_Engine!$AY$101</f>
        <v>0</v>
      </c>
      <c r="Q101" s="42">
        <f>Matching_Engine!$AZ$101</f>
        <v>0</v>
      </c>
      <c r="R101" s="42">
        <f>Matching_Engine!$BB$101</f>
        <v>0</v>
      </c>
    </row>
    <row r="102" spans="1:18">
      <c r="A102" s="42">
        <f>Matching_Engine!$B$102</f>
        <v>0</v>
      </c>
      <c r="B102" s="42">
        <f>Matching_Engine!$D$102</f>
        <v>0</v>
      </c>
      <c r="C102" s="42">
        <f>Matching_Engine!$E$102</f>
        <v>0</v>
      </c>
      <c r="D102" s="42">
        <f>Matching_Engine!$G$102</f>
        <v>0</v>
      </c>
      <c r="E102" s="65">
        <f>Matching_Engine!$O$102</f>
        <v>0</v>
      </c>
      <c r="F102" s="65">
        <f>Matching_Engine!$P$102</f>
        <v>0</v>
      </c>
      <c r="G102" s="65">
        <f>Matching_Engine!$Q$102</f>
        <v>0</v>
      </c>
      <c r="H102" s="65">
        <f>Matching_Engine!$R$102</f>
        <v>0</v>
      </c>
      <c r="I102" s="65">
        <f>Matching_Engine!$M$102</f>
        <v>0</v>
      </c>
      <c r="J102" s="65">
        <f>Matching_Engine!$S$102</f>
        <v>0</v>
      </c>
      <c r="K102" s="65">
        <f>Matching_Engine!$Y$102</f>
        <v>0</v>
      </c>
      <c r="L102" s="65">
        <f>Matching_Engine!$AE$102</f>
        <v>0</v>
      </c>
      <c r="M102" s="65">
        <f>Matching_Engine!$AM$102</f>
        <v>0</v>
      </c>
      <c r="N102" s="65">
        <f>Matching_Engine!$AT$102</f>
        <v>0</v>
      </c>
      <c r="O102" s="65">
        <f>Matching_Engine!$AX$102</f>
        <v>0</v>
      </c>
      <c r="P102" s="63">
        <f>Matching_Engine!$AY$102</f>
        <v>0</v>
      </c>
      <c r="Q102" s="42">
        <f>Matching_Engine!$AZ$102</f>
        <v>0</v>
      </c>
      <c r="R102" s="42">
        <f>Matching_Engine!$BB$102</f>
        <v>0</v>
      </c>
    </row>
    <row r="103" spans="1:18">
      <c r="A103" s="42">
        <f>Matching_Engine!$B$103</f>
        <v>0</v>
      </c>
      <c r="B103" s="42">
        <f>Matching_Engine!$D$103</f>
        <v>0</v>
      </c>
      <c r="C103" s="42">
        <f>Matching_Engine!$E$103</f>
        <v>0</v>
      </c>
      <c r="D103" s="42">
        <f>Matching_Engine!$G$103</f>
        <v>0</v>
      </c>
      <c r="E103" s="65">
        <f>Matching_Engine!$O$103</f>
        <v>0</v>
      </c>
      <c r="F103" s="65">
        <f>Matching_Engine!$P$103</f>
        <v>0</v>
      </c>
      <c r="G103" s="65">
        <f>Matching_Engine!$Q$103</f>
        <v>0</v>
      </c>
      <c r="H103" s="65">
        <f>Matching_Engine!$R$103</f>
        <v>0</v>
      </c>
      <c r="I103" s="65">
        <f>Matching_Engine!$M$103</f>
        <v>0</v>
      </c>
      <c r="J103" s="65">
        <f>Matching_Engine!$S$103</f>
        <v>0</v>
      </c>
      <c r="K103" s="65">
        <f>Matching_Engine!$Y$103</f>
        <v>0</v>
      </c>
      <c r="L103" s="65">
        <f>Matching_Engine!$AE$103</f>
        <v>0</v>
      </c>
      <c r="M103" s="65">
        <f>Matching_Engine!$AM$103</f>
        <v>0</v>
      </c>
      <c r="N103" s="65">
        <f>Matching_Engine!$AT$103</f>
        <v>0</v>
      </c>
      <c r="O103" s="65">
        <f>Matching_Engine!$AX$103</f>
        <v>0</v>
      </c>
      <c r="P103" s="63">
        <f>Matching_Engine!$AY$103</f>
        <v>0</v>
      </c>
      <c r="Q103" s="42">
        <f>Matching_Engine!$AZ$103</f>
        <v>0</v>
      </c>
      <c r="R103" s="42">
        <f>Matching_Engine!$BB$103</f>
        <v>0</v>
      </c>
    </row>
    <row r="104" spans="1:18">
      <c r="A104" s="42">
        <f>Matching_Engine!$B$104</f>
        <v>0</v>
      </c>
      <c r="B104" s="42">
        <f>Matching_Engine!$D$104</f>
        <v>0</v>
      </c>
      <c r="C104" s="42">
        <f>Matching_Engine!$E$104</f>
        <v>0</v>
      </c>
      <c r="D104" s="42">
        <f>Matching_Engine!$G$104</f>
        <v>0</v>
      </c>
      <c r="E104" s="65">
        <f>Matching_Engine!$O$104</f>
        <v>0</v>
      </c>
      <c r="F104" s="65">
        <f>Matching_Engine!$P$104</f>
        <v>0</v>
      </c>
      <c r="G104" s="65">
        <f>Matching_Engine!$Q$104</f>
        <v>0</v>
      </c>
      <c r="H104" s="65">
        <f>Matching_Engine!$R$104</f>
        <v>0</v>
      </c>
      <c r="I104" s="65">
        <f>Matching_Engine!$M$104</f>
        <v>0</v>
      </c>
      <c r="J104" s="65">
        <f>Matching_Engine!$S$104</f>
        <v>0</v>
      </c>
      <c r="K104" s="65">
        <f>Matching_Engine!$Y$104</f>
        <v>0</v>
      </c>
      <c r="L104" s="65">
        <f>Matching_Engine!$AE$104</f>
        <v>0</v>
      </c>
      <c r="M104" s="65">
        <f>Matching_Engine!$AM$104</f>
        <v>0</v>
      </c>
      <c r="N104" s="65">
        <f>Matching_Engine!$AT$104</f>
        <v>0</v>
      </c>
      <c r="O104" s="65">
        <f>Matching_Engine!$AX$104</f>
        <v>0</v>
      </c>
      <c r="P104" s="63">
        <f>Matching_Engine!$AY$104</f>
        <v>0</v>
      </c>
      <c r="Q104" s="42">
        <f>Matching_Engine!$AZ$104</f>
        <v>0</v>
      </c>
      <c r="R104" s="42">
        <f>Matching_Engine!$BB$104</f>
        <v>0</v>
      </c>
    </row>
    <row r="105" spans="1:18">
      <c r="A105" s="42">
        <f>Matching_Engine!$B$105</f>
        <v>0</v>
      </c>
      <c r="B105" s="42">
        <f>Matching_Engine!$D$105</f>
        <v>0</v>
      </c>
      <c r="C105" s="42">
        <f>Matching_Engine!$E$105</f>
        <v>0</v>
      </c>
      <c r="D105" s="42">
        <f>Matching_Engine!$G$105</f>
        <v>0</v>
      </c>
      <c r="E105" s="65">
        <f>Matching_Engine!$O$105</f>
        <v>0</v>
      </c>
      <c r="F105" s="65">
        <f>Matching_Engine!$P$105</f>
        <v>0</v>
      </c>
      <c r="G105" s="65">
        <f>Matching_Engine!$Q$105</f>
        <v>0</v>
      </c>
      <c r="H105" s="65">
        <f>Matching_Engine!$R$105</f>
        <v>0</v>
      </c>
      <c r="I105" s="65">
        <f>Matching_Engine!$M$105</f>
        <v>0</v>
      </c>
      <c r="J105" s="65">
        <f>Matching_Engine!$S$105</f>
        <v>0</v>
      </c>
      <c r="K105" s="65">
        <f>Matching_Engine!$Y$105</f>
        <v>0</v>
      </c>
      <c r="L105" s="65">
        <f>Matching_Engine!$AE$105</f>
        <v>0</v>
      </c>
      <c r="M105" s="65">
        <f>Matching_Engine!$AM$105</f>
        <v>0</v>
      </c>
      <c r="N105" s="65">
        <f>Matching_Engine!$AT$105</f>
        <v>0</v>
      </c>
      <c r="O105" s="65">
        <f>Matching_Engine!$AX$105</f>
        <v>0</v>
      </c>
      <c r="P105" s="63">
        <f>Matching_Engine!$AY$105</f>
        <v>0</v>
      </c>
      <c r="Q105" s="42">
        <f>Matching_Engine!$AZ$105</f>
        <v>0</v>
      </c>
      <c r="R105" s="42">
        <f>Matching_Engine!$BB$105</f>
        <v>0</v>
      </c>
    </row>
    <row r="106" spans="1:18">
      <c r="A106" s="42">
        <f>Matching_Engine!$B$106</f>
        <v>0</v>
      </c>
      <c r="B106" s="42">
        <f>Matching_Engine!$D$106</f>
        <v>0</v>
      </c>
      <c r="C106" s="42">
        <f>Matching_Engine!$E$106</f>
        <v>0</v>
      </c>
      <c r="D106" s="42">
        <f>Matching_Engine!$G$106</f>
        <v>0</v>
      </c>
      <c r="E106" s="65">
        <f>Matching_Engine!$O$106</f>
        <v>0</v>
      </c>
      <c r="F106" s="65">
        <f>Matching_Engine!$P$106</f>
        <v>0</v>
      </c>
      <c r="G106" s="65">
        <f>Matching_Engine!$Q$106</f>
        <v>0</v>
      </c>
      <c r="H106" s="65">
        <f>Matching_Engine!$R$106</f>
        <v>0</v>
      </c>
      <c r="I106" s="65">
        <f>Matching_Engine!$M$106</f>
        <v>0</v>
      </c>
      <c r="J106" s="65">
        <f>Matching_Engine!$S$106</f>
        <v>0</v>
      </c>
      <c r="K106" s="65">
        <f>Matching_Engine!$Y$106</f>
        <v>0</v>
      </c>
      <c r="L106" s="65">
        <f>Matching_Engine!$AE$106</f>
        <v>0</v>
      </c>
      <c r="M106" s="65">
        <f>Matching_Engine!$AM$106</f>
        <v>0</v>
      </c>
      <c r="N106" s="65">
        <f>Matching_Engine!$AT$106</f>
        <v>0</v>
      </c>
      <c r="O106" s="65">
        <f>Matching_Engine!$AX$106</f>
        <v>0</v>
      </c>
      <c r="P106" s="63">
        <f>Matching_Engine!$AY$106</f>
        <v>0</v>
      </c>
      <c r="Q106" s="42">
        <f>Matching_Engine!$AZ$106</f>
        <v>0</v>
      </c>
      <c r="R106" s="42">
        <f>Matching_Engine!$BB$106</f>
        <v>0</v>
      </c>
    </row>
    <row r="107" spans="1:18">
      <c r="A107" s="42">
        <f>Matching_Engine!$B$107</f>
        <v>0</v>
      </c>
      <c r="B107" s="42">
        <f>Matching_Engine!$D$107</f>
        <v>0</v>
      </c>
      <c r="C107" s="42">
        <f>Matching_Engine!$E$107</f>
        <v>0</v>
      </c>
      <c r="D107" s="42">
        <f>Matching_Engine!$G$107</f>
        <v>0</v>
      </c>
      <c r="E107" s="65">
        <f>Matching_Engine!$O$107</f>
        <v>0</v>
      </c>
      <c r="F107" s="65">
        <f>Matching_Engine!$P$107</f>
        <v>0</v>
      </c>
      <c r="G107" s="65">
        <f>Matching_Engine!$Q$107</f>
        <v>0</v>
      </c>
      <c r="H107" s="65">
        <f>Matching_Engine!$R$107</f>
        <v>0</v>
      </c>
      <c r="I107" s="65">
        <f>Matching_Engine!$M$107</f>
        <v>0</v>
      </c>
      <c r="J107" s="65">
        <f>Matching_Engine!$S$107</f>
        <v>0</v>
      </c>
      <c r="K107" s="65">
        <f>Matching_Engine!$Y$107</f>
        <v>0</v>
      </c>
      <c r="L107" s="65">
        <f>Matching_Engine!$AE$107</f>
        <v>0</v>
      </c>
      <c r="M107" s="65">
        <f>Matching_Engine!$AM$107</f>
        <v>0</v>
      </c>
      <c r="N107" s="65">
        <f>Matching_Engine!$AT$107</f>
        <v>0</v>
      </c>
      <c r="O107" s="65">
        <f>Matching_Engine!$AX$107</f>
        <v>0</v>
      </c>
      <c r="P107" s="63">
        <f>Matching_Engine!$AY$107</f>
        <v>0</v>
      </c>
      <c r="Q107" s="42">
        <f>Matching_Engine!$AZ$107</f>
        <v>0</v>
      </c>
      <c r="R107" s="42">
        <f>Matching_Engine!$BB$107</f>
        <v>0</v>
      </c>
    </row>
    <row r="108" spans="1:18">
      <c r="A108" s="42">
        <f>Matching_Engine!$B$108</f>
        <v>0</v>
      </c>
      <c r="B108" s="42">
        <f>Matching_Engine!$D$108</f>
        <v>0</v>
      </c>
      <c r="C108" s="42">
        <f>Matching_Engine!$E$108</f>
        <v>0</v>
      </c>
      <c r="D108" s="42">
        <f>Matching_Engine!$G$108</f>
        <v>0</v>
      </c>
      <c r="E108" s="65">
        <f>Matching_Engine!$O$108</f>
        <v>0</v>
      </c>
      <c r="F108" s="65">
        <f>Matching_Engine!$P$108</f>
        <v>0</v>
      </c>
      <c r="G108" s="65">
        <f>Matching_Engine!$Q$108</f>
        <v>0</v>
      </c>
      <c r="H108" s="65">
        <f>Matching_Engine!$R$108</f>
        <v>0</v>
      </c>
      <c r="I108" s="65">
        <f>Matching_Engine!$M$108</f>
        <v>0</v>
      </c>
      <c r="J108" s="65">
        <f>Matching_Engine!$S$108</f>
        <v>0</v>
      </c>
      <c r="K108" s="65">
        <f>Matching_Engine!$Y$108</f>
        <v>0</v>
      </c>
      <c r="L108" s="65">
        <f>Matching_Engine!$AE$108</f>
        <v>0</v>
      </c>
      <c r="M108" s="65">
        <f>Matching_Engine!$AM$108</f>
        <v>0</v>
      </c>
      <c r="N108" s="65">
        <f>Matching_Engine!$AT$108</f>
        <v>0</v>
      </c>
      <c r="O108" s="65">
        <f>Matching_Engine!$AX$108</f>
        <v>0</v>
      </c>
      <c r="P108" s="63">
        <f>Matching_Engine!$AY$108</f>
        <v>0</v>
      </c>
      <c r="Q108" s="42">
        <f>Matching_Engine!$AZ$108</f>
        <v>0</v>
      </c>
      <c r="R108" s="42">
        <f>Matching_Engine!$BB$108</f>
        <v>0</v>
      </c>
    </row>
    <row r="109" spans="1:18">
      <c r="A109" s="42">
        <f>Matching_Engine!$B$109</f>
        <v>0</v>
      </c>
      <c r="B109" s="42">
        <f>Matching_Engine!$D$109</f>
        <v>0</v>
      </c>
      <c r="C109" s="42">
        <f>Matching_Engine!$E$109</f>
        <v>0</v>
      </c>
      <c r="D109" s="42">
        <f>Matching_Engine!$G$109</f>
        <v>0</v>
      </c>
      <c r="E109" s="65">
        <f>Matching_Engine!$O$109</f>
        <v>0</v>
      </c>
      <c r="F109" s="65">
        <f>Matching_Engine!$P$109</f>
        <v>0</v>
      </c>
      <c r="G109" s="65">
        <f>Matching_Engine!$Q$109</f>
        <v>0</v>
      </c>
      <c r="H109" s="65">
        <f>Matching_Engine!$R$109</f>
        <v>0</v>
      </c>
      <c r="I109" s="65">
        <f>Matching_Engine!$M$109</f>
        <v>0</v>
      </c>
      <c r="J109" s="65">
        <f>Matching_Engine!$S$109</f>
        <v>0</v>
      </c>
      <c r="K109" s="65">
        <f>Matching_Engine!$Y$109</f>
        <v>0</v>
      </c>
      <c r="L109" s="65">
        <f>Matching_Engine!$AE$109</f>
        <v>0</v>
      </c>
      <c r="M109" s="65">
        <f>Matching_Engine!$AM$109</f>
        <v>0</v>
      </c>
      <c r="N109" s="65">
        <f>Matching_Engine!$AT$109</f>
        <v>0</v>
      </c>
      <c r="O109" s="65">
        <f>Matching_Engine!$AX$109</f>
        <v>0</v>
      </c>
      <c r="P109" s="63">
        <f>Matching_Engine!$AY$109</f>
        <v>0</v>
      </c>
      <c r="Q109" s="42">
        <f>Matching_Engine!$AZ$109</f>
        <v>0</v>
      </c>
      <c r="R109" s="42">
        <f>Matching_Engine!$BB$109</f>
        <v>0</v>
      </c>
    </row>
    <row r="110" spans="1:18">
      <c r="A110" s="42">
        <f>Matching_Engine!$B$110</f>
        <v>0</v>
      </c>
      <c r="B110" s="42">
        <f>Matching_Engine!$D$110</f>
        <v>0</v>
      </c>
      <c r="C110" s="42">
        <f>Matching_Engine!$E$110</f>
        <v>0</v>
      </c>
      <c r="D110" s="42">
        <f>Matching_Engine!$G$110</f>
        <v>0</v>
      </c>
      <c r="E110" s="65">
        <f>Matching_Engine!$O$110</f>
        <v>0</v>
      </c>
      <c r="F110" s="65">
        <f>Matching_Engine!$P$110</f>
        <v>0</v>
      </c>
      <c r="G110" s="65">
        <f>Matching_Engine!$Q$110</f>
        <v>0</v>
      </c>
      <c r="H110" s="65">
        <f>Matching_Engine!$R$110</f>
        <v>0</v>
      </c>
      <c r="I110" s="65">
        <f>Matching_Engine!$M$110</f>
        <v>0</v>
      </c>
      <c r="J110" s="65">
        <f>Matching_Engine!$S$110</f>
        <v>0</v>
      </c>
      <c r="K110" s="65">
        <f>Matching_Engine!$Y$110</f>
        <v>0</v>
      </c>
      <c r="L110" s="65">
        <f>Matching_Engine!$AE$110</f>
        <v>0</v>
      </c>
      <c r="M110" s="65">
        <f>Matching_Engine!$AM$110</f>
        <v>0</v>
      </c>
      <c r="N110" s="65">
        <f>Matching_Engine!$AT$110</f>
        <v>0</v>
      </c>
      <c r="O110" s="65">
        <f>Matching_Engine!$AX$110</f>
        <v>0</v>
      </c>
      <c r="P110" s="63">
        <f>Matching_Engine!$AY$110</f>
        <v>0</v>
      </c>
      <c r="Q110" s="42">
        <f>Matching_Engine!$AZ$110</f>
        <v>0</v>
      </c>
      <c r="R110" s="42">
        <f>Matching_Engine!$BB$110</f>
        <v>0</v>
      </c>
    </row>
    <row r="111" spans="1:18">
      <c r="A111" s="42">
        <f>Matching_Engine!$B$111</f>
        <v>0</v>
      </c>
      <c r="B111" s="42">
        <f>Matching_Engine!$D$111</f>
        <v>0</v>
      </c>
      <c r="C111" s="42">
        <f>Matching_Engine!$E$111</f>
        <v>0</v>
      </c>
      <c r="D111" s="42">
        <f>Matching_Engine!$G$111</f>
        <v>0</v>
      </c>
      <c r="E111" s="65">
        <f>Matching_Engine!$O$111</f>
        <v>0</v>
      </c>
      <c r="F111" s="65">
        <f>Matching_Engine!$P$111</f>
        <v>0</v>
      </c>
      <c r="G111" s="65">
        <f>Matching_Engine!$Q$111</f>
        <v>0</v>
      </c>
      <c r="H111" s="65">
        <f>Matching_Engine!$R$111</f>
        <v>0</v>
      </c>
      <c r="I111" s="65">
        <f>Matching_Engine!$M$111</f>
        <v>0</v>
      </c>
      <c r="J111" s="65">
        <f>Matching_Engine!$S$111</f>
        <v>0</v>
      </c>
      <c r="K111" s="65">
        <f>Matching_Engine!$Y$111</f>
        <v>0</v>
      </c>
      <c r="L111" s="65">
        <f>Matching_Engine!$AE$111</f>
        <v>0</v>
      </c>
      <c r="M111" s="65">
        <f>Matching_Engine!$AM$111</f>
        <v>0</v>
      </c>
      <c r="N111" s="65">
        <f>Matching_Engine!$AT$111</f>
        <v>0</v>
      </c>
      <c r="O111" s="65">
        <f>Matching_Engine!$AX$111</f>
        <v>0</v>
      </c>
      <c r="P111" s="63">
        <f>Matching_Engine!$AY$111</f>
        <v>0</v>
      </c>
      <c r="Q111" s="42">
        <f>Matching_Engine!$AZ$111</f>
        <v>0</v>
      </c>
      <c r="R111" s="42">
        <f>Matching_Engine!$BB$111</f>
        <v>0</v>
      </c>
    </row>
    <row r="112" spans="1:18">
      <c r="A112" s="42">
        <f>Matching_Engine!$B$112</f>
        <v>0</v>
      </c>
      <c r="B112" s="42">
        <f>Matching_Engine!$D$112</f>
        <v>0</v>
      </c>
      <c r="C112" s="42">
        <f>Matching_Engine!$E$112</f>
        <v>0</v>
      </c>
      <c r="D112" s="42">
        <f>Matching_Engine!$G$112</f>
        <v>0</v>
      </c>
      <c r="E112" s="65">
        <f>Matching_Engine!$O$112</f>
        <v>0</v>
      </c>
      <c r="F112" s="65">
        <f>Matching_Engine!$P$112</f>
        <v>0</v>
      </c>
      <c r="G112" s="65">
        <f>Matching_Engine!$Q$112</f>
        <v>0</v>
      </c>
      <c r="H112" s="65">
        <f>Matching_Engine!$R$112</f>
        <v>0</v>
      </c>
      <c r="I112" s="65">
        <f>Matching_Engine!$M$112</f>
        <v>0</v>
      </c>
      <c r="J112" s="65">
        <f>Matching_Engine!$S$112</f>
        <v>0</v>
      </c>
      <c r="K112" s="65">
        <f>Matching_Engine!$Y$112</f>
        <v>0</v>
      </c>
      <c r="L112" s="65">
        <f>Matching_Engine!$AE$112</f>
        <v>0</v>
      </c>
      <c r="M112" s="65">
        <f>Matching_Engine!$AM$112</f>
        <v>0</v>
      </c>
      <c r="N112" s="65">
        <f>Matching_Engine!$AT$112</f>
        <v>0</v>
      </c>
      <c r="O112" s="65">
        <f>Matching_Engine!$AX$112</f>
        <v>0</v>
      </c>
      <c r="P112" s="63">
        <f>Matching_Engine!$AY$112</f>
        <v>0</v>
      </c>
      <c r="Q112" s="42">
        <f>Matching_Engine!$AZ$112</f>
        <v>0</v>
      </c>
      <c r="R112" s="42">
        <f>Matching_Engine!$BB$112</f>
        <v>0</v>
      </c>
    </row>
    <row r="113" spans="1:18">
      <c r="A113" s="42">
        <f>Matching_Engine!$B$113</f>
        <v>0</v>
      </c>
      <c r="B113" s="42">
        <f>Matching_Engine!$D$113</f>
        <v>0</v>
      </c>
      <c r="C113" s="42">
        <f>Matching_Engine!$E$113</f>
        <v>0</v>
      </c>
      <c r="D113" s="42">
        <f>Matching_Engine!$G$113</f>
        <v>0</v>
      </c>
      <c r="E113" s="65">
        <f>Matching_Engine!$O$113</f>
        <v>0</v>
      </c>
      <c r="F113" s="65">
        <f>Matching_Engine!$P$113</f>
        <v>0</v>
      </c>
      <c r="G113" s="65">
        <f>Matching_Engine!$Q$113</f>
        <v>0</v>
      </c>
      <c r="H113" s="65">
        <f>Matching_Engine!$R$113</f>
        <v>0</v>
      </c>
      <c r="I113" s="65">
        <f>Matching_Engine!$M$113</f>
        <v>0</v>
      </c>
      <c r="J113" s="65">
        <f>Matching_Engine!$S$113</f>
        <v>0</v>
      </c>
      <c r="K113" s="65">
        <f>Matching_Engine!$Y$113</f>
        <v>0</v>
      </c>
      <c r="L113" s="65">
        <f>Matching_Engine!$AE$113</f>
        <v>0</v>
      </c>
      <c r="M113" s="65">
        <f>Matching_Engine!$AM$113</f>
        <v>0</v>
      </c>
      <c r="N113" s="65">
        <f>Matching_Engine!$AT$113</f>
        <v>0</v>
      </c>
      <c r="O113" s="65">
        <f>Matching_Engine!$AX$113</f>
        <v>0</v>
      </c>
      <c r="P113" s="63">
        <f>Matching_Engine!$AY$113</f>
        <v>0</v>
      </c>
      <c r="Q113" s="42">
        <f>Matching_Engine!$AZ$113</f>
        <v>0</v>
      </c>
      <c r="R113" s="42">
        <f>Matching_Engine!$BB$113</f>
        <v>0</v>
      </c>
    </row>
    <row r="114" spans="1:18">
      <c r="A114" s="42">
        <f>Matching_Engine!$B$114</f>
        <v>0</v>
      </c>
      <c r="B114" s="42">
        <f>Matching_Engine!$D$114</f>
        <v>0</v>
      </c>
      <c r="C114" s="42">
        <f>Matching_Engine!$E$114</f>
        <v>0</v>
      </c>
      <c r="D114" s="42">
        <f>Matching_Engine!$G$114</f>
        <v>0</v>
      </c>
      <c r="E114" s="65">
        <f>Matching_Engine!$O$114</f>
        <v>0</v>
      </c>
      <c r="F114" s="65">
        <f>Matching_Engine!$P$114</f>
        <v>0</v>
      </c>
      <c r="G114" s="65">
        <f>Matching_Engine!$Q$114</f>
        <v>0</v>
      </c>
      <c r="H114" s="65">
        <f>Matching_Engine!$R$114</f>
        <v>0</v>
      </c>
      <c r="I114" s="65">
        <f>Matching_Engine!$M$114</f>
        <v>0</v>
      </c>
      <c r="J114" s="65">
        <f>Matching_Engine!$S$114</f>
        <v>0</v>
      </c>
      <c r="K114" s="65">
        <f>Matching_Engine!$Y$114</f>
        <v>0</v>
      </c>
      <c r="L114" s="65">
        <f>Matching_Engine!$AE$114</f>
        <v>0</v>
      </c>
      <c r="M114" s="65">
        <f>Matching_Engine!$AM$114</f>
        <v>0</v>
      </c>
      <c r="N114" s="65">
        <f>Matching_Engine!$AT$114</f>
        <v>0</v>
      </c>
      <c r="O114" s="65">
        <f>Matching_Engine!$AX$114</f>
        <v>0</v>
      </c>
      <c r="P114" s="63">
        <f>Matching_Engine!$AY$114</f>
        <v>0</v>
      </c>
      <c r="Q114" s="42">
        <f>Matching_Engine!$AZ$114</f>
        <v>0</v>
      </c>
      <c r="R114" s="42">
        <f>Matching_Engine!$BB$114</f>
        <v>0</v>
      </c>
    </row>
    <row r="115" spans="1:18">
      <c r="A115" s="42">
        <f>Matching_Engine!$B$115</f>
        <v>0</v>
      </c>
      <c r="B115" s="42">
        <f>Matching_Engine!$D$115</f>
        <v>0</v>
      </c>
      <c r="C115" s="42">
        <f>Matching_Engine!$E$115</f>
        <v>0</v>
      </c>
      <c r="D115" s="42">
        <f>Matching_Engine!$G$115</f>
        <v>0</v>
      </c>
      <c r="E115" s="65">
        <f>Matching_Engine!$O$115</f>
        <v>0</v>
      </c>
      <c r="F115" s="65">
        <f>Matching_Engine!$P$115</f>
        <v>0</v>
      </c>
      <c r="G115" s="65">
        <f>Matching_Engine!$Q$115</f>
        <v>0</v>
      </c>
      <c r="H115" s="65">
        <f>Matching_Engine!$R$115</f>
        <v>0</v>
      </c>
      <c r="I115" s="65">
        <f>Matching_Engine!$M$115</f>
        <v>0</v>
      </c>
      <c r="J115" s="65">
        <f>Matching_Engine!$S$115</f>
        <v>0</v>
      </c>
      <c r="K115" s="65">
        <f>Matching_Engine!$Y$115</f>
        <v>0</v>
      </c>
      <c r="L115" s="65">
        <f>Matching_Engine!$AE$115</f>
        <v>0</v>
      </c>
      <c r="M115" s="65">
        <f>Matching_Engine!$AM$115</f>
        <v>0</v>
      </c>
      <c r="N115" s="65">
        <f>Matching_Engine!$AT$115</f>
        <v>0</v>
      </c>
      <c r="O115" s="65">
        <f>Matching_Engine!$AX$115</f>
        <v>0</v>
      </c>
      <c r="P115" s="63">
        <f>Matching_Engine!$AY$115</f>
        <v>0</v>
      </c>
      <c r="Q115" s="42">
        <f>Matching_Engine!$AZ$115</f>
        <v>0</v>
      </c>
      <c r="R115" s="42">
        <f>Matching_Engine!$BB$115</f>
        <v>0</v>
      </c>
    </row>
    <row r="116" spans="1:18">
      <c r="A116" s="42">
        <f>Matching_Engine!$B$116</f>
        <v>0</v>
      </c>
      <c r="B116" s="42">
        <f>Matching_Engine!$D$116</f>
        <v>0</v>
      </c>
      <c r="C116" s="42">
        <f>Matching_Engine!$E$116</f>
        <v>0</v>
      </c>
      <c r="D116" s="42">
        <f>Matching_Engine!$G$116</f>
        <v>0</v>
      </c>
      <c r="E116" s="65">
        <f>Matching_Engine!$O$116</f>
        <v>0</v>
      </c>
      <c r="F116" s="65">
        <f>Matching_Engine!$P$116</f>
        <v>0</v>
      </c>
      <c r="G116" s="65">
        <f>Matching_Engine!$Q$116</f>
        <v>0</v>
      </c>
      <c r="H116" s="65">
        <f>Matching_Engine!$R$116</f>
        <v>0</v>
      </c>
      <c r="I116" s="65">
        <f>Matching_Engine!$M$116</f>
        <v>0</v>
      </c>
      <c r="J116" s="65">
        <f>Matching_Engine!$S$116</f>
        <v>0</v>
      </c>
      <c r="K116" s="65">
        <f>Matching_Engine!$Y$116</f>
        <v>0</v>
      </c>
      <c r="L116" s="65">
        <f>Matching_Engine!$AE$116</f>
        <v>0</v>
      </c>
      <c r="M116" s="65">
        <f>Matching_Engine!$AM$116</f>
        <v>0</v>
      </c>
      <c r="N116" s="65">
        <f>Matching_Engine!$AT$116</f>
        <v>0</v>
      </c>
      <c r="O116" s="65">
        <f>Matching_Engine!$AX$116</f>
        <v>0</v>
      </c>
      <c r="P116" s="63">
        <f>Matching_Engine!$AY$116</f>
        <v>0</v>
      </c>
      <c r="Q116" s="42">
        <f>Matching_Engine!$AZ$116</f>
        <v>0</v>
      </c>
      <c r="R116" s="42">
        <f>Matching_Engine!$BB$116</f>
        <v>0</v>
      </c>
    </row>
    <row r="117" spans="1:18">
      <c r="A117" s="42">
        <f>Matching_Engine!$B$117</f>
        <v>0</v>
      </c>
      <c r="B117" s="42">
        <f>Matching_Engine!$D$117</f>
        <v>0</v>
      </c>
      <c r="C117" s="42">
        <f>Matching_Engine!$E$117</f>
        <v>0</v>
      </c>
      <c r="D117" s="42">
        <f>Matching_Engine!$G$117</f>
        <v>0</v>
      </c>
      <c r="E117" s="65">
        <f>Matching_Engine!$O$117</f>
        <v>0</v>
      </c>
      <c r="F117" s="65">
        <f>Matching_Engine!$P$117</f>
        <v>0</v>
      </c>
      <c r="G117" s="65">
        <f>Matching_Engine!$Q$117</f>
        <v>0</v>
      </c>
      <c r="H117" s="65">
        <f>Matching_Engine!$R$117</f>
        <v>0</v>
      </c>
      <c r="I117" s="65">
        <f>Matching_Engine!$M$117</f>
        <v>0</v>
      </c>
      <c r="J117" s="65">
        <f>Matching_Engine!$S$117</f>
        <v>0</v>
      </c>
      <c r="K117" s="65">
        <f>Matching_Engine!$Y$117</f>
        <v>0</v>
      </c>
      <c r="L117" s="65">
        <f>Matching_Engine!$AE$117</f>
        <v>0</v>
      </c>
      <c r="M117" s="65">
        <f>Matching_Engine!$AM$117</f>
        <v>0</v>
      </c>
      <c r="N117" s="65">
        <f>Matching_Engine!$AT$117</f>
        <v>0</v>
      </c>
      <c r="O117" s="65">
        <f>Matching_Engine!$AX$117</f>
        <v>0</v>
      </c>
      <c r="P117" s="63">
        <f>Matching_Engine!$AY$117</f>
        <v>0</v>
      </c>
      <c r="Q117" s="42">
        <f>Matching_Engine!$AZ$117</f>
        <v>0</v>
      </c>
      <c r="R117" s="42">
        <f>Matching_Engine!$BB$117</f>
        <v>0</v>
      </c>
    </row>
    <row r="118" spans="1:18">
      <c r="A118" s="42">
        <f>Matching_Engine!$B$118</f>
        <v>0</v>
      </c>
      <c r="B118" s="42">
        <f>Matching_Engine!$D$118</f>
        <v>0</v>
      </c>
      <c r="C118" s="42">
        <f>Matching_Engine!$E$118</f>
        <v>0</v>
      </c>
      <c r="D118" s="42">
        <f>Matching_Engine!$G$118</f>
        <v>0</v>
      </c>
      <c r="E118" s="65">
        <f>Matching_Engine!$O$118</f>
        <v>0</v>
      </c>
      <c r="F118" s="65">
        <f>Matching_Engine!$P$118</f>
        <v>0</v>
      </c>
      <c r="G118" s="65">
        <f>Matching_Engine!$Q$118</f>
        <v>0</v>
      </c>
      <c r="H118" s="65">
        <f>Matching_Engine!$R$118</f>
        <v>0</v>
      </c>
      <c r="I118" s="65">
        <f>Matching_Engine!$M$118</f>
        <v>0</v>
      </c>
      <c r="J118" s="65">
        <f>Matching_Engine!$S$118</f>
        <v>0</v>
      </c>
      <c r="K118" s="65">
        <f>Matching_Engine!$Y$118</f>
        <v>0</v>
      </c>
      <c r="L118" s="65">
        <f>Matching_Engine!$AE$118</f>
        <v>0</v>
      </c>
      <c r="M118" s="65">
        <f>Matching_Engine!$AM$118</f>
        <v>0</v>
      </c>
      <c r="N118" s="65">
        <f>Matching_Engine!$AT$118</f>
        <v>0</v>
      </c>
      <c r="O118" s="65">
        <f>Matching_Engine!$AX$118</f>
        <v>0</v>
      </c>
      <c r="P118" s="63">
        <f>Matching_Engine!$AY$118</f>
        <v>0</v>
      </c>
      <c r="Q118" s="42">
        <f>Matching_Engine!$AZ$118</f>
        <v>0</v>
      </c>
      <c r="R118" s="42">
        <f>Matching_Engine!$BB$118</f>
        <v>0</v>
      </c>
    </row>
    <row r="119" spans="1:18">
      <c r="A119" s="42">
        <f>Matching_Engine!$B$119</f>
        <v>0</v>
      </c>
      <c r="B119" s="42">
        <f>Matching_Engine!$D$119</f>
        <v>0</v>
      </c>
      <c r="C119" s="42">
        <f>Matching_Engine!$E$119</f>
        <v>0</v>
      </c>
      <c r="D119" s="42">
        <f>Matching_Engine!$G$119</f>
        <v>0</v>
      </c>
      <c r="E119" s="65">
        <f>Matching_Engine!$O$119</f>
        <v>0</v>
      </c>
      <c r="F119" s="65">
        <f>Matching_Engine!$P$119</f>
        <v>0</v>
      </c>
      <c r="G119" s="65">
        <f>Matching_Engine!$Q$119</f>
        <v>0</v>
      </c>
      <c r="H119" s="65">
        <f>Matching_Engine!$R$119</f>
        <v>0</v>
      </c>
      <c r="I119" s="65">
        <f>Matching_Engine!$M$119</f>
        <v>0</v>
      </c>
      <c r="J119" s="65">
        <f>Matching_Engine!$S$119</f>
        <v>0</v>
      </c>
      <c r="K119" s="65">
        <f>Matching_Engine!$Y$119</f>
        <v>0</v>
      </c>
      <c r="L119" s="65">
        <f>Matching_Engine!$AE$119</f>
        <v>0</v>
      </c>
      <c r="M119" s="65">
        <f>Matching_Engine!$AM$119</f>
        <v>0</v>
      </c>
      <c r="N119" s="65">
        <f>Matching_Engine!$AT$119</f>
        <v>0</v>
      </c>
      <c r="O119" s="65">
        <f>Matching_Engine!$AX$119</f>
        <v>0</v>
      </c>
      <c r="P119" s="63">
        <f>Matching_Engine!$AY$119</f>
        <v>0</v>
      </c>
      <c r="Q119" s="42">
        <f>Matching_Engine!$AZ$119</f>
        <v>0</v>
      </c>
      <c r="R119" s="42">
        <f>Matching_Engine!$BB$119</f>
        <v>0</v>
      </c>
    </row>
    <row r="120" spans="1:18">
      <c r="A120" s="42">
        <f>Matching_Engine!$B$120</f>
        <v>0</v>
      </c>
      <c r="B120" s="42">
        <f>Matching_Engine!$D$120</f>
        <v>0</v>
      </c>
      <c r="C120" s="42">
        <f>Matching_Engine!$E$120</f>
        <v>0</v>
      </c>
      <c r="D120" s="42">
        <f>Matching_Engine!$G$120</f>
        <v>0</v>
      </c>
      <c r="E120" s="65">
        <f>Matching_Engine!$O$120</f>
        <v>0</v>
      </c>
      <c r="F120" s="65">
        <f>Matching_Engine!$P$120</f>
        <v>0</v>
      </c>
      <c r="G120" s="65">
        <f>Matching_Engine!$Q$120</f>
        <v>0</v>
      </c>
      <c r="H120" s="65">
        <f>Matching_Engine!$R$120</f>
        <v>0</v>
      </c>
      <c r="I120" s="65">
        <f>Matching_Engine!$M$120</f>
        <v>0</v>
      </c>
      <c r="J120" s="65">
        <f>Matching_Engine!$S$120</f>
        <v>0</v>
      </c>
      <c r="K120" s="65">
        <f>Matching_Engine!$Y$120</f>
        <v>0</v>
      </c>
      <c r="L120" s="65">
        <f>Matching_Engine!$AE$120</f>
        <v>0</v>
      </c>
      <c r="M120" s="65">
        <f>Matching_Engine!$AM$120</f>
        <v>0</v>
      </c>
      <c r="N120" s="65">
        <f>Matching_Engine!$AT$120</f>
        <v>0</v>
      </c>
      <c r="O120" s="65">
        <f>Matching_Engine!$AX$120</f>
        <v>0</v>
      </c>
      <c r="P120" s="63">
        <f>Matching_Engine!$AY$120</f>
        <v>0</v>
      </c>
      <c r="Q120" s="42">
        <f>Matching_Engine!$AZ$120</f>
        <v>0</v>
      </c>
      <c r="R120" s="42">
        <f>Matching_Engine!$BB$120</f>
        <v>0</v>
      </c>
    </row>
    <row r="121" spans="1:18">
      <c r="A121" s="42">
        <f>Matching_Engine!$B$121</f>
        <v>0</v>
      </c>
      <c r="B121" s="42">
        <f>Matching_Engine!$D$121</f>
        <v>0</v>
      </c>
      <c r="C121" s="42">
        <f>Matching_Engine!$E$121</f>
        <v>0</v>
      </c>
      <c r="D121" s="42">
        <f>Matching_Engine!$G$121</f>
        <v>0</v>
      </c>
      <c r="E121" s="65">
        <f>Matching_Engine!$O$121</f>
        <v>0</v>
      </c>
      <c r="F121" s="65">
        <f>Matching_Engine!$P$121</f>
        <v>0</v>
      </c>
      <c r="G121" s="65">
        <f>Matching_Engine!$Q$121</f>
        <v>0</v>
      </c>
      <c r="H121" s="65">
        <f>Matching_Engine!$R$121</f>
        <v>0</v>
      </c>
      <c r="I121" s="65">
        <f>Matching_Engine!$M$121</f>
        <v>0</v>
      </c>
      <c r="J121" s="65">
        <f>Matching_Engine!$S$121</f>
        <v>0</v>
      </c>
      <c r="K121" s="65">
        <f>Matching_Engine!$Y$121</f>
        <v>0</v>
      </c>
      <c r="L121" s="65">
        <f>Matching_Engine!$AE$121</f>
        <v>0</v>
      </c>
      <c r="M121" s="65">
        <f>Matching_Engine!$AM$121</f>
        <v>0</v>
      </c>
      <c r="N121" s="65">
        <f>Matching_Engine!$AT$121</f>
        <v>0</v>
      </c>
      <c r="O121" s="65">
        <f>Matching_Engine!$AX$121</f>
        <v>0</v>
      </c>
      <c r="P121" s="63">
        <f>Matching_Engine!$AY$121</f>
        <v>0</v>
      </c>
      <c r="Q121" s="42">
        <f>Matching_Engine!$AZ$121</f>
        <v>0</v>
      </c>
      <c r="R121" s="42">
        <f>Matching_Engine!$BB$121</f>
        <v>0</v>
      </c>
    </row>
    <row r="122" spans="1:18">
      <c r="A122" s="42">
        <f>Matching_Engine!$B$122</f>
        <v>0</v>
      </c>
      <c r="B122" s="42">
        <f>Matching_Engine!$D$122</f>
        <v>0</v>
      </c>
      <c r="C122" s="42">
        <f>Matching_Engine!$E$122</f>
        <v>0</v>
      </c>
      <c r="D122" s="42">
        <f>Matching_Engine!$G$122</f>
        <v>0</v>
      </c>
      <c r="E122" s="65">
        <f>Matching_Engine!$O$122</f>
        <v>0</v>
      </c>
      <c r="F122" s="65">
        <f>Matching_Engine!$P$122</f>
        <v>0</v>
      </c>
      <c r="G122" s="65">
        <f>Matching_Engine!$Q$122</f>
        <v>0</v>
      </c>
      <c r="H122" s="65">
        <f>Matching_Engine!$R$122</f>
        <v>0</v>
      </c>
      <c r="I122" s="65">
        <f>Matching_Engine!$M$122</f>
        <v>0</v>
      </c>
      <c r="J122" s="65">
        <f>Matching_Engine!$S$122</f>
        <v>0</v>
      </c>
      <c r="K122" s="65">
        <f>Matching_Engine!$Y$122</f>
        <v>0</v>
      </c>
      <c r="L122" s="65">
        <f>Matching_Engine!$AE$122</f>
        <v>0</v>
      </c>
      <c r="M122" s="65">
        <f>Matching_Engine!$AM$122</f>
        <v>0</v>
      </c>
      <c r="N122" s="65">
        <f>Matching_Engine!$AT$122</f>
        <v>0</v>
      </c>
      <c r="O122" s="65">
        <f>Matching_Engine!$AX$122</f>
        <v>0</v>
      </c>
      <c r="P122" s="63">
        <f>Matching_Engine!$AY$122</f>
        <v>0</v>
      </c>
      <c r="Q122" s="42">
        <f>Matching_Engine!$AZ$122</f>
        <v>0</v>
      </c>
      <c r="R122" s="42">
        <f>Matching_Engine!$BB$122</f>
        <v>0</v>
      </c>
    </row>
    <row r="123" spans="1:18">
      <c r="A123" s="42">
        <f>Matching_Engine!$B$123</f>
        <v>0</v>
      </c>
      <c r="B123" s="42">
        <f>Matching_Engine!$D$123</f>
        <v>0</v>
      </c>
      <c r="C123" s="42">
        <f>Matching_Engine!$E$123</f>
        <v>0</v>
      </c>
      <c r="D123" s="42">
        <f>Matching_Engine!$G$123</f>
        <v>0</v>
      </c>
      <c r="E123" s="65">
        <f>Matching_Engine!$O$123</f>
        <v>0</v>
      </c>
      <c r="F123" s="65">
        <f>Matching_Engine!$P$123</f>
        <v>0</v>
      </c>
      <c r="G123" s="65">
        <f>Matching_Engine!$Q$123</f>
        <v>0</v>
      </c>
      <c r="H123" s="65">
        <f>Matching_Engine!$R$123</f>
        <v>0</v>
      </c>
      <c r="I123" s="65">
        <f>Matching_Engine!$M$123</f>
        <v>0</v>
      </c>
      <c r="J123" s="65">
        <f>Matching_Engine!$S$123</f>
        <v>0</v>
      </c>
      <c r="K123" s="65">
        <f>Matching_Engine!$Y$123</f>
        <v>0</v>
      </c>
      <c r="L123" s="65">
        <f>Matching_Engine!$AE$123</f>
        <v>0</v>
      </c>
      <c r="M123" s="65">
        <f>Matching_Engine!$AM$123</f>
        <v>0</v>
      </c>
      <c r="N123" s="65">
        <f>Matching_Engine!$AT$123</f>
        <v>0</v>
      </c>
      <c r="O123" s="65">
        <f>Matching_Engine!$AX$123</f>
        <v>0</v>
      </c>
      <c r="P123" s="63">
        <f>Matching_Engine!$AY$123</f>
        <v>0</v>
      </c>
      <c r="Q123" s="42">
        <f>Matching_Engine!$AZ$123</f>
        <v>0</v>
      </c>
      <c r="R123" s="42">
        <f>Matching_Engine!$BB$123</f>
        <v>0</v>
      </c>
    </row>
    <row r="124" spans="1:18">
      <c r="A124" s="42">
        <f>Matching_Engine!$B$124</f>
        <v>0</v>
      </c>
      <c r="B124" s="42">
        <f>Matching_Engine!$D$124</f>
        <v>0</v>
      </c>
      <c r="C124" s="42">
        <f>Matching_Engine!$E$124</f>
        <v>0</v>
      </c>
      <c r="D124" s="42">
        <f>Matching_Engine!$G$124</f>
        <v>0</v>
      </c>
      <c r="E124" s="65">
        <f>Matching_Engine!$O$124</f>
        <v>0</v>
      </c>
      <c r="F124" s="65">
        <f>Matching_Engine!$P$124</f>
        <v>0</v>
      </c>
      <c r="G124" s="65">
        <f>Matching_Engine!$Q$124</f>
        <v>0</v>
      </c>
      <c r="H124" s="65">
        <f>Matching_Engine!$R$124</f>
        <v>0</v>
      </c>
      <c r="I124" s="65">
        <f>Matching_Engine!$M$124</f>
        <v>0</v>
      </c>
      <c r="J124" s="65">
        <f>Matching_Engine!$S$124</f>
        <v>0</v>
      </c>
      <c r="K124" s="65">
        <f>Matching_Engine!$Y$124</f>
        <v>0</v>
      </c>
      <c r="L124" s="65">
        <f>Matching_Engine!$AE$124</f>
        <v>0</v>
      </c>
      <c r="M124" s="65">
        <f>Matching_Engine!$AM$124</f>
        <v>0</v>
      </c>
      <c r="N124" s="65">
        <f>Matching_Engine!$AT$124</f>
        <v>0</v>
      </c>
      <c r="O124" s="65">
        <f>Matching_Engine!$AX$124</f>
        <v>0</v>
      </c>
      <c r="P124" s="63">
        <f>Matching_Engine!$AY$124</f>
        <v>0</v>
      </c>
      <c r="Q124" s="42">
        <f>Matching_Engine!$AZ$124</f>
        <v>0</v>
      </c>
      <c r="R124" s="42">
        <f>Matching_Engine!$BB$124</f>
        <v>0</v>
      </c>
    </row>
    <row r="125" spans="1:18">
      <c r="A125" s="42">
        <f>Matching_Engine!$B$125</f>
        <v>0</v>
      </c>
      <c r="B125" s="42">
        <f>Matching_Engine!$D$125</f>
        <v>0</v>
      </c>
      <c r="C125" s="42">
        <f>Matching_Engine!$E$125</f>
        <v>0</v>
      </c>
      <c r="D125" s="42">
        <f>Matching_Engine!$G$125</f>
        <v>0</v>
      </c>
      <c r="E125" s="65">
        <f>Matching_Engine!$O$125</f>
        <v>0</v>
      </c>
      <c r="F125" s="65">
        <f>Matching_Engine!$P$125</f>
        <v>0</v>
      </c>
      <c r="G125" s="65">
        <f>Matching_Engine!$Q$125</f>
        <v>0</v>
      </c>
      <c r="H125" s="65">
        <f>Matching_Engine!$R$125</f>
        <v>0</v>
      </c>
      <c r="I125" s="65">
        <f>Matching_Engine!$M$125</f>
        <v>0</v>
      </c>
      <c r="J125" s="65">
        <f>Matching_Engine!$S$125</f>
        <v>0</v>
      </c>
      <c r="K125" s="65">
        <f>Matching_Engine!$Y$125</f>
        <v>0</v>
      </c>
      <c r="L125" s="65">
        <f>Matching_Engine!$AE$125</f>
        <v>0</v>
      </c>
      <c r="M125" s="65">
        <f>Matching_Engine!$AM$125</f>
        <v>0</v>
      </c>
      <c r="N125" s="65">
        <f>Matching_Engine!$AT$125</f>
        <v>0</v>
      </c>
      <c r="O125" s="65">
        <f>Matching_Engine!$AX$125</f>
        <v>0</v>
      </c>
      <c r="P125" s="63">
        <f>Matching_Engine!$AY$125</f>
        <v>0</v>
      </c>
      <c r="Q125" s="42">
        <f>Matching_Engine!$AZ$125</f>
        <v>0</v>
      </c>
      <c r="R125" s="42">
        <f>Matching_Engine!$BB$125</f>
        <v>0</v>
      </c>
    </row>
  </sheetData>
  <autoFilter xmlns:etc="http://www.wps.cn/officeDocument/2017/etCustomData" ref="A5:R125" etc:filterBottomFollowUsedRange="0">
    <extLst/>
  </autoFilter>
  <mergeCells count="6">
    <mergeCell ref="A1:R1"/>
    <mergeCell ref="A2:R2"/>
    <mergeCell ref="A4:D4"/>
    <mergeCell ref="E4:H4"/>
    <mergeCell ref="I4:N4"/>
    <mergeCell ref="O4:R4"/>
  </mergeCells>
  <pageMargins left="0.7" right="0.7" top="0.75" bottom="0.75" header="0.3" footer="0.3"/>
  <pageSetup paperSize="1" orientation="portrait"/>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125"/>
  <sheetViews>
    <sheetView workbookViewId="0">
      <pane xSplit="3" ySplit="5" topLeftCell="D6" activePane="bottomRight" state="frozen"/>
      <selection/>
      <selection pane="topRight"/>
      <selection pane="bottomLeft"/>
      <selection pane="bottomRight" activeCell="A1" sqref="A1:AA1"/>
    </sheetView>
  </sheetViews>
  <sheetFormatPr defaultColWidth="9" defaultRowHeight="15"/>
  <cols>
    <col min="1" max="5" width="18" customWidth="1"/>
    <col min="6" max="6" width="78" customWidth="1"/>
    <col min="7" max="8" width="18" customWidth="1"/>
    <col min="9" max="10" width="52" customWidth="1"/>
    <col min="11" max="11" width="18" customWidth="1"/>
    <col min="12" max="27" width="13" customWidth="1"/>
  </cols>
  <sheetData>
    <row r="1" ht="24" customHeight="1" spans="1:27">
      <c r="A1" s="38" t="s">
        <v>2756</v>
      </c>
    </row>
    <row r="2" ht="30" customHeight="1" spans="1:27">
      <c r="A2" s="39" t="s">
        <v>2757</v>
      </c>
    </row>
    <row r="4" ht="15.75" spans="1:27">
      <c r="A4" s="66" t="s">
        <v>2184</v>
      </c>
      <c r="B4" s="67"/>
      <c r="C4" s="67"/>
      <c r="D4" s="67"/>
      <c r="E4" s="67"/>
      <c r="F4" s="67"/>
      <c r="G4" s="67"/>
      <c r="H4" s="67"/>
      <c r="I4" s="67"/>
      <c r="J4" s="67"/>
      <c r="K4" s="68"/>
      <c r="L4" s="69" t="s">
        <v>2758</v>
      </c>
      <c r="M4" s="67"/>
      <c r="N4" s="67"/>
      <c r="O4" s="67"/>
      <c r="P4" s="67"/>
      <c r="Q4" s="67"/>
      <c r="R4" s="67"/>
      <c r="S4" s="67"/>
      <c r="T4" s="67"/>
      <c r="U4" s="67"/>
      <c r="V4" s="67"/>
      <c r="W4" s="67"/>
      <c r="X4" s="67"/>
      <c r="Y4" s="67"/>
      <c r="Z4" s="67"/>
      <c r="AA4" s="68"/>
    </row>
    <row r="5" ht="40" customHeight="1" spans="1:27">
      <c r="A5" s="41" t="s">
        <v>750</v>
      </c>
      <c r="B5" s="41" t="s">
        <v>1031</v>
      </c>
      <c r="C5" s="41" t="s">
        <v>415</v>
      </c>
      <c r="D5" s="41" t="s">
        <v>2755</v>
      </c>
      <c r="E5" s="41" t="s">
        <v>424</v>
      </c>
      <c r="F5" s="41" t="s">
        <v>2759</v>
      </c>
      <c r="G5" s="41" t="s">
        <v>2760</v>
      </c>
      <c r="H5" s="41" t="s">
        <v>2761</v>
      </c>
      <c r="I5" s="41" t="s">
        <v>2762</v>
      </c>
      <c r="J5" s="41" t="s">
        <v>797</v>
      </c>
      <c r="K5" s="41" t="s">
        <v>778</v>
      </c>
      <c r="L5" s="41" t="s">
        <v>2763</v>
      </c>
      <c r="M5" s="41" t="s">
        <v>2764</v>
      </c>
      <c r="N5" s="41" t="s">
        <v>2765</v>
      </c>
      <c r="O5" s="41" t="s">
        <v>2766</v>
      </c>
      <c r="P5" s="41" t="s">
        <v>2767</v>
      </c>
      <c r="Q5" s="41" t="s">
        <v>2768</v>
      </c>
      <c r="R5" s="41" t="s">
        <v>2769</v>
      </c>
      <c r="S5" s="41" t="s">
        <v>2770</v>
      </c>
      <c r="T5" s="41" t="s">
        <v>2771</v>
      </c>
      <c r="U5" s="41" t="s">
        <v>2772</v>
      </c>
      <c r="V5" s="41" t="s">
        <v>2773</v>
      </c>
      <c r="W5" s="41" t="s">
        <v>2774</v>
      </c>
      <c r="X5" s="41" t="s">
        <v>2775</v>
      </c>
      <c r="Y5" s="41" t="s">
        <v>2776</v>
      </c>
      <c r="Z5" s="41" t="s">
        <v>2777</v>
      </c>
      <c r="AA5" s="41" t="s">
        <v>2778</v>
      </c>
    </row>
    <row r="6" spans="1:27">
      <c r="A6" s="57" t="str">
        <f>Matching_Engine!$B$6</f>
        <v>Nusatech Cloud</v>
      </c>
      <c r="B6" s="57" t="str">
        <f>Matching_Engine!$D$6</f>
        <v>Ardi Nugraha</v>
      </c>
      <c r="C6" s="57" t="str">
        <f>Matching_Engine!$E$6</f>
        <v>@ardidigital</v>
      </c>
      <c r="D6" s="70">
        <f ca="1">Matching_Engine!$AY$6</f>
        <v>80</v>
      </c>
      <c r="E6" s="57" t="str">
        <f>Matching_Engine!$AZ$6</f>
        <v>BRAND-A|KOL-01</v>
      </c>
      <c r="F6" s="57" t="str">
        <f ca="1">IF(NOT(ISNUMBER(Matching_Engine!$AY$6)),"Not scored: no component of the model had data for this account, so no match can be claimed either way.",Matching_Engine!$AZ$6&amp;" — "&amp;Matching_Engine!$AY$6&amp;"/100 against "&amp;Matching_Engine!$B$6&amp;". "&amp;"Strongest factor "&amp;$S$6&amp;" at "&amp;$R$6&amp;"; weakest "&amp;$AA$6&amp;" at "&amp;$Z$6&amp;". "&amp;IF(AND(ISTEXT(Matching_Engine!$G$6),Matching_Engine!$G$6&lt;&gt;"N/A"),"Tagged category "&amp;Matching_Engine!$G$6&amp;" scores "&amp;IF(ISNUMBER(Matching_Engine!$J$6),Matching_Engine!$J$6,0)&amp;" against the brand category "&amp;Matching_Engine!$B$6&amp;" targets. ","Creator carries no category on record, so the category-driven parts fall back to neutral rather than penalising the creator. ")&amp;IF(ISNUMBER(Matching_Engine!$R$6),"Audience-interest overlap "&amp;Matching_Engine!$R$6&amp;". ","Audience interests unmeasured. ")&amp;IF(Matching_Engine!$AX$6&lt;100,"Scored on "&amp;Matching_Engine!$AX$6&amp;" of the 100 nominal weight points; the rest had no data.",""))</f>
        <v>BRAND-A|KOL-01 — 80/100 against Nusatech Cloud. Strongest factor Content &amp; Category Relevance at 85; weakest Brand &amp; Business Relevance at 60. Tagged category Tech scores 3,8 against the brand category Nusatech Cloud targets. Audience-interest overlap 60. </v>
      </c>
      <c r="G6" s="57" t="str">
        <f ca="1">IF(NOT(ISNUMBER(Matching_Engine!$AY$6)),"N/A",$S$6&amp;" ("&amp;$R$6&amp;"/100)")</f>
        <v>Content &amp; Category Relevance (85/100)</v>
      </c>
      <c r="H6" s="57" t="str">
        <f ca="1">IF(NOT(ISNUMBER(Matching_Engine!$AY$6)),"N/A",$AA$6&amp;" ("&amp;$Z$6&amp;"/100)")</f>
        <v>Brand &amp; Business Relevance (60/100)</v>
      </c>
      <c r="I6" s="57" t="str">
        <f ca="1">IF(NOT(ISNUMBER(Matching_Engine!$AY$6)),"No data to consider: this account has no measured signal.",IF($Z$6&lt;Lookup_Lists!$D$161,$AA$6&amp;" sits at "&amp;$Z$6&amp;", below the "&amp;Lookup_Lists!$D$161&amp;"-point consideration threshold"&amp;IF(Matching_Engine!$AF$6=0," · Brand Personality Fit could not be scored at all: no creator personality, tone, values or content-style column exists","")&amp;IF(Matching_Engine!$AI$6="N/A"," · posting cadence unusable, so Consistency is excluded from Performance","")&amp;".","No component falls below the "&amp;Lookup_Lists!$D$161&amp;"-point consideration threshold."))</f>
        <v>Brand &amp; Business Relevance sits at 60, below the 75-point consideration threshold.</v>
      </c>
      <c r="J6" s="57" t="str">
        <f ca="1">Matching_Engine!$AV$6&amp;" — "&amp;Matching_Engine!$AW$6&amp;IF(Matching_Engine!$BB$6="Limited Data"," Confidence is Limited Data: "&amp;Matching_Engine!$BA$6&amp;"% of tracked fields carry a value.","")</f>
        <v>PASS — </v>
      </c>
      <c r="K6" s="57" t="str">
        <f ca="1">IF(NOT(ISNUMBER(Matching_Engine!$AY$6)),"Do not shortlist on this data — re-scrape the account first.",IF(Matching_Engine!$AY$6&gt;=Lookup_Lists!$D$156,"Highly Recommended",IF(Matching_Engine!$AY$6&gt;=Lookup_Lists!$D$157,"Recommended",IF(Matching_Engine!$AY$6&gt;=Lookup_Lists!$D$158,"Consider","Low Priority")))&amp;IF(Matching_Engine!$AX$6&lt;100," (on partial data)",""))</f>
        <v>Recommended</v>
      </c>
      <c r="L6" s="71">
        <f>IF(ISNUMBER(Matching_Engine!$M$6),Matching_Engine!$M$6,-1)</f>
        <v>60</v>
      </c>
      <c r="M6" s="71">
        <f ca="1">IF(ISNUMBER(Matching_Engine!$S$6),Matching_Engine!$S$6,-1)</f>
        <v>83</v>
      </c>
      <c r="N6" s="71">
        <f>IF(ISNUMBER(Matching_Engine!$Y$6),Matching_Engine!$Y$6,-1)</f>
        <v>85</v>
      </c>
      <c r="O6" s="71">
        <f>IF(ISNUMBER(Matching_Engine!$AE$6),Matching_Engine!$AE$6,-1)</f>
        <v>83</v>
      </c>
      <c r="P6" s="71">
        <f>IF(ISNUMBER(Matching_Engine!$AM$6),Matching_Engine!$AM$6,-1)</f>
        <v>-1</v>
      </c>
      <c r="Q6" s="71">
        <f>IF(ISNUMBER(Matching_Engine!$AT$6),Matching_Engine!$AT$6,-1)</f>
        <v>81</v>
      </c>
      <c r="R6" s="71">
        <f ca="1">MAX($L$6:$Q$6)</f>
        <v>85</v>
      </c>
      <c r="S6" s="57" t="str">
        <f ca="1">INDEX({"Brand &amp; Business Relevance","Target Audience Relevance","Content &amp; Category Relevance","Brand Personality Fit","Performance Quality","Brand Safety"},MATCH($R$6,$L$6:$Q$6,0))</f>
        <v>Content &amp; Category Relevance</v>
      </c>
      <c r="T6" s="71">
        <f>IF(ISNUMBER(Matching_Engine!$M$6),Matching_Engine!$M$6,999)</f>
        <v>60</v>
      </c>
      <c r="U6" s="71">
        <f ca="1">IF(ISNUMBER(Matching_Engine!$S$6),Matching_Engine!$S$6,999)</f>
        <v>83</v>
      </c>
      <c r="V6" s="71">
        <f>IF(ISNUMBER(Matching_Engine!$Y$6),Matching_Engine!$Y$6,999)</f>
        <v>85</v>
      </c>
      <c r="W6" s="71">
        <f>IF(ISNUMBER(Matching_Engine!$AE$6),Matching_Engine!$AE$6,999)</f>
        <v>83</v>
      </c>
      <c r="X6" s="71">
        <f>IF(ISNUMBER(Matching_Engine!$AM$6),Matching_Engine!$AM$6,999)</f>
        <v>999</v>
      </c>
      <c r="Y6" s="71">
        <f>IF(ISNUMBER(Matching_Engine!$AT$6),Matching_Engine!$AT$6,999)</f>
        <v>81</v>
      </c>
      <c r="Z6" s="71">
        <f ca="1">MIN($T$6:$Y$6)</f>
        <v>60</v>
      </c>
      <c r="AA6" s="57" t="str">
        <f ca="1">INDEX({"Brand &amp; Business Relevance","Target Audience Relevance","Content &amp; Category Relevance","Brand Personality Fit","Performance Quality","Brand Safety"},MATCH($Z$6,$T$6:$Y$6,0))</f>
        <v>Brand &amp; Business Relevance</v>
      </c>
    </row>
    <row r="7" spans="1:27">
      <c r="A7" s="57" t="str">
        <f>Matching_Engine!$B$7</f>
        <v>Nusatech Cloud</v>
      </c>
      <c r="B7" s="57" t="str">
        <f>Matching_Engine!$D$7</f>
        <v>Rifqi Pratama</v>
      </c>
      <c r="C7" s="57" t="str">
        <f>Matching_Engine!$E$7</f>
        <v>@rifqi.codes</v>
      </c>
      <c r="D7" s="70">
        <f ca="1">Matching_Engine!$AY$7</f>
        <v>93</v>
      </c>
      <c r="E7" s="57" t="str">
        <f>Matching_Engine!$AZ$7</f>
        <v>BRAND-A|KOL-02</v>
      </c>
      <c r="F7" s="57" t="str">
        <f ca="1">IF(NOT(ISNUMBER(Matching_Engine!$AY$7)),"Not scored: no component of the model had data for this account, so no match can be claimed either way.",Matching_Engine!$AZ$7&amp;" — "&amp;Matching_Engine!$AY$7&amp;"/100 against "&amp;Matching_Engine!$B$7&amp;". "&amp;"Strongest factor "&amp;$S$7&amp;" at "&amp;$R$7&amp;"; weakest "&amp;$AA$7&amp;" at "&amp;$Z$7&amp;". "&amp;IF(AND(ISTEXT(Matching_Engine!$G$7),Matching_Engine!$G$7&lt;&gt;"N/A"),"Tagged category "&amp;Matching_Engine!$G$7&amp;" scores "&amp;IF(ISNUMBER(Matching_Engine!$J$7),Matching_Engine!$J$7,0)&amp;" against the brand category "&amp;Matching_Engine!$B$7&amp;" targets. ","Creator carries no category on record, so the category-driven parts fall back to neutral rather than penalising the creator. ")&amp;IF(ISNUMBER(Matching_Engine!$R$7),"Audience-interest overlap "&amp;Matching_Engine!$R$7&amp;". ","Audience interests unmeasured. ")&amp;IF(Matching_Engine!$AX$7&lt;100,"Scored on "&amp;Matching_Engine!$AX$7&amp;" of the 100 nominal weight points; the rest had no data.",""))</f>
        <v>BRAND-A|KOL-02 — 93/100 against Nusatech Cloud. Strongest factor Brand &amp; Business Relevance at 100; weakest Brand Personality Fit at 75. Tagged category Tech scores 6,2 against the brand category Nusatech Cloud targets. Audience-interest overlap 100. </v>
      </c>
      <c r="G7" s="57" t="str">
        <f ca="1">IF(NOT(ISNUMBER(Matching_Engine!$AY$7)),"N/A",$S$7&amp;" ("&amp;$R$7&amp;"/100)")</f>
        <v>Brand &amp; Business Relevance (100/100)</v>
      </c>
      <c r="H7" s="57" t="str">
        <f ca="1">IF(NOT(ISNUMBER(Matching_Engine!$AY$7)),"N/A",$AA$7&amp;" ("&amp;$Z$7&amp;"/100)")</f>
        <v>Brand Personality Fit (75/100)</v>
      </c>
      <c r="I7" s="57" t="str">
        <f ca="1">IF(NOT(ISNUMBER(Matching_Engine!$AY$7)),"No data to consider: this account has no measured signal.",IF($Z$7&lt;Lookup_Lists!$D$161,$AA$7&amp;" sits at "&amp;$Z$7&amp;", below the "&amp;Lookup_Lists!$D$161&amp;"-point consideration threshold"&amp;IF(Matching_Engine!$AF$7=0," · Brand Personality Fit could not be scored at all: no creator personality, tone, values or content-style column exists","")&amp;IF(Matching_Engine!$AI$7="N/A"," · posting cadence unusable, so Consistency is excluded from Performance","")&amp;".","No component falls below the "&amp;Lookup_Lists!$D$161&amp;"-point consideration threshold."))</f>
        <v>No component falls below the 75-point consideration threshold.</v>
      </c>
      <c r="J7" s="57" t="str">
        <f ca="1">Matching_Engine!$AV$7&amp;" — "&amp;Matching_Engine!$AW$7&amp;IF(Matching_Engine!$BB$7="Limited Data"," Confidence is Limited Data: "&amp;Matching_Engine!$BA$7&amp;"% of tracked fields carry a value.","")</f>
        <v>PASS — </v>
      </c>
      <c r="K7" s="57" t="str">
        <f ca="1">IF(NOT(ISNUMBER(Matching_Engine!$AY$7)),"Do not shortlist on this data — re-scrape the account first.",IF(Matching_Engine!$AY$7&gt;=Lookup_Lists!$D$156,"Highly Recommended",IF(Matching_Engine!$AY$7&gt;=Lookup_Lists!$D$157,"Recommended",IF(Matching_Engine!$AY$7&gt;=Lookup_Lists!$D$158,"Consider","Low Priority")))&amp;IF(Matching_Engine!$AX$7&lt;100," (on partial data)",""))</f>
        <v>Highly Recommended</v>
      </c>
      <c r="L7" s="71">
        <f>IF(ISNUMBER(Matching_Engine!$M$7),Matching_Engine!$M$7,-1)</f>
        <v>100</v>
      </c>
      <c r="M7" s="71">
        <f ca="1">IF(ISNUMBER(Matching_Engine!$S$7),Matching_Engine!$S$7,-1)</f>
        <v>91</v>
      </c>
      <c r="N7" s="71">
        <f>IF(ISNUMBER(Matching_Engine!$Y$7),Matching_Engine!$Y$7,-1)</f>
        <v>95</v>
      </c>
      <c r="O7" s="71">
        <f>IF(ISNUMBER(Matching_Engine!$AE$7),Matching_Engine!$AE$7,-1)</f>
        <v>75</v>
      </c>
      <c r="P7" s="71">
        <f>IF(ISNUMBER(Matching_Engine!$AM$7),Matching_Engine!$AM$7,-1)</f>
        <v>-1</v>
      </c>
      <c r="Q7" s="71">
        <f>IF(ISNUMBER(Matching_Engine!$AT$7),Matching_Engine!$AT$7,-1)</f>
        <v>98</v>
      </c>
      <c r="R7" s="71">
        <f ca="1">MAX($L$7:$Q$7)</f>
        <v>100</v>
      </c>
      <c r="S7" s="57" t="str">
        <f ca="1">INDEX({"Brand &amp; Business Relevance","Target Audience Relevance","Content &amp; Category Relevance","Brand Personality Fit","Performance Quality","Brand Safety"},MATCH($R$7,$L$7:$Q$7,0))</f>
        <v>Brand &amp; Business Relevance</v>
      </c>
      <c r="T7" s="71">
        <f>IF(ISNUMBER(Matching_Engine!$M$7),Matching_Engine!$M$7,999)</f>
        <v>100</v>
      </c>
      <c r="U7" s="71">
        <f ca="1">IF(ISNUMBER(Matching_Engine!$S$7),Matching_Engine!$S$7,999)</f>
        <v>91</v>
      </c>
      <c r="V7" s="71">
        <f>IF(ISNUMBER(Matching_Engine!$Y$7),Matching_Engine!$Y$7,999)</f>
        <v>95</v>
      </c>
      <c r="W7" s="71">
        <f>IF(ISNUMBER(Matching_Engine!$AE$7),Matching_Engine!$AE$7,999)</f>
        <v>75</v>
      </c>
      <c r="X7" s="71">
        <f>IF(ISNUMBER(Matching_Engine!$AM$7),Matching_Engine!$AM$7,999)</f>
        <v>999</v>
      </c>
      <c r="Y7" s="71">
        <f>IF(ISNUMBER(Matching_Engine!$AT$7),Matching_Engine!$AT$7,999)</f>
        <v>98</v>
      </c>
      <c r="Z7" s="71">
        <f ca="1">MIN($T$7:$Y$7)</f>
        <v>75</v>
      </c>
      <c r="AA7" s="57" t="str">
        <f ca="1">INDEX({"Brand &amp; Business Relevance","Target Audience Relevance","Content &amp; Category Relevance","Brand Personality Fit","Performance Quality","Brand Safety"},MATCH($Z$7,$T$7:$Y$7,0))</f>
        <v>Brand Personality Fit</v>
      </c>
    </row>
    <row r="8" spans="1:27">
      <c r="A8" s="57" t="str">
        <f>Matching_Engine!$B$8</f>
        <v>Nusatech Cloud</v>
      </c>
      <c r="B8" s="57" t="str">
        <f>Matching_Engine!$D$8</f>
        <v>Salsa Aulia</v>
      </c>
      <c r="C8" s="57" t="str">
        <f>Matching_Engine!$E$8</f>
        <v>@salsabeautydiary</v>
      </c>
      <c r="D8" s="70">
        <f ca="1">Matching_Engine!$AY$8</f>
        <v>48</v>
      </c>
      <c r="E8" s="57" t="str">
        <f>Matching_Engine!$AZ$8</f>
        <v>BRAND-A|KOL-03</v>
      </c>
      <c r="F8" s="57" t="str">
        <f ca="1">IF(NOT(ISNUMBER(Matching_Engine!$AY$8)),"Not scored: no component of the model had data for this account, so no match can be claimed either way.",Matching_Engine!$AZ$8&amp;" — "&amp;Matching_Engine!$AY$8&amp;"/100 against "&amp;Matching_Engine!$B$8&amp;". "&amp;"Strongest factor "&amp;$S$8&amp;" at "&amp;$R$8&amp;"; weakest "&amp;$AA$8&amp;" at "&amp;$Z$8&amp;". "&amp;IF(AND(ISTEXT(Matching_Engine!$G$8),Matching_Engine!$G$8&lt;&gt;"N/A"),"Tagged category "&amp;Matching_Engine!$G$8&amp;" scores "&amp;IF(ISNUMBER(Matching_Engine!$J$8),Matching_Engine!$J$8,0)&amp;" against the brand category "&amp;Matching_Engine!$B$8&amp;" targets. ","Creator carries no category on record, so the category-driven parts fall back to neutral rather than penalising the creator. ")&amp;IF(ISNUMBER(Matching_Engine!$R$8),"Audience-interest overlap "&amp;Matching_Engine!$R$8&amp;". ","Audience interests unmeasured. ")&amp;IF(Matching_Engine!$AX$8&lt;100,"Scored on "&amp;Matching_Engine!$AX$8&amp;" of the 100 nominal weight points; the rest had no data.",""))</f>
        <v>BRAND-A|KOL-03 — 48/100 against Nusatech Cloud. Strongest factor Content &amp; Category Relevance at 85; weakest Brand &amp; Business Relevance at 0. Tagged category Beauty scores 4,4 against the brand category Nusatech Cloud targets. Audience-interest overlap 0. </v>
      </c>
      <c r="G8" s="57" t="str">
        <f ca="1">IF(NOT(ISNUMBER(Matching_Engine!$AY$8)),"N/A",$S$8&amp;" ("&amp;$R$8&amp;"/100)")</f>
        <v>Content &amp; Category Relevance (85/100)</v>
      </c>
      <c r="H8" s="57" t="str">
        <f ca="1">IF(NOT(ISNUMBER(Matching_Engine!$AY$8)),"N/A",$AA$8&amp;" ("&amp;$Z$8&amp;"/100)")</f>
        <v>Brand &amp; Business Relevance (0/100)</v>
      </c>
      <c r="I8" s="57" t="str">
        <f ca="1">IF(NOT(ISNUMBER(Matching_Engine!$AY$8)),"No data to consider: this account has no measured signal.",IF($Z$8&lt;Lookup_Lists!$D$161,$AA$8&amp;" sits at "&amp;$Z$8&amp;", below the "&amp;Lookup_Lists!$D$161&amp;"-point consideration threshold"&amp;IF(Matching_Engine!$AF$8=0," · Brand Personality Fit could not be scored at all: no creator personality, tone, values or content-style column exists","")&amp;IF(Matching_Engine!$AI$8="N/A"," · posting cadence unusable, so Consistency is excluded from Performance","")&amp;".","No component falls below the "&amp;Lookup_Lists!$D$161&amp;"-point consideration threshold."))</f>
        <v>Brand &amp; Business Relevance sits at 0, below the 75-point consideration threshold.</v>
      </c>
      <c r="J8" s="57" t="str">
        <f ca="1">Matching_Engine!$AV$8&amp;" — "&amp;Matching_Engine!$AW$8&amp;IF(Matching_Engine!$BB$8="Limited Data"," Confidence is Limited Data: "&amp;Matching_Engine!$BA$8&amp;"% of tracked fields carry a value.","")</f>
        <v>PASS — </v>
      </c>
      <c r="K8" s="57" t="str">
        <f ca="1">IF(NOT(ISNUMBER(Matching_Engine!$AY$8)),"Do not shortlist on this data — re-scrape the account first.",IF(Matching_Engine!$AY$8&gt;=Lookup_Lists!$D$156,"Highly Recommended",IF(Matching_Engine!$AY$8&gt;=Lookup_Lists!$D$157,"Recommended",IF(Matching_Engine!$AY$8&gt;=Lookup_Lists!$D$158,"Consider","Low Priority")))&amp;IF(Matching_Engine!$AX$8&lt;100," (on partial data)",""))</f>
        <v>Low Priority</v>
      </c>
      <c r="L8" s="71">
        <f>IF(ISNUMBER(Matching_Engine!$M$8),Matching_Engine!$M$8,-1)</f>
        <v>0</v>
      </c>
      <c r="M8" s="71">
        <f ca="1">IF(ISNUMBER(Matching_Engine!$S$8),Matching_Engine!$S$8,-1)</f>
        <v>58</v>
      </c>
      <c r="N8" s="71">
        <f>IF(ISNUMBER(Matching_Engine!$Y$8),Matching_Engine!$Y$8,-1)</f>
        <v>85</v>
      </c>
      <c r="O8" s="71">
        <f>IF(ISNUMBER(Matching_Engine!$AE$8),Matching_Engine!$AE$8,-1)</f>
        <v>77</v>
      </c>
      <c r="P8" s="71">
        <f>IF(ISNUMBER(Matching_Engine!$AM$8),Matching_Engine!$AM$8,-1)</f>
        <v>-1</v>
      </c>
      <c r="Q8" s="71">
        <f>IF(ISNUMBER(Matching_Engine!$AT$8),Matching_Engine!$AT$8,-1)</f>
        <v>38</v>
      </c>
      <c r="R8" s="71">
        <f ca="1">MAX($L$8:$Q$8)</f>
        <v>85</v>
      </c>
      <c r="S8" s="57" t="str">
        <f ca="1">INDEX({"Brand &amp; Business Relevance","Target Audience Relevance","Content &amp; Category Relevance","Brand Personality Fit","Performance Quality","Brand Safety"},MATCH($R$8,$L$8:$Q$8,0))</f>
        <v>Content &amp; Category Relevance</v>
      </c>
      <c r="T8" s="71">
        <f>IF(ISNUMBER(Matching_Engine!$M$8),Matching_Engine!$M$8,999)</f>
        <v>0</v>
      </c>
      <c r="U8" s="71">
        <f ca="1">IF(ISNUMBER(Matching_Engine!$S$8),Matching_Engine!$S$8,999)</f>
        <v>58</v>
      </c>
      <c r="V8" s="71">
        <f>IF(ISNUMBER(Matching_Engine!$Y$8),Matching_Engine!$Y$8,999)</f>
        <v>85</v>
      </c>
      <c r="W8" s="71">
        <f>IF(ISNUMBER(Matching_Engine!$AE$8),Matching_Engine!$AE$8,999)</f>
        <v>77</v>
      </c>
      <c r="X8" s="71">
        <f>IF(ISNUMBER(Matching_Engine!$AM$8),Matching_Engine!$AM$8,999)</f>
        <v>999</v>
      </c>
      <c r="Y8" s="71">
        <f>IF(ISNUMBER(Matching_Engine!$AT$8),Matching_Engine!$AT$8,999)</f>
        <v>38</v>
      </c>
      <c r="Z8" s="71">
        <f ca="1">MIN($T$8:$Y$8)</f>
        <v>0</v>
      </c>
      <c r="AA8" s="57" t="str">
        <f ca="1">INDEX({"Brand &amp; Business Relevance","Target Audience Relevance","Content &amp; Category Relevance","Brand Personality Fit","Performance Quality","Brand Safety"},MATCH($Z$8,$T$8:$Y$8,0))</f>
        <v>Brand &amp; Business Relevance</v>
      </c>
    </row>
    <row r="9" spans="1:27">
      <c r="A9" s="57" t="str">
        <f>Matching_Engine!$B$9</f>
        <v>Nusatech Cloud</v>
      </c>
      <c r="B9" s="57" t="str">
        <f>Matching_Engine!$D$9</f>
        <v>Nadia Puspa</v>
      </c>
      <c r="C9" s="57" t="str">
        <f>Matching_Engine!$E$9</f>
        <v>@nadiaglowup</v>
      </c>
      <c r="D9" s="70">
        <f ca="1">Matching_Engine!$AY$9</f>
        <v>46</v>
      </c>
      <c r="E9" s="57" t="str">
        <f>Matching_Engine!$AZ$9</f>
        <v>BRAND-A|KOL-04</v>
      </c>
      <c r="F9" s="57" t="str">
        <f ca="1">IF(NOT(ISNUMBER(Matching_Engine!$AY$9)),"Not scored: no component of the model had data for this account, so no match can be claimed either way.",Matching_Engine!$AZ$9&amp;" — "&amp;Matching_Engine!$AY$9&amp;"/100 against "&amp;Matching_Engine!$B$9&amp;". "&amp;"Strongest factor "&amp;$S$9&amp;" at "&amp;$R$9&amp;"; weakest "&amp;$AA$9&amp;" at "&amp;$Z$9&amp;". "&amp;IF(AND(ISTEXT(Matching_Engine!$G$9),Matching_Engine!$G$9&lt;&gt;"N/A"),"Tagged category "&amp;Matching_Engine!$G$9&amp;" scores "&amp;IF(ISNUMBER(Matching_Engine!$J$9),Matching_Engine!$J$9,0)&amp;" against the brand category "&amp;Matching_Engine!$B$9&amp;" targets. ","Creator carries no category on record, so the category-driven parts fall back to neutral rather than penalising the creator. ")&amp;IF(ISNUMBER(Matching_Engine!$R$9),"Audience-interest overlap "&amp;Matching_Engine!$R$9&amp;". ","Audience interests unmeasured. ")&amp;IF(Matching_Engine!$AX$9&lt;100,"Scored on "&amp;Matching_Engine!$AX$9&amp;" of the 100 nominal weight points; the rest had no data.",""))</f>
        <v>BRAND-A|KOL-04 — 46/100 against Nusatech Cloud. Strongest factor Content &amp; Category Relevance at 95; weakest Brand &amp; Business Relevance at 0. Tagged category Beauty scores 7,1 against the brand category Nusatech Cloud targets. Audience-interest overlap 0. </v>
      </c>
      <c r="G9" s="57" t="str">
        <f ca="1">IF(NOT(ISNUMBER(Matching_Engine!$AY$9)),"N/A",$S$9&amp;" ("&amp;$R$9&amp;"/100)")</f>
        <v>Content &amp; Category Relevance (95/100)</v>
      </c>
      <c r="H9" s="57" t="str">
        <f ca="1">IF(NOT(ISNUMBER(Matching_Engine!$AY$9)),"N/A",$AA$9&amp;" ("&amp;$Z$9&amp;"/100)")</f>
        <v>Brand &amp; Business Relevance (0/100)</v>
      </c>
      <c r="I9" s="57" t="str">
        <f ca="1">IF(NOT(ISNUMBER(Matching_Engine!$AY$9)),"No data to consider: this account has no measured signal.",IF($Z$9&lt;Lookup_Lists!$D$161,$AA$9&amp;" sits at "&amp;$Z$9&amp;", below the "&amp;Lookup_Lists!$D$161&amp;"-point consideration threshold"&amp;IF(Matching_Engine!$AF$9=0," · Brand Personality Fit could not be scored at all: no creator personality, tone, values or content-style column exists","")&amp;IF(Matching_Engine!$AI$9="N/A"," · posting cadence unusable, so Consistency is excluded from Performance","")&amp;".","No component falls below the "&amp;Lookup_Lists!$D$161&amp;"-point consideration threshold."))</f>
        <v>Brand &amp; Business Relevance sits at 0, below the 75-point consideration threshold.</v>
      </c>
      <c r="J9" s="57" t="str">
        <f ca="1">Matching_Engine!$AV$9&amp;" — "&amp;Matching_Engine!$AW$9&amp;IF(Matching_Engine!$BB$9="Limited Data"," Confidence is Limited Data: "&amp;Matching_Engine!$BA$9&amp;"% of tracked fields carry a value.","")</f>
        <v>PASS — </v>
      </c>
      <c r="K9" s="57" t="str">
        <f ca="1">IF(NOT(ISNUMBER(Matching_Engine!$AY$9)),"Do not shortlist on this data — re-scrape the account first.",IF(Matching_Engine!$AY$9&gt;=Lookup_Lists!$D$156,"Highly Recommended",IF(Matching_Engine!$AY$9&gt;=Lookup_Lists!$D$157,"Recommended",IF(Matching_Engine!$AY$9&gt;=Lookup_Lists!$D$158,"Consider","Low Priority")))&amp;IF(Matching_Engine!$AX$9&lt;100," (on partial data)",""))</f>
        <v>Low Priority</v>
      </c>
      <c r="L9" s="71">
        <f>IF(ISNUMBER(Matching_Engine!$M$9),Matching_Engine!$M$9,-1)</f>
        <v>0</v>
      </c>
      <c r="M9" s="71">
        <f ca="1">IF(ISNUMBER(Matching_Engine!$S$9),Matching_Engine!$S$9,-1)</f>
        <v>49</v>
      </c>
      <c r="N9" s="71">
        <f>IF(ISNUMBER(Matching_Engine!$Y$9),Matching_Engine!$Y$9,-1)</f>
        <v>95</v>
      </c>
      <c r="O9" s="71">
        <f>IF(ISNUMBER(Matching_Engine!$AE$9),Matching_Engine!$AE$9,-1)</f>
        <v>82</v>
      </c>
      <c r="P9" s="71">
        <f>IF(ISNUMBER(Matching_Engine!$AM$9),Matching_Engine!$AM$9,-1)</f>
        <v>-1</v>
      </c>
      <c r="Q9" s="71">
        <f>IF(ISNUMBER(Matching_Engine!$AT$9),Matching_Engine!$AT$9,-1)</f>
        <v>40</v>
      </c>
      <c r="R9" s="71">
        <f ca="1">MAX($L$9:$Q$9)</f>
        <v>95</v>
      </c>
      <c r="S9" s="57" t="str">
        <f ca="1">INDEX({"Brand &amp; Business Relevance","Target Audience Relevance","Content &amp; Category Relevance","Brand Personality Fit","Performance Quality","Brand Safety"},MATCH($R$9,$L$9:$Q$9,0))</f>
        <v>Content &amp; Category Relevance</v>
      </c>
      <c r="T9" s="71">
        <f>IF(ISNUMBER(Matching_Engine!$M$9),Matching_Engine!$M$9,999)</f>
        <v>0</v>
      </c>
      <c r="U9" s="71">
        <f ca="1">IF(ISNUMBER(Matching_Engine!$S$9),Matching_Engine!$S$9,999)</f>
        <v>49</v>
      </c>
      <c r="V9" s="71">
        <f>IF(ISNUMBER(Matching_Engine!$Y$9),Matching_Engine!$Y$9,999)</f>
        <v>95</v>
      </c>
      <c r="W9" s="71">
        <f>IF(ISNUMBER(Matching_Engine!$AE$9),Matching_Engine!$AE$9,999)</f>
        <v>82</v>
      </c>
      <c r="X9" s="71">
        <f>IF(ISNUMBER(Matching_Engine!$AM$9),Matching_Engine!$AM$9,999)</f>
        <v>999</v>
      </c>
      <c r="Y9" s="71">
        <f>IF(ISNUMBER(Matching_Engine!$AT$9),Matching_Engine!$AT$9,999)</f>
        <v>40</v>
      </c>
      <c r="Z9" s="71">
        <f ca="1">MIN($T$9:$Y$9)</f>
        <v>0</v>
      </c>
      <c r="AA9" s="57" t="str">
        <f ca="1">INDEX({"Brand &amp; Business Relevance","Target Audience Relevance","Content &amp; Category Relevance","Brand Personality Fit","Performance Quality","Brand Safety"},MATCH($Z$9,$T$9:$Y$9,0))</f>
        <v>Brand &amp; Business Relevance</v>
      </c>
    </row>
    <row r="10" spans="1:27">
      <c r="A10" s="57" t="str">
        <f>Matching_Engine!$B$10</f>
        <v>Nusatech Cloud</v>
      </c>
      <c r="B10" s="57" t="str">
        <f>Matching_Engine!$D$10</f>
        <v>Bimo Saputra</v>
      </c>
      <c r="C10" s="57" t="str">
        <f>Matching_Engine!$E$10</f>
        <v>@bimomakan</v>
      </c>
      <c r="D10" s="70">
        <f ca="1">Matching_Engine!$AY$10</f>
        <v>45</v>
      </c>
      <c r="E10" s="57" t="str">
        <f>Matching_Engine!$AZ$10</f>
        <v>BRAND-A|KOL-05</v>
      </c>
      <c r="F10" s="57" t="str">
        <f ca="1">IF(NOT(ISNUMBER(Matching_Engine!$AY$10)),"Not scored: no component of the model had data for this account, so no match can be claimed either way.",Matching_Engine!$AZ$10&amp;" — "&amp;Matching_Engine!$AY$10&amp;"/100 against "&amp;Matching_Engine!$B$10&amp;". "&amp;"Strongest factor "&amp;$S$10&amp;" at "&amp;$R$10&amp;"; weakest "&amp;$AA$10&amp;" at "&amp;$Z$10&amp;". "&amp;IF(AND(ISTEXT(Matching_Engine!$G$10),Matching_Engine!$G$10&lt;&gt;"N/A"),"Tagged category "&amp;Matching_Engine!$G$10&amp;" scores "&amp;IF(ISNUMBER(Matching_Engine!$J$10),Matching_Engine!$J$10,0)&amp;" against the brand category "&amp;Matching_Engine!$B$10&amp;" targets. ","Creator carries no category on record, so the category-driven parts fall back to neutral rather than penalising the creator. ")&amp;IF(ISNUMBER(Matching_Engine!$R$10),"Audience-interest overlap "&amp;Matching_Engine!$R$10&amp;". ","Audience interests unmeasured. ")&amp;IF(Matching_Engine!$AX$10&lt;100,"Scored on "&amp;Matching_Engine!$AX$10&amp;" of the 100 nominal weight points; the rest had no data.",""))</f>
        <v>BRAND-A|KOL-05 — 45/100 against Nusatech Cloud. Strongest factor Brand Personality Fit at 70; weakest Brand &amp; Business Relevance at 0. Tagged category Food scores 8,4 against the brand category Nusatech Cloud targets. Audience-interest overlap 0. </v>
      </c>
      <c r="G10" s="57" t="str">
        <f ca="1">IF(NOT(ISNUMBER(Matching_Engine!$AY$10)),"N/A",$S$10&amp;" ("&amp;$R$10&amp;"/100)")</f>
        <v>Brand Personality Fit (70/100)</v>
      </c>
      <c r="H10" s="57" t="str">
        <f ca="1">IF(NOT(ISNUMBER(Matching_Engine!$AY$10)),"N/A",$AA$10&amp;" ("&amp;$Z$10&amp;"/100)")</f>
        <v>Brand &amp; Business Relevance (0/100)</v>
      </c>
      <c r="I10" s="57" t="str">
        <f ca="1">IF(NOT(ISNUMBER(Matching_Engine!$AY$10)),"No data to consider: this account has no measured signal.",IF($Z$10&lt;Lookup_Lists!$D$161,$AA$10&amp;" sits at "&amp;$Z$10&amp;", below the "&amp;Lookup_Lists!$D$161&amp;"-point consideration threshold"&amp;IF(Matching_Engine!$AF$10=0," · Brand Personality Fit could not be scored at all: no creator personality, tone, values or content-style column exists","")&amp;IF(Matching_Engine!$AI$10="N/A"," · posting cadence unusable, so Consistency is excluded from Performance","")&amp;".","No component falls below the "&amp;Lookup_Lists!$D$161&amp;"-point consideration threshold."))</f>
        <v>Brand &amp; Business Relevance sits at 0, below the 75-point consideration threshold.</v>
      </c>
      <c r="J10" s="57" t="str">
        <f ca="1">Matching_Engine!$AV$10&amp;" — "&amp;Matching_Engine!$AW$10&amp;IF(Matching_Engine!$BB$10="Limited Data"," Confidence is Limited Data: "&amp;Matching_Engine!$BA$10&amp;"% of tracked fields carry a value.","")</f>
        <v>PASS — </v>
      </c>
      <c r="K10" s="57" t="str">
        <f ca="1">IF(NOT(ISNUMBER(Matching_Engine!$AY$10)),"Do not shortlist on this data — re-scrape the account first.",IF(Matching_Engine!$AY$10&gt;=Lookup_Lists!$D$156,"Highly Recommended",IF(Matching_Engine!$AY$10&gt;=Lookup_Lists!$D$157,"Recommended",IF(Matching_Engine!$AY$10&gt;=Lookup_Lists!$D$158,"Consider","Low Priority")))&amp;IF(Matching_Engine!$AX$10&lt;100," (on partial data)",""))</f>
        <v>Low Priority</v>
      </c>
      <c r="L10" s="71">
        <f>IF(ISNUMBER(Matching_Engine!$M$10),Matching_Engine!$M$10,-1)</f>
        <v>0</v>
      </c>
      <c r="M10" s="71">
        <f ca="1">IF(ISNUMBER(Matching_Engine!$S$10),Matching_Engine!$S$10,-1)</f>
        <v>54</v>
      </c>
      <c r="N10" s="71">
        <f>IF(ISNUMBER(Matching_Engine!$Y$10),Matching_Engine!$Y$10,-1)</f>
        <v>50</v>
      </c>
      <c r="O10" s="71">
        <f>IF(ISNUMBER(Matching_Engine!$AE$10),Matching_Engine!$AE$10,-1)</f>
        <v>70</v>
      </c>
      <c r="P10" s="71">
        <f>IF(ISNUMBER(Matching_Engine!$AM$10),Matching_Engine!$AM$10,-1)</f>
        <v>-1</v>
      </c>
      <c r="Q10" s="71">
        <f>IF(ISNUMBER(Matching_Engine!$AT$10),Matching_Engine!$AT$10,-1)</f>
        <v>30</v>
      </c>
      <c r="R10" s="71">
        <f ca="1">MAX($L$10:$Q$10)</f>
        <v>70</v>
      </c>
      <c r="S10" s="57" t="str">
        <f ca="1">INDEX({"Brand &amp; Business Relevance","Target Audience Relevance","Content &amp; Category Relevance","Brand Personality Fit","Performance Quality","Brand Safety"},MATCH($R$10,$L$10:$Q$10,0))</f>
        <v>Brand Personality Fit</v>
      </c>
      <c r="T10" s="71">
        <f>IF(ISNUMBER(Matching_Engine!$M$10),Matching_Engine!$M$10,999)</f>
        <v>0</v>
      </c>
      <c r="U10" s="71">
        <f ca="1">IF(ISNUMBER(Matching_Engine!$S$10),Matching_Engine!$S$10,999)</f>
        <v>54</v>
      </c>
      <c r="V10" s="71">
        <f>IF(ISNUMBER(Matching_Engine!$Y$10),Matching_Engine!$Y$10,999)</f>
        <v>50</v>
      </c>
      <c r="W10" s="71">
        <f>IF(ISNUMBER(Matching_Engine!$AE$10),Matching_Engine!$AE$10,999)</f>
        <v>70</v>
      </c>
      <c r="X10" s="71">
        <f>IF(ISNUMBER(Matching_Engine!$AM$10),Matching_Engine!$AM$10,999)</f>
        <v>999</v>
      </c>
      <c r="Y10" s="71">
        <f>IF(ISNUMBER(Matching_Engine!$AT$10),Matching_Engine!$AT$10,999)</f>
        <v>30</v>
      </c>
      <c r="Z10" s="71">
        <f ca="1">MIN($T$10:$Y$10)</f>
        <v>0</v>
      </c>
      <c r="AA10" s="57" t="str">
        <f ca="1">INDEX({"Brand &amp; Business Relevance","Target Audience Relevance","Content &amp; Category Relevance","Brand Personality Fit","Performance Quality","Brand Safety"},MATCH($Z$10,$T$10:$Y$10,0))</f>
        <v>Brand &amp; Business Relevance</v>
      </c>
    </row>
    <row r="11" spans="1:27">
      <c r="A11" s="57" t="str">
        <f>Matching_Engine!$B$11</f>
        <v>Nusatech Cloud</v>
      </c>
      <c r="B11" s="57" t="str">
        <f>Matching_Engine!$D$11</f>
        <v>Ayu Lestari</v>
      </c>
      <c r="C11" s="57" t="str">
        <f>Matching_Engine!$E$11</f>
        <v>@dapurayu</v>
      </c>
      <c r="D11" s="70">
        <f ca="1">Matching_Engine!$AY$11</f>
        <v>44</v>
      </c>
      <c r="E11" s="57" t="str">
        <f>Matching_Engine!$AZ$11</f>
        <v>BRAND-A|KOL-06</v>
      </c>
      <c r="F11" s="57" t="str">
        <f ca="1">IF(NOT(ISNUMBER(Matching_Engine!$AY$11)),"Not scored: no component of the model had data for this account, so no match can be claimed either way.",Matching_Engine!$AZ$11&amp;" — "&amp;Matching_Engine!$AY$11&amp;"/100 against "&amp;Matching_Engine!$B$11&amp;". "&amp;"Strongest factor "&amp;$S$11&amp;" at "&amp;$R$11&amp;"; weakest "&amp;$AA$11&amp;" at "&amp;$Z$11&amp;". "&amp;IF(AND(ISTEXT(Matching_Engine!$G$11),Matching_Engine!$G$11&lt;&gt;"N/A"),"Tagged category "&amp;Matching_Engine!$G$11&amp;" scores "&amp;IF(ISNUMBER(Matching_Engine!$J$11),Matching_Engine!$J$11,0)&amp;" against the brand category "&amp;Matching_Engine!$B$11&amp;" targets. ","Creator carries no category on record, so the category-driven parts fall back to neutral rather than penalising the creator. ")&amp;IF(ISNUMBER(Matching_Engine!$R$11),"Audience-interest overlap "&amp;Matching_Engine!$R$11&amp;". ","Audience interests unmeasured. ")&amp;IF(Matching_Engine!$AX$11&lt;100,"Scored on "&amp;Matching_Engine!$AX$11&amp;" of the 100 nominal weight points; the rest had no data.",""))</f>
        <v>BRAND-A|KOL-06 — 44/100 against Nusatech Cloud. Strongest factor Brand Personality Fit at 73; weakest Brand &amp; Business Relevance at 0. Tagged category Food scores 5,2 against the brand category Nusatech Cloud targets. Audience-interest overlap 0. </v>
      </c>
      <c r="G11" s="57" t="str">
        <f ca="1">IF(NOT(ISNUMBER(Matching_Engine!$AY$11)),"N/A",$S$11&amp;" ("&amp;$R$11&amp;"/100)")</f>
        <v>Brand Personality Fit (73/100)</v>
      </c>
      <c r="H11" s="57" t="str">
        <f ca="1">IF(NOT(ISNUMBER(Matching_Engine!$AY$11)),"N/A",$AA$11&amp;" ("&amp;$Z$11&amp;"/100)")</f>
        <v>Brand &amp; Business Relevance (0/100)</v>
      </c>
      <c r="I11" s="57" t="str">
        <f ca="1">IF(NOT(ISNUMBER(Matching_Engine!$AY$11)),"No data to consider: this account has no measured signal.",IF($Z$11&lt;Lookup_Lists!$D$161,$AA$11&amp;" sits at "&amp;$Z$11&amp;", below the "&amp;Lookup_Lists!$D$161&amp;"-point consideration threshold"&amp;IF(Matching_Engine!$AF$11=0," · Brand Personality Fit could not be scored at all: no creator personality, tone, values or content-style column exists","")&amp;IF(Matching_Engine!$AI$11="N/A"," · posting cadence unusable, so Consistency is excluded from Performance","")&amp;".","No component falls below the "&amp;Lookup_Lists!$D$161&amp;"-point consideration threshold."))</f>
        <v>Brand &amp; Business Relevance sits at 0, below the 75-point consideration threshold.</v>
      </c>
      <c r="J11" s="57" t="str">
        <f ca="1">Matching_Engine!$AV$11&amp;" — "&amp;Matching_Engine!$AW$11&amp;IF(Matching_Engine!$BB$11="Limited Data"," Confidence is Limited Data: "&amp;Matching_Engine!$BA$11&amp;"% of tracked fields carry a value.","")</f>
        <v>PASS — </v>
      </c>
      <c r="K11" s="57" t="str">
        <f ca="1">IF(NOT(ISNUMBER(Matching_Engine!$AY$11)),"Do not shortlist on this data — re-scrape the account first.",IF(Matching_Engine!$AY$11&gt;=Lookup_Lists!$D$156,"Highly Recommended",IF(Matching_Engine!$AY$11&gt;=Lookup_Lists!$D$157,"Recommended",IF(Matching_Engine!$AY$11&gt;=Lookup_Lists!$D$158,"Consider","Low Priority")))&amp;IF(Matching_Engine!$AX$11&lt;100," (on partial data)",""))</f>
        <v>Low Priority</v>
      </c>
      <c r="L11" s="71">
        <f>IF(ISNUMBER(Matching_Engine!$M$11),Matching_Engine!$M$11,-1)</f>
        <v>0</v>
      </c>
      <c r="M11" s="71">
        <f ca="1">IF(ISNUMBER(Matching_Engine!$S$11),Matching_Engine!$S$11,-1)</f>
        <v>50</v>
      </c>
      <c r="N11" s="71">
        <f>IF(ISNUMBER(Matching_Engine!$Y$11),Matching_Engine!$Y$11,-1)</f>
        <v>50</v>
      </c>
      <c r="O11" s="71">
        <f>IF(ISNUMBER(Matching_Engine!$AE$11),Matching_Engine!$AE$11,-1)</f>
        <v>73</v>
      </c>
      <c r="P11" s="71">
        <f>IF(ISNUMBER(Matching_Engine!$AM$11),Matching_Engine!$AM$11,-1)</f>
        <v>-1</v>
      </c>
      <c r="Q11" s="71">
        <f>IF(ISNUMBER(Matching_Engine!$AT$11),Matching_Engine!$AT$11,-1)</f>
        <v>34</v>
      </c>
      <c r="R11" s="71">
        <f ca="1">MAX($L$11:$Q$11)</f>
        <v>73</v>
      </c>
      <c r="S11" s="57" t="str">
        <f ca="1">INDEX({"Brand &amp; Business Relevance","Target Audience Relevance","Content &amp; Category Relevance","Brand Personality Fit","Performance Quality","Brand Safety"},MATCH($R$11,$L$11:$Q$11,0))</f>
        <v>Brand Personality Fit</v>
      </c>
      <c r="T11" s="71">
        <f>IF(ISNUMBER(Matching_Engine!$M$11),Matching_Engine!$M$11,999)</f>
        <v>0</v>
      </c>
      <c r="U11" s="71">
        <f ca="1">IF(ISNUMBER(Matching_Engine!$S$11),Matching_Engine!$S$11,999)</f>
        <v>50</v>
      </c>
      <c r="V11" s="71">
        <f>IF(ISNUMBER(Matching_Engine!$Y$11),Matching_Engine!$Y$11,999)</f>
        <v>50</v>
      </c>
      <c r="W11" s="71">
        <f>IF(ISNUMBER(Matching_Engine!$AE$11),Matching_Engine!$AE$11,999)</f>
        <v>73</v>
      </c>
      <c r="X11" s="71">
        <f>IF(ISNUMBER(Matching_Engine!$AM$11),Matching_Engine!$AM$11,999)</f>
        <v>999</v>
      </c>
      <c r="Y11" s="71">
        <f>IF(ISNUMBER(Matching_Engine!$AT$11),Matching_Engine!$AT$11,999)</f>
        <v>34</v>
      </c>
      <c r="Z11" s="71">
        <f ca="1">MIN($T$11:$Y$11)</f>
        <v>0</v>
      </c>
      <c r="AA11" s="57" t="str">
        <f ca="1">INDEX({"Brand &amp; Business Relevance","Target Audience Relevance","Content &amp; Category Relevance","Brand Personality Fit","Performance Quality","Brand Safety"},MATCH($Z$11,$T$11:$Y$11,0))</f>
        <v>Brand &amp; Business Relevance</v>
      </c>
    </row>
    <row r="12" spans="1:27">
      <c r="A12" s="57" t="str">
        <f>Matching_Engine!$B$12</f>
        <v>Nusatech Cloud</v>
      </c>
      <c r="B12" s="57" t="str">
        <f>Matching_Engine!$D$12</f>
        <v>Fajar Ramadhan</v>
      </c>
      <c r="C12" s="57" t="str">
        <f>Matching_Engine!$E$12</f>
        <v>@fajarfinance</v>
      </c>
      <c r="D12" s="70">
        <f ca="1">Matching_Engine!$AY$12</f>
        <v>87</v>
      </c>
      <c r="E12" s="57" t="str">
        <f>Matching_Engine!$AZ$12</f>
        <v>BRAND-A|KOL-07</v>
      </c>
      <c r="F12" s="57" t="str">
        <f ca="1">IF(NOT(ISNUMBER(Matching_Engine!$AY$12)),"Not scored: no component of the model had data for this account, so no match can be claimed either way.",Matching_Engine!$AZ$12&amp;" — "&amp;Matching_Engine!$AY$12&amp;"/100 against "&amp;Matching_Engine!$B$12&amp;". "&amp;"Strongest factor "&amp;$S$12&amp;" at "&amp;$R$12&amp;"; weakest "&amp;$AA$12&amp;" at "&amp;$Z$12&amp;". "&amp;IF(AND(ISTEXT(Matching_Engine!$G$12),Matching_Engine!$G$12&lt;&gt;"N/A"),"Tagged category "&amp;Matching_Engine!$G$12&amp;" scores "&amp;IF(ISNUMBER(Matching_Engine!$J$12),Matching_Engine!$J$12,0)&amp;" against the brand category "&amp;Matching_Engine!$B$12&amp;" targets. ","Creator carries no category on record, so the category-driven parts fall back to neutral rather than penalising the creator. ")&amp;IF(ISNUMBER(Matching_Engine!$R$12),"Audience-interest overlap "&amp;Matching_Engine!$R$12&amp;". ","Audience interests unmeasured. ")&amp;IF(Matching_Engine!$AX$12&lt;100,"Scored on "&amp;Matching_Engine!$AX$12&amp;" of the 100 nominal weight points; the rest had no data.",""))</f>
        <v>BRAND-A|KOL-07 — 87/100 against Nusatech Cloud. Strongest factor Brand &amp; Business Relevance at 100; weakest Content &amp; Category Relevance at 70. Tagged category Finance scores 3,2 against the brand category Nusatech Cloud targets. Audience-interest overlap 100. </v>
      </c>
      <c r="G12" s="57" t="str">
        <f ca="1">IF(NOT(ISNUMBER(Matching_Engine!$AY$12)),"N/A",$S$12&amp;" ("&amp;$R$12&amp;"/100)")</f>
        <v>Brand &amp; Business Relevance (100/100)</v>
      </c>
      <c r="H12" s="57" t="str">
        <f ca="1">IF(NOT(ISNUMBER(Matching_Engine!$AY$12)),"N/A",$AA$12&amp;" ("&amp;$Z$12&amp;"/100)")</f>
        <v>Content &amp; Category Relevance (70/100)</v>
      </c>
      <c r="I12" s="57" t="str">
        <f ca="1">IF(NOT(ISNUMBER(Matching_Engine!$AY$12)),"No data to consider: this account has no measured signal.",IF($Z$12&lt;Lookup_Lists!$D$161,$AA$12&amp;" sits at "&amp;$Z$12&amp;", below the "&amp;Lookup_Lists!$D$161&amp;"-point consideration threshold"&amp;IF(Matching_Engine!$AF$12=0," · Brand Personality Fit could not be scored at all: no creator personality, tone, values or content-style column exists","")&amp;IF(Matching_Engine!$AI$12="N/A"," · posting cadence unusable, so Consistency is excluded from Performance","")&amp;".","No component falls below the "&amp;Lookup_Lists!$D$161&amp;"-point consideration threshold."))</f>
        <v>Content &amp; Category Relevance sits at 70, below the 75-point consideration threshold.</v>
      </c>
      <c r="J12" s="57" t="str">
        <f ca="1">Matching_Engine!$AV$12&amp;" — "&amp;Matching_Engine!$AW$12&amp;IF(Matching_Engine!$BB$12="Limited Data"," Confidence is Limited Data: "&amp;Matching_Engine!$BA$12&amp;"% of tracked fields carry a value.","")</f>
        <v>PASS — </v>
      </c>
      <c r="K12" s="57" t="str">
        <f ca="1">IF(NOT(ISNUMBER(Matching_Engine!$AY$12)),"Do not shortlist on this data — re-scrape the account first.",IF(Matching_Engine!$AY$12&gt;=Lookup_Lists!$D$156,"Highly Recommended",IF(Matching_Engine!$AY$12&gt;=Lookup_Lists!$D$157,"Recommended",IF(Matching_Engine!$AY$12&gt;=Lookup_Lists!$D$158,"Consider","Low Priority")))&amp;IF(Matching_Engine!$AX$12&lt;100," (on partial data)",""))</f>
        <v>Highly Recommended</v>
      </c>
      <c r="L12" s="71">
        <f>IF(ISNUMBER(Matching_Engine!$M$12),Matching_Engine!$M$12,-1)</f>
        <v>100</v>
      </c>
      <c r="M12" s="71">
        <f ca="1">IF(ISNUMBER(Matching_Engine!$S$12),Matching_Engine!$S$12,-1)</f>
        <v>100</v>
      </c>
      <c r="N12" s="71">
        <f>IF(ISNUMBER(Matching_Engine!$Y$12),Matching_Engine!$Y$12,-1)</f>
        <v>70</v>
      </c>
      <c r="O12" s="71">
        <f>IF(ISNUMBER(Matching_Engine!$AE$12),Matching_Engine!$AE$12,-1)</f>
        <v>86</v>
      </c>
      <c r="P12" s="71">
        <f>IF(ISNUMBER(Matching_Engine!$AM$12),Matching_Engine!$AM$12,-1)</f>
        <v>-1</v>
      </c>
      <c r="Q12" s="71">
        <f>IF(ISNUMBER(Matching_Engine!$AT$12),Matching_Engine!$AT$12,-1)</f>
        <v>83</v>
      </c>
      <c r="R12" s="71">
        <f ca="1">MAX($L$12:$Q$12)</f>
        <v>100</v>
      </c>
      <c r="S12" s="57" t="str">
        <f ca="1">INDEX({"Brand &amp; Business Relevance","Target Audience Relevance","Content &amp; Category Relevance","Brand Personality Fit","Performance Quality","Brand Safety"},MATCH($R$12,$L$12:$Q$12,0))</f>
        <v>Brand &amp; Business Relevance</v>
      </c>
      <c r="T12" s="71">
        <f>IF(ISNUMBER(Matching_Engine!$M$12),Matching_Engine!$M$12,999)</f>
        <v>100</v>
      </c>
      <c r="U12" s="71">
        <f ca="1">IF(ISNUMBER(Matching_Engine!$S$12),Matching_Engine!$S$12,999)</f>
        <v>100</v>
      </c>
      <c r="V12" s="71">
        <f>IF(ISNUMBER(Matching_Engine!$Y$12),Matching_Engine!$Y$12,999)</f>
        <v>70</v>
      </c>
      <c r="W12" s="71">
        <f>IF(ISNUMBER(Matching_Engine!$AE$12),Matching_Engine!$AE$12,999)</f>
        <v>86</v>
      </c>
      <c r="X12" s="71">
        <f>IF(ISNUMBER(Matching_Engine!$AM$12),Matching_Engine!$AM$12,999)</f>
        <v>999</v>
      </c>
      <c r="Y12" s="71">
        <f>IF(ISNUMBER(Matching_Engine!$AT$12),Matching_Engine!$AT$12,999)</f>
        <v>83</v>
      </c>
      <c r="Z12" s="71">
        <f ca="1">MIN($T$12:$Y$12)</f>
        <v>70</v>
      </c>
      <c r="AA12" s="57" t="str">
        <f ca="1">INDEX({"Brand &amp; Business Relevance","Target Audience Relevance","Content &amp; Category Relevance","Brand Personality Fit","Performance Quality","Brand Safety"},MATCH($Z$12,$T$12:$Y$12,0))</f>
        <v>Content &amp; Category Relevance</v>
      </c>
    </row>
    <row r="13" spans="1:27">
      <c r="A13" s="57" t="str">
        <f>Matching_Engine!$B$13</f>
        <v>Nusatech Cloud</v>
      </c>
      <c r="B13" s="57" t="str">
        <f>Matching_Engine!$D$13</f>
        <v>Tania Wijaya</v>
      </c>
      <c r="C13" s="57" t="str">
        <f>Matching_Engine!$E$13</f>
        <v>@taniainvest</v>
      </c>
      <c r="D13" s="70" t="str">
        <f ca="1">Matching_Engine!$AY$13</f>
        <v/>
      </c>
      <c r="E13" s="57" t="str">
        <f>Matching_Engine!$AZ$13</f>
        <v>BRAND-A|KOL-08</v>
      </c>
      <c r="F13" s="57" t="str">
        <f ca="1">IF(NOT(ISNUMBER(Matching_Engine!$AY$13)),"Not scored: no component of the model had data for this account, so no match can be claimed either way.",Matching_Engine!$AZ$13&amp;" — "&amp;Matching_Engine!$AY$13&amp;"/100 against "&amp;Matching_Engine!$B$13&amp;". "&amp;"Strongest factor "&amp;$S$13&amp;" at "&amp;$R$13&amp;"; weakest "&amp;$AA$13&amp;" at "&amp;$Z$13&amp;". "&amp;IF(AND(ISTEXT(Matching_Engine!$G$13),Matching_Engine!$G$13&lt;&gt;"N/A"),"Tagged category "&amp;Matching_Engine!$G$13&amp;" scores "&amp;IF(ISNUMBER(Matching_Engine!$J$13),Matching_Engine!$J$13,0)&amp;" against the brand category "&amp;Matching_Engine!$B$13&amp;" targets. ","Creator carries no category on record, so the category-driven parts fall back to neutral rather than penalising the creator. ")&amp;IF(ISNUMBER(Matching_Engine!$R$13),"Audience-interest overlap "&amp;Matching_Engine!$R$13&amp;". ","Audience interests unmeasured. ")&amp;IF(Matching_Engine!$AX$13&lt;100,"Scored on "&amp;Matching_Engine!$AX$13&amp;" of the 100 nominal weight points; the rest had no data.",""))</f>
        <v>Not scored: no component of the model had data for this account, so no match can be claimed either way.</v>
      </c>
      <c r="G13" s="57" t="str">
        <f ca="1">IF(NOT(ISNUMBER(Matching_Engine!$AY$13)),"N/A",$S$13&amp;" ("&amp;$R$13&amp;"/100)")</f>
        <v>N/A</v>
      </c>
      <c r="H13" s="57" t="str">
        <f ca="1">IF(NOT(ISNUMBER(Matching_Engine!$AY$13)),"N/A",$AA$13&amp;" ("&amp;$Z$13&amp;"/100)")</f>
        <v>N/A</v>
      </c>
      <c r="I13" s="57" t="str">
        <f ca="1">IF(NOT(ISNUMBER(Matching_Engine!$AY$13)),"No data to consider: this account has no measured signal.",IF($Z$13&lt;Lookup_Lists!$D$161,$AA$13&amp;" sits at "&amp;$Z$13&amp;", below the "&amp;Lookup_Lists!$D$161&amp;"-point consideration threshold"&amp;IF(Matching_Engine!$AF$13=0," · Brand Personality Fit could not be scored at all: no creator personality, tone, values or content-style column exists","")&amp;IF(Matching_Engine!$AI$13="N/A"," · posting cadence unusable, so Consistency is excluded from Performance","")&amp;".","No component falls below the "&amp;Lookup_Lists!$D$161&amp;"-point consideration threshold."))</f>
        <v>No data to consider: this account has no measured signal.</v>
      </c>
      <c r="J13" s="57" t="str">
        <f ca="1">Matching_Engine!$AV$13&amp;" — "&amp;Matching_Engine!$AW$13&amp;IF(Matching_Engine!$BB$13="Limited Data"," Confidence is Limited Data: "&amp;Matching_Engine!$BA$13&amp;"% of tracked fields carry a value.","")</f>
        <v>EXCLUDED — Audience Quality below Minimum Audience Quality</v>
      </c>
      <c r="K13" s="57" t="str">
        <f ca="1">IF(NOT(ISNUMBER(Matching_Engine!$AY$13)),"Do not shortlist on this data — re-scrape the account first.",IF(Matching_Engine!$AY$13&gt;=Lookup_Lists!$D$156,"Highly Recommended",IF(Matching_Engine!$AY$13&gt;=Lookup_Lists!$D$157,"Recommended",IF(Matching_Engine!$AY$13&gt;=Lookup_Lists!$D$158,"Consider","Low Priority")))&amp;IF(Matching_Engine!$AX$13&lt;100," (on partial data)",""))</f>
        <v>Do not shortlist on this data — re-scrape the account first.</v>
      </c>
      <c r="L13" s="71">
        <f>IF(ISNUMBER(Matching_Engine!$M$13),Matching_Engine!$M$13,-1)</f>
        <v>80</v>
      </c>
      <c r="M13" s="71">
        <f ca="1">IF(ISNUMBER(Matching_Engine!$S$13),Matching_Engine!$S$13,-1)</f>
        <v>92</v>
      </c>
      <c r="N13" s="71">
        <f>IF(ISNUMBER(Matching_Engine!$Y$13),Matching_Engine!$Y$13,-1)</f>
        <v>95</v>
      </c>
      <c r="O13" s="71">
        <f>IF(ISNUMBER(Matching_Engine!$AE$13),Matching_Engine!$AE$13,-1)</f>
        <v>64</v>
      </c>
      <c r="P13" s="71">
        <f>IF(ISNUMBER(Matching_Engine!$AM$13),Matching_Engine!$AM$13,-1)</f>
        <v>-1</v>
      </c>
      <c r="Q13" s="71">
        <f>IF(ISNUMBER(Matching_Engine!$AT$13),Matching_Engine!$AT$13,-1)</f>
        <v>82</v>
      </c>
      <c r="R13" s="71">
        <f ca="1">MAX($L$13:$Q$13)</f>
        <v>95</v>
      </c>
      <c r="S13" s="57" t="str">
        <f ca="1">INDEX({"Brand &amp; Business Relevance","Target Audience Relevance","Content &amp; Category Relevance","Brand Personality Fit","Performance Quality","Brand Safety"},MATCH($R$13,$L$13:$Q$13,0))</f>
        <v>Content &amp; Category Relevance</v>
      </c>
      <c r="T13" s="71">
        <f>IF(ISNUMBER(Matching_Engine!$M$13),Matching_Engine!$M$13,999)</f>
        <v>80</v>
      </c>
      <c r="U13" s="71">
        <f ca="1">IF(ISNUMBER(Matching_Engine!$S$13),Matching_Engine!$S$13,999)</f>
        <v>92</v>
      </c>
      <c r="V13" s="71">
        <f>IF(ISNUMBER(Matching_Engine!$Y$13),Matching_Engine!$Y$13,999)</f>
        <v>95</v>
      </c>
      <c r="W13" s="71">
        <f>IF(ISNUMBER(Matching_Engine!$AE$13),Matching_Engine!$AE$13,999)</f>
        <v>64</v>
      </c>
      <c r="X13" s="71">
        <f>IF(ISNUMBER(Matching_Engine!$AM$13),Matching_Engine!$AM$13,999)</f>
        <v>999</v>
      </c>
      <c r="Y13" s="71">
        <f>IF(ISNUMBER(Matching_Engine!$AT$13),Matching_Engine!$AT$13,999)</f>
        <v>82</v>
      </c>
      <c r="Z13" s="71">
        <f ca="1">MIN($T$13:$Y$13)</f>
        <v>64</v>
      </c>
      <c r="AA13" s="57" t="str">
        <f ca="1">INDEX({"Brand &amp; Business Relevance","Target Audience Relevance","Content &amp; Category Relevance","Brand Personality Fit","Performance Quality","Brand Safety"},MATCH($Z$13,$T$13:$Y$13,0))</f>
        <v>Brand Personality Fit</v>
      </c>
    </row>
    <row r="14" spans="1:27">
      <c r="A14" s="57" t="str">
        <f>Matching_Engine!$B$14</f>
        <v>Nusatech Cloud</v>
      </c>
      <c r="B14" s="57" t="str">
        <f>Matching_Engine!$D$14</f>
        <v>Gilang Prakoso</v>
      </c>
      <c r="C14" s="57" t="str">
        <f>Matching_Engine!$E$14</f>
        <v>@gilangbelajar</v>
      </c>
      <c r="D14" s="70">
        <f ca="1">Matching_Engine!$AY$14</f>
        <v>81</v>
      </c>
      <c r="E14" s="57" t="str">
        <f>Matching_Engine!$AZ$14</f>
        <v>BRAND-A|KOL-09</v>
      </c>
      <c r="F14" s="57" t="str">
        <f ca="1">IF(NOT(ISNUMBER(Matching_Engine!$AY$14)),"Not scored: no component of the model had data for this account, so no match can be claimed either way.",Matching_Engine!$AZ$14&amp;" — "&amp;Matching_Engine!$AY$14&amp;"/100 against "&amp;Matching_Engine!$B$14&amp;". "&amp;"Strongest factor "&amp;$S$14&amp;" at "&amp;$R$14&amp;"; weakest "&amp;$AA$14&amp;" at "&amp;$Z$14&amp;". "&amp;IF(AND(ISTEXT(Matching_Engine!$G$14),Matching_Engine!$G$14&lt;&gt;"N/A"),"Tagged category "&amp;Matching_Engine!$G$14&amp;" scores "&amp;IF(ISNUMBER(Matching_Engine!$J$14),Matching_Engine!$J$14,0)&amp;" against the brand category "&amp;Matching_Engine!$B$14&amp;" targets. ","Creator carries no category on record, so the category-driven parts fall back to neutral rather than penalising the creator. ")&amp;IF(ISNUMBER(Matching_Engine!$R$14),"Audience-interest overlap "&amp;Matching_Engine!$R$14&amp;". ","Audience interests unmeasured. ")&amp;IF(Matching_Engine!$AX$14&lt;100,"Scored on "&amp;Matching_Engine!$AX$14&amp;" of the 100 nominal weight points; the rest had no data.",""))</f>
        <v>BRAND-A|KOL-09 — 81/100 against Nusatech Cloud. Strongest factor Content &amp; Category Relevance at 95; weakest Brand &amp; Business Relevance at 80. Tagged category Education scores 6,8 against the brand category Nusatech Cloud targets. Audience-interest overlap 80. </v>
      </c>
      <c r="G14" s="57" t="str">
        <f ca="1">IF(NOT(ISNUMBER(Matching_Engine!$AY$14)),"N/A",$S$14&amp;" ("&amp;$R$14&amp;"/100)")</f>
        <v>Content &amp; Category Relevance (95/100)</v>
      </c>
      <c r="H14" s="57" t="str">
        <f ca="1">IF(NOT(ISNUMBER(Matching_Engine!$AY$14)),"N/A",$AA$14&amp;" ("&amp;$Z$14&amp;"/100)")</f>
        <v>Brand &amp; Business Relevance (80/100)</v>
      </c>
      <c r="I14" s="57" t="str">
        <f ca="1">IF(NOT(ISNUMBER(Matching_Engine!$AY$14)),"No data to consider: this account has no measured signal.",IF($Z$14&lt;Lookup_Lists!$D$161,$AA$14&amp;" sits at "&amp;$Z$14&amp;", below the "&amp;Lookup_Lists!$D$161&amp;"-point consideration threshold"&amp;IF(Matching_Engine!$AF$14=0," · Brand Personality Fit could not be scored at all: no creator personality, tone, values or content-style column exists","")&amp;IF(Matching_Engine!$AI$14="N/A"," · posting cadence unusable, so Consistency is excluded from Performance","")&amp;".","No component falls below the "&amp;Lookup_Lists!$D$161&amp;"-point consideration threshold."))</f>
        <v>No component falls below the 75-point consideration threshold.</v>
      </c>
      <c r="J14" s="57" t="str">
        <f ca="1">Matching_Engine!$AV$14&amp;" — "&amp;Matching_Engine!$AW$14&amp;IF(Matching_Engine!$BB$14="Limited Data"," Confidence is Limited Data: "&amp;Matching_Engine!$BA$14&amp;"% of tracked fields carry a value.","")</f>
        <v>PASS — </v>
      </c>
      <c r="K14" s="57" t="str">
        <f ca="1">IF(NOT(ISNUMBER(Matching_Engine!$AY$14)),"Do not shortlist on this data — re-scrape the account first.",IF(Matching_Engine!$AY$14&gt;=Lookup_Lists!$D$156,"Highly Recommended",IF(Matching_Engine!$AY$14&gt;=Lookup_Lists!$D$157,"Recommended",IF(Matching_Engine!$AY$14&gt;=Lookup_Lists!$D$158,"Consider","Low Priority")))&amp;IF(Matching_Engine!$AX$14&lt;100," (on partial data)",""))</f>
        <v>Recommended</v>
      </c>
      <c r="L14" s="71">
        <f>IF(ISNUMBER(Matching_Engine!$M$14),Matching_Engine!$M$14,-1)</f>
        <v>80</v>
      </c>
      <c r="M14" s="71">
        <f ca="1">IF(ISNUMBER(Matching_Engine!$S$14),Matching_Engine!$S$14,-1)</f>
        <v>83</v>
      </c>
      <c r="N14" s="71">
        <f>IF(ISNUMBER(Matching_Engine!$Y$14),Matching_Engine!$Y$14,-1)</f>
        <v>95</v>
      </c>
      <c r="O14" s="71">
        <f>IF(ISNUMBER(Matching_Engine!$AE$14),Matching_Engine!$AE$14,-1)</f>
        <v>86</v>
      </c>
      <c r="P14" s="71">
        <f>IF(ISNUMBER(Matching_Engine!$AM$14),Matching_Engine!$AM$14,-1)</f>
        <v>-1</v>
      </c>
      <c r="Q14" s="71">
        <f>IF(ISNUMBER(Matching_Engine!$AT$14),Matching_Engine!$AT$14,-1)</f>
        <v>80</v>
      </c>
      <c r="R14" s="71">
        <f ca="1">MAX($L$14:$Q$14)</f>
        <v>95</v>
      </c>
      <c r="S14" s="57" t="str">
        <f ca="1">INDEX({"Brand &amp; Business Relevance","Target Audience Relevance","Content &amp; Category Relevance","Brand Personality Fit","Performance Quality","Brand Safety"},MATCH($R$14,$L$14:$Q$14,0))</f>
        <v>Content &amp; Category Relevance</v>
      </c>
      <c r="T14" s="71">
        <f>IF(ISNUMBER(Matching_Engine!$M$14),Matching_Engine!$M$14,999)</f>
        <v>80</v>
      </c>
      <c r="U14" s="71">
        <f ca="1">IF(ISNUMBER(Matching_Engine!$S$14),Matching_Engine!$S$14,999)</f>
        <v>83</v>
      </c>
      <c r="V14" s="71">
        <f>IF(ISNUMBER(Matching_Engine!$Y$14),Matching_Engine!$Y$14,999)</f>
        <v>95</v>
      </c>
      <c r="W14" s="71">
        <f>IF(ISNUMBER(Matching_Engine!$AE$14),Matching_Engine!$AE$14,999)</f>
        <v>86</v>
      </c>
      <c r="X14" s="71">
        <f>IF(ISNUMBER(Matching_Engine!$AM$14),Matching_Engine!$AM$14,999)</f>
        <v>999</v>
      </c>
      <c r="Y14" s="71">
        <f>IF(ISNUMBER(Matching_Engine!$AT$14),Matching_Engine!$AT$14,999)</f>
        <v>80</v>
      </c>
      <c r="Z14" s="71">
        <f ca="1">MIN($T$14:$Y$14)</f>
        <v>80</v>
      </c>
      <c r="AA14" s="57" t="str">
        <f ca="1">INDEX({"Brand &amp; Business Relevance","Target Audience Relevance","Content &amp; Category Relevance","Brand Personality Fit","Performance Quality","Brand Safety"},MATCH($Z$14,$T$14:$Y$14,0))</f>
        <v>Brand &amp; Business Relevance</v>
      </c>
    </row>
    <row r="15" spans="1:27">
      <c r="A15" s="57" t="str">
        <f>Matching_Engine!$B$15</f>
        <v>Nusatech Cloud</v>
      </c>
      <c r="B15" s="57" t="str">
        <f>Matching_Engine!$D$15</f>
        <v>Mira Handayani</v>
      </c>
      <c r="C15" s="57" t="str">
        <f>Matching_Engine!$E$15</f>
        <v>@mirabahasa</v>
      </c>
      <c r="D15" s="70">
        <f ca="1">Matching_Engine!$AY$15</f>
        <v>74</v>
      </c>
      <c r="E15" s="57" t="str">
        <f>Matching_Engine!$AZ$15</f>
        <v>BRAND-A|KOL-10</v>
      </c>
      <c r="F15" s="57" t="str">
        <f ca="1">IF(NOT(ISNUMBER(Matching_Engine!$AY$15)),"Not scored: no component of the model had data for this account, so no match can be claimed either way.",Matching_Engine!$AZ$15&amp;" — "&amp;Matching_Engine!$AY$15&amp;"/100 against "&amp;Matching_Engine!$B$15&amp;". "&amp;"Strongest factor "&amp;$S$15&amp;" at "&amp;$R$15&amp;"; weakest "&amp;$AA$15&amp;" at "&amp;$Z$15&amp;". "&amp;IF(AND(ISTEXT(Matching_Engine!$G$15),Matching_Engine!$G$15&lt;&gt;"N/A"),"Tagged category "&amp;Matching_Engine!$G$15&amp;" scores "&amp;IF(ISNUMBER(Matching_Engine!$J$15),Matching_Engine!$J$15,0)&amp;" against the brand category "&amp;Matching_Engine!$B$15&amp;" targets. ","Creator carries no category on record, so the category-driven parts fall back to neutral rather than penalising the creator. ")&amp;IF(ISNUMBER(Matching_Engine!$R$15),"Audience-interest overlap "&amp;Matching_Engine!$R$15&amp;". ","Audience interests unmeasured. ")&amp;IF(Matching_Engine!$AX$15&lt;100,"Scored on "&amp;Matching_Engine!$AX$15&amp;" of the 100 nominal weight points; the rest had no data.",""))</f>
        <v>BRAND-A|KOL-10 — 74/100 against Nusatech Cloud. Strongest factor Content &amp; Category Relevance at 95; weakest Brand &amp; Business Relevance at 60. Tagged category Education scores 4,9 against the brand category Nusatech Cloud targets. Audience-interest overlap 60. </v>
      </c>
      <c r="G15" s="57" t="str">
        <f ca="1">IF(NOT(ISNUMBER(Matching_Engine!$AY$15)),"N/A",$S$15&amp;" ("&amp;$R$15&amp;"/100)")</f>
        <v>Content &amp; Category Relevance (95/100)</v>
      </c>
      <c r="H15" s="57" t="str">
        <f ca="1">IF(NOT(ISNUMBER(Matching_Engine!$AY$15)),"N/A",$AA$15&amp;" ("&amp;$Z$15&amp;"/100)")</f>
        <v>Brand &amp; Business Relevance (60/100)</v>
      </c>
      <c r="I15" s="57" t="str">
        <f ca="1">IF(NOT(ISNUMBER(Matching_Engine!$AY$15)),"No data to consider: this account has no measured signal.",IF($Z$15&lt;Lookup_Lists!$D$161,$AA$15&amp;" sits at "&amp;$Z$15&amp;", below the "&amp;Lookup_Lists!$D$161&amp;"-point consideration threshold"&amp;IF(Matching_Engine!$AF$15=0," · Brand Personality Fit could not be scored at all: no creator personality, tone, values or content-style column exists","")&amp;IF(Matching_Engine!$AI$15="N/A"," · posting cadence unusable, so Consistency is excluded from Performance","")&amp;".","No component falls below the "&amp;Lookup_Lists!$D$161&amp;"-point consideration threshold."))</f>
        <v>Brand &amp; Business Relevance sits at 60, below the 75-point consideration threshold.</v>
      </c>
      <c r="J15" s="57" t="str">
        <f ca="1">Matching_Engine!$AV$15&amp;" — "&amp;Matching_Engine!$AW$15&amp;IF(Matching_Engine!$BB$15="Limited Data"," Confidence is Limited Data: "&amp;Matching_Engine!$BA$15&amp;"% of tracked fields carry a value.","")</f>
        <v>PASS — </v>
      </c>
      <c r="K15" s="57" t="str">
        <f ca="1">IF(NOT(ISNUMBER(Matching_Engine!$AY$15)),"Do not shortlist on this data — re-scrape the account first.",IF(Matching_Engine!$AY$15&gt;=Lookup_Lists!$D$156,"Highly Recommended",IF(Matching_Engine!$AY$15&gt;=Lookup_Lists!$D$157,"Recommended",IF(Matching_Engine!$AY$15&gt;=Lookup_Lists!$D$158,"Consider","Low Priority")))&amp;IF(Matching_Engine!$AX$15&lt;100," (on partial data)",""))</f>
        <v>Recommended</v>
      </c>
      <c r="L15" s="71">
        <f>IF(ISNUMBER(Matching_Engine!$M$15),Matching_Engine!$M$15,-1)</f>
        <v>60</v>
      </c>
      <c r="M15" s="71">
        <f ca="1">IF(ISNUMBER(Matching_Engine!$S$15),Matching_Engine!$S$15,-1)</f>
        <v>74</v>
      </c>
      <c r="N15" s="71">
        <f>IF(ISNUMBER(Matching_Engine!$Y$15),Matching_Engine!$Y$15,-1)</f>
        <v>95</v>
      </c>
      <c r="O15" s="71">
        <f>IF(ISNUMBER(Matching_Engine!$AE$15),Matching_Engine!$AE$15,-1)</f>
        <v>75</v>
      </c>
      <c r="P15" s="71">
        <f>IF(ISNUMBER(Matching_Engine!$AM$15),Matching_Engine!$AM$15,-1)</f>
        <v>-1</v>
      </c>
      <c r="Q15" s="71">
        <f>IF(ISNUMBER(Matching_Engine!$AT$15),Matching_Engine!$AT$15,-1)</f>
        <v>74</v>
      </c>
      <c r="R15" s="71">
        <f ca="1">MAX($L$15:$Q$15)</f>
        <v>95</v>
      </c>
      <c r="S15" s="57" t="str">
        <f ca="1">INDEX({"Brand &amp; Business Relevance","Target Audience Relevance","Content &amp; Category Relevance","Brand Personality Fit","Performance Quality","Brand Safety"},MATCH($R$15,$L$15:$Q$15,0))</f>
        <v>Content &amp; Category Relevance</v>
      </c>
      <c r="T15" s="71">
        <f>IF(ISNUMBER(Matching_Engine!$M$15),Matching_Engine!$M$15,999)</f>
        <v>60</v>
      </c>
      <c r="U15" s="71">
        <f ca="1">IF(ISNUMBER(Matching_Engine!$S$15),Matching_Engine!$S$15,999)</f>
        <v>74</v>
      </c>
      <c r="V15" s="71">
        <f>IF(ISNUMBER(Matching_Engine!$Y$15),Matching_Engine!$Y$15,999)</f>
        <v>95</v>
      </c>
      <c r="W15" s="71">
        <f>IF(ISNUMBER(Matching_Engine!$AE$15),Matching_Engine!$AE$15,999)</f>
        <v>75</v>
      </c>
      <c r="X15" s="71">
        <f>IF(ISNUMBER(Matching_Engine!$AM$15),Matching_Engine!$AM$15,999)</f>
        <v>999</v>
      </c>
      <c r="Y15" s="71">
        <f>IF(ISNUMBER(Matching_Engine!$AT$15),Matching_Engine!$AT$15,999)</f>
        <v>74</v>
      </c>
      <c r="Z15" s="71">
        <f ca="1">MIN($T$15:$Y$15)</f>
        <v>60</v>
      </c>
      <c r="AA15" s="57" t="str">
        <f ca="1">INDEX({"Brand &amp; Business Relevance","Target Audience Relevance","Content &amp; Category Relevance","Brand Personality Fit","Performance Quality","Brand Safety"},MATCH($Z$15,$T$15:$Y$15,0))</f>
        <v>Brand &amp; Business Relevance</v>
      </c>
    </row>
    <row r="16" spans="1:27">
      <c r="A16" s="57" t="str">
        <f>Matching_Engine!$B$16</f>
        <v>Nusatech Cloud</v>
      </c>
      <c r="B16" s="57" t="str">
        <f>Matching_Engine!$D$16</f>
        <v>Dimas Anggara</v>
      </c>
      <c r="C16" s="57" t="str">
        <f>Matching_Engine!$E$16</f>
        <v>@dimasfit</v>
      </c>
      <c r="D16" s="70" t="str">
        <f ca="1">Matching_Engine!$AY$16</f>
        <v/>
      </c>
      <c r="E16" s="57" t="str">
        <f>Matching_Engine!$AZ$16</f>
        <v>BRAND-A|KOL-11</v>
      </c>
      <c r="F16" s="57" t="str">
        <f ca="1">IF(NOT(ISNUMBER(Matching_Engine!$AY$16)),"Not scored: no component of the model had data for this account, so no match can be claimed either way.",Matching_Engine!$AZ$16&amp;" — "&amp;Matching_Engine!$AY$16&amp;"/100 against "&amp;Matching_Engine!$B$16&amp;". "&amp;"Strongest factor "&amp;$S$16&amp;" at "&amp;$R$16&amp;"; weakest "&amp;$AA$16&amp;" at "&amp;$Z$16&amp;". "&amp;IF(AND(ISTEXT(Matching_Engine!$G$16),Matching_Engine!$G$16&lt;&gt;"N/A"),"Tagged category "&amp;Matching_Engine!$G$16&amp;" scores "&amp;IF(ISNUMBER(Matching_Engine!$J$16),Matching_Engine!$J$16,0)&amp;" against the brand category "&amp;Matching_Engine!$B$16&amp;" targets. ","Creator carries no category on record, so the category-driven parts fall back to neutral rather than penalising the creator. ")&amp;IF(ISNUMBER(Matching_Engine!$R$16),"Audience-interest overlap "&amp;Matching_Engine!$R$16&amp;". ","Audience interests unmeasured. ")&amp;IF(Matching_Engine!$AX$16&lt;100,"Scored on "&amp;Matching_Engine!$AX$16&amp;" of the 100 nominal weight points; the rest had no data.",""))</f>
        <v>Not scored: no component of the model had data for this account, so no match can be claimed either way.</v>
      </c>
      <c r="G16" s="57" t="str">
        <f ca="1">IF(NOT(ISNUMBER(Matching_Engine!$AY$16)),"N/A",$S$16&amp;" ("&amp;$R$16&amp;"/100)")</f>
        <v>N/A</v>
      </c>
      <c r="H16" s="57" t="str">
        <f ca="1">IF(NOT(ISNUMBER(Matching_Engine!$AY$16)),"N/A",$AA$16&amp;" ("&amp;$Z$16&amp;"/100)")</f>
        <v>N/A</v>
      </c>
      <c r="I16" s="57" t="str">
        <f ca="1">IF(NOT(ISNUMBER(Matching_Engine!$AY$16)),"No data to consider: this account has no measured signal.",IF($Z$16&lt;Lookup_Lists!$D$161,$AA$16&amp;" sits at "&amp;$Z$16&amp;", below the "&amp;Lookup_Lists!$D$161&amp;"-point consideration threshold"&amp;IF(Matching_Engine!$AF$16=0," · Brand Personality Fit could not be scored at all: no creator personality, tone, values or content-style column exists","")&amp;IF(Matching_Engine!$AI$16="N/A"," · posting cadence unusable, so Consistency is excluded from Performance","")&amp;".","No component falls below the "&amp;Lookup_Lists!$D$161&amp;"-point consideration threshold."))</f>
        <v>No data to consider: this account has no measured signal.</v>
      </c>
      <c r="J16" s="57" t="str">
        <f ca="1">Matching_Engine!$AV$16&amp;" — "&amp;Matching_Engine!$AW$16&amp;IF(Matching_Engine!$BB$16="Limited Data"," Confidence is Limited Data: "&amp;Matching_Engine!$BA$16&amp;"% of tracked fields carry a value.","")</f>
        <v>EXCLUDED — Audience Quality below Minimum Audience Quality</v>
      </c>
      <c r="K16" s="57" t="str">
        <f ca="1">IF(NOT(ISNUMBER(Matching_Engine!$AY$16)),"Do not shortlist on this data — re-scrape the account first.",IF(Matching_Engine!$AY$16&gt;=Lookup_Lists!$D$156,"Highly Recommended",IF(Matching_Engine!$AY$16&gt;=Lookup_Lists!$D$157,"Recommended",IF(Matching_Engine!$AY$16&gt;=Lookup_Lists!$D$158,"Consider","Low Priority")))&amp;IF(Matching_Engine!$AX$16&lt;100," (on partial data)",""))</f>
        <v>Do not shortlist on this data — re-scrape the account first.</v>
      </c>
      <c r="L16" s="71">
        <f>IF(ISNUMBER(Matching_Engine!$M$16),Matching_Engine!$M$16,-1)</f>
        <v>0</v>
      </c>
      <c r="M16" s="71">
        <f ca="1">IF(ISNUMBER(Matching_Engine!$S$16),Matching_Engine!$S$16,-1)</f>
        <v>58</v>
      </c>
      <c r="N16" s="71">
        <f>IF(ISNUMBER(Matching_Engine!$Y$16),Matching_Engine!$Y$16,-1)</f>
        <v>70</v>
      </c>
      <c r="O16" s="71">
        <f>IF(ISNUMBER(Matching_Engine!$AE$16),Matching_Engine!$AE$16,-1)</f>
        <v>61</v>
      </c>
      <c r="P16" s="71">
        <f>IF(ISNUMBER(Matching_Engine!$AM$16),Matching_Engine!$AM$16,-1)</f>
        <v>-1</v>
      </c>
      <c r="Q16" s="71">
        <f>IF(ISNUMBER(Matching_Engine!$AT$16),Matching_Engine!$AT$16,-1)</f>
        <v>39</v>
      </c>
      <c r="R16" s="71">
        <f ca="1">MAX($L$16:$Q$16)</f>
        <v>70</v>
      </c>
      <c r="S16" s="57" t="str">
        <f ca="1">INDEX({"Brand &amp; Business Relevance","Target Audience Relevance","Content &amp; Category Relevance","Brand Personality Fit","Performance Quality","Brand Safety"},MATCH($R$16,$L$16:$Q$16,0))</f>
        <v>Content &amp; Category Relevance</v>
      </c>
      <c r="T16" s="71">
        <f>IF(ISNUMBER(Matching_Engine!$M$16),Matching_Engine!$M$16,999)</f>
        <v>0</v>
      </c>
      <c r="U16" s="71">
        <f ca="1">IF(ISNUMBER(Matching_Engine!$S$16),Matching_Engine!$S$16,999)</f>
        <v>58</v>
      </c>
      <c r="V16" s="71">
        <f>IF(ISNUMBER(Matching_Engine!$Y$16),Matching_Engine!$Y$16,999)</f>
        <v>70</v>
      </c>
      <c r="W16" s="71">
        <f>IF(ISNUMBER(Matching_Engine!$AE$16),Matching_Engine!$AE$16,999)</f>
        <v>61</v>
      </c>
      <c r="X16" s="71">
        <f>IF(ISNUMBER(Matching_Engine!$AM$16),Matching_Engine!$AM$16,999)</f>
        <v>999</v>
      </c>
      <c r="Y16" s="71">
        <f>IF(ISNUMBER(Matching_Engine!$AT$16),Matching_Engine!$AT$16,999)</f>
        <v>39</v>
      </c>
      <c r="Z16" s="71">
        <f ca="1">MIN($T$16:$Y$16)</f>
        <v>0</v>
      </c>
      <c r="AA16" s="57" t="str">
        <f ca="1">INDEX({"Brand &amp; Business Relevance","Target Audience Relevance","Content &amp; Category Relevance","Brand Personality Fit","Performance Quality","Brand Safety"},MATCH($Z$16,$T$16:$Y$16,0))</f>
        <v>Brand &amp; Business Relevance</v>
      </c>
    </row>
    <row r="17" spans="1:27">
      <c r="A17" s="57" t="str">
        <f>Matching_Engine!$B$17</f>
        <v>Nusatech Cloud</v>
      </c>
      <c r="B17" s="57" t="str">
        <f>Matching_Engine!$D$17</f>
        <v>Rani Kusuma</v>
      </c>
      <c r="C17" s="57" t="str">
        <f>Matching_Engine!$E$17</f>
        <v>@ranihomeworkout</v>
      </c>
      <c r="D17" s="70">
        <f ca="1">Matching_Engine!$AY$17</f>
        <v>48</v>
      </c>
      <c r="E17" s="57" t="str">
        <f>Matching_Engine!$AZ$17</f>
        <v>BRAND-A|KOL-12</v>
      </c>
      <c r="F17" s="57" t="str">
        <f ca="1">IF(NOT(ISNUMBER(Matching_Engine!$AY$17)),"Not scored: no component of the model had data for this account, so no match can be claimed either way.",Matching_Engine!$AZ$17&amp;" — "&amp;Matching_Engine!$AY$17&amp;"/100 against "&amp;Matching_Engine!$B$17&amp;". "&amp;"Strongest factor "&amp;$S$17&amp;" at "&amp;$R$17&amp;"; weakest "&amp;$AA$17&amp;" at "&amp;$Z$17&amp;". "&amp;IF(AND(ISTEXT(Matching_Engine!$G$17),Matching_Engine!$G$17&lt;&gt;"N/A"),"Tagged category "&amp;Matching_Engine!$G$17&amp;" scores "&amp;IF(ISNUMBER(Matching_Engine!$J$17),Matching_Engine!$J$17,0)&amp;" against the brand category "&amp;Matching_Engine!$B$17&amp;" targets. ","Creator carries no category on record, so the category-driven parts fall back to neutral rather than penalising the creator. ")&amp;IF(ISNUMBER(Matching_Engine!$R$17),"Audience-interest overlap "&amp;Matching_Engine!$R$17&amp;". ","Audience interests unmeasured. ")&amp;IF(Matching_Engine!$AX$17&lt;100,"Scored on "&amp;Matching_Engine!$AX$17&amp;" of the 100 nominal weight points; the rest had no data.",""))</f>
        <v>BRAND-A|KOL-12 — 48/100 against Nusatech Cloud. Strongest factor Brand Personality Fit at 80; weakest Brand &amp; Business Relevance at 0. Tagged category Fitness scores 6,5 against the brand category Nusatech Cloud targets. Audience-interest overlap 0. </v>
      </c>
      <c r="G17" s="57" t="str">
        <f ca="1">IF(NOT(ISNUMBER(Matching_Engine!$AY$17)),"N/A",$S$17&amp;" ("&amp;$R$17&amp;"/100)")</f>
        <v>Brand Personality Fit (80/100)</v>
      </c>
      <c r="H17" s="57" t="str">
        <f ca="1">IF(NOT(ISNUMBER(Matching_Engine!$AY$17)),"N/A",$AA$17&amp;" ("&amp;$Z$17&amp;"/100)")</f>
        <v>Brand &amp; Business Relevance (0/100)</v>
      </c>
      <c r="I17" s="57" t="str">
        <f ca="1">IF(NOT(ISNUMBER(Matching_Engine!$AY$17)),"No data to consider: this account has no measured signal.",IF($Z$17&lt;Lookup_Lists!$D$161,$AA$17&amp;" sits at "&amp;$Z$17&amp;", below the "&amp;Lookup_Lists!$D$161&amp;"-point consideration threshold"&amp;IF(Matching_Engine!$AF$17=0," · Brand Personality Fit could not be scored at all: no creator personality, tone, values or content-style column exists","")&amp;IF(Matching_Engine!$AI$17="N/A"," · posting cadence unusable, so Consistency is excluded from Performance","")&amp;".","No component falls below the "&amp;Lookup_Lists!$D$161&amp;"-point consideration threshold."))</f>
        <v>Brand &amp; Business Relevance sits at 0, below the 75-point consideration threshold.</v>
      </c>
      <c r="J17" s="57" t="str">
        <f ca="1">Matching_Engine!$AV$17&amp;" — "&amp;Matching_Engine!$AW$17&amp;IF(Matching_Engine!$BB$17="Limited Data"," Confidence is Limited Data: "&amp;Matching_Engine!$BA$17&amp;"% of tracked fields carry a value.","")</f>
        <v>PASS — </v>
      </c>
      <c r="K17" s="57" t="str">
        <f ca="1">IF(NOT(ISNUMBER(Matching_Engine!$AY$17)),"Do not shortlist on this data — re-scrape the account first.",IF(Matching_Engine!$AY$17&gt;=Lookup_Lists!$D$156,"Highly Recommended",IF(Matching_Engine!$AY$17&gt;=Lookup_Lists!$D$157,"Recommended",IF(Matching_Engine!$AY$17&gt;=Lookup_Lists!$D$158,"Consider","Low Priority")))&amp;IF(Matching_Engine!$AX$17&lt;100," (on partial data)",""))</f>
        <v>Low Priority</v>
      </c>
      <c r="L17" s="71">
        <f>IF(ISNUMBER(Matching_Engine!$M$17),Matching_Engine!$M$17,-1)</f>
        <v>0</v>
      </c>
      <c r="M17" s="71">
        <f ca="1">IF(ISNUMBER(Matching_Engine!$S$17),Matching_Engine!$S$17,-1)</f>
        <v>49</v>
      </c>
      <c r="N17" s="71">
        <f>IF(ISNUMBER(Matching_Engine!$Y$17),Matching_Engine!$Y$17,-1)</f>
        <v>70</v>
      </c>
      <c r="O17" s="71">
        <f>IF(ISNUMBER(Matching_Engine!$AE$17),Matching_Engine!$AE$17,-1)</f>
        <v>80</v>
      </c>
      <c r="P17" s="71">
        <f>IF(ISNUMBER(Matching_Engine!$AM$17),Matching_Engine!$AM$17,-1)</f>
        <v>-1</v>
      </c>
      <c r="Q17" s="71">
        <f>IF(ISNUMBER(Matching_Engine!$AT$17),Matching_Engine!$AT$17,-1)</f>
        <v>39</v>
      </c>
      <c r="R17" s="71">
        <f ca="1">MAX($L$17:$Q$17)</f>
        <v>80</v>
      </c>
      <c r="S17" s="57" t="str">
        <f ca="1">INDEX({"Brand &amp; Business Relevance","Target Audience Relevance","Content &amp; Category Relevance","Brand Personality Fit","Performance Quality","Brand Safety"},MATCH($R$17,$L$17:$Q$17,0))</f>
        <v>Brand Personality Fit</v>
      </c>
      <c r="T17" s="71">
        <f>IF(ISNUMBER(Matching_Engine!$M$17),Matching_Engine!$M$17,999)</f>
        <v>0</v>
      </c>
      <c r="U17" s="71">
        <f ca="1">IF(ISNUMBER(Matching_Engine!$S$17),Matching_Engine!$S$17,999)</f>
        <v>49</v>
      </c>
      <c r="V17" s="71">
        <f>IF(ISNUMBER(Matching_Engine!$Y$17),Matching_Engine!$Y$17,999)</f>
        <v>70</v>
      </c>
      <c r="W17" s="71">
        <f>IF(ISNUMBER(Matching_Engine!$AE$17),Matching_Engine!$AE$17,999)</f>
        <v>80</v>
      </c>
      <c r="X17" s="71">
        <f>IF(ISNUMBER(Matching_Engine!$AM$17),Matching_Engine!$AM$17,999)</f>
        <v>999</v>
      </c>
      <c r="Y17" s="71">
        <f>IF(ISNUMBER(Matching_Engine!$AT$17),Matching_Engine!$AT$17,999)</f>
        <v>39</v>
      </c>
      <c r="Z17" s="71">
        <f ca="1">MIN($T$17:$Y$17)</f>
        <v>0</v>
      </c>
      <c r="AA17" s="57" t="str">
        <f ca="1">INDEX({"Brand &amp; Business Relevance","Target Audience Relevance","Content &amp; Category Relevance","Brand Personality Fit","Performance Quality","Brand Safety"},MATCH($Z$17,$T$17:$Y$17,0))</f>
        <v>Brand &amp; Business Relevance</v>
      </c>
    </row>
    <row r="18" spans="1:27">
      <c r="A18" s="57" t="str">
        <f>Matching_Engine!$B$18</f>
        <v>Nusatech Cloud</v>
      </c>
      <c r="B18" s="57" t="str">
        <f>Matching_Engine!$D$18</f>
        <v>Kevin Halim</v>
      </c>
      <c r="C18" s="57" t="str">
        <f>Matching_Engine!$E$18</f>
        <v>@kevinstyleid</v>
      </c>
      <c r="D18" s="70">
        <f ca="1">Matching_Engine!$AY$18</f>
        <v>45</v>
      </c>
      <c r="E18" s="57" t="str">
        <f>Matching_Engine!$AZ$18</f>
        <v>BRAND-A|KOL-13</v>
      </c>
      <c r="F18" s="57" t="str">
        <f ca="1">IF(NOT(ISNUMBER(Matching_Engine!$AY$18)),"Not scored: no component of the model had data for this account, so no match can be claimed either way.",Matching_Engine!$AZ$18&amp;" — "&amp;Matching_Engine!$AY$18&amp;"/100 against "&amp;Matching_Engine!$B$18&amp;". "&amp;"Strongest factor "&amp;$S$18&amp;" at "&amp;$R$18&amp;"; weakest "&amp;$AA$18&amp;" at "&amp;$Z$18&amp;". "&amp;IF(AND(ISTEXT(Matching_Engine!$G$18),Matching_Engine!$G$18&lt;&gt;"N/A"),"Tagged category "&amp;Matching_Engine!$G$18&amp;" scores "&amp;IF(ISNUMBER(Matching_Engine!$J$18),Matching_Engine!$J$18,0)&amp;" against the brand category "&amp;Matching_Engine!$B$18&amp;" targets. ","Creator carries no category on record, so the category-driven parts fall back to neutral rather than penalising the creator. ")&amp;IF(ISNUMBER(Matching_Engine!$R$18),"Audience-interest overlap "&amp;Matching_Engine!$R$18&amp;". ","Audience interests unmeasured. ")&amp;IF(Matching_Engine!$AX$18&lt;100,"Scored on "&amp;Matching_Engine!$AX$18&amp;" of the 100 nominal weight points; the rest had no data.",""))</f>
        <v>BRAND-A|KOL-13 — 45/100 against Nusatech Cloud. Strongest factor Content &amp; Category Relevance at 95; weakest Brand &amp; Business Relevance at 0. Tagged category Fashion scores 3,4 against the brand category Nusatech Cloud targets. Audience-interest overlap 0. </v>
      </c>
      <c r="G18" s="57" t="str">
        <f ca="1">IF(NOT(ISNUMBER(Matching_Engine!$AY$18)),"N/A",$S$18&amp;" ("&amp;$R$18&amp;"/100)")</f>
        <v>Content &amp; Category Relevance (95/100)</v>
      </c>
      <c r="H18" s="57" t="str">
        <f ca="1">IF(NOT(ISNUMBER(Matching_Engine!$AY$18)),"N/A",$AA$18&amp;" ("&amp;$Z$18&amp;"/100)")</f>
        <v>Brand &amp; Business Relevance (0/100)</v>
      </c>
      <c r="I18" s="57" t="str">
        <f ca="1">IF(NOT(ISNUMBER(Matching_Engine!$AY$18)),"No data to consider: this account has no measured signal.",IF($Z$18&lt;Lookup_Lists!$D$161,$AA$18&amp;" sits at "&amp;$Z$18&amp;", below the "&amp;Lookup_Lists!$D$161&amp;"-point consideration threshold"&amp;IF(Matching_Engine!$AF$18=0," · Brand Personality Fit could not be scored at all: no creator personality, tone, values or content-style column exists","")&amp;IF(Matching_Engine!$AI$18="N/A"," · posting cadence unusable, so Consistency is excluded from Performance","")&amp;".","No component falls below the "&amp;Lookup_Lists!$D$161&amp;"-point consideration threshold."))</f>
        <v>Brand &amp; Business Relevance sits at 0, below the 75-point consideration threshold.</v>
      </c>
      <c r="J18" s="57" t="str">
        <f ca="1">Matching_Engine!$AV$18&amp;" — "&amp;Matching_Engine!$AW$18&amp;IF(Matching_Engine!$BB$18="Limited Data"," Confidence is Limited Data: "&amp;Matching_Engine!$BA$18&amp;"% of tracked fields carry a value.","")</f>
        <v>PASS — </v>
      </c>
      <c r="K18" s="57" t="str">
        <f ca="1">IF(NOT(ISNUMBER(Matching_Engine!$AY$18)),"Do not shortlist on this data — re-scrape the account first.",IF(Matching_Engine!$AY$18&gt;=Lookup_Lists!$D$156,"Highly Recommended",IF(Matching_Engine!$AY$18&gt;=Lookup_Lists!$D$157,"Recommended",IF(Matching_Engine!$AY$18&gt;=Lookup_Lists!$D$158,"Consider","Low Priority")))&amp;IF(Matching_Engine!$AX$18&lt;100," (on partial data)",""))</f>
        <v>Low Priority</v>
      </c>
      <c r="L18" s="71">
        <f>IF(ISNUMBER(Matching_Engine!$M$18),Matching_Engine!$M$18,-1)</f>
        <v>0</v>
      </c>
      <c r="M18" s="71">
        <f ca="1">IF(ISNUMBER(Matching_Engine!$S$18),Matching_Engine!$S$18,-1)</f>
        <v>58</v>
      </c>
      <c r="N18" s="71">
        <f>IF(ISNUMBER(Matching_Engine!$Y$18),Matching_Engine!$Y$18,-1)</f>
        <v>95</v>
      </c>
      <c r="O18" s="71">
        <f>IF(ISNUMBER(Matching_Engine!$AE$18),Matching_Engine!$AE$18,-1)</f>
        <v>86</v>
      </c>
      <c r="P18" s="71">
        <f>IF(ISNUMBER(Matching_Engine!$AM$18),Matching_Engine!$AM$18,-1)</f>
        <v>-1</v>
      </c>
      <c r="Q18" s="71">
        <f>IF(ISNUMBER(Matching_Engine!$AT$18),Matching_Engine!$AT$18,-1)</f>
        <v>30</v>
      </c>
      <c r="R18" s="71">
        <f ca="1">MAX($L$18:$Q$18)</f>
        <v>95</v>
      </c>
      <c r="S18" s="57" t="str">
        <f ca="1">INDEX({"Brand &amp; Business Relevance","Target Audience Relevance","Content &amp; Category Relevance","Brand Personality Fit","Performance Quality","Brand Safety"},MATCH($R$18,$L$18:$Q$18,0))</f>
        <v>Content &amp; Category Relevance</v>
      </c>
      <c r="T18" s="71">
        <f>IF(ISNUMBER(Matching_Engine!$M$18),Matching_Engine!$M$18,999)</f>
        <v>0</v>
      </c>
      <c r="U18" s="71">
        <f ca="1">IF(ISNUMBER(Matching_Engine!$S$18),Matching_Engine!$S$18,999)</f>
        <v>58</v>
      </c>
      <c r="V18" s="71">
        <f>IF(ISNUMBER(Matching_Engine!$Y$18),Matching_Engine!$Y$18,999)</f>
        <v>95</v>
      </c>
      <c r="W18" s="71">
        <f>IF(ISNUMBER(Matching_Engine!$AE$18),Matching_Engine!$AE$18,999)</f>
        <v>86</v>
      </c>
      <c r="X18" s="71">
        <f>IF(ISNUMBER(Matching_Engine!$AM$18),Matching_Engine!$AM$18,999)</f>
        <v>999</v>
      </c>
      <c r="Y18" s="71">
        <f>IF(ISNUMBER(Matching_Engine!$AT$18),Matching_Engine!$AT$18,999)</f>
        <v>30</v>
      </c>
      <c r="Z18" s="71">
        <f ca="1">MIN($T$18:$Y$18)</f>
        <v>0</v>
      </c>
      <c r="AA18" s="57" t="str">
        <f ca="1">INDEX({"Brand &amp; Business Relevance","Target Audience Relevance","Content &amp; Category Relevance","Brand Personality Fit","Performance Quality","Brand Safety"},MATCH($Z$18,$T$18:$Y$18,0))</f>
        <v>Brand &amp; Business Relevance</v>
      </c>
    </row>
    <row r="19" spans="1:27">
      <c r="A19" s="57" t="str">
        <f>Matching_Engine!$B$19</f>
        <v>Nusatech Cloud</v>
      </c>
      <c r="B19" s="57" t="str">
        <f>Matching_Engine!$D$19</f>
        <v>Zahra Amelia</v>
      </c>
      <c r="C19" s="57" t="str">
        <f>Matching_Engine!$E$19</f>
        <v>@zahrahijabstyle</v>
      </c>
      <c r="D19" s="70" t="str">
        <f ca="1">Matching_Engine!$AY$19</f>
        <v/>
      </c>
      <c r="E19" s="57" t="str">
        <f>Matching_Engine!$AZ$19</f>
        <v>BRAND-A|KOL-14</v>
      </c>
      <c r="F19" s="57" t="str">
        <f ca="1">IF(NOT(ISNUMBER(Matching_Engine!$AY$19)),"Not scored: no component of the model had data for this account, so no match can be claimed either way.",Matching_Engine!$AZ$19&amp;" — "&amp;Matching_Engine!$AY$19&amp;"/100 against "&amp;Matching_Engine!$B$19&amp;". "&amp;"Strongest factor "&amp;$S$19&amp;" at "&amp;$R$19&amp;"; weakest "&amp;$AA$19&amp;" at "&amp;$Z$19&amp;". "&amp;IF(AND(ISTEXT(Matching_Engine!$G$19),Matching_Engine!$G$19&lt;&gt;"N/A"),"Tagged category "&amp;Matching_Engine!$G$19&amp;" scores "&amp;IF(ISNUMBER(Matching_Engine!$J$19),Matching_Engine!$J$19,0)&amp;" against the brand category "&amp;Matching_Engine!$B$19&amp;" targets. ","Creator carries no category on record, so the category-driven parts fall back to neutral rather than penalising the creator. ")&amp;IF(ISNUMBER(Matching_Engine!$R$19),"Audience-interest overlap "&amp;Matching_Engine!$R$19&amp;". ","Audience interests unmeasured. ")&amp;IF(Matching_Engine!$AX$19&lt;100,"Scored on "&amp;Matching_Engine!$AX$19&amp;" of the 100 nominal weight points; the rest had no data.",""))</f>
        <v>Not scored: no component of the model had data for this account, so no match can be claimed either way.</v>
      </c>
      <c r="G19" s="57" t="str">
        <f ca="1">IF(NOT(ISNUMBER(Matching_Engine!$AY$19)),"N/A",$S$19&amp;" ("&amp;$R$19&amp;"/100)")</f>
        <v>N/A</v>
      </c>
      <c r="H19" s="57" t="str">
        <f ca="1">IF(NOT(ISNUMBER(Matching_Engine!$AY$19)),"N/A",$AA$19&amp;" ("&amp;$Z$19&amp;"/100)")</f>
        <v>N/A</v>
      </c>
      <c r="I19" s="57" t="str">
        <f ca="1">IF(NOT(ISNUMBER(Matching_Engine!$AY$19)),"No data to consider: this account has no measured signal.",IF($Z$19&lt;Lookup_Lists!$D$161,$AA$19&amp;" sits at "&amp;$Z$19&amp;", below the "&amp;Lookup_Lists!$D$161&amp;"-point consideration threshold"&amp;IF(Matching_Engine!$AF$19=0," · Brand Personality Fit could not be scored at all: no creator personality, tone, values or content-style column exists","")&amp;IF(Matching_Engine!$AI$19="N/A"," · posting cadence unusable, so Consistency is excluded from Performance","")&amp;".","No component falls below the "&amp;Lookup_Lists!$D$161&amp;"-point consideration threshold."))</f>
        <v>No data to consider: this account has no measured signal.</v>
      </c>
      <c r="J19" s="57" t="str">
        <f ca="1">Matching_Engine!$AV$19&amp;" — "&amp;Matching_Engine!$AW$19&amp;IF(Matching_Engine!$BB$19="Limited Data"," Confidence is Limited Data: "&amp;Matching_Engine!$BA$19&amp;"% of tracked fields carry a value.","")</f>
        <v>EXCLUDED — Audience Quality below Minimum Audience Quality</v>
      </c>
      <c r="K19" s="57" t="str">
        <f ca="1">IF(NOT(ISNUMBER(Matching_Engine!$AY$19)),"Do not shortlist on this data — re-scrape the account first.",IF(Matching_Engine!$AY$19&gt;=Lookup_Lists!$D$156,"Highly Recommended",IF(Matching_Engine!$AY$19&gt;=Lookup_Lists!$D$157,"Recommended",IF(Matching_Engine!$AY$19&gt;=Lookup_Lists!$D$158,"Consider","Low Priority")))&amp;IF(Matching_Engine!$AX$19&lt;100," (on partial data)",""))</f>
        <v>Do not shortlist on this data — re-scrape the account first.</v>
      </c>
      <c r="L19" s="71">
        <f>IF(ISNUMBER(Matching_Engine!$M$19),Matching_Engine!$M$19,-1)</f>
        <v>0</v>
      </c>
      <c r="M19" s="71">
        <f ca="1">IF(ISNUMBER(Matching_Engine!$S$19),Matching_Engine!$S$19,-1)</f>
        <v>49</v>
      </c>
      <c r="N19" s="71">
        <f>IF(ISNUMBER(Matching_Engine!$Y$19),Matching_Engine!$Y$19,-1)</f>
        <v>60</v>
      </c>
      <c r="O19" s="71">
        <f>IF(ISNUMBER(Matching_Engine!$AE$19),Matching_Engine!$AE$19,-1)</f>
        <v>62</v>
      </c>
      <c r="P19" s="71">
        <f>IF(ISNUMBER(Matching_Engine!$AM$19),Matching_Engine!$AM$19,-1)</f>
        <v>-1</v>
      </c>
      <c r="Q19" s="71">
        <f>IF(ISNUMBER(Matching_Engine!$AT$19),Matching_Engine!$AT$19,-1)</f>
        <v>28</v>
      </c>
      <c r="R19" s="71">
        <f ca="1">MAX($L$19:$Q$19)</f>
        <v>62</v>
      </c>
      <c r="S19" s="57" t="str">
        <f ca="1">INDEX({"Brand &amp; Business Relevance","Target Audience Relevance","Content &amp; Category Relevance","Brand Personality Fit","Performance Quality","Brand Safety"},MATCH($R$19,$L$19:$Q$19,0))</f>
        <v>Brand Personality Fit</v>
      </c>
      <c r="T19" s="71">
        <f>IF(ISNUMBER(Matching_Engine!$M$19),Matching_Engine!$M$19,999)</f>
        <v>0</v>
      </c>
      <c r="U19" s="71">
        <f ca="1">IF(ISNUMBER(Matching_Engine!$S$19),Matching_Engine!$S$19,999)</f>
        <v>49</v>
      </c>
      <c r="V19" s="71">
        <f>IF(ISNUMBER(Matching_Engine!$Y$19),Matching_Engine!$Y$19,999)</f>
        <v>60</v>
      </c>
      <c r="W19" s="71">
        <f>IF(ISNUMBER(Matching_Engine!$AE$19),Matching_Engine!$AE$19,999)</f>
        <v>62</v>
      </c>
      <c r="X19" s="71">
        <f>IF(ISNUMBER(Matching_Engine!$AM$19),Matching_Engine!$AM$19,999)</f>
        <v>999</v>
      </c>
      <c r="Y19" s="71">
        <f>IF(ISNUMBER(Matching_Engine!$AT$19),Matching_Engine!$AT$19,999)</f>
        <v>28</v>
      </c>
      <c r="Z19" s="71">
        <f ca="1">MIN($T$19:$Y$19)</f>
        <v>0</v>
      </c>
      <c r="AA19" s="57" t="str">
        <f ca="1">INDEX({"Brand &amp; Business Relevance","Target Audience Relevance","Content &amp; Category Relevance","Brand Personality Fit","Performance Quality","Brand Safety"},MATCH($Z$19,$T$19:$Y$19,0))</f>
        <v>Brand &amp; Business Relevance</v>
      </c>
    </row>
    <row r="20" spans="1:27">
      <c r="A20" s="57" t="str">
        <f>Matching_Engine!$B$20</f>
        <v>Nusatech Cloud</v>
      </c>
      <c r="B20" s="57" t="str">
        <f>Matching_Engine!$D$20</f>
        <v>Andini Rahma</v>
      </c>
      <c r="C20" s="57" t="str">
        <f>Matching_Engine!$E$20</f>
        <v>@andinidaily</v>
      </c>
      <c r="D20" s="70">
        <f ca="1">Matching_Engine!$AY$20</f>
        <v>48</v>
      </c>
      <c r="E20" s="57" t="str">
        <f>Matching_Engine!$AZ$20</f>
        <v>BRAND-A|KOL-15</v>
      </c>
      <c r="F20" s="57" t="str">
        <f ca="1">IF(NOT(ISNUMBER(Matching_Engine!$AY$20)),"Not scored: no component of the model had data for this account, so no match can be claimed either way.",Matching_Engine!$AZ$20&amp;" — "&amp;Matching_Engine!$AY$20&amp;"/100 against "&amp;Matching_Engine!$B$20&amp;". "&amp;"Strongest factor "&amp;$S$20&amp;" at "&amp;$R$20&amp;"; weakest "&amp;$AA$20&amp;" at "&amp;$Z$20&amp;". "&amp;IF(AND(ISTEXT(Matching_Engine!$G$20),Matching_Engine!$G$20&lt;&gt;"N/A"),"Tagged category "&amp;Matching_Engine!$G$20&amp;" scores "&amp;IF(ISNUMBER(Matching_Engine!$J$20),Matching_Engine!$J$20,0)&amp;" against the brand category "&amp;Matching_Engine!$B$20&amp;" targets. ","Creator carries no category on record, so the category-driven parts fall back to neutral rather than penalising the creator. ")&amp;IF(ISNUMBER(Matching_Engine!$R$20),"Audience-interest overlap "&amp;Matching_Engine!$R$20&amp;". ","Audience interests unmeasured. ")&amp;IF(Matching_Engine!$AX$20&lt;100,"Scored on "&amp;Matching_Engine!$AX$20&amp;" of the 100 nominal weight points; the rest had no data.",""))</f>
        <v>BRAND-A|KOL-15 — 48/100 against Nusatech Cloud. Strongest factor Brand Personality Fit at 79; weakest Brand &amp; Business Relevance at 0. Tagged category Lifestyle scores 5,8 against the brand category Nusatech Cloud targets. Audience-interest overlap 0. </v>
      </c>
      <c r="G20" s="57" t="str">
        <f ca="1">IF(NOT(ISNUMBER(Matching_Engine!$AY$20)),"N/A",$S$20&amp;" ("&amp;$R$20&amp;"/100)")</f>
        <v>Brand Personality Fit (79/100)</v>
      </c>
      <c r="H20" s="57" t="str">
        <f ca="1">IF(NOT(ISNUMBER(Matching_Engine!$AY$20)),"N/A",$AA$20&amp;" ("&amp;$Z$20&amp;"/100)")</f>
        <v>Brand &amp; Business Relevance (0/100)</v>
      </c>
      <c r="I20" s="57" t="str">
        <f ca="1">IF(NOT(ISNUMBER(Matching_Engine!$AY$20)),"No data to consider: this account has no measured signal.",IF($Z$20&lt;Lookup_Lists!$D$161,$AA$20&amp;" sits at "&amp;$Z$20&amp;", below the "&amp;Lookup_Lists!$D$161&amp;"-point consideration threshold"&amp;IF(Matching_Engine!$AF$20=0," · Brand Personality Fit could not be scored at all: no creator personality, tone, values or content-style column exists","")&amp;IF(Matching_Engine!$AI$20="N/A"," · posting cadence unusable, so Consistency is excluded from Performance","")&amp;".","No component falls below the "&amp;Lookup_Lists!$D$161&amp;"-point consideration threshold."))</f>
        <v>Brand &amp; Business Relevance sits at 0, below the 75-point consideration threshold.</v>
      </c>
      <c r="J20" s="57" t="str">
        <f ca="1">Matching_Engine!$AV$20&amp;" — "&amp;Matching_Engine!$AW$20&amp;IF(Matching_Engine!$BB$20="Limited Data"," Confidence is Limited Data: "&amp;Matching_Engine!$BA$20&amp;"% of tracked fields carry a value.","")</f>
        <v>PASS — </v>
      </c>
      <c r="K20" s="57" t="str">
        <f ca="1">IF(NOT(ISNUMBER(Matching_Engine!$AY$20)),"Do not shortlist on this data — re-scrape the account first.",IF(Matching_Engine!$AY$20&gt;=Lookup_Lists!$D$156,"Highly Recommended",IF(Matching_Engine!$AY$20&gt;=Lookup_Lists!$D$157,"Recommended",IF(Matching_Engine!$AY$20&gt;=Lookup_Lists!$D$158,"Consider","Low Priority")))&amp;IF(Matching_Engine!$AX$20&lt;100," (on partial data)",""))</f>
        <v>Low Priority</v>
      </c>
      <c r="L20" s="71">
        <f>IF(ISNUMBER(Matching_Engine!$M$20),Matching_Engine!$M$20,-1)</f>
        <v>0</v>
      </c>
      <c r="M20" s="71">
        <f ca="1">IF(ISNUMBER(Matching_Engine!$S$20),Matching_Engine!$S$20,-1)</f>
        <v>58</v>
      </c>
      <c r="N20" s="71">
        <f>IF(ISNUMBER(Matching_Engine!$Y$20),Matching_Engine!$Y$20,-1)</f>
        <v>50</v>
      </c>
      <c r="O20" s="71">
        <f>IF(ISNUMBER(Matching_Engine!$AE$20),Matching_Engine!$AE$20,-1)</f>
        <v>79</v>
      </c>
      <c r="P20" s="71">
        <f>IF(ISNUMBER(Matching_Engine!$AM$20),Matching_Engine!$AM$20,-1)</f>
        <v>-1</v>
      </c>
      <c r="Q20" s="71">
        <f>IF(ISNUMBER(Matching_Engine!$AT$20),Matching_Engine!$AT$20,-1)</f>
        <v>31</v>
      </c>
      <c r="R20" s="71">
        <f ca="1">MAX($L$20:$Q$20)</f>
        <v>79</v>
      </c>
      <c r="S20" s="57" t="str">
        <f ca="1">INDEX({"Brand &amp; Business Relevance","Target Audience Relevance","Content &amp; Category Relevance","Brand Personality Fit","Performance Quality","Brand Safety"},MATCH($R$20,$L$20:$Q$20,0))</f>
        <v>Brand Personality Fit</v>
      </c>
      <c r="T20" s="71">
        <f>IF(ISNUMBER(Matching_Engine!$M$20),Matching_Engine!$M$20,999)</f>
        <v>0</v>
      </c>
      <c r="U20" s="71">
        <f ca="1">IF(ISNUMBER(Matching_Engine!$S$20),Matching_Engine!$S$20,999)</f>
        <v>58</v>
      </c>
      <c r="V20" s="71">
        <f>IF(ISNUMBER(Matching_Engine!$Y$20),Matching_Engine!$Y$20,999)</f>
        <v>50</v>
      </c>
      <c r="W20" s="71">
        <f>IF(ISNUMBER(Matching_Engine!$AE$20),Matching_Engine!$AE$20,999)</f>
        <v>79</v>
      </c>
      <c r="X20" s="71">
        <f>IF(ISNUMBER(Matching_Engine!$AM$20),Matching_Engine!$AM$20,999)</f>
        <v>999</v>
      </c>
      <c r="Y20" s="71">
        <f>IF(ISNUMBER(Matching_Engine!$AT$20),Matching_Engine!$AT$20,999)</f>
        <v>31</v>
      </c>
      <c r="Z20" s="71">
        <f ca="1">MIN($T$20:$Y$20)</f>
        <v>0</v>
      </c>
      <c r="AA20" s="57" t="str">
        <f ca="1">INDEX({"Brand &amp; Business Relevance","Target Audience Relevance","Content &amp; Category Relevance","Brand Personality Fit","Performance Quality","Brand Safety"},MATCH($Z$20,$T$20:$Y$20,0))</f>
        <v>Brand &amp; Business Relevance</v>
      </c>
    </row>
    <row r="21" spans="1:27">
      <c r="A21" s="57" t="str">
        <f>Matching_Engine!$B$21</f>
        <v>Nusatech Cloud</v>
      </c>
      <c r="B21" s="57" t="str">
        <f>Matching_Engine!$D$21</f>
        <v>Yoga Pratama</v>
      </c>
      <c r="C21" s="57" t="str">
        <f>Matching_Engine!$E$21</f>
        <v>@yogaminimal</v>
      </c>
      <c r="D21" s="70">
        <f ca="1">Matching_Engine!$AY$21</f>
        <v>67</v>
      </c>
      <c r="E21" s="57" t="str">
        <f>Matching_Engine!$AZ$21</f>
        <v>BRAND-A|KOL-16</v>
      </c>
      <c r="F21" s="57" t="str">
        <f ca="1">IF(NOT(ISNUMBER(Matching_Engine!$AY$21)),"Not scored: no component of the model had data for this account, so no match can be claimed either way.",Matching_Engine!$AZ$21&amp;" — "&amp;Matching_Engine!$AY$21&amp;"/100 against "&amp;Matching_Engine!$B$21&amp;". "&amp;"Strongest factor "&amp;$S$21&amp;" at "&amp;$R$21&amp;"; weakest "&amp;$AA$21&amp;" at "&amp;$Z$21&amp;". "&amp;IF(AND(ISTEXT(Matching_Engine!$G$21),Matching_Engine!$G$21&lt;&gt;"N/A"),"Tagged category "&amp;Matching_Engine!$G$21&amp;" scores "&amp;IF(ISNUMBER(Matching_Engine!$J$21),Matching_Engine!$J$21,0)&amp;" against the brand category "&amp;Matching_Engine!$B$21&amp;" targets. ","Creator carries no category on record, so the category-driven parts fall back to neutral rather than penalising the creator. ")&amp;IF(ISNUMBER(Matching_Engine!$R$21),"Audience-interest overlap "&amp;Matching_Engine!$R$21&amp;". ","Audience interests unmeasured. ")&amp;IF(Matching_Engine!$AX$21&lt;100,"Scored on "&amp;Matching_Engine!$AX$21&amp;" of the 100 nominal weight points; the rest had no data.",""))</f>
        <v>BRAND-A|KOL-16 — 67/100 against Nusatech Cloud. Strongest factor Target Audience Relevance at 83; weakest Brand Safety at 54. Tagged category Lifestyle scores 7,3 against the brand category Nusatech Cloud targets. Audience-interest overlap 80. </v>
      </c>
      <c r="G21" s="57" t="str">
        <f ca="1">IF(NOT(ISNUMBER(Matching_Engine!$AY$21)),"N/A",$S$21&amp;" ("&amp;$R$21&amp;"/100)")</f>
        <v>Target Audience Relevance (83/100)</v>
      </c>
      <c r="H21" s="57" t="str">
        <f ca="1">IF(NOT(ISNUMBER(Matching_Engine!$AY$21)),"N/A",$AA$21&amp;" ("&amp;$Z$21&amp;"/100)")</f>
        <v>Brand Safety (54/100)</v>
      </c>
      <c r="I21" s="57" t="str">
        <f ca="1">IF(NOT(ISNUMBER(Matching_Engine!$AY$21)),"No data to consider: this account has no measured signal.",IF($Z$21&lt;Lookup_Lists!$D$161,$AA$21&amp;" sits at "&amp;$Z$21&amp;", below the "&amp;Lookup_Lists!$D$161&amp;"-point consideration threshold"&amp;IF(Matching_Engine!$AF$21=0," · Brand Personality Fit could not be scored at all: no creator personality, tone, values or content-style column exists","")&amp;IF(Matching_Engine!$AI$21="N/A"," · posting cadence unusable, so Consistency is excluded from Performance","")&amp;".","No component falls below the "&amp;Lookup_Lists!$D$161&amp;"-point consideration threshold."))</f>
        <v>Brand Safety sits at 54, below the 75-point consideration threshold.</v>
      </c>
      <c r="J21" s="57" t="str">
        <f ca="1">Matching_Engine!$AV$21&amp;" — "&amp;Matching_Engine!$AW$21&amp;IF(Matching_Engine!$BB$21="Limited Data"," Confidence is Limited Data: "&amp;Matching_Engine!$BA$21&amp;"% of tracked fields carry a value.","")</f>
        <v>PASS — </v>
      </c>
      <c r="K21" s="57" t="str">
        <f ca="1">IF(NOT(ISNUMBER(Matching_Engine!$AY$21)),"Do not shortlist on this data — re-scrape the account first.",IF(Matching_Engine!$AY$21&gt;=Lookup_Lists!$D$156,"Highly Recommended",IF(Matching_Engine!$AY$21&gt;=Lookup_Lists!$D$157,"Recommended",IF(Matching_Engine!$AY$21&gt;=Lookup_Lists!$D$158,"Consider","Low Priority")))&amp;IF(Matching_Engine!$AX$21&lt;100," (on partial data)",""))</f>
        <v>Consider</v>
      </c>
      <c r="L21" s="71">
        <f>IF(ISNUMBER(Matching_Engine!$M$21),Matching_Engine!$M$21,-1)</f>
        <v>80</v>
      </c>
      <c r="M21" s="71">
        <f ca="1">IF(ISNUMBER(Matching_Engine!$S$21),Matching_Engine!$S$21,-1)</f>
        <v>83</v>
      </c>
      <c r="N21" s="71">
        <f>IF(ISNUMBER(Matching_Engine!$Y$21),Matching_Engine!$Y$21,-1)</f>
        <v>70</v>
      </c>
      <c r="O21" s="71">
        <f>IF(ISNUMBER(Matching_Engine!$AE$21),Matching_Engine!$AE$21,-1)</f>
        <v>72</v>
      </c>
      <c r="P21" s="71">
        <f>IF(ISNUMBER(Matching_Engine!$AM$21),Matching_Engine!$AM$21,-1)</f>
        <v>-1</v>
      </c>
      <c r="Q21" s="71">
        <f>IF(ISNUMBER(Matching_Engine!$AT$21),Matching_Engine!$AT$21,-1)</f>
        <v>54</v>
      </c>
      <c r="R21" s="71">
        <f ca="1">MAX($L$21:$Q$21)</f>
        <v>83</v>
      </c>
      <c r="S21" s="57" t="str">
        <f ca="1">INDEX({"Brand &amp; Business Relevance","Target Audience Relevance","Content &amp; Category Relevance","Brand Personality Fit","Performance Quality","Brand Safety"},MATCH($R$21,$L$21:$Q$21,0))</f>
        <v>Target Audience Relevance</v>
      </c>
      <c r="T21" s="71">
        <f>IF(ISNUMBER(Matching_Engine!$M$21),Matching_Engine!$M$21,999)</f>
        <v>80</v>
      </c>
      <c r="U21" s="71">
        <f ca="1">IF(ISNUMBER(Matching_Engine!$S$21),Matching_Engine!$S$21,999)</f>
        <v>83</v>
      </c>
      <c r="V21" s="71">
        <f>IF(ISNUMBER(Matching_Engine!$Y$21),Matching_Engine!$Y$21,999)</f>
        <v>70</v>
      </c>
      <c r="W21" s="71">
        <f>IF(ISNUMBER(Matching_Engine!$AE$21),Matching_Engine!$AE$21,999)</f>
        <v>72</v>
      </c>
      <c r="X21" s="71">
        <f>IF(ISNUMBER(Matching_Engine!$AM$21),Matching_Engine!$AM$21,999)</f>
        <v>999</v>
      </c>
      <c r="Y21" s="71">
        <f>IF(ISNUMBER(Matching_Engine!$AT$21),Matching_Engine!$AT$21,999)</f>
        <v>54</v>
      </c>
      <c r="Z21" s="71">
        <f ca="1">MIN($T$21:$Y$21)</f>
        <v>54</v>
      </c>
      <c r="AA21" s="57" t="str">
        <f ca="1">INDEX({"Brand &amp; Business Relevance","Target Audience Relevance","Content &amp; Category Relevance","Brand Personality Fit","Performance Quality","Brand Safety"},MATCH($Z$21,$T$21:$Y$21,0))</f>
        <v>Brand Safety</v>
      </c>
    </row>
    <row r="22" spans="1:27">
      <c r="A22" s="57" t="str">
        <f>Matching_Engine!$B$22</f>
        <v>Nusatech Cloud</v>
      </c>
      <c r="B22" s="57" t="str">
        <f>Matching_Engine!$D$22</f>
        <v>Sinta Maharani</v>
      </c>
      <c r="C22" s="57" t="str">
        <f>Matching_Engine!$E$22</f>
        <v>@sintajalanjalan</v>
      </c>
      <c r="D22" s="70">
        <f ca="1">Matching_Engine!$AY$22</f>
        <v>42</v>
      </c>
      <c r="E22" s="57" t="str">
        <f>Matching_Engine!$AZ$22</f>
        <v>BRAND-A|KOL-17</v>
      </c>
      <c r="F22" s="57" t="str">
        <f ca="1">IF(NOT(ISNUMBER(Matching_Engine!$AY$22)),"Not scored: no component of the model had data for this account, so no match can be claimed either way.",Matching_Engine!$AZ$22&amp;" — "&amp;Matching_Engine!$AY$22&amp;"/100 against "&amp;Matching_Engine!$B$22&amp;". "&amp;"Strongest factor "&amp;$S$22&amp;" at "&amp;$R$22&amp;"; weakest "&amp;$AA$22&amp;" at "&amp;$Z$22&amp;". "&amp;IF(AND(ISTEXT(Matching_Engine!$G$22),Matching_Engine!$G$22&lt;&gt;"N/A"),"Tagged category "&amp;Matching_Engine!$G$22&amp;" scores "&amp;IF(ISNUMBER(Matching_Engine!$J$22),Matching_Engine!$J$22,0)&amp;" against the brand category "&amp;Matching_Engine!$B$22&amp;" targets. ","Creator carries no category on record, so the category-driven parts fall back to neutral rather than penalising the creator. ")&amp;IF(ISNUMBER(Matching_Engine!$R$22),"Audience-interest overlap "&amp;Matching_Engine!$R$22&amp;". ","Audience interests unmeasured. ")&amp;IF(Matching_Engine!$AX$22&lt;100,"Scored on "&amp;Matching_Engine!$AX$22&amp;" of the 100 nominal weight points; the rest had no data.",""))</f>
        <v>BRAND-A|KOL-17 — 42/100 against Nusatech Cloud. Strongest factor Brand Personality Fit at 79; weakest Brand &amp; Business Relevance at 0. Tagged category Travel scores 4,1 against the brand category Nusatech Cloud targets. Audience-interest overlap 0. </v>
      </c>
      <c r="G22" s="57" t="str">
        <f ca="1">IF(NOT(ISNUMBER(Matching_Engine!$AY$22)),"N/A",$S$22&amp;" ("&amp;$R$22&amp;"/100)")</f>
        <v>Brand Personality Fit (79/100)</v>
      </c>
      <c r="H22" s="57" t="str">
        <f ca="1">IF(NOT(ISNUMBER(Matching_Engine!$AY$22)),"N/A",$AA$22&amp;" ("&amp;$Z$22&amp;"/100)")</f>
        <v>Brand &amp; Business Relevance (0/100)</v>
      </c>
      <c r="I22" s="57" t="str">
        <f ca="1">IF(NOT(ISNUMBER(Matching_Engine!$AY$22)),"No data to consider: this account has no measured signal.",IF($Z$22&lt;Lookup_Lists!$D$161,$AA$22&amp;" sits at "&amp;$Z$22&amp;", below the "&amp;Lookup_Lists!$D$161&amp;"-point consideration threshold"&amp;IF(Matching_Engine!$AF$22=0," · Brand Personality Fit could not be scored at all: no creator personality, tone, values or content-style column exists","")&amp;IF(Matching_Engine!$AI$22="N/A"," · posting cadence unusable, so Consistency is excluded from Performance","")&amp;".","No component falls below the "&amp;Lookup_Lists!$D$161&amp;"-point consideration threshold."))</f>
        <v>Brand &amp; Business Relevance sits at 0, below the 75-point consideration threshold.</v>
      </c>
      <c r="J22" s="57" t="str">
        <f ca="1">Matching_Engine!$AV$22&amp;" — "&amp;Matching_Engine!$AW$22&amp;IF(Matching_Engine!$BB$22="Limited Data"," Confidence is Limited Data: "&amp;Matching_Engine!$BA$22&amp;"% of tracked fields carry a value.","")</f>
        <v>PASS — </v>
      </c>
      <c r="K22" s="57" t="str">
        <f ca="1">IF(NOT(ISNUMBER(Matching_Engine!$AY$22)),"Do not shortlist on this data — re-scrape the account first.",IF(Matching_Engine!$AY$22&gt;=Lookup_Lists!$D$156,"Highly Recommended",IF(Matching_Engine!$AY$22&gt;=Lookup_Lists!$D$157,"Recommended",IF(Matching_Engine!$AY$22&gt;=Lookup_Lists!$D$158,"Consider","Low Priority")))&amp;IF(Matching_Engine!$AX$22&lt;100," (on partial data)",""))</f>
        <v>Low Priority</v>
      </c>
      <c r="L22" s="71">
        <f>IF(ISNUMBER(Matching_Engine!$M$22),Matching_Engine!$M$22,-1)</f>
        <v>0</v>
      </c>
      <c r="M22" s="71">
        <f ca="1">IF(ISNUMBER(Matching_Engine!$S$22),Matching_Engine!$S$22,-1)</f>
        <v>49</v>
      </c>
      <c r="N22" s="71">
        <f>IF(ISNUMBER(Matching_Engine!$Y$22),Matching_Engine!$Y$22,-1)</f>
        <v>60</v>
      </c>
      <c r="O22" s="71">
        <f>IF(ISNUMBER(Matching_Engine!$AE$22),Matching_Engine!$AE$22,-1)</f>
        <v>79</v>
      </c>
      <c r="P22" s="71">
        <f>IF(ISNUMBER(Matching_Engine!$AM$22),Matching_Engine!$AM$22,-1)</f>
        <v>-1</v>
      </c>
      <c r="Q22" s="71">
        <f>IF(ISNUMBER(Matching_Engine!$AT$22),Matching_Engine!$AT$22,-1)</f>
        <v>29</v>
      </c>
      <c r="R22" s="71">
        <f ca="1">MAX($L$22:$Q$22)</f>
        <v>79</v>
      </c>
      <c r="S22" s="57" t="str">
        <f ca="1">INDEX({"Brand &amp; Business Relevance","Target Audience Relevance","Content &amp; Category Relevance","Brand Personality Fit","Performance Quality","Brand Safety"},MATCH($R$22,$L$22:$Q$22,0))</f>
        <v>Brand Personality Fit</v>
      </c>
      <c r="T22" s="71">
        <f>IF(ISNUMBER(Matching_Engine!$M$22),Matching_Engine!$M$22,999)</f>
        <v>0</v>
      </c>
      <c r="U22" s="71">
        <f ca="1">IF(ISNUMBER(Matching_Engine!$S$22),Matching_Engine!$S$22,999)</f>
        <v>49</v>
      </c>
      <c r="V22" s="71">
        <f>IF(ISNUMBER(Matching_Engine!$Y$22),Matching_Engine!$Y$22,999)</f>
        <v>60</v>
      </c>
      <c r="W22" s="71">
        <f>IF(ISNUMBER(Matching_Engine!$AE$22),Matching_Engine!$AE$22,999)</f>
        <v>79</v>
      </c>
      <c r="X22" s="71">
        <f>IF(ISNUMBER(Matching_Engine!$AM$22),Matching_Engine!$AM$22,999)</f>
        <v>999</v>
      </c>
      <c r="Y22" s="71">
        <f>IF(ISNUMBER(Matching_Engine!$AT$22),Matching_Engine!$AT$22,999)</f>
        <v>29</v>
      </c>
      <c r="Z22" s="71">
        <f ca="1">MIN($T$22:$Y$22)</f>
        <v>0</v>
      </c>
      <c r="AA22" s="57" t="str">
        <f ca="1">INDEX({"Brand &amp; Business Relevance","Target Audience Relevance","Content &amp; Category Relevance","Brand Personality Fit","Performance Quality","Brand Safety"},MATCH($Z$22,$T$22:$Y$22,0))</f>
        <v>Brand &amp; Business Relevance</v>
      </c>
    </row>
    <row r="23" spans="1:27">
      <c r="A23" s="57" t="str">
        <f>Matching_Engine!$B$23</f>
        <v>Nusatech Cloud</v>
      </c>
      <c r="B23" s="57" t="str">
        <f>Matching_Engine!$D$23</f>
        <v>Reza Fadillah</v>
      </c>
      <c r="C23" s="57" t="str">
        <f>Matching_Engine!$E$23</f>
        <v>@rezabudgettrip</v>
      </c>
      <c r="D23" s="70">
        <f ca="1">Matching_Engine!$AY$23</f>
        <v>48</v>
      </c>
      <c r="E23" s="57" t="str">
        <f>Matching_Engine!$AZ$23</f>
        <v>BRAND-A|KOL-18</v>
      </c>
      <c r="F23" s="57" t="str">
        <f ca="1">IF(NOT(ISNUMBER(Matching_Engine!$AY$23)),"Not scored: no component of the model had data for this account, so no match can be claimed either way.",Matching_Engine!$AZ$23&amp;" — "&amp;Matching_Engine!$AY$23&amp;"/100 against "&amp;Matching_Engine!$B$23&amp;". "&amp;"Strongest factor "&amp;$S$23&amp;" at "&amp;$R$23&amp;"; weakest "&amp;$AA$23&amp;" at "&amp;$Z$23&amp;". "&amp;IF(AND(ISTEXT(Matching_Engine!$G$23),Matching_Engine!$G$23&lt;&gt;"N/A"),"Tagged category "&amp;Matching_Engine!$G$23&amp;" scores "&amp;IF(ISNUMBER(Matching_Engine!$J$23),Matching_Engine!$J$23,0)&amp;" against the brand category "&amp;Matching_Engine!$B$23&amp;" targets. ","Creator carries no category on record, so the category-driven parts fall back to neutral rather than penalising the creator. ")&amp;IF(ISNUMBER(Matching_Engine!$R$23),"Audience-interest overlap "&amp;Matching_Engine!$R$23&amp;". ","Audience interests unmeasured. ")&amp;IF(Matching_Engine!$AX$23&lt;100,"Scored on "&amp;Matching_Engine!$AX$23&amp;" of the 100 nominal weight points; the rest had no data.",""))</f>
        <v>BRAND-A|KOL-18 — 48/100 against Nusatech Cloud. Strongest factor Brand Personality Fit at 82; weakest Brand &amp; Business Relevance at 20. Tagged category Travel scores 6,9 against the brand category Nusatech Cloud targets. Audience-interest overlap 20. </v>
      </c>
      <c r="G23" s="57" t="str">
        <f ca="1">IF(NOT(ISNUMBER(Matching_Engine!$AY$23)),"N/A",$S$23&amp;" ("&amp;$R$23&amp;"/100)")</f>
        <v>Brand Personality Fit (82/100)</v>
      </c>
      <c r="H23" s="57" t="str">
        <f ca="1">IF(NOT(ISNUMBER(Matching_Engine!$AY$23)),"N/A",$AA$23&amp;" ("&amp;$Z$23&amp;"/100)")</f>
        <v>Brand &amp; Business Relevance (20/100)</v>
      </c>
      <c r="I23" s="57" t="str">
        <f ca="1">IF(NOT(ISNUMBER(Matching_Engine!$AY$23)),"No data to consider: this account has no measured signal.",IF($Z$23&lt;Lookup_Lists!$D$161,$AA$23&amp;" sits at "&amp;$Z$23&amp;", below the "&amp;Lookup_Lists!$D$161&amp;"-point consideration threshold"&amp;IF(Matching_Engine!$AF$23=0," · Brand Personality Fit could not be scored at all: no creator personality, tone, values or content-style column exists","")&amp;IF(Matching_Engine!$AI$23="N/A"," · posting cadence unusable, so Consistency is excluded from Performance","")&amp;".","No component falls below the "&amp;Lookup_Lists!$D$161&amp;"-point consideration threshold."))</f>
        <v>Brand &amp; Business Relevance sits at 20, below the 75-point consideration threshold.</v>
      </c>
      <c r="J23" s="57" t="str">
        <f ca="1">Matching_Engine!$AV$23&amp;" — "&amp;Matching_Engine!$AW$23&amp;IF(Matching_Engine!$BB$23="Limited Data"," Confidence is Limited Data: "&amp;Matching_Engine!$BA$23&amp;"% of tracked fields carry a value.","")</f>
        <v>PASS — </v>
      </c>
      <c r="K23" s="57" t="str">
        <f ca="1">IF(NOT(ISNUMBER(Matching_Engine!$AY$23)),"Do not shortlist on this data — re-scrape the account first.",IF(Matching_Engine!$AY$23&gt;=Lookup_Lists!$D$156,"Highly Recommended",IF(Matching_Engine!$AY$23&gt;=Lookup_Lists!$D$157,"Recommended",IF(Matching_Engine!$AY$23&gt;=Lookup_Lists!$D$158,"Consider","Low Priority")))&amp;IF(Matching_Engine!$AX$23&lt;100," (on partial data)",""))</f>
        <v>Low Priority</v>
      </c>
      <c r="L23" s="71">
        <f>IF(ISNUMBER(Matching_Engine!$M$23),Matching_Engine!$M$23,-1)</f>
        <v>20</v>
      </c>
      <c r="M23" s="71">
        <f ca="1">IF(ISNUMBER(Matching_Engine!$S$23),Matching_Engine!$S$23,-1)</f>
        <v>57</v>
      </c>
      <c r="N23" s="71">
        <f>IF(ISNUMBER(Matching_Engine!$Y$23),Matching_Engine!$Y$23,-1)</f>
        <v>40</v>
      </c>
      <c r="O23" s="71">
        <f>IF(ISNUMBER(Matching_Engine!$AE$23),Matching_Engine!$AE$23,-1)</f>
        <v>82</v>
      </c>
      <c r="P23" s="71">
        <f>IF(ISNUMBER(Matching_Engine!$AM$23),Matching_Engine!$AM$23,-1)</f>
        <v>-1</v>
      </c>
      <c r="Q23" s="71">
        <f>IF(ISNUMBER(Matching_Engine!$AT$23),Matching_Engine!$AT$23,-1)</f>
        <v>29</v>
      </c>
      <c r="R23" s="71">
        <f ca="1">MAX($L$23:$Q$23)</f>
        <v>82</v>
      </c>
      <c r="S23" s="57" t="str">
        <f ca="1">INDEX({"Brand &amp; Business Relevance","Target Audience Relevance","Content &amp; Category Relevance","Brand Personality Fit","Performance Quality","Brand Safety"},MATCH($R$23,$L$23:$Q$23,0))</f>
        <v>Brand Personality Fit</v>
      </c>
      <c r="T23" s="71">
        <f>IF(ISNUMBER(Matching_Engine!$M$23),Matching_Engine!$M$23,999)</f>
        <v>20</v>
      </c>
      <c r="U23" s="71">
        <f ca="1">IF(ISNUMBER(Matching_Engine!$S$23),Matching_Engine!$S$23,999)</f>
        <v>57</v>
      </c>
      <c r="V23" s="71">
        <f>IF(ISNUMBER(Matching_Engine!$Y$23),Matching_Engine!$Y$23,999)</f>
        <v>40</v>
      </c>
      <c r="W23" s="71">
        <f>IF(ISNUMBER(Matching_Engine!$AE$23),Matching_Engine!$AE$23,999)</f>
        <v>82</v>
      </c>
      <c r="X23" s="71">
        <f>IF(ISNUMBER(Matching_Engine!$AM$23),Matching_Engine!$AM$23,999)</f>
        <v>999</v>
      </c>
      <c r="Y23" s="71">
        <f>IF(ISNUMBER(Matching_Engine!$AT$23),Matching_Engine!$AT$23,999)</f>
        <v>29</v>
      </c>
      <c r="Z23" s="71">
        <f ca="1">MIN($T$23:$Y$23)</f>
        <v>20</v>
      </c>
      <c r="AA23" s="57" t="str">
        <f ca="1">INDEX({"Brand &amp; Business Relevance","Target Audience Relevance","Content &amp; Category Relevance","Brand Personality Fit","Performance Quality","Brand Safety"},MATCH($Z$23,$T$23:$Y$23,0))</f>
        <v>Brand &amp; Business Relevance</v>
      </c>
    </row>
    <row r="24" spans="1:27">
      <c r="A24" s="57" t="str">
        <f>Matching_Engine!$B$24</f>
        <v>Nusatech Cloud</v>
      </c>
      <c r="B24" s="57" t="str">
        <f>Matching_Engine!$D$24</f>
        <v>Putri Amanda</v>
      </c>
      <c r="C24" s="57" t="str">
        <f>Matching_Engine!$E$24</f>
        <v>@putrimomlife</v>
      </c>
      <c r="D24" s="70">
        <f ca="1">Matching_Engine!$AY$24</f>
        <v>41</v>
      </c>
      <c r="E24" s="57" t="str">
        <f>Matching_Engine!$AZ$24</f>
        <v>BRAND-A|KOL-19</v>
      </c>
      <c r="F24" s="57" t="str">
        <f ca="1">IF(NOT(ISNUMBER(Matching_Engine!$AY$24)),"Not scored: no component of the model had data for this account, so no match can be claimed either way.",Matching_Engine!$AZ$24&amp;" — "&amp;Matching_Engine!$AY$24&amp;"/100 against "&amp;Matching_Engine!$B$24&amp;". "&amp;"Strongest factor "&amp;$S$24&amp;" at "&amp;$R$24&amp;"; weakest "&amp;$AA$24&amp;" at "&amp;$Z$24&amp;". "&amp;IF(AND(ISTEXT(Matching_Engine!$G$24),Matching_Engine!$G$24&lt;&gt;"N/A"),"Tagged category "&amp;Matching_Engine!$G$24&amp;" scores "&amp;IF(ISNUMBER(Matching_Engine!$J$24),Matching_Engine!$J$24,0)&amp;" against the brand category "&amp;Matching_Engine!$B$24&amp;" targets. ","Creator carries no category on record, so the category-driven parts fall back to neutral rather than penalising the creator. ")&amp;IF(ISNUMBER(Matching_Engine!$R$24),"Audience-interest overlap "&amp;Matching_Engine!$R$24&amp;". ","Audience interests unmeasured. ")&amp;IF(Matching_Engine!$AX$24&lt;100,"Scored on "&amp;Matching_Engine!$AX$24&amp;" of the 100 nominal weight points; the rest had no data.",""))</f>
        <v>BRAND-A|KOL-19 — 41/100 against Nusatech Cloud. Strongest factor Brand Personality Fit at 79; weakest Brand &amp; Business Relevance at 0. Tagged category Parenting scores 4,6 against the brand category Nusatech Cloud targets. Audience-interest overlap 0. </v>
      </c>
      <c r="G24" s="57" t="str">
        <f ca="1">IF(NOT(ISNUMBER(Matching_Engine!$AY$24)),"N/A",$S$24&amp;" ("&amp;$R$24&amp;"/100)")</f>
        <v>Brand Personality Fit (79/100)</v>
      </c>
      <c r="H24" s="57" t="str">
        <f ca="1">IF(NOT(ISNUMBER(Matching_Engine!$AY$24)),"N/A",$AA$24&amp;" ("&amp;$Z$24&amp;"/100)")</f>
        <v>Brand &amp; Business Relevance (0/100)</v>
      </c>
      <c r="I24" s="57" t="str">
        <f ca="1">IF(NOT(ISNUMBER(Matching_Engine!$AY$24)),"No data to consider: this account has no measured signal.",IF($Z$24&lt;Lookup_Lists!$D$161,$AA$24&amp;" sits at "&amp;$Z$24&amp;", below the "&amp;Lookup_Lists!$D$161&amp;"-point consideration threshold"&amp;IF(Matching_Engine!$AF$24=0," · Brand Personality Fit could not be scored at all: no creator personality, tone, values or content-style column exists","")&amp;IF(Matching_Engine!$AI$24="N/A"," · posting cadence unusable, so Consistency is excluded from Performance","")&amp;".","No component falls below the "&amp;Lookup_Lists!$D$161&amp;"-point consideration threshold."))</f>
        <v>Brand &amp; Business Relevance sits at 0, below the 75-point consideration threshold.</v>
      </c>
      <c r="J24" s="57" t="str">
        <f ca="1">Matching_Engine!$AV$24&amp;" — "&amp;Matching_Engine!$AW$24&amp;IF(Matching_Engine!$BB$24="Limited Data"," Confidence is Limited Data: "&amp;Matching_Engine!$BA$24&amp;"% of tracked fields carry a value.","")</f>
        <v>PASS — </v>
      </c>
      <c r="K24" s="57" t="str">
        <f ca="1">IF(NOT(ISNUMBER(Matching_Engine!$AY$24)),"Do not shortlist on this data — re-scrape the account first.",IF(Matching_Engine!$AY$24&gt;=Lookup_Lists!$D$156,"Highly Recommended",IF(Matching_Engine!$AY$24&gt;=Lookup_Lists!$D$157,"Recommended",IF(Matching_Engine!$AY$24&gt;=Lookup_Lists!$D$158,"Consider","Low Priority")))&amp;IF(Matching_Engine!$AX$24&lt;100," (on partial data)",""))</f>
        <v>Low Priority</v>
      </c>
      <c r="L24" s="71">
        <f>IF(ISNUMBER(Matching_Engine!$M$24),Matching_Engine!$M$24,-1)</f>
        <v>0</v>
      </c>
      <c r="M24" s="71">
        <f ca="1">IF(ISNUMBER(Matching_Engine!$S$24),Matching_Engine!$S$24,-1)</f>
        <v>49</v>
      </c>
      <c r="N24" s="71">
        <f>IF(ISNUMBER(Matching_Engine!$Y$24),Matching_Engine!$Y$24,-1)</f>
        <v>50</v>
      </c>
      <c r="O24" s="71">
        <f>IF(ISNUMBER(Matching_Engine!$AE$24),Matching_Engine!$AE$24,-1)</f>
        <v>79</v>
      </c>
      <c r="P24" s="71">
        <f>IF(ISNUMBER(Matching_Engine!$AM$24),Matching_Engine!$AM$24,-1)</f>
        <v>-1</v>
      </c>
      <c r="Q24" s="71">
        <f>IF(ISNUMBER(Matching_Engine!$AT$24),Matching_Engine!$AT$24,-1)</f>
        <v>27</v>
      </c>
      <c r="R24" s="71">
        <f ca="1">MAX($L$24:$Q$24)</f>
        <v>79</v>
      </c>
      <c r="S24" s="57" t="str">
        <f ca="1">INDEX({"Brand &amp; Business Relevance","Target Audience Relevance","Content &amp; Category Relevance","Brand Personality Fit","Performance Quality","Brand Safety"},MATCH($R$24,$L$24:$Q$24,0))</f>
        <v>Brand Personality Fit</v>
      </c>
      <c r="T24" s="71">
        <f>IF(ISNUMBER(Matching_Engine!$M$24),Matching_Engine!$M$24,999)</f>
        <v>0</v>
      </c>
      <c r="U24" s="71">
        <f ca="1">IF(ISNUMBER(Matching_Engine!$S$24),Matching_Engine!$S$24,999)</f>
        <v>49</v>
      </c>
      <c r="V24" s="71">
        <f>IF(ISNUMBER(Matching_Engine!$Y$24),Matching_Engine!$Y$24,999)</f>
        <v>50</v>
      </c>
      <c r="W24" s="71">
        <f>IF(ISNUMBER(Matching_Engine!$AE$24),Matching_Engine!$AE$24,999)</f>
        <v>79</v>
      </c>
      <c r="X24" s="71">
        <f>IF(ISNUMBER(Matching_Engine!$AM$24),Matching_Engine!$AM$24,999)</f>
        <v>999</v>
      </c>
      <c r="Y24" s="71">
        <f>IF(ISNUMBER(Matching_Engine!$AT$24),Matching_Engine!$AT$24,999)</f>
        <v>27</v>
      </c>
      <c r="Z24" s="71">
        <f ca="1">MIN($T$24:$Y$24)</f>
        <v>0</v>
      </c>
      <c r="AA24" s="57" t="str">
        <f ca="1">INDEX({"Brand &amp; Business Relevance","Target Audience Relevance","Content &amp; Category Relevance","Brand Personality Fit","Performance Quality","Brand Safety"},MATCH($Z$24,$T$24:$Y$24,0))</f>
        <v>Brand &amp; Business Relevance</v>
      </c>
    </row>
    <row r="25" spans="1:27">
      <c r="A25" s="57" t="str">
        <f>Matching_Engine!$B$25</f>
        <v>Nusatech Cloud</v>
      </c>
      <c r="B25" s="57" t="str">
        <f>Matching_Engine!$D$25</f>
        <v>Hendra Wijoyo</v>
      </c>
      <c r="C25" s="57" t="str">
        <f>Matching_Engine!$E$25</f>
        <v>@hendrakeluarga</v>
      </c>
      <c r="D25" s="70">
        <f ca="1">Matching_Engine!$AY$25</f>
        <v>45</v>
      </c>
      <c r="E25" s="57" t="str">
        <f>Matching_Engine!$AZ$25</f>
        <v>BRAND-A|KOL-20</v>
      </c>
      <c r="F25" s="57" t="str">
        <f ca="1">IF(NOT(ISNUMBER(Matching_Engine!$AY$25)),"Not scored: no component of the model had data for this account, so no match can be claimed either way.",Matching_Engine!$AZ$25&amp;" — "&amp;Matching_Engine!$AY$25&amp;"/100 against "&amp;Matching_Engine!$B$25&amp;". "&amp;"Strongest factor "&amp;$S$25&amp;" at "&amp;$R$25&amp;"; weakest "&amp;$AA$25&amp;" at "&amp;$Z$25&amp;". "&amp;IF(AND(ISTEXT(Matching_Engine!$G$25),Matching_Engine!$G$25&lt;&gt;"N/A"),"Tagged category "&amp;Matching_Engine!$G$25&amp;" scores "&amp;IF(ISNUMBER(Matching_Engine!$J$25),Matching_Engine!$J$25,0)&amp;" against the brand category "&amp;Matching_Engine!$B$25&amp;" targets. ","Creator carries no category on record, so the category-driven parts fall back to neutral rather than penalising the creator. ")&amp;IF(ISNUMBER(Matching_Engine!$R$25),"Audience-interest overlap "&amp;Matching_Engine!$R$25&amp;". ","Audience interests unmeasured. ")&amp;IF(Matching_Engine!$AX$25&lt;100,"Scored on "&amp;Matching_Engine!$AX$25&amp;" of the 100 nominal weight points; the rest had no data.",""))</f>
        <v>BRAND-A|KOL-20 — 45/100 against Nusatech Cloud. Strongest factor Brand Personality Fit at 85; weakest Brand &amp; Business Relevance at 20. Tagged category Parenting scores 5,4 against the brand category Nusatech Cloud targets. Audience-interest overlap 20. </v>
      </c>
      <c r="G25" s="57" t="str">
        <f ca="1">IF(NOT(ISNUMBER(Matching_Engine!$AY$25)),"N/A",$S$25&amp;" ("&amp;$R$25&amp;"/100)")</f>
        <v>Brand Personality Fit (85/100)</v>
      </c>
      <c r="H25" s="57" t="str">
        <f ca="1">IF(NOT(ISNUMBER(Matching_Engine!$AY$25)),"N/A",$AA$25&amp;" ("&amp;$Z$25&amp;"/100)")</f>
        <v>Brand &amp; Business Relevance (20/100)</v>
      </c>
      <c r="I25" s="57" t="str">
        <f ca="1">IF(NOT(ISNUMBER(Matching_Engine!$AY$25)),"No data to consider: this account has no measured signal.",IF($Z$25&lt;Lookup_Lists!$D$161,$AA$25&amp;" sits at "&amp;$Z$25&amp;", below the "&amp;Lookup_Lists!$D$161&amp;"-point consideration threshold"&amp;IF(Matching_Engine!$AF$25=0," · Brand Personality Fit could not be scored at all: no creator personality, tone, values or content-style column exists","")&amp;IF(Matching_Engine!$AI$25="N/A"," · posting cadence unusable, so Consistency is excluded from Performance","")&amp;".","No component falls below the "&amp;Lookup_Lists!$D$161&amp;"-point consideration threshold."))</f>
        <v>Brand &amp; Business Relevance sits at 20, below the 75-point consideration threshold.</v>
      </c>
      <c r="J25" s="57" t="str">
        <f ca="1">Matching_Engine!$AV$25&amp;" — "&amp;Matching_Engine!$AW$25&amp;IF(Matching_Engine!$BB$25="Limited Data"," Confidence is Limited Data: "&amp;Matching_Engine!$BA$25&amp;"% of tracked fields carry a value.","")</f>
        <v>PASS — </v>
      </c>
      <c r="K25" s="57" t="str">
        <f ca="1">IF(NOT(ISNUMBER(Matching_Engine!$AY$25)),"Do not shortlist on this data — re-scrape the account first.",IF(Matching_Engine!$AY$25&gt;=Lookup_Lists!$D$156,"Highly Recommended",IF(Matching_Engine!$AY$25&gt;=Lookup_Lists!$D$157,"Recommended",IF(Matching_Engine!$AY$25&gt;=Lookup_Lists!$D$158,"Consider","Low Priority")))&amp;IF(Matching_Engine!$AX$25&lt;100," (on partial data)",""))</f>
        <v>Low Priority</v>
      </c>
      <c r="L25" s="71">
        <f>IF(ISNUMBER(Matching_Engine!$M$25),Matching_Engine!$M$25,-1)</f>
        <v>20</v>
      </c>
      <c r="M25" s="71">
        <f ca="1">IF(ISNUMBER(Matching_Engine!$S$25),Matching_Engine!$S$25,-1)</f>
        <v>57</v>
      </c>
      <c r="N25" s="71">
        <f>IF(ISNUMBER(Matching_Engine!$Y$25),Matching_Engine!$Y$25,-1)</f>
        <v>30</v>
      </c>
      <c r="O25" s="71">
        <f>IF(ISNUMBER(Matching_Engine!$AE$25),Matching_Engine!$AE$25,-1)</f>
        <v>85</v>
      </c>
      <c r="P25" s="71">
        <f>IF(ISNUMBER(Matching_Engine!$AM$25),Matching_Engine!$AM$25,-1)</f>
        <v>-1</v>
      </c>
      <c r="Q25" s="71">
        <f>IF(ISNUMBER(Matching_Engine!$AT$25),Matching_Engine!$AT$25,-1)</f>
        <v>24</v>
      </c>
      <c r="R25" s="71">
        <f ca="1">MAX($L$25:$Q$25)</f>
        <v>85</v>
      </c>
      <c r="S25" s="57" t="str">
        <f ca="1">INDEX({"Brand &amp; Business Relevance","Target Audience Relevance","Content &amp; Category Relevance","Brand Personality Fit","Performance Quality","Brand Safety"},MATCH($R$25,$L$25:$Q$25,0))</f>
        <v>Brand Personality Fit</v>
      </c>
      <c r="T25" s="71">
        <f>IF(ISNUMBER(Matching_Engine!$M$25),Matching_Engine!$M$25,999)</f>
        <v>20</v>
      </c>
      <c r="U25" s="71">
        <f ca="1">IF(ISNUMBER(Matching_Engine!$S$25),Matching_Engine!$S$25,999)</f>
        <v>57</v>
      </c>
      <c r="V25" s="71">
        <f>IF(ISNUMBER(Matching_Engine!$Y$25),Matching_Engine!$Y$25,999)</f>
        <v>30</v>
      </c>
      <c r="W25" s="71">
        <f>IF(ISNUMBER(Matching_Engine!$AE$25),Matching_Engine!$AE$25,999)</f>
        <v>85</v>
      </c>
      <c r="X25" s="71">
        <f>IF(ISNUMBER(Matching_Engine!$AM$25),Matching_Engine!$AM$25,999)</f>
        <v>999</v>
      </c>
      <c r="Y25" s="71">
        <f>IF(ISNUMBER(Matching_Engine!$AT$25),Matching_Engine!$AT$25,999)</f>
        <v>24</v>
      </c>
      <c r="Z25" s="71">
        <f ca="1">MIN($T$25:$Y$25)</f>
        <v>20</v>
      </c>
      <c r="AA25" s="57" t="str">
        <f ca="1">INDEX({"Brand &amp; Business Relevance","Target Audience Relevance","Content &amp; Category Relevance","Brand Personality Fit","Performance Quality","Brand Safety"},MATCH($Z$25,$T$25:$Y$25,0))</f>
        <v>Brand &amp; Business Relevance</v>
      </c>
    </row>
    <row r="26" spans="1:27">
      <c r="A26" s="57" t="str">
        <f>Matching_Engine!$B$26</f>
        <v>Nusatech Cloud</v>
      </c>
      <c r="B26" s="57" t="str">
        <f>Matching_Engine!$D$26</f>
        <v>Bagas Setiawan</v>
      </c>
      <c r="C26" s="57" t="str">
        <f>Matching_Engine!$E$26</f>
        <v>@bagaskomedi</v>
      </c>
      <c r="D26" s="70" t="str">
        <f ca="1">Matching_Engine!$AY$26</f>
        <v/>
      </c>
      <c r="E26" s="57" t="str">
        <f>Matching_Engine!$AZ$26</f>
        <v>BRAND-A|KOL-21</v>
      </c>
      <c r="F26" s="57" t="str">
        <f ca="1">IF(NOT(ISNUMBER(Matching_Engine!$AY$26)),"Not scored: no component of the model had data for this account, so no match can be claimed either way.",Matching_Engine!$AZ$26&amp;" — "&amp;Matching_Engine!$AY$26&amp;"/100 against "&amp;Matching_Engine!$B$26&amp;". "&amp;"Strongest factor "&amp;$S$26&amp;" at "&amp;$R$26&amp;"; weakest "&amp;$AA$26&amp;" at "&amp;$Z$26&amp;". "&amp;IF(AND(ISTEXT(Matching_Engine!$G$26),Matching_Engine!$G$26&lt;&gt;"N/A"),"Tagged category "&amp;Matching_Engine!$G$26&amp;" scores "&amp;IF(ISNUMBER(Matching_Engine!$J$26),Matching_Engine!$J$26,0)&amp;" against the brand category "&amp;Matching_Engine!$B$26&amp;" targets. ","Creator carries no category on record, so the category-driven parts fall back to neutral rather than penalising the creator. ")&amp;IF(ISNUMBER(Matching_Engine!$R$26),"Audience-interest overlap "&amp;Matching_Engine!$R$26&amp;". ","Audience interests unmeasured. ")&amp;IF(Matching_Engine!$AX$26&lt;100,"Scored on "&amp;Matching_Engine!$AX$26&amp;" of the 100 nominal weight points; the rest had no data.",""))</f>
        <v>Not scored: no component of the model had data for this account, so no match can be claimed either way.</v>
      </c>
      <c r="G26" s="57" t="str">
        <f ca="1">IF(NOT(ISNUMBER(Matching_Engine!$AY$26)),"N/A",$S$26&amp;" ("&amp;$R$26&amp;"/100)")</f>
        <v>N/A</v>
      </c>
      <c r="H26" s="57" t="str">
        <f ca="1">IF(NOT(ISNUMBER(Matching_Engine!$AY$26)),"N/A",$AA$26&amp;" ("&amp;$Z$26&amp;"/100)")</f>
        <v>N/A</v>
      </c>
      <c r="I26" s="57" t="str">
        <f ca="1">IF(NOT(ISNUMBER(Matching_Engine!$AY$26)),"No data to consider: this account has no measured signal.",IF($Z$26&lt;Lookup_Lists!$D$161,$AA$26&amp;" sits at "&amp;$Z$26&amp;", below the "&amp;Lookup_Lists!$D$161&amp;"-point consideration threshold"&amp;IF(Matching_Engine!$AF$26=0," · Brand Personality Fit could not be scored at all: no creator personality, tone, values or content-style column exists","")&amp;IF(Matching_Engine!$AI$26="N/A"," · posting cadence unusable, so Consistency is excluded from Performance","")&amp;".","No component falls below the "&amp;Lookup_Lists!$D$161&amp;"-point consideration threshold."))</f>
        <v>No data to consider: this account has no measured signal.</v>
      </c>
      <c r="J26" s="57" t="str">
        <f ca="1">Matching_Engine!$AV$26&amp;" — "&amp;Matching_Engine!$AW$26&amp;IF(Matching_Engine!$BB$26="Limited Data"," Confidence is Limited Data: "&amp;Matching_Engine!$BA$26&amp;"% of tracked fields carry a value.","")</f>
        <v>EXCLUDED — Followers above Preferred Follower Range</v>
      </c>
      <c r="K26" s="57" t="str">
        <f ca="1">IF(NOT(ISNUMBER(Matching_Engine!$AY$26)),"Do not shortlist on this data — re-scrape the account first.",IF(Matching_Engine!$AY$26&gt;=Lookup_Lists!$D$156,"Highly Recommended",IF(Matching_Engine!$AY$26&gt;=Lookup_Lists!$D$157,"Recommended",IF(Matching_Engine!$AY$26&gt;=Lookup_Lists!$D$158,"Consider","Low Priority")))&amp;IF(Matching_Engine!$AX$26&lt;100," (on partial data)",""))</f>
        <v>Do not shortlist on this data — re-scrape the account first.</v>
      </c>
      <c r="L26" s="71">
        <f>IF(ISNUMBER(Matching_Engine!$M$26),Matching_Engine!$M$26,-1)</f>
        <v>0</v>
      </c>
      <c r="M26" s="71">
        <f ca="1">IF(ISNUMBER(Matching_Engine!$S$26),Matching_Engine!$S$26,-1)</f>
        <v>49</v>
      </c>
      <c r="N26" s="71">
        <f>IF(ISNUMBER(Matching_Engine!$Y$26),Matching_Engine!$Y$26,-1)</f>
        <v>30</v>
      </c>
      <c r="O26" s="71">
        <f>IF(ISNUMBER(Matching_Engine!$AE$26),Matching_Engine!$AE$26,-1)</f>
        <v>76</v>
      </c>
      <c r="P26" s="71">
        <f>IF(ISNUMBER(Matching_Engine!$AM$26),Matching_Engine!$AM$26,-1)</f>
        <v>-1</v>
      </c>
      <c r="Q26" s="71">
        <f>IF(ISNUMBER(Matching_Engine!$AT$26),Matching_Engine!$AT$26,-1)</f>
        <v>23</v>
      </c>
      <c r="R26" s="71">
        <f ca="1">MAX($L$26:$Q$26)</f>
        <v>76</v>
      </c>
      <c r="S26" s="57" t="str">
        <f ca="1">INDEX({"Brand &amp; Business Relevance","Target Audience Relevance","Content &amp; Category Relevance","Brand Personality Fit","Performance Quality","Brand Safety"},MATCH($R$26,$L$26:$Q$26,0))</f>
        <v>Brand Personality Fit</v>
      </c>
      <c r="T26" s="71">
        <f>IF(ISNUMBER(Matching_Engine!$M$26),Matching_Engine!$M$26,999)</f>
        <v>0</v>
      </c>
      <c r="U26" s="71">
        <f ca="1">IF(ISNUMBER(Matching_Engine!$S$26),Matching_Engine!$S$26,999)</f>
        <v>49</v>
      </c>
      <c r="V26" s="71">
        <f>IF(ISNUMBER(Matching_Engine!$Y$26),Matching_Engine!$Y$26,999)</f>
        <v>30</v>
      </c>
      <c r="W26" s="71">
        <f>IF(ISNUMBER(Matching_Engine!$AE$26),Matching_Engine!$AE$26,999)</f>
        <v>76</v>
      </c>
      <c r="X26" s="71">
        <f>IF(ISNUMBER(Matching_Engine!$AM$26),Matching_Engine!$AM$26,999)</f>
        <v>999</v>
      </c>
      <c r="Y26" s="71">
        <f>IF(ISNUMBER(Matching_Engine!$AT$26),Matching_Engine!$AT$26,999)</f>
        <v>23</v>
      </c>
      <c r="Z26" s="71">
        <f ca="1">MIN($T$26:$Y$26)</f>
        <v>0</v>
      </c>
      <c r="AA26" s="57" t="str">
        <f ca="1">INDEX({"Brand &amp; Business Relevance","Target Audience Relevance","Content &amp; Category Relevance","Brand Personality Fit","Performance Quality","Brand Safety"},MATCH($Z$26,$T$26:$Y$26,0))</f>
        <v>Brand &amp; Business Relevance</v>
      </c>
    </row>
    <row r="27" spans="1:27">
      <c r="A27" s="57" t="str">
        <f>Matching_Engine!$B$27</f>
        <v>Nusatech Cloud</v>
      </c>
      <c r="B27" s="57" t="str">
        <f>Matching_Engine!$D$27</f>
        <v>Nabila Kirana</v>
      </c>
      <c r="C27" s="57" t="str">
        <f>Matching_Engine!$E$27</f>
        <v>@nabilamusic</v>
      </c>
      <c r="D27" s="70" t="str">
        <f ca="1">Matching_Engine!$AY$27</f>
        <v/>
      </c>
      <c r="E27" s="57" t="str">
        <f>Matching_Engine!$AZ$27</f>
        <v>BRAND-A|KOL-22</v>
      </c>
      <c r="F27" s="57" t="str">
        <f ca="1">IF(NOT(ISNUMBER(Matching_Engine!$AY$27)),"Not scored: no component of the model had data for this account, so no match can be claimed either way.",Matching_Engine!$AZ$27&amp;" — "&amp;Matching_Engine!$AY$27&amp;"/100 against "&amp;Matching_Engine!$B$27&amp;". "&amp;"Strongest factor "&amp;$S$27&amp;" at "&amp;$R$27&amp;"; weakest "&amp;$AA$27&amp;" at "&amp;$Z$27&amp;". "&amp;IF(AND(ISTEXT(Matching_Engine!$G$27),Matching_Engine!$G$27&lt;&gt;"N/A"),"Tagged category "&amp;Matching_Engine!$G$27&amp;" scores "&amp;IF(ISNUMBER(Matching_Engine!$J$27),Matching_Engine!$J$27,0)&amp;" against the brand category "&amp;Matching_Engine!$B$27&amp;" targets. ","Creator carries no category on record, so the category-driven parts fall back to neutral rather than penalising the creator. ")&amp;IF(ISNUMBER(Matching_Engine!$R$27),"Audience-interest overlap "&amp;Matching_Engine!$R$27&amp;". ","Audience interests unmeasured. ")&amp;IF(Matching_Engine!$AX$27&lt;100,"Scored on "&amp;Matching_Engine!$AX$27&amp;" of the 100 nominal weight points; the rest had no data.",""))</f>
        <v>Not scored: no component of the model had data for this account, so no match can be claimed either way.</v>
      </c>
      <c r="G27" s="57" t="str">
        <f ca="1">IF(NOT(ISNUMBER(Matching_Engine!$AY$27)),"N/A",$S$27&amp;" ("&amp;$R$27&amp;"/100)")</f>
        <v>N/A</v>
      </c>
      <c r="H27" s="57" t="str">
        <f ca="1">IF(NOT(ISNUMBER(Matching_Engine!$AY$27)),"N/A",$AA$27&amp;" ("&amp;$Z$27&amp;"/100)")</f>
        <v>N/A</v>
      </c>
      <c r="I27" s="57" t="str">
        <f ca="1">IF(NOT(ISNUMBER(Matching_Engine!$AY$27)),"No data to consider: this account has no measured signal.",IF($Z$27&lt;Lookup_Lists!$D$161,$AA$27&amp;" sits at "&amp;$Z$27&amp;", below the "&amp;Lookup_Lists!$D$161&amp;"-point consideration threshold"&amp;IF(Matching_Engine!$AF$27=0," · Brand Personality Fit could not be scored at all: no creator personality, tone, values or content-style column exists","")&amp;IF(Matching_Engine!$AI$27="N/A"," · posting cadence unusable, so Consistency is excluded from Performance","")&amp;".","No component falls below the "&amp;Lookup_Lists!$D$161&amp;"-point consideration threshold."))</f>
        <v>No data to consider: this account has no measured signal.</v>
      </c>
      <c r="J27" s="57" t="str">
        <f ca="1">Matching_Engine!$AV$27&amp;" — "&amp;Matching_Engine!$AW$27&amp;IF(Matching_Engine!$BB$27="Limited Data"," Confidence is Limited Data: "&amp;Matching_Engine!$BA$27&amp;"% of tracked fields carry a value.","")</f>
        <v>EXCLUDED — Brand Safety below Minimum Brand Safety</v>
      </c>
      <c r="K27" s="57" t="str">
        <f ca="1">IF(NOT(ISNUMBER(Matching_Engine!$AY$27)),"Do not shortlist on this data — re-scrape the account first.",IF(Matching_Engine!$AY$27&gt;=Lookup_Lists!$D$156,"Highly Recommended",IF(Matching_Engine!$AY$27&gt;=Lookup_Lists!$D$157,"Recommended",IF(Matching_Engine!$AY$27&gt;=Lookup_Lists!$D$158,"Consider","Low Priority")))&amp;IF(Matching_Engine!$AX$27&lt;100," (on partial data)",""))</f>
        <v>Do not shortlist on this data — re-scrape the account first.</v>
      </c>
      <c r="L27" s="71">
        <f>IF(ISNUMBER(Matching_Engine!$M$27),Matching_Engine!$M$27,-1)</f>
        <v>0</v>
      </c>
      <c r="M27" s="71">
        <f ca="1">IF(ISNUMBER(Matching_Engine!$S$27),Matching_Engine!$S$27,-1)</f>
        <v>54</v>
      </c>
      <c r="N27" s="71">
        <f>IF(ISNUMBER(Matching_Engine!$Y$27),Matching_Engine!$Y$27,-1)</f>
        <v>95</v>
      </c>
      <c r="O27" s="71">
        <f>IF(ISNUMBER(Matching_Engine!$AE$27),Matching_Engine!$AE$27,-1)</f>
        <v>75</v>
      </c>
      <c r="P27" s="71">
        <f>IF(ISNUMBER(Matching_Engine!$AM$27),Matching_Engine!$AM$27,-1)</f>
        <v>-1</v>
      </c>
      <c r="Q27" s="71">
        <f>IF(ISNUMBER(Matching_Engine!$AT$27),Matching_Engine!$AT$27,-1)</f>
        <v>33</v>
      </c>
      <c r="R27" s="71">
        <f ca="1">MAX($L$27:$Q$27)</f>
        <v>95</v>
      </c>
      <c r="S27" s="57" t="str">
        <f ca="1">INDEX({"Brand &amp; Business Relevance","Target Audience Relevance","Content &amp; Category Relevance","Brand Personality Fit","Performance Quality","Brand Safety"},MATCH($R$27,$L$27:$Q$27,0))</f>
        <v>Content &amp; Category Relevance</v>
      </c>
      <c r="T27" s="71">
        <f>IF(ISNUMBER(Matching_Engine!$M$27),Matching_Engine!$M$27,999)</f>
        <v>0</v>
      </c>
      <c r="U27" s="71">
        <f ca="1">IF(ISNUMBER(Matching_Engine!$S$27),Matching_Engine!$S$27,999)</f>
        <v>54</v>
      </c>
      <c r="V27" s="71">
        <f>IF(ISNUMBER(Matching_Engine!$Y$27),Matching_Engine!$Y$27,999)</f>
        <v>95</v>
      </c>
      <c r="W27" s="71">
        <f>IF(ISNUMBER(Matching_Engine!$AE$27),Matching_Engine!$AE$27,999)</f>
        <v>75</v>
      </c>
      <c r="X27" s="71">
        <f>IF(ISNUMBER(Matching_Engine!$AM$27),Matching_Engine!$AM$27,999)</f>
        <v>999</v>
      </c>
      <c r="Y27" s="71">
        <f>IF(ISNUMBER(Matching_Engine!$AT$27),Matching_Engine!$AT$27,999)</f>
        <v>33</v>
      </c>
      <c r="Z27" s="71">
        <f ca="1">MIN($T$27:$Y$27)</f>
        <v>0</v>
      </c>
      <c r="AA27" s="57" t="str">
        <f ca="1">INDEX({"Brand &amp; Business Relevance","Target Audience Relevance","Content &amp; Category Relevance","Brand Personality Fit","Performance Quality","Brand Safety"},MATCH($Z$27,$T$27:$Y$27,0))</f>
        <v>Brand &amp; Business Relevance</v>
      </c>
    </row>
    <row r="28" spans="1:27">
      <c r="A28" s="57" t="str">
        <f>Matching_Engine!$B$28</f>
        <v>Nusatech Cloud</v>
      </c>
      <c r="B28" s="57" t="str">
        <f>Matching_Engine!$D$28</f>
        <v>Arya Mahendra</v>
      </c>
      <c r="C28" s="57" t="str">
        <f>Matching_Engine!$E$28</f>
        <v>@aryagaming</v>
      </c>
      <c r="D28" s="70">
        <f ca="1">Matching_Engine!$AY$28</f>
        <v>57</v>
      </c>
      <c r="E28" s="57" t="str">
        <f>Matching_Engine!$AZ$28</f>
        <v>BRAND-A|KOL-23</v>
      </c>
      <c r="F28" s="57" t="str">
        <f ca="1">IF(NOT(ISNUMBER(Matching_Engine!$AY$28)),"Not scored: no component of the model had data for this account, so no match can be claimed either way.",Matching_Engine!$AZ$28&amp;" — "&amp;Matching_Engine!$AY$28&amp;"/100 against "&amp;Matching_Engine!$B$28&amp;". "&amp;"Strongest factor "&amp;$S$28&amp;" at "&amp;$R$28&amp;"; weakest "&amp;$AA$28&amp;" at "&amp;$Z$28&amp;". "&amp;IF(AND(ISTEXT(Matching_Engine!$G$28),Matching_Engine!$G$28&lt;&gt;"N/A"),"Tagged category "&amp;Matching_Engine!$G$28&amp;" scores "&amp;IF(ISNUMBER(Matching_Engine!$J$28),Matching_Engine!$J$28,0)&amp;" against the brand category "&amp;Matching_Engine!$B$28&amp;" targets. ","Creator carries no category on record, so the category-driven parts fall back to neutral rather than penalising the creator. ")&amp;IF(ISNUMBER(Matching_Engine!$R$28),"Audience-interest overlap "&amp;Matching_Engine!$R$28&amp;". ","Audience interests unmeasured. ")&amp;IF(Matching_Engine!$AX$28&lt;100,"Scored on "&amp;Matching_Engine!$AX$28&amp;" of the 100 nominal weight points; the rest had no data.",""))</f>
        <v>BRAND-A|KOL-23 — 57/100 against Nusatech Cloud. Strongest factor Brand Personality Fit at 73; weakest Brand &amp; Business Relevance at 20. Tagged category Gaming scores 7,8 against the brand category Nusatech Cloud targets. Audience-interest overlap 20. </v>
      </c>
      <c r="G28" s="57" t="str">
        <f ca="1">IF(NOT(ISNUMBER(Matching_Engine!$AY$28)),"N/A",$S$28&amp;" ("&amp;$R$28&amp;"/100)")</f>
        <v>Brand Personality Fit (73/100)</v>
      </c>
      <c r="H28" s="57" t="str">
        <f ca="1">IF(NOT(ISNUMBER(Matching_Engine!$AY$28)),"N/A",$AA$28&amp;" ("&amp;$Z$28&amp;"/100)")</f>
        <v>Brand &amp; Business Relevance (20/100)</v>
      </c>
      <c r="I28" s="57" t="str">
        <f ca="1">IF(NOT(ISNUMBER(Matching_Engine!$AY$28)),"No data to consider: this account has no measured signal.",IF($Z$28&lt;Lookup_Lists!$D$161,$AA$28&amp;" sits at "&amp;$Z$28&amp;", below the "&amp;Lookup_Lists!$D$161&amp;"-point consideration threshold"&amp;IF(Matching_Engine!$AF$28=0," · Brand Personality Fit could not be scored at all: no creator personality, tone, values or content-style column exists","")&amp;IF(Matching_Engine!$AI$28="N/A"," · posting cadence unusable, so Consistency is excluded from Performance","")&amp;".","No component falls below the "&amp;Lookup_Lists!$D$161&amp;"-point consideration threshold."))</f>
        <v>Brand &amp; Business Relevance sits at 20, below the 75-point consideration threshold.</v>
      </c>
      <c r="J28" s="57" t="str">
        <f ca="1">Matching_Engine!$AV$28&amp;" — "&amp;Matching_Engine!$AW$28&amp;IF(Matching_Engine!$BB$28="Limited Data"," Confidence is Limited Data: "&amp;Matching_Engine!$BA$28&amp;"% of tracked fields carry a value.","")</f>
        <v>PASS — </v>
      </c>
      <c r="K28" s="57" t="str">
        <f ca="1">IF(NOT(ISNUMBER(Matching_Engine!$AY$28)),"Do not shortlist on this data — re-scrape the account first.",IF(Matching_Engine!$AY$28&gt;=Lookup_Lists!$D$156,"Highly Recommended",IF(Matching_Engine!$AY$28&gt;=Lookup_Lists!$D$157,"Recommended",IF(Matching_Engine!$AY$28&gt;=Lookup_Lists!$D$158,"Consider","Low Priority")))&amp;IF(Matching_Engine!$AX$28&lt;100," (on partial data)",""))</f>
        <v>Low Priority</v>
      </c>
      <c r="L28" s="71">
        <f>IF(ISNUMBER(Matching_Engine!$M$28),Matching_Engine!$M$28,-1)</f>
        <v>20</v>
      </c>
      <c r="M28" s="71">
        <f ca="1">IF(ISNUMBER(Matching_Engine!$S$28),Matching_Engine!$S$28,-1)</f>
        <v>57</v>
      </c>
      <c r="N28" s="71">
        <f>IF(ISNUMBER(Matching_Engine!$Y$28),Matching_Engine!$Y$28,-1)</f>
        <v>45</v>
      </c>
      <c r="O28" s="71">
        <f>IF(ISNUMBER(Matching_Engine!$AE$28),Matching_Engine!$AE$28,-1)</f>
        <v>73</v>
      </c>
      <c r="P28" s="71">
        <f>IF(ISNUMBER(Matching_Engine!$AM$28),Matching_Engine!$AM$28,-1)</f>
        <v>-1</v>
      </c>
      <c r="Q28" s="71">
        <f>IF(ISNUMBER(Matching_Engine!$AT$28),Matching_Engine!$AT$28,-1)</f>
        <v>45</v>
      </c>
      <c r="R28" s="71">
        <f ca="1">MAX($L$28:$Q$28)</f>
        <v>73</v>
      </c>
      <c r="S28" s="57" t="str">
        <f ca="1">INDEX({"Brand &amp; Business Relevance","Target Audience Relevance","Content &amp; Category Relevance","Brand Personality Fit","Performance Quality","Brand Safety"},MATCH($R$28,$L$28:$Q$28,0))</f>
        <v>Brand Personality Fit</v>
      </c>
      <c r="T28" s="71">
        <f>IF(ISNUMBER(Matching_Engine!$M$28),Matching_Engine!$M$28,999)</f>
        <v>20</v>
      </c>
      <c r="U28" s="71">
        <f ca="1">IF(ISNUMBER(Matching_Engine!$S$28),Matching_Engine!$S$28,999)</f>
        <v>57</v>
      </c>
      <c r="V28" s="71">
        <f>IF(ISNUMBER(Matching_Engine!$Y$28),Matching_Engine!$Y$28,999)</f>
        <v>45</v>
      </c>
      <c r="W28" s="71">
        <f>IF(ISNUMBER(Matching_Engine!$AE$28),Matching_Engine!$AE$28,999)</f>
        <v>73</v>
      </c>
      <c r="X28" s="71">
        <f>IF(ISNUMBER(Matching_Engine!$AM$28),Matching_Engine!$AM$28,999)</f>
        <v>999</v>
      </c>
      <c r="Y28" s="71">
        <f>IF(ISNUMBER(Matching_Engine!$AT$28),Matching_Engine!$AT$28,999)</f>
        <v>45</v>
      </c>
      <c r="Z28" s="71">
        <f ca="1">MIN($T$28:$Y$28)</f>
        <v>20</v>
      </c>
      <c r="AA28" s="57" t="str">
        <f ca="1">INDEX({"Brand &amp; Business Relevance","Target Audience Relevance","Content &amp; Category Relevance","Brand Personality Fit","Performance Quality","Brand Safety"},MATCH($Z$28,$T$28:$Y$28,0))</f>
        <v>Brand &amp; Business Relevance</v>
      </c>
    </row>
    <row r="29" spans="1:27">
      <c r="A29" s="57" t="str">
        <f>Matching_Engine!$B$29</f>
        <v>Nusatech Cloud</v>
      </c>
      <c r="B29" s="57" t="str">
        <f>Matching_Engine!$D$29</f>
        <v>Rio Saputra</v>
      </c>
      <c r="C29" s="57" t="str">
        <f>Matching_Engine!$E$29</f>
        <v>@riopcbuild</v>
      </c>
      <c r="D29" s="70">
        <f ca="1">Matching_Engine!$AY$29</f>
        <v>66</v>
      </c>
      <c r="E29" s="57" t="str">
        <f>Matching_Engine!$AZ$29</f>
        <v>BRAND-A|KOL-24</v>
      </c>
      <c r="F29" s="57" t="str">
        <f ca="1">IF(NOT(ISNUMBER(Matching_Engine!$AY$29)),"Not scored: no component of the model had data for this account, so no match can be claimed either way.",Matching_Engine!$AZ$29&amp;" — "&amp;Matching_Engine!$AY$29&amp;"/100 against "&amp;Matching_Engine!$B$29&amp;". "&amp;"Strongest factor "&amp;$S$29&amp;" at "&amp;$R$29&amp;"; weakest "&amp;$AA$29&amp;" at "&amp;$Z$29&amp;". "&amp;IF(AND(ISTEXT(Matching_Engine!$G$29),Matching_Engine!$G$29&lt;&gt;"N/A"),"Tagged category "&amp;Matching_Engine!$G$29&amp;" scores "&amp;IF(ISNUMBER(Matching_Engine!$J$29),Matching_Engine!$J$29,0)&amp;" against the brand category "&amp;Matching_Engine!$B$29&amp;" targets. ","Creator carries no category on record, so the category-driven parts fall back to neutral rather than penalising the creator. ")&amp;IF(ISNUMBER(Matching_Engine!$R$29),"Audience-interest overlap "&amp;Matching_Engine!$R$29&amp;". ","Audience interests unmeasured. ")&amp;IF(Matching_Engine!$AX$29&lt;100,"Scored on "&amp;Matching_Engine!$AX$29&amp;" of the 100 nominal weight points; the rest had no data.",""))</f>
        <v>BRAND-A|KOL-24 — 66/100 against Nusatech Cloud. Strongest factor Content &amp; Category Relevance at 100; weakest Brand &amp; Business Relevance at 40. Tagged category Gaming scores 4,2 against the brand category Nusatech Cloud targets. Audience-interest overlap 40. </v>
      </c>
      <c r="G29" s="57" t="str">
        <f ca="1">IF(NOT(ISNUMBER(Matching_Engine!$AY$29)),"N/A",$S$29&amp;" ("&amp;$R$29&amp;"/100)")</f>
        <v>Content &amp; Category Relevance (100/100)</v>
      </c>
      <c r="H29" s="57" t="str">
        <f ca="1">IF(NOT(ISNUMBER(Matching_Engine!$AY$29)),"N/A",$AA$29&amp;" ("&amp;$Z$29&amp;"/100)")</f>
        <v>Brand &amp; Business Relevance (40/100)</v>
      </c>
      <c r="I29" s="57" t="str">
        <f ca="1">IF(NOT(ISNUMBER(Matching_Engine!$AY$29)),"No data to consider: this account has no measured signal.",IF($Z$29&lt;Lookup_Lists!$D$161,$AA$29&amp;" sits at "&amp;$Z$29&amp;", below the "&amp;Lookup_Lists!$D$161&amp;"-point consideration threshold"&amp;IF(Matching_Engine!$AF$29=0," · Brand Personality Fit could not be scored at all: no creator personality, tone, values or content-style column exists","")&amp;IF(Matching_Engine!$AI$29="N/A"," · posting cadence unusable, so Consistency is excluded from Performance","")&amp;".","No component falls below the "&amp;Lookup_Lists!$D$161&amp;"-point consideration threshold."))</f>
        <v>Brand &amp; Business Relevance sits at 40, below the 75-point consideration threshold.</v>
      </c>
      <c r="J29" s="57" t="str">
        <f ca="1">Matching_Engine!$AV$29&amp;" — "&amp;Matching_Engine!$AW$29&amp;IF(Matching_Engine!$BB$29="Limited Data"," Confidence is Limited Data: "&amp;Matching_Engine!$BA$29&amp;"% of tracked fields carry a value.","")</f>
        <v>PASS — </v>
      </c>
      <c r="K29" s="57" t="str">
        <f ca="1">IF(NOT(ISNUMBER(Matching_Engine!$AY$29)),"Do not shortlist on this data — re-scrape the account first.",IF(Matching_Engine!$AY$29&gt;=Lookup_Lists!$D$156,"Highly Recommended",IF(Matching_Engine!$AY$29&gt;=Lookup_Lists!$D$157,"Recommended",IF(Matching_Engine!$AY$29&gt;=Lookup_Lists!$D$158,"Consider","Low Priority")))&amp;IF(Matching_Engine!$AX$29&lt;100," (on partial data)",""))</f>
        <v>Consider</v>
      </c>
      <c r="L29" s="71">
        <f>IF(ISNUMBER(Matching_Engine!$M$29),Matching_Engine!$M$29,-1)</f>
        <v>40</v>
      </c>
      <c r="M29" s="71">
        <f ca="1">IF(ISNUMBER(Matching_Engine!$S$29),Matching_Engine!$S$29,-1)</f>
        <v>68</v>
      </c>
      <c r="N29" s="71">
        <f>IF(ISNUMBER(Matching_Engine!$Y$29),Matching_Engine!$Y$29,-1)</f>
        <v>100</v>
      </c>
      <c r="O29" s="71">
        <f>IF(ISNUMBER(Matching_Engine!$AE$29),Matching_Engine!$AE$29,-1)</f>
        <v>74</v>
      </c>
      <c r="P29" s="71">
        <f>IF(ISNUMBER(Matching_Engine!$AM$29),Matching_Engine!$AM$29,-1)</f>
        <v>-1</v>
      </c>
      <c r="Q29" s="71">
        <f>IF(ISNUMBER(Matching_Engine!$AT$29),Matching_Engine!$AT$29,-1)</f>
        <v>65</v>
      </c>
      <c r="R29" s="71">
        <f ca="1">MAX($L$29:$Q$29)</f>
        <v>100</v>
      </c>
      <c r="S29" s="57" t="str">
        <f ca="1">INDEX({"Brand &amp; Business Relevance","Target Audience Relevance","Content &amp; Category Relevance","Brand Personality Fit","Performance Quality","Brand Safety"},MATCH($R$29,$L$29:$Q$29,0))</f>
        <v>Content &amp; Category Relevance</v>
      </c>
      <c r="T29" s="71">
        <f>IF(ISNUMBER(Matching_Engine!$M$29),Matching_Engine!$M$29,999)</f>
        <v>40</v>
      </c>
      <c r="U29" s="71">
        <f ca="1">IF(ISNUMBER(Matching_Engine!$S$29),Matching_Engine!$S$29,999)</f>
        <v>68</v>
      </c>
      <c r="V29" s="71">
        <f>IF(ISNUMBER(Matching_Engine!$Y$29),Matching_Engine!$Y$29,999)</f>
        <v>100</v>
      </c>
      <c r="W29" s="71">
        <f>IF(ISNUMBER(Matching_Engine!$AE$29),Matching_Engine!$AE$29,999)</f>
        <v>74</v>
      </c>
      <c r="X29" s="71">
        <f>IF(ISNUMBER(Matching_Engine!$AM$29),Matching_Engine!$AM$29,999)</f>
        <v>999</v>
      </c>
      <c r="Y29" s="71">
        <f>IF(ISNUMBER(Matching_Engine!$AT$29),Matching_Engine!$AT$29,999)</f>
        <v>65</v>
      </c>
      <c r="Z29" s="71">
        <f ca="1">MIN($T$29:$Y$29)</f>
        <v>40</v>
      </c>
      <c r="AA29" s="57" t="str">
        <f ca="1">INDEX({"Brand &amp; Business Relevance","Target Audience Relevance","Content &amp; Category Relevance","Brand Personality Fit","Performance Quality","Brand Safety"},MATCH($Z$29,$T$29:$Y$29,0))</f>
        <v>Brand &amp; Business Relevance</v>
      </c>
    </row>
    <row r="30" spans="1:27">
      <c r="A30" s="57" t="str">
        <f>Matching_Engine!$B$30</f>
        <v>Nusatech Cloud</v>
      </c>
      <c r="B30" s="57" t="str">
        <f>Matching_Engine!$D$30</f>
        <v>Denny Kurniawan</v>
      </c>
      <c r="C30" s="57" t="str">
        <f>Matching_Engine!$E$30</f>
        <v>@dennymotovlog</v>
      </c>
      <c r="D30" s="70">
        <f ca="1">Matching_Engine!$AY$30</f>
        <v>54</v>
      </c>
      <c r="E30" s="57" t="str">
        <f>Matching_Engine!$AZ$30</f>
        <v>BRAND-A|KOL-25</v>
      </c>
      <c r="F30" s="57" t="str">
        <f ca="1">IF(NOT(ISNUMBER(Matching_Engine!$AY$30)),"Not scored: no component of the model had data for this account, so no match can be claimed either way.",Matching_Engine!$AZ$30&amp;" — "&amp;Matching_Engine!$AY$30&amp;"/100 against "&amp;Matching_Engine!$B$30&amp;". "&amp;"Strongest factor "&amp;$S$30&amp;" at "&amp;$R$30&amp;"; weakest "&amp;$AA$30&amp;" at "&amp;$Z$30&amp;". "&amp;IF(AND(ISTEXT(Matching_Engine!$G$30),Matching_Engine!$G$30&lt;&gt;"N/A"),"Tagged category "&amp;Matching_Engine!$G$30&amp;" scores "&amp;IF(ISNUMBER(Matching_Engine!$J$30),Matching_Engine!$J$30,0)&amp;" against the brand category "&amp;Matching_Engine!$B$30&amp;" targets. ","Creator carries no category on record, so the category-driven parts fall back to neutral rather than penalising the creator. ")&amp;IF(ISNUMBER(Matching_Engine!$R$30),"Audience-interest overlap "&amp;Matching_Engine!$R$30&amp;". ","Audience interests unmeasured. ")&amp;IF(Matching_Engine!$AX$30&lt;100,"Scored on "&amp;Matching_Engine!$AX$30&amp;" of the 100 nominal weight points; the rest had no data.",""))</f>
        <v>BRAND-A|KOL-25 — 54/100 against Nusatech Cloud. Strongest factor Brand Personality Fit at 73; weakest Brand &amp; Business Relevance at 20. Tagged category Automotive scores 5,1 against the brand category Nusatech Cloud targets. Audience-interest overlap 20. </v>
      </c>
      <c r="G30" s="57" t="str">
        <f ca="1">IF(NOT(ISNUMBER(Matching_Engine!$AY$30)),"N/A",$S$30&amp;" ("&amp;$R$30&amp;"/100)")</f>
        <v>Brand Personality Fit (73/100)</v>
      </c>
      <c r="H30" s="57" t="str">
        <f ca="1">IF(NOT(ISNUMBER(Matching_Engine!$AY$30)),"N/A",$AA$30&amp;" ("&amp;$Z$30&amp;"/100)")</f>
        <v>Brand &amp; Business Relevance (20/100)</v>
      </c>
      <c r="I30" s="57" t="str">
        <f ca="1">IF(NOT(ISNUMBER(Matching_Engine!$AY$30)),"No data to consider: this account has no measured signal.",IF($Z$30&lt;Lookup_Lists!$D$161,$AA$30&amp;" sits at "&amp;$Z$30&amp;", below the "&amp;Lookup_Lists!$D$161&amp;"-point consideration threshold"&amp;IF(Matching_Engine!$AF$30=0," · Brand Personality Fit could not be scored at all: no creator personality, tone, values or content-style column exists","")&amp;IF(Matching_Engine!$AI$30="N/A"," · posting cadence unusable, so Consistency is excluded from Performance","")&amp;".","No component falls below the "&amp;Lookup_Lists!$D$161&amp;"-point consideration threshold."))</f>
        <v>Brand &amp; Business Relevance sits at 20, below the 75-point consideration threshold.</v>
      </c>
      <c r="J30" s="57" t="str">
        <f ca="1">Matching_Engine!$AV$30&amp;" — "&amp;Matching_Engine!$AW$30&amp;IF(Matching_Engine!$BB$30="Limited Data"," Confidence is Limited Data: "&amp;Matching_Engine!$BA$30&amp;"% of tracked fields carry a value.","")</f>
        <v>PASS — </v>
      </c>
      <c r="K30" s="57" t="str">
        <f ca="1">IF(NOT(ISNUMBER(Matching_Engine!$AY$30)),"Do not shortlist on this data — re-scrape the account first.",IF(Matching_Engine!$AY$30&gt;=Lookup_Lists!$D$156,"Highly Recommended",IF(Matching_Engine!$AY$30&gt;=Lookup_Lists!$D$157,"Recommended",IF(Matching_Engine!$AY$30&gt;=Lookup_Lists!$D$158,"Consider","Low Priority")))&amp;IF(Matching_Engine!$AX$30&lt;100," (on partial data)",""))</f>
        <v>Low Priority</v>
      </c>
      <c r="L30" s="71">
        <f>IF(ISNUMBER(Matching_Engine!$M$30),Matching_Engine!$M$30,-1)</f>
        <v>20</v>
      </c>
      <c r="M30" s="71">
        <f ca="1">IF(ISNUMBER(Matching_Engine!$S$30),Matching_Engine!$S$30,-1)</f>
        <v>57</v>
      </c>
      <c r="N30" s="71">
        <f>IF(ISNUMBER(Matching_Engine!$Y$30),Matching_Engine!$Y$30,-1)</f>
        <v>40</v>
      </c>
      <c r="O30" s="71">
        <f>IF(ISNUMBER(Matching_Engine!$AE$30),Matching_Engine!$AE$30,-1)</f>
        <v>73</v>
      </c>
      <c r="P30" s="71">
        <f>IF(ISNUMBER(Matching_Engine!$AM$30),Matching_Engine!$AM$30,-1)</f>
        <v>-1</v>
      </c>
      <c r="Q30" s="71">
        <f>IF(ISNUMBER(Matching_Engine!$AT$30),Matching_Engine!$AT$30,-1)</f>
        <v>41</v>
      </c>
      <c r="R30" s="71">
        <f ca="1">MAX($L$30:$Q$30)</f>
        <v>73</v>
      </c>
      <c r="S30" s="57" t="str">
        <f ca="1">INDEX({"Brand &amp; Business Relevance","Target Audience Relevance","Content &amp; Category Relevance","Brand Personality Fit","Performance Quality","Brand Safety"},MATCH($R$30,$L$30:$Q$30,0))</f>
        <v>Brand Personality Fit</v>
      </c>
      <c r="T30" s="71">
        <f>IF(ISNUMBER(Matching_Engine!$M$30),Matching_Engine!$M$30,999)</f>
        <v>20</v>
      </c>
      <c r="U30" s="71">
        <f ca="1">IF(ISNUMBER(Matching_Engine!$S$30),Matching_Engine!$S$30,999)</f>
        <v>57</v>
      </c>
      <c r="V30" s="71">
        <f>IF(ISNUMBER(Matching_Engine!$Y$30),Matching_Engine!$Y$30,999)</f>
        <v>40</v>
      </c>
      <c r="W30" s="71">
        <f>IF(ISNUMBER(Matching_Engine!$AE$30),Matching_Engine!$AE$30,999)</f>
        <v>73</v>
      </c>
      <c r="X30" s="71">
        <f>IF(ISNUMBER(Matching_Engine!$AM$30),Matching_Engine!$AM$30,999)</f>
        <v>999</v>
      </c>
      <c r="Y30" s="71">
        <f>IF(ISNUMBER(Matching_Engine!$AT$30),Matching_Engine!$AT$30,999)</f>
        <v>41</v>
      </c>
      <c r="Z30" s="71">
        <f ca="1">MIN($T$30:$Y$30)</f>
        <v>20</v>
      </c>
      <c r="AA30" s="57" t="str">
        <f ca="1">INDEX({"Brand &amp; Business Relevance","Target Audience Relevance","Content &amp; Category Relevance","Brand Personality Fit","Performance Quality","Brand Safety"},MATCH($Z$30,$T$30:$Y$30,0))</f>
        <v>Brand &amp; Business Relevance</v>
      </c>
    </row>
    <row r="31" spans="1:27">
      <c r="A31" s="57" t="str">
        <f>Matching_Engine!$B$31</f>
        <v>Nusatech Cloud</v>
      </c>
      <c r="B31" s="57" t="str">
        <f>Matching_Engine!$D$31</f>
        <v>Wisnu Adi</v>
      </c>
      <c r="C31" s="57" t="str">
        <f>Matching_Engine!$E$31</f>
        <v>@wisnucarreview</v>
      </c>
      <c r="D31" s="70" t="str">
        <f ca="1">Matching_Engine!$AY$31</f>
        <v/>
      </c>
      <c r="E31" s="57" t="str">
        <f>Matching_Engine!$AZ$31</f>
        <v>BRAND-A|KOL-26</v>
      </c>
      <c r="F31" s="57" t="str">
        <f ca="1">IF(NOT(ISNUMBER(Matching_Engine!$AY$31)),"Not scored: no component of the model had data for this account, so no match can be claimed either way.",Matching_Engine!$AZ$31&amp;" — "&amp;Matching_Engine!$AY$31&amp;"/100 against "&amp;Matching_Engine!$B$31&amp;". "&amp;"Strongest factor "&amp;$S$31&amp;" at "&amp;$R$31&amp;"; weakest "&amp;$AA$31&amp;" at "&amp;$Z$31&amp;". "&amp;IF(AND(ISTEXT(Matching_Engine!$G$31),Matching_Engine!$G$31&lt;&gt;"N/A"),"Tagged category "&amp;Matching_Engine!$G$31&amp;" scores "&amp;IF(ISNUMBER(Matching_Engine!$J$31),Matching_Engine!$J$31,0)&amp;" against the brand category "&amp;Matching_Engine!$B$31&amp;" targets. ","Creator carries no category on record, so the category-driven parts fall back to neutral rather than penalising the creator. ")&amp;IF(ISNUMBER(Matching_Engine!$R$31),"Audience-interest overlap "&amp;Matching_Engine!$R$31&amp;". ","Audience interests unmeasured. ")&amp;IF(Matching_Engine!$AX$31&lt;100,"Scored on "&amp;Matching_Engine!$AX$31&amp;" of the 100 nominal weight points; the rest had no data.",""))</f>
        <v>Not scored: no component of the model had data for this account, so no match can be claimed either way.</v>
      </c>
      <c r="G31" s="57" t="str">
        <f ca="1">IF(NOT(ISNUMBER(Matching_Engine!$AY$31)),"N/A",$S$31&amp;" ("&amp;$R$31&amp;"/100)")</f>
        <v>N/A</v>
      </c>
      <c r="H31" s="57" t="str">
        <f ca="1">IF(NOT(ISNUMBER(Matching_Engine!$AY$31)),"N/A",$AA$31&amp;" ("&amp;$Z$31&amp;"/100)")</f>
        <v>N/A</v>
      </c>
      <c r="I31" s="57" t="str">
        <f ca="1">IF(NOT(ISNUMBER(Matching_Engine!$AY$31)),"No data to consider: this account has no measured signal.",IF($Z$31&lt;Lookup_Lists!$D$161,$AA$31&amp;" sits at "&amp;$Z$31&amp;", below the "&amp;Lookup_Lists!$D$161&amp;"-point consideration threshold"&amp;IF(Matching_Engine!$AF$31=0," · Brand Personality Fit could not be scored at all: no creator personality, tone, values or content-style column exists","")&amp;IF(Matching_Engine!$AI$31="N/A"," · posting cadence unusable, so Consistency is excluded from Performance","")&amp;".","No component falls below the "&amp;Lookup_Lists!$D$161&amp;"-point consideration threshold."))</f>
        <v>No data to consider: this account has no measured signal.</v>
      </c>
      <c r="J31" s="57" t="str">
        <f ca="1">Matching_Engine!$AV$31&amp;" — "&amp;Matching_Engine!$AW$31&amp;IF(Matching_Engine!$BB$31="Limited Data"," Confidence is Limited Data: "&amp;Matching_Engine!$BA$31&amp;"% of tracked fields carry a value.","")</f>
        <v>EXCLUDED — Audience Quality below Minimum Audience Quality</v>
      </c>
      <c r="K31" s="57" t="str">
        <f ca="1">IF(NOT(ISNUMBER(Matching_Engine!$AY$31)),"Do not shortlist on this data — re-scrape the account first.",IF(Matching_Engine!$AY$31&gt;=Lookup_Lists!$D$156,"Highly Recommended",IF(Matching_Engine!$AY$31&gt;=Lookup_Lists!$D$157,"Recommended",IF(Matching_Engine!$AY$31&gt;=Lookup_Lists!$D$158,"Consider","Low Priority")))&amp;IF(Matching_Engine!$AX$31&lt;100," (on partial data)",""))</f>
        <v>Do not shortlist on this data — re-scrape the account first.</v>
      </c>
      <c r="L31" s="71">
        <f>IF(ISNUMBER(Matching_Engine!$M$31),Matching_Engine!$M$31,-1)</f>
        <v>60</v>
      </c>
      <c r="M31" s="71">
        <f ca="1">IF(ISNUMBER(Matching_Engine!$S$31),Matching_Engine!$S$31,-1)</f>
        <v>83</v>
      </c>
      <c r="N31" s="71">
        <f>IF(ISNUMBER(Matching_Engine!$Y$31),Matching_Engine!$Y$31,-1)</f>
        <v>70</v>
      </c>
      <c r="O31" s="71">
        <f>IF(ISNUMBER(Matching_Engine!$AE$31),Matching_Engine!$AE$31,-1)</f>
        <v>64</v>
      </c>
      <c r="P31" s="71">
        <f>IF(ISNUMBER(Matching_Engine!$AM$31),Matching_Engine!$AM$31,-1)</f>
        <v>-1</v>
      </c>
      <c r="Q31" s="71">
        <f>IF(ISNUMBER(Matching_Engine!$AT$31),Matching_Engine!$AT$31,-1)</f>
        <v>64</v>
      </c>
      <c r="R31" s="71">
        <f ca="1">MAX($L$31:$Q$31)</f>
        <v>83</v>
      </c>
      <c r="S31" s="57" t="str">
        <f ca="1">INDEX({"Brand &amp; Business Relevance","Target Audience Relevance","Content &amp; Category Relevance","Brand Personality Fit","Performance Quality","Brand Safety"},MATCH($R$31,$L$31:$Q$31,0))</f>
        <v>Target Audience Relevance</v>
      </c>
      <c r="T31" s="71">
        <f>IF(ISNUMBER(Matching_Engine!$M$31),Matching_Engine!$M$31,999)</f>
        <v>60</v>
      </c>
      <c r="U31" s="71">
        <f ca="1">IF(ISNUMBER(Matching_Engine!$S$31),Matching_Engine!$S$31,999)</f>
        <v>83</v>
      </c>
      <c r="V31" s="71">
        <f>IF(ISNUMBER(Matching_Engine!$Y$31),Matching_Engine!$Y$31,999)</f>
        <v>70</v>
      </c>
      <c r="W31" s="71">
        <f>IF(ISNUMBER(Matching_Engine!$AE$31),Matching_Engine!$AE$31,999)</f>
        <v>64</v>
      </c>
      <c r="X31" s="71">
        <f>IF(ISNUMBER(Matching_Engine!$AM$31),Matching_Engine!$AM$31,999)</f>
        <v>999</v>
      </c>
      <c r="Y31" s="71">
        <f>IF(ISNUMBER(Matching_Engine!$AT$31),Matching_Engine!$AT$31,999)</f>
        <v>64</v>
      </c>
      <c r="Z31" s="71">
        <f ca="1">MIN($T$31:$Y$31)</f>
        <v>60</v>
      </c>
      <c r="AA31" s="57" t="str">
        <f ca="1">INDEX({"Brand &amp; Business Relevance","Target Audience Relevance","Content &amp; Category Relevance","Brand Personality Fit","Performance Quality","Brand Safety"},MATCH($Z$31,$T$31:$Y$31,0))</f>
        <v>Brand &amp; Business Relevance</v>
      </c>
    </row>
    <row r="32" spans="1:27">
      <c r="A32" s="57" t="str">
        <f>Matching_Engine!$B$32</f>
        <v>Nusatech Cloud</v>
      </c>
      <c r="B32" s="57" t="str">
        <f>Matching_Engine!$D$32</f>
        <v>Laras Ayu</v>
      </c>
      <c r="C32" s="57" t="str">
        <f>Matching_Engine!$E$32</f>
        <v>@larasinterior</v>
      </c>
      <c r="D32" s="70">
        <f ca="1">Matching_Engine!$AY$32</f>
        <v>42</v>
      </c>
      <c r="E32" s="57" t="str">
        <f>Matching_Engine!$AZ$32</f>
        <v>BRAND-A|KOL-27</v>
      </c>
      <c r="F32" s="57" t="str">
        <f ca="1">IF(NOT(ISNUMBER(Matching_Engine!$AY$32)),"Not scored: no component of the model had data for this account, so no match can be claimed either way.",Matching_Engine!$AZ$32&amp;" — "&amp;Matching_Engine!$AY$32&amp;"/100 against "&amp;Matching_Engine!$B$32&amp;". "&amp;"Strongest factor "&amp;$S$32&amp;" at "&amp;$R$32&amp;"; weakest "&amp;$AA$32&amp;" at "&amp;$Z$32&amp;". "&amp;IF(AND(ISTEXT(Matching_Engine!$G$32),Matching_Engine!$G$32&lt;&gt;"N/A"),"Tagged category "&amp;Matching_Engine!$G$32&amp;" scores "&amp;IF(ISNUMBER(Matching_Engine!$J$32),Matching_Engine!$J$32,0)&amp;" against the brand category "&amp;Matching_Engine!$B$32&amp;" targets. ","Creator carries no category on record, so the category-driven parts fall back to neutral rather than penalising the creator. ")&amp;IF(ISNUMBER(Matching_Engine!$R$32),"Audience-interest overlap "&amp;Matching_Engine!$R$32&amp;". ","Audience interests unmeasured. ")&amp;IF(Matching_Engine!$AX$32&lt;100,"Scored on "&amp;Matching_Engine!$AX$32&amp;" of the 100 nominal weight points; the rest had no data.",""))</f>
        <v>BRAND-A|KOL-27 — 42/100 against Nusatech Cloud. Strongest factor Brand Personality Fit at 88; weakest Brand &amp; Business Relevance at 0. Tagged category Home &amp; Living scores 4,4 against the brand category Nusatech Cloud targets. Audience-interest overlap 0. </v>
      </c>
      <c r="G32" s="57" t="str">
        <f ca="1">IF(NOT(ISNUMBER(Matching_Engine!$AY$32)),"N/A",$S$32&amp;" ("&amp;$R$32&amp;"/100)")</f>
        <v>Brand Personality Fit (88/100)</v>
      </c>
      <c r="H32" s="57" t="str">
        <f ca="1">IF(NOT(ISNUMBER(Matching_Engine!$AY$32)),"N/A",$AA$32&amp;" ("&amp;$Z$32&amp;"/100)")</f>
        <v>Brand &amp; Business Relevance (0/100)</v>
      </c>
      <c r="I32" s="57" t="str">
        <f ca="1">IF(NOT(ISNUMBER(Matching_Engine!$AY$32)),"No data to consider: this account has no measured signal.",IF($Z$32&lt;Lookup_Lists!$D$161,$AA$32&amp;" sits at "&amp;$Z$32&amp;", below the "&amp;Lookup_Lists!$D$161&amp;"-point consideration threshold"&amp;IF(Matching_Engine!$AF$32=0," · Brand Personality Fit could not be scored at all: no creator personality, tone, values or content-style column exists","")&amp;IF(Matching_Engine!$AI$32="N/A"," · posting cadence unusable, so Consistency is excluded from Performance","")&amp;".","No component falls below the "&amp;Lookup_Lists!$D$161&amp;"-point consideration threshold."))</f>
        <v>Brand &amp; Business Relevance sits at 0, below the 75-point consideration threshold.</v>
      </c>
      <c r="J32" s="57" t="str">
        <f ca="1">Matching_Engine!$AV$32&amp;" — "&amp;Matching_Engine!$AW$32&amp;IF(Matching_Engine!$BB$32="Limited Data"," Confidence is Limited Data: "&amp;Matching_Engine!$BA$32&amp;"% of tracked fields carry a value.","")</f>
        <v>PASS — </v>
      </c>
      <c r="K32" s="57" t="str">
        <f ca="1">IF(NOT(ISNUMBER(Matching_Engine!$AY$32)),"Do not shortlist on this data — re-scrape the account first.",IF(Matching_Engine!$AY$32&gt;=Lookup_Lists!$D$156,"Highly Recommended",IF(Matching_Engine!$AY$32&gt;=Lookup_Lists!$D$157,"Recommended",IF(Matching_Engine!$AY$32&gt;=Lookup_Lists!$D$158,"Consider","Low Priority")))&amp;IF(Matching_Engine!$AX$32&lt;100," (on partial data)",""))</f>
        <v>Low Priority</v>
      </c>
      <c r="L32" s="71">
        <f>IF(ISNUMBER(Matching_Engine!$M$32),Matching_Engine!$M$32,-1)</f>
        <v>0</v>
      </c>
      <c r="M32" s="71">
        <f ca="1">IF(ISNUMBER(Matching_Engine!$S$32),Matching_Engine!$S$32,-1)</f>
        <v>49</v>
      </c>
      <c r="N32" s="71">
        <f>IF(ISNUMBER(Matching_Engine!$Y$32),Matching_Engine!$Y$32,-1)</f>
        <v>60</v>
      </c>
      <c r="O32" s="71">
        <f>IF(ISNUMBER(Matching_Engine!$AE$32),Matching_Engine!$AE$32,-1)</f>
        <v>88</v>
      </c>
      <c r="P32" s="71">
        <f>IF(ISNUMBER(Matching_Engine!$AM$32),Matching_Engine!$AM$32,-1)</f>
        <v>-1</v>
      </c>
      <c r="Q32" s="71">
        <f>IF(ISNUMBER(Matching_Engine!$AT$32),Matching_Engine!$AT$32,-1)</f>
        <v>29</v>
      </c>
      <c r="R32" s="71">
        <f ca="1">MAX($L$32:$Q$32)</f>
        <v>88</v>
      </c>
      <c r="S32" s="57" t="str">
        <f ca="1">INDEX({"Brand &amp; Business Relevance","Target Audience Relevance","Content &amp; Category Relevance","Brand Personality Fit","Performance Quality","Brand Safety"},MATCH($R$32,$L$32:$Q$32,0))</f>
        <v>Brand Personality Fit</v>
      </c>
      <c r="T32" s="71">
        <f>IF(ISNUMBER(Matching_Engine!$M$32),Matching_Engine!$M$32,999)</f>
        <v>0</v>
      </c>
      <c r="U32" s="71">
        <f ca="1">IF(ISNUMBER(Matching_Engine!$S$32),Matching_Engine!$S$32,999)</f>
        <v>49</v>
      </c>
      <c r="V32" s="71">
        <f>IF(ISNUMBER(Matching_Engine!$Y$32),Matching_Engine!$Y$32,999)</f>
        <v>60</v>
      </c>
      <c r="W32" s="71">
        <f>IF(ISNUMBER(Matching_Engine!$AE$32),Matching_Engine!$AE$32,999)</f>
        <v>88</v>
      </c>
      <c r="X32" s="71">
        <f>IF(ISNUMBER(Matching_Engine!$AM$32),Matching_Engine!$AM$32,999)</f>
        <v>999</v>
      </c>
      <c r="Y32" s="71">
        <f>IF(ISNUMBER(Matching_Engine!$AT$32),Matching_Engine!$AT$32,999)</f>
        <v>29</v>
      </c>
      <c r="Z32" s="71">
        <f ca="1">MIN($T$32:$Y$32)</f>
        <v>0</v>
      </c>
      <c r="AA32" s="57" t="str">
        <f ca="1">INDEX({"Brand &amp; Business Relevance","Target Audience Relevance","Content &amp; Category Relevance","Brand Personality Fit","Performance Quality","Brand Safety"},MATCH($Z$32,$T$32:$Y$32,0))</f>
        <v>Brand &amp; Business Relevance</v>
      </c>
    </row>
    <row r="33" spans="1:27">
      <c r="A33" s="57" t="str">
        <f>Matching_Engine!$B$33</f>
        <v>Nusatech Cloud</v>
      </c>
      <c r="B33" s="57" t="str">
        <f>Matching_Engine!$D$33</f>
        <v>Tiara Nisrina</v>
      </c>
      <c r="C33" s="57" t="str">
        <f>Matching_Engine!$E$33</f>
        <v>@tiararapihin</v>
      </c>
      <c r="D33" s="70">
        <f ca="1">Matching_Engine!$AY$33</f>
        <v>55</v>
      </c>
      <c r="E33" s="57" t="str">
        <f>Matching_Engine!$AZ$33</f>
        <v>BRAND-A|KOL-28</v>
      </c>
      <c r="F33" s="57" t="str">
        <f ca="1">IF(NOT(ISNUMBER(Matching_Engine!$AY$33)),"Not scored: no component of the model had data for this account, so no match can be claimed either way.",Matching_Engine!$AZ$33&amp;" — "&amp;Matching_Engine!$AY$33&amp;"/100 against "&amp;Matching_Engine!$B$33&amp;". "&amp;"Strongest factor "&amp;$S$33&amp;" at "&amp;$R$33&amp;"; weakest "&amp;$AA$33&amp;" at "&amp;$Z$33&amp;". "&amp;IF(AND(ISTEXT(Matching_Engine!$G$33),Matching_Engine!$G$33&lt;&gt;"N/A"),"Tagged category "&amp;Matching_Engine!$G$33&amp;" scores "&amp;IF(ISNUMBER(Matching_Engine!$J$33),Matching_Engine!$J$33,0)&amp;" against the brand category "&amp;Matching_Engine!$B$33&amp;" targets. ","Creator carries no category on record, so the category-driven parts fall back to neutral rather than penalising the creator. ")&amp;IF(ISNUMBER(Matching_Engine!$R$33),"Audience-interest overlap "&amp;Matching_Engine!$R$33&amp;". ","Audience interests unmeasured. ")&amp;IF(Matching_Engine!$AX$33&lt;100,"Scored on "&amp;Matching_Engine!$AX$33&amp;" of the 100 nominal weight points; the rest had no data.",""))</f>
        <v>BRAND-A|KOL-28 — 55/100 against Nusatech Cloud. Strongest factor Brand Personality Fit at 81; weakest Brand &amp; Business Relevance at 20. Tagged category Home &amp; Living scores 6,1 against the brand category Nusatech Cloud targets. Audience-interest overlap 20. </v>
      </c>
      <c r="G33" s="57" t="str">
        <f ca="1">IF(NOT(ISNUMBER(Matching_Engine!$AY$33)),"N/A",$S$33&amp;" ("&amp;$R$33&amp;"/100)")</f>
        <v>Brand Personality Fit (81/100)</v>
      </c>
      <c r="H33" s="57" t="str">
        <f ca="1">IF(NOT(ISNUMBER(Matching_Engine!$AY$33)),"N/A",$AA$33&amp;" ("&amp;$Z$33&amp;"/100)")</f>
        <v>Brand &amp; Business Relevance (20/100)</v>
      </c>
      <c r="I33" s="57" t="str">
        <f ca="1">IF(NOT(ISNUMBER(Matching_Engine!$AY$33)),"No data to consider: this account has no measured signal.",IF($Z$33&lt;Lookup_Lists!$D$161,$AA$33&amp;" sits at "&amp;$Z$33&amp;", below the "&amp;Lookup_Lists!$D$161&amp;"-point consideration threshold"&amp;IF(Matching_Engine!$AF$33=0," · Brand Personality Fit could not be scored at all: no creator personality, tone, values or content-style column exists","")&amp;IF(Matching_Engine!$AI$33="N/A"," · posting cadence unusable, so Consistency is excluded from Performance","")&amp;".","No component falls below the "&amp;Lookup_Lists!$D$161&amp;"-point consideration threshold."))</f>
        <v>Brand &amp; Business Relevance sits at 20, below the 75-point consideration threshold.</v>
      </c>
      <c r="J33" s="57" t="str">
        <f ca="1">Matching_Engine!$AV$33&amp;" — "&amp;Matching_Engine!$AW$33&amp;IF(Matching_Engine!$BB$33="Limited Data"," Confidence is Limited Data: "&amp;Matching_Engine!$BA$33&amp;"% of tracked fields carry a value.","")</f>
        <v>PASS — </v>
      </c>
      <c r="K33" s="57" t="str">
        <f ca="1">IF(NOT(ISNUMBER(Matching_Engine!$AY$33)),"Do not shortlist on this data — re-scrape the account first.",IF(Matching_Engine!$AY$33&gt;=Lookup_Lists!$D$156,"Highly Recommended",IF(Matching_Engine!$AY$33&gt;=Lookup_Lists!$D$157,"Recommended",IF(Matching_Engine!$AY$33&gt;=Lookup_Lists!$D$158,"Consider","Low Priority")))&amp;IF(Matching_Engine!$AX$33&lt;100," (on partial data)",""))</f>
        <v>Low Priority</v>
      </c>
      <c r="L33" s="71">
        <f>IF(ISNUMBER(Matching_Engine!$M$33),Matching_Engine!$M$33,-1)</f>
        <v>20</v>
      </c>
      <c r="M33" s="71">
        <f ca="1">IF(ISNUMBER(Matching_Engine!$S$33),Matching_Engine!$S$33,-1)</f>
        <v>66</v>
      </c>
      <c r="N33" s="71">
        <f>IF(ISNUMBER(Matching_Engine!$Y$33),Matching_Engine!$Y$33,-1)</f>
        <v>50</v>
      </c>
      <c r="O33" s="71">
        <f>IF(ISNUMBER(Matching_Engine!$AE$33),Matching_Engine!$AE$33,-1)</f>
        <v>81</v>
      </c>
      <c r="P33" s="71">
        <f>IF(ISNUMBER(Matching_Engine!$AM$33),Matching_Engine!$AM$33,-1)</f>
        <v>-1</v>
      </c>
      <c r="Q33" s="71">
        <f>IF(ISNUMBER(Matching_Engine!$AT$33),Matching_Engine!$AT$33,-1)</f>
        <v>40</v>
      </c>
      <c r="R33" s="71">
        <f ca="1">MAX($L$33:$Q$33)</f>
        <v>81</v>
      </c>
      <c r="S33" s="57" t="str">
        <f ca="1">INDEX({"Brand &amp; Business Relevance","Target Audience Relevance","Content &amp; Category Relevance","Brand Personality Fit","Performance Quality","Brand Safety"},MATCH($R$33,$L$33:$Q$33,0))</f>
        <v>Brand Personality Fit</v>
      </c>
      <c r="T33" s="71">
        <f>IF(ISNUMBER(Matching_Engine!$M$33),Matching_Engine!$M$33,999)</f>
        <v>20</v>
      </c>
      <c r="U33" s="71">
        <f ca="1">IF(ISNUMBER(Matching_Engine!$S$33),Matching_Engine!$S$33,999)</f>
        <v>66</v>
      </c>
      <c r="V33" s="71">
        <f>IF(ISNUMBER(Matching_Engine!$Y$33),Matching_Engine!$Y$33,999)</f>
        <v>50</v>
      </c>
      <c r="W33" s="71">
        <f>IF(ISNUMBER(Matching_Engine!$AE$33),Matching_Engine!$AE$33,999)</f>
        <v>81</v>
      </c>
      <c r="X33" s="71">
        <f>IF(ISNUMBER(Matching_Engine!$AM$33),Matching_Engine!$AM$33,999)</f>
        <v>999</v>
      </c>
      <c r="Y33" s="71">
        <f>IF(ISNUMBER(Matching_Engine!$AT$33),Matching_Engine!$AT$33,999)</f>
        <v>40</v>
      </c>
      <c r="Z33" s="71">
        <f ca="1">MIN($T$33:$Y$33)</f>
        <v>20</v>
      </c>
      <c r="AA33" s="57" t="str">
        <f ca="1">INDEX({"Brand &amp; Business Relevance","Target Audience Relevance","Content &amp; Category Relevance","Brand Personality Fit","Performance Quality","Brand Safety"},MATCH($Z$33,$T$33:$Y$33,0))</f>
        <v>Brand &amp; Business Relevance</v>
      </c>
    </row>
    <row r="34" spans="1:27">
      <c r="A34" s="57" t="str">
        <f>Matching_Engine!$B$34</f>
        <v>Nusatech Cloud</v>
      </c>
      <c r="B34" s="57" t="str">
        <f>Matching_Engine!$D$34</f>
        <v>Sekar Ayu</v>
      </c>
      <c r="C34" s="57" t="str">
        <f>Matching_Engine!$E$34</f>
        <v>@sekarskincarejujur</v>
      </c>
      <c r="D34" s="70">
        <f ca="1">Matching_Engine!$AY$34</f>
        <v>47</v>
      </c>
      <c r="E34" s="57" t="str">
        <f>Matching_Engine!$AZ$34</f>
        <v>BRAND-A|KOL-29</v>
      </c>
      <c r="F34" s="57" t="str">
        <f ca="1">IF(NOT(ISNUMBER(Matching_Engine!$AY$34)),"Not scored: no component of the model had data for this account, so no match can be claimed either way.",Matching_Engine!$AZ$34&amp;" — "&amp;Matching_Engine!$AY$34&amp;"/100 against "&amp;Matching_Engine!$B$34&amp;". "&amp;"Strongest factor "&amp;$S$34&amp;" at "&amp;$R$34&amp;"; weakest "&amp;$AA$34&amp;" at "&amp;$Z$34&amp;". "&amp;IF(AND(ISTEXT(Matching_Engine!$G$34),Matching_Engine!$G$34&lt;&gt;"N/A"),"Tagged category "&amp;Matching_Engine!$G$34&amp;" scores "&amp;IF(ISNUMBER(Matching_Engine!$J$34),Matching_Engine!$J$34,0)&amp;" against the brand category "&amp;Matching_Engine!$B$34&amp;" targets. ","Creator carries no category on record, so the category-driven parts fall back to neutral rather than penalising the creator. ")&amp;IF(ISNUMBER(Matching_Engine!$R$34),"Audience-interest overlap "&amp;Matching_Engine!$R$34&amp;". ","Audience interests unmeasured. ")&amp;IF(Matching_Engine!$AX$34&lt;100,"Scored on "&amp;Matching_Engine!$AX$34&amp;" of the 100 nominal weight points; the rest had no data.",""))</f>
        <v>BRAND-A|KOL-29 — 47/100 against Nusatech Cloud. Strongest factor Brand Personality Fit at 91; weakest Brand &amp; Business Relevance at 0. Tagged category Beauty scores 8,9 against the brand category Nusatech Cloud targets. Audience-interest overlap 0. </v>
      </c>
      <c r="G34" s="57" t="str">
        <f ca="1">IF(NOT(ISNUMBER(Matching_Engine!$AY$34)),"N/A",$S$34&amp;" ("&amp;$R$34&amp;"/100)")</f>
        <v>Brand Personality Fit (91/100)</v>
      </c>
      <c r="H34" s="57" t="str">
        <f ca="1">IF(NOT(ISNUMBER(Matching_Engine!$AY$34)),"N/A",$AA$34&amp;" ("&amp;$Z$34&amp;"/100)")</f>
        <v>Brand &amp; Business Relevance (0/100)</v>
      </c>
      <c r="I34" s="57" t="str">
        <f ca="1">IF(NOT(ISNUMBER(Matching_Engine!$AY$34)),"No data to consider: this account has no measured signal.",IF($Z$34&lt;Lookup_Lists!$D$161,$AA$34&amp;" sits at "&amp;$Z$34&amp;", below the "&amp;Lookup_Lists!$D$161&amp;"-point consideration threshold"&amp;IF(Matching_Engine!$AF$34=0," · Brand Personality Fit could not be scored at all: no creator personality, tone, values or content-style column exists","")&amp;IF(Matching_Engine!$AI$34="N/A"," · posting cadence unusable, so Consistency is excluded from Performance","")&amp;".","No component falls below the "&amp;Lookup_Lists!$D$161&amp;"-point consideration threshold."))</f>
        <v>Brand &amp; Business Relevance sits at 0, below the 75-point consideration threshold.</v>
      </c>
      <c r="J34" s="57" t="str">
        <f ca="1">Matching_Engine!$AV$34&amp;" — "&amp;Matching_Engine!$AW$34&amp;IF(Matching_Engine!$BB$34="Limited Data"," Confidence is Limited Data: "&amp;Matching_Engine!$BA$34&amp;"% of tracked fields carry a value.","")</f>
        <v>PASS — </v>
      </c>
      <c r="K34" s="57" t="str">
        <f ca="1">IF(NOT(ISNUMBER(Matching_Engine!$AY$34)),"Do not shortlist on this data — re-scrape the account first.",IF(Matching_Engine!$AY$34&gt;=Lookup_Lists!$D$156,"Highly Recommended",IF(Matching_Engine!$AY$34&gt;=Lookup_Lists!$D$157,"Recommended",IF(Matching_Engine!$AY$34&gt;=Lookup_Lists!$D$158,"Consider","Low Priority")))&amp;IF(Matching_Engine!$AX$34&lt;100," (on partial data)",""))</f>
        <v>Low Priority</v>
      </c>
      <c r="L34" s="71">
        <f>IF(ISNUMBER(Matching_Engine!$M$34),Matching_Engine!$M$34,-1)</f>
        <v>0</v>
      </c>
      <c r="M34" s="71">
        <f ca="1">IF(ISNUMBER(Matching_Engine!$S$34),Matching_Engine!$S$34,-1)</f>
        <v>49</v>
      </c>
      <c r="N34" s="71">
        <f>IF(ISNUMBER(Matching_Engine!$Y$34),Matching_Engine!$Y$34,-1)</f>
        <v>50</v>
      </c>
      <c r="O34" s="71">
        <f>IF(ISNUMBER(Matching_Engine!$AE$34),Matching_Engine!$AE$34,-1)</f>
        <v>91</v>
      </c>
      <c r="P34" s="71">
        <f>IF(ISNUMBER(Matching_Engine!$AM$34),Matching_Engine!$AM$34,-1)</f>
        <v>-1</v>
      </c>
      <c r="Q34" s="71">
        <f>IF(ISNUMBER(Matching_Engine!$AT$34),Matching_Engine!$AT$34,-1)</f>
        <v>34</v>
      </c>
      <c r="R34" s="71">
        <f ca="1">MAX($L$34:$Q$34)</f>
        <v>91</v>
      </c>
      <c r="S34" s="57" t="str">
        <f ca="1">INDEX({"Brand &amp; Business Relevance","Target Audience Relevance","Content &amp; Category Relevance","Brand Personality Fit","Performance Quality","Brand Safety"},MATCH($R$34,$L$34:$Q$34,0))</f>
        <v>Brand Personality Fit</v>
      </c>
      <c r="T34" s="71">
        <f>IF(ISNUMBER(Matching_Engine!$M$34),Matching_Engine!$M$34,999)</f>
        <v>0</v>
      </c>
      <c r="U34" s="71">
        <f ca="1">IF(ISNUMBER(Matching_Engine!$S$34),Matching_Engine!$S$34,999)</f>
        <v>49</v>
      </c>
      <c r="V34" s="71">
        <f>IF(ISNUMBER(Matching_Engine!$Y$34),Matching_Engine!$Y$34,999)</f>
        <v>50</v>
      </c>
      <c r="W34" s="71">
        <f>IF(ISNUMBER(Matching_Engine!$AE$34),Matching_Engine!$AE$34,999)</f>
        <v>91</v>
      </c>
      <c r="X34" s="71">
        <f>IF(ISNUMBER(Matching_Engine!$AM$34),Matching_Engine!$AM$34,999)</f>
        <v>999</v>
      </c>
      <c r="Y34" s="71">
        <f>IF(ISNUMBER(Matching_Engine!$AT$34),Matching_Engine!$AT$34,999)</f>
        <v>34</v>
      </c>
      <c r="Z34" s="71">
        <f ca="1">MIN($T$34:$Y$34)</f>
        <v>0</v>
      </c>
      <c r="AA34" s="57" t="str">
        <f ca="1">INDEX({"Brand &amp; Business Relevance","Target Audience Relevance","Content &amp; Category Relevance","Brand Personality Fit","Performance Quality","Brand Safety"},MATCH($Z$34,$T$34:$Y$34,0))</f>
        <v>Brand &amp; Business Relevance</v>
      </c>
    </row>
    <row r="35" spans="1:27">
      <c r="A35" s="57" t="str">
        <f>Matching_Engine!$B$35</f>
        <v>Nusatech Cloud</v>
      </c>
      <c r="B35" s="57" t="str">
        <f>Matching_Engine!$D$35</f>
        <v>Ibnu Faisal</v>
      </c>
      <c r="C35" s="57" t="str">
        <f>Matching_Engine!$E$35</f>
        <v>@ibnubisnis</v>
      </c>
      <c r="D35" s="70">
        <f ca="1">Matching_Engine!$AY$35</f>
        <v>82</v>
      </c>
      <c r="E35" s="57" t="str">
        <f>Matching_Engine!$AZ$35</f>
        <v>BRAND-A|KOL-30</v>
      </c>
      <c r="F35" s="57" t="str">
        <f ca="1">IF(NOT(ISNUMBER(Matching_Engine!$AY$35)),"Not scored: no component of the model had data for this account, so no match can be claimed either way.",Matching_Engine!$AZ$35&amp;" — "&amp;Matching_Engine!$AY$35&amp;"/100 against "&amp;Matching_Engine!$B$35&amp;". "&amp;"Strongest factor "&amp;$S$35&amp;" at "&amp;$R$35&amp;"; weakest "&amp;$AA$35&amp;" at "&amp;$Z$35&amp;". "&amp;IF(AND(ISTEXT(Matching_Engine!$G$35),Matching_Engine!$G$35&lt;&gt;"N/A"),"Tagged category "&amp;Matching_Engine!$G$35&amp;" scores "&amp;IF(ISNUMBER(Matching_Engine!$J$35),Matching_Engine!$J$35,0)&amp;" against the brand category "&amp;Matching_Engine!$B$35&amp;" targets. ","Creator carries no category on record, so the category-driven parts fall back to neutral rather than penalising the creator. ")&amp;IF(ISNUMBER(Matching_Engine!$R$35),"Audience-interest overlap "&amp;Matching_Engine!$R$35&amp;". ","Audience interests unmeasured. ")&amp;IF(Matching_Engine!$AX$35&lt;100,"Scored on "&amp;Matching_Engine!$AX$35&amp;" of the 100 nominal weight points; the rest had no data.",""))</f>
        <v>BRAND-A|KOL-30 — 82/100 against Nusatech Cloud. Strongest factor Brand &amp; Business Relevance at 100; weakest Brand Personality Fit at 66. Tagged category Finance scores 2,6 against the brand category Nusatech Cloud targets. Audience-interest overlap 100. </v>
      </c>
      <c r="G35" s="57" t="str">
        <f ca="1">IF(NOT(ISNUMBER(Matching_Engine!$AY$35)),"N/A",$S$35&amp;" ("&amp;$R$35&amp;"/100)")</f>
        <v>Brand &amp; Business Relevance (100/100)</v>
      </c>
      <c r="H35" s="57" t="str">
        <f ca="1">IF(NOT(ISNUMBER(Matching_Engine!$AY$35)),"N/A",$AA$35&amp;" ("&amp;$Z$35&amp;"/100)")</f>
        <v>Brand Personality Fit (66/100)</v>
      </c>
      <c r="I35" s="57" t="str">
        <f ca="1">IF(NOT(ISNUMBER(Matching_Engine!$AY$35)),"No data to consider: this account has no measured signal.",IF($Z$35&lt;Lookup_Lists!$D$161,$AA$35&amp;" sits at "&amp;$Z$35&amp;", below the "&amp;Lookup_Lists!$D$161&amp;"-point consideration threshold"&amp;IF(Matching_Engine!$AF$35=0," · Brand Personality Fit could not be scored at all: no creator personality, tone, values or content-style column exists","")&amp;IF(Matching_Engine!$AI$35="N/A"," · posting cadence unusable, so Consistency is excluded from Performance","")&amp;".","No component falls below the "&amp;Lookup_Lists!$D$161&amp;"-point consideration threshold."))</f>
        <v>Brand Personality Fit sits at 66, below the 75-point consideration threshold.</v>
      </c>
      <c r="J35" s="57" t="str">
        <f ca="1">Matching_Engine!$AV$35&amp;" — "&amp;Matching_Engine!$AW$35&amp;IF(Matching_Engine!$BB$35="Limited Data"," Confidence is Limited Data: "&amp;Matching_Engine!$BA$35&amp;"% of tracked fields carry a value.","")</f>
        <v>PASS — </v>
      </c>
      <c r="K35" s="57" t="str">
        <f ca="1">IF(NOT(ISNUMBER(Matching_Engine!$AY$35)),"Do not shortlist on this data — re-scrape the account first.",IF(Matching_Engine!$AY$35&gt;=Lookup_Lists!$D$156,"Highly Recommended",IF(Matching_Engine!$AY$35&gt;=Lookup_Lists!$D$157,"Recommended",IF(Matching_Engine!$AY$35&gt;=Lookup_Lists!$D$158,"Consider","Low Priority")))&amp;IF(Matching_Engine!$AX$35&lt;100," (on partial data)",""))</f>
        <v>Recommended</v>
      </c>
      <c r="L35" s="71">
        <f>IF(ISNUMBER(Matching_Engine!$M$35),Matching_Engine!$M$35,-1)</f>
        <v>100</v>
      </c>
      <c r="M35" s="71">
        <f ca="1">IF(ISNUMBER(Matching_Engine!$S$35),Matching_Engine!$S$35,-1)</f>
        <v>99</v>
      </c>
      <c r="N35" s="71">
        <f>IF(ISNUMBER(Matching_Engine!$Y$35),Matching_Engine!$Y$35,-1)</f>
        <v>70</v>
      </c>
      <c r="O35" s="71">
        <f>IF(ISNUMBER(Matching_Engine!$AE$35),Matching_Engine!$AE$35,-1)</f>
        <v>66</v>
      </c>
      <c r="P35" s="71">
        <f>IF(ISNUMBER(Matching_Engine!$AM$35),Matching_Engine!$AM$35,-1)</f>
        <v>-1</v>
      </c>
      <c r="Q35" s="71">
        <f>IF(ISNUMBER(Matching_Engine!$AT$35),Matching_Engine!$AT$35,-1)</f>
        <v>79</v>
      </c>
      <c r="R35" s="71">
        <f ca="1">MAX($L$35:$Q$35)</f>
        <v>100</v>
      </c>
      <c r="S35" s="57" t="str">
        <f ca="1">INDEX({"Brand &amp; Business Relevance","Target Audience Relevance","Content &amp; Category Relevance","Brand Personality Fit","Performance Quality","Brand Safety"},MATCH($R$35,$L$35:$Q$35,0))</f>
        <v>Brand &amp; Business Relevance</v>
      </c>
      <c r="T35" s="71">
        <f>IF(ISNUMBER(Matching_Engine!$M$35),Matching_Engine!$M$35,999)</f>
        <v>100</v>
      </c>
      <c r="U35" s="71">
        <f ca="1">IF(ISNUMBER(Matching_Engine!$S$35),Matching_Engine!$S$35,999)</f>
        <v>99</v>
      </c>
      <c r="V35" s="71">
        <f>IF(ISNUMBER(Matching_Engine!$Y$35),Matching_Engine!$Y$35,999)</f>
        <v>70</v>
      </c>
      <c r="W35" s="71">
        <f>IF(ISNUMBER(Matching_Engine!$AE$35),Matching_Engine!$AE$35,999)</f>
        <v>66</v>
      </c>
      <c r="X35" s="71">
        <f>IF(ISNUMBER(Matching_Engine!$AM$35),Matching_Engine!$AM$35,999)</f>
        <v>999</v>
      </c>
      <c r="Y35" s="71">
        <f>IF(ISNUMBER(Matching_Engine!$AT$35),Matching_Engine!$AT$35,999)</f>
        <v>79</v>
      </c>
      <c r="Z35" s="71">
        <f ca="1">MIN($T$35:$Y$35)</f>
        <v>66</v>
      </c>
      <c r="AA35" s="57" t="str">
        <f ca="1">INDEX({"Brand &amp; Business Relevance","Target Audience Relevance","Content &amp; Category Relevance","Brand Personality Fit","Performance Quality","Brand Safety"},MATCH($Z$35,$T$35:$Y$35,0))</f>
        <v>Brand Personality Fit</v>
      </c>
    </row>
    <row r="36" spans="1:27">
      <c r="A36" s="57" t="str">
        <f>Matching_Engine!$B$36</f>
        <v>Lumaya Skin</v>
      </c>
      <c r="B36" s="57" t="str">
        <f>Matching_Engine!$D$36</f>
        <v>Ardi Nugraha</v>
      </c>
      <c r="C36" s="57" t="str">
        <f>Matching_Engine!$E$36</f>
        <v>@ardidigital</v>
      </c>
      <c r="D36" s="70" t="str">
        <f ca="1">Matching_Engine!$AY$36</f>
        <v/>
      </c>
      <c r="E36" s="57" t="str">
        <f>Matching_Engine!$AZ$36</f>
        <v>BRAND-B|KOL-01</v>
      </c>
      <c r="F36" s="57" t="str">
        <f ca="1">IF(NOT(ISNUMBER(Matching_Engine!$AY$36)),"Not scored: no component of the model had data for this account, so no match can be claimed either way.",Matching_Engine!$AZ$36&amp;" — "&amp;Matching_Engine!$AY$36&amp;"/100 against "&amp;Matching_Engine!$B$36&amp;". "&amp;"Strongest factor "&amp;$S$36&amp;" at "&amp;$R$36&amp;"; weakest "&amp;$AA$36&amp;" at "&amp;$Z$36&amp;". "&amp;IF(AND(ISTEXT(Matching_Engine!$G$36),Matching_Engine!$G$36&lt;&gt;"N/A"),"Tagged category "&amp;Matching_Engine!$G$36&amp;" scores "&amp;IF(ISNUMBER(Matching_Engine!$J$36),Matching_Engine!$J$36,0)&amp;" against the brand category "&amp;Matching_Engine!$B$36&amp;" targets. ","Creator carries no category on record, so the category-driven parts fall back to neutral rather than penalising the creator. ")&amp;IF(ISNUMBER(Matching_Engine!$R$36),"Audience-interest overlap "&amp;Matching_Engine!$R$36&amp;". ","Audience interests unmeasured. ")&amp;IF(Matching_Engine!$AX$36&lt;100,"Scored on "&amp;Matching_Engine!$AX$36&amp;" of the 100 nominal weight points; the rest had no data.",""))</f>
        <v>Not scored: no component of the model had data for this account, so no match can be claimed either way.</v>
      </c>
      <c r="G36" s="57" t="str">
        <f ca="1">IF(NOT(ISNUMBER(Matching_Engine!$AY$36)),"N/A",$S$36&amp;" ("&amp;$R$36&amp;"/100)")</f>
        <v>N/A</v>
      </c>
      <c r="H36" s="57" t="str">
        <f ca="1">IF(NOT(ISNUMBER(Matching_Engine!$AY$36)),"N/A",$AA$36&amp;" ("&amp;$Z$36&amp;"/100)")</f>
        <v>N/A</v>
      </c>
      <c r="I36" s="57" t="str">
        <f ca="1">IF(NOT(ISNUMBER(Matching_Engine!$AY$36)),"No data to consider: this account has no measured signal.",IF($Z$36&lt;Lookup_Lists!$D$161,$AA$36&amp;" sits at "&amp;$Z$36&amp;", below the "&amp;Lookup_Lists!$D$161&amp;"-point consideration threshold"&amp;IF(Matching_Engine!$AF$36=0," · Brand Personality Fit could not be scored at all: no creator personality, tone, values or content-style column exists","")&amp;IF(Matching_Engine!$AI$36="N/A"," · posting cadence unusable, so Consistency is excluded from Performance","")&amp;".","No component falls below the "&amp;Lookup_Lists!$D$161&amp;"-point consideration threshold."))</f>
        <v>No data to consider: this account has no measured signal.</v>
      </c>
      <c r="J36" s="57" t="str">
        <f ca="1">Matching_Engine!$AV$36&amp;" — "&amp;Matching_Engine!$AW$36&amp;IF(Matching_Engine!$BB$36="Limited Data"," Confidence is Limited Data: "&amp;Matching_Engine!$BA$36&amp;"% of tracked fields carry a value.","")</f>
        <v>EXCLUDED — Tier not in Preferred Tier</v>
      </c>
      <c r="K36" s="57" t="str">
        <f ca="1">IF(NOT(ISNUMBER(Matching_Engine!$AY$36)),"Do not shortlist on this data — re-scrape the account first.",IF(Matching_Engine!$AY$36&gt;=Lookup_Lists!$D$156,"Highly Recommended",IF(Matching_Engine!$AY$36&gt;=Lookup_Lists!$D$157,"Recommended",IF(Matching_Engine!$AY$36&gt;=Lookup_Lists!$D$158,"Consider","Low Priority")))&amp;IF(Matching_Engine!$AX$36&lt;100," (on partial data)",""))</f>
        <v>Do not shortlist on this data — re-scrape the account first.</v>
      </c>
      <c r="L36" s="71">
        <f>IF(ISNUMBER(Matching_Engine!$M$36),Matching_Engine!$M$36,-1)</f>
        <v>20</v>
      </c>
      <c r="M36" s="71">
        <f ca="1">IF(ISNUMBER(Matching_Engine!$S$36),Matching_Engine!$S$36,-1)</f>
        <v>60</v>
      </c>
      <c r="N36" s="71">
        <f>IF(ISNUMBER(Matching_Engine!$Y$36),Matching_Engine!$Y$36,-1)</f>
        <v>95</v>
      </c>
      <c r="O36" s="71">
        <f>IF(ISNUMBER(Matching_Engine!$AE$36),Matching_Engine!$AE$36,-1)</f>
        <v>83</v>
      </c>
      <c r="P36" s="71">
        <f>IF(ISNUMBER(Matching_Engine!$AM$36),Matching_Engine!$AM$36,-1)</f>
        <v>-1</v>
      </c>
      <c r="Q36" s="71">
        <f>IF(ISNUMBER(Matching_Engine!$AT$36),Matching_Engine!$AT$36,-1)</f>
        <v>42</v>
      </c>
      <c r="R36" s="71">
        <f ca="1">MAX($L$36:$Q$36)</f>
        <v>95</v>
      </c>
      <c r="S36" s="57" t="str">
        <f ca="1">INDEX({"Brand &amp; Business Relevance","Target Audience Relevance","Content &amp; Category Relevance","Brand Personality Fit","Performance Quality","Brand Safety"},MATCH($R$36,$L$36:$Q$36,0))</f>
        <v>Content &amp; Category Relevance</v>
      </c>
      <c r="T36" s="71">
        <f>IF(ISNUMBER(Matching_Engine!$M$36),Matching_Engine!$M$36,999)</f>
        <v>20</v>
      </c>
      <c r="U36" s="71">
        <f ca="1">IF(ISNUMBER(Matching_Engine!$S$36),Matching_Engine!$S$36,999)</f>
        <v>60</v>
      </c>
      <c r="V36" s="71">
        <f>IF(ISNUMBER(Matching_Engine!$Y$36),Matching_Engine!$Y$36,999)</f>
        <v>95</v>
      </c>
      <c r="W36" s="71">
        <f>IF(ISNUMBER(Matching_Engine!$AE$36),Matching_Engine!$AE$36,999)</f>
        <v>83</v>
      </c>
      <c r="X36" s="71">
        <f>IF(ISNUMBER(Matching_Engine!$AM$36),Matching_Engine!$AM$36,999)</f>
        <v>999</v>
      </c>
      <c r="Y36" s="71">
        <f>IF(ISNUMBER(Matching_Engine!$AT$36),Matching_Engine!$AT$36,999)</f>
        <v>42</v>
      </c>
      <c r="Z36" s="71">
        <f ca="1">MIN($T$36:$Y$36)</f>
        <v>20</v>
      </c>
      <c r="AA36" s="57" t="str">
        <f ca="1">INDEX({"Brand &amp; Business Relevance","Target Audience Relevance","Content &amp; Category Relevance","Brand Personality Fit","Performance Quality","Brand Safety"},MATCH($Z$36,$T$36:$Y$36,0))</f>
        <v>Brand &amp; Business Relevance</v>
      </c>
    </row>
    <row r="37" spans="1:27">
      <c r="A37" s="57" t="str">
        <f>Matching_Engine!$B$37</f>
        <v>Lumaya Skin</v>
      </c>
      <c r="B37" s="57" t="str">
        <f>Matching_Engine!$D$37</f>
        <v>Rifqi Pratama</v>
      </c>
      <c r="C37" s="57" t="str">
        <f>Matching_Engine!$E$37</f>
        <v>@rifqi.codes</v>
      </c>
      <c r="D37" s="70">
        <f ca="1">Matching_Engine!$AY$37</f>
        <v>45</v>
      </c>
      <c r="E37" s="57" t="str">
        <f>Matching_Engine!$AZ$37</f>
        <v>BRAND-B|KOL-02</v>
      </c>
      <c r="F37" s="57" t="str">
        <f ca="1">IF(NOT(ISNUMBER(Matching_Engine!$AY$37)),"Not scored: no component of the model had data for this account, so no match can be claimed either way.",Matching_Engine!$AZ$37&amp;" — "&amp;Matching_Engine!$AY$37&amp;"/100 against "&amp;Matching_Engine!$B$37&amp;". "&amp;"Strongest factor "&amp;$S$37&amp;" at "&amp;$R$37&amp;"; weakest "&amp;$AA$37&amp;" at "&amp;$Z$37&amp;". "&amp;IF(AND(ISTEXT(Matching_Engine!$G$37),Matching_Engine!$G$37&lt;&gt;"N/A"),"Tagged category "&amp;Matching_Engine!$G$37&amp;" scores "&amp;IF(ISNUMBER(Matching_Engine!$J$37),Matching_Engine!$J$37,0)&amp;" against the brand category "&amp;Matching_Engine!$B$37&amp;" targets. ","Creator carries no category on record, so the category-driven parts fall back to neutral rather than penalising the creator. ")&amp;IF(ISNUMBER(Matching_Engine!$R$37),"Audience-interest overlap "&amp;Matching_Engine!$R$37&amp;". ","Audience interests unmeasured. ")&amp;IF(Matching_Engine!$AX$37&lt;100,"Scored on "&amp;Matching_Engine!$AX$37&amp;" of the 100 nominal weight points; the rest had no data.",""))</f>
        <v>BRAND-B|KOL-02 — 45/100 against Lumaya Skin. Strongest factor Brand Personality Fit at 75; weakest Brand &amp; Business Relevance at 0. Tagged category Tech scores 6,2 against the brand category Lumaya Skin targets. Audience-interest overlap 0. </v>
      </c>
      <c r="G37" s="57" t="str">
        <f ca="1">IF(NOT(ISNUMBER(Matching_Engine!$AY$37)),"N/A",$S$37&amp;" ("&amp;$R$37&amp;"/100)")</f>
        <v>Brand Personality Fit (75/100)</v>
      </c>
      <c r="H37" s="57" t="str">
        <f ca="1">IF(NOT(ISNUMBER(Matching_Engine!$AY$37)),"N/A",$AA$37&amp;" ("&amp;$Z$37&amp;"/100)")</f>
        <v>Brand &amp; Business Relevance (0/100)</v>
      </c>
      <c r="I37" s="57" t="str">
        <f ca="1">IF(NOT(ISNUMBER(Matching_Engine!$AY$37)),"No data to consider: this account has no measured signal.",IF($Z$37&lt;Lookup_Lists!$D$161,$AA$37&amp;" sits at "&amp;$Z$37&amp;", below the "&amp;Lookup_Lists!$D$161&amp;"-point consideration threshold"&amp;IF(Matching_Engine!$AF$37=0," · Brand Personality Fit could not be scored at all: no creator personality, tone, values or content-style column exists","")&amp;IF(Matching_Engine!$AI$37="N/A"," · posting cadence unusable, so Consistency is excluded from Performance","")&amp;".","No component falls below the "&amp;Lookup_Lists!$D$161&amp;"-point consideration threshold."))</f>
        <v>Brand &amp; Business Relevance sits at 0, below the 75-point consideration threshold.</v>
      </c>
      <c r="J37" s="57" t="str">
        <f ca="1">Matching_Engine!$AV$37&amp;" — "&amp;Matching_Engine!$AW$37&amp;IF(Matching_Engine!$BB$37="Limited Data"," Confidence is Limited Data: "&amp;Matching_Engine!$BA$37&amp;"% of tracked fields carry a value.","")</f>
        <v>PASS — </v>
      </c>
      <c r="K37" s="57" t="str">
        <f ca="1">IF(NOT(ISNUMBER(Matching_Engine!$AY$37)),"Do not shortlist on this data — re-scrape the account first.",IF(Matching_Engine!$AY$37&gt;=Lookup_Lists!$D$156,"Highly Recommended",IF(Matching_Engine!$AY$37&gt;=Lookup_Lists!$D$157,"Recommended",IF(Matching_Engine!$AY$37&gt;=Lookup_Lists!$D$158,"Consider","Low Priority")))&amp;IF(Matching_Engine!$AX$37&lt;100," (on partial data)",""))</f>
        <v>Low Priority</v>
      </c>
      <c r="L37" s="71">
        <f>IF(ISNUMBER(Matching_Engine!$M$37),Matching_Engine!$M$37,-1)</f>
        <v>0</v>
      </c>
      <c r="M37" s="71">
        <f ca="1">IF(ISNUMBER(Matching_Engine!$S$37),Matching_Engine!$S$37,-1)</f>
        <v>53</v>
      </c>
      <c r="N37" s="71">
        <f>IF(ISNUMBER(Matching_Engine!$Y$37),Matching_Engine!$Y$37,-1)</f>
        <v>55</v>
      </c>
      <c r="O37" s="71">
        <f>IF(ISNUMBER(Matching_Engine!$AE$37),Matching_Engine!$AE$37,-1)</f>
        <v>75</v>
      </c>
      <c r="P37" s="71">
        <f>IF(ISNUMBER(Matching_Engine!$AM$37),Matching_Engine!$AM$37,-1)</f>
        <v>-1</v>
      </c>
      <c r="Q37" s="71">
        <f>IF(ISNUMBER(Matching_Engine!$AT$37),Matching_Engine!$AT$37,-1)</f>
        <v>30</v>
      </c>
      <c r="R37" s="71">
        <f ca="1">MAX($L$37:$Q$37)</f>
        <v>75</v>
      </c>
      <c r="S37" s="57" t="str">
        <f ca="1">INDEX({"Brand &amp; Business Relevance","Target Audience Relevance","Content &amp; Category Relevance","Brand Personality Fit","Performance Quality","Brand Safety"},MATCH($R$37,$L$37:$Q$37,0))</f>
        <v>Brand Personality Fit</v>
      </c>
      <c r="T37" s="71">
        <f>IF(ISNUMBER(Matching_Engine!$M$37),Matching_Engine!$M$37,999)</f>
        <v>0</v>
      </c>
      <c r="U37" s="71">
        <f ca="1">IF(ISNUMBER(Matching_Engine!$S$37),Matching_Engine!$S$37,999)</f>
        <v>53</v>
      </c>
      <c r="V37" s="71">
        <f>IF(ISNUMBER(Matching_Engine!$Y$37),Matching_Engine!$Y$37,999)</f>
        <v>55</v>
      </c>
      <c r="W37" s="71">
        <f>IF(ISNUMBER(Matching_Engine!$AE$37),Matching_Engine!$AE$37,999)</f>
        <v>75</v>
      </c>
      <c r="X37" s="71">
        <f>IF(ISNUMBER(Matching_Engine!$AM$37),Matching_Engine!$AM$37,999)</f>
        <v>999</v>
      </c>
      <c r="Y37" s="71">
        <f>IF(ISNUMBER(Matching_Engine!$AT$37),Matching_Engine!$AT$37,999)</f>
        <v>30</v>
      </c>
      <c r="Z37" s="71">
        <f ca="1">MIN($T$37:$Y$37)</f>
        <v>0</v>
      </c>
      <c r="AA37" s="57" t="str">
        <f ca="1">INDEX({"Brand &amp; Business Relevance","Target Audience Relevance","Content &amp; Category Relevance","Brand Personality Fit","Performance Quality","Brand Safety"},MATCH($Z$37,$T$37:$Y$37,0))</f>
        <v>Brand &amp; Business Relevance</v>
      </c>
    </row>
    <row r="38" spans="1:27">
      <c r="A38" s="57" t="str">
        <f>Matching_Engine!$B$38</f>
        <v>Lumaya Skin</v>
      </c>
      <c r="B38" s="57" t="str">
        <f>Matching_Engine!$D$38</f>
        <v>Salsa Aulia</v>
      </c>
      <c r="C38" s="57" t="str">
        <f>Matching_Engine!$E$38</f>
        <v>@salsabeautydiary</v>
      </c>
      <c r="D38" s="70" t="str">
        <f ca="1">Matching_Engine!$AY$38</f>
        <v/>
      </c>
      <c r="E38" s="57" t="str">
        <f>Matching_Engine!$AZ$38</f>
        <v>BRAND-B|KOL-03</v>
      </c>
      <c r="F38" s="57" t="str">
        <f ca="1">IF(NOT(ISNUMBER(Matching_Engine!$AY$38)),"Not scored: no component of the model had data for this account, so no match can be claimed either way.",Matching_Engine!$AZ$38&amp;" — "&amp;Matching_Engine!$AY$38&amp;"/100 against "&amp;Matching_Engine!$B$38&amp;". "&amp;"Strongest factor "&amp;$S$38&amp;" at "&amp;$R$38&amp;"; weakest "&amp;$AA$38&amp;" at "&amp;$Z$38&amp;". "&amp;IF(AND(ISTEXT(Matching_Engine!$G$38),Matching_Engine!$G$38&lt;&gt;"N/A"),"Tagged category "&amp;Matching_Engine!$G$38&amp;" scores "&amp;IF(ISNUMBER(Matching_Engine!$J$38),Matching_Engine!$J$38,0)&amp;" against the brand category "&amp;Matching_Engine!$B$38&amp;" targets. ","Creator carries no category on record, so the category-driven parts fall back to neutral rather than penalising the creator. ")&amp;IF(ISNUMBER(Matching_Engine!$R$38),"Audience-interest overlap "&amp;Matching_Engine!$R$38&amp;". ","Audience interests unmeasured. ")&amp;IF(Matching_Engine!$AX$38&lt;100,"Scored on "&amp;Matching_Engine!$AX$38&amp;" of the 100 nominal weight points; the rest had no data.",""))</f>
        <v>Not scored: no component of the model had data for this account, so no match can be claimed either way.</v>
      </c>
      <c r="G38" s="57" t="str">
        <f ca="1">IF(NOT(ISNUMBER(Matching_Engine!$AY$38)),"N/A",$S$38&amp;" ("&amp;$R$38&amp;"/100)")</f>
        <v>N/A</v>
      </c>
      <c r="H38" s="57" t="str">
        <f ca="1">IF(NOT(ISNUMBER(Matching_Engine!$AY$38)),"N/A",$AA$38&amp;" ("&amp;$Z$38&amp;"/100)")</f>
        <v>N/A</v>
      </c>
      <c r="I38" s="57" t="str">
        <f ca="1">IF(NOT(ISNUMBER(Matching_Engine!$AY$38)),"No data to consider: this account has no measured signal.",IF($Z$38&lt;Lookup_Lists!$D$161,$AA$38&amp;" sits at "&amp;$Z$38&amp;", below the "&amp;Lookup_Lists!$D$161&amp;"-point consideration threshold"&amp;IF(Matching_Engine!$AF$38=0," · Brand Personality Fit could not be scored at all: no creator personality, tone, values or content-style column exists","")&amp;IF(Matching_Engine!$AI$38="N/A"," · posting cadence unusable, so Consistency is excluded from Performance","")&amp;".","No component falls below the "&amp;Lookup_Lists!$D$161&amp;"-point consideration threshold."))</f>
        <v>No data to consider: this account has no measured signal.</v>
      </c>
      <c r="J38" s="57" t="str">
        <f ca="1">Matching_Engine!$AV$38&amp;" — "&amp;Matching_Engine!$AW$38&amp;IF(Matching_Engine!$BB$38="Limited Data"," Confidence is Limited Data: "&amp;Matching_Engine!$BA$38&amp;"% of tracked fields carry a value.","")</f>
        <v>EXCLUDED — Tier not in Preferred Tier</v>
      </c>
      <c r="K38" s="57" t="str">
        <f ca="1">IF(NOT(ISNUMBER(Matching_Engine!$AY$38)),"Do not shortlist on this data — re-scrape the account first.",IF(Matching_Engine!$AY$38&gt;=Lookup_Lists!$D$156,"Highly Recommended",IF(Matching_Engine!$AY$38&gt;=Lookup_Lists!$D$157,"Recommended",IF(Matching_Engine!$AY$38&gt;=Lookup_Lists!$D$158,"Consider","Low Priority")))&amp;IF(Matching_Engine!$AX$38&lt;100," (on partial data)",""))</f>
        <v>Do not shortlist on this data — re-scrape the account first.</v>
      </c>
      <c r="L38" s="71">
        <f>IF(ISNUMBER(Matching_Engine!$M$38),Matching_Engine!$M$38,-1)</f>
        <v>100</v>
      </c>
      <c r="M38" s="71">
        <f ca="1">IF(ISNUMBER(Matching_Engine!$S$38),Matching_Engine!$S$38,-1)</f>
        <v>95</v>
      </c>
      <c r="N38" s="71">
        <f>IF(ISNUMBER(Matching_Engine!$Y$38),Matching_Engine!$Y$38,-1)</f>
        <v>95</v>
      </c>
      <c r="O38" s="71">
        <f>IF(ISNUMBER(Matching_Engine!$AE$38),Matching_Engine!$AE$38,-1)</f>
        <v>77</v>
      </c>
      <c r="P38" s="71">
        <f>IF(ISNUMBER(Matching_Engine!$AM$38),Matching_Engine!$AM$38,-1)</f>
        <v>-1</v>
      </c>
      <c r="Q38" s="71">
        <f>IF(ISNUMBER(Matching_Engine!$AT$38),Matching_Engine!$AT$38,-1)</f>
        <v>94</v>
      </c>
      <c r="R38" s="71">
        <f ca="1">MAX($L$38:$Q$38)</f>
        <v>100</v>
      </c>
      <c r="S38" s="57" t="str">
        <f ca="1">INDEX({"Brand &amp; Business Relevance","Target Audience Relevance","Content &amp; Category Relevance","Brand Personality Fit","Performance Quality","Brand Safety"},MATCH($R$38,$L$38:$Q$38,0))</f>
        <v>Brand &amp; Business Relevance</v>
      </c>
      <c r="T38" s="71">
        <f>IF(ISNUMBER(Matching_Engine!$M$38),Matching_Engine!$M$38,999)</f>
        <v>100</v>
      </c>
      <c r="U38" s="71">
        <f ca="1">IF(ISNUMBER(Matching_Engine!$S$38),Matching_Engine!$S$38,999)</f>
        <v>95</v>
      </c>
      <c r="V38" s="71">
        <f>IF(ISNUMBER(Matching_Engine!$Y$38),Matching_Engine!$Y$38,999)</f>
        <v>95</v>
      </c>
      <c r="W38" s="71">
        <f>IF(ISNUMBER(Matching_Engine!$AE$38),Matching_Engine!$AE$38,999)</f>
        <v>77</v>
      </c>
      <c r="X38" s="71">
        <f>IF(ISNUMBER(Matching_Engine!$AM$38),Matching_Engine!$AM$38,999)</f>
        <v>999</v>
      </c>
      <c r="Y38" s="71">
        <f>IF(ISNUMBER(Matching_Engine!$AT$38),Matching_Engine!$AT$38,999)</f>
        <v>94</v>
      </c>
      <c r="Z38" s="71">
        <f ca="1">MIN($T$38:$Y$38)</f>
        <v>77</v>
      </c>
      <c r="AA38" s="57" t="str">
        <f ca="1">INDEX({"Brand &amp; Business Relevance","Target Audience Relevance","Content &amp; Category Relevance","Brand Personality Fit","Performance Quality","Brand Safety"},MATCH($Z$38,$T$38:$Y$38,0))</f>
        <v>Brand Personality Fit</v>
      </c>
    </row>
    <row r="39" spans="1:27">
      <c r="A39" s="57" t="str">
        <f>Matching_Engine!$B$39</f>
        <v>Lumaya Skin</v>
      </c>
      <c r="B39" s="57" t="str">
        <f>Matching_Engine!$D$39</f>
        <v>Nadia Puspa</v>
      </c>
      <c r="C39" s="57" t="str">
        <f>Matching_Engine!$E$39</f>
        <v>@nadiaglowup</v>
      </c>
      <c r="D39" s="70" t="str">
        <f ca="1">Matching_Engine!$AY$39</f>
        <v/>
      </c>
      <c r="E39" s="57" t="str">
        <f>Matching_Engine!$AZ$39</f>
        <v>BRAND-B|KOL-04</v>
      </c>
      <c r="F39" s="57" t="str">
        <f ca="1">IF(NOT(ISNUMBER(Matching_Engine!$AY$39)),"Not scored: no component of the model had data for this account, so no match can be claimed either way.",Matching_Engine!$AZ$39&amp;" — "&amp;Matching_Engine!$AY$39&amp;"/100 against "&amp;Matching_Engine!$B$39&amp;". "&amp;"Strongest factor "&amp;$S$39&amp;" at "&amp;$R$39&amp;"; weakest "&amp;$AA$39&amp;" at "&amp;$Z$39&amp;". "&amp;IF(AND(ISTEXT(Matching_Engine!$G$39),Matching_Engine!$G$39&lt;&gt;"N/A"),"Tagged category "&amp;Matching_Engine!$G$39&amp;" scores "&amp;IF(ISNUMBER(Matching_Engine!$J$39),Matching_Engine!$J$39,0)&amp;" against the brand category "&amp;Matching_Engine!$B$39&amp;" targets. ","Creator carries no category on record, so the category-driven parts fall back to neutral rather than penalising the creator. ")&amp;IF(ISNUMBER(Matching_Engine!$R$39),"Audience-interest overlap "&amp;Matching_Engine!$R$39&amp;". ","Audience interests unmeasured. ")&amp;IF(Matching_Engine!$AX$39&lt;100,"Scored on "&amp;Matching_Engine!$AX$39&amp;" of the 100 nominal weight points; the rest had no data.",""))</f>
        <v>Not scored: no component of the model had data for this account, so no match can be claimed either way.</v>
      </c>
      <c r="G39" s="57" t="str">
        <f ca="1">IF(NOT(ISNUMBER(Matching_Engine!$AY$39)),"N/A",$S$39&amp;" ("&amp;$R$39&amp;"/100)")</f>
        <v>N/A</v>
      </c>
      <c r="H39" s="57" t="str">
        <f ca="1">IF(NOT(ISNUMBER(Matching_Engine!$AY$39)),"N/A",$AA$39&amp;" ("&amp;$Z$39&amp;"/100)")</f>
        <v>N/A</v>
      </c>
      <c r="I39" s="57" t="str">
        <f ca="1">IF(NOT(ISNUMBER(Matching_Engine!$AY$39)),"No data to consider: this account has no measured signal.",IF($Z$39&lt;Lookup_Lists!$D$161,$AA$39&amp;" sits at "&amp;$Z$39&amp;", below the "&amp;Lookup_Lists!$D$161&amp;"-point consideration threshold"&amp;IF(Matching_Engine!$AF$39=0," · Brand Personality Fit could not be scored at all: no creator personality, tone, values or content-style column exists","")&amp;IF(Matching_Engine!$AI$39="N/A"," · posting cadence unusable, so Consistency is excluded from Performance","")&amp;".","No component falls below the "&amp;Lookup_Lists!$D$161&amp;"-point consideration threshold."))</f>
        <v>No data to consider: this account has no measured signal.</v>
      </c>
      <c r="J39" s="57" t="str">
        <f ca="1">Matching_Engine!$AV$39&amp;" — "&amp;Matching_Engine!$AW$39&amp;IF(Matching_Engine!$BB$39="Limited Data"," Confidence is Limited Data: "&amp;Matching_Engine!$BA$39&amp;"% of tracked fields carry a value.","")</f>
        <v>EXCLUDED — Followers above Preferred Follower Range</v>
      </c>
      <c r="K39" s="57" t="str">
        <f ca="1">IF(NOT(ISNUMBER(Matching_Engine!$AY$39)),"Do not shortlist on this data — re-scrape the account first.",IF(Matching_Engine!$AY$39&gt;=Lookup_Lists!$D$156,"Highly Recommended",IF(Matching_Engine!$AY$39&gt;=Lookup_Lists!$D$157,"Recommended",IF(Matching_Engine!$AY$39&gt;=Lookup_Lists!$D$158,"Consider","Low Priority")))&amp;IF(Matching_Engine!$AX$39&lt;100," (on partial data)",""))</f>
        <v>Do not shortlist on this data — re-scrape the account first.</v>
      </c>
      <c r="L39" s="71">
        <f>IF(ISNUMBER(Matching_Engine!$M$39),Matching_Engine!$M$39,-1)</f>
        <v>60</v>
      </c>
      <c r="M39" s="71">
        <f ca="1">IF(ISNUMBER(Matching_Engine!$S$39),Matching_Engine!$S$39,-1)</f>
        <v>90</v>
      </c>
      <c r="N39" s="71">
        <f>IF(ISNUMBER(Matching_Engine!$Y$39),Matching_Engine!$Y$39,-1)</f>
        <v>65</v>
      </c>
      <c r="O39" s="71">
        <f>IF(ISNUMBER(Matching_Engine!$AE$39),Matching_Engine!$AE$39,-1)</f>
        <v>82</v>
      </c>
      <c r="P39" s="71">
        <f>IF(ISNUMBER(Matching_Engine!$AM$39),Matching_Engine!$AM$39,-1)</f>
        <v>-1</v>
      </c>
      <c r="Q39" s="71">
        <f>IF(ISNUMBER(Matching_Engine!$AT$39),Matching_Engine!$AT$39,-1)</f>
        <v>74</v>
      </c>
      <c r="R39" s="71">
        <f ca="1">MAX($L$39:$Q$39)</f>
        <v>90</v>
      </c>
      <c r="S39" s="57" t="str">
        <f ca="1">INDEX({"Brand &amp; Business Relevance","Target Audience Relevance","Content &amp; Category Relevance","Brand Personality Fit","Performance Quality","Brand Safety"},MATCH($R$39,$L$39:$Q$39,0))</f>
        <v>Target Audience Relevance</v>
      </c>
      <c r="T39" s="71">
        <f>IF(ISNUMBER(Matching_Engine!$M$39),Matching_Engine!$M$39,999)</f>
        <v>60</v>
      </c>
      <c r="U39" s="71">
        <f ca="1">IF(ISNUMBER(Matching_Engine!$S$39),Matching_Engine!$S$39,999)</f>
        <v>90</v>
      </c>
      <c r="V39" s="71">
        <f>IF(ISNUMBER(Matching_Engine!$Y$39),Matching_Engine!$Y$39,999)</f>
        <v>65</v>
      </c>
      <c r="W39" s="71">
        <f>IF(ISNUMBER(Matching_Engine!$AE$39),Matching_Engine!$AE$39,999)</f>
        <v>82</v>
      </c>
      <c r="X39" s="71">
        <f>IF(ISNUMBER(Matching_Engine!$AM$39),Matching_Engine!$AM$39,999)</f>
        <v>999</v>
      </c>
      <c r="Y39" s="71">
        <f>IF(ISNUMBER(Matching_Engine!$AT$39),Matching_Engine!$AT$39,999)</f>
        <v>74</v>
      </c>
      <c r="Z39" s="71">
        <f ca="1">MIN($T$39:$Y$39)</f>
        <v>60</v>
      </c>
      <c r="AA39" s="57" t="str">
        <f ca="1">INDEX({"Brand &amp; Business Relevance","Target Audience Relevance","Content &amp; Category Relevance","Brand Personality Fit","Performance Quality","Brand Safety"},MATCH($Z$39,$T$39:$Y$39,0))</f>
        <v>Brand &amp; Business Relevance</v>
      </c>
    </row>
    <row r="40" spans="1:27">
      <c r="A40" s="57" t="str">
        <f>Matching_Engine!$B$40</f>
        <v>Lumaya Skin</v>
      </c>
      <c r="B40" s="57" t="str">
        <f>Matching_Engine!$D$40</f>
        <v>Bimo Saputra</v>
      </c>
      <c r="C40" s="57" t="str">
        <f>Matching_Engine!$E$40</f>
        <v>@bimomakan</v>
      </c>
      <c r="D40" s="70" t="str">
        <f ca="1">Matching_Engine!$AY$40</f>
        <v/>
      </c>
      <c r="E40" s="57" t="str">
        <f>Matching_Engine!$AZ$40</f>
        <v>BRAND-B|KOL-05</v>
      </c>
      <c r="F40" s="57" t="str">
        <f ca="1">IF(NOT(ISNUMBER(Matching_Engine!$AY$40)),"Not scored: no component of the model had data for this account, so no match can be claimed either way.",Matching_Engine!$AZ$40&amp;" — "&amp;Matching_Engine!$AY$40&amp;"/100 against "&amp;Matching_Engine!$B$40&amp;". "&amp;"Strongest factor "&amp;$S$40&amp;" at "&amp;$R$40&amp;"; weakest "&amp;$AA$40&amp;" at "&amp;$Z$40&amp;". "&amp;IF(AND(ISTEXT(Matching_Engine!$G$40),Matching_Engine!$G$40&lt;&gt;"N/A"),"Tagged category "&amp;Matching_Engine!$G$40&amp;" scores "&amp;IF(ISNUMBER(Matching_Engine!$J$40),Matching_Engine!$J$40,0)&amp;" against the brand category "&amp;Matching_Engine!$B$40&amp;" targets. ","Creator carries no category on record, so the category-driven parts fall back to neutral rather than penalising the creator. ")&amp;IF(ISNUMBER(Matching_Engine!$R$40),"Audience-interest overlap "&amp;Matching_Engine!$R$40&amp;". ","Audience interests unmeasured. ")&amp;IF(Matching_Engine!$AX$40&lt;100,"Scored on "&amp;Matching_Engine!$AX$40&amp;" of the 100 nominal weight points; the rest had no data.",""))</f>
        <v>Not scored: no component of the model had data for this account, so no match can be claimed either way.</v>
      </c>
      <c r="G40" s="57" t="str">
        <f ca="1">IF(NOT(ISNUMBER(Matching_Engine!$AY$40)),"N/A",$S$40&amp;" ("&amp;$R$40&amp;"/100)")</f>
        <v>N/A</v>
      </c>
      <c r="H40" s="57" t="str">
        <f ca="1">IF(NOT(ISNUMBER(Matching_Engine!$AY$40)),"N/A",$AA$40&amp;" ("&amp;$Z$40&amp;"/100)")</f>
        <v>N/A</v>
      </c>
      <c r="I40" s="57" t="str">
        <f ca="1">IF(NOT(ISNUMBER(Matching_Engine!$AY$40)),"No data to consider: this account has no measured signal.",IF($Z$40&lt;Lookup_Lists!$D$161,$AA$40&amp;" sits at "&amp;$Z$40&amp;", below the "&amp;Lookup_Lists!$D$161&amp;"-point consideration threshold"&amp;IF(Matching_Engine!$AF$40=0," · Brand Personality Fit could not be scored at all: no creator personality, tone, values or content-style column exists","")&amp;IF(Matching_Engine!$AI$40="N/A"," · posting cadence unusable, so Consistency is excluded from Performance","")&amp;".","No component falls below the "&amp;Lookup_Lists!$D$161&amp;"-point consideration threshold."))</f>
        <v>No data to consider: this account has no measured signal.</v>
      </c>
      <c r="J40" s="57" t="str">
        <f ca="1">Matching_Engine!$AV$40&amp;" — "&amp;Matching_Engine!$AW$40&amp;IF(Matching_Engine!$BB$40="Limited Data"," Confidence is Limited Data: "&amp;Matching_Engine!$BA$40&amp;"% of tracked fields carry a value.","")</f>
        <v>EXCLUDED — Tier not in Preferred Tier</v>
      </c>
      <c r="K40" s="57" t="str">
        <f ca="1">IF(NOT(ISNUMBER(Matching_Engine!$AY$40)),"Do not shortlist on this data — re-scrape the account first.",IF(Matching_Engine!$AY$40&gt;=Lookup_Lists!$D$156,"Highly Recommended",IF(Matching_Engine!$AY$40&gt;=Lookup_Lists!$D$157,"Recommended",IF(Matching_Engine!$AY$40&gt;=Lookup_Lists!$D$158,"Consider","Low Priority")))&amp;IF(Matching_Engine!$AX$40&lt;100," (on partial data)",""))</f>
        <v>Do not shortlist on this data — re-scrape the account first.</v>
      </c>
      <c r="L40" s="71">
        <f>IF(ISNUMBER(Matching_Engine!$M$40),Matching_Engine!$M$40,-1)</f>
        <v>20</v>
      </c>
      <c r="M40" s="71">
        <f ca="1">IF(ISNUMBER(Matching_Engine!$S$40),Matching_Engine!$S$40,-1)</f>
        <v>72</v>
      </c>
      <c r="N40" s="71">
        <f>IF(ISNUMBER(Matching_Engine!$Y$40),Matching_Engine!$Y$40,-1)</f>
        <v>35</v>
      </c>
      <c r="O40" s="71">
        <f>IF(ISNUMBER(Matching_Engine!$AE$40),Matching_Engine!$AE$40,-1)</f>
        <v>70</v>
      </c>
      <c r="P40" s="71">
        <f>IF(ISNUMBER(Matching_Engine!$AM$40),Matching_Engine!$AM$40,-1)</f>
        <v>-1</v>
      </c>
      <c r="Q40" s="71">
        <f>IF(ISNUMBER(Matching_Engine!$AT$40),Matching_Engine!$AT$40,-1)</f>
        <v>43</v>
      </c>
      <c r="R40" s="71">
        <f ca="1">MAX($L$40:$Q$40)</f>
        <v>72</v>
      </c>
      <c r="S40" s="57" t="str">
        <f ca="1">INDEX({"Brand &amp; Business Relevance","Target Audience Relevance","Content &amp; Category Relevance","Brand Personality Fit","Performance Quality","Brand Safety"},MATCH($R$40,$L$40:$Q$40,0))</f>
        <v>Target Audience Relevance</v>
      </c>
      <c r="T40" s="71">
        <f>IF(ISNUMBER(Matching_Engine!$M$40),Matching_Engine!$M$40,999)</f>
        <v>20</v>
      </c>
      <c r="U40" s="71">
        <f ca="1">IF(ISNUMBER(Matching_Engine!$S$40),Matching_Engine!$S$40,999)</f>
        <v>72</v>
      </c>
      <c r="V40" s="71">
        <f>IF(ISNUMBER(Matching_Engine!$Y$40),Matching_Engine!$Y$40,999)</f>
        <v>35</v>
      </c>
      <c r="W40" s="71">
        <f>IF(ISNUMBER(Matching_Engine!$AE$40),Matching_Engine!$AE$40,999)</f>
        <v>70</v>
      </c>
      <c r="X40" s="71">
        <f>IF(ISNUMBER(Matching_Engine!$AM$40),Matching_Engine!$AM$40,999)</f>
        <v>999</v>
      </c>
      <c r="Y40" s="71">
        <f>IF(ISNUMBER(Matching_Engine!$AT$40),Matching_Engine!$AT$40,999)</f>
        <v>43</v>
      </c>
      <c r="Z40" s="71">
        <f ca="1">MIN($T$40:$Y$40)</f>
        <v>20</v>
      </c>
      <c r="AA40" s="57" t="str">
        <f ca="1">INDEX({"Brand &amp; Business Relevance","Target Audience Relevance","Content &amp; Category Relevance","Brand Personality Fit","Performance Quality","Brand Safety"},MATCH($Z$40,$T$40:$Y$40,0))</f>
        <v>Brand &amp; Business Relevance</v>
      </c>
    </row>
    <row r="41" spans="1:27">
      <c r="A41" s="57" t="str">
        <f>Matching_Engine!$B$41</f>
        <v>Lumaya Skin</v>
      </c>
      <c r="B41" s="57" t="str">
        <f>Matching_Engine!$D$41</f>
        <v>Ayu Lestari</v>
      </c>
      <c r="C41" s="57" t="str">
        <f>Matching_Engine!$E$41</f>
        <v>@dapurayu</v>
      </c>
      <c r="D41" s="70">
        <f ca="1">Matching_Engine!$AY$41</f>
        <v>56</v>
      </c>
      <c r="E41" s="57" t="str">
        <f>Matching_Engine!$AZ$41</f>
        <v>BRAND-B|KOL-06</v>
      </c>
      <c r="F41" s="57" t="str">
        <f ca="1">IF(NOT(ISNUMBER(Matching_Engine!$AY$41)),"Not scored: no component of the model had data for this account, so no match can be claimed either way.",Matching_Engine!$AZ$41&amp;" — "&amp;Matching_Engine!$AY$41&amp;"/100 against "&amp;Matching_Engine!$B$41&amp;". "&amp;"Strongest factor "&amp;$S$41&amp;" at "&amp;$R$41&amp;"; weakest "&amp;$AA$41&amp;" at "&amp;$Z$41&amp;". "&amp;IF(AND(ISTEXT(Matching_Engine!$G$41),Matching_Engine!$G$41&lt;&gt;"N/A"),"Tagged category "&amp;Matching_Engine!$G$41&amp;" scores "&amp;IF(ISNUMBER(Matching_Engine!$J$41),Matching_Engine!$J$41,0)&amp;" against the brand category "&amp;Matching_Engine!$B$41&amp;" targets. ","Creator carries no category on record, so the category-driven parts fall back to neutral rather than penalising the creator. ")&amp;IF(ISNUMBER(Matching_Engine!$R$41),"Audience-interest overlap "&amp;Matching_Engine!$R$41&amp;". ","Audience interests unmeasured. ")&amp;IF(Matching_Engine!$AX$41&lt;100,"Scored on "&amp;Matching_Engine!$AX$41&amp;" of the 100 nominal weight points; the rest had no data.",""))</f>
        <v>BRAND-B|KOL-06 — 56/100 against Lumaya Skin. Strongest factor Brand Personality Fit at 73; weakest Brand &amp; Business Relevance at 20. Tagged category Food scores 5,2 against the brand category Lumaya Skin targets. Audience-interest overlap 0. </v>
      </c>
      <c r="G41" s="57" t="str">
        <f ca="1">IF(NOT(ISNUMBER(Matching_Engine!$AY$41)),"N/A",$S$41&amp;" ("&amp;$R$41&amp;"/100)")</f>
        <v>Brand Personality Fit (73/100)</v>
      </c>
      <c r="H41" s="57" t="str">
        <f ca="1">IF(NOT(ISNUMBER(Matching_Engine!$AY$41)),"N/A",$AA$41&amp;" ("&amp;$Z$41&amp;"/100)")</f>
        <v>Brand &amp; Business Relevance (20/100)</v>
      </c>
      <c r="I41" s="57" t="str">
        <f ca="1">IF(NOT(ISNUMBER(Matching_Engine!$AY$41)),"No data to consider: this account has no measured signal.",IF($Z$41&lt;Lookup_Lists!$D$161,$AA$41&amp;" sits at "&amp;$Z$41&amp;", below the "&amp;Lookup_Lists!$D$161&amp;"-point consideration threshold"&amp;IF(Matching_Engine!$AF$41=0," · Brand Personality Fit could not be scored at all: no creator personality, tone, values or content-style column exists","")&amp;IF(Matching_Engine!$AI$41="N/A"," · posting cadence unusable, so Consistency is excluded from Performance","")&amp;".","No component falls below the "&amp;Lookup_Lists!$D$161&amp;"-point consideration threshold."))</f>
        <v>Brand &amp; Business Relevance sits at 20, below the 75-point consideration threshold.</v>
      </c>
      <c r="J41" s="57" t="str">
        <f ca="1">Matching_Engine!$AV$41&amp;" — "&amp;Matching_Engine!$AW$41&amp;IF(Matching_Engine!$BB$41="Limited Data"," Confidence is Limited Data: "&amp;Matching_Engine!$BA$41&amp;"% of tracked fields carry a value.","")</f>
        <v>PASS — </v>
      </c>
      <c r="K41" s="57" t="str">
        <f ca="1">IF(NOT(ISNUMBER(Matching_Engine!$AY$41)),"Do not shortlist on this data — re-scrape the account first.",IF(Matching_Engine!$AY$41&gt;=Lookup_Lists!$D$156,"Highly Recommended",IF(Matching_Engine!$AY$41&gt;=Lookup_Lists!$D$157,"Recommended",IF(Matching_Engine!$AY$41&gt;=Lookup_Lists!$D$158,"Consider","Low Priority")))&amp;IF(Matching_Engine!$AX$41&lt;100," (on partial data)",""))</f>
        <v>Low Priority</v>
      </c>
      <c r="L41" s="71">
        <f>IF(ISNUMBER(Matching_Engine!$M$41),Matching_Engine!$M$41,-1)</f>
        <v>20</v>
      </c>
      <c r="M41" s="71">
        <f ca="1">IF(ISNUMBER(Matching_Engine!$S$41),Matching_Engine!$S$41,-1)</f>
        <v>69</v>
      </c>
      <c r="N41" s="71">
        <f>IF(ISNUMBER(Matching_Engine!$Y$41),Matching_Engine!$Y$41,-1)</f>
        <v>35</v>
      </c>
      <c r="O41" s="71">
        <f>IF(ISNUMBER(Matching_Engine!$AE$41),Matching_Engine!$AE$41,-1)</f>
        <v>73</v>
      </c>
      <c r="P41" s="71">
        <f>IF(ISNUMBER(Matching_Engine!$AM$41),Matching_Engine!$AM$41,-1)</f>
        <v>-1</v>
      </c>
      <c r="Q41" s="71">
        <f>IF(ISNUMBER(Matching_Engine!$AT$41),Matching_Engine!$AT$41,-1)</f>
        <v>42</v>
      </c>
      <c r="R41" s="71">
        <f ca="1">MAX($L$41:$Q$41)</f>
        <v>73</v>
      </c>
      <c r="S41" s="57" t="str">
        <f ca="1">INDEX({"Brand &amp; Business Relevance","Target Audience Relevance","Content &amp; Category Relevance","Brand Personality Fit","Performance Quality","Brand Safety"},MATCH($R$41,$L$41:$Q$41,0))</f>
        <v>Brand Personality Fit</v>
      </c>
      <c r="T41" s="71">
        <f>IF(ISNUMBER(Matching_Engine!$M$41),Matching_Engine!$M$41,999)</f>
        <v>20</v>
      </c>
      <c r="U41" s="71">
        <f ca="1">IF(ISNUMBER(Matching_Engine!$S$41),Matching_Engine!$S$41,999)</f>
        <v>69</v>
      </c>
      <c r="V41" s="71">
        <f>IF(ISNUMBER(Matching_Engine!$Y$41),Matching_Engine!$Y$41,999)</f>
        <v>35</v>
      </c>
      <c r="W41" s="71">
        <f>IF(ISNUMBER(Matching_Engine!$AE$41),Matching_Engine!$AE$41,999)</f>
        <v>73</v>
      </c>
      <c r="X41" s="71">
        <f>IF(ISNUMBER(Matching_Engine!$AM$41),Matching_Engine!$AM$41,999)</f>
        <v>999</v>
      </c>
      <c r="Y41" s="71">
        <f>IF(ISNUMBER(Matching_Engine!$AT$41),Matching_Engine!$AT$41,999)</f>
        <v>42</v>
      </c>
      <c r="Z41" s="71">
        <f ca="1">MIN($T$41:$Y$41)</f>
        <v>20</v>
      </c>
      <c r="AA41" s="57" t="str">
        <f ca="1">INDEX({"Brand &amp; Business Relevance","Target Audience Relevance","Content &amp; Category Relevance","Brand Personality Fit","Performance Quality","Brand Safety"},MATCH($Z$41,$T$41:$Y$41,0))</f>
        <v>Brand &amp; Business Relevance</v>
      </c>
    </row>
    <row r="42" spans="1:27">
      <c r="A42" s="57" t="str">
        <f>Matching_Engine!$B$42</f>
        <v>Lumaya Skin</v>
      </c>
      <c r="B42" s="57" t="str">
        <f>Matching_Engine!$D$42</f>
        <v>Fajar Ramadhan</v>
      </c>
      <c r="C42" s="57" t="str">
        <f>Matching_Engine!$E$42</f>
        <v>@fajarfinance</v>
      </c>
      <c r="D42" s="70" t="str">
        <f ca="1">Matching_Engine!$AY$42</f>
        <v/>
      </c>
      <c r="E42" s="57" t="str">
        <f>Matching_Engine!$AZ$42</f>
        <v>BRAND-B|KOL-07</v>
      </c>
      <c r="F42" s="57" t="str">
        <f ca="1">IF(NOT(ISNUMBER(Matching_Engine!$AY$42)),"Not scored: no component of the model had data for this account, so no match can be claimed either way.",Matching_Engine!$AZ$42&amp;" — "&amp;Matching_Engine!$AY$42&amp;"/100 against "&amp;Matching_Engine!$B$42&amp;". "&amp;"Strongest factor "&amp;$S$42&amp;" at "&amp;$R$42&amp;"; weakest "&amp;$AA$42&amp;" at "&amp;$Z$42&amp;". "&amp;IF(AND(ISTEXT(Matching_Engine!$G$42),Matching_Engine!$G$42&lt;&gt;"N/A"),"Tagged category "&amp;Matching_Engine!$G$42&amp;" scores "&amp;IF(ISNUMBER(Matching_Engine!$J$42),Matching_Engine!$J$42,0)&amp;" against the brand category "&amp;Matching_Engine!$B$42&amp;" targets. ","Creator carries no category on record, so the category-driven parts fall back to neutral rather than penalising the creator. ")&amp;IF(ISNUMBER(Matching_Engine!$R$42),"Audience-interest overlap "&amp;Matching_Engine!$R$42&amp;". ","Audience interests unmeasured. ")&amp;IF(Matching_Engine!$AX$42&lt;100,"Scored on "&amp;Matching_Engine!$AX$42&amp;" of the 100 nominal weight points; the rest had no data.",""))</f>
        <v>Not scored: no component of the model had data for this account, so no match can be claimed either way.</v>
      </c>
      <c r="G42" s="57" t="str">
        <f ca="1">IF(NOT(ISNUMBER(Matching_Engine!$AY$42)),"N/A",$S$42&amp;" ("&amp;$R$42&amp;"/100)")</f>
        <v>N/A</v>
      </c>
      <c r="H42" s="57" t="str">
        <f ca="1">IF(NOT(ISNUMBER(Matching_Engine!$AY$42)),"N/A",$AA$42&amp;" ("&amp;$Z$42&amp;"/100)")</f>
        <v>N/A</v>
      </c>
      <c r="I42" s="57" t="str">
        <f ca="1">IF(NOT(ISNUMBER(Matching_Engine!$AY$42)),"No data to consider: this account has no measured signal.",IF($Z$42&lt;Lookup_Lists!$D$161,$AA$42&amp;" sits at "&amp;$Z$42&amp;", below the "&amp;Lookup_Lists!$D$161&amp;"-point consideration threshold"&amp;IF(Matching_Engine!$AF$42=0," · Brand Personality Fit could not be scored at all: no creator personality, tone, values or content-style column exists","")&amp;IF(Matching_Engine!$AI$42="N/A"," · posting cadence unusable, so Consistency is excluded from Performance","")&amp;".","No component falls below the "&amp;Lookup_Lists!$D$161&amp;"-point consideration threshold."))</f>
        <v>No data to consider: this account has no measured signal.</v>
      </c>
      <c r="J42" s="57" t="str">
        <f ca="1">Matching_Engine!$AV$42&amp;" — "&amp;Matching_Engine!$AW$42&amp;IF(Matching_Engine!$BB$42="Limited Data"," Confidence is Limited Data: "&amp;Matching_Engine!$BA$42&amp;"% of tracked fields carry a value.","")</f>
        <v>EXCLUDED — Tier not in Preferred Tier</v>
      </c>
      <c r="K42" s="57" t="str">
        <f ca="1">IF(NOT(ISNUMBER(Matching_Engine!$AY$42)),"Do not shortlist on this data — re-scrape the account first.",IF(Matching_Engine!$AY$42&gt;=Lookup_Lists!$D$156,"Highly Recommended",IF(Matching_Engine!$AY$42&gt;=Lookup_Lists!$D$157,"Recommended",IF(Matching_Engine!$AY$42&gt;=Lookup_Lists!$D$158,"Consider","Low Priority")))&amp;IF(Matching_Engine!$AX$42&lt;100," (on partial data)",""))</f>
        <v>Do not shortlist on this data — re-scrape the account first.</v>
      </c>
      <c r="L42" s="71">
        <f>IF(ISNUMBER(Matching_Engine!$M$42),Matching_Engine!$M$42,-1)</f>
        <v>0</v>
      </c>
      <c r="M42" s="71">
        <f ca="1">IF(ISNUMBER(Matching_Engine!$S$42),Matching_Engine!$S$42,-1)</f>
        <v>55</v>
      </c>
      <c r="N42" s="71">
        <f>IF(ISNUMBER(Matching_Engine!$Y$42),Matching_Engine!$Y$42,-1)</f>
        <v>85</v>
      </c>
      <c r="O42" s="71">
        <f>IF(ISNUMBER(Matching_Engine!$AE$42),Matching_Engine!$AE$42,-1)</f>
        <v>86</v>
      </c>
      <c r="P42" s="71">
        <f>IF(ISNUMBER(Matching_Engine!$AM$42),Matching_Engine!$AM$42,-1)</f>
        <v>-1</v>
      </c>
      <c r="Q42" s="71">
        <f>IF(ISNUMBER(Matching_Engine!$AT$42),Matching_Engine!$AT$42,-1)</f>
        <v>35</v>
      </c>
      <c r="R42" s="71">
        <f ca="1">MAX($L$42:$Q$42)</f>
        <v>86</v>
      </c>
      <c r="S42" s="57" t="str">
        <f ca="1">INDEX({"Brand &amp; Business Relevance","Target Audience Relevance","Content &amp; Category Relevance","Brand Personality Fit","Performance Quality","Brand Safety"},MATCH($R$42,$L$42:$Q$42,0))</f>
        <v>Brand Personality Fit</v>
      </c>
      <c r="T42" s="71">
        <f>IF(ISNUMBER(Matching_Engine!$M$42),Matching_Engine!$M$42,999)</f>
        <v>0</v>
      </c>
      <c r="U42" s="71">
        <f ca="1">IF(ISNUMBER(Matching_Engine!$S$42),Matching_Engine!$S$42,999)</f>
        <v>55</v>
      </c>
      <c r="V42" s="71">
        <f>IF(ISNUMBER(Matching_Engine!$Y$42),Matching_Engine!$Y$42,999)</f>
        <v>85</v>
      </c>
      <c r="W42" s="71">
        <f>IF(ISNUMBER(Matching_Engine!$AE$42),Matching_Engine!$AE$42,999)</f>
        <v>86</v>
      </c>
      <c r="X42" s="71">
        <f>IF(ISNUMBER(Matching_Engine!$AM$42),Matching_Engine!$AM$42,999)</f>
        <v>999</v>
      </c>
      <c r="Y42" s="71">
        <f>IF(ISNUMBER(Matching_Engine!$AT$42),Matching_Engine!$AT$42,999)</f>
        <v>35</v>
      </c>
      <c r="Z42" s="71">
        <f ca="1">MIN($T$42:$Y$42)</f>
        <v>0</v>
      </c>
      <c r="AA42" s="57" t="str">
        <f ca="1">INDEX({"Brand &amp; Business Relevance","Target Audience Relevance","Content &amp; Category Relevance","Brand Personality Fit","Performance Quality","Brand Safety"},MATCH($Z$42,$T$42:$Y$42,0))</f>
        <v>Brand &amp; Business Relevance</v>
      </c>
    </row>
    <row r="43" spans="1:27">
      <c r="A43" s="57" t="str">
        <f>Matching_Engine!$B$43</f>
        <v>Lumaya Skin</v>
      </c>
      <c r="B43" s="57" t="str">
        <f>Matching_Engine!$D$43</f>
        <v>Tania Wijaya</v>
      </c>
      <c r="C43" s="57" t="str">
        <f>Matching_Engine!$E$43</f>
        <v>@taniainvest</v>
      </c>
      <c r="D43" s="70" t="str">
        <f ca="1">Matching_Engine!$AY$43</f>
        <v/>
      </c>
      <c r="E43" s="57" t="str">
        <f>Matching_Engine!$AZ$43</f>
        <v>BRAND-B|KOL-08</v>
      </c>
      <c r="F43" s="57" t="str">
        <f ca="1">IF(NOT(ISNUMBER(Matching_Engine!$AY$43)),"Not scored: no component of the model had data for this account, so no match can be claimed either way.",Matching_Engine!$AZ$43&amp;" — "&amp;Matching_Engine!$AY$43&amp;"/100 against "&amp;Matching_Engine!$B$43&amp;". "&amp;"Strongest factor "&amp;$S$43&amp;" at "&amp;$R$43&amp;"; weakest "&amp;$AA$43&amp;" at "&amp;$Z$43&amp;". "&amp;IF(AND(ISTEXT(Matching_Engine!$G$43),Matching_Engine!$G$43&lt;&gt;"N/A"),"Tagged category "&amp;Matching_Engine!$G$43&amp;" scores "&amp;IF(ISNUMBER(Matching_Engine!$J$43),Matching_Engine!$J$43,0)&amp;" against the brand category "&amp;Matching_Engine!$B$43&amp;" targets. ","Creator carries no category on record, so the category-driven parts fall back to neutral rather than penalising the creator. ")&amp;IF(ISNUMBER(Matching_Engine!$R$43),"Audience-interest overlap "&amp;Matching_Engine!$R$43&amp;". ","Audience interests unmeasured. ")&amp;IF(Matching_Engine!$AX$43&lt;100,"Scored on "&amp;Matching_Engine!$AX$43&amp;" of the 100 nominal weight points; the rest had no data.",""))</f>
        <v>Not scored: no component of the model had data for this account, so no match can be claimed either way.</v>
      </c>
      <c r="G43" s="57" t="str">
        <f ca="1">IF(NOT(ISNUMBER(Matching_Engine!$AY$43)),"N/A",$S$43&amp;" ("&amp;$R$43&amp;"/100)")</f>
        <v>N/A</v>
      </c>
      <c r="H43" s="57" t="str">
        <f ca="1">IF(NOT(ISNUMBER(Matching_Engine!$AY$43)),"N/A",$AA$43&amp;" ("&amp;$Z$43&amp;"/100)")</f>
        <v>N/A</v>
      </c>
      <c r="I43" s="57" t="str">
        <f ca="1">IF(NOT(ISNUMBER(Matching_Engine!$AY$43)),"No data to consider: this account has no measured signal.",IF($Z$43&lt;Lookup_Lists!$D$161,$AA$43&amp;" sits at "&amp;$Z$43&amp;", below the "&amp;Lookup_Lists!$D$161&amp;"-point consideration threshold"&amp;IF(Matching_Engine!$AF$43=0," · Brand Personality Fit could not be scored at all: no creator personality, tone, values or content-style column exists","")&amp;IF(Matching_Engine!$AI$43="N/A"," · posting cadence unusable, so Consistency is excluded from Performance","")&amp;".","No component falls below the "&amp;Lookup_Lists!$D$161&amp;"-point consideration threshold."))</f>
        <v>No data to consider: this account has no measured signal.</v>
      </c>
      <c r="J43" s="57" t="str">
        <f ca="1">Matching_Engine!$AV$43&amp;" — "&amp;Matching_Engine!$AW$43&amp;IF(Matching_Engine!$BB$43="Limited Data"," Confidence is Limited Data: "&amp;Matching_Engine!$BA$43&amp;"% of tracked fields carry a value.","")</f>
        <v>EXCLUDED — Audience Quality below Minimum Audience Quality</v>
      </c>
      <c r="K43" s="57" t="str">
        <f ca="1">IF(NOT(ISNUMBER(Matching_Engine!$AY$43)),"Do not shortlist on this data — re-scrape the account first.",IF(Matching_Engine!$AY$43&gt;=Lookup_Lists!$D$156,"Highly Recommended",IF(Matching_Engine!$AY$43&gt;=Lookup_Lists!$D$157,"Recommended",IF(Matching_Engine!$AY$43&gt;=Lookup_Lists!$D$158,"Consider","Low Priority")))&amp;IF(Matching_Engine!$AX$43&lt;100," (on partial data)",""))</f>
        <v>Do not shortlist on this data — re-scrape the account first.</v>
      </c>
      <c r="L43" s="71">
        <f>IF(ISNUMBER(Matching_Engine!$M$43),Matching_Engine!$M$43,-1)</f>
        <v>20</v>
      </c>
      <c r="M43" s="71">
        <f ca="1">IF(ISNUMBER(Matching_Engine!$S$43),Matching_Engine!$S$43,-1)</f>
        <v>79</v>
      </c>
      <c r="N43" s="71">
        <f>IF(ISNUMBER(Matching_Engine!$Y$43),Matching_Engine!$Y$43,-1)</f>
        <v>55</v>
      </c>
      <c r="O43" s="71">
        <f>IF(ISNUMBER(Matching_Engine!$AE$43),Matching_Engine!$AE$43,-1)</f>
        <v>64</v>
      </c>
      <c r="P43" s="71">
        <f>IF(ISNUMBER(Matching_Engine!$AM$43),Matching_Engine!$AM$43,-1)</f>
        <v>-1</v>
      </c>
      <c r="Q43" s="71">
        <f>IF(ISNUMBER(Matching_Engine!$AT$43),Matching_Engine!$AT$43,-1)</f>
        <v>34</v>
      </c>
      <c r="R43" s="71">
        <f ca="1">MAX($L$43:$Q$43)</f>
        <v>79</v>
      </c>
      <c r="S43" s="57" t="str">
        <f ca="1">INDEX({"Brand &amp; Business Relevance","Target Audience Relevance","Content &amp; Category Relevance","Brand Personality Fit","Performance Quality","Brand Safety"},MATCH($R$43,$L$43:$Q$43,0))</f>
        <v>Target Audience Relevance</v>
      </c>
      <c r="T43" s="71">
        <f>IF(ISNUMBER(Matching_Engine!$M$43),Matching_Engine!$M$43,999)</f>
        <v>20</v>
      </c>
      <c r="U43" s="71">
        <f ca="1">IF(ISNUMBER(Matching_Engine!$S$43),Matching_Engine!$S$43,999)</f>
        <v>79</v>
      </c>
      <c r="V43" s="71">
        <f>IF(ISNUMBER(Matching_Engine!$Y$43),Matching_Engine!$Y$43,999)</f>
        <v>55</v>
      </c>
      <c r="W43" s="71">
        <f>IF(ISNUMBER(Matching_Engine!$AE$43),Matching_Engine!$AE$43,999)</f>
        <v>64</v>
      </c>
      <c r="X43" s="71">
        <f>IF(ISNUMBER(Matching_Engine!$AM$43),Matching_Engine!$AM$43,999)</f>
        <v>999</v>
      </c>
      <c r="Y43" s="71">
        <f>IF(ISNUMBER(Matching_Engine!$AT$43),Matching_Engine!$AT$43,999)</f>
        <v>34</v>
      </c>
      <c r="Z43" s="71">
        <f ca="1">MIN($T$43:$Y$43)</f>
        <v>20</v>
      </c>
      <c r="AA43" s="57" t="str">
        <f ca="1">INDEX({"Brand &amp; Business Relevance","Target Audience Relevance","Content &amp; Category Relevance","Brand Personality Fit","Performance Quality","Brand Safety"},MATCH($Z$43,$T$43:$Y$43,0))</f>
        <v>Brand &amp; Business Relevance</v>
      </c>
    </row>
    <row r="44" spans="1:27">
      <c r="A44" s="57" t="str">
        <f>Matching_Engine!$B$44</f>
        <v>Lumaya Skin</v>
      </c>
      <c r="B44" s="57" t="str">
        <f>Matching_Engine!$D$44</f>
        <v>Gilang Prakoso</v>
      </c>
      <c r="C44" s="57" t="str">
        <f>Matching_Engine!$E$44</f>
        <v>@gilangbelajar</v>
      </c>
      <c r="D44" s="70" t="str">
        <f ca="1">Matching_Engine!$AY$44</f>
        <v/>
      </c>
      <c r="E44" s="57" t="str">
        <f>Matching_Engine!$AZ$44</f>
        <v>BRAND-B|KOL-09</v>
      </c>
      <c r="F44" s="57" t="str">
        <f ca="1">IF(NOT(ISNUMBER(Matching_Engine!$AY$44)),"Not scored: no component of the model had data for this account, so no match can be claimed either way.",Matching_Engine!$AZ$44&amp;" — "&amp;Matching_Engine!$AY$44&amp;"/100 against "&amp;Matching_Engine!$B$44&amp;". "&amp;"Strongest factor "&amp;$S$44&amp;" at "&amp;$R$44&amp;"; weakest "&amp;$AA$44&amp;" at "&amp;$Z$44&amp;". "&amp;IF(AND(ISTEXT(Matching_Engine!$G$44),Matching_Engine!$G$44&lt;&gt;"N/A"),"Tagged category "&amp;Matching_Engine!$G$44&amp;" scores "&amp;IF(ISNUMBER(Matching_Engine!$J$44),Matching_Engine!$J$44,0)&amp;" against the brand category "&amp;Matching_Engine!$B$44&amp;" targets. ","Creator carries no category on record, so the category-driven parts fall back to neutral rather than penalising the creator. ")&amp;IF(ISNUMBER(Matching_Engine!$R$44),"Audience-interest overlap "&amp;Matching_Engine!$R$44&amp;". ","Audience interests unmeasured. ")&amp;IF(Matching_Engine!$AX$44&lt;100,"Scored on "&amp;Matching_Engine!$AX$44&amp;" of the 100 nominal weight points; the rest had no data.",""))</f>
        <v>Not scored: no component of the model had data for this account, so no match can be claimed either way.</v>
      </c>
      <c r="G44" s="57" t="str">
        <f ca="1">IF(NOT(ISNUMBER(Matching_Engine!$AY$44)),"N/A",$S$44&amp;" ("&amp;$R$44&amp;"/100)")</f>
        <v>N/A</v>
      </c>
      <c r="H44" s="57" t="str">
        <f ca="1">IF(NOT(ISNUMBER(Matching_Engine!$AY$44)),"N/A",$AA$44&amp;" ("&amp;$Z$44&amp;"/100)")</f>
        <v>N/A</v>
      </c>
      <c r="I44" s="57" t="str">
        <f ca="1">IF(NOT(ISNUMBER(Matching_Engine!$AY$44)),"No data to consider: this account has no measured signal.",IF($Z$44&lt;Lookup_Lists!$D$161,$AA$44&amp;" sits at "&amp;$Z$44&amp;", below the "&amp;Lookup_Lists!$D$161&amp;"-point consideration threshold"&amp;IF(Matching_Engine!$AF$44=0," · Brand Personality Fit could not be scored at all: no creator personality, tone, values or content-style column exists","")&amp;IF(Matching_Engine!$AI$44="N/A"," · posting cadence unusable, so Consistency is excluded from Performance","")&amp;".","No component falls below the "&amp;Lookup_Lists!$D$161&amp;"-point consideration threshold."))</f>
        <v>No data to consider: this account has no measured signal.</v>
      </c>
      <c r="J44" s="57" t="str">
        <f ca="1">Matching_Engine!$AV$44&amp;" — "&amp;Matching_Engine!$AW$44&amp;IF(Matching_Engine!$BB$44="Limited Data"," Confidence is Limited Data: "&amp;Matching_Engine!$BA$44&amp;"% of tracked fields carry a value.","")</f>
        <v>EXCLUDED — Tier not in Preferred Tier</v>
      </c>
      <c r="K44" s="57" t="str">
        <f ca="1">IF(NOT(ISNUMBER(Matching_Engine!$AY$44)),"Do not shortlist on this data — re-scrape the account first.",IF(Matching_Engine!$AY$44&gt;=Lookup_Lists!$D$156,"Highly Recommended",IF(Matching_Engine!$AY$44&gt;=Lookup_Lists!$D$157,"Recommended",IF(Matching_Engine!$AY$44&gt;=Lookup_Lists!$D$158,"Consider","Low Priority")))&amp;IF(Matching_Engine!$AX$44&lt;100," (on partial data)",""))</f>
        <v>Do not shortlist on this data — re-scrape the account first.</v>
      </c>
      <c r="L44" s="71">
        <f>IF(ISNUMBER(Matching_Engine!$M$44),Matching_Engine!$M$44,-1)</f>
        <v>0</v>
      </c>
      <c r="M44" s="71">
        <f ca="1">IF(ISNUMBER(Matching_Engine!$S$44),Matching_Engine!$S$44,-1)</f>
        <v>63</v>
      </c>
      <c r="N44" s="71">
        <f>IF(ISNUMBER(Matching_Engine!$Y$44),Matching_Engine!$Y$44,-1)</f>
        <v>55</v>
      </c>
      <c r="O44" s="71">
        <f>IF(ISNUMBER(Matching_Engine!$AE$44),Matching_Engine!$AE$44,-1)</f>
        <v>86</v>
      </c>
      <c r="P44" s="71">
        <f>IF(ISNUMBER(Matching_Engine!$AM$44),Matching_Engine!$AM$44,-1)</f>
        <v>-1</v>
      </c>
      <c r="Q44" s="71">
        <f>IF(ISNUMBER(Matching_Engine!$AT$44),Matching_Engine!$AT$44,-1)</f>
        <v>30</v>
      </c>
      <c r="R44" s="71">
        <f ca="1">MAX($L$44:$Q$44)</f>
        <v>86</v>
      </c>
      <c r="S44" s="57" t="str">
        <f ca="1">INDEX({"Brand &amp; Business Relevance","Target Audience Relevance","Content &amp; Category Relevance","Brand Personality Fit","Performance Quality","Brand Safety"},MATCH($R$44,$L$44:$Q$44,0))</f>
        <v>Brand Personality Fit</v>
      </c>
      <c r="T44" s="71">
        <f>IF(ISNUMBER(Matching_Engine!$M$44),Matching_Engine!$M$44,999)</f>
        <v>0</v>
      </c>
      <c r="U44" s="71">
        <f ca="1">IF(ISNUMBER(Matching_Engine!$S$44),Matching_Engine!$S$44,999)</f>
        <v>63</v>
      </c>
      <c r="V44" s="71">
        <f>IF(ISNUMBER(Matching_Engine!$Y$44),Matching_Engine!$Y$44,999)</f>
        <v>55</v>
      </c>
      <c r="W44" s="71">
        <f>IF(ISNUMBER(Matching_Engine!$AE$44),Matching_Engine!$AE$44,999)</f>
        <v>86</v>
      </c>
      <c r="X44" s="71">
        <f>IF(ISNUMBER(Matching_Engine!$AM$44),Matching_Engine!$AM$44,999)</f>
        <v>999</v>
      </c>
      <c r="Y44" s="71">
        <f>IF(ISNUMBER(Matching_Engine!$AT$44),Matching_Engine!$AT$44,999)</f>
        <v>30</v>
      </c>
      <c r="Z44" s="71">
        <f ca="1">MIN($T$44:$Y$44)</f>
        <v>0</v>
      </c>
      <c r="AA44" s="57" t="str">
        <f ca="1">INDEX({"Brand &amp; Business Relevance","Target Audience Relevance","Content &amp; Category Relevance","Brand Personality Fit","Performance Quality","Brand Safety"},MATCH($Z$44,$T$44:$Y$44,0))</f>
        <v>Brand &amp; Business Relevance</v>
      </c>
    </row>
    <row r="45" spans="1:27">
      <c r="A45" s="57" t="str">
        <f>Matching_Engine!$B$45</f>
        <v>Lumaya Skin</v>
      </c>
      <c r="B45" s="57" t="str">
        <f>Matching_Engine!$D$45</f>
        <v>Mira Handayani</v>
      </c>
      <c r="C45" s="57" t="str">
        <f>Matching_Engine!$E$45</f>
        <v>@mirabahasa</v>
      </c>
      <c r="D45" s="70">
        <f ca="1">Matching_Engine!$AY$45</f>
        <v>50</v>
      </c>
      <c r="E45" s="57" t="str">
        <f>Matching_Engine!$AZ$45</f>
        <v>BRAND-B|KOL-10</v>
      </c>
      <c r="F45" s="57" t="str">
        <f ca="1">IF(NOT(ISNUMBER(Matching_Engine!$AY$45)),"Not scored: no component of the model had data for this account, so no match can be claimed either way.",Matching_Engine!$AZ$45&amp;" — "&amp;Matching_Engine!$AY$45&amp;"/100 against "&amp;Matching_Engine!$B$45&amp;". "&amp;"Strongest factor "&amp;$S$45&amp;" at "&amp;$R$45&amp;"; weakest "&amp;$AA$45&amp;" at "&amp;$Z$45&amp;". "&amp;IF(AND(ISTEXT(Matching_Engine!$G$45),Matching_Engine!$G$45&lt;&gt;"N/A"),"Tagged category "&amp;Matching_Engine!$G$45&amp;" scores "&amp;IF(ISNUMBER(Matching_Engine!$J$45),Matching_Engine!$J$45,0)&amp;" against the brand category "&amp;Matching_Engine!$B$45&amp;" targets. ","Creator carries no category on record, so the category-driven parts fall back to neutral rather than penalising the creator. ")&amp;IF(ISNUMBER(Matching_Engine!$R$45),"Audience-interest overlap "&amp;Matching_Engine!$R$45&amp;". ","Audience interests unmeasured. ")&amp;IF(Matching_Engine!$AX$45&lt;100,"Scored on "&amp;Matching_Engine!$AX$45&amp;" of the 100 nominal weight points; the rest had no data.",""))</f>
        <v>BRAND-B|KOL-10 — 50/100 against Lumaya Skin. Strongest factor Brand Personality Fit at 75; weakest Brand &amp; Business Relevance at 0. Tagged category Education scores 4,9 against the brand category Lumaya Skin targets. Audience-interest overlap 0. </v>
      </c>
      <c r="G45" s="57" t="str">
        <f ca="1">IF(NOT(ISNUMBER(Matching_Engine!$AY$45)),"N/A",$S$45&amp;" ("&amp;$R$45&amp;"/100)")</f>
        <v>Brand Personality Fit (75/100)</v>
      </c>
      <c r="H45" s="57" t="str">
        <f ca="1">IF(NOT(ISNUMBER(Matching_Engine!$AY$45)),"N/A",$AA$45&amp;" ("&amp;$Z$45&amp;"/100)")</f>
        <v>Brand &amp; Business Relevance (0/100)</v>
      </c>
      <c r="I45" s="57" t="str">
        <f ca="1">IF(NOT(ISNUMBER(Matching_Engine!$AY$45)),"No data to consider: this account has no measured signal.",IF($Z$45&lt;Lookup_Lists!$D$161,$AA$45&amp;" sits at "&amp;$Z$45&amp;", below the "&amp;Lookup_Lists!$D$161&amp;"-point consideration threshold"&amp;IF(Matching_Engine!$AF$45=0," · Brand Personality Fit could not be scored at all: no creator personality, tone, values or content-style column exists","")&amp;IF(Matching_Engine!$AI$45="N/A"," · posting cadence unusable, so Consistency is excluded from Performance","")&amp;".","No component falls below the "&amp;Lookup_Lists!$D$161&amp;"-point consideration threshold."))</f>
        <v>Brand &amp; Business Relevance sits at 0, below the 75-point consideration threshold.</v>
      </c>
      <c r="J45" s="57" t="str">
        <f ca="1">Matching_Engine!$AV$45&amp;" — "&amp;Matching_Engine!$AW$45&amp;IF(Matching_Engine!$BB$45="Limited Data"," Confidence is Limited Data: "&amp;Matching_Engine!$BA$45&amp;"% of tracked fields carry a value.","")</f>
        <v>PASS — </v>
      </c>
      <c r="K45" s="57" t="str">
        <f ca="1">IF(NOT(ISNUMBER(Matching_Engine!$AY$45)),"Do not shortlist on this data — re-scrape the account first.",IF(Matching_Engine!$AY$45&gt;=Lookup_Lists!$D$156,"Highly Recommended",IF(Matching_Engine!$AY$45&gt;=Lookup_Lists!$D$157,"Recommended",IF(Matching_Engine!$AY$45&gt;=Lookup_Lists!$D$158,"Consider","Low Priority")))&amp;IF(Matching_Engine!$AX$45&lt;100," (on partial data)",""))</f>
        <v>Low Priority</v>
      </c>
      <c r="L45" s="71">
        <f>IF(ISNUMBER(Matching_Engine!$M$45),Matching_Engine!$M$45,-1)</f>
        <v>0</v>
      </c>
      <c r="M45" s="71">
        <f ca="1">IF(ISNUMBER(Matching_Engine!$S$45),Matching_Engine!$S$45,-1)</f>
        <v>69</v>
      </c>
      <c r="N45" s="71">
        <f>IF(ISNUMBER(Matching_Engine!$Y$45),Matching_Engine!$Y$45,-1)</f>
        <v>55</v>
      </c>
      <c r="O45" s="71">
        <f>IF(ISNUMBER(Matching_Engine!$AE$45),Matching_Engine!$AE$45,-1)</f>
        <v>75</v>
      </c>
      <c r="P45" s="71">
        <f>IF(ISNUMBER(Matching_Engine!$AM$45),Matching_Engine!$AM$45,-1)</f>
        <v>-1</v>
      </c>
      <c r="Q45" s="71">
        <f>IF(ISNUMBER(Matching_Engine!$AT$45),Matching_Engine!$AT$45,-1)</f>
        <v>32</v>
      </c>
      <c r="R45" s="71">
        <f ca="1">MAX($L$45:$Q$45)</f>
        <v>75</v>
      </c>
      <c r="S45" s="57" t="str">
        <f ca="1">INDEX({"Brand &amp; Business Relevance","Target Audience Relevance","Content &amp; Category Relevance","Brand Personality Fit","Performance Quality","Brand Safety"},MATCH($R$45,$L$45:$Q$45,0))</f>
        <v>Brand Personality Fit</v>
      </c>
      <c r="T45" s="71">
        <f>IF(ISNUMBER(Matching_Engine!$M$45),Matching_Engine!$M$45,999)</f>
        <v>0</v>
      </c>
      <c r="U45" s="71">
        <f ca="1">IF(ISNUMBER(Matching_Engine!$S$45),Matching_Engine!$S$45,999)</f>
        <v>69</v>
      </c>
      <c r="V45" s="71">
        <f>IF(ISNUMBER(Matching_Engine!$Y$45),Matching_Engine!$Y$45,999)</f>
        <v>55</v>
      </c>
      <c r="W45" s="71">
        <f>IF(ISNUMBER(Matching_Engine!$AE$45),Matching_Engine!$AE$45,999)</f>
        <v>75</v>
      </c>
      <c r="X45" s="71">
        <f>IF(ISNUMBER(Matching_Engine!$AM$45),Matching_Engine!$AM$45,999)</f>
        <v>999</v>
      </c>
      <c r="Y45" s="71">
        <f>IF(ISNUMBER(Matching_Engine!$AT$45),Matching_Engine!$AT$45,999)</f>
        <v>32</v>
      </c>
      <c r="Z45" s="71">
        <f ca="1">MIN($T$45:$Y$45)</f>
        <v>0</v>
      </c>
      <c r="AA45" s="57" t="str">
        <f ca="1">INDEX({"Brand &amp; Business Relevance","Target Audience Relevance","Content &amp; Category Relevance","Brand Personality Fit","Performance Quality","Brand Safety"},MATCH($Z$45,$T$45:$Y$45,0))</f>
        <v>Brand &amp; Business Relevance</v>
      </c>
    </row>
    <row r="46" spans="1:27">
      <c r="A46" s="57" t="str">
        <f>Matching_Engine!$B$46</f>
        <v>Lumaya Skin</v>
      </c>
      <c r="B46" s="57" t="str">
        <f>Matching_Engine!$D$46</f>
        <v>Dimas Anggara</v>
      </c>
      <c r="C46" s="57" t="str">
        <f>Matching_Engine!$E$46</f>
        <v>@dimasfit</v>
      </c>
      <c r="D46" s="70" t="str">
        <f ca="1">Matching_Engine!$AY$46</f>
        <v/>
      </c>
      <c r="E46" s="57" t="str">
        <f>Matching_Engine!$AZ$46</f>
        <v>BRAND-B|KOL-11</v>
      </c>
      <c r="F46" s="57" t="str">
        <f ca="1">IF(NOT(ISNUMBER(Matching_Engine!$AY$46)),"Not scored: no component of the model had data for this account, so no match can be claimed either way.",Matching_Engine!$AZ$46&amp;" — "&amp;Matching_Engine!$AY$46&amp;"/100 against "&amp;Matching_Engine!$B$46&amp;". "&amp;"Strongest factor "&amp;$S$46&amp;" at "&amp;$R$46&amp;"; weakest "&amp;$AA$46&amp;" at "&amp;$Z$46&amp;". "&amp;IF(AND(ISTEXT(Matching_Engine!$G$46),Matching_Engine!$G$46&lt;&gt;"N/A"),"Tagged category "&amp;Matching_Engine!$G$46&amp;" scores "&amp;IF(ISNUMBER(Matching_Engine!$J$46),Matching_Engine!$J$46,0)&amp;" against the brand category "&amp;Matching_Engine!$B$46&amp;" targets. ","Creator carries no category on record, so the category-driven parts fall back to neutral rather than penalising the creator. ")&amp;IF(ISNUMBER(Matching_Engine!$R$46),"Audience-interest overlap "&amp;Matching_Engine!$R$46&amp;". ","Audience interests unmeasured. ")&amp;IF(Matching_Engine!$AX$46&lt;100,"Scored on "&amp;Matching_Engine!$AX$46&amp;" of the 100 nominal weight points; the rest had no data.",""))</f>
        <v>Not scored: no component of the model had data for this account, so no match can be claimed either way.</v>
      </c>
      <c r="G46" s="57" t="str">
        <f ca="1">IF(NOT(ISNUMBER(Matching_Engine!$AY$46)),"N/A",$S$46&amp;" ("&amp;$R$46&amp;"/100)")</f>
        <v>N/A</v>
      </c>
      <c r="H46" s="57" t="str">
        <f ca="1">IF(NOT(ISNUMBER(Matching_Engine!$AY$46)),"N/A",$AA$46&amp;" ("&amp;$Z$46&amp;"/100)")</f>
        <v>N/A</v>
      </c>
      <c r="I46" s="57" t="str">
        <f ca="1">IF(NOT(ISNUMBER(Matching_Engine!$AY$46)),"No data to consider: this account has no measured signal.",IF($Z$46&lt;Lookup_Lists!$D$161,$AA$46&amp;" sits at "&amp;$Z$46&amp;", below the "&amp;Lookup_Lists!$D$161&amp;"-point consideration threshold"&amp;IF(Matching_Engine!$AF$46=0," · Brand Personality Fit could not be scored at all: no creator personality, tone, values or content-style column exists","")&amp;IF(Matching_Engine!$AI$46="N/A"," · posting cadence unusable, so Consistency is excluded from Performance","")&amp;".","No component falls below the "&amp;Lookup_Lists!$D$161&amp;"-point consideration threshold."))</f>
        <v>No data to consider: this account has no measured signal.</v>
      </c>
      <c r="J46" s="57" t="str">
        <f ca="1">Matching_Engine!$AV$46&amp;" — "&amp;Matching_Engine!$AW$46&amp;IF(Matching_Engine!$BB$46="Limited Data"," Confidence is Limited Data: "&amp;Matching_Engine!$BA$46&amp;"% of tracked fields carry a value.","")</f>
        <v>EXCLUDED — Tier not in Preferred Tier</v>
      </c>
      <c r="K46" s="57" t="str">
        <f ca="1">IF(NOT(ISNUMBER(Matching_Engine!$AY$46)),"Do not shortlist on this data — re-scrape the account first.",IF(Matching_Engine!$AY$46&gt;=Lookup_Lists!$D$156,"Highly Recommended",IF(Matching_Engine!$AY$46&gt;=Lookup_Lists!$D$157,"Recommended",IF(Matching_Engine!$AY$46&gt;=Lookup_Lists!$D$158,"Consider","Low Priority")))&amp;IF(Matching_Engine!$AX$46&lt;100," (on partial data)",""))</f>
        <v>Do not shortlist on this data — re-scrape the account first.</v>
      </c>
      <c r="L46" s="71">
        <f>IF(ISNUMBER(Matching_Engine!$M$46),Matching_Engine!$M$46,-1)</f>
        <v>40</v>
      </c>
      <c r="M46" s="71">
        <f ca="1">IF(ISNUMBER(Matching_Engine!$S$46),Matching_Engine!$S$46,-1)</f>
        <v>69</v>
      </c>
      <c r="N46" s="71">
        <f>IF(ISNUMBER(Matching_Engine!$Y$46),Matching_Engine!$Y$46,-1)</f>
        <v>85</v>
      </c>
      <c r="O46" s="71">
        <f>IF(ISNUMBER(Matching_Engine!$AE$46),Matching_Engine!$AE$46,-1)</f>
        <v>61</v>
      </c>
      <c r="P46" s="71">
        <f>IF(ISNUMBER(Matching_Engine!$AM$46),Matching_Engine!$AM$46,-1)</f>
        <v>-1</v>
      </c>
      <c r="Q46" s="71">
        <f>IF(ISNUMBER(Matching_Engine!$AT$46),Matching_Engine!$AT$46,-1)</f>
        <v>57</v>
      </c>
      <c r="R46" s="71">
        <f ca="1">MAX($L$46:$Q$46)</f>
        <v>85</v>
      </c>
      <c r="S46" s="57" t="str">
        <f ca="1">INDEX({"Brand &amp; Business Relevance","Target Audience Relevance","Content &amp; Category Relevance","Brand Personality Fit","Performance Quality","Brand Safety"},MATCH($R$46,$L$46:$Q$46,0))</f>
        <v>Content &amp; Category Relevance</v>
      </c>
      <c r="T46" s="71">
        <f>IF(ISNUMBER(Matching_Engine!$M$46),Matching_Engine!$M$46,999)</f>
        <v>40</v>
      </c>
      <c r="U46" s="71">
        <f ca="1">IF(ISNUMBER(Matching_Engine!$S$46),Matching_Engine!$S$46,999)</f>
        <v>69</v>
      </c>
      <c r="V46" s="71">
        <f>IF(ISNUMBER(Matching_Engine!$Y$46),Matching_Engine!$Y$46,999)</f>
        <v>85</v>
      </c>
      <c r="W46" s="71">
        <f>IF(ISNUMBER(Matching_Engine!$AE$46),Matching_Engine!$AE$46,999)</f>
        <v>61</v>
      </c>
      <c r="X46" s="71">
        <f>IF(ISNUMBER(Matching_Engine!$AM$46),Matching_Engine!$AM$46,999)</f>
        <v>999</v>
      </c>
      <c r="Y46" s="71">
        <f>IF(ISNUMBER(Matching_Engine!$AT$46),Matching_Engine!$AT$46,999)</f>
        <v>57</v>
      </c>
      <c r="Z46" s="71">
        <f ca="1">MIN($T$46:$Y$46)</f>
        <v>40</v>
      </c>
      <c r="AA46" s="57" t="str">
        <f ca="1">INDEX({"Brand &amp; Business Relevance","Target Audience Relevance","Content &amp; Category Relevance","Brand Personality Fit","Performance Quality","Brand Safety"},MATCH($Z$46,$T$46:$Y$46,0))</f>
        <v>Brand &amp; Business Relevance</v>
      </c>
    </row>
    <row r="47" spans="1:27">
      <c r="A47" s="57" t="str">
        <f>Matching_Engine!$B$47</f>
        <v>Lumaya Skin</v>
      </c>
      <c r="B47" s="57" t="str">
        <f>Matching_Engine!$D$47</f>
        <v>Rani Kusuma</v>
      </c>
      <c r="C47" s="57" t="str">
        <f>Matching_Engine!$E$47</f>
        <v>@ranihomeworkout</v>
      </c>
      <c r="D47" s="70" t="str">
        <f ca="1">Matching_Engine!$AY$47</f>
        <v/>
      </c>
      <c r="E47" s="57" t="str">
        <f>Matching_Engine!$AZ$47</f>
        <v>BRAND-B|KOL-12</v>
      </c>
      <c r="F47" s="57" t="str">
        <f ca="1">IF(NOT(ISNUMBER(Matching_Engine!$AY$47)),"Not scored: no component of the model had data for this account, so no match can be claimed either way.",Matching_Engine!$AZ$47&amp;" — "&amp;Matching_Engine!$AY$47&amp;"/100 against "&amp;Matching_Engine!$B$47&amp;". "&amp;"Strongest factor "&amp;$S$47&amp;" at "&amp;$R$47&amp;"; weakest "&amp;$AA$47&amp;" at "&amp;$Z$47&amp;". "&amp;IF(AND(ISTEXT(Matching_Engine!$G$47),Matching_Engine!$G$47&lt;&gt;"N/A"),"Tagged category "&amp;Matching_Engine!$G$47&amp;" scores "&amp;IF(ISNUMBER(Matching_Engine!$J$47),Matching_Engine!$J$47,0)&amp;" against the brand category "&amp;Matching_Engine!$B$47&amp;" targets. ","Creator carries no category on record, so the category-driven parts fall back to neutral rather than penalising the creator. ")&amp;IF(ISNUMBER(Matching_Engine!$R$47),"Audience-interest overlap "&amp;Matching_Engine!$R$47&amp;". ","Audience interests unmeasured. ")&amp;IF(Matching_Engine!$AX$47&lt;100,"Scored on "&amp;Matching_Engine!$AX$47&amp;" of the 100 nominal weight points; the rest had no data.",""))</f>
        <v>Not scored: no component of the model had data for this account, so no match can be claimed either way.</v>
      </c>
      <c r="G47" s="57" t="str">
        <f ca="1">IF(NOT(ISNUMBER(Matching_Engine!$AY$47)),"N/A",$S$47&amp;" ("&amp;$R$47&amp;"/100)")</f>
        <v>N/A</v>
      </c>
      <c r="H47" s="57" t="str">
        <f ca="1">IF(NOT(ISNUMBER(Matching_Engine!$AY$47)),"N/A",$AA$47&amp;" ("&amp;$Z$47&amp;"/100)")</f>
        <v>N/A</v>
      </c>
      <c r="I47" s="57" t="str">
        <f ca="1">IF(NOT(ISNUMBER(Matching_Engine!$AY$47)),"No data to consider: this account has no measured signal.",IF($Z$47&lt;Lookup_Lists!$D$161,$AA$47&amp;" sits at "&amp;$Z$47&amp;", below the "&amp;Lookup_Lists!$D$161&amp;"-point consideration threshold"&amp;IF(Matching_Engine!$AF$47=0," · Brand Personality Fit could not be scored at all: no creator personality, tone, values or content-style column exists","")&amp;IF(Matching_Engine!$AI$47="N/A"," · posting cadence unusable, so Consistency is excluded from Performance","")&amp;".","No component falls below the "&amp;Lookup_Lists!$D$161&amp;"-point consideration threshold."))</f>
        <v>No data to consider: this account has no measured signal.</v>
      </c>
      <c r="J47" s="57" t="str">
        <f ca="1">Matching_Engine!$AV$47&amp;" — "&amp;Matching_Engine!$AW$47&amp;IF(Matching_Engine!$BB$47="Limited Data"," Confidence is Limited Data: "&amp;Matching_Engine!$BA$47&amp;"% of tracked fields carry a value.","")</f>
        <v>EXCLUDED — Tier not in Preferred Tier</v>
      </c>
      <c r="K47" s="57" t="str">
        <f ca="1">IF(NOT(ISNUMBER(Matching_Engine!$AY$47)),"Do not shortlist on this data — re-scrape the account first.",IF(Matching_Engine!$AY$47&gt;=Lookup_Lists!$D$156,"Highly Recommended",IF(Matching_Engine!$AY$47&gt;=Lookup_Lists!$D$157,"Recommended",IF(Matching_Engine!$AY$47&gt;=Lookup_Lists!$D$158,"Consider","Low Priority")))&amp;IF(Matching_Engine!$AX$47&lt;100," (on partial data)",""))</f>
        <v>Do not shortlist on this data — re-scrape the account first.</v>
      </c>
      <c r="L47" s="71">
        <f>IF(ISNUMBER(Matching_Engine!$M$47),Matching_Engine!$M$47,-1)</f>
        <v>40</v>
      </c>
      <c r="M47" s="71">
        <f ca="1">IF(ISNUMBER(Matching_Engine!$S$47),Matching_Engine!$S$47,-1)</f>
        <v>74</v>
      </c>
      <c r="N47" s="71">
        <f>IF(ISNUMBER(Matching_Engine!$Y$47),Matching_Engine!$Y$47,-1)</f>
        <v>65</v>
      </c>
      <c r="O47" s="71">
        <f>IF(ISNUMBER(Matching_Engine!$AE$47),Matching_Engine!$AE$47,-1)</f>
        <v>80</v>
      </c>
      <c r="P47" s="71">
        <f>IF(ISNUMBER(Matching_Engine!$AM$47),Matching_Engine!$AM$47,-1)</f>
        <v>-1</v>
      </c>
      <c r="Q47" s="71">
        <f>IF(ISNUMBER(Matching_Engine!$AT$47),Matching_Engine!$AT$47,-1)</f>
        <v>52</v>
      </c>
      <c r="R47" s="71">
        <f ca="1">MAX($L$47:$Q$47)</f>
        <v>80</v>
      </c>
      <c r="S47" s="57" t="str">
        <f ca="1">INDEX({"Brand &amp; Business Relevance","Target Audience Relevance","Content &amp; Category Relevance","Brand Personality Fit","Performance Quality","Brand Safety"},MATCH($R$47,$L$47:$Q$47,0))</f>
        <v>Brand Personality Fit</v>
      </c>
      <c r="T47" s="71">
        <f>IF(ISNUMBER(Matching_Engine!$M$47),Matching_Engine!$M$47,999)</f>
        <v>40</v>
      </c>
      <c r="U47" s="71">
        <f ca="1">IF(ISNUMBER(Matching_Engine!$S$47),Matching_Engine!$S$47,999)</f>
        <v>74</v>
      </c>
      <c r="V47" s="71">
        <f>IF(ISNUMBER(Matching_Engine!$Y$47),Matching_Engine!$Y$47,999)</f>
        <v>65</v>
      </c>
      <c r="W47" s="71">
        <f>IF(ISNUMBER(Matching_Engine!$AE$47),Matching_Engine!$AE$47,999)</f>
        <v>80</v>
      </c>
      <c r="X47" s="71">
        <f>IF(ISNUMBER(Matching_Engine!$AM$47),Matching_Engine!$AM$47,999)</f>
        <v>999</v>
      </c>
      <c r="Y47" s="71">
        <f>IF(ISNUMBER(Matching_Engine!$AT$47),Matching_Engine!$AT$47,999)</f>
        <v>52</v>
      </c>
      <c r="Z47" s="71">
        <f ca="1">MIN($T$47:$Y$47)</f>
        <v>40</v>
      </c>
      <c r="AA47" s="57" t="str">
        <f ca="1">INDEX({"Brand &amp; Business Relevance","Target Audience Relevance","Content &amp; Category Relevance","Brand Personality Fit","Performance Quality","Brand Safety"},MATCH($Z$47,$T$47:$Y$47,0))</f>
        <v>Brand &amp; Business Relevance</v>
      </c>
    </row>
    <row r="48" spans="1:27">
      <c r="A48" s="57" t="str">
        <f>Matching_Engine!$B$48</f>
        <v>Lumaya Skin</v>
      </c>
      <c r="B48" s="57" t="str">
        <f>Matching_Engine!$D$48</f>
        <v>Kevin Halim</v>
      </c>
      <c r="C48" s="57" t="str">
        <f>Matching_Engine!$E$48</f>
        <v>@kevinstyleid</v>
      </c>
      <c r="D48" s="70">
        <f ca="1">Matching_Engine!$AY$48</f>
        <v>69</v>
      </c>
      <c r="E48" s="57" t="str">
        <f>Matching_Engine!$AZ$48</f>
        <v>BRAND-B|KOL-13</v>
      </c>
      <c r="F48" s="57" t="str">
        <f ca="1">IF(NOT(ISNUMBER(Matching_Engine!$AY$48)),"Not scored: no component of the model had data for this account, so no match can be claimed either way.",Matching_Engine!$AZ$48&amp;" — "&amp;Matching_Engine!$AY$48&amp;"/100 against "&amp;Matching_Engine!$B$48&amp;". "&amp;"Strongest factor "&amp;$S$48&amp;" at "&amp;$R$48&amp;"; weakest "&amp;$AA$48&amp;" at "&amp;$Z$48&amp;". "&amp;IF(AND(ISTEXT(Matching_Engine!$G$48),Matching_Engine!$G$48&lt;&gt;"N/A"),"Tagged category "&amp;Matching_Engine!$G$48&amp;" scores "&amp;IF(ISNUMBER(Matching_Engine!$J$48),Matching_Engine!$J$48,0)&amp;" against the brand category "&amp;Matching_Engine!$B$48&amp;" targets. ","Creator carries no category on record, so the category-driven parts fall back to neutral rather than penalising the creator. ")&amp;IF(ISNUMBER(Matching_Engine!$R$48),"Audience-interest overlap "&amp;Matching_Engine!$R$48&amp;". ","Audience interests unmeasured. ")&amp;IF(Matching_Engine!$AX$48&lt;100,"Scored on "&amp;Matching_Engine!$AX$48&amp;" of the 100 nominal weight points; the rest had no data.",""))</f>
        <v>BRAND-B|KOL-13 — 69/100 against Lumaya Skin. Strongest factor Brand Personality Fit at 86; weakest Brand &amp; Business Relevance at 40. Tagged category Fashion scores 3,4 against the brand category Lumaya Skin targets. Audience-interest overlap 60. </v>
      </c>
      <c r="G48" s="57" t="str">
        <f ca="1">IF(NOT(ISNUMBER(Matching_Engine!$AY$48)),"N/A",$S$48&amp;" ("&amp;$R$48&amp;"/100)")</f>
        <v>Brand Personality Fit (86/100)</v>
      </c>
      <c r="H48" s="57" t="str">
        <f ca="1">IF(NOT(ISNUMBER(Matching_Engine!$AY$48)),"N/A",$AA$48&amp;" ("&amp;$Z$48&amp;"/100)")</f>
        <v>Brand &amp; Business Relevance (40/100)</v>
      </c>
      <c r="I48" s="57" t="str">
        <f ca="1">IF(NOT(ISNUMBER(Matching_Engine!$AY$48)),"No data to consider: this account has no measured signal.",IF($Z$48&lt;Lookup_Lists!$D$161,$AA$48&amp;" sits at "&amp;$Z$48&amp;", below the "&amp;Lookup_Lists!$D$161&amp;"-point consideration threshold"&amp;IF(Matching_Engine!$AF$48=0," · Brand Personality Fit could not be scored at all: no creator personality, tone, values or content-style column exists","")&amp;IF(Matching_Engine!$AI$48="N/A"," · posting cadence unusable, so Consistency is excluded from Performance","")&amp;".","No component falls below the "&amp;Lookup_Lists!$D$161&amp;"-point consideration threshold."))</f>
        <v>Brand &amp; Business Relevance sits at 40, below the 75-point consideration threshold.</v>
      </c>
      <c r="J48" s="57" t="str">
        <f ca="1">Matching_Engine!$AV$48&amp;" — "&amp;Matching_Engine!$AW$48&amp;IF(Matching_Engine!$BB$48="Limited Data"," Confidence is Limited Data: "&amp;Matching_Engine!$BA$48&amp;"% of tracked fields carry a value.","")</f>
        <v>PASS — </v>
      </c>
      <c r="K48" s="57" t="str">
        <f ca="1">IF(NOT(ISNUMBER(Matching_Engine!$AY$48)),"Do not shortlist on this data — re-scrape the account first.",IF(Matching_Engine!$AY$48&gt;=Lookup_Lists!$D$156,"Highly Recommended",IF(Matching_Engine!$AY$48&gt;=Lookup_Lists!$D$157,"Recommended",IF(Matching_Engine!$AY$48&gt;=Lookup_Lists!$D$158,"Consider","Low Priority")))&amp;IF(Matching_Engine!$AX$48&lt;100," (on partial data)",""))</f>
        <v>Consider</v>
      </c>
      <c r="L48" s="71">
        <f>IF(ISNUMBER(Matching_Engine!$M$48),Matching_Engine!$M$48,-1)</f>
        <v>40</v>
      </c>
      <c r="M48" s="71">
        <f ca="1">IF(ISNUMBER(Matching_Engine!$S$48),Matching_Engine!$S$48,-1)</f>
        <v>76</v>
      </c>
      <c r="N48" s="71">
        <f>IF(ISNUMBER(Matching_Engine!$Y$48),Matching_Engine!$Y$48,-1)</f>
        <v>65</v>
      </c>
      <c r="O48" s="71">
        <f>IF(ISNUMBER(Matching_Engine!$AE$48),Matching_Engine!$AE$48,-1)</f>
        <v>86</v>
      </c>
      <c r="P48" s="71">
        <f>IF(ISNUMBER(Matching_Engine!$AM$48),Matching_Engine!$AM$48,-1)</f>
        <v>-1</v>
      </c>
      <c r="Q48" s="71">
        <f>IF(ISNUMBER(Matching_Engine!$AT$48),Matching_Engine!$AT$48,-1)</f>
        <v>65</v>
      </c>
      <c r="R48" s="71">
        <f ca="1">MAX($L$48:$Q$48)</f>
        <v>86</v>
      </c>
      <c r="S48" s="57" t="str">
        <f ca="1">INDEX({"Brand &amp; Business Relevance","Target Audience Relevance","Content &amp; Category Relevance","Brand Personality Fit","Performance Quality","Brand Safety"},MATCH($R$48,$L$48:$Q$48,0))</f>
        <v>Brand Personality Fit</v>
      </c>
      <c r="T48" s="71">
        <f>IF(ISNUMBER(Matching_Engine!$M$48),Matching_Engine!$M$48,999)</f>
        <v>40</v>
      </c>
      <c r="U48" s="71">
        <f ca="1">IF(ISNUMBER(Matching_Engine!$S$48),Matching_Engine!$S$48,999)</f>
        <v>76</v>
      </c>
      <c r="V48" s="71">
        <f>IF(ISNUMBER(Matching_Engine!$Y$48),Matching_Engine!$Y$48,999)</f>
        <v>65</v>
      </c>
      <c r="W48" s="71">
        <f>IF(ISNUMBER(Matching_Engine!$AE$48),Matching_Engine!$AE$48,999)</f>
        <v>86</v>
      </c>
      <c r="X48" s="71">
        <f>IF(ISNUMBER(Matching_Engine!$AM$48),Matching_Engine!$AM$48,999)</f>
        <v>999</v>
      </c>
      <c r="Y48" s="71">
        <f>IF(ISNUMBER(Matching_Engine!$AT$48),Matching_Engine!$AT$48,999)</f>
        <v>65</v>
      </c>
      <c r="Z48" s="71">
        <f ca="1">MIN($T$48:$Y$48)</f>
        <v>40</v>
      </c>
      <c r="AA48" s="57" t="str">
        <f ca="1">INDEX({"Brand &amp; Business Relevance","Target Audience Relevance","Content &amp; Category Relevance","Brand Personality Fit","Performance Quality","Brand Safety"},MATCH($Z$48,$T$48:$Y$48,0))</f>
        <v>Brand &amp; Business Relevance</v>
      </c>
    </row>
    <row r="49" spans="1:27">
      <c r="A49" s="57" t="str">
        <f>Matching_Engine!$B$49</f>
        <v>Lumaya Skin</v>
      </c>
      <c r="B49" s="57" t="str">
        <f>Matching_Engine!$D$49</f>
        <v>Zahra Amelia</v>
      </c>
      <c r="C49" s="57" t="str">
        <f>Matching_Engine!$E$49</f>
        <v>@zahrahijabstyle</v>
      </c>
      <c r="D49" s="70" t="str">
        <f ca="1">Matching_Engine!$AY$49</f>
        <v/>
      </c>
      <c r="E49" s="57" t="str">
        <f>Matching_Engine!$AZ$49</f>
        <v>BRAND-B|KOL-14</v>
      </c>
      <c r="F49" s="57" t="str">
        <f ca="1">IF(NOT(ISNUMBER(Matching_Engine!$AY$49)),"Not scored: no component of the model had data for this account, so no match can be claimed either way.",Matching_Engine!$AZ$49&amp;" — "&amp;Matching_Engine!$AY$49&amp;"/100 against "&amp;Matching_Engine!$B$49&amp;". "&amp;"Strongest factor "&amp;$S$49&amp;" at "&amp;$R$49&amp;"; weakest "&amp;$AA$49&amp;" at "&amp;$Z$49&amp;". "&amp;IF(AND(ISTEXT(Matching_Engine!$G$49),Matching_Engine!$G$49&lt;&gt;"N/A"),"Tagged category "&amp;Matching_Engine!$G$49&amp;" scores "&amp;IF(ISNUMBER(Matching_Engine!$J$49),Matching_Engine!$J$49,0)&amp;" against the brand category "&amp;Matching_Engine!$B$49&amp;" targets. ","Creator carries no category on record, so the category-driven parts fall back to neutral rather than penalising the creator. ")&amp;IF(ISNUMBER(Matching_Engine!$R$49),"Audience-interest overlap "&amp;Matching_Engine!$R$49&amp;". ","Audience interests unmeasured. ")&amp;IF(Matching_Engine!$AX$49&lt;100,"Scored on "&amp;Matching_Engine!$AX$49&amp;" of the 100 nominal weight points; the rest had no data.",""))</f>
        <v>Not scored: no component of the model had data for this account, so no match can be claimed either way.</v>
      </c>
      <c r="G49" s="57" t="str">
        <f ca="1">IF(NOT(ISNUMBER(Matching_Engine!$AY$49)),"N/A",$S$49&amp;" ("&amp;$R$49&amp;"/100)")</f>
        <v>N/A</v>
      </c>
      <c r="H49" s="57" t="str">
        <f ca="1">IF(NOT(ISNUMBER(Matching_Engine!$AY$49)),"N/A",$AA$49&amp;" ("&amp;$Z$49&amp;"/100)")</f>
        <v>N/A</v>
      </c>
      <c r="I49" s="57" t="str">
        <f ca="1">IF(NOT(ISNUMBER(Matching_Engine!$AY$49)),"No data to consider: this account has no measured signal.",IF($Z$49&lt;Lookup_Lists!$D$161,$AA$49&amp;" sits at "&amp;$Z$49&amp;", below the "&amp;Lookup_Lists!$D$161&amp;"-point consideration threshold"&amp;IF(Matching_Engine!$AF$49=0," · Brand Personality Fit could not be scored at all: no creator personality, tone, values or content-style column exists","")&amp;IF(Matching_Engine!$AI$49="N/A"," · posting cadence unusable, so Consistency is excluded from Performance","")&amp;".","No component falls below the "&amp;Lookup_Lists!$D$161&amp;"-point consideration threshold."))</f>
        <v>No data to consider: this account has no measured signal.</v>
      </c>
      <c r="J49" s="57" t="str">
        <f ca="1">Matching_Engine!$AV$49&amp;" — "&amp;Matching_Engine!$AW$49&amp;IF(Matching_Engine!$BB$49="Limited Data"," Confidence is Limited Data: "&amp;Matching_Engine!$BA$49&amp;"% of tracked fields carry a value.","")</f>
        <v>EXCLUDED — Tier not in Preferred Tier</v>
      </c>
      <c r="K49" s="57" t="str">
        <f ca="1">IF(NOT(ISNUMBER(Matching_Engine!$AY$49)),"Do not shortlist on this data — re-scrape the account first.",IF(Matching_Engine!$AY$49&gt;=Lookup_Lists!$D$156,"Highly Recommended",IF(Matching_Engine!$AY$49&gt;=Lookup_Lists!$D$157,"Recommended",IF(Matching_Engine!$AY$49&gt;=Lookup_Lists!$D$158,"Consider","Low Priority")))&amp;IF(Matching_Engine!$AX$49&lt;100," (on partial data)",""))</f>
        <v>Do not shortlist on this data — re-scrape the account first.</v>
      </c>
      <c r="L49" s="71">
        <f>IF(ISNUMBER(Matching_Engine!$M$49),Matching_Engine!$M$49,-1)</f>
        <v>60</v>
      </c>
      <c r="M49" s="71">
        <f ca="1">IF(ISNUMBER(Matching_Engine!$S$49),Matching_Engine!$S$49,-1)</f>
        <v>90</v>
      </c>
      <c r="N49" s="71">
        <f>IF(ISNUMBER(Matching_Engine!$Y$49),Matching_Engine!$Y$49,-1)</f>
        <v>100</v>
      </c>
      <c r="O49" s="71">
        <f>IF(ISNUMBER(Matching_Engine!$AE$49),Matching_Engine!$AE$49,-1)</f>
        <v>62</v>
      </c>
      <c r="P49" s="71">
        <f>IF(ISNUMBER(Matching_Engine!$AM$49),Matching_Engine!$AM$49,-1)</f>
        <v>-1</v>
      </c>
      <c r="Q49" s="71">
        <f>IF(ISNUMBER(Matching_Engine!$AT$49),Matching_Engine!$AT$49,-1)</f>
        <v>74</v>
      </c>
      <c r="R49" s="71">
        <f ca="1">MAX($L$49:$Q$49)</f>
        <v>100</v>
      </c>
      <c r="S49" s="57" t="str">
        <f ca="1">INDEX({"Brand &amp; Business Relevance","Target Audience Relevance","Content &amp; Category Relevance","Brand Personality Fit","Performance Quality","Brand Safety"},MATCH($R$49,$L$49:$Q$49,0))</f>
        <v>Content &amp; Category Relevance</v>
      </c>
      <c r="T49" s="71">
        <f>IF(ISNUMBER(Matching_Engine!$M$49),Matching_Engine!$M$49,999)</f>
        <v>60</v>
      </c>
      <c r="U49" s="71">
        <f ca="1">IF(ISNUMBER(Matching_Engine!$S$49),Matching_Engine!$S$49,999)</f>
        <v>90</v>
      </c>
      <c r="V49" s="71">
        <f>IF(ISNUMBER(Matching_Engine!$Y$49),Matching_Engine!$Y$49,999)</f>
        <v>100</v>
      </c>
      <c r="W49" s="71">
        <f>IF(ISNUMBER(Matching_Engine!$AE$49),Matching_Engine!$AE$49,999)</f>
        <v>62</v>
      </c>
      <c r="X49" s="71">
        <f>IF(ISNUMBER(Matching_Engine!$AM$49),Matching_Engine!$AM$49,999)</f>
        <v>999</v>
      </c>
      <c r="Y49" s="71">
        <f>IF(ISNUMBER(Matching_Engine!$AT$49),Matching_Engine!$AT$49,999)</f>
        <v>74</v>
      </c>
      <c r="Z49" s="71">
        <f ca="1">MIN($T$49:$Y$49)</f>
        <v>60</v>
      </c>
      <c r="AA49" s="57" t="str">
        <f ca="1">INDEX({"Brand &amp; Business Relevance","Target Audience Relevance","Content &amp; Category Relevance","Brand Personality Fit","Performance Quality","Brand Safety"},MATCH($Z$49,$T$49:$Y$49,0))</f>
        <v>Brand &amp; Business Relevance</v>
      </c>
    </row>
    <row r="50" spans="1:27">
      <c r="A50" s="57" t="str">
        <f>Matching_Engine!$B$50</f>
        <v>Lumaya Skin</v>
      </c>
      <c r="B50" s="57" t="str">
        <f>Matching_Engine!$D$50</f>
        <v>Andini Rahma</v>
      </c>
      <c r="C50" s="57" t="str">
        <f>Matching_Engine!$E$50</f>
        <v>@andinidaily</v>
      </c>
      <c r="D50" s="70">
        <f ca="1">Matching_Engine!$AY$50</f>
        <v>71</v>
      </c>
      <c r="E50" s="57" t="str">
        <f>Matching_Engine!$AZ$50</f>
        <v>BRAND-B|KOL-15</v>
      </c>
      <c r="F50" s="57" t="str">
        <f ca="1">IF(NOT(ISNUMBER(Matching_Engine!$AY$50)),"Not scored: no component of the model had data for this account, so no match can be claimed either way.",Matching_Engine!$AZ$50&amp;" — "&amp;Matching_Engine!$AY$50&amp;"/100 against "&amp;Matching_Engine!$B$50&amp;". "&amp;"Strongest factor "&amp;$S$50&amp;" at "&amp;$R$50&amp;"; weakest "&amp;$AA$50&amp;" at "&amp;$Z$50&amp;". "&amp;IF(AND(ISTEXT(Matching_Engine!$G$50),Matching_Engine!$G$50&lt;&gt;"N/A"),"Tagged category "&amp;Matching_Engine!$G$50&amp;" scores "&amp;IF(ISNUMBER(Matching_Engine!$J$50),Matching_Engine!$J$50,0)&amp;" against the brand category "&amp;Matching_Engine!$B$50&amp;" targets. ","Creator carries no category on record, so the category-driven parts fall back to neutral rather than penalising the creator. ")&amp;IF(ISNUMBER(Matching_Engine!$R$50),"Audience-interest overlap "&amp;Matching_Engine!$R$50&amp;". ","Audience interests unmeasured. ")&amp;IF(Matching_Engine!$AX$50&lt;100,"Scored on "&amp;Matching_Engine!$AX$50&amp;" of the 100 nominal weight points; the rest had no data.",""))</f>
        <v>BRAND-B|KOL-15 — 71/100 against Lumaya Skin. Strongest factor Target Audience Relevance at 90; weakest Content &amp; Category Relevance at 35. Tagged category Lifestyle scores 5,8 against the brand category Lumaya Skin targets. Audience-interest overlap 60. </v>
      </c>
      <c r="G50" s="57" t="str">
        <f ca="1">IF(NOT(ISNUMBER(Matching_Engine!$AY$50)),"N/A",$S$50&amp;" ("&amp;$R$50&amp;"/100)")</f>
        <v>Target Audience Relevance (90/100)</v>
      </c>
      <c r="H50" s="57" t="str">
        <f ca="1">IF(NOT(ISNUMBER(Matching_Engine!$AY$50)),"N/A",$AA$50&amp;" ("&amp;$Z$50&amp;"/100)")</f>
        <v>Content &amp; Category Relevance (35/100)</v>
      </c>
      <c r="I50" s="57" t="str">
        <f ca="1">IF(NOT(ISNUMBER(Matching_Engine!$AY$50)),"No data to consider: this account has no measured signal.",IF($Z$50&lt;Lookup_Lists!$D$161,$AA$50&amp;" sits at "&amp;$Z$50&amp;", below the "&amp;Lookup_Lists!$D$161&amp;"-point consideration threshold"&amp;IF(Matching_Engine!$AF$50=0," · Brand Personality Fit could not be scored at all: no creator personality, tone, values or content-style column exists","")&amp;IF(Matching_Engine!$AI$50="N/A"," · posting cadence unusable, so Consistency is excluded from Performance","")&amp;".","No component falls below the "&amp;Lookup_Lists!$D$161&amp;"-point consideration threshold."))</f>
        <v>Content &amp; Category Relevance sits at 35, below the 75-point consideration threshold.</v>
      </c>
      <c r="J50" s="57" t="str">
        <f ca="1">Matching_Engine!$AV$50&amp;" — "&amp;Matching_Engine!$AW$50&amp;IF(Matching_Engine!$BB$50="Limited Data"," Confidence is Limited Data: "&amp;Matching_Engine!$BA$50&amp;"% of tracked fields carry a value.","")</f>
        <v>PASS — </v>
      </c>
      <c r="K50" s="57" t="str">
        <f ca="1">IF(NOT(ISNUMBER(Matching_Engine!$AY$50)),"Do not shortlist on this data — re-scrape the account first.",IF(Matching_Engine!$AY$50&gt;=Lookup_Lists!$D$156,"Highly Recommended",IF(Matching_Engine!$AY$50&gt;=Lookup_Lists!$D$157,"Recommended",IF(Matching_Engine!$AY$50&gt;=Lookup_Lists!$D$158,"Consider","Low Priority")))&amp;IF(Matching_Engine!$AX$50&lt;100," (on partial data)",""))</f>
        <v>Consider</v>
      </c>
      <c r="L50" s="71">
        <f>IF(ISNUMBER(Matching_Engine!$M$50),Matching_Engine!$M$50,-1)</f>
        <v>40</v>
      </c>
      <c r="M50" s="71">
        <f ca="1">IF(ISNUMBER(Matching_Engine!$S$50),Matching_Engine!$S$50,-1)</f>
        <v>90</v>
      </c>
      <c r="N50" s="71">
        <f>IF(ISNUMBER(Matching_Engine!$Y$50),Matching_Engine!$Y$50,-1)</f>
        <v>35</v>
      </c>
      <c r="O50" s="71">
        <f>IF(ISNUMBER(Matching_Engine!$AE$50),Matching_Engine!$AE$50,-1)</f>
        <v>79</v>
      </c>
      <c r="P50" s="71">
        <f>IF(ISNUMBER(Matching_Engine!$AM$50),Matching_Engine!$AM$50,-1)</f>
        <v>-1</v>
      </c>
      <c r="Q50" s="71">
        <f>IF(ISNUMBER(Matching_Engine!$AT$50),Matching_Engine!$AT$50,-1)</f>
        <v>55</v>
      </c>
      <c r="R50" s="71">
        <f ca="1">MAX($L$50:$Q$50)</f>
        <v>90</v>
      </c>
      <c r="S50" s="57" t="str">
        <f ca="1">INDEX({"Brand &amp; Business Relevance","Target Audience Relevance","Content &amp; Category Relevance","Brand Personality Fit","Performance Quality","Brand Safety"},MATCH($R$50,$L$50:$Q$50,0))</f>
        <v>Target Audience Relevance</v>
      </c>
      <c r="T50" s="71">
        <f>IF(ISNUMBER(Matching_Engine!$M$50),Matching_Engine!$M$50,999)</f>
        <v>40</v>
      </c>
      <c r="U50" s="71">
        <f ca="1">IF(ISNUMBER(Matching_Engine!$S$50),Matching_Engine!$S$50,999)</f>
        <v>90</v>
      </c>
      <c r="V50" s="71">
        <f>IF(ISNUMBER(Matching_Engine!$Y$50),Matching_Engine!$Y$50,999)</f>
        <v>35</v>
      </c>
      <c r="W50" s="71">
        <f>IF(ISNUMBER(Matching_Engine!$AE$50),Matching_Engine!$AE$50,999)</f>
        <v>79</v>
      </c>
      <c r="X50" s="71">
        <f>IF(ISNUMBER(Matching_Engine!$AM$50),Matching_Engine!$AM$50,999)</f>
        <v>999</v>
      </c>
      <c r="Y50" s="71">
        <f>IF(ISNUMBER(Matching_Engine!$AT$50),Matching_Engine!$AT$50,999)</f>
        <v>55</v>
      </c>
      <c r="Z50" s="71">
        <f ca="1">MIN($T$50:$Y$50)</f>
        <v>35</v>
      </c>
      <c r="AA50" s="57" t="str">
        <f ca="1">INDEX({"Brand &amp; Business Relevance","Target Audience Relevance","Content &amp; Category Relevance","Brand Personality Fit","Performance Quality","Brand Safety"},MATCH($Z$50,$T$50:$Y$50,0))</f>
        <v>Content &amp; Category Relevance</v>
      </c>
    </row>
    <row r="51" spans="1:27">
      <c r="A51" s="57" t="str">
        <f>Matching_Engine!$B$51</f>
        <v>Lumaya Skin</v>
      </c>
      <c r="B51" s="57" t="str">
        <f>Matching_Engine!$D$51</f>
        <v>Yoga Pratama</v>
      </c>
      <c r="C51" s="57" t="str">
        <f>Matching_Engine!$E$51</f>
        <v>@yogaminimal</v>
      </c>
      <c r="D51" s="70" t="str">
        <f ca="1">Matching_Engine!$AY$51</f>
        <v/>
      </c>
      <c r="E51" s="57" t="str">
        <f>Matching_Engine!$AZ$51</f>
        <v>BRAND-B|KOL-16</v>
      </c>
      <c r="F51" s="57" t="str">
        <f ca="1">IF(NOT(ISNUMBER(Matching_Engine!$AY$51)),"Not scored: no component of the model had data for this account, so no match can be claimed either way.",Matching_Engine!$AZ$51&amp;" — "&amp;Matching_Engine!$AY$51&amp;"/100 against "&amp;Matching_Engine!$B$51&amp;". "&amp;"Strongest factor "&amp;$S$51&amp;" at "&amp;$R$51&amp;"; weakest "&amp;$AA$51&amp;" at "&amp;$Z$51&amp;". "&amp;IF(AND(ISTEXT(Matching_Engine!$G$51),Matching_Engine!$G$51&lt;&gt;"N/A"),"Tagged category "&amp;Matching_Engine!$G$51&amp;" scores "&amp;IF(ISNUMBER(Matching_Engine!$J$51),Matching_Engine!$J$51,0)&amp;" against the brand category "&amp;Matching_Engine!$B$51&amp;" targets. ","Creator carries no category on record, so the category-driven parts fall back to neutral rather than penalising the creator. ")&amp;IF(ISNUMBER(Matching_Engine!$R$51),"Audience-interest overlap "&amp;Matching_Engine!$R$51&amp;". ","Audience interests unmeasured. ")&amp;IF(Matching_Engine!$AX$51&lt;100,"Scored on "&amp;Matching_Engine!$AX$51&amp;" of the 100 nominal weight points; the rest had no data.",""))</f>
        <v>Not scored: no component of the model had data for this account, so no match can be claimed either way.</v>
      </c>
      <c r="G51" s="57" t="str">
        <f ca="1">IF(NOT(ISNUMBER(Matching_Engine!$AY$51)),"N/A",$S$51&amp;" ("&amp;$R$51&amp;"/100)")</f>
        <v>N/A</v>
      </c>
      <c r="H51" s="57" t="str">
        <f ca="1">IF(NOT(ISNUMBER(Matching_Engine!$AY$51)),"N/A",$AA$51&amp;" ("&amp;$Z$51&amp;"/100)")</f>
        <v>N/A</v>
      </c>
      <c r="I51" s="57" t="str">
        <f ca="1">IF(NOT(ISNUMBER(Matching_Engine!$AY$51)),"No data to consider: this account has no measured signal.",IF($Z$51&lt;Lookup_Lists!$D$161,$AA$51&amp;" sits at "&amp;$Z$51&amp;", below the "&amp;Lookup_Lists!$D$161&amp;"-point consideration threshold"&amp;IF(Matching_Engine!$AF$51=0," · Brand Personality Fit could not be scored at all: no creator personality, tone, values or content-style column exists","")&amp;IF(Matching_Engine!$AI$51="N/A"," · posting cadence unusable, so Consistency is excluded from Performance","")&amp;".","No component falls below the "&amp;Lookup_Lists!$D$161&amp;"-point consideration threshold."))</f>
        <v>No data to consider: this account has no measured signal.</v>
      </c>
      <c r="J51" s="57" t="str">
        <f ca="1">Matching_Engine!$AV$51&amp;" — "&amp;Matching_Engine!$AW$51&amp;IF(Matching_Engine!$BB$51="Limited Data"," Confidence is Limited Data: "&amp;Matching_Engine!$BA$51&amp;"% of tracked fields carry a value.","")</f>
        <v>EXCLUDED — Tier not in Preferred Tier</v>
      </c>
      <c r="K51" s="57" t="str">
        <f ca="1">IF(NOT(ISNUMBER(Matching_Engine!$AY$51)),"Do not shortlist on this data — re-scrape the account first.",IF(Matching_Engine!$AY$51&gt;=Lookup_Lists!$D$156,"Highly Recommended",IF(Matching_Engine!$AY$51&gt;=Lookup_Lists!$D$157,"Recommended",IF(Matching_Engine!$AY$51&gt;=Lookup_Lists!$D$158,"Consider","Low Priority")))&amp;IF(Matching_Engine!$AX$51&lt;100," (on partial data)",""))</f>
        <v>Do not shortlist on this data — re-scrape the account first.</v>
      </c>
      <c r="L51" s="71">
        <f>IF(ISNUMBER(Matching_Engine!$M$51),Matching_Engine!$M$51,-1)</f>
        <v>20</v>
      </c>
      <c r="M51" s="71">
        <f ca="1">IF(ISNUMBER(Matching_Engine!$S$51),Matching_Engine!$S$51,-1)</f>
        <v>63</v>
      </c>
      <c r="N51" s="71">
        <f>IF(ISNUMBER(Matching_Engine!$Y$51),Matching_Engine!$Y$51,-1)</f>
        <v>65</v>
      </c>
      <c r="O51" s="71">
        <f>IF(ISNUMBER(Matching_Engine!$AE$51),Matching_Engine!$AE$51,-1)</f>
        <v>72</v>
      </c>
      <c r="P51" s="71">
        <f>IF(ISNUMBER(Matching_Engine!$AM$51),Matching_Engine!$AM$51,-1)</f>
        <v>-1</v>
      </c>
      <c r="Q51" s="71">
        <f>IF(ISNUMBER(Matching_Engine!$AT$51),Matching_Engine!$AT$51,-1)</f>
        <v>58</v>
      </c>
      <c r="R51" s="71">
        <f ca="1">MAX($L$51:$Q$51)</f>
        <v>72</v>
      </c>
      <c r="S51" s="57" t="str">
        <f ca="1">INDEX({"Brand &amp; Business Relevance","Target Audience Relevance","Content &amp; Category Relevance","Brand Personality Fit","Performance Quality","Brand Safety"},MATCH($R$51,$L$51:$Q$51,0))</f>
        <v>Brand Personality Fit</v>
      </c>
      <c r="T51" s="71">
        <f>IF(ISNUMBER(Matching_Engine!$M$51),Matching_Engine!$M$51,999)</f>
        <v>20</v>
      </c>
      <c r="U51" s="71">
        <f ca="1">IF(ISNUMBER(Matching_Engine!$S$51),Matching_Engine!$S$51,999)</f>
        <v>63</v>
      </c>
      <c r="V51" s="71">
        <f>IF(ISNUMBER(Matching_Engine!$Y$51),Matching_Engine!$Y$51,999)</f>
        <v>65</v>
      </c>
      <c r="W51" s="71">
        <f>IF(ISNUMBER(Matching_Engine!$AE$51),Matching_Engine!$AE$51,999)</f>
        <v>72</v>
      </c>
      <c r="X51" s="71">
        <f>IF(ISNUMBER(Matching_Engine!$AM$51),Matching_Engine!$AM$51,999)</f>
        <v>999</v>
      </c>
      <c r="Y51" s="71">
        <f>IF(ISNUMBER(Matching_Engine!$AT$51),Matching_Engine!$AT$51,999)</f>
        <v>58</v>
      </c>
      <c r="Z51" s="71">
        <f ca="1">MIN($T$51:$Y$51)</f>
        <v>20</v>
      </c>
      <c r="AA51" s="57" t="str">
        <f ca="1">INDEX({"Brand &amp; Business Relevance","Target Audience Relevance","Content &amp; Category Relevance","Brand Personality Fit","Performance Quality","Brand Safety"},MATCH($Z$51,$T$51:$Y$51,0))</f>
        <v>Brand &amp; Business Relevance</v>
      </c>
    </row>
    <row r="52" spans="1:27">
      <c r="A52" s="57" t="str">
        <f>Matching_Engine!$B$52</f>
        <v>Lumaya Skin</v>
      </c>
      <c r="B52" s="57" t="str">
        <f>Matching_Engine!$D$52</f>
        <v>Sinta Maharani</v>
      </c>
      <c r="C52" s="57" t="str">
        <f>Matching_Engine!$E$52</f>
        <v>@sintajalanjalan</v>
      </c>
      <c r="D52" s="70" t="str">
        <f ca="1">Matching_Engine!$AY$52</f>
        <v/>
      </c>
      <c r="E52" s="57" t="str">
        <f>Matching_Engine!$AZ$52</f>
        <v>BRAND-B|KOL-17</v>
      </c>
      <c r="F52" s="57" t="str">
        <f ca="1">IF(NOT(ISNUMBER(Matching_Engine!$AY$52)),"Not scored: no component of the model had data for this account, so no match can be claimed either way.",Matching_Engine!$AZ$52&amp;" — "&amp;Matching_Engine!$AY$52&amp;"/100 against "&amp;Matching_Engine!$B$52&amp;". "&amp;"Strongest factor "&amp;$S$52&amp;" at "&amp;$R$52&amp;"; weakest "&amp;$AA$52&amp;" at "&amp;$Z$52&amp;". "&amp;IF(AND(ISTEXT(Matching_Engine!$G$52),Matching_Engine!$G$52&lt;&gt;"N/A"),"Tagged category "&amp;Matching_Engine!$G$52&amp;" scores "&amp;IF(ISNUMBER(Matching_Engine!$J$52),Matching_Engine!$J$52,0)&amp;" against the brand category "&amp;Matching_Engine!$B$52&amp;" targets. ","Creator carries no category on record, so the category-driven parts fall back to neutral rather than penalising the creator. ")&amp;IF(ISNUMBER(Matching_Engine!$R$52),"Audience-interest overlap "&amp;Matching_Engine!$R$52&amp;". ","Audience interests unmeasured. ")&amp;IF(Matching_Engine!$AX$52&lt;100,"Scored on "&amp;Matching_Engine!$AX$52&amp;" of the 100 nominal weight points; the rest had no data.",""))</f>
        <v>Not scored: no component of the model had data for this account, so no match can be claimed either way.</v>
      </c>
      <c r="G52" s="57" t="str">
        <f ca="1">IF(NOT(ISNUMBER(Matching_Engine!$AY$52)),"N/A",$S$52&amp;" ("&amp;$R$52&amp;"/100)")</f>
        <v>N/A</v>
      </c>
      <c r="H52" s="57" t="str">
        <f ca="1">IF(NOT(ISNUMBER(Matching_Engine!$AY$52)),"N/A",$AA$52&amp;" ("&amp;$Z$52&amp;"/100)")</f>
        <v>N/A</v>
      </c>
      <c r="I52" s="57" t="str">
        <f ca="1">IF(NOT(ISNUMBER(Matching_Engine!$AY$52)),"No data to consider: this account has no measured signal.",IF($Z$52&lt;Lookup_Lists!$D$161,$AA$52&amp;" sits at "&amp;$Z$52&amp;", below the "&amp;Lookup_Lists!$D$161&amp;"-point consideration threshold"&amp;IF(Matching_Engine!$AF$52=0," · Brand Personality Fit could not be scored at all: no creator personality, tone, values or content-style column exists","")&amp;IF(Matching_Engine!$AI$52="N/A"," · posting cadence unusable, so Consistency is excluded from Performance","")&amp;".","No component falls below the "&amp;Lookup_Lists!$D$161&amp;"-point consideration threshold."))</f>
        <v>No data to consider: this account has no measured signal.</v>
      </c>
      <c r="J52" s="57" t="str">
        <f ca="1">Matching_Engine!$AV$52&amp;" — "&amp;Matching_Engine!$AW$52&amp;IF(Matching_Engine!$BB$52="Limited Data"," Confidence is Limited Data: "&amp;Matching_Engine!$BA$52&amp;"% of tracked fields carry a value.","")</f>
        <v>EXCLUDED — Tier not in Preferred Tier</v>
      </c>
      <c r="K52" s="57" t="str">
        <f ca="1">IF(NOT(ISNUMBER(Matching_Engine!$AY$52)),"Do not shortlist on this data — re-scrape the account first.",IF(Matching_Engine!$AY$52&gt;=Lookup_Lists!$D$156,"Highly Recommended",IF(Matching_Engine!$AY$52&gt;=Lookup_Lists!$D$157,"Recommended",IF(Matching_Engine!$AY$52&gt;=Lookup_Lists!$D$158,"Consider","Low Priority")))&amp;IF(Matching_Engine!$AX$52&lt;100," (on partial data)",""))</f>
        <v>Do not shortlist on this data — re-scrape the account first.</v>
      </c>
      <c r="L52" s="71">
        <f>IF(ISNUMBER(Matching_Engine!$M$52),Matching_Engine!$M$52,-1)</f>
        <v>20</v>
      </c>
      <c r="M52" s="71">
        <f ca="1">IF(ISNUMBER(Matching_Engine!$S$52),Matching_Engine!$S$52,-1)</f>
        <v>79</v>
      </c>
      <c r="N52" s="71">
        <f>IF(ISNUMBER(Matching_Engine!$Y$52),Matching_Engine!$Y$52,-1)</f>
        <v>100</v>
      </c>
      <c r="O52" s="71">
        <f>IF(ISNUMBER(Matching_Engine!$AE$52),Matching_Engine!$AE$52,-1)</f>
        <v>79</v>
      </c>
      <c r="P52" s="71">
        <f>IF(ISNUMBER(Matching_Engine!$AM$52),Matching_Engine!$AM$52,-1)</f>
        <v>-1</v>
      </c>
      <c r="Q52" s="71">
        <f>IF(ISNUMBER(Matching_Engine!$AT$52),Matching_Engine!$AT$52,-1)</f>
        <v>53</v>
      </c>
      <c r="R52" s="71">
        <f ca="1">MAX($L$52:$Q$52)</f>
        <v>100</v>
      </c>
      <c r="S52" s="57" t="str">
        <f ca="1">INDEX({"Brand &amp; Business Relevance","Target Audience Relevance","Content &amp; Category Relevance","Brand Personality Fit","Performance Quality","Brand Safety"},MATCH($R$52,$L$52:$Q$52,0))</f>
        <v>Content &amp; Category Relevance</v>
      </c>
      <c r="T52" s="71">
        <f>IF(ISNUMBER(Matching_Engine!$M$52),Matching_Engine!$M$52,999)</f>
        <v>20</v>
      </c>
      <c r="U52" s="71">
        <f ca="1">IF(ISNUMBER(Matching_Engine!$S$52),Matching_Engine!$S$52,999)</f>
        <v>79</v>
      </c>
      <c r="V52" s="71">
        <f>IF(ISNUMBER(Matching_Engine!$Y$52),Matching_Engine!$Y$52,999)</f>
        <v>100</v>
      </c>
      <c r="W52" s="71">
        <f>IF(ISNUMBER(Matching_Engine!$AE$52),Matching_Engine!$AE$52,999)</f>
        <v>79</v>
      </c>
      <c r="X52" s="71">
        <f>IF(ISNUMBER(Matching_Engine!$AM$52),Matching_Engine!$AM$52,999)</f>
        <v>999</v>
      </c>
      <c r="Y52" s="71">
        <f>IF(ISNUMBER(Matching_Engine!$AT$52),Matching_Engine!$AT$52,999)</f>
        <v>53</v>
      </c>
      <c r="Z52" s="71">
        <f ca="1">MIN($T$52:$Y$52)</f>
        <v>20</v>
      </c>
      <c r="AA52" s="57" t="str">
        <f ca="1">INDEX({"Brand &amp; Business Relevance","Target Audience Relevance","Content &amp; Category Relevance","Brand Personality Fit","Performance Quality","Brand Safety"},MATCH($Z$52,$T$52:$Y$52,0))</f>
        <v>Brand &amp; Business Relevance</v>
      </c>
    </row>
    <row r="53" spans="1:27">
      <c r="A53" s="57" t="str">
        <f>Matching_Engine!$B$53</f>
        <v>Lumaya Skin</v>
      </c>
      <c r="B53" s="57" t="str">
        <f>Matching_Engine!$D$53</f>
        <v>Reza Fadillah</v>
      </c>
      <c r="C53" s="57" t="str">
        <f>Matching_Engine!$E$53</f>
        <v>@rezabudgettrip</v>
      </c>
      <c r="D53" s="70">
        <f ca="1">Matching_Engine!$AY$53</f>
        <v>56</v>
      </c>
      <c r="E53" s="57" t="str">
        <f>Matching_Engine!$AZ$53</f>
        <v>BRAND-B|KOL-18</v>
      </c>
      <c r="F53" s="57" t="str">
        <f ca="1">IF(NOT(ISNUMBER(Matching_Engine!$AY$53)),"Not scored: no component of the model had data for this account, so no match can be claimed either way.",Matching_Engine!$AZ$53&amp;" — "&amp;Matching_Engine!$AY$53&amp;"/100 against "&amp;Matching_Engine!$B$53&amp;". "&amp;"Strongest factor "&amp;$S$53&amp;" at "&amp;$R$53&amp;"; weakest "&amp;$AA$53&amp;" at "&amp;$Z$53&amp;". "&amp;IF(AND(ISTEXT(Matching_Engine!$G$53),Matching_Engine!$G$53&lt;&gt;"N/A"),"Tagged category "&amp;Matching_Engine!$G$53&amp;" scores "&amp;IF(ISNUMBER(Matching_Engine!$J$53),Matching_Engine!$J$53,0)&amp;" against the brand category "&amp;Matching_Engine!$B$53&amp;" targets. ","Creator carries no category on record, so the category-driven parts fall back to neutral rather than penalising the creator. ")&amp;IF(ISNUMBER(Matching_Engine!$R$53),"Audience-interest overlap "&amp;Matching_Engine!$R$53&amp;". ","Audience interests unmeasured. ")&amp;IF(Matching_Engine!$AX$53&lt;100,"Scored on "&amp;Matching_Engine!$AX$53&amp;" of the 100 nominal weight points; the rest had no data.",""))</f>
        <v>BRAND-B|KOL-18 — 56/100 against Lumaya Skin. Strongest factor Brand Personality Fit at 82; weakest Brand &amp; Business Relevance at 20. Tagged category Travel scores 6,9 against the brand category Lumaya Skin targets. Audience-interest overlap 20. </v>
      </c>
      <c r="G53" s="57" t="str">
        <f ca="1">IF(NOT(ISNUMBER(Matching_Engine!$AY$53)),"N/A",$S$53&amp;" ("&amp;$R$53&amp;"/100)")</f>
        <v>Brand Personality Fit (82/100)</v>
      </c>
      <c r="H53" s="57" t="str">
        <f ca="1">IF(NOT(ISNUMBER(Matching_Engine!$AY$53)),"N/A",$AA$53&amp;" ("&amp;$Z$53&amp;"/100)")</f>
        <v>Brand &amp; Business Relevance (20/100)</v>
      </c>
      <c r="I53" s="57" t="str">
        <f ca="1">IF(NOT(ISNUMBER(Matching_Engine!$AY$53)),"No data to consider: this account has no measured signal.",IF($Z$53&lt;Lookup_Lists!$D$161,$AA$53&amp;" sits at "&amp;$Z$53&amp;", below the "&amp;Lookup_Lists!$D$161&amp;"-point consideration threshold"&amp;IF(Matching_Engine!$AF$53=0," · Brand Personality Fit could not be scored at all: no creator personality, tone, values or content-style column exists","")&amp;IF(Matching_Engine!$AI$53="N/A"," · posting cadence unusable, so Consistency is excluded from Performance","")&amp;".","No component falls below the "&amp;Lookup_Lists!$D$161&amp;"-point consideration threshold."))</f>
        <v>Brand &amp; Business Relevance sits at 20, below the 75-point consideration threshold.</v>
      </c>
      <c r="J53" s="57" t="str">
        <f ca="1">Matching_Engine!$AV$53&amp;" — "&amp;Matching_Engine!$AW$53&amp;IF(Matching_Engine!$BB$53="Limited Data"," Confidence is Limited Data: "&amp;Matching_Engine!$BA$53&amp;"% of tracked fields carry a value.","")</f>
        <v>PASS — </v>
      </c>
      <c r="K53" s="57" t="str">
        <f ca="1">IF(NOT(ISNUMBER(Matching_Engine!$AY$53)),"Do not shortlist on this data — re-scrape the account first.",IF(Matching_Engine!$AY$53&gt;=Lookup_Lists!$D$156,"Highly Recommended",IF(Matching_Engine!$AY$53&gt;=Lookup_Lists!$D$157,"Recommended",IF(Matching_Engine!$AY$53&gt;=Lookup_Lists!$D$158,"Consider","Low Priority")))&amp;IF(Matching_Engine!$AX$53&lt;100," (on partial data)",""))</f>
        <v>Low Priority</v>
      </c>
      <c r="L53" s="71">
        <f>IF(ISNUMBER(Matching_Engine!$M$53),Matching_Engine!$M$53,-1)</f>
        <v>20</v>
      </c>
      <c r="M53" s="71">
        <f ca="1">IF(ISNUMBER(Matching_Engine!$S$53),Matching_Engine!$S$53,-1)</f>
        <v>66</v>
      </c>
      <c r="N53" s="71">
        <f>IF(ISNUMBER(Matching_Engine!$Y$53),Matching_Engine!$Y$53,-1)</f>
        <v>25</v>
      </c>
      <c r="O53" s="71">
        <f>IF(ISNUMBER(Matching_Engine!$AE$53),Matching_Engine!$AE$53,-1)</f>
        <v>82</v>
      </c>
      <c r="P53" s="71">
        <f>IF(ISNUMBER(Matching_Engine!$AM$53),Matching_Engine!$AM$53,-1)</f>
        <v>-1</v>
      </c>
      <c r="Q53" s="71">
        <f>IF(ISNUMBER(Matching_Engine!$AT$53),Matching_Engine!$AT$53,-1)</f>
        <v>40</v>
      </c>
      <c r="R53" s="71">
        <f ca="1">MAX($L$53:$Q$53)</f>
        <v>82</v>
      </c>
      <c r="S53" s="57" t="str">
        <f ca="1">INDEX({"Brand &amp; Business Relevance","Target Audience Relevance","Content &amp; Category Relevance","Brand Personality Fit","Performance Quality","Brand Safety"},MATCH($R$53,$L$53:$Q$53,0))</f>
        <v>Brand Personality Fit</v>
      </c>
      <c r="T53" s="71">
        <f>IF(ISNUMBER(Matching_Engine!$M$53),Matching_Engine!$M$53,999)</f>
        <v>20</v>
      </c>
      <c r="U53" s="71">
        <f ca="1">IF(ISNUMBER(Matching_Engine!$S$53),Matching_Engine!$S$53,999)</f>
        <v>66</v>
      </c>
      <c r="V53" s="71">
        <f>IF(ISNUMBER(Matching_Engine!$Y$53),Matching_Engine!$Y$53,999)</f>
        <v>25</v>
      </c>
      <c r="W53" s="71">
        <f>IF(ISNUMBER(Matching_Engine!$AE$53),Matching_Engine!$AE$53,999)</f>
        <v>82</v>
      </c>
      <c r="X53" s="71">
        <f>IF(ISNUMBER(Matching_Engine!$AM$53),Matching_Engine!$AM$53,999)</f>
        <v>999</v>
      </c>
      <c r="Y53" s="71">
        <f>IF(ISNUMBER(Matching_Engine!$AT$53),Matching_Engine!$AT$53,999)</f>
        <v>40</v>
      </c>
      <c r="Z53" s="71">
        <f ca="1">MIN($T$53:$Y$53)</f>
        <v>20</v>
      </c>
      <c r="AA53" s="57" t="str">
        <f ca="1">INDEX({"Brand &amp; Business Relevance","Target Audience Relevance","Content &amp; Category Relevance","Brand Personality Fit","Performance Quality","Brand Safety"},MATCH($Z$53,$T$53:$Y$53,0))</f>
        <v>Brand &amp; Business Relevance</v>
      </c>
    </row>
    <row r="54" spans="1:27">
      <c r="A54" s="57" t="str">
        <f>Matching_Engine!$B$54</f>
        <v>Lumaya Skin</v>
      </c>
      <c r="B54" s="57" t="str">
        <f>Matching_Engine!$D$54</f>
        <v>Putri Amanda</v>
      </c>
      <c r="C54" s="57" t="str">
        <f>Matching_Engine!$E$54</f>
        <v>@putrimomlife</v>
      </c>
      <c r="D54" s="70" t="str">
        <f ca="1">Matching_Engine!$AY$54</f>
        <v/>
      </c>
      <c r="E54" s="57" t="str">
        <f>Matching_Engine!$AZ$54</f>
        <v>BRAND-B|KOL-19</v>
      </c>
      <c r="F54" s="57" t="str">
        <f ca="1">IF(NOT(ISNUMBER(Matching_Engine!$AY$54)),"Not scored: no component of the model had data for this account, so no match can be claimed either way.",Matching_Engine!$AZ$54&amp;" — "&amp;Matching_Engine!$AY$54&amp;"/100 against "&amp;Matching_Engine!$B$54&amp;". "&amp;"Strongest factor "&amp;$S$54&amp;" at "&amp;$R$54&amp;"; weakest "&amp;$AA$54&amp;" at "&amp;$Z$54&amp;". "&amp;IF(AND(ISTEXT(Matching_Engine!$G$54),Matching_Engine!$G$54&lt;&gt;"N/A"),"Tagged category "&amp;Matching_Engine!$G$54&amp;" scores "&amp;IF(ISNUMBER(Matching_Engine!$J$54),Matching_Engine!$J$54,0)&amp;" against the brand category "&amp;Matching_Engine!$B$54&amp;" targets. ","Creator carries no category on record, so the category-driven parts fall back to neutral rather than penalising the creator. ")&amp;IF(ISNUMBER(Matching_Engine!$R$54),"Audience-interest overlap "&amp;Matching_Engine!$R$54&amp;". ","Audience interests unmeasured. ")&amp;IF(Matching_Engine!$AX$54&lt;100,"Scored on "&amp;Matching_Engine!$AX$54&amp;" of the 100 nominal weight points; the rest had no data.",""))</f>
        <v>Not scored: no component of the model had data for this account, so no match can be claimed either way.</v>
      </c>
      <c r="G54" s="57" t="str">
        <f ca="1">IF(NOT(ISNUMBER(Matching_Engine!$AY$54)),"N/A",$S$54&amp;" ("&amp;$R$54&amp;"/100)")</f>
        <v>N/A</v>
      </c>
      <c r="H54" s="57" t="str">
        <f ca="1">IF(NOT(ISNUMBER(Matching_Engine!$AY$54)),"N/A",$AA$54&amp;" ("&amp;$Z$54&amp;"/100)")</f>
        <v>N/A</v>
      </c>
      <c r="I54" s="57" t="str">
        <f ca="1">IF(NOT(ISNUMBER(Matching_Engine!$AY$54)),"No data to consider: this account has no measured signal.",IF($Z$54&lt;Lookup_Lists!$D$161,$AA$54&amp;" sits at "&amp;$Z$54&amp;", below the "&amp;Lookup_Lists!$D$161&amp;"-point consideration threshold"&amp;IF(Matching_Engine!$AF$54=0," · Brand Personality Fit could not be scored at all: no creator personality, tone, values or content-style column exists","")&amp;IF(Matching_Engine!$AI$54="N/A"," · posting cadence unusable, so Consistency is excluded from Performance","")&amp;".","No component falls below the "&amp;Lookup_Lists!$D$161&amp;"-point consideration threshold."))</f>
        <v>No data to consider: this account has no measured signal.</v>
      </c>
      <c r="J54" s="57" t="str">
        <f ca="1">Matching_Engine!$AV$54&amp;" — "&amp;Matching_Engine!$AW$54&amp;IF(Matching_Engine!$BB$54="Limited Data"," Confidence is Limited Data: "&amp;Matching_Engine!$BA$54&amp;"% of tracked fields carry a value.","")</f>
        <v>EXCLUDED — Tier not in Preferred Tier</v>
      </c>
      <c r="K54" s="57" t="str">
        <f ca="1">IF(NOT(ISNUMBER(Matching_Engine!$AY$54)),"Do not shortlist on this data — re-scrape the account first.",IF(Matching_Engine!$AY$54&gt;=Lookup_Lists!$D$156,"Highly Recommended",IF(Matching_Engine!$AY$54&gt;=Lookup_Lists!$D$157,"Recommended",IF(Matching_Engine!$AY$54&gt;=Lookup_Lists!$D$158,"Consider","Low Priority")))&amp;IF(Matching_Engine!$AX$54&lt;100," (on partial data)",""))</f>
        <v>Do not shortlist on this data — re-scrape the account first.</v>
      </c>
      <c r="L54" s="71">
        <f>IF(ISNUMBER(Matching_Engine!$M$54),Matching_Engine!$M$54,-1)</f>
        <v>40</v>
      </c>
      <c r="M54" s="71">
        <f ca="1">IF(ISNUMBER(Matching_Engine!$S$54),Matching_Engine!$S$54,-1)</f>
        <v>74</v>
      </c>
      <c r="N54" s="71">
        <f>IF(ISNUMBER(Matching_Engine!$Y$54),Matching_Engine!$Y$54,-1)</f>
        <v>35</v>
      </c>
      <c r="O54" s="71">
        <f>IF(ISNUMBER(Matching_Engine!$AE$54),Matching_Engine!$AE$54,-1)</f>
        <v>79</v>
      </c>
      <c r="P54" s="71">
        <f>IF(ISNUMBER(Matching_Engine!$AM$54),Matching_Engine!$AM$54,-1)</f>
        <v>-1</v>
      </c>
      <c r="Q54" s="71">
        <f>IF(ISNUMBER(Matching_Engine!$AT$54),Matching_Engine!$AT$54,-1)</f>
        <v>52</v>
      </c>
      <c r="R54" s="71">
        <f ca="1">MAX($L$54:$Q$54)</f>
        <v>79</v>
      </c>
      <c r="S54" s="57" t="str">
        <f ca="1">INDEX({"Brand &amp; Business Relevance","Target Audience Relevance","Content &amp; Category Relevance","Brand Personality Fit","Performance Quality","Brand Safety"},MATCH($R$54,$L$54:$Q$54,0))</f>
        <v>Brand Personality Fit</v>
      </c>
      <c r="T54" s="71">
        <f>IF(ISNUMBER(Matching_Engine!$M$54),Matching_Engine!$M$54,999)</f>
        <v>40</v>
      </c>
      <c r="U54" s="71">
        <f ca="1">IF(ISNUMBER(Matching_Engine!$S$54),Matching_Engine!$S$54,999)</f>
        <v>74</v>
      </c>
      <c r="V54" s="71">
        <f>IF(ISNUMBER(Matching_Engine!$Y$54),Matching_Engine!$Y$54,999)</f>
        <v>35</v>
      </c>
      <c r="W54" s="71">
        <f>IF(ISNUMBER(Matching_Engine!$AE$54),Matching_Engine!$AE$54,999)</f>
        <v>79</v>
      </c>
      <c r="X54" s="71">
        <f>IF(ISNUMBER(Matching_Engine!$AM$54),Matching_Engine!$AM$54,999)</f>
        <v>999</v>
      </c>
      <c r="Y54" s="71">
        <f>IF(ISNUMBER(Matching_Engine!$AT$54),Matching_Engine!$AT$54,999)</f>
        <v>52</v>
      </c>
      <c r="Z54" s="71">
        <f ca="1">MIN($T$54:$Y$54)</f>
        <v>35</v>
      </c>
      <c r="AA54" s="57" t="str">
        <f ca="1">INDEX({"Brand &amp; Business Relevance","Target Audience Relevance","Content &amp; Category Relevance","Brand Personality Fit","Performance Quality","Brand Safety"},MATCH($Z$54,$T$54:$Y$54,0))</f>
        <v>Content &amp; Category Relevance</v>
      </c>
    </row>
    <row r="55" spans="1:27">
      <c r="A55" s="57" t="str">
        <f>Matching_Engine!$B$55</f>
        <v>Lumaya Skin</v>
      </c>
      <c r="B55" s="57" t="str">
        <f>Matching_Engine!$D$55</f>
        <v>Hendra Wijoyo</v>
      </c>
      <c r="C55" s="57" t="str">
        <f>Matching_Engine!$E$55</f>
        <v>@hendrakeluarga</v>
      </c>
      <c r="D55" s="70">
        <f ca="1">Matching_Engine!$AY$55</f>
        <v>52</v>
      </c>
      <c r="E55" s="57" t="str">
        <f>Matching_Engine!$AZ$55</f>
        <v>BRAND-B|KOL-20</v>
      </c>
      <c r="F55" s="57" t="str">
        <f ca="1">IF(NOT(ISNUMBER(Matching_Engine!$AY$55)),"Not scored: no component of the model had data for this account, so no match can be claimed either way.",Matching_Engine!$AZ$55&amp;" — "&amp;Matching_Engine!$AY$55&amp;"/100 against "&amp;Matching_Engine!$B$55&amp;". "&amp;"Strongest factor "&amp;$S$55&amp;" at "&amp;$R$55&amp;"; weakest "&amp;$AA$55&amp;" at "&amp;$Z$55&amp;". "&amp;IF(AND(ISTEXT(Matching_Engine!$G$55),Matching_Engine!$G$55&lt;&gt;"N/A"),"Tagged category "&amp;Matching_Engine!$G$55&amp;" scores "&amp;IF(ISNUMBER(Matching_Engine!$J$55),Matching_Engine!$J$55,0)&amp;" against the brand category "&amp;Matching_Engine!$B$55&amp;" targets. ","Creator carries no category on record, so the category-driven parts fall back to neutral rather than penalising the creator. ")&amp;IF(ISNUMBER(Matching_Engine!$R$55),"Audience-interest overlap "&amp;Matching_Engine!$R$55&amp;". ","Audience interests unmeasured. ")&amp;IF(Matching_Engine!$AX$55&lt;100,"Scored on "&amp;Matching_Engine!$AX$55&amp;" of the 100 nominal weight points; the rest had no data.",""))</f>
        <v>BRAND-B|KOL-20 — 52/100 against Lumaya Skin. Strongest factor Brand Personality Fit at 85; weakest Brand &amp; Business Relevance at 0. Tagged category Parenting scores 5,4 against the brand category Lumaya Skin targets. Audience-interest overlap 0. </v>
      </c>
      <c r="G55" s="57" t="str">
        <f ca="1">IF(NOT(ISNUMBER(Matching_Engine!$AY$55)),"N/A",$S$55&amp;" ("&amp;$R$55&amp;"/100)")</f>
        <v>Brand Personality Fit (85/100)</v>
      </c>
      <c r="H55" s="57" t="str">
        <f ca="1">IF(NOT(ISNUMBER(Matching_Engine!$AY$55)),"N/A",$AA$55&amp;" ("&amp;$Z$55&amp;"/100)")</f>
        <v>Brand &amp; Business Relevance (0/100)</v>
      </c>
      <c r="I55" s="57" t="str">
        <f ca="1">IF(NOT(ISNUMBER(Matching_Engine!$AY$55)),"No data to consider: this account has no measured signal.",IF($Z$55&lt;Lookup_Lists!$D$161,$AA$55&amp;" sits at "&amp;$Z$55&amp;", below the "&amp;Lookup_Lists!$D$161&amp;"-point consideration threshold"&amp;IF(Matching_Engine!$AF$55=0," · Brand Personality Fit could not be scored at all: no creator personality, tone, values or content-style column exists","")&amp;IF(Matching_Engine!$AI$55="N/A"," · posting cadence unusable, so Consistency is excluded from Performance","")&amp;".","No component falls below the "&amp;Lookup_Lists!$D$161&amp;"-point consideration threshold."))</f>
        <v>Brand &amp; Business Relevance sits at 0, below the 75-point consideration threshold.</v>
      </c>
      <c r="J55" s="57" t="str">
        <f ca="1">Matching_Engine!$AV$55&amp;" — "&amp;Matching_Engine!$AW$55&amp;IF(Matching_Engine!$BB$55="Limited Data"," Confidence is Limited Data: "&amp;Matching_Engine!$BA$55&amp;"% of tracked fields carry a value.","")</f>
        <v>PASS — </v>
      </c>
      <c r="K55" s="57" t="str">
        <f ca="1">IF(NOT(ISNUMBER(Matching_Engine!$AY$55)),"Do not shortlist on this data — re-scrape the account first.",IF(Matching_Engine!$AY$55&gt;=Lookup_Lists!$D$156,"Highly Recommended",IF(Matching_Engine!$AY$55&gt;=Lookup_Lists!$D$157,"Recommended",IF(Matching_Engine!$AY$55&gt;=Lookup_Lists!$D$158,"Consider","Low Priority")))&amp;IF(Matching_Engine!$AX$55&lt;100," (on partial data)",""))</f>
        <v>Low Priority</v>
      </c>
      <c r="L55" s="71">
        <f>IF(ISNUMBER(Matching_Engine!$M$55),Matching_Engine!$M$55,-1)</f>
        <v>0</v>
      </c>
      <c r="M55" s="71">
        <f ca="1">IF(ISNUMBER(Matching_Engine!$S$55),Matching_Engine!$S$55,-1)</f>
        <v>58</v>
      </c>
      <c r="N55" s="71">
        <f>IF(ISNUMBER(Matching_Engine!$Y$55),Matching_Engine!$Y$55,-1)</f>
        <v>20</v>
      </c>
      <c r="O55" s="71">
        <f>IF(ISNUMBER(Matching_Engine!$AE$55),Matching_Engine!$AE$55,-1)</f>
        <v>85</v>
      </c>
      <c r="P55" s="71">
        <f>IF(ISNUMBER(Matching_Engine!$AM$55),Matching_Engine!$AM$55,-1)</f>
        <v>-1</v>
      </c>
      <c r="Q55" s="71">
        <f>IF(ISNUMBER(Matching_Engine!$AT$55),Matching_Engine!$AT$55,-1)</f>
        <v>37</v>
      </c>
      <c r="R55" s="71">
        <f ca="1">MAX($L$55:$Q$55)</f>
        <v>85</v>
      </c>
      <c r="S55" s="57" t="str">
        <f ca="1">INDEX({"Brand &amp; Business Relevance","Target Audience Relevance","Content &amp; Category Relevance","Brand Personality Fit","Performance Quality","Brand Safety"},MATCH($R$55,$L$55:$Q$55,0))</f>
        <v>Brand Personality Fit</v>
      </c>
      <c r="T55" s="71">
        <f>IF(ISNUMBER(Matching_Engine!$M$55),Matching_Engine!$M$55,999)</f>
        <v>0</v>
      </c>
      <c r="U55" s="71">
        <f ca="1">IF(ISNUMBER(Matching_Engine!$S$55),Matching_Engine!$S$55,999)</f>
        <v>58</v>
      </c>
      <c r="V55" s="71">
        <f>IF(ISNUMBER(Matching_Engine!$Y$55),Matching_Engine!$Y$55,999)</f>
        <v>20</v>
      </c>
      <c r="W55" s="71">
        <f>IF(ISNUMBER(Matching_Engine!$AE$55),Matching_Engine!$AE$55,999)</f>
        <v>85</v>
      </c>
      <c r="X55" s="71">
        <f>IF(ISNUMBER(Matching_Engine!$AM$55),Matching_Engine!$AM$55,999)</f>
        <v>999</v>
      </c>
      <c r="Y55" s="71">
        <f>IF(ISNUMBER(Matching_Engine!$AT$55),Matching_Engine!$AT$55,999)</f>
        <v>37</v>
      </c>
      <c r="Z55" s="71">
        <f ca="1">MIN($T$55:$Y$55)</f>
        <v>0</v>
      </c>
      <c r="AA55" s="57" t="str">
        <f ca="1">INDEX({"Brand &amp; Business Relevance","Target Audience Relevance","Content &amp; Category Relevance","Brand Personality Fit","Performance Quality","Brand Safety"},MATCH($Z$55,$T$55:$Y$55,0))</f>
        <v>Brand &amp; Business Relevance</v>
      </c>
    </row>
    <row r="56" spans="1:27">
      <c r="A56" s="57" t="str">
        <f>Matching_Engine!$B$56</f>
        <v>Lumaya Skin</v>
      </c>
      <c r="B56" s="57" t="str">
        <f>Matching_Engine!$D$56</f>
        <v>Bagas Setiawan</v>
      </c>
      <c r="C56" s="57" t="str">
        <f>Matching_Engine!$E$56</f>
        <v>@bagaskomedi</v>
      </c>
      <c r="D56" s="70" t="str">
        <f ca="1">Matching_Engine!$AY$56</f>
        <v/>
      </c>
      <c r="E56" s="57" t="str">
        <f>Matching_Engine!$AZ$56</f>
        <v>BRAND-B|KOL-21</v>
      </c>
      <c r="F56" s="57" t="str">
        <f ca="1">IF(NOT(ISNUMBER(Matching_Engine!$AY$56)),"Not scored: no component of the model had data for this account, so no match can be claimed either way.",Matching_Engine!$AZ$56&amp;" — "&amp;Matching_Engine!$AY$56&amp;"/100 against "&amp;Matching_Engine!$B$56&amp;". "&amp;"Strongest factor "&amp;$S$56&amp;" at "&amp;$R$56&amp;"; weakest "&amp;$AA$56&amp;" at "&amp;$Z$56&amp;". "&amp;IF(AND(ISTEXT(Matching_Engine!$G$56),Matching_Engine!$G$56&lt;&gt;"N/A"),"Tagged category "&amp;Matching_Engine!$G$56&amp;" scores "&amp;IF(ISNUMBER(Matching_Engine!$J$56),Matching_Engine!$J$56,0)&amp;" against the brand category "&amp;Matching_Engine!$B$56&amp;" targets. ","Creator carries no category on record, so the category-driven parts fall back to neutral rather than penalising the creator. ")&amp;IF(ISNUMBER(Matching_Engine!$R$56),"Audience-interest overlap "&amp;Matching_Engine!$R$56&amp;". ","Audience interests unmeasured. ")&amp;IF(Matching_Engine!$AX$56&lt;100,"Scored on "&amp;Matching_Engine!$AX$56&amp;" of the 100 nominal weight points; the rest had no data.",""))</f>
        <v>Not scored: no component of the model had data for this account, so no match can be claimed either way.</v>
      </c>
      <c r="G56" s="57" t="str">
        <f ca="1">IF(NOT(ISNUMBER(Matching_Engine!$AY$56)),"N/A",$S$56&amp;" ("&amp;$R$56&amp;"/100)")</f>
        <v>N/A</v>
      </c>
      <c r="H56" s="57" t="str">
        <f ca="1">IF(NOT(ISNUMBER(Matching_Engine!$AY$56)),"N/A",$AA$56&amp;" ("&amp;$Z$56&amp;"/100)")</f>
        <v>N/A</v>
      </c>
      <c r="I56" s="57" t="str">
        <f ca="1">IF(NOT(ISNUMBER(Matching_Engine!$AY$56)),"No data to consider: this account has no measured signal.",IF($Z$56&lt;Lookup_Lists!$D$161,$AA$56&amp;" sits at "&amp;$Z$56&amp;", below the "&amp;Lookup_Lists!$D$161&amp;"-point consideration threshold"&amp;IF(Matching_Engine!$AF$56=0," · Brand Personality Fit could not be scored at all: no creator personality, tone, values or content-style column exists","")&amp;IF(Matching_Engine!$AI$56="N/A"," · posting cadence unusable, so Consistency is excluded from Performance","")&amp;".","No component falls below the "&amp;Lookup_Lists!$D$161&amp;"-point consideration threshold."))</f>
        <v>No data to consider: this account has no measured signal.</v>
      </c>
      <c r="J56" s="57" t="str">
        <f ca="1">Matching_Engine!$AV$56&amp;" — "&amp;Matching_Engine!$AW$56&amp;IF(Matching_Engine!$BB$56="Limited Data"," Confidence is Limited Data: "&amp;Matching_Engine!$BA$56&amp;"% of tracked fields carry a value.","")</f>
        <v>EXCLUDED — Followers above Preferred Follower Range</v>
      </c>
      <c r="K56" s="57" t="str">
        <f ca="1">IF(NOT(ISNUMBER(Matching_Engine!$AY$56)),"Do not shortlist on this data — re-scrape the account first.",IF(Matching_Engine!$AY$56&gt;=Lookup_Lists!$D$156,"Highly Recommended",IF(Matching_Engine!$AY$56&gt;=Lookup_Lists!$D$157,"Recommended",IF(Matching_Engine!$AY$56&gt;=Lookup_Lists!$D$158,"Consider","Low Priority")))&amp;IF(Matching_Engine!$AX$56&lt;100," (on partial data)",""))</f>
        <v>Do not shortlist on this data — re-scrape the account first.</v>
      </c>
      <c r="L56" s="71">
        <f>IF(ISNUMBER(Matching_Engine!$M$56),Matching_Engine!$M$56,-1)</f>
        <v>20</v>
      </c>
      <c r="M56" s="71">
        <f ca="1">IF(ISNUMBER(Matching_Engine!$S$56),Matching_Engine!$S$56,-1)</f>
        <v>69</v>
      </c>
      <c r="N56" s="71">
        <f>IF(ISNUMBER(Matching_Engine!$Y$56),Matching_Engine!$Y$56,-1)</f>
        <v>20</v>
      </c>
      <c r="O56" s="71">
        <f>IF(ISNUMBER(Matching_Engine!$AE$56),Matching_Engine!$AE$56,-1)</f>
        <v>76</v>
      </c>
      <c r="P56" s="71">
        <f>IF(ISNUMBER(Matching_Engine!$AM$56),Matching_Engine!$AM$56,-1)</f>
        <v>-1</v>
      </c>
      <c r="Q56" s="71">
        <f>IF(ISNUMBER(Matching_Engine!$AT$56),Matching_Engine!$AT$56,-1)</f>
        <v>29</v>
      </c>
      <c r="R56" s="71">
        <f ca="1">MAX($L$56:$Q$56)</f>
        <v>76</v>
      </c>
      <c r="S56" s="57" t="str">
        <f ca="1">INDEX({"Brand &amp; Business Relevance","Target Audience Relevance","Content &amp; Category Relevance","Brand Personality Fit","Performance Quality","Brand Safety"},MATCH($R$56,$L$56:$Q$56,0))</f>
        <v>Brand Personality Fit</v>
      </c>
      <c r="T56" s="71">
        <f>IF(ISNUMBER(Matching_Engine!$M$56),Matching_Engine!$M$56,999)</f>
        <v>20</v>
      </c>
      <c r="U56" s="71">
        <f ca="1">IF(ISNUMBER(Matching_Engine!$S$56),Matching_Engine!$S$56,999)</f>
        <v>69</v>
      </c>
      <c r="V56" s="71">
        <f>IF(ISNUMBER(Matching_Engine!$Y$56),Matching_Engine!$Y$56,999)</f>
        <v>20</v>
      </c>
      <c r="W56" s="71">
        <f>IF(ISNUMBER(Matching_Engine!$AE$56),Matching_Engine!$AE$56,999)</f>
        <v>76</v>
      </c>
      <c r="X56" s="71">
        <f>IF(ISNUMBER(Matching_Engine!$AM$56),Matching_Engine!$AM$56,999)</f>
        <v>999</v>
      </c>
      <c r="Y56" s="71">
        <f>IF(ISNUMBER(Matching_Engine!$AT$56),Matching_Engine!$AT$56,999)</f>
        <v>29</v>
      </c>
      <c r="Z56" s="71">
        <f ca="1">MIN($T$56:$Y$56)</f>
        <v>20</v>
      </c>
      <c r="AA56" s="57" t="str">
        <f ca="1">INDEX({"Brand &amp; Business Relevance","Target Audience Relevance","Content &amp; Category Relevance","Brand Personality Fit","Performance Quality","Brand Safety"},MATCH($Z$56,$T$56:$Y$56,0))</f>
        <v>Brand &amp; Business Relevance</v>
      </c>
    </row>
    <row r="57" spans="1:27">
      <c r="A57" s="57" t="str">
        <f>Matching_Engine!$B$57</f>
        <v>Lumaya Skin</v>
      </c>
      <c r="B57" s="57" t="str">
        <f>Matching_Engine!$D$57</f>
        <v>Nabila Kirana</v>
      </c>
      <c r="C57" s="57" t="str">
        <f>Matching_Engine!$E$57</f>
        <v>@nabilamusic</v>
      </c>
      <c r="D57" s="70" t="str">
        <f ca="1">Matching_Engine!$AY$57</f>
        <v/>
      </c>
      <c r="E57" s="57" t="str">
        <f>Matching_Engine!$AZ$57</f>
        <v>BRAND-B|KOL-22</v>
      </c>
      <c r="F57" s="57" t="str">
        <f ca="1">IF(NOT(ISNUMBER(Matching_Engine!$AY$57)),"Not scored: no component of the model had data for this account, so no match can be claimed either way.",Matching_Engine!$AZ$57&amp;" — "&amp;Matching_Engine!$AY$57&amp;"/100 against "&amp;Matching_Engine!$B$57&amp;". "&amp;"Strongest factor "&amp;$S$57&amp;" at "&amp;$R$57&amp;"; weakest "&amp;$AA$57&amp;" at "&amp;$Z$57&amp;". "&amp;IF(AND(ISTEXT(Matching_Engine!$G$57),Matching_Engine!$G$57&lt;&gt;"N/A"),"Tagged category "&amp;Matching_Engine!$G$57&amp;" scores "&amp;IF(ISNUMBER(Matching_Engine!$J$57),Matching_Engine!$J$57,0)&amp;" against the brand category "&amp;Matching_Engine!$B$57&amp;" targets. ","Creator carries no category on record, so the category-driven parts fall back to neutral rather than penalising the creator. ")&amp;IF(ISNUMBER(Matching_Engine!$R$57),"Audience-interest overlap "&amp;Matching_Engine!$R$57&amp;". ","Audience interests unmeasured. ")&amp;IF(Matching_Engine!$AX$57&lt;100,"Scored on "&amp;Matching_Engine!$AX$57&amp;" of the 100 nominal weight points; the rest had no data.",""))</f>
        <v>Not scored: no component of the model had data for this account, so no match can be claimed either way.</v>
      </c>
      <c r="G57" s="57" t="str">
        <f ca="1">IF(NOT(ISNUMBER(Matching_Engine!$AY$57)),"N/A",$S$57&amp;" ("&amp;$R$57&amp;"/100)")</f>
        <v>N/A</v>
      </c>
      <c r="H57" s="57" t="str">
        <f ca="1">IF(NOT(ISNUMBER(Matching_Engine!$AY$57)),"N/A",$AA$57&amp;" ("&amp;$Z$57&amp;"/100)")</f>
        <v>N/A</v>
      </c>
      <c r="I57" s="57" t="str">
        <f ca="1">IF(NOT(ISNUMBER(Matching_Engine!$AY$57)),"No data to consider: this account has no measured signal.",IF($Z$57&lt;Lookup_Lists!$D$161,$AA$57&amp;" sits at "&amp;$Z$57&amp;", below the "&amp;Lookup_Lists!$D$161&amp;"-point consideration threshold"&amp;IF(Matching_Engine!$AF$57=0," · Brand Personality Fit could not be scored at all: no creator personality, tone, values or content-style column exists","")&amp;IF(Matching_Engine!$AI$57="N/A"," · posting cadence unusable, so Consistency is excluded from Performance","")&amp;".","No component falls below the "&amp;Lookup_Lists!$D$161&amp;"-point consideration threshold."))</f>
        <v>No data to consider: this account has no measured signal.</v>
      </c>
      <c r="J57" s="57" t="str">
        <f ca="1">Matching_Engine!$AV$57&amp;" — "&amp;Matching_Engine!$AW$57&amp;IF(Matching_Engine!$BB$57="Limited Data"," Confidence is Limited Data: "&amp;Matching_Engine!$BA$57&amp;"% of tracked fields carry a value.","")</f>
        <v>EXCLUDED — Tier not in Preferred Tier</v>
      </c>
      <c r="K57" s="57" t="str">
        <f ca="1">IF(NOT(ISNUMBER(Matching_Engine!$AY$57)),"Do not shortlist on this data — re-scrape the account first.",IF(Matching_Engine!$AY$57&gt;=Lookup_Lists!$D$156,"Highly Recommended",IF(Matching_Engine!$AY$57&gt;=Lookup_Lists!$D$157,"Recommended",IF(Matching_Engine!$AY$57&gt;=Lookup_Lists!$D$158,"Consider","Low Priority")))&amp;IF(Matching_Engine!$AX$57&lt;100," (on partial data)",""))</f>
        <v>Do not shortlist on this data — re-scrape the account first.</v>
      </c>
      <c r="L57" s="71">
        <f>IF(ISNUMBER(Matching_Engine!$M$57),Matching_Engine!$M$57,-1)</f>
        <v>40</v>
      </c>
      <c r="M57" s="71">
        <f ca="1">IF(ISNUMBER(Matching_Engine!$S$57),Matching_Engine!$S$57,-1)</f>
        <v>90</v>
      </c>
      <c r="N57" s="71">
        <f>IF(ISNUMBER(Matching_Engine!$Y$57),Matching_Engine!$Y$57,-1)</f>
        <v>65</v>
      </c>
      <c r="O57" s="71">
        <f>IF(ISNUMBER(Matching_Engine!$AE$57),Matching_Engine!$AE$57,-1)</f>
        <v>75</v>
      </c>
      <c r="P57" s="71">
        <f>IF(ISNUMBER(Matching_Engine!$AM$57),Matching_Engine!$AM$57,-1)</f>
        <v>-1</v>
      </c>
      <c r="Q57" s="71">
        <f>IF(ISNUMBER(Matching_Engine!$AT$57),Matching_Engine!$AT$57,-1)</f>
        <v>48</v>
      </c>
      <c r="R57" s="71">
        <f ca="1">MAX($L$57:$Q$57)</f>
        <v>90</v>
      </c>
      <c r="S57" s="57" t="str">
        <f ca="1">INDEX({"Brand &amp; Business Relevance","Target Audience Relevance","Content &amp; Category Relevance","Brand Personality Fit","Performance Quality","Brand Safety"},MATCH($R$57,$L$57:$Q$57,0))</f>
        <v>Target Audience Relevance</v>
      </c>
      <c r="T57" s="71">
        <f>IF(ISNUMBER(Matching_Engine!$M$57),Matching_Engine!$M$57,999)</f>
        <v>40</v>
      </c>
      <c r="U57" s="71">
        <f ca="1">IF(ISNUMBER(Matching_Engine!$S$57),Matching_Engine!$S$57,999)</f>
        <v>90</v>
      </c>
      <c r="V57" s="71">
        <f>IF(ISNUMBER(Matching_Engine!$Y$57),Matching_Engine!$Y$57,999)</f>
        <v>65</v>
      </c>
      <c r="W57" s="71">
        <f>IF(ISNUMBER(Matching_Engine!$AE$57),Matching_Engine!$AE$57,999)</f>
        <v>75</v>
      </c>
      <c r="X57" s="71">
        <f>IF(ISNUMBER(Matching_Engine!$AM$57),Matching_Engine!$AM$57,999)</f>
        <v>999</v>
      </c>
      <c r="Y57" s="71">
        <f>IF(ISNUMBER(Matching_Engine!$AT$57),Matching_Engine!$AT$57,999)</f>
        <v>48</v>
      </c>
      <c r="Z57" s="71">
        <f ca="1">MIN($T$57:$Y$57)</f>
        <v>40</v>
      </c>
      <c r="AA57" s="57" t="str">
        <f ca="1">INDEX({"Brand &amp; Business Relevance","Target Audience Relevance","Content &amp; Category Relevance","Brand Personality Fit","Performance Quality","Brand Safety"},MATCH($Z$57,$T$57:$Y$57,0))</f>
        <v>Brand &amp; Business Relevance</v>
      </c>
    </row>
    <row r="58" spans="1:27">
      <c r="A58" s="57" t="str">
        <f>Matching_Engine!$B$58</f>
        <v>Lumaya Skin</v>
      </c>
      <c r="B58" s="57" t="str">
        <f>Matching_Engine!$D$58</f>
        <v>Arya Mahendra</v>
      </c>
      <c r="C58" s="57" t="str">
        <f>Matching_Engine!$E$58</f>
        <v>@aryagaming</v>
      </c>
      <c r="D58" s="70" t="str">
        <f ca="1">Matching_Engine!$AY$58</f>
        <v/>
      </c>
      <c r="E58" s="57" t="str">
        <f>Matching_Engine!$AZ$58</f>
        <v>BRAND-B|KOL-23</v>
      </c>
      <c r="F58" s="57" t="str">
        <f ca="1">IF(NOT(ISNUMBER(Matching_Engine!$AY$58)),"Not scored: no component of the model had data for this account, so no match can be claimed either way.",Matching_Engine!$AZ$58&amp;" — "&amp;Matching_Engine!$AY$58&amp;"/100 against "&amp;Matching_Engine!$B$58&amp;". "&amp;"Strongest factor "&amp;$S$58&amp;" at "&amp;$R$58&amp;"; weakest "&amp;$AA$58&amp;" at "&amp;$Z$58&amp;". "&amp;IF(AND(ISTEXT(Matching_Engine!$G$58),Matching_Engine!$G$58&lt;&gt;"N/A"),"Tagged category "&amp;Matching_Engine!$G$58&amp;" scores "&amp;IF(ISNUMBER(Matching_Engine!$J$58),Matching_Engine!$J$58,0)&amp;" against the brand category "&amp;Matching_Engine!$B$58&amp;" targets. ","Creator carries no category on record, so the category-driven parts fall back to neutral rather than penalising the creator. ")&amp;IF(ISNUMBER(Matching_Engine!$R$58),"Audience-interest overlap "&amp;Matching_Engine!$R$58&amp;". ","Audience interests unmeasured. ")&amp;IF(Matching_Engine!$AX$58&lt;100,"Scored on "&amp;Matching_Engine!$AX$58&amp;" of the 100 nominal weight points; the rest had no data.",""))</f>
        <v>Not scored: no component of the model had data for this account, so no match can be claimed either way.</v>
      </c>
      <c r="G58" s="57" t="str">
        <f ca="1">IF(NOT(ISNUMBER(Matching_Engine!$AY$58)),"N/A",$S$58&amp;" ("&amp;$R$58&amp;"/100)")</f>
        <v>N/A</v>
      </c>
      <c r="H58" s="57" t="str">
        <f ca="1">IF(NOT(ISNUMBER(Matching_Engine!$AY$58)),"N/A",$AA$58&amp;" ("&amp;$Z$58&amp;"/100)")</f>
        <v>N/A</v>
      </c>
      <c r="I58" s="57" t="str">
        <f ca="1">IF(NOT(ISNUMBER(Matching_Engine!$AY$58)),"No data to consider: this account has no measured signal.",IF($Z$58&lt;Lookup_Lists!$D$161,$AA$58&amp;" sits at "&amp;$Z$58&amp;", below the "&amp;Lookup_Lists!$D$161&amp;"-point consideration threshold"&amp;IF(Matching_Engine!$AF$58=0," · Brand Personality Fit could not be scored at all: no creator personality, tone, values or content-style column exists","")&amp;IF(Matching_Engine!$AI$58="N/A"," · posting cadence unusable, so Consistency is excluded from Performance","")&amp;".","No component falls below the "&amp;Lookup_Lists!$D$161&amp;"-point consideration threshold."))</f>
        <v>No data to consider: this account has no measured signal.</v>
      </c>
      <c r="J58" s="57" t="str">
        <f ca="1">Matching_Engine!$AV$58&amp;" — "&amp;Matching_Engine!$AW$58&amp;IF(Matching_Engine!$BB$58="Limited Data"," Confidence is Limited Data: "&amp;Matching_Engine!$BA$58&amp;"% of tracked fields carry a value.","")</f>
        <v>EXCLUDED — Followers above Preferred Follower Range</v>
      </c>
      <c r="K58" s="57" t="str">
        <f ca="1">IF(NOT(ISNUMBER(Matching_Engine!$AY$58)),"Do not shortlist on this data — re-scrape the account first.",IF(Matching_Engine!$AY$58&gt;=Lookup_Lists!$D$156,"Highly Recommended",IF(Matching_Engine!$AY$58&gt;=Lookup_Lists!$D$157,"Recommended",IF(Matching_Engine!$AY$58&gt;=Lookup_Lists!$D$158,"Consider","Low Priority")))&amp;IF(Matching_Engine!$AX$58&lt;100," (on partial data)",""))</f>
        <v>Do not shortlist on this data — re-scrape the account first.</v>
      </c>
      <c r="L58" s="71">
        <f>IF(ISNUMBER(Matching_Engine!$M$58),Matching_Engine!$M$58,-1)</f>
        <v>20</v>
      </c>
      <c r="M58" s="71">
        <f ca="1">IF(ISNUMBER(Matching_Engine!$S$58),Matching_Engine!$S$58,-1)</f>
        <v>61</v>
      </c>
      <c r="N58" s="71">
        <f>IF(ISNUMBER(Matching_Engine!$Y$58),Matching_Engine!$Y$58,-1)</f>
        <v>30</v>
      </c>
      <c r="O58" s="71">
        <f>IF(ISNUMBER(Matching_Engine!$AE$58),Matching_Engine!$AE$58,-1)</f>
        <v>73</v>
      </c>
      <c r="P58" s="71">
        <f>IF(ISNUMBER(Matching_Engine!$AM$58),Matching_Engine!$AM$58,-1)</f>
        <v>-1</v>
      </c>
      <c r="Q58" s="71">
        <f>IF(ISNUMBER(Matching_Engine!$AT$58),Matching_Engine!$AT$58,-1)</f>
        <v>27</v>
      </c>
      <c r="R58" s="71">
        <f ca="1">MAX($L$58:$Q$58)</f>
        <v>73</v>
      </c>
      <c r="S58" s="57" t="str">
        <f ca="1">INDEX({"Brand &amp; Business Relevance","Target Audience Relevance","Content &amp; Category Relevance","Brand Personality Fit","Performance Quality","Brand Safety"},MATCH($R$58,$L$58:$Q$58,0))</f>
        <v>Brand Personality Fit</v>
      </c>
      <c r="T58" s="71">
        <f>IF(ISNUMBER(Matching_Engine!$M$58),Matching_Engine!$M$58,999)</f>
        <v>20</v>
      </c>
      <c r="U58" s="71">
        <f ca="1">IF(ISNUMBER(Matching_Engine!$S$58),Matching_Engine!$S$58,999)</f>
        <v>61</v>
      </c>
      <c r="V58" s="71">
        <f>IF(ISNUMBER(Matching_Engine!$Y$58),Matching_Engine!$Y$58,999)</f>
        <v>30</v>
      </c>
      <c r="W58" s="71">
        <f>IF(ISNUMBER(Matching_Engine!$AE$58),Matching_Engine!$AE$58,999)</f>
        <v>73</v>
      </c>
      <c r="X58" s="71">
        <f>IF(ISNUMBER(Matching_Engine!$AM$58),Matching_Engine!$AM$58,999)</f>
        <v>999</v>
      </c>
      <c r="Y58" s="71">
        <f>IF(ISNUMBER(Matching_Engine!$AT$58),Matching_Engine!$AT$58,999)</f>
        <v>27</v>
      </c>
      <c r="Z58" s="71">
        <f ca="1">MIN($T$58:$Y$58)</f>
        <v>20</v>
      </c>
      <c r="AA58" s="57" t="str">
        <f ca="1">INDEX({"Brand &amp; Business Relevance","Target Audience Relevance","Content &amp; Category Relevance","Brand Personality Fit","Performance Quality","Brand Safety"},MATCH($Z$58,$T$58:$Y$58,0))</f>
        <v>Brand &amp; Business Relevance</v>
      </c>
    </row>
    <row r="59" spans="1:27">
      <c r="A59" s="57" t="str">
        <f>Matching_Engine!$B$59</f>
        <v>Lumaya Skin</v>
      </c>
      <c r="B59" s="57" t="str">
        <f>Matching_Engine!$D$59</f>
        <v>Rio Saputra</v>
      </c>
      <c r="C59" s="57" t="str">
        <f>Matching_Engine!$E$59</f>
        <v>@riopcbuild</v>
      </c>
      <c r="D59" s="70">
        <f ca="1">Matching_Engine!$AY$59</f>
        <v>49</v>
      </c>
      <c r="E59" s="57" t="str">
        <f>Matching_Engine!$AZ$59</f>
        <v>BRAND-B|KOL-24</v>
      </c>
      <c r="F59" s="57" t="str">
        <f ca="1">IF(NOT(ISNUMBER(Matching_Engine!$AY$59)),"Not scored: no component of the model had data for this account, so no match can be claimed either way.",Matching_Engine!$AZ$59&amp;" — "&amp;Matching_Engine!$AY$59&amp;"/100 against "&amp;Matching_Engine!$B$59&amp;". "&amp;"Strongest factor "&amp;$S$59&amp;" at "&amp;$R$59&amp;"; weakest "&amp;$AA$59&amp;" at "&amp;$Z$59&amp;". "&amp;IF(AND(ISTEXT(Matching_Engine!$G$59),Matching_Engine!$G$59&lt;&gt;"N/A"),"Tagged category "&amp;Matching_Engine!$G$59&amp;" scores "&amp;IF(ISNUMBER(Matching_Engine!$J$59),Matching_Engine!$J$59,0)&amp;" against the brand category "&amp;Matching_Engine!$B$59&amp;" targets. ","Creator carries no category on record, so the category-driven parts fall back to neutral rather than penalising the creator. ")&amp;IF(ISNUMBER(Matching_Engine!$R$59),"Audience-interest overlap "&amp;Matching_Engine!$R$59&amp;". ","Audience interests unmeasured. ")&amp;IF(Matching_Engine!$AX$59&lt;100,"Scored on "&amp;Matching_Engine!$AX$59&amp;" of the 100 nominal weight points; the rest had no data.",""))</f>
        <v>BRAND-B|KOL-24 — 49/100 against Lumaya Skin. Strongest factor Brand Personality Fit at 74; weakest Brand &amp; Business Relevance at 20. Tagged category Gaming scores 4,2 against the brand category Lumaya Skin targets. Audience-interest overlap 20. </v>
      </c>
      <c r="G59" s="57" t="str">
        <f ca="1">IF(NOT(ISNUMBER(Matching_Engine!$AY$59)),"N/A",$S$59&amp;" ("&amp;$R$59&amp;"/100)")</f>
        <v>Brand Personality Fit (74/100)</v>
      </c>
      <c r="H59" s="57" t="str">
        <f ca="1">IF(NOT(ISNUMBER(Matching_Engine!$AY$59)),"N/A",$AA$59&amp;" ("&amp;$Z$59&amp;"/100)")</f>
        <v>Brand &amp; Business Relevance (20/100)</v>
      </c>
      <c r="I59" s="57" t="str">
        <f ca="1">IF(NOT(ISNUMBER(Matching_Engine!$AY$59)),"No data to consider: this account has no measured signal.",IF($Z$59&lt;Lookup_Lists!$D$161,$AA$59&amp;" sits at "&amp;$Z$59&amp;", below the "&amp;Lookup_Lists!$D$161&amp;"-point consideration threshold"&amp;IF(Matching_Engine!$AF$59=0," · Brand Personality Fit could not be scored at all: no creator personality, tone, values or content-style column exists","")&amp;IF(Matching_Engine!$AI$59="N/A"," · posting cadence unusable, so Consistency is excluded from Performance","")&amp;".","No component falls below the "&amp;Lookup_Lists!$D$161&amp;"-point consideration threshold."))</f>
        <v>Brand &amp; Business Relevance sits at 20, below the 75-point consideration threshold.</v>
      </c>
      <c r="J59" s="57" t="str">
        <f ca="1">Matching_Engine!$AV$59&amp;" — "&amp;Matching_Engine!$AW$59&amp;IF(Matching_Engine!$BB$59="Limited Data"," Confidence is Limited Data: "&amp;Matching_Engine!$BA$59&amp;"% of tracked fields carry a value.","")</f>
        <v>PASS — </v>
      </c>
      <c r="K59" s="57" t="str">
        <f ca="1">IF(NOT(ISNUMBER(Matching_Engine!$AY$59)),"Do not shortlist on this data — re-scrape the account first.",IF(Matching_Engine!$AY$59&gt;=Lookup_Lists!$D$156,"Highly Recommended",IF(Matching_Engine!$AY$59&gt;=Lookup_Lists!$D$157,"Recommended",IF(Matching_Engine!$AY$59&gt;=Lookup_Lists!$D$158,"Consider","Low Priority")))&amp;IF(Matching_Engine!$AX$59&lt;100," (on partial data)",""))</f>
        <v>Low Priority</v>
      </c>
      <c r="L59" s="71">
        <f>IF(ISNUMBER(Matching_Engine!$M$59),Matching_Engine!$M$59,-1)</f>
        <v>20</v>
      </c>
      <c r="M59" s="71">
        <f ca="1">IF(ISNUMBER(Matching_Engine!$S$59),Matching_Engine!$S$59,-1)</f>
        <v>61</v>
      </c>
      <c r="N59" s="71">
        <f>IF(ISNUMBER(Matching_Engine!$Y$59),Matching_Engine!$Y$59,-1)</f>
        <v>50</v>
      </c>
      <c r="O59" s="71">
        <f>IF(ISNUMBER(Matching_Engine!$AE$59),Matching_Engine!$AE$59,-1)</f>
        <v>74</v>
      </c>
      <c r="P59" s="71">
        <f>IF(ISNUMBER(Matching_Engine!$AM$59),Matching_Engine!$AM$59,-1)</f>
        <v>-1</v>
      </c>
      <c r="Q59" s="71">
        <f>IF(ISNUMBER(Matching_Engine!$AT$59),Matching_Engine!$AT$59,-1)</f>
        <v>35</v>
      </c>
      <c r="R59" s="71">
        <f ca="1">MAX($L$59:$Q$59)</f>
        <v>74</v>
      </c>
      <c r="S59" s="57" t="str">
        <f ca="1">INDEX({"Brand &amp; Business Relevance","Target Audience Relevance","Content &amp; Category Relevance","Brand Personality Fit","Performance Quality","Brand Safety"},MATCH($R$59,$L$59:$Q$59,0))</f>
        <v>Brand Personality Fit</v>
      </c>
      <c r="T59" s="71">
        <f>IF(ISNUMBER(Matching_Engine!$M$59),Matching_Engine!$M$59,999)</f>
        <v>20</v>
      </c>
      <c r="U59" s="71">
        <f ca="1">IF(ISNUMBER(Matching_Engine!$S$59),Matching_Engine!$S$59,999)</f>
        <v>61</v>
      </c>
      <c r="V59" s="71">
        <f>IF(ISNUMBER(Matching_Engine!$Y$59),Matching_Engine!$Y$59,999)</f>
        <v>50</v>
      </c>
      <c r="W59" s="71">
        <f>IF(ISNUMBER(Matching_Engine!$AE$59),Matching_Engine!$AE$59,999)</f>
        <v>74</v>
      </c>
      <c r="X59" s="71">
        <f>IF(ISNUMBER(Matching_Engine!$AM$59),Matching_Engine!$AM$59,999)</f>
        <v>999</v>
      </c>
      <c r="Y59" s="71">
        <f>IF(ISNUMBER(Matching_Engine!$AT$59),Matching_Engine!$AT$59,999)</f>
        <v>35</v>
      </c>
      <c r="Z59" s="71">
        <f ca="1">MIN($T$59:$Y$59)</f>
        <v>20</v>
      </c>
      <c r="AA59" s="57" t="str">
        <f ca="1">INDEX({"Brand &amp; Business Relevance","Target Audience Relevance","Content &amp; Category Relevance","Brand Personality Fit","Performance Quality","Brand Safety"},MATCH($Z$59,$T$59:$Y$59,0))</f>
        <v>Brand &amp; Business Relevance</v>
      </c>
    </row>
    <row r="60" spans="1:27">
      <c r="A60" s="57" t="str">
        <f>Matching_Engine!$B$60</f>
        <v>Lumaya Skin</v>
      </c>
      <c r="B60" s="57" t="str">
        <f>Matching_Engine!$D$60</f>
        <v>Denny Kurniawan</v>
      </c>
      <c r="C60" s="57" t="str">
        <f>Matching_Engine!$E$60</f>
        <v>@dennymotovlog</v>
      </c>
      <c r="D60" s="70" t="str">
        <f ca="1">Matching_Engine!$AY$60</f>
        <v/>
      </c>
      <c r="E60" s="57" t="str">
        <f>Matching_Engine!$AZ$60</f>
        <v>BRAND-B|KOL-25</v>
      </c>
      <c r="F60" s="57" t="str">
        <f ca="1">IF(NOT(ISNUMBER(Matching_Engine!$AY$60)),"Not scored: no component of the model had data for this account, so no match can be claimed either way.",Matching_Engine!$AZ$60&amp;" — "&amp;Matching_Engine!$AY$60&amp;"/100 against "&amp;Matching_Engine!$B$60&amp;". "&amp;"Strongest factor "&amp;$S$60&amp;" at "&amp;$R$60&amp;"; weakest "&amp;$AA$60&amp;" at "&amp;$Z$60&amp;". "&amp;IF(AND(ISTEXT(Matching_Engine!$G$60),Matching_Engine!$G$60&lt;&gt;"N/A"),"Tagged category "&amp;Matching_Engine!$G$60&amp;" scores "&amp;IF(ISNUMBER(Matching_Engine!$J$60),Matching_Engine!$J$60,0)&amp;" against the brand category "&amp;Matching_Engine!$B$60&amp;" targets. ","Creator carries no category on record, so the category-driven parts fall back to neutral rather than penalising the creator. ")&amp;IF(ISNUMBER(Matching_Engine!$R$60),"Audience-interest overlap "&amp;Matching_Engine!$R$60&amp;". ","Audience interests unmeasured. ")&amp;IF(Matching_Engine!$AX$60&lt;100,"Scored on "&amp;Matching_Engine!$AX$60&amp;" of the 100 nominal weight points; the rest had no data.",""))</f>
        <v>Not scored: no component of the model had data for this account, so no match can be claimed either way.</v>
      </c>
      <c r="G60" s="57" t="str">
        <f ca="1">IF(NOT(ISNUMBER(Matching_Engine!$AY$60)),"N/A",$S$60&amp;" ("&amp;$R$60&amp;"/100)")</f>
        <v>N/A</v>
      </c>
      <c r="H60" s="57" t="str">
        <f ca="1">IF(NOT(ISNUMBER(Matching_Engine!$AY$60)),"N/A",$AA$60&amp;" ("&amp;$Z$60&amp;"/100)")</f>
        <v>N/A</v>
      </c>
      <c r="I60" s="57" t="str">
        <f ca="1">IF(NOT(ISNUMBER(Matching_Engine!$AY$60)),"No data to consider: this account has no measured signal.",IF($Z$60&lt;Lookup_Lists!$D$161,$AA$60&amp;" sits at "&amp;$Z$60&amp;", below the "&amp;Lookup_Lists!$D$161&amp;"-point consideration threshold"&amp;IF(Matching_Engine!$AF$60=0," · Brand Personality Fit could not be scored at all: no creator personality, tone, values or content-style column exists","")&amp;IF(Matching_Engine!$AI$60="N/A"," · posting cadence unusable, so Consistency is excluded from Performance","")&amp;".","No component falls below the "&amp;Lookup_Lists!$D$161&amp;"-point consideration threshold."))</f>
        <v>No data to consider: this account has no measured signal.</v>
      </c>
      <c r="J60" s="57" t="str">
        <f ca="1">Matching_Engine!$AV$60&amp;" — "&amp;Matching_Engine!$AW$60&amp;IF(Matching_Engine!$BB$60="Limited Data"," Confidence is Limited Data: "&amp;Matching_Engine!$BA$60&amp;"% of tracked fields carry a value.","")</f>
        <v>EXCLUDED — Tier not in Preferred Tier</v>
      </c>
      <c r="K60" s="57" t="str">
        <f ca="1">IF(NOT(ISNUMBER(Matching_Engine!$AY$60)),"Do not shortlist on this data — re-scrape the account first.",IF(Matching_Engine!$AY$60&gt;=Lookup_Lists!$D$156,"Highly Recommended",IF(Matching_Engine!$AY$60&gt;=Lookup_Lists!$D$157,"Recommended",IF(Matching_Engine!$AY$60&gt;=Lookup_Lists!$D$158,"Consider","Low Priority")))&amp;IF(Matching_Engine!$AX$60&lt;100," (on partial data)",""))</f>
        <v>Do not shortlist on this data — re-scrape the account first.</v>
      </c>
      <c r="L60" s="71">
        <f>IF(ISNUMBER(Matching_Engine!$M$60),Matching_Engine!$M$60,-1)</f>
        <v>20</v>
      </c>
      <c r="M60" s="71">
        <f ca="1">IF(ISNUMBER(Matching_Engine!$S$60),Matching_Engine!$S$60,-1)</f>
        <v>56</v>
      </c>
      <c r="N60" s="71">
        <f>IF(ISNUMBER(Matching_Engine!$Y$60),Matching_Engine!$Y$60,-1)</f>
        <v>25</v>
      </c>
      <c r="O60" s="71">
        <f>IF(ISNUMBER(Matching_Engine!$AE$60),Matching_Engine!$AE$60,-1)</f>
        <v>73</v>
      </c>
      <c r="P60" s="71">
        <f>IF(ISNUMBER(Matching_Engine!$AM$60),Matching_Engine!$AM$60,-1)</f>
        <v>-1</v>
      </c>
      <c r="Q60" s="71">
        <f>IF(ISNUMBER(Matching_Engine!$AT$60),Matching_Engine!$AT$60,-1)</f>
        <v>28</v>
      </c>
      <c r="R60" s="71">
        <f ca="1">MAX($L$60:$Q$60)</f>
        <v>73</v>
      </c>
      <c r="S60" s="57" t="str">
        <f ca="1">INDEX({"Brand &amp; Business Relevance","Target Audience Relevance","Content &amp; Category Relevance","Brand Personality Fit","Performance Quality","Brand Safety"},MATCH($R$60,$L$60:$Q$60,0))</f>
        <v>Brand Personality Fit</v>
      </c>
      <c r="T60" s="71">
        <f>IF(ISNUMBER(Matching_Engine!$M$60),Matching_Engine!$M$60,999)</f>
        <v>20</v>
      </c>
      <c r="U60" s="71">
        <f ca="1">IF(ISNUMBER(Matching_Engine!$S$60),Matching_Engine!$S$60,999)</f>
        <v>56</v>
      </c>
      <c r="V60" s="71">
        <f>IF(ISNUMBER(Matching_Engine!$Y$60),Matching_Engine!$Y$60,999)</f>
        <v>25</v>
      </c>
      <c r="W60" s="71">
        <f>IF(ISNUMBER(Matching_Engine!$AE$60),Matching_Engine!$AE$60,999)</f>
        <v>73</v>
      </c>
      <c r="X60" s="71">
        <f>IF(ISNUMBER(Matching_Engine!$AM$60),Matching_Engine!$AM$60,999)</f>
        <v>999</v>
      </c>
      <c r="Y60" s="71">
        <f>IF(ISNUMBER(Matching_Engine!$AT$60),Matching_Engine!$AT$60,999)</f>
        <v>28</v>
      </c>
      <c r="Z60" s="71">
        <f ca="1">MIN($T$60:$Y$60)</f>
        <v>20</v>
      </c>
      <c r="AA60" s="57" t="str">
        <f ca="1">INDEX({"Brand &amp; Business Relevance","Target Audience Relevance","Content &amp; Category Relevance","Brand Personality Fit","Performance Quality","Brand Safety"},MATCH($Z$60,$T$60:$Y$60,0))</f>
        <v>Brand &amp; Business Relevance</v>
      </c>
    </row>
    <row r="61" spans="1:27">
      <c r="A61" s="57" t="str">
        <f>Matching_Engine!$B$61</f>
        <v>Lumaya Skin</v>
      </c>
      <c r="B61" s="57" t="str">
        <f>Matching_Engine!$D$61</f>
        <v>Wisnu Adi</v>
      </c>
      <c r="C61" s="57" t="str">
        <f>Matching_Engine!$E$61</f>
        <v>@wisnucarreview</v>
      </c>
      <c r="D61" s="70" t="str">
        <f ca="1">Matching_Engine!$AY$61</f>
        <v/>
      </c>
      <c r="E61" s="57" t="str">
        <f>Matching_Engine!$AZ$61</f>
        <v>BRAND-B|KOL-26</v>
      </c>
      <c r="F61" s="57" t="str">
        <f ca="1">IF(NOT(ISNUMBER(Matching_Engine!$AY$61)),"Not scored: no component of the model had data for this account, so no match can be claimed either way.",Matching_Engine!$AZ$61&amp;" — "&amp;Matching_Engine!$AY$61&amp;"/100 against "&amp;Matching_Engine!$B$61&amp;". "&amp;"Strongest factor "&amp;$S$61&amp;" at "&amp;$R$61&amp;"; weakest "&amp;$AA$61&amp;" at "&amp;$Z$61&amp;". "&amp;IF(AND(ISTEXT(Matching_Engine!$G$61),Matching_Engine!$G$61&lt;&gt;"N/A"),"Tagged category "&amp;Matching_Engine!$G$61&amp;" scores "&amp;IF(ISNUMBER(Matching_Engine!$J$61),Matching_Engine!$J$61,0)&amp;" against the brand category "&amp;Matching_Engine!$B$61&amp;" targets. ","Creator carries no category on record, so the category-driven parts fall back to neutral rather than penalising the creator. ")&amp;IF(ISNUMBER(Matching_Engine!$R$61),"Audience-interest overlap "&amp;Matching_Engine!$R$61&amp;". ","Audience interests unmeasured. ")&amp;IF(Matching_Engine!$AX$61&lt;100,"Scored on "&amp;Matching_Engine!$AX$61&amp;" of the 100 nominal weight points; the rest had no data.",""))</f>
        <v>Not scored: no component of the model had data for this account, so no match can be claimed either way.</v>
      </c>
      <c r="G61" s="57" t="str">
        <f ca="1">IF(NOT(ISNUMBER(Matching_Engine!$AY$61)),"N/A",$S$61&amp;" ("&amp;$R$61&amp;"/100)")</f>
        <v>N/A</v>
      </c>
      <c r="H61" s="57" t="str">
        <f ca="1">IF(NOT(ISNUMBER(Matching_Engine!$AY$61)),"N/A",$AA$61&amp;" ("&amp;$Z$61&amp;"/100)")</f>
        <v>N/A</v>
      </c>
      <c r="I61" s="57" t="str">
        <f ca="1">IF(NOT(ISNUMBER(Matching_Engine!$AY$61)),"No data to consider: this account has no measured signal.",IF($Z$61&lt;Lookup_Lists!$D$161,$AA$61&amp;" sits at "&amp;$Z$61&amp;", below the "&amp;Lookup_Lists!$D$161&amp;"-point consideration threshold"&amp;IF(Matching_Engine!$AF$61=0," · Brand Personality Fit could not be scored at all: no creator personality, tone, values or content-style column exists","")&amp;IF(Matching_Engine!$AI$61="N/A"," · posting cadence unusable, so Consistency is excluded from Performance","")&amp;".","No component falls below the "&amp;Lookup_Lists!$D$161&amp;"-point consideration threshold."))</f>
        <v>No data to consider: this account has no measured signal.</v>
      </c>
      <c r="J61" s="57" t="str">
        <f ca="1">Matching_Engine!$AV$61&amp;" — "&amp;Matching_Engine!$AW$61&amp;IF(Matching_Engine!$BB$61="Limited Data"," Confidence is Limited Data: "&amp;Matching_Engine!$BA$61&amp;"% of tracked fields carry a value.","")</f>
        <v>EXCLUDED — Engagement Rate below Minimum Engagement Rate</v>
      </c>
      <c r="K61" s="57" t="str">
        <f ca="1">IF(NOT(ISNUMBER(Matching_Engine!$AY$61)),"Do not shortlist on this data — re-scrape the account first.",IF(Matching_Engine!$AY$61&gt;=Lookup_Lists!$D$156,"Highly Recommended",IF(Matching_Engine!$AY$61&gt;=Lookup_Lists!$D$157,"Recommended",IF(Matching_Engine!$AY$61&gt;=Lookup_Lists!$D$158,"Consider","Low Priority")))&amp;IF(Matching_Engine!$AX$61&lt;100," (on partial data)",""))</f>
        <v>Do not shortlist on this data — re-scrape the account first.</v>
      </c>
      <c r="L61" s="71">
        <f>IF(ISNUMBER(Matching_Engine!$M$61),Matching_Engine!$M$61,-1)</f>
        <v>0</v>
      </c>
      <c r="M61" s="71">
        <f ca="1">IF(ISNUMBER(Matching_Engine!$S$61),Matching_Engine!$S$61,-1)</f>
        <v>54</v>
      </c>
      <c r="N61" s="71">
        <f>IF(ISNUMBER(Matching_Engine!$Y$61),Matching_Engine!$Y$61,-1)</f>
        <v>85</v>
      </c>
      <c r="O61" s="71">
        <f>IF(ISNUMBER(Matching_Engine!$AE$61),Matching_Engine!$AE$61,-1)</f>
        <v>64</v>
      </c>
      <c r="P61" s="71">
        <f>IF(ISNUMBER(Matching_Engine!$AM$61),Matching_Engine!$AM$61,-1)</f>
        <v>-1</v>
      </c>
      <c r="Q61" s="71">
        <f>IF(ISNUMBER(Matching_Engine!$AT$61),Matching_Engine!$AT$61,-1)</f>
        <v>37</v>
      </c>
      <c r="R61" s="71">
        <f ca="1">MAX($L$61:$Q$61)</f>
        <v>85</v>
      </c>
      <c r="S61" s="57" t="str">
        <f ca="1">INDEX({"Brand &amp; Business Relevance","Target Audience Relevance","Content &amp; Category Relevance","Brand Personality Fit","Performance Quality","Brand Safety"},MATCH($R$61,$L$61:$Q$61,0))</f>
        <v>Content &amp; Category Relevance</v>
      </c>
      <c r="T61" s="71">
        <f>IF(ISNUMBER(Matching_Engine!$M$61),Matching_Engine!$M$61,999)</f>
        <v>0</v>
      </c>
      <c r="U61" s="71">
        <f ca="1">IF(ISNUMBER(Matching_Engine!$S$61),Matching_Engine!$S$61,999)</f>
        <v>54</v>
      </c>
      <c r="V61" s="71">
        <f>IF(ISNUMBER(Matching_Engine!$Y$61),Matching_Engine!$Y$61,999)</f>
        <v>85</v>
      </c>
      <c r="W61" s="71">
        <f>IF(ISNUMBER(Matching_Engine!$AE$61),Matching_Engine!$AE$61,999)</f>
        <v>64</v>
      </c>
      <c r="X61" s="71">
        <f>IF(ISNUMBER(Matching_Engine!$AM$61),Matching_Engine!$AM$61,999)</f>
        <v>999</v>
      </c>
      <c r="Y61" s="71">
        <f>IF(ISNUMBER(Matching_Engine!$AT$61),Matching_Engine!$AT$61,999)</f>
        <v>37</v>
      </c>
      <c r="Z61" s="71">
        <f ca="1">MIN($T$61:$Y$61)</f>
        <v>0</v>
      </c>
      <c r="AA61" s="57" t="str">
        <f ca="1">INDEX({"Brand &amp; Business Relevance","Target Audience Relevance","Content &amp; Category Relevance","Brand Personality Fit","Performance Quality","Brand Safety"},MATCH($Z$61,$T$61:$Y$61,0))</f>
        <v>Brand &amp; Business Relevance</v>
      </c>
    </row>
    <row r="62" spans="1:27">
      <c r="A62" s="57" t="str">
        <f>Matching_Engine!$B$62</f>
        <v>Lumaya Skin</v>
      </c>
      <c r="B62" s="57" t="str">
        <f>Matching_Engine!$D$62</f>
        <v>Laras Ayu</v>
      </c>
      <c r="C62" s="57" t="str">
        <f>Matching_Engine!$E$62</f>
        <v>@larasinterior</v>
      </c>
      <c r="D62" s="70">
        <f ca="1">Matching_Engine!$AY$62</f>
        <v>62</v>
      </c>
      <c r="E62" s="57" t="str">
        <f>Matching_Engine!$AZ$62</f>
        <v>BRAND-B|KOL-27</v>
      </c>
      <c r="F62" s="57" t="str">
        <f ca="1">IF(NOT(ISNUMBER(Matching_Engine!$AY$62)),"Not scored: no component of the model had data for this account, so no match can be claimed either way.",Matching_Engine!$AZ$62&amp;" — "&amp;Matching_Engine!$AY$62&amp;"/100 against "&amp;Matching_Engine!$B$62&amp;". "&amp;"Strongest factor "&amp;$S$62&amp;" at "&amp;$R$62&amp;"; weakest "&amp;$AA$62&amp;" at "&amp;$Z$62&amp;". "&amp;IF(AND(ISTEXT(Matching_Engine!$G$62),Matching_Engine!$G$62&lt;&gt;"N/A"),"Tagged category "&amp;Matching_Engine!$G$62&amp;" scores "&amp;IF(ISNUMBER(Matching_Engine!$J$62),Matching_Engine!$J$62,0)&amp;" against the brand category "&amp;Matching_Engine!$B$62&amp;" targets. ","Creator carries no category on record, so the category-driven parts fall back to neutral rather than penalising the creator. ")&amp;IF(ISNUMBER(Matching_Engine!$R$62),"Audience-interest overlap "&amp;Matching_Engine!$R$62&amp;". ","Audience interests unmeasured. ")&amp;IF(Matching_Engine!$AX$62&lt;100,"Scored on "&amp;Matching_Engine!$AX$62&amp;" of the 100 nominal weight points; the rest had no data.",""))</f>
        <v>BRAND-B|KOL-27 — 62/100 against Lumaya Skin. Strongest factor Content &amp; Category Relevance at 100; weakest Brand &amp; Business Relevance at 20. Tagged category Home &amp; Living scores 4,4 against the brand category Lumaya Skin targets. Audience-interest overlap 40. </v>
      </c>
      <c r="G62" s="57" t="str">
        <f ca="1">IF(NOT(ISNUMBER(Matching_Engine!$AY$62)),"N/A",$S$62&amp;" ("&amp;$R$62&amp;"/100)")</f>
        <v>Content &amp; Category Relevance (100/100)</v>
      </c>
      <c r="H62" s="57" t="str">
        <f ca="1">IF(NOT(ISNUMBER(Matching_Engine!$AY$62)),"N/A",$AA$62&amp;" ("&amp;$Z$62&amp;"/100)")</f>
        <v>Brand &amp; Business Relevance (20/100)</v>
      </c>
      <c r="I62" s="57" t="str">
        <f ca="1">IF(NOT(ISNUMBER(Matching_Engine!$AY$62)),"No data to consider: this account has no measured signal.",IF($Z$62&lt;Lookup_Lists!$D$161,$AA$62&amp;" sits at "&amp;$Z$62&amp;", below the "&amp;Lookup_Lists!$D$161&amp;"-point consideration threshold"&amp;IF(Matching_Engine!$AF$62=0," · Brand Personality Fit could not be scored at all: no creator personality, tone, values or content-style column exists","")&amp;IF(Matching_Engine!$AI$62="N/A"," · posting cadence unusable, so Consistency is excluded from Performance","")&amp;".","No component falls below the "&amp;Lookup_Lists!$D$161&amp;"-point consideration threshold."))</f>
        <v>Brand &amp; Business Relevance sits at 20, below the 75-point consideration threshold.</v>
      </c>
      <c r="J62" s="57" t="str">
        <f ca="1">Matching_Engine!$AV$62&amp;" — "&amp;Matching_Engine!$AW$62&amp;IF(Matching_Engine!$BB$62="Limited Data"," Confidence is Limited Data: "&amp;Matching_Engine!$BA$62&amp;"% of tracked fields carry a value.","")</f>
        <v>PASS — </v>
      </c>
      <c r="K62" s="57" t="str">
        <f ca="1">IF(NOT(ISNUMBER(Matching_Engine!$AY$62)),"Do not shortlist on this data — re-scrape the account first.",IF(Matching_Engine!$AY$62&gt;=Lookup_Lists!$D$156,"Highly Recommended",IF(Matching_Engine!$AY$62&gt;=Lookup_Lists!$D$157,"Recommended",IF(Matching_Engine!$AY$62&gt;=Lookup_Lists!$D$158,"Consider","Low Priority")))&amp;IF(Matching_Engine!$AX$62&lt;100," (on partial data)",""))</f>
        <v>Consider</v>
      </c>
      <c r="L62" s="71">
        <f>IF(ISNUMBER(Matching_Engine!$M$62),Matching_Engine!$M$62,-1)</f>
        <v>20</v>
      </c>
      <c r="M62" s="71">
        <f ca="1">IF(ISNUMBER(Matching_Engine!$S$62),Matching_Engine!$S$62,-1)</f>
        <v>79</v>
      </c>
      <c r="N62" s="71">
        <f>IF(ISNUMBER(Matching_Engine!$Y$62),Matching_Engine!$Y$62,-1)</f>
        <v>100</v>
      </c>
      <c r="O62" s="71">
        <f>IF(ISNUMBER(Matching_Engine!$AE$62),Matching_Engine!$AE$62,-1)</f>
        <v>88</v>
      </c>
      <c r="P62" s="71">
        <f>IF(ISNUMBER(Matching_Engine!$AM$62),Matching_Engine!$AM$62,-1)</f>
        <v>-1</v>
      </c>
      <c r="Q62" s="71">
        <f>IF(ISNUMBER(Matching_Engine!$AT$62),Matching_Engine!$AT$62,-1)</f>
        <v>53</v>
      </c>
      <c r="R62" s="71">
        <f ca="1">MAX($L$62:$Q$62)</f>
        <v>100</v>
      </c>
      <c r="S62" s="57" t="str">
        <f ca="1">INDEX({"Brand &amp; Business Relevance","Target Audience Relevance","Content &amp; Category Relevance","Brand Personality Fit","Performance Quality","Brand Safety"},MATCH($R$62,$L$62:$Q$62,0))</f>
        <v>Content &amp; Category Relevance</v>
      </c>
      <c r="T62" s="71">
        <f>IF(ISNUMBER(Matching_Engine!$M$62),Matching_Engine!$M$62,999)</f>
        <v>20</v>
      </c>
      <c r="U62" s="71">
        <f ca="1">IF(ISNUMBER(Matching_Engine!$S$62),Matching_Engine!$S$62,999)</f>
        <v>79</v>
      </c>
      <c r="V62" s="71">
        <f>IF(ISNUMBER(Matching_Engine!$Y$62),Matching_Engine!$Y$62,999)</f>
        <v>100</v>
      </c>
      <c r="W62" s="71">
        <f>IF(ISNUMBER(Matching_Engine!$AE$62),Matching_Engine!$AE$62,999)</f>
        <v>88</v>
      </c>
      <c r="X62" s="71">
        <f>IF(ISNUMBER(Matching_Engine!$AM$62),Matching_Engine!$AM$62,999)</f>
        <v>999</v>
      </c>
      <c r="Y62" s="71">
        <f>IF(ISNUMBER(Matching_Engine!$AT$62),Matching_Engine!$AT$62,999)</f>
        <v>53</v>
      </c>
      <c r="Z62" s="71">
        <f ca="1">MIN($T$62:$Y$62)</f>
        <v>20</v>
      </c>
      <c r="AA62" s="57" t="str">
        <f ca="1">INDEX({"Brand &amp; Business Relevance","Target Audience Relevance","Content &amp; Category Relevance","Brand Personality Fit","Performance Quality","Brand Safety"},MATCH($Z$62,$T$62:$Y$62,0))</f>
        <v>Brand &amp; Business Relevance</v>
      </c>
    </row>
    <row r="63" spans="1:27">
      <c r="A63" s="57" t="str">
        <f>Matching_Engine!$B$63</f>
        <v>Lumaya Skin</v>
      </c>
      <c r="B63" s="57" t="str">
        <f>Matching_Engine!$D$63</f>
        <v>Tiara Nisrina</v>
      </c>
      <c r="C63" s="57" t="str">
        <f>Matching_Engine!$E$63</f>
        <v>@tiararapihin</v>
      </c>
      <c r="D63" s="70" t="str">
        <f ca="1">Matching_Engine!$AY$63</f>
        <v/>
      </c>
      <c r="E63" s="57" t="str">
        <f>Matching_Engine!$AZ$63</f>
        <v>BRAND-B|KOL-28</v>
      </c>
      <c r="F63" s="57" t="str">
        <f ca="1">IF(NOT(ISNUMBER(Matching_Engine!$AY$63)),"Not scored: no component of the model had data for this account, so no match can be claimed either way.",Matching_Engine!$AZ$63&amp;" — "&amp;Matching_Engine!$AY$63&amp;"/100 against "&amp;Matching_Engine!$B$63&amp;". "&amp;"Strongest factor "&amp;$S$63&amp;" at "&amp;$R$63&amp;"; weakest "&amp;$AA$63&amp;" at "&amp;$Z$63&amp;". "&amp;IF(AND(ISTEXT(Matching_Engine!$G$63),Matching_Engine!$G$63&lt;&gt;"N/A"),"Tagged category "&amp;Matching_Engine!$G$63&amp;" scores "&amp;IF(ISNUMBER(Matching_Engine!$J$63),Matching_Engine!$J$63,0)&amp;" against the brand category "&amp;Matching_Engine!$B$63&amp;" targets. ","Creator carries no category on record, so the category-driven parts fall back to neutral rather than penalising the creator. ")&amp;IF(ISNUMBER(Matching_Engine!$R$63),"Audience-interest overlap "&amp;Matching_Engine!$R$63&amp;". ","Audience interests unmeasured. ")&amp;IF(Matching_Engine!$AX$63&lt;100,"Scored on "&amp;Matching_Engine!$AX$63&amp;" of the 100 nominal weight points; the rest had no data.",""))</f>
        <v>Not scored: no component of the model had data for this account, so no match can be claimed either way.</v>
      </c>
      <c r="G63" s="57" t="str">
        <f ca="1">IF(NOT(ISNUMBER(Matching_Engine!$AY$63)),"N/A",$S$63&amp;" ("&amp;$R$63&amp;"/100)")</f>
        <v>N/A</v>
      </c>
      <c r="H63" s="57" t="str">
        <f ca="1">IF(NOT(ISNUMBER(Matching_Engine!$AY$63)),"N/A",$AA$63&amp;" ("&amp;$Z$63&amp;"/100)")</f>
        <v>N/A</v>
      </c>
      <c r="I63" s="57" t="str">
        <f ca="1">IF(NOT(ISNUMBER(Matching_Engine!$AY$63)),"No data to consider: this account has no measured signal.",IF($Z$63&lt;Lookup_Lists!$D$161,$AA$63&amp;" sits at "&amp;$Z$63&amp;", below the "&amp;Lookup_Lists!$D$161&amp;"-point consideration threshold"&amp;IF(Matching_Engine!$AF$63=0," · Brand Personality Fit could not be scored at all: no creator personality, tone, values or content-style column exists","")&amp;IF(Matching_Engine!$AI$63="N/A"," · posting cadence unusable, so Consistency is excluded from Performance","")&amp;".","No component falls below the "&amp;Lookup_Lists!$D$161&amp;"-point consideration threshold."))</f>
        <v>No data to consider: this account has no measured signal.</v>
      </c>
      <c r="J63" s="57" t="str">
        <f ca="1">Matching_Engine!$AV$63&amp;" — "&amp;Matching_Engine!$AW$63&amp;IF(Matching_Engine!$BB$63="Limited Data"," Confidence is Limited Data: "&amp;Matching_Engine!$BA$63&amp;"% of tracked fields carry a value.","")</f>
        <v>EXCLUDED — Tier not in Preferred Tier</v>
      </c>
      <c r="K63" s="57" t="str">
        <f ca="1">IF(NOT(ISNUMBER(Matching_Engine!$AY$63)),"Do not shortlist on this data — re-scrape the account first.",IF(Matching_Engine!$AY$63&gt;=Lookup_Lists!$D$156,"Highly Recommended",IF(Matching_Engine!$AY$63&gt;=Lookup_Lists!$D$157,"Recommended",IF(Matching_Engine!$AY$63&gt;=Lookup_Lists!$D$158,"Consider","Low Priority")))&amp;IF(Matching_Engine!$AX$63&lt;100," (on partial data)",""))</f>
        <v>Do not shortlist on this data — re-scrape the account first.</v>
      </c>
      <c r="L63" s="71">
        <f>IF(ISNUMBER(Matching_Engine!$M$63),Matching_Engine!$M$63,-1)</f>
        <v>20</v>
      </c>
      <c r="M63" s="71">
        <f ca="1">IF(ISNUMBER(Matching_Engine!$S$63),Matching_Engine!$S$63,-1)</f>
        <v>79</v>
      </c>
      <c r="N63" s="71">
        <f>IF(ISNUMBER(Matching_Engine!$Y$63),Matching_Engine!$Y$63,-1)</f>
        <v>35</v>
      </c>
      <c r="O63" s="71">
        <f>IF(ISNUMBER(Matching_Engine!$AE$63),Matching_Engine!$AE$63,-1)</f>
        <v>81</v>
      </c>
      <c r="P63" s="71">
        <f>IF(ISNUMBER(Matching_Engine!$AM$63),Matching_Engine!$AM$63,-1)</f>
        <v>-1</v>
      </c>
      <c r="Q63" s="71">
        <f>IF(ISNUMBER(Matching_Engine!$AT$63),Matching_Engine!$AT$63,-1)</f>
        <v>42</v>
      </c>
      <c r="R63" s="71">
        <f ca="1">MAX($L$63:$Q$63)</f>
        <v>81</v>
      </c>
      <c r="S63" s="57" t="str">
        <f ca="1">INDEX({"Brand &amp; Business Relevance","Target Audience Relevance","Content &amp; Category Relevance","Brand Personality Fit","Performance Quality","Brand Safety"},MATCH($R$63,$L$63:$Q$63,0))</f>
        <v>Brand Personality Fit</v>
      </c>
      <c r="T63" s="71">
        <f>IF(ISNUMBER(Matching_Engine!$M$63),Matching_Engine!$M$63,999)</f>
        <v>20</v>
      </c>
      <c r="U63" s="71">
        <f ca="1">IF(ISNUMBER(Matching_Engine!$S$63),Matching_Engine!$S$63,999)</f>
        <v>79</v>
      </c>
      <c r="V63" s="71">
        <f>IF(ISNUMBER(Matching_Engine!$Y$63),Matching_Engine!$Y$63,999)</f>
        <v>35</v>
      </c>
      <c r="W63" s="71">
        <f>IF(ISNUMBER(Matching_Engine!$AE$63),Matching_Engine!$AE$63,999)</f>
        <v>81</v>
      </c>
      <c r="X63" s="71">
        <f>IF(ISNUMBER(Matching_Engine!$AM$63),Matching_Engine!$AM$63,999)</f>
        <v>999</v>
      </c>
      <c r="Y63" s="71">
        <f>IF(ISNUMBER(Matching_Engine!$AT$63),Matching_Engine!$AT$63,999)</f>
        <v>42</v>
      </c>
      <c r="Z63" s="71">
        <f ca="1">MIN($T$63:$Y$63)</f>
        <v>20</v>
      </c>
      <c r="AA63" s="57" t="str">
        <f ca="1">INDEX({"Brand &amp; Business Relevance","Target Audience Relevance","Content &amp; Category Relevance","Brand Personality Fit","Performance Quality","Brand Safety"},MATCH($Z$63,$T$63:$Y$63,0))</f>
        <v>Brand &amp; Business Relevance</v>
      </c>
    </row>
    <row r="64" spans="1:27">
      <c r="A64" s="57" t="str">
        <f>Matching_Engine!$B$64</f>
        <v>Lumaya Skin</v>
      </c>
      <c r="B64" s="57" t="str">
        <f>Matching_Engine!$D$64</f>
        <v>Sekar Ayu</v>
      </c>
      <c r="C64" s="57" t="str">
        <f>Matching_Engine!$E$64</f>
        <v>@sekarskincarejujur</v>
      </c>
      <c r="D64" s="70">
        <f ca="1">Matching_Engine!$AY$64</f>
        <v>91</v>
      </c>
      <c r="E64" s="57" t="str">
        <f>Matching_Engine!$AZ$64</f>
        <v>BRAND-B|KOL-29</v>
      </c>
      <c r="F64" s="57" t="str">
        <f ca="1">IF(NOT(ISNUMBER(Matching_Engine!$AY$64)),"Not scored: no component of the model had data for this account, so no match can be claimed either way.",Matching_Engine!$AZ$64&amp;" — "&amp;Matching_Engine!$AY$64&amp;"/100 against "&amp;Matching_Engine!$B$64&amp;". "&amp;"Strongest factor "&amp;$S$64&amp;" at "&amp;$R$64&amp;"; weakest "&amp;$AA$64&amp;" at "&amp;$Z$64&amp;". "&amp;IF(AND(ISTEXT(Matching_Engine!$G$64),Matching_Engine!$G$64&lt;&gt;"N/A"),"Tagged category "&amp;Matching_Engine!$G$64&amp;" scores "&amp;IF(ISNUMBER(Matching_Engine!$J$64),Matching_Engine!$J$64,0)&amp;" against the brand category "&amp;Matching_Engine!$B$64&amp;" targets. ","Creator carries no category on record, so the category-driven parts fall back to neutral rather than penalising the creator. ")&amp;IF(ISNUMBER(Matching_Engine!$R$64),"Audience-interest overlap "&amp;Matching_Engine!$R$64&amp;". ","Audience interests unmeasured. ")&amp;IF(Matching_Engine!$AX$64&lt;100,"Scored on "&amp;Matching_Engine!$AX$64&amp;" of the 100 nominal weight points; the rest had no data.",""))</f>
        <v>BRAND-B|KOL-29 — 91/100 against Lumaya Skin. Strongest factor Brand &amp; Business Relevance at 100; weakest Content &amp; Category Relevance at 35. Tagged category Beauty scores 8,9 against the brand category Lumaya Skin targets. Audience-interest overlap 80. </v>
      </c>
      <c r="G64" s="57" t="str">
        <f ca="1">IF(NOT(ISNUMBER(Matching_Engine!$AY$64)),"N/A",$S$64&amp;" ("&amp;$R$64&amp;"/100)")</f>
        <v>Brand &amp; Business Relevance (100/100)</v>
      </c>
      <c r="H64" s="57" t="str">
        <f ca="1">IF(NOT(ISNUMBER(Matching_Engine!$AY$64)),"N/A",$AA$64&amp;" ("&amp;$Z$64&amp;"/100)")</f>
        <v>Content &amp; Category Relevance (35/100)</v>
      </c>
      <c r="I64" s="57" t="str">
        <f ca="1">IF(NOT(ISNUMBER(Matching_Engine!$AY$64)),"No data to consider: this account has no measured signal.",IF($Z$64&lt;Lookup_Lists!$D$161,$AA$64&amp;" sits at "&amp;$Z$64&amp;", below the "&amp;Lookup_Lists!$D$161&amp;"-point consideration threshold"&amp;IF(Matching_Engine!$AF$64=0," · Brand Personality Fit could not be scored at all: no creator personality, tone, values or content-style column exists","")&amp;IF(Matching_Engine!$AI$64="N/A"," · posting cadence unusable, so Consistency is excluded from Performance","")&amp;".","No component falls below the "&amp;Lookup_Lists!$D$161&amp;"-point consideration threshold."))</f>
        <v>Content &amp; Category Relevance sits at 35, below the 75-point consideration threshold.</v>
      </c>
      <c r="J64" s="57" t="str">
        <f ca="1">Matching_Engine!$AV$64&amp;" — "&amp;Matching_Engine!$AW$64&amp;IF(Matching_Engine!$BB$64="Limited Data"," Confidence is Limited Data: "&amp;Matching_Engine!$BA$64&amp;"% of tracked fields carry a value.","")</f>
        <v>PASS — </v>
      </c>
      <c r="K64" s="57" t="str">
        <f ca="1">IF(NOT(ISNUMBER(Matching_Engine!$AY$64)),"Do not shortlist on this data — re-scrape the account first.",IF(Matching_Engine!$AY$64&gt;=Lookup_Lists!$D$156,"Highly Recommended",IF(Matching_Engine!$AY$64&gt;=Lookup_Lists!$D$157,"Recommended",IF(Matching_Engine!$AY$64&gt;=Lookup_Lists!$D$158,"Consider","Low Priority")))&amp;IF(Matching_Engine!$AX$64&lt;100," (on partial data)",""))</f>
        <v>Highly Recommended</v>
      </c>
      <c r="L64" s="71">
        <f>IF(ISNUMBER(Matching_Engine!$M$64),Matching_Engine!$M$64,-1)</f>
        <v>100</v>
      </c>
      <c r="M64" s="71">
        <f ca="1">IF(ISNUMBER(Matching_Engine!$S$64),Matching_Engine!$S$64,-1)</f>
        <v>90</v>
      </c>
      <c r="N64" s="71">
        <f>IF(ISNUMBER(Matching_Engine!$Y$64),Matching_Engine!$Y$64,-1)</f>
        <v>35</v>
      </c>
      <c r="O64" s="71">
        <f>IF(ISNUMBER(Matching_Engine!$AE$64),Matching_Engine!$AE$64,-1)</f>
        <v>91</v>
      </c>
      <c r="P64" s="71">
        <f>IF(ISNUMBER(Matching_Engine!$AM$64),Matching_Engine!$AM$64,-1)</f>
        <v>-1</v>
      </c>
      <c r="Q64" s="71">
        <f>IF(ISNUMBER(Matching_Engine!$AT$64),Matching_Engine!$AT$64,-1)</f>
        <v>85</v>
      </c>
      <c r="R64" s="71">
        <f ca="1">MAX($L$64:$Q$64)</f>
        <v>100</v>
      </c>
      <c r="S64" s="57" t="str">
        <f ca="1">INDEX({"Brand &amp; Business Relevance","Target Audience Relevance","Content &amp; Category Relevance","Brand Personality Fit","Performance Quality","Brand Safety"},MATCH($R$64,$L$64:$Q$64,0))</f>
        <v>Brand &amp; Business Relevance</v>
      </c>
      <c r="T64" s="71">
        <f>IF(ISNUMBER(Matching_Engine!$M$64),Matching_Engine!$M$64,999)</f>
        <v>100</v>
      </c>
      <c r="U64" s="71">
        <f ca="1">IF(ISNUMBER(Matching_Engine!$S$64),Matching_Engine!$S$64,999)</f>
        <v>90</v>
      </c>
      <c r="V64" s="71">
        <f>IF(ISNUMBER(Matching_Engine!$Y$64),Matching_Engine!$Y$64,999)</f>
        <v>35</v>
      </c>
      <c r="W64" s="71">
        <f>IF(ISNUMBER(Matching_Engine!$AE$64),Matching_Engine!$AE$64,999)</f>
        <v>91</v>
      </c>
      <c r="X64" s="71">
        <f>IF(ISNUMBER(Matching_Engine!$AM$64),Matching_Engine!$AM$64,999)</f>
        <v>999</v>
      </c>
      <c r="Y64" s="71">
        <f>IF(ISNUMBER(Matching_Engine!$AT$64),Matching_Engine!$AT$64,999)</f>
        <v>85</v>
      </c>
      <c r="Z64" s="71">
        <f ca="1">MIN($T$64:$Y$64)</f>
        <v>35</v>
      </c>
      <c r="AA64" s="57" t="str">
        <f ca="1">INDEX({"Brand &amp; Business Relevance","Target Audience Relevance","Content &amp; Category Relevance","Brand Personality Fit","Performance Quality","Brand Safety"},MATCH($Z$64,$T$64:$Y$64,0))</f>
        <v>Content &amp; Category Relevance</v>
      </c>
    </row>
    <row r="65" spans="1:27">
      <c r="A65" s="57" t="str">
        <f>Matching_Engine!$B$65</f>
        <v>Lumaya Skin</v>
      </c>
      <c r="B65" s="57" t="str">
        <f>Matching_Engine!$D$65</f>
        <v>Ibnu Faisal</v>
      </c>
      <c r="C65" s="57" t="str">
        <f>Matching_Engine!$E$65</f>
        <v>@ibnubisnis</v>
      </c>
      <c r="D65" s="70" t="str">
        <f ca="1">Matching_Engine!$AY$65</f>
        <v/>
      </c>
      <c r="E65" s="57" t="str">
        <f>Matching_Engine!$AZ$65</f>
        <v>BRAND-B|KOL-30</v>
      </c>
      <c r="F65" s="57" t="str">
        <f ca="1">IF(NOT(ISNUMBER(Matching_Engine!$AY$65)),"Not scored: no component of the model had data for this account, so no match can be claimed either way.",Matching_Engine!$AZ$65&amp;" — "&amp;Matching_Engine!$AY$65&amp;"/100 against "&amp;Matching_Engine!$B$65&amp;". "&amp;"Strongest factor "&amp;$S$65&amp;" at "&amp;$R$65&amp;"; weakest "&amp;$AA$65&amp;" at "&amp;$Z$65&amp;". "&amp;IF(AND(ISTEXT(Matching_Engine!$G$65),Matching_Engine!$G$65&lt;&gt;"N/A"),"Tagged category "&amp;Matching_Engine!$G$65&amp;" scores "&amp;IF(ISNUMBER(Matching_Engine!$J$65),Matching_Engine!$J$65,0)&amp;" against the brand category "&amp;Matching_Engine!$B$65&amp;" targets. ","Creator carries no category on record, so the category-driven parts fall back to neutral rather than penalising the creator. ")&amp;IF(ISNUMBER(Matching_Engine!$R$65),"Audience-interest overlap "&amp;Matching_Engine!$R$65&amp;". ","Audience interests unmeasured. ")&amp;IF(Matching_Engine!$AX$65&lt;100,"Scored on "&amp;Matching_Engine!$AX$65&amp;" of the 100 nominal weight points; the rest had no data.",""))</f>
        <v>Not scored: no component of the model had data for this account, so no match can be claimed either way.</v>
      </c>
      <c r="G65" s="57" t="str">
        <f ca="1">IF(NOT(ISNUMBER(Matching_Engine!$AY$65)),"N/A",$S$65&amp;" ("&amp;$R$65&amp;"/100)")</f>
        <v>N/A</v>
      </c>
      <c r="H65" s="57" t="str">
        <f ca="1">IF(NOT(ISNUMBER(Matching_Engine!$AY$65)),"N/A",$AA$65&amp;" ("&amp;$Z$65&amp;"/100)")</f>
        <v>N/A</v>
      </c>
      <c r="I65" s="57" t="str">
        <f ca="1">IF(NOT(ISNUMBER(Matching_Engine!$AY$65)),"No data to consider: this account has no measured signal.",IF($Z$65&lt;Lookup_Lists!$D$161,$AA$65&amp;" sits at "&amp;$Z$65&amp;", below the "&amp;Lookup_Lists!$D$161&amp;"-point consideration threshold"&amp;IF(Matching_Engine!$AF$65=0," · Brand Personality Fit could not be scored at all: no creator personality, tone, values or content-style column exists","")&amp;IF(Matching_Engine!$AI$65="N/A"," · posting cadence unusable, so Consistency is excluded from Performance","")&amp;".","No component falls below the "&amp;Lookup_Lists!$D$161&amp;"-point consideration threshold."))</f>
        <v>No data to consider: this account has no measured signal.</v>
      </c>
      <c r="J65" s="57" t="str">
        <f ca="1">Matching_Engine!$AV$65&amp;" — "&amp;Matching_Engine!$AW$65&amp;IF(Matching_Engine!$BB$65="Limited Data"," Confidence is Limited Data: "&amp;Matching_Engine!$BA$65&amp;"% of tracked fields carry a value.","")</f>
        <v>EXCLUDED — Engagement Rate below Minimum Engagement Rate</v>
      </c>
      <c r="K65" s="57" t="str">
        <f ca="1">IF(NOT(ISNUMBER(Matching_Engine!$AY$65)),"Do not shortlist on this data — re-scrape the account first.",IF(Matching_Engine!$AY$65&gt;=Lookup_Lists!$D$156,"Highly Recommended",IF(Matching_Engine!$AY$65&gt;=Lookup_Lists!$D$157,"Recommended",IF(Matching_Engine!$AY$65&gt;=Lookup_Lists!$D$158,"Consider","Low Priority")))&amp;IF(Matching_Engine!$AX$65&lt;100," (on partial data)",""))</f>
        <v>Do not shortlist on this data — re-scrape the account first.</v>
      </c>
      <c r="L65" s="71">
        <f>IF(ISNUMBER(Matching_Engine!$M$65),Matching_Engine!$M$65,-1)</f>
        <v>0</v>
      </c>
      <c r="M65" s="71">
        <f ca="1">IF(ISNUMBER(Matching_Engine!$S$65),Matching_Engine!$S$65,-1)</f>
        <v>50</v>
      </c>
      <c r="N65" s="71">
        <f>IF(ISNUMBER(Matching_Engine!$Y$65),Matching_Engine!$Y$65,-1)</f>
        <v>85</v>
      </c>
      <c r="O65" s="71">
        <f>IF(ISNUMBER(Matching_Engine!$AE$65),Matching_Engine!$AE$65,-1)</f>
        <v>66</v>
      </c>
      <c r="P65" s="71">
        <f>IF(ISNUMBER(Matching_Engine!$AM$65),Matching_Engine!$AM$65,-1)</f>
        <v>-1</v>
      </c>
      <c r="Q65" s="71">
        <f>IF(ISNUMBER(Matching_Engine!$AT$65),Matching_Engine!$AT$65,-1)</f>
        <v>34</v>
      </c>
      <c r="R65" s="71">
        <f ca="1">MAX($L$65:$Q$65)</f>
        <v>85</v>
      </c>
      <c r="S65" s="57" t="str">
        <f ca="1">INDEX({"Brand &amp; Business Relevance","Target Audience Relevance","Content &amp; Category Relevance","Brand Personality Fit","Performance Quality","Brand Safety"},MATCH($R$65,$L$65:$Q$65,0))</f>
        <v>Content &amp; Category Relevance</v>
      </c>
      <c r="T65" s="71">
        <f>IF(ISNUMBER(Matching_Engine!$M$65),Matching_Engine!$M$65,999)</f>
        <v>0</v>
      </c>
      <c r="U65" s="71">
        <f ca="1">IF(ISNUMBER(Matching_Engine!$S$65),Matching_Engine!$S$65,999)</f>
        <v>50</v>
      </c>
      <c r="V65" s="71">
        <f>IF(ISNUMBER(Matching_Engine!$Y$65),Matching_Engine!$Y$65,999)</f>
        <v>85</v>
      </c>
      <c r="W65" s="71">
        <f>IF(ISNUMBER(Matching_Engine!$AE$65),Matching_Engine!$AE$65,999)</f>
        <v>66</v>
      </c>
      <c r="X65" s="71">
        <f>IF(ISNUMBER(Matching_Engine!$AM$65),Matching_Engine!$AM$65,999)</f>
        <v>999</v>
      </c>
      <c r="Y65" s="71">
        <f>IF(ISNUMBER(Matching_Engine!$AT$65),Matching_Engine!$AT$65,999)</f>
        <v>34</v>
      </c>
      <c r="Z65" s="71">
        <f ca="1">MIN($T$65:$Y$65)</f>
        <v>0</v>
      </c>
      <c r="AA65" s="57" t="str">
        <f ca="1">INDEX({"Brand &amp; Business Relevance","Target Audience Relevance","Content &amp; Category Relevance","Brand Personality Fit","Performance Quality","Brand Safety"},MATCH($Z$65,$T$65:$Y$65,0))</f>
        <v>Brand &amp; Business Relevance</v>
      </c>
    </row>
    <row r="66" spans="1:27">
      <c r="A66" s="57" t="str">
        <f>Matching_Engine!$B$66</f>
        <v>Rasa Nusantara</v>
      </c>
      <c r="B66" s="57" t="str">
        <f>Matching_Engine!$D$66</f>
        <v>Ardi Nugraha</v>
      </c>
      <c r="C66" s="57" t="str">
        <f>Matching_Engine!$E$66</f>
        <v>@ardidigital</v>
      </c>
      <c r="D66" s="70" t="str">
        <f ca="1">Matching_Engine!$AY$66</f>
        <v/>
      </c>
      <c r="E66" s="57" t="str">
        <f>Matching_Engine!$AZ$66</f>
        <v>BRAND-C|KOL-01</v>
      </c>
      <c r="F66" s="57" t="str">
        <f ca="1">IF(NOT(ISNUMBER(Matching_Engine!$AY$66)),"Not scored: no component of the model had data for this account, so no match can be claimed either way.",Matching_Engine!$AZ$66&amp;" — "&amp;Matching_Engine!$AY$66&amp;"/100 against "&amp;Matching_Engine!$B$66&amp;". "&amp;"Strongest factor "&amp;$S$66&amp;" at "&amp;$R$66&amp;"; weakest "&amp;$AA$66&amp;" at "&amp;$Z$66&amp;". "&amp;IF(AND(ISTEXT(Matching_Engine!$G$66),Matching_Engine!$G$66&lt;&gt;"N/A"),"Tagged category "&amp;Matching_Engine!$G$66&amp;" scores "&amp;IF(ISNUMBER(Matching_Engine!$J$66),Matching_Engine!$J$66,0)&amp;" against the brand category "&amp;Matching_Engine!$B$66&amp;" targets. ","Creator carries no category on record, so the category-driven parts fall back to neutral rather than penalising the creator. ")&amp;IF(ISNUMBER(Matching_Engine!$R$66),"Audience-interest overlap "&amp;Matching_Engine!$R$66&amp;". ","Audience interests unmeasured. ")&amp;IF(Matching_Engine!$AX$66&lt;100,"Scored on "&amp;Matching_Engine!$AX$66&amp;" of the 100 nominal weight points; the rest had no data.",""))</f>
        <v>Not scored: no component of the model had data for this account, so no match can be claimed either way.</v>
      </c>
      <c r="G66" s="57" t="str">
        <f ca="1">IF(NOT(ISNUMBER(Matching_Engine!$AY$66)),"N/A",$S$66&amp;" ("&amp;$R$66&amp;"/100)")</f>
        <v>N/A</v>
      </c>
      <c r="H66" s="57" t="str">
        <f ca="1">IF(NOT(ISNUMBER(Matching_Engine!$AY$66)),"N/A",$AA$66&amp;" ("&amp;$Z$66&amp;"/100)")</f>
        <v>N/A</v>
      </c>
      <c r="I66" s="57" t="str">
        <f ca="1">IF(NOT(ISNUMBER(Matching_Engine!$AY$66)),"No data to consider: this account has no measured signal.",IF($Z$66&lt;Lookup_Lists!$D$161,$AA$66&amp;" sits at "&amp;$Z$66&amp;", below the "&amp;Lookup_Lists!$D$161&amp;"-point consideration threshold"&amp;IF(Matching_Engine!$AF$66=0," · Brand Personality Fit could not be scored at all: no creator personality, tone, values or content-style column exists","")&amp;IF(Matching_Engine!$AI$66="N/A"," · posting cadence unusable, so Consistency is excluded from Performance","")&amp;".","No component falls below the "&amp;Lookup_Lists!$D$161&amp;"-point consideration threshold."))</f>
        <v>No data to consider: this account has no measured signal.</v>
      </c>
      <c r="J66" s="57" t="str">
        <f ca="1">Matching_Engine!$AV$66&amp;" — "&amp;Matching_Engine!$AW$66&amp;IF(Matching_Engine!$BB$66="Limited Data"," Confidence is Limited Data: "&amp;Matching_Engine!$BA$66&amp;"% of tracked fields carry a value.","")</f>
        <v>EXCLUDED — Tier not in Preferred Tier</v>
      </c>
      <c r="K66" s="57" t="str">
        <f ca="1">IF(NOT(ISNUMBER(Matching_Engine!$AY$66)),"Do not shortlist on this data — re-scrape the account first.",IF(Matching_Engine!$AY$66&gt;=Lookup_Lists!$D$156,"Highly Recommended",IF(Matching_Engine!$AY$66&gt;=Lookup_Lists!$D$157,"Recommended",IF(Matching_Engine!$AY$66&gt;=Lookup_Lists!$D$158,"Consider","Low Priority")))&amp;IF(Matching_Engine!$AX$66&lt;100," (on partial data)",""))</f>
        <v>Do not shortlist on this data — re-scrape the account first.</v>
      </c>
      <c r="L66" s="71">
        <f>IF(ISNUMBER(Matching_Engine!$M$66),Matching_Engine!$M$66,-1)</f>
        <v>20</v>
      </c>
      <c r="M66" s="71">
        <f ca="1">IF(ISNUMBER(Matching_Engine!$S$66),Matching_Engine!$S$66,-1)</f>
        <v>67</v>
      </c>
      <c r="N66" s="71">
        <f>IF(ISNUMBER(Matching_Engine!$Y$66),Matching_Engine!$Y$66,-1)</f>
        <v>60</v>
      </c>
      <c r="O66" s="71">
        <f>IF(ISNUMBER(Matching_Engine!$AE$66),Matching_Engine!$AE$66,-1)</f>
        <v>83</v>
      </c>
      <c r="P66" s="71">
        <f>IF(ISNUMBER(Matching_Engine!$AM$66),Matching_Engine!$AM$66,-1)</f>
        <v>-1</v>
      </c>
      <c r="Q66" s="71">
        <f>IF(ISNUMBER(Matching_Engine!$AT$66),Matching_Engine!$AT$66,-1)</f>
        <v>28</v>
      </c>
      <c r="R66" s="71">
        <f ca="1">MAX($L$66:$Q$66)</f>
        <v>83</v>
      </c>
      <c r="S66" s="57" t="str">
        <f ca="1">INDEX({"Brand &amp; Business Relevance","Target Audience Relevance","Content &amp; Category Relevance","Brand Personality Fit","Performance Quality","Brand Safety"},MATCH($R$66,$L$66:$Q$66,0))</f>
        <v>Brand Personality Fit</v>
      </c>
      <c r="T66" s="71">
        <f>IF(ISNUMBER(Matching_Engine!$M$66),Matching_Engine!$M$66,999)</f>
        <v>20</v>
      </c>
      <c r="U66" s="71">
        <f ca="1">IF(ISNUMBER(Matching_Engine!$S$66),Matching_Engine!$S$66,999)</f>
        <v>67</v>
      </c>
      <c r="V66" s="71">
        <f>IF(ISNUMBER(Matching_Engine!$Y$66),Matching_Engine!$Y$66,999)</f>
        <v>60</v>
      </c>
      <c r="W66" s="71">
        <f>IF(ISNUMBER(Matching_Engine!$AE$66),Matching_Engine!$AE$66,999)</f>
        <v>83</v>
      </c>
      <c r="X66" s="71">
        <f>IF(ISNUMBER(Matching_Engine!$AM$66),Matching_Engine!$AM$66,999)</f>
        <v>999</v>
      </c>
      <c r="Y66" s="71">
        <f>IF(ISNUMBER(Matching_Engine!$AT$66),Matching_Engine!$AT$66,999)</f>
        <v>28</v>
      </c>
      <c r="Z66" s="71">
        <f ca="1">MIN($T$66:$Y$66)</f>
        <v>20</v>
      </c>
      <c r="AA66" s="57" t="str">
        <f ca="1">INDEX({"Brand &amp; Business Relevance","Target Audience Relevance","Content &amp; Category Relevance","Brand Personality Fit","Performance Quality","Brand Safety"},MATCH($Z$66,$T$66:$Y$66,0))</f>
        <v>Brand &amp; Business Relevance</v>
      </c>
    </row>
    <row r="67" spans="1:27">
      <c r="A67" s="57" t="str">
        <f>Matching_Engine!$B$67</f>
        <v>Rasa Nusantara</v>
      </c>
      <c r="B67" s="57" t="str">
        <f>Matching_Engine!$D$67</f>
        <v>Rifqi Pratama</v>
      </c>
      <c r="C67" s="57" t="str">
        <f>Matching_Engine!$E$67</f>
        <v>@rifqi.codes</v>
      </c>
      <c r="D67" s="70">
        <f ca="1">Matching_Engine!$AY$67</f>
        <v>47</v>
      </c>
      <c r="E67" s="57" t="str">
        <f>Matching_Engine!$AZ$67</f>
        <v>BRAND-C|KOL-02</v>
      </c>
      <c r="F67" s="57" t="str">
        <f ca="1">IF(NOT(ISNUMBER(Matching_Engine!$AY$67)),"Not scored: no component of the model had data for this account, so no match can be claimed either way.",Matching_Engine!$AZ$67&amp;" — "&amp;Matching_Engine!$AY$67&amp;"/100 against "&amp;Matching_Engine!$B$67&amp;". "&amp;"Strongest factor "&amp;$S$67&amp;" at "&amp;$R$67&amp;"; weakest "&amp;$AA$67&amp;" at "&amp;$Z$67&amp;". "&amp;IF(AND(ISTEXT(Matching_Engine!$G$67),Matching_Engine!$G$67&lt;&gt;"N/A"),"Tagged category "&amp;Matching_Engine!$G$67&amp;" scores "&amp;IF(ISNUMBER(Matching_Engine!$J$67),Matching_Engine!$J$67,0)&amp;" against the brand category "&amp;Matching_Engine!$B$67&amp;" targets. ","Creator carries no category on record, so the category-driven parts fall back to neutral rather than penalising the creator. ")&amp;IF(ISNUMBER(Matching_Engine!$R$67),"Audience-interest overlap "&amp;Matching_Engine!$R$67&amp;". ","Audience interests unmeasured. ")&amp;IF(Matching_Engine!$AX$67&lt;100,"Scored on "&amp;Matching_Engine!$AX$67&amp;" of the 100 nominal weight points; the rest had no data.",""))</f>
        <v>BRAND-C|KOL-02 — 47/100 against Rasa Nusantara. Strongest factor Brand Personality Fit at 75; weakest Brand &amp; Business Relevance at 0. Tagged category Tech scores 6,2 against the brand category Rasa Nusantara targets. Audience-interest overlap 0. </v>
      </c>
      <c r="G67" s="57" t="str">
        <f ca="1">IF(NOT(ISNUMBER(Matching_Engine!$AY$67)),"N/A",$S$67&amp;" ("&amp;$R$67&amp;"/100)")</f>
        <v>Brand Personality Fit (75/100)</v>
      </c>
      <c r="H67" s="57" t="str">
        <f ca="1">IF(NOT(ISNUMBER(Matching_Engine!$AY$67)),"N/A",$AA$67&amp;" ("&amp;$Z$67&amp;"/100)")</f>
        <v>Brand &amp; Business Relevance (0/100)</v>
      </c>
      <c r="I67" s="57" t="str">
        <f ca="1">IF(NOT(ISNUMBER(Matching_Engine!$AY$67)),"No data to consider: this account has no measured signal.",IF($Z$67&lt;Lookup_Lists!$D$161,$AA$67&amp;" sits at "&amp;$Z$67&amp;", below the "&amp;Lookup_Lists!$D$161&amp;"-point consideration threshold"&amp;IF(Matching_Engine!$AF$67=0," · Brand Personality Fit could not be scored at all: no creator personality, tone, values or content-style column exists","")&amp;IF(Matching_Engine!$AI$67="N/A"," · posting cadence unusable, so Consistency is excluded from Performance","")&amp;".","No component falls below the "&amp;Lookup_Lists!$D$161&amp;"-point consideration threshold."))</f>
        <v>Brand &amp; Business Relevance sits at 0, below the 75-point consideration threshold.</v>
      </c>
      <c r="J67" s="57" t="str">
        <f ca="1">Matching_Engine!$AV$67&amp;" — "&amp;Matching_Engine!$AW$67&amp;IF(Matching_Engine!$BB$67="Limited Data"," Confidence is Limited Data: "&amp;Matching_Engine!$BA$67&amp;"% of tracked fields carry a value.","")</f>
        <v>PASS — </v>
      </c>
      <c r="K67" s="57" t="str">
        <f ca="1">IF(NOT(ISNUMBER(Matching_Engine!$AY$67)),"Do not shortlist on this data — re-scrape the account first.",IF(Matching_Engine!$AY$67&gt;=Lookup_Lists!$D$156,"Highly Recommended",IF(Matching_Engine!$AY$67&gt;=Lookup_Lists!$D$157,"Recommended",IF(Matching_Engine!$AY$67&gt;=Lookup_Lists!$D$158,"Consider","Low Priority")))&amp;IF(Matching_Engine!$AX$67&lt;100," (on partial data)",""))</f>
        <v>Low Priority</v>
      </c>
      <c r="L67" s="71">
        <f>IF(ISNUMBER(Matching_Engine!$M$67),Matching_Engine!$M$67,-1)</f>
        <v>0</v>
      </c>
      <c r="M67" s="71">
        <f ca="1">IF(ISNUMBER(Matching_Engine!$S$67),Matching_Engine!$S$67,-1)</f>
        <v>64</v>
      </c>
      <c r="N67" s="71">
        <f>IF(ISNUMBER(Matching_Engine!$Y$67),Matching_Engine!$Y$67,-1)</f>
        <v>60</v>
      </c>
      <c r="O67" s="71">
        <f>IF(ISNUMBER(Matching_Engine!$AE$67),Matching_Engine!$AE$67,-1)</f>
        <v>75</v>
      </c>
      <c r="P67" s="71">
        <f>IF(ISNUMBER(Matching_Engine!$AM$67),Matching_Engine!$AM$67,-1)</f>
        <v>-1</v>
      </c>
      <c r="Q67" s="71">
        <f>IF(ISNUMBER(Matching_Engine!$AT$67),Matching_Engine!$AT$67,-1)</f>
        <v>26</v>
      </c>
      <c r="R67" s="71">
        <f ca="1">MAX($L$67:$Q$67)</f>
        <v>75</v>
      </c>
      <c r="S67" s="57" t="str">
        <f ca="1">INDEX({"Brand &amp; Business Relevance","Target Audience Relevance","Content &amp; Category Relevance","Brand Personality Fit","Performance Quality","Brand Safety"},MATCH($R$67,$L$67:$Q$67,0))</f>
        <v>Brand Personality Fit</v>
      </c>
      <c r="T67" s="71">
        <f>IF(ISNUMBER(Matching_Engine!$M$67),Matching_Engine!$M$67,999)</f>
        <v>0</v>
      </c>
      <c r="U67" s="71">
        <f ca="1">IF(ISNUMBER(Matching_Engine!$S$67),Matching_Engine!$S$67,999)</f>
        <v>64</v>
      </c>
      <c r="V67" s="71">
        <f>IF(ISNUMBER(Matching_Engine!$Y$67),Matching_Engine!$Y$67,999)</f>
        <v>60</v>
      </c>
      <c r="W67" s="71">
        <f>IF(ISNUMBER(Matching_Engine!$AE$67),Matching_Engine!$AE$67,999)</f>
        <v>75</v>
      </c>
      <c r="X67" s="71">
        <f>IF(ISNUMBER(Matching_Engine!$AM$67),Matching_Engine!$AM$67,999)</f>
        <v>999</v>
      </c>
      <c r="Y67" s="71">
        <f>IF(ISNUMBER(Matching_Engine!$AT$67),Matching_Engine!$AT$67,999)</f>
        <v>26</v>
      </c>
      <c r="Z67" s="71">
        <f ca="1">MIN($T$67:$Y$67)</f>
        <v>0</v>
      </c>
      <c r="AA67" s="57" t="str">
        <f ca="1">INDEX({"Brand &amp; Business Relevance","Target Audience Relevance","Content &amp; Category Relevance","Brand Personality Fit","Performance Quality","Brand Safety"},MATCH($Z$67,$T$67:$Y$67,0))</f>
        <v>Brand &amp; Business Relevance</v>
      </c>
    </row>
    <row r="68" spans="1:27">
      <c r="A68" s="57" t="str">
        <f>Matching_Engine!$B$68</f>
        <v>Rasa Nusantara</v>
      </c>
      <c r="B68" s="57" t="str">
        <f>Matching_Engine!$D$68</f>
        <v>Salsa Aulia</v>
      </c>
      <c r="C68" s="57" t="str">
        <f>Matching_Engine!$E$68</f>
        <v>@salsabeautydiary</v>
      </c>
      <c r="D68" s="70" t="str">
        <f ca="1">Matching_Engine!$AY$68</f>
        <v/>
      </c>
      <c r="E68" s="57" t="str">
        <f>Matching_Engine!$AZ$68</f>
        <v>BRAND-C|KOL-03</v>
      </c>
      <c r="F68" s="57" t="str">
        <f ca="1">IF(NOT(ISNUMBER(Matching_Engine!$AY$68)),"Not scored: no component of the model had data for this account, so no match can be claimed either way.",Matching_Engine!$AZ$68&amp;" — "&amp;Matching_Engine!$AY$68&amp;"/100 against "&amp;Matching_Engine!$B$68&amp;". "&amp;"Strongest factor "&amp;$S$68&amp;" at "&amp;$R$68&amp;"; weakest "&amp;$AA$68&amp;" at "&amp;$Z$68&amp;". "&amp;IF(AND(ISTEXT(Matching_Engine!$G$68),Matching_Engine!$G$68&lt;&gt;"N/A"),"Tagged category "&amp;Matching_Engine!$G$68&amp;" scores "&amp;IF(ISNUMBER(Matching_Engine!$J$68),Matching_Engine!$J$68,0)&amp;" against the brand category "&amp;Matching_Engine!$B$68&amp;" targets. ","Creator carries no category on record, so the category-driven parts fall back to neutral rather than penalising the creator. ")&amp;IF(ISNUMBER(Matching_Engine!$R$68),"Audience-interest overlap "&amp;Matching_Engine!$R$68&amp;". ","Audience interests unmeasured. ")&amp;IF(Matching_Engine!$AX$68&lt;100,"Scored on "&amp;Matching_Engine!$AX$68&amp;" of the 100 nominal weight points; the rest had no data.",""))</f>
        <v>Not scored: no component of the model had data for this account, so no match can be claimed either way.</v>
      </c>
      <c r="G68" s="57" t="str">
        <f ca="1">IF(NOT(ISNUMBER(Matching_Engine!$AY$68)),"N/A",$S$68&amp;" ("&amp;$R$68&amp;"/100)")</f>
        <v>N/A</v>
      </c>
      <c r="H68" s="57" t="str">
        <f ca="1">IF(NOT(ISNUMBER(Matching_Engine!$AY$68)),"N/A",$AA$68&amp;" ("&amp;$Z$68&amp;"/100)")</f>
        <v>N/A</v>
      </c>
      <c r="I68" s="57" t="str">
        <f ca="1">IF(NOT(ISNUMBER(Matching_Engine!$AY$68)),"No data to consider: this account has no measured signal.",IF($Z$68&lt;Lookup_Lists!$D$161,$AA$68&amp;" sits at "&amp;$Z$68&amp;", below the "&amp;Lookup_Lists!$D$161&amp;"-point consideration threshold"&amp;IF(Matching_Engine!$AF$68=0," · Brand Personality Fit could not be scored at all: no creator personality, tone, values or content-style column exists","")&amp;IF(Matching_Engine!$AI$68="N/A"," · posting cadence unusable, so Consistency is excluded from Performance","")&amp;".","No component falls below the "&amp;Lookup_Lists!$D$161&amp;"-point consideration threshold."))</f>
        <v>No data to consider: this account has no measured signal.</v>
      </c>
      <c r="J68" s="57" t="str">
        <f ca="1">Matching_Engine!$AV$68&amp;" — "&amp;Matching_Engine!$AW$68&amp;IF(Matching_Engine!$BB$68="Limited Data"," Confidence is Limited Data: "&amp;Matching_Engine!$BA$68&amp;"% of tracked fields carry a value.","")</f>
        <v>EXCLUDED — Tier not in Preferred Tier</v>
      </c>
      <c r="K68" s="57" t="str">
        <f ca="1">IF(NOT(ISNUMBER(Matching_Engine!$AY$68)),"Do not shortlist on this data — re-scrape the account first.",IF(Matching_Engine!$AY$68&gt;=Lookup_Lists!$D$156,"Highly Recommended",IF(Matching_Engine!$AY$68&gt;=Lookup_Lists!$D$157,"Recommended",IF(Matching_Engine!$AY$68&gt;=Lookup_Lists!$D$158,"Consider","Low Priority")))&amp;IF(Matching_Engine!$AX$68&lt;100," (on partial data)",""))</f>
        <v>Do not shortlist on this data — re-scrape the account first.</v>
      </c>
      <c r="L68" s="71">
        <f>IF(ISNUMBER(Matching_Engine!$M$68),Matching_Engine!$M$68,-1)</f>
        <v>20</v>
      </c>
      <c r="M68" s="71">
        <f ca="1">IF(ISNUMBER(Matching_Engine!$S$68),Matching_Engine!$S$68,-1)</f>
        <v>63</v>
      </c>
      <c r="N68" s="71">
        <f>IF(ISNUMBER(Matching_Engine!$Y$68),Matching_Engine!$Y$68,-1)</f>
        <v>60</v>
      </c>
      <c r="O68" s="71">
        <f>IF(ISNUMBER(Matching_Engine!$AE$68),Matching_Engine!$AE$68,-1)</f>
        <v>77</v>
      </c>
      <c r="P68" s="71">
        <f>IF(ISNUMBER(Matching_Engine!$AM$68),Matching_Engine!$AM$68,-1)</f>
        <v>-1</v>
      </c>
      <c r="Q68" s="71">
        <f>IF(ISNUMBER(Matching_Engine!$AT$68),Matching_Engine!$AT$68,-1)</f>
        <v>40</v>
      </c>
      <c r="R68" s="71">
        <f ca="1">MAX($L$68:$Q$68)</f>
        <v>77</v>
      </c>
      <c r="S68" s="57" t="str">
        <f ca="1">INDEX({"Brand &amp; Business Relevance","Target Audience Relevance","Content &amp; Category Relevance","Brand Personality Fit","Performance Quality","Brand Safety"},MATCH($R$68,$L$68:$Q$68,0))</f>
        <v>Brand Personality Fit</v>
      </c>
      <c r="T68" s="71">
        <f>IF(ISNUMBER(Matching_Engine!$M$68),Matching_Engine!$M$68,999)</f>
        <v>20</v>
      </c>
      <c r="U68" s="71">
        <f ca="1">IF(ISNUMBER(Matching_Engine!$S$68),Matching_Engine!$S$68,999)</f>
        <v>63</v>
      </c>
      <c r="V68" s="71">
        <f>IF(ISNUMBER(Matching_Engine!$Y$68),Matching_Engine!$Y$68,999)</f>
        <v>60</v>
      </c>
      <c r="W68" s="71">
        <f>IF(ISNUMBER(Matching_Engine!$AE$68),Matching_Engine!$AE$68,999)</f>
        <v>77</v>
      </c>
      <c r="X68" s="71">
        <f>IF(ISNUMBER(Matching_Engine!$AM$68),Matching_Engine!$AM$68,999)</f>
        <v>999</v>
      </c>
      <c r="Y68" s="71">
        <f>IF(ISNUMBER(Matching_Engine!$AT$68),Matching_Engine!$AT$68,999)</f>
        <v>40</v>
      </c>
      <c r="Z68" s="71">
        <f ca="1">MIN($T$68:$Y$68)</f>
        <v>20</v>
      </c>
      <c r="AA68" s="57" t="str">
        <f ca="1">INDEX({"Brand &amp; Business Relevance","Target Audience Relevance","Content &amp; Category Relevance","Brand Personality Fit","Performance Quality","Brand Safety"},MATCH($Z$68,$T$68:$Y$68,0))</f>
        <v>Brand &amp; Business Relevance</v>
      </c>
    </row>
    <row r="69" spans="1:27">
      <c r="A69" s="57" t="str">
        <f>Matching_Engine!$B$69</f>
        <v>Rasa Nusantara</v>
      </c>
      <c r="B69" s="57" t="str">
        <f>Matching_Engine!$D$69</f>
        <v>Nadia Puspa</v>
      </c>
      <c r="C69" s="57" t="str">
        <f>Matching_Engine!$E$69</f>
        <v>@nadiaglowup</v>
      </c>
      <c r="D69" s="70" t="str">
        <f ca="1">Matching_Engine!$AY$69</f>
        <v/>
      </c>
      <c r="E69" s="57" t="str">
        <f>Matching_Engine!$AZ$69</f>
        <v>BRAND-C|KOL-04</v>
      </c>
      <c r="F69" s="57" t="str">
        <f ca="1">IF(NOT(ISNUMBER(Matching_Engine!$AY$69)),"Not scored: no component of the model had data for this account, so no match can be claimed either way.",Matching_Engine!$AZ$69&amp;" — "&amp;Matching_Engine!$AY$69&amp;"/100 against "&amp;Matching_Engine!$B$69&amp;". "&amp;"Strongest factor "&amp;$S$69&amp;" at "&amp;$R$69&amp;"; weakest "&amp;$AA$69&amp;" at "&amp;$Z$69&amp;". "&amp;IF(AND(ISTEXT(Matching_Engine!$G$69),Matching_Engine!$G$69&lt;&gt;"N/A"),"Tagged category "&amp;Matching_Engine!$G$69&amp;" scores "&amp;IF(ISNUMBER(Matching_Engine!$J$69),Matching_Engine!$J$69,0)&amp;" against the brand category "&amp;Matching_Engine!$B$69&amp;" targets. ","Creator carries no category on record, so the category-driven parts fall back to neutral rather than penalising the creator. ")&amp;IF(ISNUMBER(Matching_Engine!$R$69),"Audience-interest overlap "&amp;Matching_Engine!$R$69&amp;". ","Audience interests unmeasured. ")&amp;IF(Matching_Engine!$AX$69&lt;100,"Scored on "&amp;Matching_Engine!$AX$69&amp;" of the 100 nominal weight points; the rest had no data.",""))</f>
        <v>Not scored: no component of the model had data for this account, so no match can be claimed either way.</v>
      </c>
      <c r="G69" s="57" t="str">
        <f ca="1">IF(NOT(ISNUMBER(Matching_Engine!$AY$69)),"N/A",$S$69&amp;" ("&amp;$R$69&amp;"/100)")</f>
        <v>N/A</v>
      </c>
      <c r="H69" s="57" t="str">
        <f ca="1">IF(NOT(ISNUMBER(Matching_Engine!$AY$69)),"N/A",$AA$69&amp;" ("&amp;$Z$69&amp;"/100)")</f>
        <v>N/A</v>
      </c>
      <c r="I69" s="57" t="str">
        <f ca="1">IF(NOT(ISNUMBER(Matching_Engine!$AY$69)),"No data to consider: this account has no measured signal.",IF($Z$69&lt;Lookup_Lists!$D$161,$AA$69&amp;" sits at "&amp;$Z$69&amp;", below the "&amp;Lookup_Lists!$D$161&amp;"-point consideration threshold"&amp;IF(Matching_Engine!$AF$69=0," · Brand Personality Fit could not be scored at all: no creator personality, tone, values or content-style column exists","")&amp;IF(Matching_Engine!$AI$69="N/A"," · posting cadence unusable, so Consistency is excluded from Performance","")&amp;".","No component falls below the "&amp;Lookup_Lists!$D$161&amp;"-point consideration threshold."))</f>
        <v>No data to consider: this account has no measured signal.</v>
      </c>
      <c r="J69" s="57" t="str">
        <f ca="1">Matching_Engine!$AV$69&amp;" — "&amp;Matching_Engine!$AW$69&amp;IF(Matching_Engine!$BB$69="Limited Data"," Confidence is Limited Data: "&amp;Matching_Engine!$BA$69&amp;"% of tracked fields carry a value.","")</f>
        <v>EXCLUDED — Followers above Preferred Follower Range</v>
      </c>
      <c r="K69" s="57" t="str">
        <f ca="1">IF(NOT(ISNUMBER(Matching_Engine!$AY$69)),"Do not shortlist on this data — re-scrape the account first.",IF(Matching_Engine!$AY$69&gt;=Lookup_Lists!$D$156,"Highly Recommended",IF(Matching_Engine!$AY$69&gt;=Lookup_Lists!$D$157,"Recommended",IF(Matching_Engine!$AY$69&gt;=Lookup_Lists!$D$158,"Consider","Low Priority")))&amp;IF(Matching_Engine!$AX$69&lt;100," (on partial data)",""))</f>
        <v>Do not shortlist on this data — re-scrape the account first.</v>
      </c>
      <c r="L69" s="71">
        <f>IF(ISNUMBER(Matching_Engine!$M$69),Matching_Engine!$M$69,-1)</f>
        <v>40</v>
      </c>
      <c r="M69" s="71">
        <f ca="1">IF(ISNUMBER(Matching_Engine!$S$69),Matching_Engine!$S$69,-1)</f>
        <v>64</v>
      </c>
      <c r="N69" s="71">
        <f>IF(ISNUMBER(Matching_Engine!$Y$69),Matching_Engine!$Y$69,-1)</f>
        <v>60</v>
      </c>
      <c r="O69" s="71">
        <f>IF(ISNUMBER(Matching_Engine!$AE$69),Matching_Engine!$AE$69,-1)</f>
        <v>82</v>
      </c>
      <c r="P69" s="71">
        <f>IF(ISNUMBER(Matching_Engine!$AM$69),Matching_Engine!$AM$69,-1)</f>
        <v>-1</v>
      </c>
      <c r="Q69" s="71">
        <f>IF(ISNUMBER(Matching_Engine!$AT$69),Matching_Engine!$AT$69,-1)</f>
        <v>46</v>
      </c>
      <c r="R69" s="71">
        <f ca="1">MAX($L$69:$Q$69)</f>
        <v>82</v>
      </c>
      <c r="S69" s="57" t="str">
        <f ca="1">INDEX({"Brand &amp; Business Relevance","Target Audience Relevance","Content &amp; Category Relevance","Brand Personality Fit","Performance Quality","Brand Safety"},MATCH($R$69,$L$69:$Q$69,0))</f>
        <v>Brand Personality Fit</v>
      </c>
      <c r="T69" s="71">
        <f>IF(ISNUMBER(Matching_Engine!$M$69),Matching_Engine!$M$69,999)</f>
        <v>40</v>
      </c>
      <c r="U69" s="71">
        <f ca="1">IF(ISNUMBER(Matching_Engine!$S$69),Matching_Engine!$S$69,999)</f>
        <v>64</v>
      </c>
      <c r="V69" s="71">
        <f>IF(ISNUMBER(Matching_Engine!$Y$69),Matching_Engine!$Y$69,999)</f>
        <v>60</v>
      </c>
      <c r="W69" s="71">
        <f>IF(ISNUMBER(Matching_Engine!$AE$69),Matching_Engine!$AE$69,999)</f>
        <v>82</v>
      </c>
      <c r="X69" s="71">
        <f>IF(ISNUMBER(Matching_Engine!$AM$69),Matching_Engine!$AM$69,999)</f>
        <v>999</v>
      </c>
      <c r="Y69" s="71">
        <f>IF(ISNUMBER(Matching_Engine!$AT$69),Matching_Engine!$AT$69,999)</f>
        <v>46</v>
      </c>
      <c r="Z69" s="71">
        <f ca="1">MIN($T$69:$Y$69)</f>
        <v>40</v>
      </c>
      <c r="AA69" s="57" t="str">
        <f ca="1">INDEX({"Brand &amp; Business Relevance","Target Audience Relevance","Content &amp; Category Relevance","Brand Personality Fit","Performance Quality","Brand Safety"},MATCH($Z$69,$T$69:$Y$69,0))</f>
        <v>Brand &amp; Business Relevance</v>
      </c>
    </row>
    <row r="70" spans="1:27">
      <c r="A70" s="57" t="str">
        <f>Matching_Engine!$B$70</f>
        <v>Rasa Nusantara</v>
      </c>
      <c r="B70" s="57" t="str">
        <f>Matching_Engine!$D$70</f>
        <v>Bimo Saputra</v>
      </c>
      <c r="C70" s="57" t="str">
        <f>Matching_Engine!$E$70</f>
        <v>@bimomakan</v>
      </c>
      <c r="D70" s="70" t="str">
        <f ca="1">Matching_Engine!$AY$70</f>
        <v/>
      </c>
      <c r="E70" s="57" t="str">
        <f>Matching_Engine!$AZ$70</f>
        <v>BRAND-C|KOL-05</v>
      </c>
      <c r="F70" s="57" t="str">
        <f ca="1">IF(NOT(ISNUMBER(Matching_Engine!$AY$70)),"Not scored: no component of the model had data for this account, so no match can be claimed either way.",Matching_Engine!$AZ$70&amp;" — "&amp;Matching_Engine!$AY$70&amp;"/100 against "&amp;Matching_Engine!$B$70&amp;". "&amp;"Strongest factor "&amp;$S$70&amp;" at "&amp;$R$70&amp;"; weakest "&amp;$AA$70&amp;" at "&amp;$Z$70&amp;". "&amp;IF(AND(ISTEXT(Matching_Engine!$G$70),Matching_Engine!$G$70&lt;&gt;"N/A"),"Tagged category "&amp;Matching_Engine!$G$70&amp;" scores "&amp;IF(ISNUMBER(Matching_Engine!$J$70),Matching_Engine!$J$70,0)&amp;" against the brand category "&amp;Matching_Engine!$B$70&amp;" targets. ","Creator carries no category on record, so the category-driven parts fall back to neutral rather than penalising the creator. ")&amp;IF(ISNUMBER(Matching_Engine!$R$70),"Audience-interest overlap "&amp;Matching_Engine!$R$70&amp;". ","Audience interests unmeasured. ")&amp;IF(Matching_Engine!$AX$70&lt;100,"Scored on "&amp;Matching_Engine!$AX$70&amp;" of the 100 nominal weight points; the rest had no data.",""))</f>
        <v>Not scored: no component of the model had data for this account, so no match can be claimed either way.</v>
      </c>
      <c r="G70" s="57" t="str">
        <f ca="1">IF(NOT(ISNUMBER(Matching_Engine!$AY$70)),"N/A",$S$70&amp;" ("&amp;$R$70&amp;"/100)")</f>
        <v>N/A</v>
      </c>
      <c r="H70" s="57" t="str">
        <f ca="1">IF(NOT(ISNUMBER(Matching_Engine!$AY$70)),"N/A",$AA$70&amp;" ("&amp;$Z$70&amp;"/100)")</f>
        <v>N/A</v>
      </c>
      <c r="I70" s="57" t="str">
        <f ca="1">IF(NOT(ISNUMBER(Matching_Engine!$AY$70)),"No data to consider: this account has no measured signal.",IF($Z$70&lt;Lookup_Lists!$D$161,$AA$70&amp;" sits at "&amp;$Z$70&amp;", below the "&amp;Lookup_Lists!$D$161&amp;"-point consideration threshold"&amp;IF(Matching_Engine!$AF$70=0," · Brand Personality Fit could not be scored at all: no creator personality, tone, values or content-style column exists","")&amp;IF(Matching_Engine!$AI$70="N/A"," · posting cadence unusable, so Consistency is excluded from Performance","")&amp;".","No component falls below the "&amp;Lookup_Lists!$D$161&amp;"-point consideration threshold."))</f>
        <v>No data to consider: this account has no measured signal.</v>
      </c>
      <c r="J70" s="57" t="str">
        <f ca="1">Matching_Engine!$AV$70&amp;" — "&amp;Matching_Engine!$AW$70&amp;IF(Matching_Engine!$BB$70="Limited Data"," Confidence is Limited Data: "&amp;Matching_Engine!$BA$70&amp;"% of tracked fields carry a value.","")</f>
        <v>EXCLUDED — Tier not in Preferred Tier</v>
      </c>
      <c r="K70" s="57" t="str">
        <f ca="1">IF(NOT(ISNUMBER(Matching_Engine!$AY$70)),"Do not shortlist on this data — re-scrape the account first.",IF(Matching_Engine!$AY$70&gt;=Lookup_Lists!$D$156,"Highly Recommended",IF(Matching_Engine!$AY$70&gt;=Lookup_Lists!$D$157,"Recommended",IF(Matching_Engine!$AY$70&gt;=Lookup_Lists!$D$158,"Consider","Low Priority")))&amp;IF(Matching_Engine!$AX$70&lt;100," (on partial data)",""))</f>
        <v>Do not shortlist on this data — re-scrape the account first.</v>
      </c>
      <c r="L70" s="71">
        <f>IF(ISNUMBER(Matching_Engine!$M$70),Matching_Engine!$M$70,-1)</f>
        <v>80</v>
      </c>
      <c r="M70" s="71">
        <f ca="1">IF(ISNUMBER(Matching_Engine!$S$70),Matching_Engine!$S$70,-1)</f>
        <v>91</v>
      </c>
      <c r="N70" s="71">
        <f>IF(ISNUMBER(Matching_Engine!$Y$70),Matching_Engine!$Y$70,-1)</f>
        <v>100</v>
      </c>
      <c r="O70" s="71">
        <f>IF(ISNUMBER(Matching_Engine!$AE$70),Matching_Engine!$AE$70,-1)</f>
        <v>70</v>
      </c>
      <c r="P70" s="71">
        <f>IF(ISNUMBER(Matching_Engine!$AM$70),Matching_Engine!$AM$70,-1)</f>
        <v>-1</v>
      </c>
      <c r="Q70" s="71">
        <f>IF(ISNUMBER(Matching_Engine!$AT$70),Matching_Engine!$AT$70,-1)</f>
        <v>84</v>
      </c>
      <c r="R70" s="71">
        <f ca="1">MAX($L$70:$Q$70)</f>
        <v>100</v>
      </c>
      <c r="S70" s="57" t="str">
        <f ca="1">INDEX({"Brand &amp; Business Relevance","Target Audience Relevance","Content &amp; Category Relevance","Brand Personality Fit","Performance Quality","Brand Safety"},MATCH($R$70,$L$70:$Q$70,0))</f>
        <v>Content &amp; Category Relevance</v>
      </c>
      <c r="T70" s="71">
        <f>IF(ISNUMBER(Matching_Engine!$M$70),Matching_Engine!$M$70,999)</f>
        <v>80</v>
      </c>
      <c r="U70" s="71">
        <f ca="1">IF(ISNUMBER(Matching_Engine!$S$70),Matching_Engine!$S$70,999)</f>
        <v>91</v>
      </c>
      <c r="V70" s="71">
        <f>IF(ISNUMBER(Matching_Engine!$Y$70),Matching_Engine!$Y$70,999)</f>
        <v>100</v>
      </c>
      <c r="W70" s="71">
        <f>IF(ISNUMBER(Matching_Engine!$AE$70),Matching_Engine!$AE$70,999)</f>
        <v>70</v>
      </c>
      <c r="X70" s="71">
        <f>IF(ISNUMBER(Matching_Engine!$AM$70),Matching_Engine!$AM$70,999)</f>
        <v>999</v>
      </c>
      <c r="Y70" s="71">
        <f>IF(ISNUMBER(Matching_Engine!$AT$70),Matching_Engine!$AT$70,999)</f>
        <v>84</v>
      </c>
      <c r="Z70" s="71">
        <f ca="1">MIN($T$70:$Y$70)</f>
        <v>70</v>
      </c>
      <c r="AA70" s="57" t="str">
        <f ca="1">INDEX({"Brand &amp; Business Relevance","Target Audience Relevance","Content &amp; Category Relevance","Brand Personality Fit","Performance Quality","Brand Safety"},MATCH($Z$70,$T$70:$Y$70,0))</f>
        <v>Brand Personality Fit</v>
      </c>
    </row>
    <row r="71" spans="1:27">
      <c r="A71" s="57" t="str">
        <f>Matching_Engine!$B$71</f>
        <v>Rasa Nusantara</v>
      </c>
      <c r="B71" s="57" t="str">
        <f>Matching_Engine!$D$71</f>
        <v>Ayu Lestari</v>
      </c>
      <c r="C71" s="57" t="str">
        <f>Matching_Engine!$E$71</f>
        <v>@dapurayu</v>
      </c>
      <c r="D71" s="70">
        <f ca="1">Matching_Engine!$AY$71</f>
        <v>74</v>
      </c>
      <c r="E71" s="57" t="str">
        <f>Matching_Engine!$AZ$71</f>
        <v>BRAND-C|KOL-06</v>
      </c>
      <c r="F71" s="57" t="str">
        <f ca="1">IF(NOT(ISNUMBER(Matching_Engine!$AY$71)),"Not scored: no component of the model had data for this account, so no match can be claimed either way.",Matching_Engine!$AZ$71&amp;" — "&amp;Matching_Engine!$AY$71&amp;"/100 against "&amp;Matching_Engine!$B$71&amp;". "&amp;"Strongest factor "&amp;$S$71&amp;" at "&amp;$R$71&amp;"; weakest "&amp;$AA$71&amp;" at "&amp;$Z$71&amp;". "&amp;IF(AND(ISTEXT(Matching_Engine!$G$71),Matching_Engine!$G$71&lt;&gt;"N/A"),"Tagged category "&amp;Matching_Engine!$G$71&amp;" scores "&amp;IF(ISNUMBER(Matching_Engine!$J$71),Matching_Engine!$J$71,0)&amp;" against the brand category "&amp;Matching_Engine!$B$71&amp;" targets. ","Creator carries no category on record, so the category-driven parts fall back to neutral rather than penalising the creator. ")&amp;IF(ISNUMBER(Matching_Engine!$R$71),"Audience-interest overlap "&amp;Matching_Engine!$R$71&amp;". ","Audience interests unmeasured. ")&amp;IF(Matching_Engine!$AX$71&lt;100,"Scored on "&amp;Matching_Engine!$AX$71&amp;" of the 100 nominal weight points; the rest had no data.",""))</f>
        <v>BRAND-C|KOL-06 — 74/100 against Rasa Nusantara. Strongest factor Content &amp; Category Relevance at 100; weakest Brand &amp; Business Relevance at 40. Tagged category Food scores 5,2 against the brand category Rasa Nusantara targets. Audience-interest overlap 40. </v>
      </c>
      <c r="G71" s="57" t="str">
        <f ca="1">IF(NOT(ISNUMBER(Matching_Engine!$AY$71)),"N/A",$S$71&amp;" ("&amp;$R$71&amp;"/100)")</f>
        <v>Content &amp; Category Relevance (100/100)</v>
      </c>
      <c r="H71" s="57" t="str">
        <f ca="1">IF(NOT(ISNUMBER(Matching_Engine!$AY$71)),"N/A",$AA$71&amp;" ("&amp;$Z$71&amp;"/100)")</f>
        <v>Brand &amp; Business Relevance (40/100)</v>
      </c>
      <c r="I71" s="57" t="str">
        <f ca="1">IF(NOT(ISNUMBER(Matching_Engine!$AY$71)),"No data to consider: this account has no measured signal.",IF($Z$71&lt;Lookup_Lists!$D$161,$AA$71&amp;" sits at "&amp;$Z$71&amp;", below the "&amp;Lookup_Lists!$D$161&amp;"-point consideration threshold"&amp;IF(Matching_Engine!$AF$71=0," · Brand Personality Fit could not be scored at all: no creator personality, tone, values or content-style column exists","")&amp;IF(Matching_Engine!$AI$71="N/A"," · posting cadence unusable, so Consistency is excluded from Performance","")&amp;".","No component falls below the "&amp;Lookup_Lists!$D$161&amp;"-point consideration threshold."))</f>
        <v>Brand &amp; Business Relevance sits at 40, below the 75-point consideration threshold.</v>
      </c>
      <c r="J71" s="57" t="str">
        <f ca="1">Matching_Engine!$AV$71&amp;" — "&amp;Matching_Engine!$AW$71&amp;IF(Matching_Engine!$BB$71="Limited Data"," Confidence is Limited Data: "&amp;Matching_Engine!$BA$71&amp;"% of tracked fields carry a value.","")</f>
        <v>PASS — </v>
      </c>
      <c r="K71" s="57" t="str">
        <f ca="1">IF(NOT(ISNUMBER(Matching_Engine!$AY$71)),"Do not shortlist on this data — re-scrape the account first.",IF(Matching_Engine!$AY$71&gt;=Lookup_Lists!$D$156,"Highly Recommended",IF(Matching_Engine!$AY$71&gt;=Lookup_Lists!$D$157,"Recommended",IF(Matching_Engine!$AY$71&gt;=Lookup_Lists!$D$158,"Consider","Low Priority")))&amp;IF(Matching_Engine!$AX$71&lt;100," (on partial data)",""))</f>
        <v>Recommended</v>
      </c>
      <c r="L71" s="71">
        <f>IF(ISNUMBER(Matching_Engine!$M$71),Matching_Engine!$M$71,-1)</f>
        <v>40</v>
      </c>
      <c r="M71" s="71">
        <f ca="1">IF(ISNUMBER(Matching_Engine!$S$71),Matching_Engine!$S$71,-1)</f>
        <v>76</v>
      </c>
      <c r="N71" s="71">
        <f>IF(ISNUMBER(Matching_Engine!$Y$71),Matching_Engine!$Y$71,-1)</f>
        <v>100</v>
      </c>
      <c r="O71" s="71">
        <f>IF(ISNUMBER(Matching_Engine!$AE$71),Matching_Engine!$AE$71,-1)</f>
        <v>73</v>
      </c>
      <c r="P71" s="71">
        <f>IF(ISNUMBER(Matching_Engine!$AM$71),Matching_Engine!$AM$71,-1)</f>
        <v>-1</v>
      </c>
      <c r="Q71" s="71">
        <f>IF(ISNUMBER(Matching_Engine!$AT$71),Matching_Engine!$AT$71,-1)</f>
        <v>73</v>
      </c>
      <c r="R71" s="71">
        <f ca="1">MAX($L$71:$Q$71)</f>
        <v>100</v>
      </c>
      <c r="S71" s="57" t="str">
        <f ca="1">INDEX({"Brand &amp; Business Relevance","Target Audience Relevance","Content &amp; Category Relevance","Brand Personality Fit","Performance Quality","Brand Safety"},MATCH($R$71,$L$71:$Q$71,0))</f>
        <v>Content &amp; Category Relevance</v>
      </c>
      <c r="T71" s="71">
        <f>IF(ISNUMBER(Matching_Engine!$M$71),Matching_Engine!$M$71,999)</f>
        <v>40</v>
      </c>
      <c r="U71" s="71">
        <f ca="1">IF(ISNUMBER(Matching_Engine!$S$71),Matching_Engine!$S$71,999)</f>
        <v>76</v>
      </c>
      <c r="V71" s="71">
        <f>IF(ISNUMBER(Matching_Engine!$Y$71),Matching_Engine!$Y$71,999)</f>
        <v>100</v>
      </c>
      <c r="W71" s="71">
        <f>IF(ISNUMBER(Matching_Engine!$AE$71),Matching_Engine!$AE$71,999)</f>
        <v>73</v>
      </c>
      <c r="X71" s="71">
        <f>IF(ISNUMBER(Matching_Engine!$AM$71),Matching_Engine!$AM$71,999)</f>
        <v>999</v>
      </c>
      <c r="Y71" s="71">
        <f>IF(ISNUMBER(Matching_Engine!$AT$71),Matching_Engine!$AT$71,999)</f>
        <v>73</v>
      </c>
      <c r="Z71" s="71">
        <f ca="1">MIN($T$71:$Y$71)</f>
        <v>40</v>
      </c>
      <c r="AA71" s="57" t="str">
        <f ca="1">INDEX({"Brand &amp; Business Relevance","Target Audience Relevance","Content &amp; Category Relevance","Brand Personality Fit","Performance Quality","Brand Safety"},MATCH($Z$71,$T$71:$Y$71,0))</f>
        <v>Brand &amp; Business Relevance</v>
      </c>
    </row>
    <row r="72" spans="1:27">
      <c r="A72" s="57" t="str">
        <f>Matching_Engine!$B$72</f>
        <v>Rasa Nusantara</v>
      </c>
      <c r="B72" s="57" t="str">
        <f>Matching_Engine!$D$72</f>
        <v>Fajar Ramadhan</v>
      </c>
      <c r="C72" s="57" t="str">
        <f>Matching_Engine!$E$72</f>
        <v>@fajarfinance</v>
      </c>
      <c r="D72" s="70" t="str">
        <f ca="1">Matching_Engine!$AY$72</f>
        <v/>
      </c>
      <c r="E72" s="57" t="str">
        <f>Matching_Engine!$AZ$72</f>
        <v>BRAND-C|KOL-07</v>
      </c>
      <c r="F72" s="57" t="str">
        <f ca="1">IF(NOT(ISNUMBER(Matching_Engine!$AY$72)),"Not scored: no component of the model had data for this account, so no match can be claimed either way.",Matching_Engine!$AZ$72&amp;" — "&amp;Matching_Engine!$AY$72&amp;"/100 against "&amp;Matching_Engine!$B$72&amp;". "&amp;"Strongest factor "&amp;$S$72&amp;" at "&amp;$R$72&amp;"; weakest "&amp;$AA$72&amp;" at "&amp;$Z$72&amp;". "&amp;IF(AND(ISTEXT(Matching_Engine!$G$72),Matching_Engine!$G$72&lt;&gt;"N/A"),"Tagged category "&amp;Matching_Engine!$G$72&amp;" scores "&amp;IF(ISNUMBER(Matching_Engine!$J$72),Matching_Engine!$J$72,0)&amp;" against the brand category "&amp;Matching_Engine!$B$72&amp;" targets. ","Creator carries no category on record, so the category-driven parts fall back to neutral rather than penalising the creator. ")&amp;IF(ISNUMBER(Matching_Engine!$R$72),"Audience-interest overlap "&amp;Matching_Engine!$R$72&amp;". ","Audience interests unmeasured. ")&amp;IF(Matching_Engine!$AX$72&lt;100,"Scored on "&amp;Matching_Engine!$AX$72&amp;" of the 100 nominal weight points; the rest had no data.",""))</f>
        <v>Not scored: no component of the model had data for this account, so no match can be claimed either way.</v>
      </c>
      <c r="G72" s="57" t="str">
        <f ca="1">IF(NOT(ISNUMBER(Matching_Engine!$AY$72)),"N/A",$S$72&amp;" ("&amp;$R$72&amp;"/100)")</f>
        <v>N/A</v>
      </c>
      <c r="H72" s="57" t="str">
        <f ca="1">IF(NOT(ISNUMBER(Matching_Engine!$AY$72)),"N/A",$AA$72&amp;" ("&amp;$Z$72&amp;"/100)")</f>
        <v>N/A</v>
      </c>
      <c r="I72" s="57" t="str">
        <f ca="1">IF(NOT(ISNUMBER(Matching_Engine!$AY$72)),"No data to consider: this account has no measured signal.",IF($Z$72&lt;Lookup_Lists!$D$161,$AA$72&amp;" sits at "&amp;$Z$72&amp;", below the "&amp;Lookup_Lists!$D$161&amp;"-point consideration threshold"&amp;IF(Matching_Engine!$AF$72=0," · Brand Personality Fit could not be scored at all: no creator personality, tone, values or content-style column exists","")&amp;IF(Matching_Engine!$AI$72="N/A"," · posting cadence unusable, so Consistency is excluded from Performance","")&amp;".","No component falls below the "&amp;Lookup_Lists!$D$161&amp;"-point consideration threshold."))</f>
        <v>No data to consider: this account has no measured signal.</v>
      </c>
      <c r="J72" s="57" t="str">
        <f ca="1">Matching_Engine!$AV$72&amp;" — "&amp;Matching_Engine!$AW$72&amp;IF(Matching_Engine!$BB$72="Limited Data"," Confidence is Limited Data: "&amp;Matching_Engine!$BA$72&amp;"% of tracked fields carry a value.","")</f>
        <v>EXCLUDED — Engagement Rate below Minimum Engagement Rate</v>
      </c>
      <c r="K72" s="57" t="str">
        <f ca="1">IF(NOT(ISNUMBER(Matching_Engine!$AY$72)),"Do not shortlist on this data — re-scrape the account first.",IF(Matching_Engine!$AY$72&gt;=Lookup_Lists!$D$156,"Highly Recommended",IF(Matching_Engine!$AY$72&gt;=Lookup_Lists!$D$157,"Recommended",IF(Matching_Engine!$AY$72&gt;=Lookup_Lists!$D$158,"Consider","Low Priority")))&amp;IF(Matching_Engine!$AX$72&lt;100," (on partial data)",""))</f>
        <v>Do not shortlist on this data — re-scrape the account first.</v>
      </c>
      <c r="L72" s="71">
        <f>IF(ISNUMBER(Matching_Engine!$M$72),Matching_Engine!$M$72,-1)</f>
        <v>0</v>
      </c>
      <c r="M72" s="71">
        <f ca="1">IF(ISNUMBER(Matching_Engine!$S$72),Matching_Engine!$S$72,-1)</f>
        <v>68</v>
      </c>
      <c r="N72" s="71">
        <f>IF(ISNUMBER(Matching_Engine!$Y$72),Matching_Engine!$Y$72,-1)</f>
        <v>45</v>
      </c>
      <c r="O72" s="71">
        <f>IF(ISNUMBER(Matching_Engine!$AE$72),Matching_Engine!$AE$72,-1)</f>
        <v>86</v>
      </c>
      <c r="P72" s="71">
        <f>IF(ISNUMBER(Matching_Engine!$AM$72),Matching_Engine!$AM$72,-1)</f>
        <v>-1</v>
      </c>
      <c r="Q72" s="71">
        <f>IF(ISNUMBER(Matching_Engine!$AT$72),Matching_Engine!$AT$72,-1)</f>
        <v>24</v>
      </c>
      <c r="R72" s="71">
        <f ca="1">MAX($L$72:$Q$72)</f>
        <v>86</v>
      </c>
      <c r="S72" s="57" t="str">
        <f ca="1">INDEX({"Brand &amp; Business Relevance","Target Audience Relevance","Content &amp; Category Relevance","Brand Personality Fit","Performance Quality","Brand Safety"},MATCH($R$72,$L$72:$Q$72,0))</f>
        <v>Brand Personality Fit</v>
      </c>
      <c r="T72" s="71">
        <f>IF(ISNUMBER(Matching_Engine!$M$72),Matching_Engine!$M$72,999)</f>
        <v>0</v>
      </c>
      <c r="U72" s="71">
        <f ca="1">IF(ISNUMBER(Matching_Engine!$S$72),Matching_Engine!$S$72,999)</f>
        <v>68</v>
      </c>
      <c r="V72" s="71">
        <f>IF(ISNUMBER(Matching_Engine!$Y$72),Matching_Engine!$Y$72,999)</f>
        <v>45</v>
      </c>
      <c r="W72" s="71">
        <f>IF(ISNUMBER(Matching_Engine!$AE$72),Matching_Engine!$AE$72,999)</f>
        <v>86</v>
      </c>
      <c r="X72" s="71">
        <f>IF(ISNUMBER(Matching_Engine!$AM$72),Matching_Engine!$AM$72,999)</f>
        <v>999</v>
      </c>
      <c r="Y72" s="71">
        <f>IF(ISNUMBER(Matching_Engine!$AT$72),Matching_Engine!$AT$72,999)</f>
        <v>24</v>
      </c>
      <c r="Z72" s="71">
        <f ca="1">MIN($T$72:$Y$72)</f>
        <v>0</v>
      </c>
      <c r="AA72" s="57" t="str">
        <f ca="1">INDEX({"Brand &amp; Business Relevance","Target Audience Relevance","Content &amp; Category Relevance","Brand Personality Fit","Performance Quality","Brand Safety"},MATCH($Z$72,$T$72:$Y$72,0))</f>
        <v>Brand &amp; Business Relevance</v>
      </c>
    </row>
    <row r="73" spans="1:27">
      <c r="A73" s="57" t="str">
        <f>Matching_Engine!$B$73</f>
        <v>Rasa Nusantara</v>
      </c>
      <c r="B73" s="57" t="str">
        <f>Matching_Engine!$D$73</f>
        <v>Tania Wijaya</v>
      </c>
      <c r="C73" s="57" t="str">
        <f>Matching_Engine!$E$73</f>
        <v>@taniainvest</v>
      </c>
      <c r="D73" s="70">
        <f ca="1">Matching_Engine!$AY$73</f>
        <v>47</v>
      </c>
      <c r="E73" s="57" t="str">
        <f>Matching_Engine!$AZ$73</f>
        <v>BRAND-C|KOL-08</v>
      </c>
      <c r="F73" s="57" t="str">
        <f ca="1">IF(NOT(ISNUMBER(Matching_Engine!$AY$73)),"Not scored: no component of the model had data for this account, so no match can be claimed either way.",Matching_Engine!$AZ$73&amp;" — "&amp;Matching_Engine!$AY$73&amp;"/100 against "&amp;Matching_Engine!$B$73&amp;". "&amp;"Strongest factor "&amp;$S$73&amp;" at "&amp;$R$73&amp;"; weakest "&amp;$AA$73&amp;" at "&amp;$Z$73&amp;". "&amp;IF(AND(ISTEXT(Matching_Engine!$G$73),Matching_Engine!$G$73&lt;&gt;"N/A"),"Tagged category "&amp;Matching_Engine!$G$73&amp;" scores "&amp;IF(ISNUMBER(Matching_Engine!$J$73),Matching_Engine!$J$73,0)&amp;" against the brand category "&amp;Matching_Engine!$B$73&amp;" targets. ","Creator carries no category on record, so the category-driven parts fall back to neutral rather than penalising the creator. ")&amp;IF(ISNUMBER(Matching_Engine!$R$73),"Audience-interest overlap "&amp;Matching_Engine!$R$73&amp;". ","Audience interests unmeasured. ")&amp;IF(Matching_Engine!$AX$73&lt;100,"Scored on "&amp;Matching_Engine!$AX$73&amp;" of the 100 nominal weight points; the rest had no data.",""))</f>
        <v>BRAND-C|KOL-08 — 47/100 against Rasa Nusantara. Strongest factor Target Audience Relevance at 66; weakest Brand &amp; Business Relevance at 20. Tagged category Finance scores 5,6 against the brand category Rasa Nusantara targets. Audience-interest overlap 0. </v>
      </c>
      <c r="G73" s="57" t="str">
        <f ca="1">IF(NOT(ISNUMBER(Matching_Engine!$AY$73)),"N/A",$S$73&amp;" ("&amp;$R$73&amp;"/100)")</f>
        <v>Target Audience Relevance (66/100)</v>
      </c>
      <c r="H73" s="57" t="str">
        <f ca="1">IF(NOT(ISNUMBER(Matching_Engine!$AY$73)),"N/A",$AA$73&amp;" ("&amp;$Z$73&amp;"/100)")</f>
        <v>Brand &amp; Business Relevance (20/100)</v>
      </c>
      <c r="I73" s="57" t="str">
        <f ca="1">IF(NOT(ISNUMBER(Matching_Engine!$AY$73)),"No data to consider: this account has no measured signal.",IF($Z$73&lt;Lookup_Lists!$D$161,$AA$73&amp;" sits at "&amp;$Z$73&amp;", below the "&amp;Lookup_Lists!$D$161&amp;"-point consideration threshold"&amp;IF(Matching_Engine!$AF$73=0," · Brand Personality Fit could not be scored at all: no creator personality, tone, values or content-style column exists","")&amp;IF(Matching_Engine!$AI$73="N/A"," · posting cadence unusable, so Consistency is excluded from Performance","")&amp;".","No component falls below the "&amp;Lookup_Lists!$D$161&amp;"-point consideration threshold."))</f>
        <v>Brand &amp; Business Relevance sits at 20, below the 75-point consideration threshold.</v>
      </c>
      <c r="J73" s="57" t="str">
        <f ca="1">Matching_Engine!$AV$73&amp;" — "&amp;Matching_Engine!$AW$73&amp;IF(Matching_Engine!$BB$73="Limited Data"," Confidence is Limited Data: "&amp;Matching_Engine!$BA$73&amp;"% of tracked fields carry a value.","")</f>
        <v>PASS — </v>
      </c>
      <c r="K73" s="57" t="str">
        <f ca="1">IF(NOT(ISNUMBER(Matching_Engine!$AY$73)),"Do not shortlist on this data — re-scrape the account first.",IF(Matching_Engine!$AY$73&gt;=Lookup_Lists!$D$156,"Highly Recommended",IF(Matching_Engine!$AY$73&gt;=Lookup_Lists!$D$157,"Recommended",IF(Matching_Engine!$AY$73&gt;=Lookup_Lists!$D$158,"Consider","Low Priority")))&amp;IF(Matching_Engine!$AX$73&lt;100," (on partial data)",""))</f>
        <v>Low Priority</v>
      </c>
      <c r="L73" s="71">
        <f>IF(ISNUMBER(Matching_Engine!$M$73),Matching_Engine!$M$73,-1)</f>
        <v>20</v>
      </c>
      <c r="M73" s="71">
        <f ca="1">IF(ISNUMBER(Matching_Engine!$S$73),Matching_Engine!$S$73,-1)</f>
        <v>66</v>
      </c>
      <c r="N73" s="71">
        <f>IF(ISNUMBER(Matching_Engine!$Y$73),Matching_Engine!$Y$73,-1)</f>
        <v>60</v>
      </c>
      <c r="O73" s="71">
        <f>IF(ISNUMBER(Matching_Engine!$AE$73),Matching_Engine!$AE$73,-1)</f>
        <v>64</v>
      </c>
      <c r="P73" s="71">
        <f>IF(ISNUMBER(Matching_Engine!$AM$73),Matching_Engine!$AM$73,-1)</f>
        <v>-1</v>
      </c>
      <c r="Q73" s="71">
        <f>IF(ISNUMBER(Matching_Engine!$AT$73),Matching_Engine!$AT$73,-1)</f>
        <v>28</v>
      </c>
      <c r="R73" s="71">
        <f ca="1">MAX($L$73:$Q$73)</f>
        <v>66</v>
      </c>
      <c r="S73" s="57" t="str">
        <f ca="1">INDEX({"Brand &amp; Business Relevance","Target Audience Relevance","Content &amp; Category Relevance","Brand Personality Fit","Performance Quality","Brand Safety"},MATCH($R$73,$L$73:$Q$73,0))</f>
        <v>Target Audience Relevance</v>
      </c>
      <c r="T73" s="71">
        <f>IF(ISNUMBER(Matching_Engine!$M$73),Matching_Engine!$M$73,999)</f>
        <v>20</v>
      </c>
      <c r="U73" s="71">
        <f ca="1">IF(ISNUMBER(Matching_Engine!$S$73),Matching_Engine!$S$73,999)</f>
        <v>66</v>
      </c>
      <c r="V73" s="71">
        <f>IF(ISNUMBER(Matching_Engine!$Y$73),Matching_Engine!$Y$73,999)</f>
        <v>60</v>
      </c>
      <c r="W73" s="71">
        <f>IF(ISNUMBER(Matching_Engine!$AE$73),Matching_Engine!$AE$73,999)</f>
        <v>64</v>
      </c>
      <c r="X73" s="71">
        <f>IF(ISNUMBER(Matching_Engine!$AM$73),Matching_Engine!$AM$73,999)</f>
        <v>999</v>
      </c>
      <c r="Y73" s="71">
        <f>IF(ISNUMBER(Matching_Engine!$AT$73),Matching_Engine!$AT$73,999)</f>
        <v>28</v>
      </c>
      <c r="Z73" s="71">
        <f ca="1">MIN($T$73:$Y$73)</f>
        <v>20</v>
      </c>
      <c r="AA73" s="57" t="str">
        <f ca="1">INDEX({"Brand &amp; Business Relevance","Target Audience Relevance","Content &amp; Category Relevance","Brand Personality Fit","Performance Quality","Brand Safety"},MATCH($Z$73,$T$73:$Y$73,0))</f>
        <v>Brand &amp; Business Relevance</v>
      </c>
    </row>
    <row r="74" spans="1:27">
      <c r="A74" s="57" t="str">
        <f>Matching_Engine!$B$74</f>
        <v>Rasa Nusantara</v>
      </c>
      <c r="B74" s="57" t="str">
        <f>Matching_Engine!$D$74</f>
        <v>Gilang Prakoso</v>
      </c>
      <c r="C74" s="57" t="str">
        <f>Matching_Engine!$E$74</f>
        <v>@gilangbelajar</v>
      </c>
      <c r="D74" s="70" t="str">
        <f ca="1">Matching_Engine!$AY$74</f>
        <v/>
      </c>
      <c r="E74" s="57" t="str">
        <f>Matching_Engine!$AZ$74</f>
        <v>BRAND-C|KOL-09</v>
      </c>
      <c r="F74" s="57" t="str">
        <f ca="1">IF(NOT(ISNUMBER(Matching_Engine!$AY$74)),"Not scored: no component of the model had data for this account, so no match can be claimed either way.",Matching_Engine!$AZ$74&amp;" — "&amp;Matching_Engine!$AY$74&amp;"/100 against "&amp;Matching_Engine!$B$74&amp;". "&amp;"Strongest factor "&amp;$S$74&amp;" at "&amp;$R$74&amp;"; weakest "&amp;$AA$74&amp;" at "&amp;$Z$74&amp;". "&amp;IF(AND(ISTEXT(Matching_Engine!$G$74),Matching_Engine!$G$74&lt;&gt;"N/A"),"Tagged category "&amp;Matching_Engine!$G$74&amp;" scores "&amp;IF(ISNUMBER(Matching_Engine!$J$74),Matching_Engine!$J$74,0)&amp;" against the brand category "&amp;Matching_Engine!$B$74&amp;" targets. ","Creator carries no category on record, so the category-driven parts fall back to neutral rather than penalising the creator. ")&amp;IF(ISNUMBER(Matching_Engine!$R$74),"Audience-interest overlap "&amp;Matching_Engine!$R$74&amp;". ","Audience interests unmeasured. ")&amp;IF(Matching_Engine!$AX$74&lt;100,"Scored on "&amp;Matching_Engine!$AX$74&amp;" of the 100 nominal weight points; the rest had no data.",""))</f>
        <v>Not scored: no component of the model had data for this account, so no match can be claimed either way.</v>
      </c>
      <c r="G74" s="57" t="str">
        <f ca="1">IF(NOT(ISNUMBER(Matching_Engine!$AY$74)),"N/A",$S$74&amp;" ("&amp;$R$74&amp;"/100)")</f>
        <v>N/A</v>
      </c>
      <c r="H74" s="57" t="str">
        <f ca="1">IF(NOT(ISNUMBER(Matching_Engine!$AY$74)),"N/A",$AA$74&amp;" ("&amp;$Z$74&amp;"/100)")</f>
        <v>N/A</v>
      </c>
      <c r="I74" s="57" t="str">
        <f ca="1">IF(NOT(ISNUMBER(Matching_Engine!$AY$74)),"No data to consider: this account has no measured signal.",IF($Z$74&lt;Lookup_Lists!$D$161,$AA$74&amp;" sits at "&amp;$Z$74&amp;", below the "&amp;Lookup_Lists!$D$161&amp;"-point consideration threshold"&amp;IF(Matching_Engine!$AF$74=0," · Brand Personality Fit could not be scored at all: no creator personality, tone, values or content-style column exists","")&amp;IF(Matching_Engine!$AI$74="N/A"," · posting cadence unusable, so Consistency is excluded from Performance","")&amp;".","No component falls below the "&amp;Lookup_Lists!$D$161&amp;"-point consideration threshold."))</f>
        <v>No data to consider: this account has no measured signal.</v>
      </c>
      <c r="J74" s="57" t="str">
        <f ca="1">Matching_Engine!$AV$74&amp;" — "&amp;Matching_Engine!$AW$74&amp;IF(Matching_Engine!$BB$74="Limited Data"," Confidence is Limited Data: "&amp;Matching_Engine!$BA$74&amp;"% of tracked fields carry a value.","")</f>
        <v>EXCLUDED — Tier not in Preferred Tier</v>
      </c>
      <c r="K74" s="57" t="str">
        <f ca="1">IF(NOT(ISNUMBER(Matching_Engine!$AY$74)),"Do not shortlist on this data — re-scrape the account first.",IF(Matching_Engine!$AY$74&gt;=Lookup_Lists!$D$156,"Highly Recommended",IF(Matching_Engine!$AY$74&gt;=Lookup_Lists!$D$157,"Recommended",IF(Matching_Engine!$AY$74&gt;=Lookup_Lists!$D$158,"Consider","Low Priority")))&amp;IF(Matching_Engine!$AX$74&lt;100," (on partial data)",""))</f>
        <v>Do not shortlist on this data — re-scrape the account first.</v>
      </c>
      <c r="L74" s="71">
        <f>IF(ISNUMBER(Matching_Engine!$M$74),Matching_Engine!$M$74,-1)</f>
        <v>20</v>
      </c>
      <c r="M74" s="71">
        <f ca="1">IF(ISNUMBER(Matching_Engine!$S$74),Matching_Engine!$S$74,-1)</f>
        <v>71</v>
      </c>
      <c r="N74" s="71">
        <f>IF(ISNUMBER(Matching_Engine!$Y$74),Matching_Engine!$Y$74,-1)</f>
        <v>60</v>
      </c>
      <c r="O74" s="71">
        <f>IF(ISNUMBER(Matching_Engine!$AE$74),Matching_Engine!$AE$74,-1)</f>
        <v>86</v>
      </c>
      <c r="P74" s="71">
        <f>IF(ISNUMBER(Matching_Engine!$AM$74),Matching_Engine!$AM$74,-1)</f>
        <v>-1</v>
      </c>
      <c r="Q74" s="71">
        <f>IF(ISNUMBER(Matching_Engine!$AT$74),Matching_Engine!$AT$74,-1)</f>
        <v>34</v>
      </c>
      <c r="R74" s="71">
        <f ca="1">MAX($L$74:$Q$74)</f>
        <v>86</v>
      </c>
      <c r="S74" s="57" t="str">
        <f ca="1">INDEX({"Brand &amp; Business Relevance","Target Audience Relevance","Content &amp; Category Relevance","Brand Personality Fit","Performance Quality","Brand Safety"},MATCH($R$74,$L$74:$Q$74,0))</f>
        <v>Brand Personality Fit</v>
      </c>
      <c r="T74" s="71">
        <f>IF(ISNUMBER(Matching_Engine!$M$74),Matching_Engine!$M$74,999)</f>
        <v>20</v>
      </c>
      <c r="U74" s="71">
        <f ca="1">IF(ISNUMBER(Matching_Engine!$S$74),Matching_Engine!$S$74,999)</f>
        <v>71</v>
      </c>
      <c r="V74" s="71">
        <f>IF(ISNUMBER(Matching_Engine!$Y$74),Matching_Engine!$Y$74,999)</f>
        <v>60</v>
      </c>
      <c r="W74" s="71">
        <f>IF(ISNUMBER(Matching_Engine!$AE$74),Matching_Engine!$AE$74,999)</f>
        <v>86</v>
      </c>
      <c r="X74" s="71">
        <f>IF(ISNUMBER(Matching_Engine!$AM$74),Matching_Engine!$AM$74,999)</f>
        <v>999</v>
      </c>
      <c r="Y74" s="71">
        <f>IF(ISNUMBER(Matching_Engine!$AT$74),Matching_Engine!$AT$74,999)</f>
        <v>34</v>
      </c>
      <c r="Z74" s="71">
        <f ca="1">MIN($T$74:$Y$74)</f>
        <v>20</v>
      </c>
      <c r="AA74" s="57" t="str">
        <f ca="1">INDEX({"Brand &amp; Business Relevance","Target Audience Relevance","Content &amp; Category Relevance","Brand Personality Fit","Performance Quality","Brand Safety"},MATCH($Z$74,$T$74:$Y$74,0))</f>
        <v>Brand &amp; Business Relevance</v>
      </c>
    </row>
    <row r="75" spans="1:27">
      <c r="A75" s="57" t="str">
        <f>Matching_Engine!$B$75</f>
        <v>Rasa Nusantara</v>
      </c>
      <c r="B75" s="57" t="str">
        <f>Matching_Engine!$D$75</f>
        <v>Mira Handayani</v>
      </c>
      <c r="C75" s="57" t="str">
        <f>Matching_Engine!$E$75</f>
        <v>@mirabahasa</v>
      </c>
      <c r="D75" s="70">
        <f ca="1">Matching_Engine!$AY$75</f>
        <v>56</v>
      </c>
      <c r="E75" s="57" t="str">
        <f>Matching_Engine!$AZ$75</f>
        <v>BRAND-C|KOL-10</v>
      </c>
      <c r="F75" s="57" t="str">
        <f ca="1">IF(NOT(ISNUMBER(Matching_Engine!$AY$75)),"Not scored: no component of the model had data for this account, so no match can be claimed either way.",Matching_Engine!$AZ$75&amp;" — "&amp;Matching_Engine!$AY$75&amp;"/100 against "&amp;Matching_Engine!$B$75&amp;". "&amp;"Strongest factor "&amp;$S$75&amp;" at "&amp;$R$75&amp;"; weakest "&amp;$AA$75&amp;" at "&amp;$Z$75&amp;". "&amp;IF(AND(ISTEXT(Matching_Engine!$G$75),Matching_Engine!$G$75&lt;&gt;"N/A"),"Tagged category "&amp;Matching_Engine!$G$75&amp;" scores "&amp;IF(ISNUMBER(Matching_Engine!$J$75),Matching_Engine!$J$75,0)&amp;" against the brand category "&amp;Matching_Engine!$B$75&amp;" targets. ","Creator carries no category on record, so the category-driven parts fall back to neutral rather than penalising the creator. ")&amp;IF(ISNUMBER(Matching_Engine!$R$75),"Audience-interest overlap "&amp;Matching_Engine!$R$75&amp;". ","Audience interests unmeasured. ")&amp;IF(Matching_Engine!$AX$75&lt;100,"Scored on "&amp;Matching_Engine!$AX$75&amp;" of the 100 nominal weight points; the rest had no data.",""))</f>
        <v>BRAND-C|KOL-10 — 56/100 against Rasa Nusantara. Strongest factor Target Audience Relevance at 78; weakest Brand &amp; Business Relevance at 20. Tagged category Education scores 4,9 against the brand category Rasa Nusantara targets. Audience-interest overlap 40. </v>
      </c>
      <c r="G75" s="57" t="str">
        <f ca="1">IF(NOT(ISNUMBER(Matching_Engine!$AY$75)),"N/A",$S$75&amp;" ("&amp;$R$75&amp;"/100)")</f>
        <v>Target Audience Relevance (78/100)</v>
      </c>
      <c r="H75" s="57" t="str">
        <f ca="1">IF(NOT(ISNUMBER(Matching_Engine!$AY$75)),"N/A",$AA$75&amp;" ("&amp;$Z$75&amp;"/100)")</f>
        <v>Brand &amp; Business Relevance (20/100)</v>
      </c>
      <c r="I75" s="57" t="str">
        <f ca="1">IF(NOT(ISNUMBER(Matching_Engine!$AY$75)),"No data to consider: this account has no measured signal.",IF($Z$75&lt;Lookup_Lists!$D$161,$AA$75&amp;" sits at "&amp;$Z$75&amp;", below the "&amp;Lookup_Lists!$D$161&amp;"-point consideration threshold"&amp;IF(Matching_Engine!$AF$75=0," · Brand Personality Fit could not be scored at all: no creator personality, tone, values or content-style column exists","")&amp;IF(Matching_Engine!$AI$75="N/A"," · posting cadence unusable, so Consistency is excluded from Performance","")&amp;".","No component falls below the "&amp;Lookup_Lists!$D$161&amp;"-point consideration threshold."))</f>
        <v>Brand &amp; Business Relevance sits at 20, below the 75-point consideration threshold.</v>
      </c>
      <c r="J75" s="57" t="str">
        <f ca="1">Matching_Engine!$AV$75&amp;" — "&amp;Matching_Engine!$AW$75&amp;IF(Matching_Engine!$BB$75="Limited Data"," Confidence is Limited Data: "&amp;Matching_Engine!$BA$75&amp;"% of tracked fields carry a value.","")</f>
        <v>PASS — </v>
      </c>
      <c r="K75" s="57" t="str">
        <f ca="1">IF(NOT(ISNUMBER(Matching_Engine!$AY$75)),"Do not shortlist on this data — re-scrape the account first.",IF(Matching_Engine!$AY$75&gt;=Lookup_Lists!$D$156,"Highly Recommended",IF(Matching_Engine!$AY$75&gt;=Lookup_Lists!$D$157,"Recommended",IF(Matching_Engine!$AY$75&gt;=Lookup_Lists!$D$158,"Consider","Low Priority")))&amp;IF(Matching_Engine!$AX$75&lt;100," (on partial data)",""))</f>
        <v>Low Priority</v>
      </c>
      <c r="L75" s="71">
        <f>IF(ISNUMBER(Matching_Engine!$M$75),Matching_Engine!$M$75,-1)</f>
        <v>20</v>
      </c>
      <c r="M75" s="71">
        <f ca="1">IF(ISNUMBER(Matching_Engine!$S$75),Matching_Engine!$S$75,-1)</f>
        <v>78</v>
      </c>
      <c r="N75" s="71">
        <f>IF(ISNUMBER(Matching_Engine!$Y$75),Matching_Engine!$Y$75,-1)</f>
        <v>60</v>
      </c>
      <c r="O75" s="71">
        <f>IF(ISNUMBER(Matching_Engine!$AE$75),Matching_Engine!$AE$75,-1)</f>
        <v>75</v>
      </c>
      <c r="P75" s="71">
        <f>IF(ISNUMBER(Matching_Engine!$AM$75),Matching_Engine!$AM$75,-1)</f>
        <v>-1</v>
      </c>
      <c r="Q75" s="71">
        <f>IF(ISNUMBER(Matching_Engine!$AT$75),Matching_Engine!$AT$75,-1)</f>
        <v>37</v>
      </c>
      <c r="R75" s="71">
        <f ca="1">MAX($L$75:$Q$75)</f>
        <v>78</v>
      </c>
      <c r="S75" s="57" t="str">
        <f ca="1">INDEX({"Brand &amp; Business Relevance","Target Audience Relevance","Content &amp; Category Relevance","Brand Personality Fit","Performance Quality","Brand Safety"},MATCH($R$75,$L$75:$Q$75,0))</f>
        <v>Target Audience Relevance</v>
      </c>
      <c r="T75" s="71">
        <f>IF(ISNUMBER(Matching_Engine!$M$75),Matching_Engine!$M$75,999)</f>
        <v>20</v>
      </c>
      <c r="U75" s="71">
        <f ca="1">IF(ISNUMBER(Matching_Engine!$S$75),Matching_Engine!$S$75,999)</f>
        <v>78</v>
      </c>
      <c r="V75" s="71">
        <f>IF(ISNUMBER(Matching_Engine!$Y$75),Matching_Engine!$Y$75,999)</f>
        <v>60</v>
      </c>
      <c r="W75" s="71">
        <f>IF(ISNUMBER(Matching_Engine!$AE$75),Matching_Engine!$AE$75,999)</f>
        <v>75</v>
      </c>
      <c r="X75" s="71">
        <f>IF(ISNUMBER(Matching_Engine!$AM$75),Matching_Engine!$AM$75,999)</f>
        <v>999</v>
      </c>
      <c r="Y75" s="71">
        <f>IF(ISNUMBER(Matching_Engine!$AT$75),Matching_Engine!$AT$75,999)</f>
        <v>37</v>
      </c>
      <c r="Z75" s="71">
        <f ca="1">MIN($T$75:$Y$75)</f>
        <v>20</v>
      </c>
      <c r="AA75" s="57" t="str">
        <f ca="1">INDEX({"Brand &amp; Business Relevance","Target Audience Relevance","Content &amp; Category Relevance","Brand Personality Fit","Performance Quality","Brand Safety"},MATCH($Z$75,$T$75:$Y$75,0))</f>
        <v>Brand &amp; Business Relevance</v>
      </c>
    </row>
    <row r="76" spans="1:27">
      <c r="A76" s="57" t="str">
        <f>Matching_Engine!$B$76</f>
        <v>Rasa Nusantara</v>
      </c>
      <c r="B76" s="57" t="str">
        <f>Matching_Engine!$D$76</f>
        <v>Dimas Anggara</v>
      </c>
      <c r="C76" s="57" t="str">
        <f>Matching_Engine!$E$76</f>
        <v>@dimasfit</v>
      </c>
      <c r="D76" s="70" t="str">
        <f ca="1">Matching_Engine!$AY$76</f>
        <v/>
      </c>
      <c r="E76" s="57" t="str">
        <f>Matching_Engine!$AZ$76</f>
        <v>BRAND-C|KOL-11</v>
      </c>
      <c r="F76" s="57" t="str">
        <f ca="1">IF(NOT(ISNUMBER(Matching_Engine!$AY$76)),"Not scored: no component of the model had data for this account, so no match can be claimed either way.",Matching_Engine!$AZ$76&amp;" — "&amp;Matching_Engine!$AY$76&amp;"/100 against "&amp;Matching_Engine!$B$76&amp;". "&amp;"Strongest factor "&amp;$S$76&amp;" at "&amp;$R$76&amp;"; weakest "&amp;$AA$76&amp;" at "&amp;$Z$76&amp;". "&amp;IF(AND(ISTEXT(Matching_Engine!$G$76),Matching_Engine!$G$76&lt;&gt;"N/A"),"Tagged category "&amp;Matching_Engine!$G$76&amp;" scores "&amp;IF(ISNUMBER(Matching_Engine!$J$76),Matching_Engine!$J$76,0)&amp;" against the brand category "&amp;Matching_Engine!$B$76&amp;" targets. ","Creator carries no category on record, so the category-driven parts fall back to neutral rather than penalising the creator. ")&amp;IF(ISNUMBER(Matching_Engine!$R$76),"Audience-interest overlap "&amp;Matching_Engine!$R$76&amp;". ","Audience interests unmeasured. ")&amp;IF(Matching_Engine!$AX$76&lt;100,"Scored on "&amp;Matching_Engine!$AX$76&amp;" of the 100 nominal weight points; the rest had no data.",""))</f>
        <v>Not scored: no component of the model had data for this account, so no match can be claimed either way.</v>
      </c>
      <c r="G76" s="57" t="str">
        <f ca="1">IF(NOT(ISNUMBER(Matching_Engine!$AY$76)),"N/A",$S$76&amp;" ("&amp;$R$76&amp;"/100)")</f>
        <v>N/A</v>
      </c>
      <c r="H76" s="57" t="str">
        <f ca="1">IF(NOT(ISNUMBER(Matching_Engine!$AY$76)),"N/A",$AA$76&amp;" ("&amp;$Z$76&amp;"/100)")</f>
        <v>N/A</v>
      </c>
      <c r="I76" s="57" t="str">
        <f ca="1">IF(NOT(ISNUMBER(Matching_Engine!$AY$76)),"No data to consider: this account has no measured signal.",IF($Z$76&lt;Lookup_Lists!$D$161,$AA$76&amp;" sits at "&amp;$Z$76&amp;", below the "&amp;Lookup_Lists!$D$161&amp;"-point consideration threshold"&amp;IF(Matching_Engine!$AF$76=0," · Brand Personality Fit could not be scored at all: no creator personality, tone, values or content-style column exists","")&amp;IF(Matching_Engine!$AI$76="N/A"," · posting cadence unusable, so Consistency is excluded from Performance","")&amp;".","No component falls below the "&amp;Lookup_Lists!$D$161&amp;"-point consideration threshold."))</f>
        <v>No data to consider: this account has no measured signal.</v>
      </c>
      <c r="J76" s="57" t="str">
        <f ca="1">Matching_Engine!$AV$76&amp;" — "&amp;Matching_Engine!$AW$76&amp;IF(Matching_Engine!$BB$76="Limited Data"," Confidence is Limited Data: "&amp;Matching_Engine!$BA$76&amp;"% of tracked fields carry a value.","")</f>
        <v>EXCLUDED — Tier not in Preferred Tier</v>
      </c>
      <c r="K76" s="57" t="str">
        <f ca="1">IF(NOT(ISNUMBER(Matching_Engine!$AY$76)),"Do not shortlist on this data — re-scrape the account first.",IF(Matching_Engine!$AY$76&gt;=Lookup_Lists!$D$156,"Highly Recommended",IF(Matching_Engine!$AY$76&gt;=Lookup_Lists!$D$157,"Recommended",IF(Matching_Engine!$AY$76&gt;=Lookup_Lists!$D$158,"Consider","Low Priority")))&amp;IF(Matching_Engine!$AX$76&lt;100," (on partial data)",""))</f>
        <v>Do not shortlist on this data — re-scrape the account first.</v>
      </c>
      <c r="L76" s="71">
        <f>IF(ISNUMBER(Matching_Engine!$M$76),Matching_Engine!$M$76,-1)</f>
        <v>40</v>
      </c>
      <c r="M76" s="71">
        <f ca="1">IF(ISNUMBER(Matching_Engine!$S$76),Matching_Engine!$S$76,-1)</f>
        <v>74</v>
      </c>
      <c r="N76" s="71">
        <f>IF(ISNUMBER(Matching_Engine!$Y$76),Matching_Engine!$Y$76,-1)</f>
        <v>45</v>
      </c>
      <c r="O76" s="71">
        <f>IF(ISNUMBER(Matching_Engine!$AE$76),Matching_Engine!$AE$76,-1)</f>
        <v>61</v>
      </c>
      <c r="P76" s="71">
        <f>IF(ISNUMBER(Matching_Engine!$AM$76),Matching_Engine!$AM$76,-1)</f>
        <v>-1</v>
      </c>
      <c r="Q76" s="71">
        <f>IF(ISNUMBER(Matching_Engine!$AT$76),Matching_Engine!$AT$76,-1)</f>
        <v>46</v>
      </c>
      <c r="R76" s="71">
        <f ca="1">MAX($L$76:$Q$76)</f>
        <v>74</v>
      </c>
      <c r="S76" s="57" t="str">
        <f ca="1">INDEX({"Brand &amp; Business Relevance","Target Audience Relevance","Content &amp; Category Relevance","Brand Personality Fit","Performance Quality","Brand Safety"},MATCH($R$76,$L$76:$Q$76,0))</f>
        <v>Target Audience Relevance</v>
      </c>
      <c r="T76" s="71">
        <f>IF(ISNUMBER(Matching_Engine!$M$76),Matching_Engine!$M$76,999)</f>
        <v>40</v>
      </c>
      <c r="U76" s="71">
        <f ca="1">IF(ISNUMBER(Matching_Engine!$S$76),Matching_Engine!$S$76,999)</f>
        <v>74</v>
      </c>
      <c r="V76" s="71">
        <f>IF(ISNUMBER(Matching_Engine!$Y$76),Matching_Engine!$Y$76,999)</f>
        <v>45</v>
      </c>
      <c r="W76" s="71">
        <f>IF(ISNUMBER(Matching_Engine!$AE$76),Matching_Engine!$AE$76,999)</f>
        <v>61</v>
      </c>
      <c r="X76" s="71">
        <f>IF(ISNUMBER(Matching_Engine!$AM$76),Matching_Engine!$AM$76,999)</f>
        <v>999</v>
      </c>
      <c r="Y76" s="71">
        <f>IF(ISNUMBER(Matching_Engine!$AT$76),Matching_Engine!$AT$76,999)</f>
        <v>46</v>
      </c>
      <c r="Z76" s="71">
        <f ca="1">MIN($T$76:$Y$76)</f>
        <v>40</v>
      </c>
      <c r="AA76" s="57" t="str">
        <f ca="1">INDEX({"Brand &amp; Business Relevance","Target Audience Relevance","Content &amp; Category Relevance","Brand Personality Fit","Performance Quality","Brand Safety"},MATCH($Z$76,$T$76:$Y$76,0))</f>
        <v>Brand &amp; Business Relevance</v>
      </c>
    </row>
    <row r="77" spans="1:27">
      <c r="A77" s="57" t="str">
        <f>Matching_Engine!$B$77</f>
        <v>Rasa Nusantara</v>
      </c>
      <c r="B77" s="57" t="str">
        <f>Matching_Engine!$D$77</f>
        <v>Rani Kusuma</v>
      </c>
      <c r="C77" s="57" t="str">
        <f>Matching_Engine!$E$77</f>
        <v>@ranihomeworkout</v>
      </c>
      <c r="D77" s="70" t="str">
        <f ca="1">Matching_Engine!$AY$77</f>
        <v/>
      </c>
      <c r="E77" s="57" t="str">
        <f>Matching_Engine!$AZ$77</f>
        <v>BRAND-C|KOL-12</v>
      </c>
      <c r="F77" s="57" t="str">
        <f ca="1">IF(NOT(ISNUMBER(Matching_Engine!$AY$77)),"Not scored: no component of the model had data for this account, so no match can be claimed either way.",Matching_Engine!$AZ$77&amp;" — "&amp;Matching_Engine!$AY$77&amp;"/100 against "&amp;Matching_Engine!$B$77&amp;". "&amp;"Strongest factor "&amp;$S$77&amp;" at "&amp;$R$77&amp;"; weakest "&amp;$AA$77&amp;" at "&amp;$Z$77&amp;". "&amp;IF(AND(ISTEXT(Matching_Engine!$G$77),Matching_Engine!$G$77&lt;&gt;"N/A"),"Tagged category "&amp;Matching_Engine!$G$77&amp;" scores "&amp;IF(ISNUMBER(Matching_Engine!$J$77),Matching_Engine!$J$77,0)&amp;" against the brand category "&amp;Matching_Engine!$B$77&amp;" targets. ","Creator carries no category on record, so the category-driven parts fall back to neutral rather than penalising the creator. ")&amp;IF(ISNUMBER(Matching_Engine!$R$77),"Audience-interest overlap "&amp;Matching_Engine!$R$77&amp;". ","Audience interests unmeasured. ")&amp;IF(Matching_Engine!$AX$77&lt;100,"Scored on "&amp;Matching_Engine!$AX$77&amp;" of the 100 nominal weight points; the rest had no data.",""))</f>
        <v>Not scored: no component of the model had data for this account, so no match can be claimed either way.</v>
      </c>
      <c r="G77" s="57" t="str">
        <f ca="1">IF(NOT(ISNUMBER(Matching_Engine!$AY$77)),"N/A",$S$77&amp;" ("&amp;$R$77&amp;"/100)")</f>
        <v>N/A</v>
      </c>
      <c r="H77" s="57" t="str">
        <f ca="1">IF(NOT(ISNUMBER(Matching_Engine!$AY$77)),"N/A",$AA$77&amp;" ("&amp;$Z$77&amp;"/100)")</f>
        <v>N/A</v>
      </c>
      <c r="I77" s="57" t="str">
        <f ca="1">IF(NOT(ISNUMBER(Matching_Engine!$AY$77)),"No data to consider: this account has no measured signal.",IF($Z$77&lt;Lookup_Lists!$D$161,$AA$77&amp;" sits at "&amp;$Z$77&amp;", below the "&amp;Lookup_Lists!$D$161&amp;"-point consideration threshold"&amp;IF(Matching_Engine!$AF$77=0," · Brand Personality Fit could not be scored at all: no creator personality, tone, values or content-style column exists","")&amp;IF(Matching_Engine!$AI$77="N/A"," · posting cadence unusable, so Consistency is excluded from Performance","")&amp;".","No component falls below the "&amp;Lookup_Lists!$D$161&amp;"-point consideration threshold."))</f>
        <v>No data to consider: this account has no measured signal.</v>
      </c>
      <c r="J77" s="57" t="str">
        <f ca="1">Matching_Engine!$AV$77&amp;" — "&amp;Matching_Engine!$AW$77&amp;IF(Matching_Engine!$BB$77="Limited Data"," Confidence is Limited Data: "&amp;Matching_Engine!$BA$77&amp;"% of tracked fields carry a value.","")</f>
        <v>EXCLUDED — Tier not in Preferred Tier</v>
      </c>
      <c r="K77" s="57" t="str">
        <f ca="1">IF(NOT(ISNUMBER(Matching_Engine!$AY$77)),"Do not shortlist on this data — re-scrape the account first.",IF(Matching_Engine!$AY$77&gt;=Lookup_Lists!$D$156,"Highly Recommended",IF(Matching_Engine!$AY$77&gt;=Lookup_Lists!$D$157,"Recommended",IF(Matching_Engine!$AY$77&gt;=Lookup_Lists!$D$158,"Consider","Low Priority")))&amp;IF(Matching_Engine!$AX$77&lt;100," (on partial data)",""))</f>
        <v>Do not shortlist on this data — re-scrape the account first.</v>
      </c>
      <c r="L77" s="71">
        <f>IF(ISNUMBER(Matching_Engine!$M$77),Matching_Engine!$M$77,-1)</f>
        <v>20</v>
      </c>
      <c r="M77" s="71">
        <f ca="1">IF(ISNUMBER(Matching_Engine!$S$77),Matching_Engine!$S$77,-1)</f>
        <v>72</v>
      </c>
      <c r="N77" s="71">
        <f>IF(ISNUMBER(Matching_Engine!$Y$77),Matching_Engine!$Y$77,-1)</f>
        <v>65</v>
      </c>
      <c r="O77" s="71">
        <f>IF(ISNUMBER(Matching_Engine!$AE$77),Matching_Engine!$AE$77,-1)</f>
        <v>80</v>
      </c>
      <c r="P77" s="71">
        <f>IF(ISNUMBER(Matching_Engine!$AM$77),Matching_Engine!$AM$77,-1)</f>
        <v>-1</v>
      </c>
      <c r="Q77" s="71">
        <f>IF(ISNUMBER(Matching_Engine!$AT$77),Matching_Engine!$AT$77,-1)</f>
        <v>50</v>
      </c>
      <c r="R77" s="71">
        <f ca="1">MAX($L$77:$Q$77)</f>
        <v>80</v>
      </c>
      <c r="S77" s="57" t="str">
        <f ca="1">INDEX({"Brand &amp; Business Relevance","Target Audience Relevance","Content &amp; Category Relevance","Brand Personality Fit","Performance Quality","Brand Safety"},MATCH($R$77,$L$77:$Q$77,0))</f>
        <v>Brand Personality Fit</v>
      </c>
      <c r="T77" s="71">
        <f>IF(ISNUMBER(Matching_Engine!$M$77),Matching_Engine!$M$77,999)</f>
        <v>20</v>
      </c>
      <c r="U77" s="71">
        <f ca="1">IF(ISNUMBER(Matching_Engine!$S$77),Matching_Engine!$S$77,999)</f>
        <v>72</v>
      </c>
      <c r="V77" s="71">
        <f>IF(ISNUMBER(Matching_Engine!$Y$77),Matching_Engine!$Y$77,999)</f>
        <v>65</v>
      </c>
      <c r="W77" s="71">
        <f>IF(ISNUMBER(Matching_Engine!$AE$77),Matching_Engine!$AE$77,999)</f>
        <v>80</v>
      </c>
      <c r="X77" s="71">
        <f>IF(ISNUMBER(Matching_Engine!$AM$77),Matching_Engine!$AM$77,999)</f>
        <v>999</v>
      </c>
      <c r="Y77" s="71">
        <f>IF(ISNUMBER(Matching_Engine!$AT$77),Matching_Engine!$AT$77,999)</f>
        <v>50</v>
      </c>
      <c r="Z77" s="71">
        <f ca="1">MIN($T$77:$Y$77)</f>
        <v>20</v>
      </c>
      <c r="AA77" s="57" t="str">
        <f ca="1">INDEX({"Brand &amp; Business Relevance","Target Audience Relevance","Content &amp; Category Relevance","Brand Personality Fit","Performance Quality","Brand Safety"},MATCH($Z$77,$T$77:$Y$77,0))</f>
        <v>Brand &amp; Business Relevance</v>
      </c>
    </row>
    <row r="78" spans="1:27">
      <c r="A78" s="57" t="str">
        <f>Matching_Engine!$B$78</f>
        <v>Rasa Nusantara</v>
      </c>
      <c r="B78" s="57" t="str">
        <f>Matching_Engine!$D$78</f>
        <v>Kevin Halim</v>
      </c>
      <c r="C78" s="57" t="str">
        <f>Matching_Engine!$E$78</f>
        <v>@kevinstyleid</v>
      </c>
      <c r="D78" s="70" t="str">
        <f ca="1">Matching_Engine!$AY$78</f>
        <v/>
      </c>
      <c r="E78" s="57" t="str">
        <f>Matching_Engine!$AZ$78</f>
        <v>BRAND-C|KOL-13</v>
      </c>
      <c r="F78" s="57" t="str">
        <f ca="1">IF(NOT(ISNUMBER(Matching_Engine!$AY$78)),"Not scored: no component of the model had data for this account, so no match can be claimed either way.",Matching_Engine!$AZ$78&amp;" — "&amp;Matching_Engine!$AY$78&amp;"/100 against "&amp;Matching_Engine!$B$78&amp;". "&amp;"Strongest factor "&amp;$S$78&amp;" at "&amp;$R$78&amp;"; weakest "&amp;$AA$78&amp;" at "&amp;$Z$78&amp;". "&amp;IF(AND(ISTEXT(Matching_Engine!$G$78),Matching_Engine!$G$78&lt;&gt;"N/A"),"Tagged category "&amp;Matching_Engine!$G$78&amp;" scores "&amp;IF(ISNUMBER(Matching_Engine!$J$78),Matching_Engine!$J$78,0)&amp;" against the brand category "&amp;Matching_Engine!$B$78&amp;" targets. ","Creator carries no category on record, so the category-driven parts fall back to neutral rather than penalising the creator. ")&amp;IF(ISNUMBER(Matching_Engine!$R$78),"Audience-interest overlap "&amp;Matching_Engine!$R$78&amp;". ","Audience interests unmeasured. ")&amp;IF(Matching_Engine!$AX$78&lt;100,"Scored on "&amp;Matching_Engine!$AX$78&amp;" of the 100 nominal weight points; the rest had no data.",""))</f>
        <v>Not scored: no component of the model had data for this account, so no match can be claimed either way.</v>
      </c>
      <c r="G78" s="57" t="str">
        <f ca="1">IF(NOT(ISNUMBER(Matching_Engine!$AY$78)),"N/A",$S$78&amp;" ("&amp;$R$78&amp;"/100)")</f>
        <v>N/A</v>
      </c>
      <c r="H78" s="57" t="str">
        <f ca="1">IF(NOT(ISNUMBER(Matching_Engine!$AY$78)),"N/A",$AA$78&amp;" ("&amp;$Z$78&amp;"/100)")</f>
        <v>N/A</v>
      </c>
      <c r="I78" s="57" t="str">
        <f ca="1">IF(NOT(ISNUMBER(Matching_Engine!$AY$78)),"No data to consider: this account has no measured signal.",IF($Z$78&lt;Lookup_Lists!$D$161,$AA$78&amp;" sits at "&amp;$Z$78&amp;", below the "&amp;Lookup_Lists!$D$161&amp;"-point consideration threshold"&amp;IF(Matching_Engine!$AF$78=0," · Brand Personality Fit could not be scored at all: no creator personality, tone, values or content-style column exists","")&amp;IF(Matching_Engine!$AI$78="N/A"," · posting cadence unusable, so Consistency is excluded from Performance","")&amp;".","No component falls below the "&amp;Lookup_Lists!$D$161&amp;"-point consideration threshold."))</f>
        <v>No data to consider: this account has no measured signal.</v>
      </c>
      <c r="J78" s="57" t="str">
        <f ca="1">Matching_Engine!$AV$78&amp;" — "&amp;Matching_Engine!$AW$78&amp;IF(Matching_Engine!$BB$78="Limited Data"," Confidence is Limited Data: "&amp;Matching_Engine!$BA$78&amp;"% of tracked fields carry a value.","")</f>
        <v>EXCLUDED — Engagement Rate below Minimum Engagement Rate</v>
      </c>
      <c r="K78" s="57" t="str">
        <f ca="1">IF(NOT(ISNUMBER(Matching_Engine!$AY$78)),"Do not shortlist on this data — re-scrape the account first.",IF(Matching_Engine!$AY$78&gt;=Lookup_Lists!$D$156,"Highly Recommended",IF(Matching_Engine!$AY$78&gt;=Lookup_Lists!$D$157,"Recommended",IF(Matching_Engine!$AY$78&gt;=Lookup_Lists!$D$158,"Consider","Low Priority")))&amp;IF(Matching_Engine!$AX$78&lt;100," (on partial data)",""))</f>
        <v>Do not shortlist on this data — re-scrape the account first.</v>
      </c>
      <c r="L78" s="71">
        <f>IF(ISNUMBER(Matching_Engine!$M$78),Matching_Engine!$M$78,-1)</f>
        <v>40</v>
      </c>
      <c r="M78" s="71">
        <f ca="1">IF(ISNUMBER(Matching_Engine!$S$78),Matching_Engine!$S$78,-1)</f>
        <v>67</v>
      </c>
      <c r="N78" s="71">
        <f>IF(ISNUMBER(Matching_Engine!$Y$78),Matching_Engine!$Y$78,-1)</f>
        <v>60</v>
      </c>
      <c r="O78" s="71">
        <f>IF(ISNUMBER(Matching_Engine!$AE$78),Matching_Engine!$AE$78,-1)</f>
        <v>86</v>
      </c>
      <c r="P78" s="71">
        <f>IF(ISNUMBER(Matching_Engine!$AM$78),Matching_Engine!$AM$78,-1)</f>
        <v>-1</v>
      </c>
      <c r="Q78" s="71">
        <f>IF(ISNUMBER(Matching_Engine!$AT$78),Matching_Engine!$AT$78,-1)</f>
        <v>46</v>
      </c>
      <c r="R78" s="71">
        <f ca="1">MAX($L$78:$Q$78)</f>
        <v>86</v>
      </c>
      <c r="S78" s="57" t="str">
        <f ca="1">INDEX({"Brand &amp; Business Relevance","Target Audience Relevance","Content &amp; Category Relevance","Brand Personality Fit","Performance Quality","Brand Safety"},MATCH($R$78,$L$78:$Q$78,0))</f>
        <v>Brand Personality Fit</v>
      </c>
      <c r="T78" s="71">
        <f>IF(ISNUMBER(Matching_Engine!$M$78),Matching_Engine!$M$78,999)</f>
        <v>40</v>
      </c>
      <c r="U78" s="71">
        <f ca="1">IF(ISNUMBER(Matching_Engine!$S$78),Matching_Engine!$S$78,999)</f>
        <v>67</v>
      </c>
      <c r="V78" s="71">
        <f>IF(ISNUMBER(Matching_Engine!$Y$78),Matching_Engine!$Y$78,999)</f>
        <v>60</v>
      </c>
      <c r="W78" s="71">
        <f>IF(ISNUMBER(Matching_Engine!$AE$78),Matching_Engine!$AE$78,999)</f>
        <v>86</v>
      </c>
      <c r="X78" s="71">
        <f>IF(ISNUMBER(Matching_Engine!$AM$78),Matching_Engine!$AM$78,999)</f>
        <v>999</v>
      </c>
      <c r="Y78" s="71">
        <f>IF(ISNUMBER(Matching_Engine!$AT$78),Matching_Engine!$AT$78,999)</f>
        <v>46</v>
      </c>
      <c r="Z78" s="71">
        <f ca="1">MIN($T$78:$Y$78)</f>
        <v>40</v>
      </c>
      <c r="AA78" s="57" t="str">
        <f ca="1">INDEX({"Brand &amp; Business Relevance","Target Audience Relevance","Content &amp; Category Relevance","Brand Personality Fit","Performance Quality","Brand Safety"},MATCH($Z$78,$T$78:$Y$78,0))</f>
        <v>Brand &amp; Business Relevance</v>
      </c>
    </row>
    <row r="79" spans="1:27">
      <c r="A79" s="57" t="str">
        <f>Matching_Engine!$B$79</f>
        <v>Rasa Nusantara</v>
      </c>
      <c r="B79" s="57" t="str">
        <f>Matching_Engine!$D$79</f>
        <v>Zahra Amelia</v>
      </c>
      <c r="C79" s="57" t="str">
        <f>Matching_Engine!$E$79</f>
        <v>@zahrahijabstyle</v>
      </c>
      <c r="D79" s="70" t="str">
        <f ca="1">Matching_Engine!$AY$79</f>
        <v/>
      </c>
      <c r="E79" s="57" t="str">
        <f>Matching_Engine!$AZ$79</f>
        <v>BRAND-C|KOL-14</v>
      </c>
      <c r="F79" s="57" t="str">
        <f ca="1">IF(NOT(ISNUMBER(Matching_Engine!$AY$79)),"Not scored: no component of the model had data for this account, so no match can be claimed either way.",Matching_Engine!$AZ$79&amp;" — "&amp;Matching_Engine!$AY$79&amp;"/100 against "&amp;Matching_Engine!$B$79&amp;". "&amp;"Strongest factor "&amp;$S$79&amp;" at "&amp;$R$79&amp;"; weakest "&amp;$AA$79&amp;" at "&amp;$Z$79&amp;". "&amp;IF(AND(ISTEXT(Matching_Engine!$G$79),Matching_Engine!$G$79&lt;&gt;"N/A"),"Tagged category "&amp;Matching_Engine!$G$79&amp;" scores "&amp;IF(ISNUMBER(Matching_Engine!$J$79),Matching_Engine!$J$79,0)&amp;" against the brand category "&amp;Matching_Engine!$B$79&amp;" targets. ","Creator carries no category on record, so the category-driven parts fall back to neutral rather than penalising the creator. ")&amp;IF(ISNUMBER(Matching_Engine!$R$79),"Audience-interest overlap "&amp;Matching_Engine!$R$79&amp;". ","Audience interests unmeasured. ")&amp;IF(Matching_Engine!$AX$79&lt;100,"Scored on "&amp;Matching_Engine!$AX$79&amp;" of the 100 nominal weight points; the rest had no data.",""))</f>
        <v>Not scored: no component of the model had data for this account, so no match can be claimed either way.</v>
      </c>
      <c r="G79" s="57" t="str">
        <f ca="1">IF(NOT(ISNUMBER(Matching_Engine!$AY$79)),"N/A",$S$79&amp;" ("&amp;$R$79&amp;"/100)")</f>
        <v>N/A</v>
      </c>
      <c r="H79" s="57" t="str">
        <f ca="1">IF(NOT(ISNUMBER(Matching_Engine!$AY$79)),"N/A",$AA$79&amp;" ("&amp;$Z$79&amp;"/100)")</f>
        <v>N/A</v>
      </c>
      <c r="I79" s="57" t="str">
        <f ca="1">IF(NOT(ISNUMBER(Matching_Engine!$AY$79)),"No data to consider: this account has no measured signal.",IF($Z$79&lt;Lookup_Lists!$D$161,$AA$79&amp;" sits at "&amp;$Z$79&amp;", below the "&amp;Lookup_Lists!$D$161&amp;"-point consideration threshold"&amp;IF(Matching_Engine!$AF$79=0," · Brand Personality Fit could not be scored at all: no creator personality, tone, values or content-style column exists","")&amp;IF(Matching_Engine!$AI$79="N/A"," · posting cadence unusable, so Consistency is excluded from Performance","")&amp;".","No component falls below the "&amp;Lookup_Lists!$D$161&amp;"-point consideration threshold."))</f>
        <v>No data to consider: this account has no measured signal.</v>
      </c>
      <c r="J79" s="57" t="str">
        <f ca="1">Matching_Engine!$AV$79&amp;" — "&amp;Matching_Engine!$AW$79&amp;IF(Matching_Engine!$BB$79="Limited Data"," Confidence is Limited Data: "&amp;Matching_Engine!$BA$79&amp;"% of tracked fields carry a value.","")</f>
        <v>EXCLUDED — Tier not in Preferred Tier</v>
      </c>
      <c r="K79" s="57" t="str">
        <f ca="1">IF(NOT(ISNUMBER(Matching_Engine!$AY$79)),"Do not shortlist on this data — re-scrape the account first.",IF(Matching_Engine!$AY$79&gt;=Lookup_Lists!$D$156,"Highly Recommended",IF(Matching_Engine!$AY$79&gt;=Lookup_Lists!$D$157,"Recommended",IF(Matching_Engine!$AY$79&gt;=Lookup_Lists!$D$158,"Consider","Low Priority")))&amp;IF(Matching_Engine!$AX$79&lt;100," (on partial data)",""))</f>
        <v>Do not shortlist on this data — re-scrape the account first.</v>
      </c>
      <c r="L79" s="71">
        <f>IF(ISNUMBER(Matching_Engine!$M$79),Matching_Engine!$M$79,-1)</f>
        <v>20</v>
      </c>
      <c r="M79" s="71">
        <f ca="1">IF(ISNUMBER(Matching_Engine!$S$79),Matching_Engine!$S$79,-1)</f>
        <v>69</v>
      </c>
      <c r="N79" s="71">
        <f>IF(ISNUMBER(Matching_Engine!$Y$79),Matching_Engine!$Y$79,-1)</f>
        <v>35</v>
      </c>
      <c r="O79" s="71">
        <f>IF(ISNUMBER(Matching_Engine!$AE$79),Matching_Engine!$AE$79,-1)</f>
        <v>62</v>
      </c>
      <c r="P79" s="71">
        <f>IF(ISNUMBER(Matching_Engine!$AM$79),Matching_Engine!$AM$79,-1)</f>
        <v>-1</v>
      </c>
      <c r="Q79" s="71">
        <f>IF(ISNUMBER(Matching_Engine!$AT$79),Matching_Engine!$AT$79,-1)</f>
        <v>39</v>
      </c>
      <c r="R79" s="71">
        <f ca="1">MAX($L$79:$Q$79)</f>
        <v>69</v>
      </c>
      <c r="S79" s="57" t="str">
        <f ca="1">INDEX({"Brand &amp; Business Relevance","Target Audience Relevance","Content &amp; Category Relevance","Brand Personality Fit","Performance Quality","Brand Safety"},MATCH($R$79,$L$79:$Q$79,0))</f>
        <v>Target Audience Relevance</v>
      </c>
      <c r="T79" s="71">
        <f>IF(ISNUMBER(Matching_Engine!$M$79),Matching_Engine!$M$79,999)</f>
        <v>20</v>
      </c>
      <c r="U79" s="71">
        <f ca="1">IF(ISNUMBER(Matching_Engine!$S$79),Matching_Engine!$S$79,999)</f>
        <v>69</v>
      </c>
      <c r="V79" s="71">
        <f>IF(ISNUMBER(Matching_Engine!$Y$79),Matching_Engine!$Y$79,999)</f>
        <v>35</v>
      </c>
      <c r="W79" s="71">
        <f>IF(ISNUMBER(Matching_Engine!$AE$79),Matching_Engine!$AE$79,999)</f>
        <v>62</v>
      </c>
      <c r="X79" s="71">
        <f>IF(ISNUMBER(Matching_Engine!$AM$79),Matching_Engine!$AM$79,999)</f>
        <v>999</v>
      </c>
      <c r="Y79" s="71">
        <f>IF(ISNUMBER(Matching_Engine!$AT$79),Matching_Engine!$AT$79,999)</f>
        <v>39</v>
      </c>
      <c r="Z79" s="71">
        <f ca="1">MIN($T$79:$Y$79)</f>
        <v>20</v>
      </c>
      <c r="AA79" s="57" t="str">
        <f ca="1">INDEX({"Brand &amp; Business Relevance","Target Audience Relevance","Content &amp; Category Relevance","Brand Personality Fit","Performance Quality","Brand Safety"},MATCH($Z$79,$T$79:$Y$79,0))</f>
        <v>Brand &amp; Business Relevance</v>
      </c>
    </row>
    <row r="80" spans="1:27">
      <c r="A80" s="57" t="str">
        <f>Matching_Engine!$B$80</f>
        <v>Rasa Nusantara</v>
      </c>
      <c r="B80" s="57" t="str">
        <f>Matching_Engine!$D$80</f>
        <v>Andini Rahma</v>
      </c>
      <c r="C80" s="57" t="str">
        <f>Matching_Engine!$E$80</f>
        <v>@andinidaily</v>
      </c>
      <c r="D80" s="70">
        <f ca="1">Matching_Engine!$AY$80</f>
        <v>72</v>
      </c>
      <c r="E80" s="57" t="str">
        <f>Matching_Engine!$AZ$80</f>
        <v>BRAND-C|KOL-15</v>
      </c>
      <c r="F80" s="57" t="str">
        <f ca="1">IF(NOT(ISNUMBER(Matching_Engine!$AY$80)),"Not scored: no component of the model had data for this account, so no match can be claimed either way.",Matching_Engine!$AZ$80&amp;" — "&amp;Matching_Engine!$AY$80&amp;"/100 against "&amp;Matching_Engine!$B$80&amp;". "&amp;"Strongest factor "&amp;$S$80&amp;" at "&amp;$R$80&amp;"; weakest "&amp;$AA$80&amp;" at "&amp;$Z$80&amp;". "&amp;IF(AND(ISTEXT(Matching_Engine!$G$80),Matching_Engine!$G$80&lt;&gt;"N/A"),"Tagged category "&amp;Matching_Engine!$G$80&amp;" scores "&amp;IF(ISNUMBER(Matching_Engine!$J$80),Matching_Engine!$J$80,0)&amp;" against the brand category "&amp;Matching_Engine!$B$80&amp;" targets. ","Creator carries no category on record, so the category-driven parts fall back to neutral rather than penalising the creator. ")&amp;IF(ISNUMBER(Matching_Engine!$R$80),"Audience-interest overlap "&amp;Matching_Engine!$R$80&amp;". ","Audience interests unmeasured. ")&amp;IF(Matching_Engine!$AX$80&lt;100,"Scored on "&amp;Matching_Engine!$AX$80&amp;" of the 100 nominal weight points; the rest had no data.",""))</f>
        <v>BRAND-C|KOL-15 — 72/100 against Rasa Nusantara. Strongest factor Content &amp; Category Relevance at 100; weakest Brand &amp; Business Relevance at 40. Tagged category Lifestyle scores 5,8 against the brand category Rasa Nusantara targets. Audience-interest overlap 40. </v>
      </c>
      <c r="G80" s="57" t="str">
        <f ca="1">IF(NOT(ISNUMBER(Matching_Engine!$AY$80)),"N/A",$S$80&amp;" ("&amp;$R$80&amp;"/100)")</f>
        <v>Content &amp; Category Relevance (100/100)</v>
      </c>
      <c r="H80" s="57" t="str">
        <f ca="1">IF(NOT(ISNUMBER(Matching_Engine!$AY$80)),"N/A",$AA$80&amp;" ("&amp;$Z$80&amp;"/100)")</f>
        <v>Brand &amp; Business Relevance (40/100)</v>
      </c>
      <c r="I80" s="57" t="str">
        <f ca="1">IF(NOT(ISNUMBER(Matching_Engine!$AY$80)),"No data to consider: this account has no measured signal.",IF($Z$80&lt;Lookup_Lists!$D$161,$AA$80&amp;" sits at "&amp;$Z$80&amp;", below the "&amp;Lookup_Lists!$D$161&amp;"-point consideration threshold"&amp;IF(Matching_Engine!$AF$80=0," · Brand Personality Fit could not be scored at all: no creator personality, tone, values or content-style column exists","")&amp;IF(Matching_Engine!$AI$80="N/A"," · posting cadence unusable, so Consistency is excluded from Performance","")&amp;".","No component falls below the "&amp;Lookup_Lists!$D$161&amp;"-point consideration threshold."))</f>
        <v>Brand &amp; Business Relevance sits at 40, below the 75-point consideration threshold.</v>
      </c>
      <c r="J80" s="57" t="str">
        <f ca="1">Matching_Engine!$AV$80&amp;" — "&amp;Matching_Engine!$AW$80&amp;IF(Matching_Engine!$BB$80="Limited Data"," Confidence is Limited Data: "&amp;Matching_Engine!$BA$80&amp;"% of tracked fields carry a value.","")</f>
        <v>PASS — </v>
      </c>
      <c r="K80" s="57" t="str">
        <f ca="1">IF(NOT(ISNUMBER(Matching_Engine!$AY$80)),"Do not shortlist on this data — re-scrape the account first.",IF(Matching_Engine!$AY$80&gt;=Lookup_Lists!$D$156,"Highly Recommended",IF(Matching_Engine!$AY$80&gt;=Lookup_Lists!$D$157,"Recommended",IF(Matching_Engine!$AY$80&gt;=Lookup_Lists!$D$158,"Consider","Low Priority")))&amp;IF(Matching_Engine!$AX$80&lt;100," (on partial data)",""))</f>
        <v>Recommended</v>
      </c>
      <c r="L80" s="71">
        <f>IF(ISNUMBER(Matching_Engine!$M$80),Matching_Engine!$M$80,-1)</f>
        <v>40</v>
      </c>
      <c r="M80" s="71">
        <f ca="1">IF(ISNUMBER(Matching_Engine!$S$80),Matching_Engine!$S$80,-1)</f>
        <v>76</v>
      </c>
      <c r="N80" s="71">
        <f>IF(ISNUMBER(Matching_Engine!$Y$80),Matching_Engine!$Y$80,-1)</f>
        <v>100</v>
      </c>
      <c r="O80" s="71">
        <f>IF(ISNUMBER(Matching_Engine!$AE$80),Matching_Engine!$AE$80,-1)</f>
        <v>79</v>
      </c>
      <c r="P80" s="71">
        <f>IF(ISNUMBER(Matching_Engine!$AM$80),Matching_Engine!$AM$80,-1)</f>
        <v>-1</v>
      </c>
      <c r="Q80" s="71">
        <f>IF(ISNUMBER(Matching_Engine!$AT$80),Matching_Engine!$AT$80,-1)</f>
        <v>72</v>
      </c>
      <c r="R80" s="71">
        <f ca="1">MAX($L$80:$Q$80)</f>
        <v>100</v>
      </c>
      <c r="S80" s="57" t="str">
        <f ca="1">INDEX({"Brand &amp; Business Relevance","Target Audience Relevance","Content &amp; Category Relevance","Brand Personality Fit","Performance Quality","Brand Safety"},MATCH($R$80,$L$80:$Q$80,0))</f>
        <v>Content &amp; Category Relevance</v>
      </c>
      <c r="T80" s="71">
        <f>IF(ISNUMBER(Matching_Engine!$M$80),Matching_Engine!$M$80,999)</f>
        <v>40</v>
      </c>
      <c r="U80" s="71">
        <f ca="1">IF(ISNUMBER(Matching_Engine!$S$80),Matching_Engine!$S$80,999)</f>
        <v>76</v>
      </c>
      <c r="V80" s="71">
        <f>IF(ISNUMBER(Matching_Engine!$Y$80),Matching_Engine!$Y$80,999)</f>
        <v>100</v>
      </c>
      <c r="W80" s="71">
        <f>IF(ISNUMBER(Matching_Engine!$AE$80),Matching_Engine!$AE$80,999)</f>
        <v>79</v>
      </c>
      <c r="X80" s="71">
        <f>IF(ISNUMBER(Matching_Engine!$AM$80),Matching_Engine!$AM$80,999)</f>
        <v>999</v>
      </c>
      <c r="Y80" s="71">
        <f>IF(ISNUMBER(Matching_Engine!$AT$80),Matching_Engine!$AT$80,999)</f>
        <v>72</v>
      </c>
      <c r="Z80" s="71">
        <f ca="1">MIN($T$80:$Y$80)</f>
        <v>40</v>
      </c>
      <c r="AA80" s="57" t="str">
        <f ca="1">INDEX({"Brand &amp; Business Relevance","Target Audience Relevance","Content &amp; Category Relevance","Brand Personality Fit","Performance Quality","Brand Safety"},MATCH($Z$80,$T$80:$Y$80,0))</f>
        <v>Brand &amp; Business Relevance</v>
      </c>
    </row>
    <row r="81" spans="1:27">
      <c r="A81" s="57" t="str">
        <f>Matching_Engine!$B$81</f>
        <v>Rasa Nusantara</v>
      </c>
      <c r="B81" s="57" t="str">
        <f>Matching_Engine!$D$81</f>
        <v>Yoga Pratama</v>
      </c>
      <c r="C81" s="57" t="str">
        <f>Matching_Engine!$E$81</f>
        <v>@yogaminimal</v>
      </c>
      <c r="D81" s="70" t="str">
        <f ca="1">Matching_Engine!$AY$81</f>
        <v/>
      </c>
      <c r="E81" s="57" t="str">
        <f>Matching_Engine!$AZ$81</f>
        <v>BRAND-C|KOL-16</v>
      </c>
      <c r="F81" s="57" t="str">
        <f ca="1">IF(NOT(ISNUMBER(Matching_Engine!$AY$81)),"Not scored: no component of the model had data for this account, so no match can be claimed either way.",Matching_Engine!$AZ$81&amp;" — "&amp;Matching_Engine!$AY$81&amp;"/100 against "&amp;Matching_Engine!$B$81&amp;". "&amp;"Strongest factor "&amp;$S$81&amp;" at "&amp;$R$81&amp;"; weakest "&amp;$AA$81&amp;" at "&amp;$Z$81&amp;". "&amp;IF(AND(ISTEXT(Matching_Engine!$G$81),Matching_Engine!$G$81&lt;&gt;"N/A"),"Tagged category "&amp;Matching_Engine!$G$81&amp;" scores "&amp;IF(ISNUMBER(Matching_Engine!$J$81),Matching_Engine!$J$81,0)&amp;" against the brand category "&amp;Matching_Engine!$B$81&amp;" targets. ","Creator carries no category on record, so the category-driven parts fall back to neutral rather than penalising the creator. ")&amp;IF(ISNUMBER(Matching_Engine!$R$81),"Audience-interest overlap "&amp;Matching_Engine!$R$81&amp;". ","Audience interests unmeasured. ")&amp;IF(Matching_Engine!$AX$81&lt;100,"Scored on "&amp;Matching_Engine!$AX$81&amp;" of the 100 nominal weight points; the rest had no data.",""))</f>
        <v>Not scored: no component of the model had data for this account, so no match can be claimed either way.</v>
      </c>
      <c r="G81" s="57" t="str">
        <f ca="1">IF(NOT(ISNUMBER(Matching_Engine!$AY$81)),"N/A",$S$81&amp;" ("&amp;$R$81&amp;"/100)")</f>
        <v>N/A</v>
      </c>
      <c r="H81" s="57" t="str">
        <f ca="1">IF(NOT(ISNUMBER(Matching_Engine!$AY$81)),"N/A",$AA$81&amp;" ("&amp;$Z$81&amp;"/100)")</f>
        <v>N/A</v>
      </c>
      <c r="I81" s="57" t="str">
        <f ca="1">IF(NOT(ISNUMBER(Matching_Engine!$AY$81)),"No data to consider: this account has no measured signal.",IF($Z$81&lt;Lookup_Lists!$D$161,$AA$81&amp;" sits at "&amp;$Z$81&amp;", below the "&amp;Lookup_Lists!$D$161&amp;"-point consideration threshold"&amp;IF(Matching_Engine!$AF$81=0," · Brand Personality Fit could not be scored at all: no creator personality, tone, values or content-style column exists","")&amp;IF(Matching_Engine!$AI$81="N/A"," · posting cadence unusable, so Consistency is excluded from Performance","")&amp;".","No component falls below the "&amp;Lookup_Lists!$D$161&amp;"-point consideration threshold."))</f>
        <v>No data to consider: this account has no measured signal.</v>
      </c>
      <c r="J81" s="57" t="str">
        <f ca="1">Matching_Engine!$AV$81&amp;" — "&amp;Matching_Engine!$AW$81&amp;IF(Matching_Engine!$BB$81="Limited Data"," Confidence is Limited Data: "&amp;Matching_Engine!$BA$81&amp;"% of tracked fields carry a value.","")</f>
        <v>EXCLUDED — Tier not in Preferred Tier</v>
      </c>
      <c r="K81" s="57" t="str">
        <f ca="1">IF(NOT(ISNUMBER(Matching_Engine!$AY$81)),"Do not shortlist on this data — re-scrape the account first.",IF(Matching_Engine!$AY$81&gt;=Lookup_Lists!$D$156,"Highly Recommended",IF(Matching_Engine!$AY$81&gt;=Lookup_Lists!$D$157,"Recommended",IF(Matching_Engine!$AY$81&gt;=Lookup_Lists!$D$158,"Consider","Low Priority")))&amp;IF(Matching_Engine!$AX$81&lt;100," (on partial data)",""))</f>
        <v>Do not shortlist on this data — re-scrape the account first.</v>
      </c>
      <c r="L81" s="71">
        <f>IF(ISNUMBER(Matching_Engine!$M$81),Matching_Engine!$M$81,-1)</f>
        <v>0</v>
      </c>
      <c r="M81" s="71">
        <f ca="1">IF(ISNUMBER(Matching_Engine!$S$81),Matching_Engine!$S$81,-1)</f>
        <v>70</v>
      </c>
      <c r="N81" s="71">
        <f>IF(ISNUMBER(Matching_Engine!$Y$81),Matching_Engine!$Y$81,-1)</f>
        <v>65</v>
      </c>
      <c r="O81" s="71">
        <f>IF(ISNUMBER(Matching_Engine!$AE$81),Matching_Engine!$AE$81,-1)</f>
        <v>72</v>
      </c>
      <c r="P81" s="71">
        <f>IF(ISNUMBER(Matching_Engine!$AM$81),Matching_Engine!$AM$81,-1)</f>
        <v>-1</v>
      </c>
      <c r="Q81" s="71">
        <f>IF(ISNUMBER(Matching_Engine!$AT$81),Matching_Engine!$AT$81,-1)</f>
        <v>57</v>
      </c>
      <c r="R81" s="71">
        <f ca="1">MAX($L$81:$Q$81)</f>
        <v>72</v>
      </c>
      <c r="S81" s="57" t="str">
        <f ca="1">INDEX({"Brand &amp; Business Relevance","Target Audience Relevance","Content &amp; Category Relevance","Brand Personality Fit","Performance Quality","Brand Safety"},MATCH($R$81,$L$81:$Q$81,0))</f>
        <v>Brand Personality Fit</v>
      </c>
      <c r="T81" s="71">
        <f>IF(ISNUMBER(Matching_Engine!$M$81),Matching_Engine!$M$81,999)</f>
        <v>0</v>
      </c>
      <c r="U81" s="71">
        <f ca="1">IF(ISNUMBER(Matching_Engine!$S$81),Matching_Engine!$S$81,999)</f>
        <v>70</v>
      </c>
      <c r="V81" s="71">
        <f>IF(ISNUMBER(Matching_Engine!$Y$81),Matching_Engine!$Y$81,999)</f>
        <v>65</v>
      </c>
      <c r="W81" s="71">
        <f>IF(ISNUMBER(Matching_Engine!$AE$81),Matching_Engine!$AE$81,999)</f>
        <v>72</v>
      </c>
      <c r="X81" s="71">
        <f>IF(ISNUMBER(Matching_Engine!$AM$81),Matching_Engine!$AM$81,999)</f>
        <v>999</v>
      </c>
      <c r="Y81" s="71">
        <f>IF(ISNUMBER(Matching_Engine!$AT$81),Matching_Engine!$AT$81,999)</f>
        <v>57</v>
      </c>
      <c r="Z81" s="71">
        <f ca="1">MIN($T$81:$Y$81)</f>
        <v>0</v>
      </c>
      <c r="AA81" s="57" t="str">
        <f ca="1">INDEX({"Brand &amp; Business Relevance","Target Audience Relevance","Content &amp; Category Relevance","Brand Personality Fit","Performance Quality","Brand Safety"},MATCH($Z$81,$T$81:$Y$81,0))</f>
        <v>Brand &amp; Business Relevance</v>
      </c>
    </row>
    <row r="82" spans="1:27">
      <c r="A82" s="57" t="str">
        <f>Matching_Engine!$B$82</f>
        <v>Rasa Nusantara</v>
      </c>
      <c r="B82" s="57" t="str">
        <f>Matching_Engine!$D$82</f>
        <v>Sinta Maharani</v>
      </c>
      <c r="C82" s="57" t="str">
        <f>Matching_Engine!$E$82</f>
        <v>@sintajalanjalan</v>
      </c>
      <c r="D82" s="70" t="str">
        <f ca="1">Matching_Engine!$AY$82</f>
        <v/>
      </c>
      <c r="E82" s="57" t="str">
        <f>Matching_Engine!$AZ$82</f>
        <v>BRAND-C|KOL-17</v>
      </c>
      <c r="F82" s="57" t="str">
        <f ca="1">IF(NOT(ISNUMBER(Matching_Engine!$AY$82)),"Not scored: no component of the model had data for this account, so no match can be claimed either way.",Matching_Engine!$AZ$82&amp;" — "&amp;Matching_Engine!$AY$82&amp;"/100 against "&amp;Matching_Engine!$B$82&amp;". "&amp;"Strongest factor "&amp;$S$82&amp;" at "&amp;$R$82&amp;"; weakest "&amp;$AA$82&amp;" at "&amp;$Z$82&amp;". "&amp;IF(AND(ISTEXT(Matching_Engine!$G$82),Matching_Engine!$G$82&lt;&gt;"N/A"),"Tagged category "&amp;Matching_Engine!$G$82&amp;" scores "&amp;IF(ISNUMBER(Matching_Engine!$J$82),Matching_Engine!$J$82,0)&amp;" against the brand category "&amp;Matching_Engine!$B$82&amp;" targets. ","Creator carries no category on record, so the category-driven parts fall back to neutral rather than penalising the creator. ")&amp;IF(ISNUMBER(Matching_Engine!$R$82),"Audience-interest overlap "&amp;Matching_Engine!$R$82&amp;". ","Audience interests unmeasured. ")&amp;IF(Matching_Engine!$AX$82&lt;100,"Scored on "&amp;Matching_Engine!$AX$82&amp;" of the 100 nominal weight points; the rest had no data.",""))</f>
        <v>Not scored: no component of the model had data for this account, so no match can be claimed either way.</v>
      </c>
      <c r="G82" s="57" t="str">
        <f ca="1">IF(NOT(ISNUMBER(Matching_Engine!$AY$82)),"N/A",$S$82&amp;" ("&amp;$R$82&amp;"/100)")</f>
        <v>N/A</v>
      </c>
      <c r="H82" s="57" t="str">
        <f ca="1">IF(NOT(ISNUMBER(Matching_Engine!$AY$82)),"N/A",$AA$82&amp;" ("&amp;$Z$82&amp;"/100)")</f>
        <v>N/A</v>
      </c>
      <c r="I82" s="57" t="str">
        <f ca="1">IF(NOT(ISNUMBER(Matching_Engine!$AY$82)),"No data to consider: this account has no measured signal.",IF($Z$82&lt;Lookup_Lists!$D$161,$AA$82&amp;" sits at "&amp;$Z$82&amp;", below the "&amp;Lookup_Lists!$D$161&amp;"-point consideration threshold"&amp;IF(Matching_Engine!$AF$82=0," · Brand Personality Fit could not be scored at all: no creator personality, tone, values or content-style column exists","")&amp;IF(Matching_Engine!$AI$82="N/A"," · posting cadence unusable, so Consistency is excluded from Performance","")&amp;".","No component falls below the "&amp;Lookup_Lists!$D$161&amp;"-point consideration threshold."))</f>
        <v>No data to consider: this account has no measured signal.</v>
      </c>
      <c r="J82" s="57" t="str">
        <f ca="1">Matching_Engine!$AV$82&amp;" — "&amp;Matching_Engine!$AW$82&amp;IF(Matching_Engine!$BB$82="Limited Data"," Confidence is Limited Data: "&amp;Matching_Engine!$BA$82&amp;"% of tracked fields carry a value.","")</f>
        <v>EXCLUDED — Tier not in Preferred Tier</v>
      </c>
      <c r="K82" s="57" t="str">
        <f ca="1">IF(NOT(ISNUMBER(Matching_Engine!$AY$82)),"Do not shortlist on this data — re-scrape the account first.",IF(Matching_Engine!$AY$82&gt;=Lookup_Lists!$D$156,"Highly Recommended",IF(Matching_Engine!$AY$82&gt;=Lookup_Lists!$D$157,"Recommended",IF(Matching_Engine!$AY$82&gt;=Lookup_Lists!$D$158,"Consider","Low Priority")))&amp;IF(Matching_Engine!$AX$82&lt;100," (on partial data)",""))</f>
        <v>Do not shortlist on this data — re-scrape the account first.</v>
      </c>
      <c r="L82" s="71">
        <f>IF(ISNUMBER(Matching_Engine!$M$82),Matching_Engine!$M$82,-1)</f>
        <v>60</v>
      </c>
      <c r="M82" s="71">
        <f ca="1">IF(ISNUMBER(Matching_Engine!$S$82),Matching_Engine!$S$82,-1)</f>
        <v>86</v>
      </c>
      <c r="N82" s="71">
        <f>IF(ISNUMBER(Matching_Engine!$Y$82),Matching_Engine!$Y$82,-1)</f>
        <v>35</v>
      </c>
      <c r="O82" s="71">
        <f>IF(ISNUMBER(Matching_Engine!$AE$82),Matching_Engine!$AE$82,-1)</f>
        <v>79</v>
      </c>
      <c r="P82" s="71">
        <f>IF(ISNUMBER(Matching_Engine!$AM$82),Matching_Engine!$AM$82,-1)</f>
        <v>-1</v>
      </c>
      <c r="Q82" s="71">
        <f>IF(ISNUMBER(Matching_Engine!$AT$82),Matching_Engine!$AT$82,-1)</f>
        <v>61</v>
      </c>
      <c r="R82" s="71">
        <f ca="1">MAX($L$82:$Q$82)</f>
        <v>86</v>
      </c>
      <c r="S82" s="57" t="str">
        <f ca="1">INDEX({"Brand &amp; Business Relevance","Target Audience Relevance","Content &amp; Category Relevance","Brand Personality Fit","Performance Quality","Brand Safety"},MATCH($R$82,$L$82:$Q$82,0))</f>
        <v>Target Audience Relevance</v>
      </c>
      <c r="T82" s="71">
        <f>IF(ISNUMBER(Matching_Engine!$M$82),Matching_Engine!$M$82,999)</f>
        <v>60</v>
      </c>
      <c r="U82" s="71">
        <f ca="1">IF(ISNUMBER(Matching_Engine!$S$82),Matching_Engine!$S$82,999)</f>
        <v>86</v>
      </c>
      <c r="V82" s="71">
        <f>IF(ISNUMBER(Matching_Engine!$Y$82),Matching_Engine!$Y$82,999)</f>
        <v>35</v>
      </c>
      <c r="W82" s="71">
        <f>IF(ISNUMBER(Matching_Engine!$AE$82),Matching_Engine!$AE$82,999)</f>
        <v>79</v>
      </c>
      <c r="X82" s="71">
        <f>IF(ISNUMBER(Matching_Engine!$AM$82),Matching_Engine!$AM$82,999)</f>
        <v>999</v>
      </c>
      <c r="Y82" s="71">
        <f>IF(ISNUMBER(Matching_Engine!$AT$82),Matching_Engine!$AT$82,999)</f>
        <v>61</v>
      </c>
      <c r="Z82" s="71">
        <f ca="1">MIN($T$82:$Y$82)</f>
        <v>35</v>
      </c>
      <c r="AA82" s="57" t="str">
        <f ca="1">INDEX({"Brand &amp; Business Relevance","Target Audience Relevance","Content &amp; Category Relevance","Brand Personality Fit","Performance Quality","Brand Safety"},MATCH($Z$82,$T$82:$Y$82,0))</f>
        <v>Content &amp; Category Relevance</v>
      </c>
    </row>
    <row r="83" spans="1:27">
      <c r="A83" s="57" t="str">
        <f>Matching_Engine!$B$83</f>
        <v>Rasa Nusantara</v>
      </c>
      <c r="B83" s="57" t="str">
        <f>Matching_Engine!$D$83</f>
        <v>Reza Fadillah</v>
      </c>
      <c r="C83" s="57" t="str">
        <f>Matching_Engine!$E$83</f>
        <v>@rezabudgettrip</v>
      </c>
      <c r="D83" s="70">
        <f ca="1">Matching_Engine!$AY$83</f>
        <v>78</v>
      </c>
      <c r="E83" s="57" t="str">
        <f>Matching_Engine!$AZ$83</f>
        <v>BRAND-C|KOL-18</v>
      </c>
      <c r="F83" s="57" t="str">
        <f ca="1">IF(NOT(ISNUMBER(Matching_Engine!$AY$83)),"Not scored: no component of the model had data for this account, so no match can be claimed either way.",Matching_Engine!$AZ$83&amp;" — "&amp;Matching_Engine!$AY$83&amp;"/100 against "&amp;Matching_Engine!$B$83&amp;". "&amp;"Strongest factor "&amp;$S$83&amp;" at "&amp;$R$83&amp;"; weakest "&amp;$AA$83&amp;" at "&amp;$Z$83&amp;". "&amp;IF(AND(ISTEXT(Matching_Engine!$G$83),Matching_Engine!$G$83&lt;&gt;"N/A"),"Tagged category "&amp;Matching_Engine!$G$83&amp;" scores "&amp;IF(ISNUMBER(Matching_Engine!$J$83),Matching_Engine!$J$83,0)&amp;" against the brand category "&amp;Matching_Engine!$B$83&amp;" targets. ","Creator carries no category on record, so the category-driven parts fall back to neutral rather than penalising the creator. ")&amp;IF(ISNUMBER(Matching_Engine!$R$83),"Audience-interest overlap "&amp;Matching_Engine!$R$83&amp;". ","Audience interests unmeasured. ")&amp;IF(Matching_Engine!$AX$83&lt;100,"Scored on "&amp;Matching_Engine!$AX$83&amp;" of the 100 nominal weight points; the rest had no data.",""))</f>
        <v>BRAND-C|KOL-18 — 78/100 against Rasa Nusantara. Strongest factor Content &amp; Category Relevance at 95; weakest Brand &amp; Business Relevance at 60. Tagged category Travel scores 6,9 against the brand category Rasa Nusantara targets. Audience-interest overlap 60. </v>
      </c>
      <c r="G83" s="57" t="str">
        <f ca="1">IF(NOT(ISNUMBER(Matching_Engine!$AY$83)),"N/A",$S$83&amp;" ("&amp;$R$83&amp;"/100)")</f>
        <v>Content &amp; Category Relevance (95/100)</v>
      </c>
      <c r="H83" s="57" t="str">
        <f ca="1">IF(NOT(ISNUMBER(Matching_Engine!$AY$83)),"N/A",$AA$83&amp;" ("&amp;$Z$83&amp;"/100)")</f>
        <v>Brand &amp; Business Relevance (60/100)</v>
      </c>
      <c r="I83" s="57" t="str">
        <f ca="1">IF(NOT(ISNUMBER(Matching_Engine!$AY$83)),"No data to consider: this account has no measured signal.",IF($Z$83&lt;Lookup_Lists!$D$161,$AA$83&amp;" sits at "&amp;$Z$83&amp;", below the "&amp;Lookup_Lists!$D$161&amp;"-point consideration threshold"&amp;IF(Matching_Engine!$AF$83=0," · Brand Personality Fit could not be scored at all: no creator personality, tone, values or content-style column exists","")&amp;IF(Matching_Engine!$AI$83="N/A"," · posting cadence unusable, so Consistency is excluded from Performance","")&amp;".","No component falls below the "&amp;Lookup_Lists!$D$161&amp;"-point consideration threshold."))</f>
        <v>Brand &amp; Business Relevance sits at 60, below the 75-point consideration threshold.</v>
      </c>
      <c r="J83" s="57" t="str">
        <f ca="1">Matching_Engine!$AV$83&amp;" — "&amp;Matching_Engine!$AW$83&amp;IF(Matching_Engine!$BB$83="Limited Data"," Confidence is Limited Data: "&amp;Matching_Engine!$BA$83&amp;"% of tracked fields carry a value.","")</f>
        <v>PASS — </v>
      </c>
      <c r="K83" s="57" t="str">
        <f ca="1">IF(NOT(ISNUMBER(Matching_Engine!$AY$83)),"Do not shortlist on this data — re-scrape the account first.",IF(Matching_Engine!$AY$83&gt;=Lookup_Lists!$D$156,"Highly Recommended",IF(Matching_Engine!$AY$83&gt;=Lookup_Lists!$D$157,"Recommended",IF(Matching_Engine!$AY$83&gt;=Lookup_Lists!$D$158,"Consider","Low Priority")))&amp;IF(Matching_Engine!$AX$83&lt;100," (on partial data)",""))</f>
        <v>Recommended</v>
      </c>
      <c r="L83" s="71">
        <f>IF(ISNUMBER(Matching_Engine!$M$83),Matching_Engine!$M$83,-1)</f>
        <v>60</v>
      </c>
      <c r="M83" s="71">
        <f ca="1">IF(ISNUMBER(Matching_Engine!$S$83),Matching_Engine!$S$83,-1)</f>
        <v>85</v>
      </c>
      <c r="N83" s="71">
        <f>IF(ISNUMBER(Matching_Engine!$Y$83),Matching_Engine!$Y$83,-1)</f>
        <v>95</v>
      </c>
      <c r="O83" s="71">
        <f>IF(ISNUMBER(Matching_Engine!$AE$83),Matching_Engine!$AE$83,-1)</f>
        <v>82</v>
      </c>
      <c r="P83" s="71">
        <f>IF(ISNUMBER(Matching_Engine!$AM$83),Matching_Engine!$AM$83,-1)</f>
        <v>-1</v>
      </c>
      <c r="Q83" s="71">
        <f>IF(ISNUMBER(Matching_Engine!$AT$83),Matching_Engine!$AT$83,-1)</f>
        <v>75</v>
      </c>
      <c r="R83" s="71">
        <f ca="1">MAX($L$83:$Q$83)</f>
        <v>95</v>
      </c>
      <c r="S83" s="57" t="str">
        <f ca="1">INDEX({"Brand &amp; Business Relevance","Target Audience Relevance","Content &amp; Category Relevance","Brand Personality Fit","Performance Quality","Brand Safety"},MATCH($R$83,$L$83:$Q$83,0))</f>
        <v>Content &amp; Category Relevance</v>
      </c>
      <c r="T83" s="71">
        <f>IF(ISNUMBER(Matching_Engine!$M$83),Matching_Engine!$M$83,999)</f>
        <v>60</v>
      </c>
      <c r="U83" s="71">
        <f ca="1">IF(ISNUMBER(Matching_Engine!$S$83),Matching_Engine!$S$83,999)</f>
        <v>85</v>
      </c>
      <c r="V83" s="71">
        <f>IF(ISNUMBER(Matching_Engine!$Y$83),Matching_Engine!$Y$83,999)</f>
        <v>95</v>
      </c>
      <c r="W83" s="71">
        <f>IF(ISNUMBER(Matching_Engine!$AE$83),Matching_Engine!$AE$83,999)</f>
        <v>82</v>
      </c>
      <c r="X83" s="71">
        <f>IF(ISNUMBER(Matching_Engine!$AM$83),Matching_Engine!$AM$83,999)</f>
        <v>999</v>
      </c>
      <c r="Y83" s="71">
        <f>IF(ISNUMBER(Matching_Engine!$AT$83),Matching_Engine!$AT$83,999)</f>
        <v>75</v>
      </c>
      <c r="Z83" s="71">
        <f ca="1">MIN($T$83:$Y$83)</f>
        <v>60</v>
      </c>
      <c r="AA83" s="57" t="str">
        <f ca="1">INDEX({"Brand &amp; Business Relevance","Target Audience Relevance","Content &amp; Category Relevance","Brand Personality Fit","Performance Quality","Brand Safety"},MATCH($Z$83,$T$83:$Y$83,0))</f>
        <v>Brand &amp; Business Relevance</v>
      </c>
    </row>
    <row r="84" spans="1:27">
      <c r="A84" s="57" t="str">
        <f>Matching_Engine!$B$84</f>
        <v>Rasa Nusantara</v>
      </c>
      <c r="B84" s="57" t="str">
        <f>Matching_Engine!$D$84</f>
        <v>Putri Amanda</v>
      </c>
      <c r="C84" s="57" t="str">
        <f>Matching_Engine!$E$84</f>
        <v>@putrimomlife</v>
      </c>
      <c r="D84" s="70" t="str">
        <f ca="1">Matching_Engine!$AY$84</f>
        <v/>
      </c>
      <c r="E84" s="57" t="str">
        <f>Matching_Engine!$AZ$84</f>
        <v>BRAND-C|KOL-19</v>
      </c>
      <c r="F84" s="57" t="str">
        <f ca="1">IF(NOT(ISNUMBER(Matching_Engine!$AY$84)),"Not scored: no component of the model had data for this account, so no match can be claimed either way.",Matching_Engine!$AZ$84&amp;" — "&amp;Matching_Engine!$AY$84&amp;"/100 against "&amp;Matching_Engine!$B$84&amp;". "&amp;"Strongest factor "&amp;$S$84&amp;" at "&amp;$R$84&amp;"; weakest "&amp;$AA$84&amp;" at "&amp;$Z$84&amp;". "&amp;IF(AND(ISTEXT(Matching_Engine!$G$84),Matching_Engine!$G$84&lt;&gt;"N/A"),"Tagged category "&amp;Matching_Engine!$G$84&amp;" scores "&amp;IF(ISNUMBER(Matching_Engine!$J$84),Matching_Engine!$J$84,0)&amp;" against the brand category "&amp;Matching_Engine!$B$84&amp;" targets. ","Creator carries no category on record, so the category-driven parts fall back to neutral rather than penalising the creator. ")&amp;IF(ISNUMBER(Matching_Engine!$R$84),"Audience-interest overlap "&amp;Matching_Engine!$R$84&amp;". ","Audience interests unmeasured. ")&amp;IF(Matching_Engine!$AX$84&lt;100,"Scored on "&amp;Matching_Engine!$AX$84&amp;" of the 100 nominal weight points; the rest had no data.",""))</f>
        <v>Not scored: no component of the model had data for this account, so no match can be claimed either way.</v>
      </c>
      <c r="G84" s="57" t="str">
        <f ca="1">IF(NOT(ISNUMBER(Matching_Engine!$AY$84)),"N/A",$S$84&amp;" ("&amp;$R$84&amp;"/100)")</f>
        <v>N/A</v>
      </c>
      <c r="H84" s="57" t="str">
        <f ca="1">IF(NOT(ISNUMBER(Matching_Engine!$AY$84)),"N/A",$AA$84&amp;" ("&amp;$Z$84&amp;"/100)")</f>
        <v>N/A</v>
      </c>
      <c r="I84" s="57" t="str">
        <f ca="1">IF(NOT(ISNUMBER(Matching_Engine!$AY$84)),"No data to consider: this account has no measured signal.",IF($Z$84&lt;Lookup_Lists!$D$161,$AA$84&amp;" sits at "&amp;$Z$84&amp;", below the "&amp;Lookup_Lists!$D$161&amp;"-point consideration threshold"&amp;IF(Matching_Engine!$AF$84=0," · Brand Personality Fit could not be scored at all: no creator personality, tone, values or content-style column exists","")&amp;IF(Matching_Engine!$AI$84="N/A"," · posting cadence unusable, so Consistency is excluded from Performance","")&amp;".","No component falls below the "&amp;Lookup_Lists!$D$161&amp;"-point consideration threshold."))</f>
        <v>No data to consider: this account has no measured signal.</v>
      </c>
      <c r="J84" s="57" t="str">
        <f ca="1">Matching_Engine!$AV$84&amp;" — "&amp;Matching_Engine!$AW$84&amp;IF(Matching_Engine!$BB$84="Limited Data"," Confidence is Limited Data: "&amp;Matching_Engine!$BA$84&amp;"% of tracked fields carry a value.","")</f>
        <v>EXCLUDED — Tier not in Preferred Tier</v>
      </c>
      <c r="K84" s="57" t="str">
        <f ca="1">IF(NOT(ISNUMBER(Matching_Engine!$AY$84)),"Do not shortlist on this data — re-scrape the account first.",IF(Matching_Engine!$AY$84&gt;=Lookup_Lists!$D$156,"Highly Recommended",IF(Matching_Engine!$AY$84&gt;=Lookup_Lists!$D$157,"Recommended",IF(Matching_Engine!$AY$84&gt;=Lookup_Lists!$D$158,"Consider","Low Priority")))&amp;IF(Matching_Engine!$AX$84&lt;100," (on partial data)",""))</f>
        <v>Do not shortlist on this data — re-scrape the account first.</v>
      </c>
      <c r="L84" s="71">
        <f>IF(ISNUMBER(Matching_Engine!$M$84),Matching_Engine!$M$84,-1)</f>
        <v>40</v>
      </c>
      <c r="M84" s="71">
        <f ca="1">IF(ISNUMBER(Matching_Engine!$S$84),Matching_Engine!$S$84,-1)</f>
        <v>74</v>
      </c>
      <c r="N84" s="71">
        <f>IF(ISNUMBER(Matching_Engine!$Y$84),Matching_Engine!$Y$84,-1)</f>
        <v>100</v>
      </c>
      <c r="O84" s="71">
        <f>IF(ISNUMBER(Matching_Engine!$AE$84),Matching_Engine!$AE$84,-1)</f>
        <v>79</v>
      </c>
      <c r="P84" s="71">
        <f>IF(ISNUMBER(Matching_Engine!$AM$84),Matching_Engine!$AM$84,-1)</f>
        <v>-1</v>
      </c>
      <c r="Q84" s="71">
        <f>IF(ISNUMBER(Matching_Engine!$AT$84),Matching_Engine!$AT$84,-1)</f>
        <v>61</v>
      </c>
      <c r="R84" s="71">
        <f ca="1">MAX($L$84:$Q$84)</f>
        <v>100</v>
      </c>
      <c r="S84" s="57" t="str">
        <f ca="1">INDEX({"Brand &amp; Business Relevance","Target Audience Relevance","Content &amp; Category Relevance","Brand Personality Fit","Performance Quality","Brand Safety"},MATCH($R$84,$L$84:$Q$84,0))</f>
        <v>Content &amp; Category Relevance</v>
      </c>
      <c r="T84" s="71">
        <f>IF(ISNUMBER(Matching_Engine!$M$84),Matching_Engine!$M$84,999)</f>
        <v>40</v>
      </c>
      <c r="U84" s="71">
        <f ca="1">IF(ISNUMBER(Matching_Engine!$S$84),Matching_Engine!$S$84,999)</f>
        <v>74</v>
      </c>
      <c r="V84" s="71">
        <f>IF(ISNUMBER(Matching_Engine!$Y$84),Matching_Engine!$Y$84,999)</f>
        <v>100</v>
      </c>
      <c r="W84" s="71">
        <f>IF(ISNUMBER(Matching_Engine!$AE$84),Matching_Engine!$AE$84,999)</f>
        <v>79</v>
      </c>
      <c r="X84" s="71">
        <f>IF(ISNUMBER(Matching_Engine!$AM$84),Matching_Engine!$AM$84,999)</f>
        <v>999</v>
      </c>
      <c r="Y84" s="71">
        <f>IF(ISNUMBER(Matching_Engine!$AT$84),Matching_Engine!$AT$84,999)</f>
        <v>61</v>
      </c>
      <c r="Z84" s="71">
        <f ca="1">MIN($T$84:$Y$84)</f>
        <v>40</v>
      </c>
      <c r="AA84" s="57" t="str">
        <f ca="1">INDEX({"Brand &amp; Business Relevance","Target Audience Relevance","Content &amp; Category Relevance","Brand Personality Fit","Performance Quality","Brand Safety"},MATCH($Z$84,$T$84:$Y$84,0))</f>
        <v>Brand &amp; Business Relevance</v>
      </c>
    </row>
    <row r="85" spans="1:27">
      <c r="A85" s="57" t="str">
        <f>Matching_Engine!$B$85</f>
        <v>Rasa Nusantara</v>
      </c>
      <c r="B85" s="57" t="str">
        <f>Matching_Engine!$D$85</f>
        <v>Hendra Wijoyo</v>
      </c>
      <c r="C85" s="57" t="str">
        <f>Matching_Engine!$E$85</f>
        <v>@hendrakeluarga</v>
      </c>
      <c r="D85" s="70">
        <f ca="1">Matching_Engine!$AY$85</f>
        <v>67</v>
      </c>
      <c r="E85" s="57" t="str">
        <f>Matching_Engine!$AZ$85</f>
        <v>BRAND-C|KOL-20</v>
      </c>
      <c r="F85" s="57" t="str">
        <f ca="1">IF(NOT(ISNUMBER(Matching_Engine!$AY$85)),"Not scored: no component of the model had data for this account, so no match can be claimed either way.",Matching_Engine!$AZ$85&amp;" — "&amp;Matching_Engine!$AY$85&amp;"/100 against "&amp;Matching_Engine!$B$85&amp;". "&amp;"Strongest factor "&amp;$S$85&amp;" at "&amp;$R$85&amp;"; weakest "&amp;$AA$85&amp;" at "&amp;$Z$85&amp;". "&amp;IF(AND(ISTEXT(Matching_Engine!$G$85),Matching_Engine!$G$85&lt;&gt;"N/A"),"Tagged category "&amp;Matching_Engine!$G$85&amp;" scores "&amp;IF(ISNUMBER(Matching_Engine!$J$85),Matching_Engine!$J$85,0)&amp;" against the brand category "&amp;Matching_Engine!$B$85&amp;" targets. ","Creator carries no category on record, so the category-driven parts fall back to neutral rather than penalising the creator. ")&amp;IF(ISNUMBER(Matching_Engine!$R$85),"Audience-interest overlap "&amp;Matching_Engine!$R$85&amp;". ","Audience interests unmeasured. ")&amp;IF(Matching_Engine!$AX$85&lt;100,"Scored on "&amp;Matching_Engine!$AX$85&amp;" of the 100 nominal weight points; the rest had no data.",""))</f>
        <v>BRAND-C|KOL-20 — 67/100 against Rasa Nusantara. Strongest factor Brand Personality Fit at 85; weakest Brand &amp; Business Relevance at 40. Tagged category Parenting scores 5,4 against the brand category Rasa Nusantara targets. Audience-interest overlap 40. </v>
      </c>
      <c r="G85" s="57" t="str">
        <f ca="1">IF(NOT(ISNUMBER(Matching_Engine!$AY$85)),"N/A",$S$85&amp;" ("&amp;$R$85&amp;"/100)")</f>
        <v>Brand Personality Fit (85/100)</v>
      </c>
      <c r="H85" s="57" t="str">
        <f ca="1">IF(NOT(ISNUMBER(Matching_Engine!$AY$85)),"N/A",$AA$85&amp;" ("&amp;$Z$85&amp;"/100)")</f>
        <v>Brand &amp; Business Relevance (40/100)</v>
      </c>
      <c r="I85" s="57" t="str">
        <f ca="1">IF(NOT(ISNUMBER(Matching_Engine!$AY$85)),"No data to consider: this account has no measured signal.",IF($Z$85&lt;Lookup_Lists!$D$161,$AA$85&amp;" sits at "&amp;$Z$85&amp;", below the "&amp;Lookup_Lists!$D$161&amp;"-point consideration threshold"&amp;IF(Matching_Engine!$AF$85=0," · Brand Personality Fit could not be scored at all: no creator personality, tone, values or content-style column exists","")&amp;IF(Matching_Engine!$AI$85="N/A"," · posting cadence unusable, so Consistency is excluded from Performance","")&amp;".","No component falls below the "&amp;Lookup_Lists!$D$161&amp;"-point consideration threshold."))</f>
        <v>Brand &amp; Business Relevance sits at 40, below the 75-point consideration threshold.</v>
      </c>
      <c r="J85" s="57" t="str">
        <f ca="1">Matching_Engine!$AV$85&amp;" — "&amp;Matching_Engine!$AW$85&amp;IF(Matching_Engine!$BB$85="Limited Data"," Confidence is Limited Data: "&amp;Matching_Engine!$BA$85&amp;"% of tracked fields carry a value.","")</f>
        <v>PASS — </v>
      </c>
      <c r="K85" s="57" t="str">
        <f ca="1">IF(NOT(ISNUMBER(Matching_Engine!$AY$85)),"Do not shortlist on this data — re-scrape the account first.",IF(Matching_Engine!$AY$85&gt;=Lookup_Lists!$D$156,"Highly Recommended",IF(Matching_Engine!$AY$85&gt;=Lookup_Lists!$D$157,"Recommended",IF(Matching_Engine!$AY$85&gt;=Lookup_Lists!$D$158,"Consider","Low Priority")))&amp;IF(Matching_Engine!$AX$85&lt;100," (on partial data)",""))</f>
        <v>Consider</v>
      </c>
      <c r="L85" s="71">
        <f>IF(ISNUMBER(Matching_Engine!$M$85),Matching_Engine!$M$85,-1)</f>
        <v>40</v>
      </c>
      <c r="M85" s="71">
        <f ca="1">IF(ISNUMBER(Matching_Engine!$S$85),Matching_Engine!$S$85,-1)</f>
        <v>84</v>
      </c>
      <c r="N85" s="71">
        <f>IF(ISNUMBER(Matching_Engine!$Y$85),Matching_Engine!$Y$85,-1)</f>
        <v>70</v>
      </c>
      <c r="O85" s="71">
        <f>IF(ISNUMBER(Matching_Engine!$AE$85),Matching_Engine!$AE$85,-1)</f>
        <v>85</v>
      </c>
      <c r="P85" s="71">
        <f>IF(ISNUMBER(Matching_Engine!$AM$85),Matching_Engine!$AM$85,-1)</f>
        <v>-1</v>
      </c>
      <c r="Q85" s="71">
        <f>IF(ISNUMBER(Matching_Engine!$AT$85),Matching_Engine!$AT$85,-1)</f>
        <v>56</v>
      </c>
      <c r="R85" s="71">
        <f ca="1">MAX($L$85:$Q$85)</f>
        <v>85</v>
      </c>
      <c r="S85" s="57" t="str">
        <f ca="1">INDEX({"Brand &amp; Business Relevance","Target Audience Relevance","Content &amp; Category Relevance","Brand Personality Fit","Performance Quality","Brand Safety"},MATCH($R$85,$L$85:$Q$85,0))</f>
        <v>Brand Personality Fit</v>
      </c>
      <c r="T85" s="71">
        <f>IF(ISNUMBER(Matching_Engine!$M$85),Matching_Engine!$M$85,999)</f>
        <v>40</v>
      </c>
      <c r="U85" s="71">
        <f ca="1">IF(ISNUMBER(Matching_Engine!$S$85),Matching_Engine!$S$85,999)</f>
        <v>84</v>
      </c>
      <c r="V85" s="71">
        <f>IF(ISNUMBER(Matching_Engine!$Y$85),Matching_Engine!$Y$85,999)</f>
        <v>70</v>
      </c>
      <c r="W85" s="71">
        <f>IF(ISNUMBER(Matching_Engine!$AE$85),Matching_Engine!$AE$85,999)</f>
        <v>85</v>
      </c>
      <c r="X85" s="71">
        <f>IF(ISNUMBER(Matching_Engine!$AM$85),Matching_Engine!$AM$85,999)</f>
        <v>999</v>
      </c>
      <c r="Y85" s="71">
        <f>IF(ISNUMBER(Matching_Engine!$AT$85),Matching_Engine!$AT$85,999)</f>
        <v>56</v>
      </c>
      <c r="Z85" s="71">
        <f ca="1">MIN($T$85:$Y$85)</f>
        <v>40</v>
      </c>
      <c r="AA85" s="57" t="str">
        <f ca="1">INDEX({"Brand &amp; Business Relevance","Target Audience Relevance","Content &amp; Category Relevance","Brand Personality Fit","Performance Quality","Brand Safety"},MATCH($Z$85,$T$85:$Y$85,0))</f>
        <v>Brand &amp; Business Relevance</v>
      </c>
    </row>
    <row r="86" spans="1:27">
      <c r="A86" s="57" t="str">
        <f>Matching_Engine!$B$86</f>
        <v>Rasa Nusantara</v>
      </c>
      <c r="B86" s="57" t="str">
        <f>Matching_Engine!$D$86</f>
        <v>Bagas Setiawan</v>
      </c>
      <c r="C86" s="57" t="str">
        <f>Matching_Engine!$E$86</f>
        <v>@bagaskomedi</v>
      </c>
      <c r="D86" s="70" t="str">
        <f ca="1">Matching_Engine!$AY$86</f>
        <v/>
      </c>
      <c r="E86" s="57" t="str">
        <f>Matching_Engine!$AZ$86</f>
        <v>BRAND-C|KOL-21</v>
      </c>
      <c r="F86" s="57" t="str">
        <f ca="1">IF(NOT(ISNUMBER(Matching_Engine!$AY$86)),"Not scored: no component of the model had data for this account, so no match can be claimed either way.",Matching_Engine!$AZ$86&amp;" — "&amp;Matching_Engine!$AY$86&amp;"/100 against "&amp;Matching_Engine!$B$86&amp;". "&amp;"Strongest factor "&amp;$S$86&amp;" at "&amp;$R$86&amp;"; weakest "&amp;$AA$86&amp;" at "&amp;$Z$86&amp;". "&amp;IF(AND(ISTEXT(Matching_Engine!$G$86),Matching_Engine!$G$86&lt;&gt;"N/A"),"Tagged category "&amp;Matching_Engine!$G$86&amp;" scores "&amp;IF(ISNUMBER(Matching_Engine!$J$86),Matching_Engine!$J$86,0)&amp;" against the brand category "&amp;Matching_Engine!$B$86&amp;" targets. ","Creator carries no category on record, so the category-driven parts fall back to neutral rather than penalising the creator. ")&amp;IF(ISNUMBER(Matching_Engine!$R$86),"Audience-interest overlap "&amp;Matching_Engine!$R$86&amp;". ","Audience interests unmeasured. ")&amp;IF(Matching_Engine!$AX$86&lt;100,"Scored on "&amp;Matching_Engine!$AX$86&amp;" of the 100 nominal weight points; the rest had no data.",""))</f>
        <v>Not scored: no component of the model had data for this account, so no match can be claimed either way.</v>
      </c>
      <c r="G86" s="57" t="str">
        <f ca="1">IF(NOT(ISNUMBER(Matching_Engine!$AY$86)),"N/A",$S$86&amp;" ("&amp;$R$86&amp;"/100)")</f>
        <v>N/A</v>
      </c>
      <c r="H86" s="57" t="str">
        <f ca="1">IF(NOT(ISNUMBER(Matching_Engine!$AY$86)),"N/A",$AA$86&amp;" ("&amp;$Z$86&amp;"/100)")</f>
        <v>N/A</v>
      </c>
      <c r="I86" s="57" t="str">
        <f ca="1">IF(NOT(ISNUMBER(Matching_Engine!$AY$86)),"No data to consider: this account has no measured signal.",IF($Z$86&lt;Lookup_Lists!$D$161,$AA$86&amp;" sits at "&amp;$Z$86&amp;", below the "&amp;Lookup_Lists!$D$161&amp;"-point consideration threshold"&amp;IF(Matching_Engine!$AF$86=0," · Brand Personality Fit could not be scored at all: no creator personality, tone, values or content-style column exists","")&amp;IF(Matching_Engine!$AI$86="N/A"," · posting cadence unusable, so Consistency is excluded from Performance","")&amp;".","No component falls below the "&amp;Lookup_Lists!$D$161&amp;"-point consideration threshold."))</f>
        <v>No data to consider: this account has no measured signal.</v>
      </c>
      <c r="J86" s="57" t="str">
        <f ca="1">Matching_Engine!$AV$86&amp;" — "&amp;Matching_Engine!$AW$86&amp;IF(Matching_Engine!$BB$86="Limited Data"," Confidence is Limited Data: "&amp;Matching_Engine!$BA$86&amp;"% of tracked fields carry a value.","")</f>
        <v>EXCLUDED — Followers above Preferred Follower Range</v>
      </c>
      <c r="K86" s="57" t="str">
        <f ca="1">IF(NOT(ISNUMBER(Matching_Engine!$AY$86)),"Do not shortlist on this data — re-scrape the account first.",IF(Matching_Engine!$AY$86&gt;=Lookup_Lists!$D$156,"Highly Recommended",IF(Matching_Engine!$AY$86&gt;=Lookup_Lists!$D$157,"Recommended",IF(Matching_Engine!$AY$86&gt;=Lookup_Lists!$D$158,"Consider","Low Priority")))&amp;IF(Matching_Engine!$AX$86&lt;100," (on partial data)",""))</f>
        <v>Do not shortlist on this data — re-scrape the account first.</v>
      </c>
      <c r="L86" s="71">
        <f>IF(ISNUMBER(Matching_Engine!$M$86),Matching_Engine!$M$86,-1)</f>
        <v>60</v>
      </c>
      <c r="M86" s="71">
        <f ca="1">IF(ISNUMBER(Matching_Engine!$S$86),Matching_Engine!$S$86,-1)</f>
        <v>75</v>
      </c>
      <c r="N86" s="71">
        <f>IF(ISNUMBER(Matching_Engine!$Y$86),Matching_Engine!$Y$86,-1)</f>
        <v>70</v>
      </c>
      <c r="O86" s="71">
        <f>IF(ISNUMBER(Matching_Engine!$AE$86),Matching_Engine!$AE$86,-1)</f>
        <v>76</v>
      </c>
      <c r="P86" s="71">
        <f>IF(ISNUMBER(Matching_Engine!$AM$86),Matching_Engine!$AM$86,-1)</f>
        <v>-1</v>
      </c>
      <c r="Q86" s="71">
        <f>IF(ISNUMBER(Matching_Engine!$AT$86),Matching_Engine!$AT$86,-1)</f>
        <v>51</v>
      </c>
      <c r="R86" s="71">
        <f ca="1">MAX($L$86:$Q$86)</f>
        <v>76</v>
      </c>
      <c r="S86" s="57" t="str">
        <f ca="1">INDEX({"Brand &amp; Business Relevance","Target Audience Relevance","Content &amp; Category Relevance","Brand Personality Fit","Performance Quality","Brand Safety"},MATCH($R$86,$L$86:$Q$86,0))</f>
        <v>Brand Personality Fit</v>
      </c>
      <c r="T86" s="71">
        <f>IF(ISNUMBER(Matching_Engine!$M$86),Matching_Engine!$M$86,999)</f>
        <v>60</v>
      </c>
      <c r="U86" s="71">
        <f ca="1">IF(ISNUMBER(Matching_Engine!$S$86),Matching_Engine!$S$86,999)</f>
        <v>75</v>
      </c>
      <c r="V86" s="71">
        <f>IF(ISNUMBER(Matching_Engine!$Y$86),Matching_Engine!$Y$86,999)</f>
        <v>70</v>
      </c>
      <c r="W86" s="71">
        <f>IF(ISNUMBER(Matching_Engine!$AE$86),Matching_Engine!$AE$86,999)</f>
        <v>76</v>
      </c>
      <c r="X86" s="71">
        <f>IF(ISNUMBER(Matching_Engine!$AM$86),Matching_Engine!$AM$86,999)</f>
        <v>999</v>
      </c>
      <c r="Y86" s="71">
        <f>IF(ISNUMBER(Matching_Engine!$AT$86),Matching_Engine!$AT$86,999)</f>
        <v>51</v>
      </c>
      <c r="Z86" s="71">
        <f ca="1">MIN($T$86:$Y$86)</f>
        <v>51</v>
      </c>
      <c r="AA86" s="57" t="str">
        <f ca="1">INDEX({"Brand &amp; Business Relevance","Target Audience Relevance","Content &amp; Category Relevance","Brand Personality Fit","Performance Quality","Brand Safety"},MATCH($Z$86,$T$86:$Y$86,0))</f>
        <v>Brand Safety</v>
      </c>
    </row>
    <row r="87" spans="1:27">
      <c r="A87" s="57" t="str">
        <f>Matching_Engine!$B$87</f>
        <v>Rasa Nusantara</v>
      </c>
      <c r="B87" s="57" t="str">
        <f>Matching_Engine!$D$87</f>
        <v>Nabila Kirana</v>
      </c>
      <c r="C87" s="57" t="str">
        <f>Matching_Engine!$E$87</f>
        <v>@nabilamusic</v>
      </c>
      <c r="D87" s="70" t="str">
        <f ca="1">Matching_Engine!$AY$87</f>
        <v/>
      </c>
      <c r="E87" s="57" t="str">
        <f>Matching_Engine!$AZ$87</f>
        <v>BRAND-C|KOL-22</v>
      </c>
      <c r="F87" s="57" t="str">
        <f ca="1">IF(NOT(ISNUMBER(Matching_Engine!$AY$87)),"Not scored: no component of the model had data for this account, so no match can be claimed either way.",Matching_Engine!$AZ$87&amp;" — "&amp;Matching_Engine!$AY$87&amp;"/100 against "&amp;Matching_Engine!$B$87&amp;". "&amp;"Strongest factor "&amp;$S$87&amp;" at "&amp;$R$87&amp;"; weakest "&amp;$AA$87&amp;" at "&amp;$Z$87&amp;". "&amp;IF(AND(ISTEXT(Matching_Engine!$G$87),Matching_Engine!$G$87&lt;&gt;"N/A"),"Tagged category "&amp;Matching_Engine!$G$87&amp;" scores "&amp;IF(ISNUMBER(Matching_Engine!$J$87),Matching_Engine!$J$87,0)&amp;" against the brand category "&amp;Matching_Engine!$B$87&amp;" targets. ","Creator carries no category on record, so the category-driven parts fall back to neutral rather than penalising the creator. ")&amp;IF(ISNUMBER(Matching_Engine!$R$87),"Audience-interest overlap "&amp;Matching_Engine!$R$87&amp;". ","Audience interests unmeasured. ")&amp;IF(Matching_Engine!$AX$87&lt;100,"Scored on "&amp;Matching_Engine!$AX$87&amp;" of the 100 nominal weight points; the rest had no data.",""))</f>
        <v>Not scored: no component of the model had data for this account, so no match can be claimed either way.</v>
      </c>
      <c r="G87" s="57" t="str">
        <f ca="1">IF(NOT(ISNUMBER(Matching_Engine!$AY$87)),"N/A",$S$87&amp;" ("&amp;$R$87&amp;"/100)")</f>
        <v>N/A</v>
      </c>
      <c r="H87" s="57" t="str">
        <f ca="1">IF(NOT(ISNUMBER(Matching_Engine!$AY$87)),"N/A",$AA$87&amp;" ("&amp;$Z$87&amp;"/100)")</f>
        <v>N/A</v>
      </c>
      <c r="I87" s="57" t="str">
        <f ca="1">IF(NOT(ISNUMBER(Matching_Engine!$AY$87)),"No data to consider: this account has no measured signal.",IF($Z$87&lt;Lookup_Lists!$D$161,$AA$87&amp;" sits at "&amp;$Z$87&amp;", below the "&amp;Lookup_Lists!$D$161&amp;"-point consideration threshold"&amp;IF(Matching_Engine!$AF$87=0," · Brand Personality Fit could not be scored at all: no creator personality, tone, values or content-style column exists","")&amp;IF(Matching_Engine!$AI$87="N/A"," · posting cadence unusable, so Consistency is excluded from Performance","")&amp;".","No component falls below the "&amp;Lookup_Lists!$D$161&amp;"-point consideration threshold."))</f>
        <v>No data to consider: this account has no measured signal.</v>
      </c>
      <c r="J87" s="57" t="str">
        <f ca="1">Matching_Engine!$AV$87&amp;" — "&amp;Matching_Engine!$AW$87&amp;IF(Matching_Engine!$BB$87="Limited Data"," Confidence is Limited Data: "&amp;Matching_Engine!$BA$87&amp;"% of tracked fields carry a value.","")</f>
        <v>EXCLUDED — Followers above Preferred Follower Range</v>
      </c>
      <c r="K87" s="57" t="str">
        <f ca="1">IF(NOT(ISNUMBER(Matching_Engine!$AY$87)),"Do not shortlist on this data — re-scrape the account first.",IF(Matching_Engine!$AY$87&gt;=Lookup_Lists!$D$156,"Highly Recommended",IF(Matching_Engine!$AY$87&gt;=Lookup_Lists!$D$157,"Recommended",IF(Matching_Engine!$AY$87&gt;=Lookup_Lists!$D$158,"Consider","Low Priority")))&amp;IF(Matching_Engine!$AX$87&lt;100," (on partial data)",""))</f>
        <v>Do not shortlist on this data — re-scrape the account first.</v>
      </c>
      <c r="L87" s="71">
        <f>IF(ISNUMBER(Matching_Engine!$M$87),Matching_Engine!$M$87,-1)</f>
        <v>40</v>
      </c>
      <c r="M87" s="71">
        <f ca="1">IF(ISNUMBER(Matching_Engine!$S$87),Matching_Engine!$S$87,-1)</f>
        <v>68</v>
      </c>
      <c r="N87" s="71">
        <f>IF(ISNUMBER(Matching_Engine!$Y$87),Matching_Engine!$Y$87,-1)</f>
        <v>60</v>
      </c>
      <c r="O87" s="71">
        <f>IF(ISNUMBER(Matching_Engine!$AE$87),Matching_Engine!$AE$87,-1)</f>
        <v>75</v>
      </c>
      <c r="P87" s="71">
        <f>IF(ISNUMBER(Matching_Engine!$AM$87),Matching_Engine!$AM$87,-1)</f>
        <v>-1</v>
      </c>
      <c r="Q87" s="71">
        <f>IF(ISNUMBER(Matching_Engine!$AT$87),Matching_Engine!$AT$87,-1)</f>
        <v>45</v>
      </c>
      <c r="R87" s="71">
        <f ca="1">MAX($L$87:$Q$87)</f>
        <v>75</v>
      </c>
      <c r="S87" s="57" t="str">
        <f ca="1">INDEX({"Brand &amp; Business Relevance","Target Audience Relevance","Content &amp; Category Relevance","Brand Personality Fit","Performance Quality","Brand Safety"},MATCH($R$87,$L$87:$Q$87,0))</f>
        <v>Brand Personality Fit</v>
      </c>
      <c r="T87" s="71">
        <f>IF(ISNUMBER(Matching_Engine!$M$87),Matching_Engine!$M$87,999)</f>
        <v>40</v>
      </c>
      <c r="U87" s="71">
        <f ca="1">IF(ISNUMBER(Matching_Engine!$S$87),Matching_Engine!$S$87,999)</f>
        <v>68</v>
      </c>
      <c r="V87" s="71">
        <f>IF(ISNUMBER(Matching_Engine!$Y$87),Matching_Engine!$Y$87,999)</f>
        <v>60</v>
      </c>
      <c r="W87" s="71">
        <f>IF(ISNUMBER(Matching_Engine!$AE$87),Matching_Engine!$AE$87,999)</f>
        <v>75</v>
      </c>
      <c r="X87" s="71">
        <f>IF(ISNUMBER(Matching_Engine!$AM$87),Matching_Engine!$AM$87,999)</f>
        <v>999</v>
      </c>
      <c r="Y87" s="71">
        <f>IF(ISNUMBER(Matching_Engine!$AT$87),Matching_Engine!$AT$87,999)</f>
        <v>45</v>
      </c>
      <c r="Z87" s="71">
        <f ca="1">MIN($T$87:$Y$87)</f>
        <v>40</v>
      </c>
      <c r="AA87" s="57" t="str">
        <f ca="1">INDEX({"Brand &amp; Business Relevance","Target Audience Relevance","Content &amp; Category Relevance","Brand Personality Fit","Performance Quality","Brand Safety"},MATCH($Z$87,$T$87:$Y$87,0))</f>
        <v>Brand &amp; Business Relevance</v>
      </c>
    </row>
    <row r="88" spans="1:27">
      <c r="A88" s="57" t="str">
        <f>Matching_Engine!$B$88</f>
        <v>Rasa Nusantara</v>
      </c>
      <c r="B88" s="57" t="str">
        <f>Matching_Engine!$D$88</f>
        <v>Arya Mahendra</v>
      </c>
      <c r="C88" s="57" t="str">
        <f>Matching_Engine!$E$88</f>
        <v>@aryagaming</v>
      </c>
      <c r="D88" s="70" t="str">
        <f ca="1">Matching_Engine!$AY$88</f>
        <v/>
      </c>
      <c r="E88" s="57" t="str">
        <f>Matching_Engine!$AZ$88</f>
        <v>BRAND-C|KOL-23</v>
      </c>
      <c r="F88" s="57" t="str">
        <f ca="1">IF(NOT(ISNUMBER(Matching_Engine!$AY$88)),"Not scored: no component of the model had data for this account, so no match can be claimed either way.",Matching_Engine!$AZ$88&amp;" — "&amp;Matching_Engine!$AY$88&amp;"/100 against "&amp;Matching_Engine!$B$88&amp;". "&amp;"Strongest factor "&amp;$S$88&amp;" at "&amp;$R$88&amp;"; weakest "&amp;$AA$88&amp;" at "&amp;$Z$88&amp;". "&amp;IF(AND(ISTEXT(Matching_Engine!$G$88),Matching_Engine!$G$88&lt;&gt;"N/A"),"Tagged category "&amp;Matching_Engine!$G$88&amp;" scores "&amp;IF(ISNUMBER(Matching_Engine!$J$88),Matching_Engine!$J$88,0)&amp;" against the brand category "&amp;Matching_Engine!$B$88&amp;" targets. ","Creator carries no category on record, so the category-driven parts fall back to neutral rather than penalising the creator. ")&amp;IF(ISNUMBER(Matching_Engine!$R$88),"Audience-interest overlap "&amp;Matching_Engine!$R$88&amp;". ","Audience interests unmeasured. ")&amp;IF(Matching_Engine!$AX$88&lt;100,"Scored on "&amp;Matching_Engine!$AX$88&amp;" of the 100 nominal weight points; the rest had no data.",""))</f>
        <v>Not scored: no component of the model had data for this account, so no match can be claimed either way.</v>
      </c>
      <c r="G88" s="57" t="str">
        <f ca="1">IF(NOT(ISNUMBER(Matching_Engine!$AY$88)),"N/A",$S$88&amp;" ("&amp;$R$88&amp;"/100)")</f>
        <v>N/A</v>
      </c>
      <c r="H88" s="57" t="str">
        <f ca="1">IF(NOT(ISNUMBER(Matching_Engine!$AY$88)),"N/A",$AA$88&amp;" ("&amp;$Z$88&amp;"/100)")</f>
        <v>N/A</v>
      </c>
      <c r="I88" s="57" t="str">
        <f ca="1">IF(NOT(ISNUMBER(Matching_Engine!$AY$88)),"No data to consider: this account has no measured signal.",IF($Z$88&lt;Lookup_Lists!$D$161,$AA$88&amp;" sits at "&amp;$Z$88&amp;", below the "&amp;Lookup_Lists!$D$161&amp;"-point consideration threshold"&amp;IF(Matching_Engine!$AF$88=0," · Brand Personality Fit could not be scored at all: no creator personality, tone, values or content-style column exists","")&amp;IF(Matching_Engine!$AI$88="N/A"," · posting cadence unusable, so Consistency is excluded from Performance","")&amp;".","No component falls below the "&amp;Lookup_Lists!$D$161&amp;"-point consideration threshold."))</f>
        <v>No data to consider: this account has no measured signal.</v>
      </c>
      <c r="J88" s="57" t="str">
        <f ca="1">Matching_Engine!$AV$88&amp;" — "&amp;Matching_Engine!$AW$88&amp;IF(Matching_Engine!$BB$88="Limited Data"," Confidence is Limited Data: "&amp;Matching_Engine!$BA$88&amp;"% of tracked fields carry a value.","")</f>
        <v>EXCLUDED — Followers above Preferred Follower Range</v>
      </c>
      <c r="K88" s="57" t="str">
        <f ca="1">IF(NOT(ISNUMBER(Matching_Engine!$AY$88)),"Do not shortlist on this data — re-scrape the account first.",IF(Matching_Engine!$AY$88&gt;=Lookup_Lists!$D$156,"Highly Recommended",IF(Matching_Engine!$AY$88&gt;=Lookup_Lists!$D$157,"Recommended",IF(Matching_Engine!$AY$88&gt;=Lookup_Lists!$D$158,"Consider","Low Priority")))&amp;IF(Matching_Engine!$AX$88&lt;100," (on partial data)",""))</f>
        <v>Do not shortlist on this data — re-scrape the account first.</v>
      </c>
      <c r="L88" s="71">
        <f>IF(ISNUMBER(Matching_Engine!$M$88),Matching_Engine!$M$88,-1)</f>
        <v>40</v>
      </c>
      <c r="M88" s="71">
        <f ca="1">IF(ISNUMBER(Matching_Engine!$S$88),Matching_Engine!$S$88,-1)</f>
        <v>66</v>
      </c>
      <c r="N88" s="71">
        <f>IF(ISNUMBER(Matching_Engine!$Y$88),Matching_Engine!$Y$88,-1)</f>
        <v>75</v>
      </c>
      <c r="O88" s="71">
        <f>IF(ISNUMBER(Matching_Engine!$AE$88),Matching_Engine!$AE$88,-1)</f>
        <v>73</v>
      </c>
      <c r="P88" s="71">
        <f>IF(ISNUMBER(Matching_Engine!$AM$88),Matching_Engine!$AM$88,-1)</f>
        <v>-1</v>
      </c>
      <c r="Q88" s="71">
        <f>IF(ISNUMBER(Matching_Engine!$AT$88),Matching_Engine!$AT$88,-1)</f>
        <v>38</v>
      </c>
      <c r="R88" s="71">
        <f ca="1">MAX($L$88:$Q$88)</f>
        <v>75</v>
      </c>
      <c r="S88" s="57" t="str">
        <f ca="1">INDEX({"Brand &amp; Business Relevance","Target Audience Relevance","Content &amp; Category Relevance","Brand Personality Fit","Performance Quality","Brand Safety"},MATCH($R$88,$L$88:$Q$88,0))</f>
        <v>Content &amp; Category Relevance</v>
      </c>
      <c r="T88" s="71">
        <f>IF(ISNUMBER(Matching_Engine!$M$88),Matching_Engine!$M$88,999)</f>
        <v>40</v>
      </c>
      <c r="U88" s="71">
        <f ca="1">IF(ISNUMBER(Matching_Engine!$S$88),Matching_Engine!$S$88,999)</f>
        <v>66</v>
      </c>
      <c r="V88" s="71">
        <f>IF(ISNUMBER(Matching_Engine!$Y$88),Matching_Engine!$Y$88,999)</f>
        <v>75</v>
      </c>
      <c r="W88" s="71">
        <f>IF(ISNUMBER(Matching_Engine!$AE$88),Matching_Engine!$AE$88,999)</f>
        <v>73</v>
      </c>
      <c r="X88" s="71">
        <f>IF(ISNUMBER(Matching_Engine!$AM$88),Matching_Engine!$AM$88,999)</f>
        <v>999</v>
      </c>
      <c r="Y88" s="71">
        <f>IF(ISNUMBER(Matching_Engine!$AT$88),Matching_Engine!$AT$88,999)</f>
        <v>38</v>
      </c>
      <c r="Z88" s="71">
        <f ca="1">MIN($T$88:$Y$88)</f>
        <v>38</v>
      </c>
      <c r="AA88" s="57" t="str">
        <f ca="1">INDEX({"Brand &amp; Business Relevance","Target Audience Relevance","Content &amp; Category Relevance","Brand Personality Fit","Performance Quality","Brand Safety"},MATCH($Z$88,$T$88:$Y$88,0))</f>
        <v>Brand Safety</v>
      </c>
    </row>
    <row r="89" spans="1:27">
      <c r="A89" s="57" t="str">
        <f>Matching_Engine!$B$89</f>
        <v>Rasa Nusantara</v>
      </c>
      <c r="B89" s="57" t="str">
        <f>Matching_Engine!$D$89</f>
        <v>Rio Saputra</v>
      </c>
      <c r="C89" s="57" t="str">
        <f>Matching_Engine!$E$89</f>
        <v>@riopcbuild</v>
      </c>
      <c r="D89" s="70">
        <f ca="1">Matching_Engine!$AY$89</f>
        <v>50</v>
      </c>
      <c r="E89" s="57" t="str">
        <f>Matching_Engine!$AZ$89</f>
        <v>BRAND-C|KOL-24</v>
      </c>
      <c r="F89" s="57" t="str">
        <f ca="1">IF(NOT(ISNUMBER(Matching_Engine!$AY$89)),"Not scored: no component of the model had data for this account, so no match can be claimed either way.",Matching_Engine!$AZ$89&amp;" — "&amp;Matching_Engine!$AY$89&amp;"/100 against "&amp;Matching_Engine!$B$89&amp;". "&amp;"Strongest factor "&amp;$S$89&amp;" at "&amp;$R$89&amp;"; weakest "&amp;$AA$89&amp;" at "&amp;$Z$89&amp;". "&amp;IF(AND(ISTEXT(Matching_Engine!$G$89),Matching_Engine!$G$89&lt;&gt;"N/A"),"Tagged category "&amp;Matching_Engine!$G$89&amp;" scores "&amp;IF(ISNUMBER(Matching_Engine!$J$89),Matching_Engine!$J$89,0)&amp;" against the brand category "&amp;Matching_Engine!$B$89&amp;" targets. ","Creator carries no category on record, so the category-driven parts fall back to neutral rather than penalising the creator. ")&amp;IF(ISNUMBER(Matching_Engine!$R$89),"Audience-interest overlap "&amp;Matching_Engine!$R$89&amp;". ","Audience interests unmeasured. ")&amp;IF(Matching_Engine!$AX$89&lt;100,"Scored on "&amp;Matching_Engine!$AX$89&amp;" of the 100 nominal weight points; the rest had no data.",""))</f>
        <v>BRAND-C|KOL-24 — 50/100 against Rasa Nusantara. Strongest factor Brand Personality Fit at 74; weakest Brand Safety at 29. Tagged category Gaming scores 4,2 against the brand category Rasa Nusantara targets. Audience-interest overlap 20. </v>
      </c>
      <c r="G89" s="57" t="str">
        <f ca="1">IF(NOT(ISNUMBER(Matching_Engine!$AY$89)),"N/A",$S$89&amp;" ("&amp;$R$89&amp;"/100)")</f>
        <v>Brand Personality Fit (74/100)</v>
      </c>
      <c r="H89" s="57" t="str">
        <f ca="1">IF(NOT(ISNUMBER(Matching_Engine!$AY$89)),"N/A",$AA$89&amp;" ("&amp;$Z$89&amp;"/100)")</f>
        <v>Brand Safety (29/100)</v>
      </c>
      <c r="I89" s="57" t="str">
        <f ca="1">IF(NOT(ISNUMBER(Matching_Engine!$AY$89)),"No data to consider: this account has no measured signal.",IF($Z$89&lt;Lookup_Lists!$D$161,$AA$89&amp;" sits at "&amp;$Z$89&amp;", below the "&amp;Lookup_Lists!$D$161&amp;"-point consideration threshold"&amp;IF(Matching_Engine!$AF$89=0," · Brand Personality Fit could not be scored at all: no creator personality, tone, values or content-style column exists","")&amp;IF(Matching_Engine!$AI$89="N/A"," · posting cadence unusable, so Consistency is excluded from Performance","")&amp;".","No component falls below the "&amp;Lookup_Lists!$D$161&amp;"-point consideration threshold."))</f>
        <v>Brand Safety sits at 29, below the 75-point consideration threshold.</v>
      </c>
      <c r="J89" s="57" t="str">
        <f ca="1">Matching_Engine!$AV$89&amp;" — "&amp;Matching_Engine!$AW$89&amp;IF(Matching_Engine!$BB$89="Limited Data"," Confidence is Limited Data: "&amp;Matching_Engine!$BA$89&amp;"% of tracked fields carry a value.","")</f>
        <v>PASS — </v>
      </c>
      <c r="K89" s="57" t="str">
        <f ca="1">IF(NOT(ISNUMBER(Matching_Engine!$AY$89)),"Do not shortlist on this data — re-scrape the account first.",IF(Matching_Engine!$AY$89&gt;=Lookup_Lists!$D$156,"Highly Recommended",IF(Matching_Engine!$AY$89&gt;=Lookup_Lists!$D$157,"Recommended",IF(Matching_Engine!$AY$89&gt;=Lookup_Lists!$D$158,"Consider","Low Priority")))&amp;IF(Matching_Engine!$AX$89&lt;100," (on partial data)",""))</f>
        <v>Low Priority</v>
      </c>
      <c r="L89" s="71">
        <f>IF(ISNUMBER(Matching_Engine!$M$89),Matching_Engine!$M$89,-1)</f>
        <v>40</v>
      </c>
      <c r="M89" s="71">
        <f ca="1">IF(ISNUMBER(Matching_Engine!$S$89),Matching_Engine!$S$89,-1)</f>
        <v>71</v>
      </c>
      <c r="N89" s="71">
        <f>IF(ISNUMBER(Matching_Engine!$Y$89),Matching_Engine!$Y$89,-1)</f>
        <v>45</v>
      </c>
      <c r="O89" s="71">
        <f>IF(ISNUMBER(Matching_Engine!$AE$89),Matching_Engine!$AE$89,-1)</f>
        <v>74</v>
      </c>
      <c r="P89" s="71">
        <f>IF(ISNUMBER(Matching_Engine!$AM$89),Matching_Engine!$AM$89,-1)</f>
        <v>-1</v>
      </c>
      <c r="Q89" s="71">
        <f>IF(ISNUMBER(Matching_Engine!$AT$89),Matching_Engine!$AT$89,-1)</f>
        <v>29</v>
      </c>
      <c r="R89" s="71">
        <f ca="1">MAX($L$89:$Q$89)</f>
        <v>74</v>
      </c>
      <c r="S89" s="57" t="str">
        <f ca="1">INDEX({"Brand &amp; Business Relevance","Target Audience Relevance","Content &amp; Category Relevance","Brand Personality Fit","Performance Quality","Brand Safety"},MATCH($R$89,$L$89:$Q$89,0))</f>
        <v>Brand Personality Fit</v>
      </c>
      <c r="T89" s="71">
        <f>IF(ISNUMBER(Matching_Engine!$M$89),Matching_Engine!$M$89,999)</f>
        <v>40</v>
      </c>
      <c r="U89" s="71">
        <f ca="1">IF(ISNUMBER(Matching_Engine!$S$89),Matching_Engine!$S$89,999)</f>
        <v>71</v>
      </c>
      <c r="V89" s="71">
        <f>IF(ISNUMBER(Matching_Engine!$Y$89),Matching_Engine!$Y$89,999)</f>
        <v>45</v>
      </c>
      <c r="W89" s="71">
        <f>IF(ISNUMBER(Matching_Engine!$AE$89),Matching_Engine!$AE$89,999)</f>
        <v>74</v>
      </c>
      <c r="X89" s="71">
        <f>IF(ISNUMBER(Matching_Engine!$AM$89),Matching_Engine!$AM$89,999)</f>
        <v>999</v>
      </c>
      <c r="Y89" s="71">
        <f>IF(ISNUMBER(Matching_Engine!$AT$89),Matching_Engine!$AT$89,999)</f>
        <v>29</v>
      </c>
      <c r="Z89" s="71">
        <f ca="1">MIN($T$89:$Y$89)</f>
        <v>29</v>
      </c>
      <c r="AA89" s="57" t="str">
        <f ca="1">INDEX({"Brand &amp; Business Relevance","Target Audience Relevance","Content &amp; Category Relevance","Brand Personality Fit","Performance Quality","Brand Safety"},MATCH($Z$89,$T$89:$Y$89,0))</f>
        <v>Brand Safety</v>
      </c>
    </row>
    <row r="90" spans="1:27">
      <c r="A90" s="57" t="str">
        <f>Matching_Engine!$B$90</f>
        <v>Rasa Nusantara</v>
      </c>
      <c r="B90" s="57" t="str">
        <f>Matching_Engine!$D$90</f>
        <v>Denny Kurniawan</v>
      </c>
      <c r="C90" s="57" t="str">
        <f>Matching_Engine!$E$90</f>
        <v>@dennymotovlog</v>
      </c>
      <c r="D90" s="70" t="str">
        <f ca="1">Matching_Engine!$AY$90</f>
        <v/>
      </c>
      <c r="E90" s="57" t="str">
        <f>Matching_Engine!$AZ$90</f>
        <v>BRAND-C|KOL-25</v>
      </c>
      <c r="F90" s="57" t="str">
        <f ca="1">IF(NOT(ISNUMBER(Matching_Engine!$AY$90)),"Not scored: no component of the model had data for this account, so no match can be claimed either way.",Matching_Engine!$AZ$90&amp;" — "&amp;Matching_Engine!$AY$90&amp;"/100 against "&amp;Matching_Engine!$B$90&amp;". "&amp;"Strongest factor "&amp;$S$90&amp;" at "&amp;$R$90&amp;"; weakest "&amp;$AA$90&amp;" at "&amp;$Z$90&amp;". "&amp;IF(AND(ISTEXT(Matching_Engine!$G$90),Matching_Engine!$G$90&lt;&gt;"N/A"),"Tagged category "&amp;Matching_Engine!$G$90&amp;" scores "&amp;IF(ISNUMBER(Matching_Engine!$J$90),Matching_Engine!$J$90,0)&amp;" against the brand category "&amp;Matching_Engine!$B$90&amp;" targets. ","Creator carries no category on record, so the category-driven parts fall back to neutral rather than penalising the creator. ")&amp;IF(ISNUMBER(Matching_Engine!$R$90),"Audience-interest overlap "&amp;Matching_Engine!$R$90&amp;". ","Audience interests unmeasured. ")&amp;IF(Matching_Engine!$AX$90&lt;100,"Scored on "&amp;Matching_Engine!$AX$90&amp;" of the 100 nominal weight points; the rest had no data.",""))</f>
        <v>Not scored: no component of the model had data for this account, so no match can be claimed either way.</v>
      </c>
      <c r="G90" s="57" t="str">
        <f ca="1">IF(NOT(ISNUMBER(Matching_Engine!$AY$90)),"N/A",$S$90&amp;" ("&amp;$R$90&amp;"/100)")</f>
        <v>N/A</v>
      </c>
      <c r="H90" s="57" t="str">
        <f ca="1">IF(NOT(ISNUMBER(Matching_Engine!$AY$90)),"N/A",$AA$90&amp;" ("&amp;$Z$90&amp;"/100)")</f>
        <v>N/A</v>
      </c>
      <c r="I90" s="57" t="str">
        <f ca="1">IF(NOT(ISNUMBER(Matching_Engine!$AY$90)),"No data to consider: this account has no measured signal.",IF($Z$90&lt;Lookup_Lists!$D$161,$AA$90&amp;" sits at "&amp;$Z$90&amp;", below the "&amp;Lookup_Lists!$D$161&amp;"-point consideration threshold"&amp;IF(Matching_Engine!$AF$90=0," · Brand Personality Fit could not be scored at all: no creator personality, tone, values or content-style column exists","")&amp;IF(Matching_Engine!$AI$90="N/A"," · posting cadence unusable, so Consistency is excluded from Performance","")&amp;".","No component falls below the "&amp;Lookup_Lists!$D$161&amp;"-point consideration threshold."))</f>
        <v>No data to consider: this account has no measured signal.</v>
      </c>
      <c r="J90" s="57" t="str">
        <f ca="1">Matching_Engine!$AV$90&amp;" — "&amp;Matching_Engine!$AW$90&amp;IF(Matching_Engine!$BB$90="Limited Data"," Confidence is Limited Data: "&amp;Matching_Engine!$BA$90&amp;"% of tracked fields carry a value.","")</f>
        <v>EXCLUDED — Tier not in Preferred Tier</v>
      </c>
      <c r="K90" s="57" t="str">
        <f ca="1">IF(NOT(ISNUMBER(Matching_Engine!$AY$90)),"Do not shortlist on this data — re-scrape the account first.",IF(Matching_Engine!$AY$90&gt;=Lookup_Lists!$D$156,"Highly Recommended",IF(Matching_Engine!$AY$90&gt;=Lookup_Lists!$D$157,"Recommended",IF(Matching_Engine!$AY$90&gt;=Lookup_Lists!$D$158,"Consider","Low Priority")))&amp;IF(Matching_Engine!$AX$90&lt;100," (on partial data)",""))</f>
        <v>Do not shortlist on this data — re-scrape the account first.</v>
      </c>
      <c r="L90" s="71">
        <f>IF(ISNUMBER(Matching_Engine!$M$90),Matching_Engine!$M$90,-1)</f>
        <v>40</v>
      </c>
      <c r="M90" s="71">
        <f ca="1">IF(ISNUMBER(Matching_Engine!$S$90),Matching_Engine!$S$90,-1)</f>
        <v>77</v>
      </c>
      <c r="N90" s="71">
        <f>IF(ISNUMBER(Matching_Engine!$Y$90),Matching_Engine!$Y$90,-1)</f>
        <v>95</v>
      </c>
      <c r="O90" s="71">
        <f>IF(ISNUMBER(Matching_Engine!$AE$90),Matching_Engine!$AE$90,-1)</f>
        <v>73</v>
      </c>
      <c r="P90" s="71">
        <f>IF(ISNUMBER(Matching_Engine!$AM$90),Matching_Engine!$AM$90,-1)</f>
        <v>-1</v>
      </c>
      <c r="Q90" s="71">
        <f>IF(ISNUMBER(Matching_Engine!$AT$90),Matching_Engine!$AT$90,-1)</f>
        <v>49</v>
      </c>
      <c r="R90" s="71">
        <f ca="1">MAX($L$90:$Q$90)</f>
        <v>95</v>
      </c>
      <c r="S90" s="57" t="str">
        <f ca="1">INDEX({"Brand &amp; Business Relevance","Target Audience Relevance","Content &amp; Category Relevance","Brand Personality Fit","Performance Quality","Brand Safety"},MATCH($R$90,$L$90:$Q$90,0))</f>
        <v>Content &amp; Category Relevance</v>
      </c>
      <c r="T90" s="71">
        <f>IF(ISNUMBER(Matching_Engine!$M$90),Matching_Engine!$M$90,999)</f>
        <v>40</v>
      </c>
      <c r="U90" s="71">
        <f ca="1">IF(ISNUMBER(Matching_Engine!$S$90),Matching_Engine!$S$90,999)</f>
        <v>77</v>
      </c>
      <c r="V90" s="71">
        <f>IF(ISNUMBER(Matching_Engine!$Y$90),Matching_Engine!$Y$90,999)</f>
        <v>95</v>
      </c>
      <c r="W90" s="71">
        <f>IF(ISNUMBER(Matching_Engine!$AE$90),Matching_Engine!$AE$90,999)</f>
        <v>73</v>
      </c>
      <c r="X90" s="71">
        <f>IF(ISNUMBER(Matching_Engine!$AM$90),Matching_Engine!$AM$90,999)</f>
        <v>999</v>
      </c>
      <c r="Y90" s="71">
        <f>IF(ISNUMBER(Matching_Engine!$AT$90),Matching_Engine!$AT$90,999)</f>
        <v>49</v>
      </c>
      <c r="Z90" s="71">
        <f ca="1">MIN($T$90:$Y$90)</f>
        <v>40</v>
      </c>
      <c r="AA90" s="57" t="str">
        <f ca="1">INDEX({"Brand &amp; Business Relevance","Target Audience Relevance","Content &amp; Category Relevance","Brand Personality Fit","Performance Quality","Brand Safety"},MATCH($Z$90,$T$90:$Y$90,0))</f>
        <v>Brand &amp; Business Relevance</v>
      </c>
    </row>
    <row r="91" spans="1:27">
      <c r="A91" s="57" t="str">
        <f>Matching_Engine!$B$91</f>
        <v>Rasa Nusantara</v>
      </c>
      <c r="B91" s="57" t="str">
        <f>Matching_Engine!$D$91</f>
        <v>Wisnu Adi</v>
      </c>
      <c r="C91" s="57" t="str">
        <f>Matching_Engine!$E$91</f>
        <v>@wisnucarreview</v>
      </c>
      <c r="D91" s="70" t="str">
        <f ca="1">Matching_Engine!$AY$91</f>
        <v/>
      </c>
      <c r="E91" s="57" t="str">
        <f>Matching_Engine!$AZ$91</f>
        <v>BRAND-C|KOL-26</v>
      </c>
      <c r="F91" s="57" t="str">
        <f ca="1">IF(NOT(ISNUMBER(Matching_Engine!$AY$91)),"Not scored: no component of the model had data for this account, so no match can be claimed either way.",Matching_Engine!$AZ$91&amp;" — "&amp;Matching_Engine!$AY$91&amp;"/100 against "&amp;Matching_Engine!$B$91&amp;". "&amp;"Strongest factor "&amp;$S$91&amp;" at "&amp;$R$91&amp;"; weakest "&amp;$AA$91&amp;" at "&amp;$Z$91&amp;". "&amp;IF(AND(ISTEXT(Matching_Engine!$G$91),Matching_Engine!$G$91&lt;&gt;"N/A"),"Tagged category "&amp;Matching_Engine!$G$91&amp;" scores "&amp;IF(ISNUMBER(Matching_Engine!$J$91),Matching_Engine!$J$91,0)&amp;" against the brand category "&amp;Matching_Engine!$B$91&amp;" targets. ","Creator carries no category on record, so the category-driven parts fall back to neutral rather than penalising the creator. ")&amp;IF(ISNUMBER(Matching_Engine!$R$91),"Audience-interest overlap "&amp;Matching_Engine!$R$91&amp;". ","Audience interests unmeasured. ")&amp;IF(Matching_Engine!$AX$91&lt;100,"Scored on "&amp;Matching_Engine!$AX$91&amp;" of the 100 nominal weight points; the rest had no data.",""))</f>
        <v>Not scored: no component of the model had data for this account, so no match can be claimed either way.</v>
      </c>
      <c r="G91" s="57" t="str">
        <f ca="1">IF(NOT(ISNUMBER(Matching_Engine!$AY$91)),"N/A",$S$91&amp;" ("&amp;$R$91&amp;"/100)")</f>
        <v>N/A</v>
      </c>
      <c r="H91" s="57" t="str">
        <f ca="1">IF(NOT(ISNUMBER(Matching_Engine!$AY$91)),"N/A",$AA$91&amp;" ("&amp;$Z$91&amp;"/100)")</f>
        <v>N/A</v>
      </c>
      <c r="I91" s="57" t="str">
        <f ca="1">IF(NOT(ISNUMBER(Matching_Engine!$AY$91)),"No data to consider: this account has no measured signal.",IF($Z$91&lt;Lookup_Lists!$D$161,$AA$91&amp;" sits at "&amp;$Z$91&amp;", below the "&amp;Lookup_Lists!$D$161&amp;"-point consideration threshold"&amp;IF(Matching_Engine!$AF$91=0," · Brand Personality Fit could not be scored at all: no creator personality, tone, values or content-style column exists","")&amp;IF(Matching_Engine!$AI$91="N/A"," · posting cadence unusable, so Consistency is excluded from Performance","")&amp;".","No component falls below the "&amp;Lookup_Lists!$D$161&amp;"-point consideration threshold."))</f>
        <v>No data to consider: this account has no measured signal.</v>
      </c>
      <c r="J91" s="57" t="str">
        <f ca="1">Matching_Engine!$AV$91&amp;" — "&amp;Matching_Engine!$AW$91&amp;IF(Matching_Engine!$BB$91="Limited Data"," Confidence is Limited Data: "&amp;Matching_Engine!$BA$91&amp;"% of tracked fields carry a value.","")</f>
        <v>EXCLUDED — Engagement Rate below Minimum Engagement Rate</v>
      </c>
      <c r="K91" s="57" t="str">
        <f ca="1">IF(NOT(ISNUMBER(Matching_Engine!$AY$91)),"Do not shortlist on this data — re-scrape the account first.",IF(Matching_Engine!$AY$91&gt;=Lookup_Lists!$D$156,"Highly Recommended",IF(Matching_Engine!$AY$91&gt;=Lookup_Lists!$D$157,"Recommended",IF(Matching_Engine!$AY$91&gt;=Lookup_Lists!$D$158,"Consider","Low Priority")))&amp;IF(Matching_Engine!$AX$91&lt;100," (on partial data)",""))</f>
        <v>Do not shortlist on this data — re-scrape the account first.</v>
      </c>
      <c r="L91" s="71">
        <f>IF(ISNUMBER(Matching_Engine!$M$91),Matching_Engine!$M$91,-1)</f>
        <v>0</v>
      </c>
      <c r="M91" s="71">
        <f ca="1">IF(ISNUMBER(Matching_Engine!$S$91),Matching_Engine!$S$91,-1)</f>
        <v>75</v>
      </c>
      <c r="N91" s="71">
        <f>IF(ISNUMBER(Matching_Engine!$Y$91),Matching_Engine!$Y$91,-1)</f>
        <v>45</v>
      </c>
      <c r="O91" s="71">
        <f>IF(ISNUMBER(Matching_Engine!$AE$91),Matching_Engine!$AE$91,-1)</f>
        <v>64</v>
      </c>
      <c r="P91" s="71">
        <f>IF(ISNUMBER(Matching_Engine!$AM$91),Matching_Engine!$AM$91,-1)</f>
        <v>-1</v>
      </c>
      <c r="Q91" s="71">
        <f>IF(ISNUMBER(Matching_Engine!$AT$91),Matching_Engine!$AT$91,-1)</f>
        <v>27</v>
      </c>
      <c r="R91" s="71">
        <f ca="1">MAX($L$91:$Q$91)</f>
        <v>75</v>
      </c>
      <c r="S91" s="57" t="str">
        <f ca="1">INDEX({"Brand &amp; Business Relevance","Target Audience Relevance","Content &amp; Category Relevance","Brand Personality Fit","Performance Quality","Brand Safety"},MATCH($R$91,$L$91:$Q$91,0))</f>
        <v>Target Audience Relevance</v>
      </c>
      <c r="T91" s="71">
        <f>IF(ISNUMBER(Matching_Engine!$M$91),Matching_Engine!$M$91,999)</f>
        <v>0</v>
      </c>
      <c r="U91" s="71">
        <f ca="1">IF(ISNUMBER(Matching_Engine!$S$91),Matching_Engine!$S$91,999)</f>
        <v>75</v>
      </c>
      <c r="V91" s="71">
        <f>IF(ISNUMBER(Matching_Engine!$Y$91),Matching_Engine!$Y$91,999)</f>
        <v>45</v>
      </c>
      <c r="W91" s="71">
        <f>IF(ISNUMBER(Matching_Engine!$AE$91),Matching_Engine!$AE$91,999)</f>
        <v>64</v>
      </c>
      <c r="X91" s="71">
        <f>IF(ISNUMBER(Matching_Engine!$AM$91),Matching_Engine!$AM$91,999)</f>
        <v>999</v>
      </c>
      <c r="Y91" s="71">
        <f>IF(ISNUMBER(Matching_Engine!$AT$91),Matching_Engine!$AT$91,999)</f>
        <v>27</v>
      </c>
      <c r="Z91" s="71">
        <f ca="1">MIN($T$91:$Y$91)</f>
        <v>0</v>
      </c>
      <c r="AA91" s="57" t="str">
        <f ca="1">INDEX({"Brand &amp; Business Relevance","Target Audience Relevance","Content &amp; Category Relevance","Brand Personality Fit","Performance Quality","Brand Safety"},MATCH($Z$91,$T$91:$Y$91,0))</f>
        <v>Brand &amp; Business Relevance</v>
      </c>
    </row>
    <row r="92" spans="1:27">
      <c r="A92" s="57" t="str">
        <f>Matching_Engine!$B$92</f>
        <v>Rasa Nusantara</v>
      </c>
      <c r="B92" s="57" t="str">
        <f>Matching_Engine!$D$92</f>
        <v>Laras Ayu</v>
      </c>
      <c r="C92" s="57" t="str">
        <f>Matching_Engine!$E$92</f>
        <v>@larasinterior</v>
      </c>
      <c r="D92" s="70">
        <f ca="1">Matching_Engine!$AY$92</f>
        <v>59</v>
      </c>
      <c r="E92" s="57" t="str">
        <f>Matching_Engine!$AZ$92</f>
        <v>BRAND-C|KOL-27</v>
      </c>
      <c r="F92" s="57" t="str">
        <f ca="1">IF(NOT(ISNUMBER(Matching_Engine!$AY$92)),"Not scored: no component of the model had data for this account, so no match can be claimed either way.",Matching_Engine!$AZ$92&amp;" — "&amp;Matching_Engine!$AY$92&amp;"/100 against "&amp;Matching_Engine!$B$92&amp;". "&amp;"Strongest factor "&amp;$S$92&amp;" at "&amp;$R$92&amp;"; weakest "&amp;$AA$92&amp;" at "&amp;$Z$92&amp;". "&amp;IF(AND(ISTEXT(Matching_Engine!$G$92),Matching_Engine!$G$92&lt;&gt;"N/A"),"Tagged category "&amp;Matching_Engine!$G$92&amp;" scores "&amp;IF(ISNUMBER(Matching_Engine!$J$92),Matching_Engine!$J$92,0)&amp;" against the brand category "&amp;Matching_Engine!$B$92&amp;" targets. ","Creator carries no category on record, so the category-driven parts fall back to neutral rather than penalising the creator. ")&amp;IF(ISNUMBER(Matching_Engine!$R$92),"Audience-interest overlap "&amp;Matching_Engine!$R$92&amp;". ","Audience interests unmeasured. ")&amp;IF(Matching_Engine!$AX$92&lt;100,"Scored on "&amp;Matching_Engine!$AX$92&amp;" of the 100 nominal weight points; the rest had no data.",""))</f>
        <v>BRAND-C|KOL-27 — 59/100 against Rasa Nusantara. Strongest factor Brand Personality Fit at 88; weakest Content &amp; Category Relevance at 35. Tagged category Home &amp; Living scores 4,4 against the brand category Rasa Nusantara targets. Audience-interest overlap 20. </v>
      </c>
      <c r="G92" s="57" t="str">
        <f ca="1">IF(NOT(ISNUMBER(Matching_Engine!$AY$92)),"N/A",$S$92&amp;" ("&amp;$R$92&amp;"/100)")</f>
        <v>Brand Personality Fit (88/100)</v>
      </c>
      <c r="H92" s="57" t="str">
        <f ca="1">IF(NOT(ISNUMBER(Matching_Engine!$AY$92)),"N/A",$AA$92&amp;" ("&amp;$Z$92&amp;"/100)")</f>
        <v>Content &amp; Category Relevance (35/100)</v>
      </c>
      <c r="I92" s="57" t="str">
        <f ca="1">IF(NOT(ISNUMBER(Matching_Engine!$AY$92)),"No data to consider: this account has no measured signal.",IF($Z$92&lt;Lookup_Lists!$D$161,$AA$92&amp;" sits at "&amp;$Z$92&amp;", below the "&amp;Lookup_Lists!$D$161&amp;"-point consideration threshold"&amp;IF(Matching_Engine!$AF$92=0," · Brand Personality Fit could not be scored at all: no creator personality, tone, values or content-style column exists","")&amp;IF(Matching_Engine!$AI$92="N/A"," · posting cadence unusable, so Consistency is excluded from Performance","")&amp;".","No component falls below the "&amp;Lookup_Lists!$D$161&amp;"-point consideration threshold."))</f>
        <v>Content &amp; Category Relevance sits at 35, below the 75-point consideration threshold.</v>
      </c>
      <c r="J92" s="57" t="str">
        <f ca="1">Matching_Engine!$AV$92&amp;" — "&amp;Matching_Engine!$AW$92&amp;IF(Matching_Engine!$BB$92="Limited Data"," Confidence is Limited Data: "&amp;Matching_Engine!$BA$92&amp;"% of tracked fields carry a value.","")</f>
        <v>PASS — </v>
      </c>
      <c r="K92" s="57" t="str">
        <f ca="1">IF(NOT(ISNUMBER(Matching_Engine!$AY$92)),"Do not shortlist on this data — re-scrape the account first.",IF(Matching_Engine!$AY$92&gt;=Lookup_Lists!$D$156,"Highly Recommended",IF(Matching_Engine!$AY$92&gt;=Lookup_Lists!$D$157,"Recommended",IF(Matching_Engine!$AY$92&gt;=Lookup_Lists!$D$158,"Consider","Low Priority")))&amp;IF(Matching_Engine!$AX$92&lt;100," (on partial data)",""))</f>
        <v>Low Priority</v>
      </c>
      <c r="L92" s="71">
        <f>IF(ISNUMBER(Matching_Engine!$M$92),Matching_Engine!$M$92,-1)</f>
        <v>40</v>
      </c>
      <c r="M92" s="71">
        <f ca="1">IF(ISNUMBER(Matching_Engine!$S$92),Matching_Engine!$S$92,-1)</f>
        <v>74</v>
      </c>
      <c r="N92" s="71">
        <f>IF(ISNUMBER(Matching_Engine!$Y$92),Matching_Engine!$Y$92,-1)</f>
        <v>35</v>
      </c>
      <c r="O92" s="71">
        <f>IF(ISNUMBER(Matching_Engine!$AE$92),Matching_Engine!$AE$92,-1)</f>
        <v>88</v>
      </c>
      <c r="P92" s="71">
        <f>IF(ISNUMBER(Matching_Engine!$AM$92),Matching_Engine!$AM$92,-1)</f>
        <v>-1</v>
      </c>
      <c r="Q92" s="71">
        <f>IF(ISNUMBER(Matching_Engine!$AT$92),Matching_Engine!$AT$92,-1)</f>
        <v>44</v>
      </c>
      <c r="R92" s="71">
        <f ca="1">MAX($L$92:$Q$92)</f>
        <v>88</v>
      </c>
      <c r="S92" s="57" t="str">
        <f ca="1">INDEX({"Brand &amp; Business Relevance","Target Audience Relevance","Content &amp; Category Relevance","Brand Personality Fit","Performance Quality","Brand Safety"},MATCH($R$92,$L$92:$Q$92,0))</f>
        <v>Brand Personality Fit</v>
      </c>
      <c r="T92" s="71">
        <f>IF(ISNUMBER(Matching_Engine!$M$92),Matching_Engine!$M$92,999)</f>
        <v>40</v>
      </c>
      <c r="U92" s="71">
        <f ca="1">IF(ISNUMBER(Matching_Engine!$S$92),Matching_Engine!$S$92,999)</f>
        <v>74</v>
      </c>
      <c r="V92" s="71">
        <f>IF(ISNUMBER(Matching_Engine!$Y$92),Matching_Engine!$Y$92,999)</f>
        <v>35</v>
      </c>
      <c r="W92" s="71">
        <f>IF(ISNUMBER(Matching_Engine!$AE$92),Matching_Engine!$AE$92,999)</f>
        <v>88</v>
      </c>
      <c r="X92" s="71">
        <f>IF(ISNUMBER(Matching_Engine!$AM$92),Matching_Engine!$AM$92,999)</f>
        <v>999</v>
      </c>
      <c r="Y92" s="71">
        <f>IF(ISNUMBER(Matching_Engine!$AT$92),Matching_Engine!$AT$92,999)</f>
        <v>44</v>
      </c>
      <c r="Z92" s="71">
        <f ca="1">MIN($T$92:$Y$92)</f>
        <v>35</v>
      </c>
      <c r="AA92" s="57" t="str">
        <f ca="1">INDEX({"Brand &amp; Business Relevance","Target Audience Relevance","Content &amp; Category Relevance","Brand Personality Fit","Performance Quality","Brand Safety"},MATCH($Z$92,$T$92:$Y$92,0))</f>
        <v>Content &amp; Category Relevance</v>
      </c>
    </row>
    <row r="93" spans="1:27">
      <c r="A93" s="57" t="str">
        <f>Matching_Engine!$B$93</f>
        <v>Rasa Nusantara</v>
      </c>
      <c r="B93" s="57" t="str">
        <f>Matching_Engine!$D$93</f>
        <v>Tiara Nisrina</v>
      </c>
      <c r="C93" s="57" t="str">
        <f>Matching_Engine!$E$93</f>
        <v>@tiararapihin</v>
      </c>
      <c r="D93" s="70" t="str">
        <f ca="1">Matching_Engine!$AY$93</f>
        <v/>
      </c>
      <c r="E93" s="57" t="str">
        <f>Matching_Engine!$AZ$93</f>
        <v>BRAND-C|KOL-28</v>
      </c>
      <c r="F93" s="57" t="str">
        <f ca="1">IF(NOT(ISNUMBER(Matching_Engine!$AY$93)),"Not scored: no component of the model had data for this account, so no match can be claimed either way.",Matching_Engine!$AZ$93&amp;" — "&amp;Matching_Engine!$AY$93&amp;"/100 against "&amp;Matching_Engine!$B$93&amp;". "&amp;"Strongest factor "&amp;$S$93&amp;" at "&amp;$R$93&amp;"; weakest "&amp;$AA$93&amp;" at "&amp;$Z$93&amp;". "&amp;IF(AND(ISTEXT(Matching_Engine!$G$93),Matching_Engine!$G$93&lt;&gt;"N/A"),"Tagged category "&amp;Matching_Engine!$G$93&amp;" scores "&amp;IF(ISNUMBER(Matching_Engine!$J$93),Matching_Engine!$J$93,0)&amp;" against the brand category "&amp;Matching_Engine!$B$93&amp;" targets. ","Creator carries no category on record, so the category-driven parts fall back to neutral rather than penalising the creator. ")&amp;IF(ISNUMBER(Matching_Engine!$R$93),"Audience-interest overlap "&amp;Matching_Engine!$R$93&amp;". ","Audience interests unmeasured. ")&amp;IF(Matching_Engine!$AX$93&lt;100,"Scored on "&amp;Matching_Engine!$AX$93&amp;" of the 100 nominal weight points; the rest had no data.",""))</f>
        <v>Not scored: no component of the model had data for this account, so no match can be claimed either way.</v>
      </c>
      <c r="G93" s="57" t="str">
        <f ca="1">IF(NOT(ISNUMBER(Matching_Engine!$AY$93)),"N/A",$S$93&amp;" ("&amp;$R$93&amp;"/100)")</f>
        <v>N/A</v>
      </c>
      <c r="H93" s="57" t="str">
        <f ca="1">IF(NOT(ISNUMBER(Matching_Engine!$AY$93)),"N/A",$AA$93&amp;" ("&amp;$Z$93&amp;"/100)")</f>
        <v>N/A</v>
      </c>
      <c r="I93" s="57" t="str">
        <f ca="1">IF(NOT(ISNUMBER(Matching_Engine!$AY$93)),"No data to consider: this account has no measured signal.",IF($Z$93&lt;Lookup_Lists!$D$161,$AA$93&amp;" sits at "&amp;$Z$93&amp;", below the "&amp;Lookup_Lists!$D$161&amp;"-point consideration threshold"&amp;IF(Matching_Engine!$AF$93=0," · Brand Personality Fit could not be scored at all: no creator personality, tone, values or content-style column exists","")&amp;IF(Matching_Engine!$AI$93="N/A"," · posting cadence unusable, so Consistency is excluded from Performance","")&amp;".","No component falls below the "&amp;Lookup_Lists!$D$161&amp;"-point consideration threshold."))</f>
        <v>No data to consider: this account has no measured signal.</v>
      </c>
      <c r="J93" s="57" t="str">
        <f ca="1">Matching_Engine!$AV$93&amp;" — "&amp;Matching_Engine!$AW$93&amp;IF(Matching_Engine!$BB$93="Limited Data"," Confidence is Limited Data: "&amp;Matching_Engine!$BA$93&amp;"% of tracked fields carry a value.","")</f>
        <v>EXCLUDED — Tier not in Preferred Tier</v>
      </c>
      <c r="K93" s="57" t="str">
        <f ca="1">IF(NOT(ISNUMBER(Matching_Engine!$AY$93)),"Do not shortlist on this data — re-scrape the account first.",IF(Matching_Engine!$AY$93&gt;=Lookup_Lists!$D$156,"Highly Recommended",IF(Matching_Engine!$AY$93&gt;=Lookup_Lists!$D$157,"Recommended",IF(Matching_Engine!$AY$93&gt;=Lookup_Lists!$D$158,"Consider","Low Priority")))&amp;IF(Matching_Engine!$AX$93&lt;100," (on partial data)",""))</f>
        <v>Do not shortlist on this data — re-scrape the account first.</v>
      </c>
      <c r="L93" s="71">
        <f>IF(ISNUMBER(Matching_Engine!$M$93),Matching_Engine!$M$93,-1)</f>
        <v>40</v>
      </c>
      <c r="M93" s="71">
        <f ca="1">IF(ISNUMBER(Matching_Engine!$S$93),Matching_Engine!$S$93,-1)</f>
        <v>68</v>
      </c>
      <c r="N93" s="71">
        <f>IF(ISNUMBER(Matching_Engine!$Y$93),Matching_Engine!$Y$93,-1)</f>
        <v>100</v>
      </c>
      <c r="O93" s="71">
        <f>IF(ISNUMBER(Matching_Engine!$AE$93),Matching_Engine!$AE$93,-1)</f>
        <v>81</v>
      </c>
      <c r="P93" s="71">
        <f>IF(ISNUMBER(Matching_Engine!$AM$93),Matching_Engine!$AM$93,-1)</f>
        <v>-1</v>
      </c>
      <c r="Q93" s="71">
        <f>IF(ISNUMBER(Matching_Engine!$AT$93),Matching_Engine!$AT$93,-1)</f>
        <v>55</v>
      </c>
      <c r="R93" s="71">
        <f ca="1">MAX($L$93:$Q$93)</f>
        <v>100</v>
      </c>
      <c r="S93" s="57" t="str">
        <f ca="1">INDEX({"Brand &amp; Business Relevance","Target Audience Relevance","Content &amp; Category Relevance","Brand Personality Fit","Performance Quality","Brand Safety"},MATCH($R$93,$L$93:$Q$93,0))</f>
        <v>Content &amp; Category Relevance</v>
      </c>
      <c r="T93" s="71">
        <f>IF(ISNUMBER(Matching_Engine!$M$93),Matching_Engine!$M$93,999)</f>
        <v>40</v>
      </c>
      <c r="U93" s="71">
        <f ca="1">IF(ISNUMBER(Matching_Engine!$S$93),Matching_Engine!$S$93,999)</f>
        <v>68</v>
      </c>
      <c r="V93" s="71">
        <f>IF(ISNUMBER(Matching_Engine!$Y$93),Matching_Engine!$Y$93,999)</f>
        <v>100</v>
      </c>
      <c r="W93" s="71">
        <f>IF(ISNUMBER(Matching_Engine!$AE$93),Matching_Engine!$AE$93,999)</f>
        <v>81</v>
      </c>
      <c r="X93" s="71">
        <f>IF(ISNUMBER(Matching_Engine!$AM$93),Matching_Engine!$AM$93,999)</f>
        <v>999</v>
      </c>
      <c r="Y93" s="71">
        <f>IF(ISNUMBER(Matching_Engine!$AT$93),Matching_Engine!$AT$93,999)</f>
        <v>55</v>
      </c>
      <c r="Z93" s="71">
        <f ca="1">MIN($T$93:$Y$93)</f>
        <v>40</v>
      </c>
      <c r="AA93" s="57" t="str">
        <f ca="1">INDEX({"Brand &amp; Business Relevance","Target Audience Relevance","Content &amp; Category Relevance","Brand Personality Fit","Performance Quality","Brand Safety"},MATCH($Z$93,$T$93:$Y$93,0))</f>
        <v>Brand &amp; Business Relevance</v>
      </c>
    </row>
    <row r="94" spans="1:27">
      <c r="A94" s="57" t="str">
        <f>Matching_Engine!$B$94</f>
        <v>Rasa Nusantara</v>
      </c>
      <c r="B94" s="57" t="str">
        <f>Matching_Engine!$D$94</f>
        <v>Sekar Ayu</v>
      </c>
      <c r="C94" s="57" t="str">
        <f>Matching_Engine!$E$94</f>
        <v>@sekarskincarejujur</v>
      </c>
      <c r="D94" s="70">
        <f ca="1">Matching_Engine!$AY$94</f>
        <v>57</v>
      </c>
      <c r="E94" s="57" t="str">
        <f>Matching_Engine!$AZ$94</f>
        <v>BRAND-C|KOL-29</v>
      </c>
      <c r="F94" s="57" t="str">
        <f ca="1">IF(NOT(ISNUMBER(Matching_Engine!$AY$94)),"Not scored: no component of the model had data for this account, so no match can be claimed either way.",Matching_Engine!$AZ$94&amp;" — "&amp;Matching_Engine!$AY$94&amp;"/100 against "&amp;Matching_Engine!$B$94&amp;". "&amp;"Strongest factor "&amp;$S$94&amp;" at "&amp;$R$94&amp;"; weakest "&amp;$AA$94&amp;" at "&amp;$Z$94&amp;". "&amp;IF(AND(ISTEXT(Matching_Engine!$G$94),Matching_Engine!$G$94&lt;&gt;"N/A"),"Tagged category "&amp;Matching_Engine!$G$94&amp;" scores "&amp;IF(ISNUMBER(Matching_Engine!$J$94),Matching_Engine!$J$94,0)&amp;" against the brand category "&amp;Matching_Engine!$B$94&amp;" targets. ","Creator carries no category on record, so the category-driven parts fall back to neutral rather than penalising the creator. ")&amp;IF(ISNUMBER(Matching_Engine!$R$94),"Audience-interest overlap "&amp;Matching_Engine!$R$94&amp;". ","Audience interests unmeasured. ")&amp;IF(Matching_Engine!$AX$94&lt;100,"Scored on "&amp;Matching_Engine!$AX$94&amp;" of the 100 nominal weight points; the rest had no data.",""))</f>
        <v>BRAND-C|KOL-29 — 57/100 against Rasa Nusantara. Strongest factor Content &amp; Category Relevance at 100; weakest Brand &amp; Business Relevance at 20. Tagged category Beauty scores 8,9 against the brand category Rasa Nusantara targets. Audience-interest overlap 0. </v>
      </c>
      <c r="G94" s="57" t="str">
        <f ca="1">IF(NOT(ISNUMBER(Matching_Engine!$AY$94)),"N/A",$S$94&amp;" ("&amp;$R$94&amp;"/100)")</f>
        <v>Content &amp; Category Relevance (100/100)</v>
      </c>
      <c r="H94" s="57" t="str">
        <f ca="1">IF(NOT(ISNUMBER(Matching_Engine!$AY$94)),"N/A",$AA$94&amp;" ("&amp;$Z$94&amp;"/100)")</f>
        <v>Brand &amp; Business Relevance (20/100)</v>
      </c>
      <c r="I94" s="57" t="str">
        <f ca="1">IF(NOT(ISNUMBER(Matching_Engine!$AY$94)),"No data to consider: this account has no measured signal.",IF($Z$94&lt;Lookup_Lists!$D$161,$AA$94&amp;" sits at "&amp;$Z$94&amp;", below the "&amp;Lookup_Lists!$D$161&amp;"-point consideration threshold"&amp;IF(Matching_Engine!$AF$94=0," · Brand Personality Fit could not be scored at all: no creator personality, tone, values or content-style column exists","")&amp;IF(Matching_Engine!$AI$94="N/A"," · posting cadence unusable, so Consistency is excluded from Performance","")&amp;".","No component falls below the "&amp;Lookup_Lists!$D$161&amp;"-point consideration threshold."))</f>
        <v>Brand &amp; Business Relevance sits at 20, below the 75-point consideration threshold.</v>
      </c>
      <c r="J94" s="57" t="str">
        <f ca="1">Matching_Engine!$AV$94&amp;" — "&amp;Matching_Engine!$AW$94&amp;IF(Matching_Engine!$BB$94="Limited Data"," Confidence is Limited Data: "&amp;Matching_Engine!$BA$94&amp;"% of tracked fields carry a value.","")</f>
        <v>PASS — </v>
      </c>
      <c r="K94" s="57" t="str">
        <f ca="1">IF(NOT(ISNUMBER(Matching_Engine!$AY$94)),"Do not shortlist on this data — re-scrape the account first.",IF(Matching_Engine!$AY$94&gt;=Lookup_Lists!$D$156,"Highly Recommended",IF(Matching_Engine!$AY$94&gt;=Lookup_Lists!$D$157,"Recommended",IF(Matching_Engine!$AY$94&gt;=Lookup_Lists!$D$158,"Consider","Low Priority")))&amp;IF(Matching_Engine!$AX$94&lt;100," (on partial data)",""))</f>
        <v>Low Priority</v>
      </c>
      <c r="L94" s="71">
        <f>IF(ISNUMBER(Matching_Engine!$M$94),Matching_Engine!$M$94,-1)</f>
        <v>20</v>
      </c>
      <c r="M94" s="71">
        <f ca="1">IF(ISNUMBER(Matching_Engine!$S$94),Matching_Engine!$S$94,-1)</f>
        <v>64</v>
      </c>
      <c r="N94" s="71">
        <f>IF(ISNUMBER(Matching_Engine!$Y$94),Matching_Engine!$Y$94,-1)</f>
        <v>100</v>
      </c>
      <c r="O94" s="71">
        <f>IF(ISNUMBER(Matching_Engine!$AE$94),Matching_Engine!$AE$94,-1)</f>
        <v>91</v>
      </c>
      <c r="P94" s="71">
        <f>IF(ISNUMBER(Matching_Engine!$AM$94),Matching_Engine!$AM$94,-1)</f>
        <v>-1</v>
      </c>
      <c r="Q94" s="71">
        <f>IF(ISNUMBER(Matching_Engine!$AT$94),Matching_Engine!$AT$94,-1)</f>
        <v>44</v>
      </c>
      <c r="R94" s="71">
        <f ca="1">MAX($L$94:$Q$94)</f>
        <v>100</v>
      </c>
      <c r="S94" s="57" t="str">
        <f ca="1">INDEX({"Brand &amp; Business Relevance","Target Audience Relevance","Content &amp; Category Relevance","Brand Personality Fit","Performance Quality","Brand Safety"},MATCH($R$94,$L$94:$Q$94,0))</f>
        <v>Content &amp; Category Relevance</v>
      </c>
      <c r="T94" s="71">
        <f>IF(ISNUMBER(Matching_Engine!$M$94),Matching_Engine!$M$94,999)</f>
        <v>20</v>
      </c>
      <c r="U94" s="71">
        <f ca="1">IF(ISNUMBER(Matching_Engine!$S$94),Matching_Engine!$S$94,999)</f>
        <v>64</v>
      </c>
      <c r="V94" s="71">
        <f>IF(ISNUMBER(Matching_Engine!$Y$94),Matching_Engine!$Y$94,999)</f>
        <v>100</v>
      </c>
      <c r="W94" s="71">
        <f>IF(ISNUMBER(Matching_Engine!$AE$94),Matching_Engine!$AE$94,999)</f>
        <v>91</v>
      </c>
      <c r="X94" s="71">
        <f>IF(ISNUMBER(Matching_Engine!$AM$94),Matching_Engine!$AM$94,999)</f>
        <v>999</v>
      </c>
      <c r="Y94" s="71">
        <f>IF(ISNUMBER(Matching_Engine!$AT$94),Matching_Engine!$AT$94,999)</f>
        <v>44</v>
      </c>
      <c r="Z94" s="71">
        <f ca="1">MIN($T$94:$Y$94)</f>
        <v>20</v>
      </c>
      <c r="AA94" s="57" t="str">
        <f ca="1">INDEX({"Brand &amp; Business Relevance","Target Audience Relevance","Content &amp; Category Relevance","Brand Personality Fit","Performance Quality","Brand Safety"},MATCH($Z$94,$T$94:$Y$94,0))</f>
        <v>Brand &amp; Business Relevance</v>
      </c>
    </row>
    <row r="95" spans="1:27">
      <c r="A95" s="57" t="str">
        <f>Matching_Engine!$B$95</f>
        <v>Rasa Nusantara</v>
      </c>
      <c r="B95" s="57" t="str">
        <f>Matching_Engine!$D$95</f>
        <v>Ibnu Faisal</v>
      </c>
      <c r="C95" s="57" t="str">
        <f>Matching_Engine!$E$95</f>
        <v>@ibnubisnis</v>
      </c>
      <c r="D95" s="70" t="str">
        <f ca="1">Matching_Engine!$AY$95</f>
        <v/>
      </c>
      <c r="E95" s="57" t="str">
        <f>Matching_Engine!$AZ$95</f>
        <v>BRAND-C|KOL-30</v>
      </c>
      <c r="F95" s="57" t="str">
        <f ca="1">IF(NOT(ISNUMBER(Matching_Engine!$AY$95)),"Not scored: no component of the model had data for this account, so no match can be claimed either way.",Matching_Engine!$AZ$95&amp;" — "&amp;Matching_Engine!$AY$95&amp;"/100 against "&amp;Matching_Engine!$B$95&amp;". "&amp;"Strongest factor "&amp;$S$95&amp;" at "&amp;$R$95&amp;"; weakest "&amp;$AA$95&amp;" at "&amp;$Z$95&amp;". "&amp;IF(AND(ISTEXT(Matching_Engine!$G$95),Matching_Engine!$G$95&lt;&gt;"N/A"),"Tagged category "&amp;Matching_Engine!$G$95&amp;" scores "&amp;IF(ISNUMBER(Matching_Engine!$J$95),Matching_Engine!$J$95,0)&amp;" against the brand category "&amp;Matching_Engine!$B$95&amp;" targets. ","Creator carries no category on record, so the category-driven parts fall back to neutral rather than penalising the creator. ")&amp;IF(ISNUMBER(Matching_Engine!$R$95),"Audience-interest overlap "&amp;Matching_Engine!$R$95&amp;". ","Audience interests unmeasured. ")&amp;IF(Matching_Engine!$AX$95&lt;100,"Scored on "&amp;Matching_Engine!$AX$95&amp;" of the 100 nominal weight points; the rest had no data.",""))</f>
        <v>Not scored: no component of the model had data for this account, so no match can be claimed either way.</v>
      </c>
      <c r="G95" s="57" t="str">
        <f ca="1">IF(NOT(ISNUMBER(Matching_Engine!$AY$95)),"N/A",$S$95&amp;" ("&amp;$R$95&amp;"/100)")</f>
        <v>N/A</v>
      </c>
      <c r="H95" s="57" t="str">
        <f ca="1">IF(NOT(ISNUMBER(Matching_Engine!$AY$95)),"N/A",$AA$95&amp;" ("&amp;$Z$95&amp;"/100)")</f>
        <v>N/A</v>
      </c>
      <c r="I95" s="57" t="str">
        <f ca="1">IF(NOT(ISNUMBER(Matching_Engine!$AY$95)),"No data to consider: this account has no measured signal.",IF($Z$95&lt;Lookup_Lists!$D$161,$AA$95&amp;" sits at "&amp;$Z$95&amp;", below the "&amp;Lookup_Lists!$D$161&amp;"-point consideration threshold"&amp;IF(Matching_Engine!$AF$95=0," · Brand Personality Fit could not be scored at all: no creator personality, tone, values or content-style column exists","")&amp;IF(Matching_Engine!$AI$95="N/A"," · posting cadence unusable, so Consistency is excluded from Performance","")&amp;".","No component falls below the "&amp;Lookup_Lists!$D$161&amp;"-point consideration threshold."))</f>
        <v>No data to consider: this account has no measured signal.</v>
      </c>
      <c r="J95" s="57" t="str">
        <f ca="1">Matching_Engine!$AV$95&amp;" — "&amp;Matching_Engine!$AW$95&amp;IF(Matching_Engine!$BB$95="Limited Data"," Confidence is Limited Data: "&amp;Matching_Engine!$BA$95&amp;"% of tracked fields carry a value.","")</f>
        <v>EXCLUDED — Engagement Rate below Minimum Engagement Rate</v>
      </c>
      <c r="K95" s="57" t="str">
        <f ca="1">IF(NOT(ISNUMBER(Matching_Engine!$AY$95)),"Do not shortlist on this data — re-scrape the account first.",IF(Matching_Engine!$AY$95&gt;=Lookup_Lists!$D$156,"Highly Recommended",IF(Matching_Engine!$AY$95&gt;=Lookup_Lists!$D$157,"Recommended",IF(Matching_Engine!$AY$95&gt;=Lookup_Lists!$D$158,"Consider","Low Priority")))&amp;IF(Matching_Engine!$AX$95&lt;100," (on partial data)",""))</f>
        <v>Do not shortlist on this data — re-scrape the account first.</v>
      </c>
      <c r="L95" s="71">
        <f>IF(ISNUMBER(Matching_Engine!$M$95),Matching_Engine!$M$95,-1)</f>
        <v>0</v>
      </c>
      <c r="M95" s="71">
        <f ca="1">IF(ISNUMBER(Matching_Engine!$S$95),Matching_Engine!$S$95,-1)</f>
        <v>68</v>
      </c>
      <c r="N95" s="71">
        <f>IF(ISNUMBER(Matching_Engine!$Y$95),Matching_Engine!$Y$95,-1)</f>
        <v>45</v>
      </c>
      <c r="O95" s="71">
        <f>IF(ISNUMBER(Matching_Engine!$AE$95),Matching_Engine!$AE$95,-1)</f>
        <v>66</v>
      </c>
      <c r="P95" s="71">
        <f>IF(ISNUMBER(Matching_Engine!$AM$95),Matching_Engine!$AM$95,-1)</f>
        <v>-1</v>
      </c>
      <c r="Q95" s="71">
        <f>IF(ISNUMBER(Matching_Engine!$AT$95),Matching_Engine!$AT$95,-1)</f>
        <v>26</v>
      </c>
      <c r="R95" s="71">
        <f ca="1">MAX($L$95:$Q$95)</f>
        <v>68</v>
      </c>
      <c r="S95" s="57" t="str">
        <f ca="1">INDEX({"Brand &amp; Business Relevance","Target Audience Relevance","Content &amp; Category Relevance","Brand Personality Fit","Performance Quality","Brand Safety"},MATCH($R$95,$L$95:$Q$95,0))</f>
        <v>Target Audience Relevance</v>
      </c>
      <c r="T95" s="71">
        <f>IF(ISNUMBER(Matching_Engine!$M$95),Matching_Engine!$M$95,999)</f>
        <v>0</v>
      </c>
      <c r="U95" s="71">
        <f ca="1">IF(ISNUMBER(Matching_Engine!$S$95),Matching_Engine!$S$95,999)</f>
        <v>68</v>
      </c>
      <c r="V95" s="71">
        <f>IF(ISNUMBER(Matching_Engine!$Y$95),Matching_Engine!$Y$95,999)</f>
        <v>45</v>
      </c>
      <c r="W95" s="71">
        <f>IF(ISNUMBER(Matching_Engine!$AE$95),Matching_Engine!$AE$95,999)</f>
        <v>66</v>
      </c>
      <c r="X95" s="71">
        <f>IF(ISNUMBER(Matching_Engine!$AM$95),Matching_Engine!$AM$95,999)</f>
        <v>999</v>
      </c>
      <c r="Y95" s="71">
        <f>IF(ISNUMBER(Matching_Engine!$AT$95),Matching_Engine!$AT$95,999)</f>
        <v>26</v>
      </c>
      <c r="Z95" s="71">
        <f ca="1">MIN($T$95:$Y$95)</f>
        <v>0</v>
      </c>
      <c r="AA95" s="57" t="str">
        <f ca="1">INDEX({"Brand &amp; Business Relevance","Target Audience Relevance","Content &amp; Category Relevance","Brand Personality Fit","Performance Quality","Brand Safety"},MATCH($Z$95,$T$95:$Y$95,0))</f>
        <v>Brand &amp; Business Relevance</v>
      </c>
    </row>
    <row r="96" spans="1:27">
      <c r="A96" s="57">
        <f>Matching_Engine!$B$96</f>
        <v>0</v>
      </c>
      <c r="B96" s="57">
        <f>Matching_Engine!$D$96</f>
        <v>0</v>
      </c>
      <c r="C96" s="57">
        <f>Matching_Engine!$E$96</f>
        <v>0</v>
      </c>
      <c r="D96" s="70">
        <f>Matching_Engine!$AY$96</f>
        <v>0</v>
      </c>
      <c r="E96" s="57">
        <f>Matching_Engine!$AZ$96</f>
        <v>0</v>
      </c>
      <c r="F96" s="57" t="str">
        <f>IF(NOT(ISNUMBER(Matching_Engine!$AY$96)),"Not scored: no component of the model had data for this account, so no match can be claimed either way.",Matching_Engine!$AZ$96&amp;" — "&amp;Matching_Engine!$AY$96&amp;"/100 against "&amp;Matching_Engine!$B$96&amp;". "&amp;"Strongest factor "&amp;$S$96&amp;" at "&amp;$R$96&amp;"; weakest "&amp;$AA$96&amp;" at "&amp;$Z$96&amp;". "&amp;IF(AND(ISTEXT(Matching_Engine!$G$96),Matching_Engine!$G$96&lt;&gt;"N/A"),"Tagged category "&amp;Matching_Engine!$G$96&amp;" scores "&amp;IF(ISNUMBER(Matching_Engine!$J$96),Matching_Engine!$J$96,0)&amp;" against the brand category "&amp;Matching_Engine!$B$96&amp;" targets. ","Creator carries no category on record, so the category-driven parts fall back to neutral rather than penalising the creator. ")&amp;IF(ISNUMBER(Matching_Engine!$R$96),"Audience-interest overlap "&amp;Matching_Engine!$R$96&amp;". ","Audience interests unmeasured. ")&amp;IF(Matching_Engine!$AX$96&lt;100,"Scored on "&amp;Matching_Engine!$AX$96&amp;" of the 100 nominal weight points; the rest had no data.",""))</f>
        <v>Not scored: no component of the model had data for this account, so no match can be claimed either way.</v>
      </c>
      <c r="G96" s="57" t="str">
        <f>IF(NOT(ISNUMBER(Matching_Engine!$AY$96)),"N/A",$S$96&amp;" ("&amp;$R$96&amp;"/100)")</f>
        <v>N/A</v>
      </c>
      <c r="H96" s="57" t="str">
        <f>IF(NOT(ISNUMBER(Matching_Engine!$AY$96)),"N/A",$AA$96&amp;" ("&amp;$Z$96&amp;"/100)")</f>
        <v>N/A</v>
      </c>
      <c r="I96" s="57" t="str">
        <f>IF(NOT(ISNUMBER(Matching_Engine!$AY$96)),"No data to consider: this account has no measured signal.",IF($Z$96&lt;Lookup_Lists!$D$161,$AA$96&amp;" sits at "&amp;$Z$96&amp;", below the "&amp;Lookup_Lists!$D$161&amp;"-point consideration threshold"&amp;IF(Matching_Engine!$AF$96=0," · Brand Personality Fit could not be scored at all: no creator personality, tone, values or content-style column exists","")&amp;IF(Matching_Engine!$AI$96="N/A"," · posting cadence unusable, so Consistency is excluded from Performance","")&amp;".","No component falls below the "&amp;Lookup_Lists!$D$161&amp;"-point consideration threshold."))</f>
        <v>No data to consider: this account has no measured signal.</v>
      </c>
      <c r="J96" s="57" t="str">
        <f>Matching_Engine!$AV$96&amp;" — "&amp;Matching_Engine!$AW$96&amp;IF(Matching_Engine!$BB$96="Limited Data"," Confidence is Limited Data: "&amp;Matching_Engine!$BA$96&amp;"% of tracked fields carry a value.","")</f>
        <v> — </v>
      </c>
      <c r="K96" s="57" t="str">
        <f>IF(NOT(ISNUMBER(Matching_Engine!$AY$96)),"Do not shortlist on this data — re-scrape the account first.",IF(Matching_Engine!$AY$96&gt;=Lookup_Lists!$D$156,"Highly Recommended",IF(Matching_Engine!$AY$96&gt;=Lookup_Lists!$D$157,"Recommended",IF(Matching_Engine!$AY$96&gt;=Lookup_Lists!$D$158,"Consider","Low Priority")))&amp;IF(Matching_Engine!$AX$96&lt;100," (on partial data)",""))</f>
        <v>Do not shortlist on this data — re-scrape the account first.</v>
      </c>
      <c r="L96" s="71">
        <f>IF(ISNUMBER(Matching_Engine!$M$96),Matching_Engine!$M$96,-1)</f>
        <v>-1</v>
      </c>
      <c r="M96" s="71">
        <f>IF(ISNUMBER(Matching_Engine!$S$96),Matching_Engine!$S$96,-1)</f>
        <v>-1</v>
      </c>
      <c r="N96" s="71">
        <f>IF(ISNUMBER(Matching_Engine!$Y$96),Matching_Engine!$Y$96,-1)</f>
        <v>-1</v>
      </c>
      <c r="O96" s="71">
        <f>IF(ISNUMBER(Matching_Engine!$AE$96),Matching_Engine!$AE$96,-1)</f>
        <v>-1</v>
      </c>
      <c r="P96" s="71">
        <f>IF(ISNUMBER(Matching_Engine!$AM$96),Matching_Engine!$AM$96,-1)</f>
        <v>-1</v>
      </c>
      <c r="Q96" s="71">
        <f>IF(ISNUMBER(Matching_Engine!$AT$96),Matching_Engine!$AT$96,-1)</f>
        <v>-1</v>
      </c>
      <c r="R96" s="71">
        <f>MAX($L$96:$Q$96)</f>
        <v>-1</v>
      </c>
      <c r="S96" s="57" t="str">
        <f>INDEX({"Brand &amp; Business Relevance","Target Audience Relevance","Content &amp; Category Relevance","Brand Personality Fit","Performance Quality","Brand Safety"},MATCH($R$96,$L$96:$Q$96,0))</f>
        <v>Brand &amp; Business Relevance</v>
      </c>
      <c r="T96" s="71">
        <f>IF(ISNUMBER(Matching_Engine!$M$96),Matching_Engine!$M$96,999)</f>
        <v>999</v>
      </c>
      <c r="U96" s="71">
        <f>IF(ISNUMBER(Matching_Engine!$S$96),Matching_Engine!$S$96,999)</f>
        <v>999</v>
      </c>
      <c r="V96" s="71">
        <f>IF(ISNUMBER(Matching_Engine!$Y$96),Matching_Engine!$Y$96,999)</f>
        <v>999</v>
      </c>
      <c r="W96" s="71">
        <f>IF(ISNUMBER(Matching_Engine!$AE$96),Matching_Engine!$AE$96,999)</f>
        <v>999</v>
      </c>
      <c r="X96" s="71">
        <f>IF(ISNUMBER(Matching_Engine!$AM$96),Matching_Engine!$AM$96,999)</f>
        <v>999</v>
      </c>
      <c r="Y96" s="71">
        <f>IF(ISNUMBER(Matching_Engine!$AT$96),Matching_Engine!$AT$96,999)</f>
        <v>999</v>
      </c>
      <c r="Z96" s="71">
        <f>MIN($T$96:$Y$96)</f>
        <v>999</v>
      </c>
      <c r="AA96" s="57" t="str">
        <f>INDEX({"Brand &amp; Business Relevance","Target Audience Relevance","Content &amp; Category Relevance","Brand Personality Fit","Performance Quality","Brand Safety"},MATCH($Z$96,$T$96:$Y$96,0))</f>
        <v>Brand &amp; Business Relevance</v>
      </c>
    </row>
    <row r="97" spans="1:27">
      <c r="A97" s="57">
        <f>Matching_Engine!$B$97</f>
        <v>0</v>
      </c>
      <c r="B97" s="57">
        <f>Matching_Engine!$D$97</f>
        <v>0</v>
      </c>
      <c r="C97" s="57">
        <f>Matching_Engine!$E$97</f>
        <v>0</v>
      </c>
      <c r="D97" s="70">
        <f>Matching_Engine!$AY$97</f>
        <v>0</v>
      </c>
      <c r="E97" s="57">
        <f>Matching_Engine!$AZ$97</f>
        <v>0</v>
      </c>
      <c r="F97" s="57" t="str">
        <f>IF(NOT(ISNUMBER(Matching_Engine!$AY$97)),"Not scored: no component of the model had data for this account, so no match can be claimed either way.",Matching_Engine!$AZ$97&amp;" — "&amp;Matching_Engine!$AY$97&amp;"/100 against "&amp;Matching_Engine!$B$97&amp;". "&amp;"Strongest factor "&amp;$S$97&amp;" at "&amp;$R$97&amp;"; weakest "&amp;$AA$97&amp;" at "&amp;$Z$97&amp;". "&amp;IF(AND(ISTEXT(Matching_Engine!$G$97),Matching_Engine!$G$97&lt;&gt;"N/A"),"Tagged category "&amp;Matching_Engine!$G$97&amp;" scores "&amp;IF(ISNUMBER(Matching_Engine!$J$97),Matching_Engine!$J$97,0)&amp;" against the brand category "&amp;Matching_Engine!$B$97&amp;" targets. ","Creator carries no category on record, so the category-driven parts fall back to neutral rather than penalising the creator. ")&amp;IF(ISNUMBER(Matching_Engine!$R$97),"Audience-interest overlap "&amp;Matching_Engine!$R$97&amp;". ","Audience interests unmeasured. ")&amp;IF(Matching_Engine!$AX$97&lt;100,"Scored on "&amp;Matching_Engine!$AX$97&amp;" of the 100 nominal weight points; the rest had no data.",""))</f>
        <v>Not scored: no component of the model had data for this account, so no match can be claimed either way.</v>
      </c>
      <c r="G97" s="57" t="str">
        <f>IF(NOT(ISNUMBER(Matching_Engine!$AY$97)),"N/A",$S$97&amp;" ("&amp;$R$97&amp;"/100)")</f>
        <v>N/A</v>
      </c>
      <c r="H97" s="57" t="str">
        <f>IF(NOT(ISNUMBER(Matching_Engine!$AY$97)),"N/A",$AA$97&amp;" ("&amp;$Z$97&amp;"/100)")</f>
        <v>N/A</v>
      </c>
      <c r="I97" s="57" t="str">
        <f>IF(NOT(ISNUMBER(Matching_Engine!$AY$97)),"No data to consider: this account has no measured signal.",IF($Z$97&lt;Lookup_Lists!$D$161,$AA$97&amp;" sits at "&amp;$Z$97&amp;", below the "&amp;Lookup_Lists!$D$161&amp;"-point consideration threshold"&amp;IF(Matching_Engine!$AF$97=0," · Brand Personality Fit could not be scored at all: no creator personality, tone, values or content-style column exists","")&amp;IF(Matching_Engine!$AI$97="N/A"," · posting cadence unusable, so Consistency is excluded from Performance","")&amp;".","No component falls below the "&amp;Lookup_Lists!$D$161&amp;"-point consideration threshold."))</f>
        <v>No data to consider: this account has no measured signal.</v>
      </c>
      <c r="J97" s="57" t="str">
        <f>Matching_Engine!$AV$97&amp;" — "&amp;Matching_Engine!$AW$97&amp;IF(Matching_Engine!$BB$97="Limited Data"," Confidence is Limited Data: "&amp;Matching_Engine!$BA$97&amp;"% of tracked fields carry a value.","")</f>
        <v> — </v>
      </c>
      <c r="K97" s="57" t="str">
        <f>IF(NOT(ISNUMBER(Matching_Engine!$AY$97)),"Do not shortlist on this data — re-scrape the account first.",IF(Matching_Engine!$AY$97&gt;=Lookup_Lists!$D$156,"Highly Recommended",IF(Matching_Engine!$AY$97&gt;=Lookup_Lists!$D$157,"Recommended",IF(Matching_Engine!$AY$97&gt;=Lookup_Lists!$D$158,"Consider","Low Priority")))&amp;IF(Matching_Engine!$AX$97&lt;100," (on partial data)",""))</f>
        <v>Do not shortlist on this data — re-scrape the account first.</v>
      </c>
      <c r="L97" s="71">
        <f>IF(ISNUMBER(Matching_Engine!$M$97),Matching_Engine!$M$97,-1)</f>
        <v>-1</v>
      </c>
      <c r="M97" s="71">
        <f>IF(ISNUMBER(Matching_Engine!$S$97),Matching_Engine!$S$97,-1)</f>
        <v>-1</v>
      </c>
      <c r="N97" s="71">
        <f>IF(ISNUMBER(Matching_Engine!$Y$97),Matching_Engine!$Y$97,-1)</f>
        <v>-1</v>
      </c>
      <c r="O97" s="71">
        <f>IF(ISNUMBER(Matching_Engine!$AE$97),Matching_Engine!$AE$97,-1)</f>
        <v>-1</v>
      </c>
      <c r="P97" s="71">
        <f>IF(ISNUMBER(Matching_Engine!$AM$97),Matching_Engine!$AM$97,-1)</f>
        <v>-1</v>
      </c>
      <c r="Q97" s="71">
        <f>IF(ISNUMBER(Matching_Engine!$AT$97),Matching_Engine!$AT$97,-1)</f>
        <v>-1</v>
      </c>
      <c r="R97" s="71">
        <f>MAX($L$97:$Q$97)</f>
        <v>-1</v>
      </c>
      <c r="S97" s="57" t="str">
        <f>INDEX({"Brand &amp; Business Relevance","Target Audience Relevance","Content &amp; Category Relevance","Brand Personality Fit","Performance Quality","Brand Safety"},MATCH($R$97,$L$97:$Q$97,0))</f>
        <v>Brand &amp; Business Relevance</v>
      </c>
      <c r="T97" s="71">
        <f>IF(ISNUMBER(Matching_Engine!$M$97),Matching_Engine!$M$97,999)</f>
        <v>999</v>
      </c>
      <c r="U97" s="71">
        <f>IF(ISNUMBER(Matching_Engine!$S$97),Matching_Engine!$S$97,999)</f>
        <v>999</v>
      </c>
      <c r="V97" s="71">
        <f>IF(ISNUMBER(Matching_Engine!$Y$97),Matching_Engine!$Y$97,999)</f>
        <v>999</v>
      </c>
      <c r="W97" s="71">
        <f>IF(ISNUMBER(Matching_Engine!$AE$97),Matching_Engine!$AE$97,999)</f>
        <v>999</v>
      </c>
      <c r="X97" s="71">
        <f>IF(ISNUMBER(Matching_Engine!$AM$97),Matching_Engine!$AM$97,999)</f>
        <v>999</v>
      </c>
      <c r="Y97" s="71">
        <f>IF(ISNUMBER(Matching_Engine!$AT$97),Matching_Engine!$AT$97,999)</f>
        <v>999</v>
      </c>
      <c r="Z97" s="71">
        <f>MIN($T$97:$Y$97)</f>
        <v>999</v>
      </c>
      <c r="AA97" s="57" t="str">
        <f>INDEX({"Brand &amp; Business Relevance","Target Audience Relevance","Content &amp; Category Relevance","Brand Personality Fit","Performance Quality","Brand Safety"},MATCH($Z$97,$T$97:$Y$97,0))</f>
        <v>Brand &amp; Business Relevance</v>
      </c>
    </row>
    <row r="98" spans="1:27">
      <c r="A98" s="57">
        <f>Matching_Engine!$B$98</f>
        <v>0</v>
      </c>
      <c r="B98" s="57">
        <f>Matching_Engine!$D$98</f>
        <v>0</v>
      </c>
      <c r="C98" s="57">
        <f>Matching_Engine!$E$98</f>
        <v>0</v>
      </c>
      <c r="D98" s="70">
        <f>Matching_Engine!$AY$98</f>
        <v>0</v>
      </c>
      <c r="E98" s="57">
        <f>Matching_Engine!$AZ$98</f>
        <v>0</v>
      </c>
      <c r="F98" s="57" t="str">
        <f>IF(NOT(ISNUMBER(Matching_Engine!$AY$98)),"Not scored: no component of the model had data for this account, so no match can be claimed either way.",Matching_Engine!$AZ$98&amp;" — "&amp;Matching_Engine!$AY$98&amp;"/100 against "&amp;Matching_Engine!$B$98&amp;". "&amp;"Strongest factor "&amp;$S$98&amp;" at "&amp;$R$98&amp;"; weakest "&amp;$AA$98&amp;" at "&amp;$Z$98&amp;". "&amp;IF(AND(ISTEXT(Matching_Engine!$G$98),Matching_Engine!$G$98&lt;&gt;"N/A"),"Tagged category "&amp;Matching_Engine!$G$98&amp;" scores "&amp;IF(ISNUMBER(Matching_Engine!$J$98),Matching_Engine!$J$98,0)&amp;" against the brand category "&amp;Matching_Engine!$B$98&amp;" targets. ","Creator carries no category on record, so the category-driven parts fall back to neutral rather than penalising the creator. ")&amp;IF(ISNUMBER(Matching_Engine!$R$98),"Audience-interest overlap "&amp;Matching_Engine!$R$98&amp;". ","Audience interests unmeasured. ")&amp;IF(Matching_Engine!$AX$98&lt;100,"Scored on "&amp;Matching_Engine!$AX$98&amp;" of the 100 nominal weight points; the rest had no data.",""))</f>
        <v>Not scored: no component of the model had data for this account, so no match can be claimed either way.</v>
      </c>
      <c r="G98" s="57" t="str">
        <f>IF(NOT(ISNUMBER(Matching_Engine!$AY$98)),"N/A",$S$98&amp;" ("&amp;$R$98&amp;"/100)")</f>
        <v>N/A</v>
      </c>
      <c r="H98" s="57" t="str">
        <f>IF(NOT(ISNUMBER(Matching_Engine!$AY$98)),"N/A",$AA$98&amp;" ("&amp;$Z$98&amp;"/100)")</f>
        <v>N/A</v>
      </c>
      <c r="I98" s="57" t="str">
        <f>IF(NOT(ISNUMBER(Matching_Engine!$AY$98)),"No data to consider: this account has no measured signal.",IF($Z$98&lt;Lookup_Lists!$D$161,$AA$98&amp;" sits at "&amp;$Z$98&amp;", below the "&amp;Lookup_Lists!$D$161&amp;"-point consideration threshold"&amp;IF(Matching_Engine!$AF$98=0," · Brand Personality Fit could not be scored at all: no creator personality, tone, values or content-style column exists","")&amp;IF(Matching_Engine!$AI$98="N/A"," · posting cadence unusable, so Consistency is excluded from Performance","")&amp;".","No component falls below the "&amp;Lookup_Lists!$D$161&amp;"-point consideration threshold."))</f>
        <v>No data to consider: this account has no measured signal.</v>
      </c>
      <c r="J98" s="57" t="str">
        <f>Matching_Engine!$AV$98&amp;" — "&amp;Matching_Engine!$AW$98&amp;IF(Matching_Engine!$BB$98="Limited Data"," Confidence is Limited Data: "&amp;Matching_Engine!$BA$98&amp;"% of tracked fields carry a value.","")</f>
        <v> — </v>
      </c>
      <c r="K98" s="57" t="str">
        <f>IF(NOT(ISNUMBER(Matching_Engine!$AY$98)),"Do not shortlist on this data — re-scrape the account first.",IF(Matching_Engine!$AY$98&gt;=Lookup_Lists!$D$156,"Highly Recommended",IF(Matching_Engine!$AY$98&gt;=Lookup_Lists!$D$157,"Recommended",IF(Matching_Engine!$AY$98&gt;=Lookup_Lists!$D$158,"Consider","Low Priority")))&amp;IF(Matching_Engine!$AX$98&lt;100," (on partial data)",""))</f>
        <v>Do not shortlist on this data — re-scrape the account first.</v>
      </c>
      <c r="L98" s="71">
        <f>IF(ISNUMBER(Matching_Engine!$M$98),Matching_Engine!$M$98,-1)</f>
        <v>-1</v>
      </c>
      <c r="M98" s="71">
        <f>IF(ISNUMBER(Matching_Engine!$S$98),Matching_Engine!$S$98,-1)</f>
        <v>-1</v>
      </c>
      <c r="N98" s="71">
        <f>IF(ISNUMBER(Matching_Engine!$Y$98),Matching_Engine!$Y$98,-1)</f>
        <v>-1</v>
      </c>
      <c r="O98" s="71">
        <f>IF(ISNUMBER(Matching_Engine!$AE$98),Matching_Engine!$AE$98,-1)</f>
        <v>-1</v>
      </c>
      <c r="P98" s="71">
        <f>IF(ISNUMBER(Matching_Engine!$AM$98),Matching_Engine!$AM$98,-1)</f>
        <v>-1</v>
      </c>
      <c r="Q98" s="71">
        <f>IF(ISNUMBER(Matching_Engine!$AT$98),Matching_Engine!$AT$98,-1)</f>
        <v>-1</v>
      </c>
      <c r="R98" s="71">
        <f>MAX($L$98:$Q$98)</f>
        <v>-1</v>
      </c>
      <c r="S98" s="57" t="str">
        <f>INDEX({"Brand &amp; Business Relevance","Target Audience Relevance","Content &amp; Category Relevance","Brand Personality Fit","Performance Quality","Brand Safety"},MATCH($R$98,$L$98:$Q$98,0))</f>
        <v>Brand &amp; Business Relevance</v>
      </c>
      <c r="T98" s="71">
        <f>IF(ISNUMBER(Matching_Engine!$M$98),Matching_Engine!$M$98,999)</f>
        <v>999</v>
      </c>
      <c r="U98" s="71">
        <f>IF(ISNUMBER(Matching_Engine!$S$98),Matching_Engine!$S$98,999)</f>
        <v>999</v>
      </c>
      <c r="V98" s="71">
        <f>IF(ISNUMBER(Matching_Engine!$Y$98),Matching_Engine!$Y$98,999)</f>
        <v>999</v>
      </c>
      <c r="W98" s="71">
        <f>IF(ISNUMBER(Matching_Engine!$AE$98),Matching_Engine!$AE$98,999)</f>
        <v>999</v>
      </c>
      <c r="X98" s="71">
        <f>IF(ISNUMBER(Matching_Engine!$AM$98),Matching_Engine!$AM$98,999)</f>
        <v>999</v>
      </c>
      <c r="Y98" s="71">
        <f>IF(ISNUMBER(Matching_Engine!$AT$98),Matching_Engine!$AT$98,999)</f>
        <v>999</v>
      </c>
      <c r="Z98" s="71">
        <f>MIN($T$98:$Y$98)</f>
        <v>999</v>
      </c>
      <c r="AA98" s="57" t="str">
        <f>INDEX({"Brand &amp; Business Relevance","Target Audience Relevance","Content &amp; Category Relevance","Brand Personality Fit","Performance Quality","Brand Safety"},MATCH($Z$98,$T$98:$Y$98,0))</f>
        <v>Brand &amp; Business Relevance</v>
      </c>
    </row>
    <row r="99" spans="1:27">
      <c r="A99" s="57">
        <f>Matching_Engine!$B$99</f>
        <v>0</v>
      </c>
      <c r="B99" s="57">
        <f>Matching_Engine!$D$99</f>
        <v>0</v>
      </c>
      <c r="C99" s="57">
        <f>Matching_Engine!$E$99</f>
        <v>0</v>
      </c>
      <c r="D99" s="70">
        <f>Matching_Engine!$AY$99</f>
        <v>0</v>
      </c>
      <c r="E99" s="57">
        <f>Matching_Engine!$AZ$99</f>
        <v>0</v>
      </c>
      <c r="F99" s="57" t="str">
        <f>IF(NOT(ISNUMBER(Matching_Engine!$AY$99)),"Not scored: no component of the model had data for this account, so no match can be claimed either way.",Matching_Engine!$AZ$99&amp;" — "&amp;Matching_Engine!$AY$99&amp;"/100 against "&amp;Matching_Engine!$B$99&amp;". "&amp;"Strongest factor "&amp;$S$99&amp;" at "&amp;$R$99&amp;"; weakest "&amp;$AA$99&amp;" at "&amp;$Z$99&amp;". "&amp;IF(AND(ISTEXT(Matching_Engine!$G$99),Matching_Engine!$G$99&lt;&gt;"N/A"),"Tagged category "&amp;Matching_Engine!$G$99&amp;" scores "&amp;IF(ISNUMBER(Matching_Engine!$J$99),Matching_Engine!$J$99,0)&amp;" against the brand category "&amp;Matching_Engine!$B$99&amp;" targets. ","Creator carries no category on record, so the category-driven parts fall back to neutral rather than penalising the creator. ")&amp;IF(ISNUMBER(Matching_Engine!$R$99),"Audience-interest overlap "&amp;Matching_Engine!$R$99&amp;". ","Audience interests unmeasured. ")&amp;IF(Matching_Engine!$AX$99&lt;100,"Scored on "&amp;Matching_Engine!$AX$99&amp;" of the 100 nominal weight points; the rest had no data.",""))</f>
        <v>Not scored: no component of the model had data for this account, so no match can be claimed either way.</v>
      </c>
      <c r="G99" s="57" t="str">
        <f>IF(NOT(ISNUMBER(Matching_Engine!$AY$99)),"N/A",$S$99&amp;" ("&amp;$R$99&amp;"/100)")</f>
        <v>N/A</v>
      </c>
      <c r="H99" s="57" t="str">
        <f>IF(NOT(ISNUMBER(Matching_Engine!$AY$99)),"N/A",$AA$99&amp;" ("&amp;$Z$99&amp;"/100)")</f>
        <v>N/A</v>
      </c>
      <c r="I99" s="57" t="str">
        <f>IF(NOT(ISNUMBER(Matching_Engine!$AY$99)),"No data to consider: this account has no measured signal.",IF($Z$99&lt;Lookup_Lists!$D$161,$AA$99&amp;" sits at "&amp;$Z$99&amp;", below the "&amp;Lookup_Lists!$D$161&amp;"-point consideration threshold"&amp;IF(Matching_Engine!$AF$99=0," · Brand Personality Fit could not be scored at all: no creator personality, tone, values or content-style column exists","")&amp;IF(Matching_Engine!$AI$99="N/A"," · posting cadence unusable, so Consistency is excluded from Performance","")&amp;".","No component falls below the "&amp;Lookup_Lists!$D$161&amp;"-point consideration threshold."))</f>
        <v>No data to consider: this account has no measured signal.</v>
      </c>
      <c r="J99" s="57" t="str">
        <f>Matching_Engine!$AV$99&amp;" — "&amp;Matching_Engine!$AW$99&amp;IF(Matching_Engine!$BB$99="Limited Data"," Confidence is Limited Data: "&amp;Matching_Engine!$BA$99&amp;"% of tracked fields carry a value.","")</f>
        <v> — </v>
      </c>
      <c r="K99" s="57" t="str">
        <f>IF(NOT(ISNUMBER(Matching_Engine!$AY$99)),"Do not shortlist on this data — re-scrape the account first.",IF(Matching_Engine!$AY$99&gt;=Lookup_Lists!$D$156,"Highly Recommended",IF(Matching_Engine!$AY$99&gt;=Lookup_Lists!$D$157,"Recommended",IF(Matching_Engine!$AY$99&gt;=Lookup_Lists!$D$158,"Consider","Low Priority")))&amp;IF(Matching_Engine!$AX$99&lt;100," (on partial data)",""))</f>
        <v>Do not shortlist on this data — re-scrape the account first.</v>
      </c>
      <c r="L99" s="71">
        <f>IF(ISNUMBER(Matching_Engine!$M$99),Matching_Engine!$M$99,-1)</f>
        <v>-1</v>
      </c>
      <c r="M99" s="71">
        <f>IF(ISNUMBER(Matching_Engine!$S$99),Matching_Engine!$S$99,-1)</f>
        <v>-1</v>
      </c>
      <c r="N99" s="71">
        <f>IF(ISNUMBER(Matching_Engine!$Y$99),Matching_Engine!$Y$99,-1)</f>
        <v>-1</v>
      </c>
      <c r="O99" s="71">
        <f>IF(ISNUMBER(Matching_Engine!$AE$99),Matching_Engine!$AE$99,-1)</f>
        <v>-1</v>
      </c>
      <c r="P99" s="71">
        <f>IF(ISNUMBER(Matching_Engine!$AM$99),Matching_Engine!$AM$99,-1)</f>
        <v>-1</v>
      </c>
      <c r="Q99" s="71">
        <f>IF(ISNUMBER(Matching_Engine!$AT$99),Matching_Engine!$AT$99,-1)</f>
        <v>-1</v>
      </c>
      <c r="R99" s="71">
        <f>MAX($L$99:$Q$99)</f>
        <v>-1</v>
      </c>
      <c r="S99" s="57" t="str">
        <f>INDEX({"Brand &amp; Business Relevance","Target Audience Relevance","Content &amp; Category Relevance","Brand Personality Fit","Performance Quality","Brand Safety"},MATCH($R$99,$L$99:$Q$99,0))</f>
        <v>Brand &amp; Business Relevance</v>
      </c>
      <c r="T99" s="71">
        <f>IF(ISNUMBER(Matching_Engine!$M$99),Matching_Engine!$M$99,999)</f>
        <v>999</v>
      </c>
      <c r="U99" s="71">
        <f>IF(ISNUMBER(Matching_Engine!$S$99),Matching_Engine!$S$99,999)</f>
        <v>999</v>
      </c>
      <c r="V99" s="71">
        <f>IF(ISNUMBER(Matching_Engine!$Y$99),Matching_Engine!$Y$99,999)</f>
        <v>999</v>
      </c>
      <c r="W99" s="71">
        <f>IF(ISNUMBER(Matching_Engine!$AE$99),Matching_Engine!$AE$99,999)</f>
        <v>999</v>
      </c>
      <c r="X99" s="71">
        <f>IF(ISNUMBER(Matching_Engine!$AM$99),Matching_Engine!$AM$99,999)</f>
        <v>999</v>
      </c>
      <c r="Y99" s="71">
        <f>IF(ISNUMBER(Matching_Engine!$AT$99),Matching_Engine!$AT$99,999)</f>
        <v>999</v>
      </c>
      <c r="Z99" s="71">
        <f>MIN($T$99:$Y$99)</f>
        <v>999</v>
      </c>
      <c r="AA99" s="57" t="str">
        <f>INDEX({"Brand &amp; Business Relevance","Target Audience Relevance","Content &amp; Category Relevance","Brand Personality Fit","Performance Quality","Brand Safety"},MATCH($Z$99,$T$99:$Y$99,0))</f>
        <v>Brand &amp; Business Relevance</v>
      </c>
    </row>
    <row r="100" spans="1:27">
      <c r="A100" s="57">
        <f>Matching_Engine!$B$100</f>
        <v>0</v>
      </c>
      <c r="B100" s="57">
        <f>Matching_Engine!$D$100</f>
        <v>0</v>
      </c>
      <c r="C100" s="57">
        <f>Matching_Engine!$E$100</f>
        <v>0</v>
      </c>
      <c r="D100" s="70">
        <f>Matching_Engine!$AY$100</f>
        <v>0</v>
      </c>
      <c r="E100" s="57">
        <f>Matching_Engine!$AZ$100</f>
        <v>0</v>
      </c>
      <c r="F100" s="57" t="str">
        <f>IF(NOT(ISNUMBER(Matching_Engine!$AY$100)),"Not scored: no component of the model had data for this account, so no match can be claimed either way.",Matching_Engine!$AZ$100&amp;" — "&amp;Matching_Engine!$AY$100&amp;"/100 against "&amp;Matching_Engine!$B$100&amp;". "&amp;"Strongest factor "&amp;$S$100&amp;" at "&amp;$R$100&amp;"; weakest "&amp;$AA$100&amp;" at "&amp;$Z$100&amp;". "&amp;IF(AND(ISTEXT(Matching_Engine!$G$100),Matching_Engine!$G$100&lt;&gt;"N/A"),"Tagged category "&amp;Matching_Engine!$G$100&amp;" scores "&amp;IF(ISNUMBER(Matching_Engine!$J$100),Matching_Engine!$J$100,0)&amp;" against the brand category "&amp;Matching_Engine!$B$100&amp;" targets. ","Creator carries no category on record, so the category-driven parts fall back to neutral rather than penalising the creator. ")&amp;IF(ISNUMBER(Matching_Engine!$R$100),"Audience-interest overlap "&amp;Matching_Engine!$R$100&amp;". ","Audience interests unmeasured. ")&amp;IF(Matching_Engine!$AX$100&lt;100,"Scored on "&amp;Matching_Engine!$AX$100&amp;" of the 100 nominal weight points; the rest had no data.",""))</f>
        <v>Not scored: no component of the model had data for this account, so no match can be claimed either way.</v>
      </c>
      <c r="G100" s="57" t="str">
        <f>IF(NOT(ISNUMBER(Matching_Engine!$AY$100)),"N/A",$S$100&amp;" ("&amp;$R$100&amp;"/100)")</f>
        <v>N/A</v>
      </c>
      <c r="H100" s="57" t="str">
        <f>IF(NOT(ISNUMBER(Matching_Engine!$AY$100)),"N/A",$AA$100&amp;" ("&amp;$Z$100&amp;"/100)")</f>
        <v>N/A</v>
      </c>
      <c r="I100" s="57" t="str">
        <f>IF(NOT(ISNUMBER(Matching_Engine!$AY$100)),"No data to consider: this account has no measured signal.",IF($Z$100&lt;Lookup_Lists!$D$161,$AA$100&amp;" sits at "&amp;$Z$100&amp;", below the "&amp;Lookup_Lists!$D$161&amp;"-point consideration threshold"&amp;IF(Matching_Engine!$AF$100=0," · Brand Personality Fit could not be scored at all: no creator personality, tone, values or content-style column exists","")&amp;IF(Matching_Engine!$AI$100="N/A"," · posting cadence unusable, so Consistency is excluded from Performance","")&amp;".","No component falls below the "&amp;Lookup_Lists!$D$161&amp;"-point consideration threshold."))</f>
        <v>No data to consider: this account has no measured signal.</v>
      </c>
      <c r="J100" s="57" t="str">
        <f>Matching_Engine!$AV$100&amp;" — "&amp;Matching_Engine!$AW$100&amp;IF(Matching_Engine!$BB$100="Limited Data"," Confidence is Limited Data: "&amp;Matching_Engine!$BA$100&amp;"% of tracked fields carry a value.","")</f>
        <v> — </v>
      </c>
      <c r="K100" s="57" t="str">
        <f>IF(NOT(ISNUMBER(Matching_Engine!$AY$100)),"Do not shortlist on this data — re-scrape the account first.",IF(Matching_Engine!$AY$100&gt;=Lookup_Lists!$D$156,"Highly Recommended",IF(Matching_Engine!$AY$100&gt;=Lookup_Lists!$D$157,"Recommended",IF(Matching_Engine!$AY$100&gt;=Lookup_Lists!$D$158,"Consider","Low Priority")))&amp;IF(Matching_Engine!$AX$100&lt;100," (on partial data)",""))</f>
        <v>Do not shortlist on this data — re-scrape the account first.</v>
      </c>
      <c r="L100" s="71">
        <f>IF(ISNUMBER(Matching_Engine!$M$100),Matching_Engine!$M$100,-1)</f>
        <v>-1</v>
      </c>
      <c r="M100" s="71">
        <f>IF(ISNUMBER(Matching_Engine!$S$100),Matching_Engine!$S$100,-1)</f>
        <v>-1</v>
      </c>
      <c r="N100" s="71">
        <f>IF(ISNUMBER(Matching_Engine!$Y$100),Matching_Engine!$Y$100,-1)</f>
        <v>-1</v>
      </c>
      <c r="O100" s="71">
        <f>IF(ISNUMBER(Matching_Engine!$AE$100),Matching_Engine!$AE$100,-1)</f>
        <v>-1</v>
      </c>
      <c r="P100" s="71">
        <f>IF(ISNUMBER(Matching_Engine!$AM$100),Matching_Engine!$AM$100,-1)</f>
        <v>-1</v>
      </c>
      <c r="Q100" s="71">
        <f>IF(ISNUMBER(Matching_Engine!$AT$100),Matching_Engine!$AT$100,-1)</f>
        <v>-1</v>
      </c>
      <c r="R100" s="71">
        <f>MAX($L$100:$Q$100)</f>
        <v>-1</v>
      </c>
      <c r="S100" s="57" t="str">
        <f>INDEX({"Brand &amp; Business Relevance","Target Audience Relevance","Content &amp; Category Relevance","Brand Personality Fit","Performance Quality","Brand Safety"},MATCH($R$100,$L$100:$Q$100,0))</f>
        <v>Brand &amp; Business Relevance</v>
      </c>
      <c r="T100" s="71">
        <f>IF(ISNUMBER(Matching_Engine!$M$100),Matching_Engine!$M$100,999)</f>
        <v>999</v>
      </c>
      <c r="U100" s="71">
        <f>IF(ISNUMBER(Matching_Engine!$S$100),Matching_Engine!$S$100,999)</f>
        <v>999</v>
      </c>
      <c r="V100" s="71">
        <f>IF(ISNUMBER(Matching_Engine!$Y$100),Matching_Engine!$Y$100,999)</f>
        <v>999</v>
      </c>
      <c r="W100" s="71">
        <f>IF(ISNUMBER(Matching_Engine!$AE$100),Matching_Engine!$AE$100,999)</f>
        <v>999</v>
      </c>
      <c r="X100" s="71">
        <f>IF(ISNUMBER(Matching_Engine!$AM$100),Matching_Engine!$AM$100,999)</f>
        <v>999</v>
      </c>
      <c r="Y100" s="71">
        <f>IF(ISNUMBER(Matching_Engine!$AT$100),Matching_Engine!$AT$100,999)</f>
        <v>999</v>
      </c>
      <c r="Z100" s="71">
        <f>MIN($T$100:$Y$100)</f>
        <v>999</v>
      </c>
      <c r="AA100" s="57" t="str">
        <f>INDEX({"Brand &amp; Business Relevance","Target Audience Relevance","Content &amp; Category Relevance","Brand Personality Fit","Performance Quality","Brand Safety"},MATCH($Z$100,$T$100:$Y$100,0))</f>
        <v>Brand &amp; Business Relevance</v>
      </c>
    </row>
    <row r="101" spans="1:27">
      <c r="A101" s="57">
        <f>Matching_Engine!$B$101</f>
        <v>0</v>
      </c>
      <c r="B101" s="57">
        <f>Matching_Engine!$D$101</f>
        <v>0</v>
      </c>
      <c r="C101" s="57">
        <f>Matching_Engine!$E$101</f>
        <v>0</v>
      </c>
      <c r="D101" s="70">
        <f>Matching_Engine!$AY$101</f>
        <v>0</v>
      </c>
      <c r="E101" s="57">
        <f>Matching_Engine!$AZ$101</f>
        <v>0</v>
      </c>
      <c r="F101" s="57" t="str">
        <f>IF(NOT(ISNUMBER(Matching_Engine!$AY$101)),"Not scored: no component of the model had data for this account, so no match can be claimed either way.",Matching_Engine!$AZ$101&amp;" — "&amp;Matching_Engine!$AY$101&amp;"/100 against "&amp;Matching_Engine!$B$101&amp;". "&amp;"Strongest factor "&amp;$S$101&amp;" at "&amp;$R$101&amp;"; weakest "&amp;$AA$101&amp;" at "&amp;$Z$101&amp;". "&amp;IF(AND(ISTEXT(Matching_Engine!$G$101),Matching_Engine!$G$101&lt;&gt;"N/A"),"Tagged category "&amp;Matching_Engine!$G$101&amp;" scores "&amp;IF(ISNUMBER(Matching_Engine!$J$101),Matching_Engine!$J$101,0)&amp;" against the brand category "&amp;Matching_Engine!$B$101&amp;" targets. ","Creator carries no category on record, so the category-driven parts fall back to neutral rather than penalising the creator. ")&amp;IF(ISNUMBER(Matching_Engine!$R$101),"Audience-interest overlap "&amp;Matching_Engine!$R$101&amp;". ","Audience interests unmeasured. ")&amp;IF(Matching_Engine!$AX$101&lt;100,"Scored on "&amp;Matching_Engine!$AX$101&amp;" of the 100 nominal weight points; the rest had no data.",""))</f>
        <v>Not scored: no component of the model had data for this account, so no match can be claimed either way.</v>
      </c>
      <c r="G101" s="57" t="str">
        <f>IF(NOT(ISNUMBER(Matching_Engine!$AY$101)),"N/A",$S$101&amp;" ("&amp;$R$101&amp;"/100)")</f>
        <v>N/A</v>
      </c>
      <c r="H101" s="57" t="str">
        <f>IF(NOT(ISNUMBER(Matching_Engine!$AY$101)),"N/A",$AA$101&amp;" ("&amp;$Z$101&amp;"/100)")</f>
        <v>N/A</v>
      </c>
      <c r="I101" s="57" t="str">
        <f>IF(NOT(ISNUMBER(Matching_Engine!$AY$101)),"No data to consider: this account has no measured signal.",IF($Z$101&lt;Lookup_Lists!$D$161,$AA$101&amp;" sits at "&amp;$Z$101&amp;", below the "&amp;Lookup_Lists!$D$161&amp;"-point consideration threshold"&amp;IF(Matching_Engine!$AF$101=0," · Brand Personality Fit could not be scored at all: no creator personality, tone, values or content-style column exists","")&amp;IF(Matching_Engine!$AI$101="N/A"," · posting cadence unusable, so Consistency is excluded from Performance","")&amp;".","No component falls below the "&amp;Lookup_Lists!$D$161&amp;"-point consideration threshold."))</f>
        <v>No data to consider: this account has no measured signal.</v>
      </c>
      <c r="J101" s="57" t="str">
        <f>Matching_Engine!$AV$101&amp;" — "&amp;Matching_Engine!$AW$101&amp;IF(Matching_Engine!$BB$101="Limited Data"," Confidence is Limited Data: "&amp;Matching_Engine!$BA$101&amp;"% of tracked fields carry a value.","")</f>
        <v> — </v>
      </c>
      <c r="K101" s="57" t="str">
        <f>IF(NOT(ISNUMBER(Matching_Engine!$AY$101)),"Do not shortlist on this data — re-scrape the account first.",IF(Matching_Engine!$AY$101&gt;=Lookup_Lists!$D$156,"Highly Recommended",IF(Matching_Engine!$AY$101&gt;=Lookup_Lists!$D$157,"Recommended",IF(Matching_Engine!$AY$101&gt;=Lookup_Lists!$D$158,"Consider","Low Priority")))&amp;IF(Matching_Engine!$AX$101&lt;100," (on partial data)",""))</f>
        <v>Do not shortlist on this data — re-scrape the account first.</v>
      </c>
      <c r="L101" s="71">
        <f>IF(ISNUMBER(Matching_Engine!$M$101),Matching_Engine!$M$101,-1)</f>
        <v>-1</v>
      </c>
      <c r="M101" s="71">
        <f>IF(ISNUMBER(Matching_Engine!$S$101),Matching_Engine!$S$101,-1)</f>
        <v>-1</v>
      </c>
      <c r="N101" s="71">
        <f>IF(ISNUMBER(Matching_Engine!$Y$101),Matching_Engine!$Y$101,-1)</f>
        <v>-1</v>
      </c>
      <c r="O101" s="71">
        <f>IF(ISNUMBER(Matching_Engine!$AE$101),Matching_Engine!$AE$101,-1)</f>
        <v>-1</v>
      </c>
      <c r="P101" s="71">
        <f>IF(ISNUMBER(Matching_Engine!$AM$101),Matching_Engine!$AM$101,-1)</f>
        <v>-1</v>
      </c>
      <c r="Q101" s="71">
        <f>IF(ISNUMBER(Matching_Engine!$AT$101),Matching_Engine!$AT$101,-1)</f>
        <v>-1</v>
      </c>
      <c r="R101" s="71">
        <f>MAX($L$101:$Q$101)</f>
        <v>-1</v>
      </c>
      <c r="S101" s="57" t="str">
        <f>INDEX({"Brand &amp; Business Relevance","Target Audience Relevance","Content &amp; Category Relevance","Brand Personality Fit","Performance Quality","Brand Safety"},MATCH($R$101,$L$101:$Q$101,0))</f>
        <v>Brand &amp; Business Relevance</v>
      </c>
      <c r="T101" s="71">
        <f>IF(ISNUMBER(Matching_Engine!$M$101),Matching_Engine!$M$101,999)</f>
        <v>999</v>
      </c>
      <c r="U101" s="71">
        <f>IF(ISNUMBER(Matching_Engine!$S$101),Matching_Engine!$S$101,999)</f>
        <v>999</v>
      </c>
      <c r="V101" s="71">
        <f>IF(ISNUMBER(Matching_Engine!$Y$101),Matching_Engine!$Y$101,999)</f>
        <v>999</v>
      </c>
      <c r="W101" s="71">
        <f>IF(ISNUMBER(Matching_Engine!$AE$101),Matching_Engine!$AE$101,999)</f>
        <v>999</v>
      </c>
      <c r="X101" s="71">
        <f>IF(ISNUMBER(Matching_Engine!$AM$101),Matching_Engine!$AM$101,999)</f>
        <v>999</v>
      </c>
      <c r="Y101" s="71">
        <f>IF(ISNUMBER(Matching_Engine!$AT$101),Matching_Engine!$AT$101,999)</f>
        <v>999</v>
      </c>
      <c r="Z101" s="71">
        <f>MIN($T$101:$Y$101)</f>
        <v>999</v>
      </c>
      <c r="AA101" s="57" t="str">
        <f>INDEX({"Brand &amp; Business Relevance","Target Audience Relevance","Content &amp; Category Relevance","Brand Personality Fit","Performance Quality","Brand Safety"},MATCH($Z$101,$T$101:$Y$101,0))</f>
        <v>Brand &amp; Business Relevance</v>
      </c>
    </row>
    <row r="102" spans="1:27">
      <c r="A102" s="57">
        <f>Matching_Engine!$B$102</f>
        <v>0</v>
      </c>
      <c r="B102" s="57">
        <f>Matching_Engine!$D$102</f>
        <v>0</v>
      </c>
      <c r="C102" s="57">
        <f>Matching_Engine!$E$102</f>
        <v>0</v>
      </c>
      <c r="D102" s="70">
        <f>Matching_Engine!$AY$102</f>
        <v>0</v>
      </c>
      <c r="E102" s="57">
        <f>Matching_Engine!$AZ$102</f>
        <v>0</v>
      </c>
      <c r="F102" s="57" t="str">
        <f>IF(NOT(ISNUMBER(Matching_Engine!$AY$102)),"Not scored: no component of the model had data for this account, so no match can be claimed either way.",Matching_Engine!$AZ$102&amp;" — "&amp;Matching_Engine!$AY$102&amp;"/100 against "&amp;Matching_Engine!$B$102&amp;". "&amp;"Strongest factor "&amp;$S$102&amp;" at "&amp;$R$102&amp;"; weakest "&amp;$AA$102&amp;" at "&amp;$Z$102&amp;". "&amp;IF(AND(ISTEXT(Matching_Engine!$G$102),Matching_Engine!$G$102&lt;&gt;"N/A"),"Tagged category "&amp;Matching_Engine!$G$102&amp;" scores "&amp;IF(ISNUMBER(Matching_Engine!$J$102),Matching_Engine!$J$102,0)&amp;" against the brand category "&amp;Matching_Engine!$B$102&amp;" targets. ","Creator carries no category on record, so the category-driven parts fall back to neutral rather than penalising the creator. ")&amp;IF(ISNUMBER(Matching_Engine!$R$102),"Audience-interest overlap "&amp;Matching_Engine!$R$102&amp;". ","Audience interests unmeasured. ")&amp;IF(Matching_Engine!$AX$102&lt;100,"Scored on "&amp;Matching_Engine!$AX$102&amp;" of the 100 nominal weight points; the rest had no data.",""))</f>
        <v>Not scored: no component of the model had data for this account, so no match can be claimed either way.</v>
      </c>
      <c r="G102" s="57" t="str">
        <f>IF(NOT(ISNUMBER(Matching_Engine!$AY$102)),"N/A",$S$102&amp;" ("&amp;$R$102&amp;"/100)")</f>
        <v>N/A</v>
      </c>
      <c r="H102" s="57" t="str">
        <f>IF(NOT(ISNUMBER(Matching_Engine!$AY$102)),"N/A",$AA$102&amp;" ("&amp;$Z$102&amp;"/100)")</f>
        <v>N/A</v>
      </c>
      <c r="I102" s="57" t="str">
        <f>IF(NOT(ISNUMBER(Matching_Engine!$AY$102)),"No data to consider: this account has no measured signal.",IF($Z$102&lt;Lookup_Lists!$D$161,$AA$102&amp;" sits at "&amp;$Z$102&amp;", below the "&amp;Lookup_Lists!$D$161&amp;"-point consideration threshold"&amp;IF(Matching_Engine!$AF$102=0," · Brand Personality Fit could not be scored at all: no creator personality, tone, values or content-style column exists","")&amp;IF(Matching_Engine!$AI$102="N/A"," · posting cadence unusable, so Consistency is excluded from Performance","")&amp;".","No component falls below the "&amp;Lookup_Lists!$D$161&amp;"-point consideration threshold."))</f>
        <v>No data to consider: this account has no measured signal.</v>
      </c>
      <c r="J102" s="57" t="str">
        <f>Matching_Engine!$AV$102&amp;" — "&amp;Matching_Engine!$AW$102&amp;IF(Matching_Engine!$BB$102="Limited Data"," Confidence is Limited Data: "&amp;Matching_Engine!$BA$102&amp;"% of tracked fields carry a value.","")</f>
        <v> — </v>
      </c>
      <c r="K102" s="57" t="str">
        <f>IF(NOT(ISNUMBER(Matching_Engine!$AY$102)),"Do not shortlist on this data — re-scrape the account first.",IF(Matching_Engine!$AY$102&gt;=Lookup_Lists!$D$156,"Highly Recommended",IF(Matching_Engine!$AY$102&gt;=Lookup_Lists!$D$157,"Recommended",IF(Matching_Engine!$AY$102&gt;=Lookup_Lists!$D$158,"Consider","Low Priority")))&amp;IF(Matching_Engine!$AX$102&lt;100," (on partial data)",""))</f>
        <v>Do not shortlist on this data — re-scrape the account first.</v>
      </c>
      <c r="L102" s="71">
        <f>IF(ISNUMBER(Matching_Engine!$M$102),Matching_Engine!$M$102,-1)</f>
        <v>-1</v>
      </c>
      <c r="M102" s="71">
        <f>IF(ISNUMBER(Matching_Engine!$S$102),Matching_Engine!$S$102,-1)</f>
        <v>-1</v>
      </c>
      <c r="N102" s="71">
        <f>IF(ISNUMBER(Matching_Engine!$Y$102),Matching_Engine!$Y$102,-1)</f>
        <v>-1</v>
      </c>
      <c r="O102" s="71">
        <f>IF(ISNUMBER(Matching_Engine!$AE$102),Matching_Engine!$AE$102,-1)</f>
        <v>-1</v>
      </c>
      <c r="P102" s="71">
        <f>IF(ISNUMBER(Matching_Engine!$AM$102),Matching_Engine!$AM$102,-1)</f>
        <v>-1</v>
      </c>
      <c r="Q102" s="71">
        <f>IF(ISNUMBER(Matching_Engine!$AT$102),Matching_Engine!$AT$102,-1)</f>
        <v>-1</v>
      </c>
      <c r="R102" s="71">
        <f>MAX($L$102:$Q$102)</f>
        <v>-1</v>
      </c>
      <c r="S102" s="57" t="str">
        <f>INDEX({"Brand &amp; Business Relevance","Target Audience Relevance","Content &amp; Category Relevance","Brand Personality Fit","Performance Quality","Brand Safety"},MATCH($R$102,$L$102:$Q$102,0))</f>
        <v>Brand &amp; Business Relevance</v>
      </c>
      <c r="T102" s="71">
        <f>IF(ISNUMBER(Matching_Engine!$M$102),Matching_Engine!$M$102,999)</f>
        <v>999</v>
      </c>
      <c r="U102" s="71">
        <f>IF(ISNUMBER(Matching_Engine!$S$102),Matching_Engine!$S$102,999)</f>
        <v>999</v>
      </c>
      <c r="V102" s="71">
        <f>IF(ISNUMBER(Matching_Engine!$Y$102),Matching_Engine!$Y$102,999)</f>
        <v>999</v>
      </c>
      <c r="W102" s="71">
        <f>IF(ISNUMBER(Matching_Engine!$AE$102),Matching_Engine!$AE$102,999)</f>
        <v>999</v>
      </c>
      <c r="X102" s="71">
        <f>IF(ISNUMBER(Matching_Engine!$AM$102),Matching_Engine!$AM$102,999)</f>
        <v>999</v>
      </c>
      <c r="Y102" s="71">
        <f>IF(ISNUMBER(Matching_Engine!$AT$102),Matching_Engine!$AT$102,999)</f>
        <v>999</v>
      </c>
      <c r="Z102" s="71">
        <f>MIN($T$102:$Y$102)</f>
        <v>999</v>
      </c>
      <c r="AA102" s="57" t="str">
        <f>INDEX({"Brand &amp; Business Relevance","Target Audience Relevance","Content &amp; Category Relevance","Brand Personality Fit","Performance Quality","Brand Safety"},MATCH($Z$102,$T$102:$Y$102,0))</f>
        <v>Brand &amp; Business Relevance</v>
      </c>
    </row>
    <row r="103" spans="1:27">
      <c r="A103" s="57">
        <f>Matching_Engine!$B$103</f>
        <v>0</v>
      </c>
      <c r="B103" s="57">
        <f>Matching_Engine!$D$103</f>
        <v>0</v>
      </c>
      <c r="C103" s="57">
        <f>Matching_Engine!$E$103</f>
        <v>0</v>
      </c>
      <c r="D103" s="70">
        <f>Matching_Engine!$AY$103</f>
        <v>0</v>
      </c>
      <c r="E103" s="57">
        <f>Matching_Engine!$AZ$103</f>
        <v>0</v>
      </c>
      <c r="F103" s="57" t="str">
        <f>IF(NOT(ISNUMBER(Matching_Engine!$AY$103)),"Not scored: no component of the model had data for this account, so no match can be claimed either way.",Matching_Engine!$AZ$103&amp;" — "&amp;Matching_Engine!$AY$103&amp;"/100 against "&amp;Matching_Engine!$B$103&amp;". "&amp;"Strongest factor "&amp;$S$103&amp;" at "&amp;$R$103&amp;"; weakest "&amp;$AA$103&amp;" at "&amp;$Z$103&amp;". "&amp;IF(AND(ISTEXT(Matching_Engine!$G$103),Matching_Engine!$G$103&lt;&gt;"N/A"),"Tagged category "&amp;Matching_Engine!$G$103&amp;" scores "&amp;IF(ISNUMBER(Matching_Engine!$J$103),Matching_Engine!$J$103,0)&amp;" against the brand category "&amp;Matching_Engine!$B$103&amp;" targets. ","Creator carries no category on record, so the category-driven parts fall back to neutral rather than penalising the creator. ")&amp;IF(ISNUMBER(Matching_Engine!$R$103),"Audience-interest overlap "&amp;Matching_Engine!$R$103&amp;". ","Audience interests unmeasured. ")&amp;IF(Matching_Engine!$AX$103&lt;100,"Scored on "&amp;Matching_Engine!$AX$103&amp;" of the 100 nominal weight points; the rest had no data.",""))</f>
        <v>Not scored: no component of the model had data for this account, so no match can be claimed either way.</v>
      </c>
      <c r="G103" s="57" t="str">
        <f>IF(NOT(ISNUMBER(Matching_Engine!$AY$103)),"N/A",$S$103&amp;" ("&amp;$R$103&amp;"/100)")</f>
        <v>N/A</v>
      </c>
      <c r="H103" s="57" t="str">
        <f>IF(NOT(ISNUMBER(Matching_Engine!$AY$103)),"N/A",$AA$103&amp;" ("&amp;$Z$103&amp;"/100)")</f>
        <v>N/A</v>
      </c>
      <c r="I103" s="57" t="str">
        <f>IF(NOT(ISNUMBER(Matching_Engine!$AY$103)),"No data to consider: this account has no measured signal.",IF($Z$103&lt;Lookup_Lists!$D$161,$AA$103&amp;" sits at "&amp;$Z$103&amp;", below the "&amp;Lookup_Lists!$D$161&amp;"-point consideration threshold"&amp;IF(Matching_Engine!$AF$103=0," · Brand Personality Fit could not be scored at all: no creator personality, tone, values or content-style column exists","")&amp;IF(Matching_Engine!$AI$103="N/A"," · posting cadence unusable, so Consistency is excluded from Performance","")&amp;".","No component falls below the "&amp;Lookup_Lists!$D$161&amp;"-point consideration threshold."))</f>
        <v>No data to consider: this account has no measured signal.</v>
      </c>
      <c r="J103" s="57" t="str">
        <f>Matching_Engine!$AV$103&amp;" — "&amp;Matching_Engine!$AW$103&amp;IF(Matching_Engine!$BB$103="Limited Data"," Confidence is Limited Data: "&amp;Matching_Engine!$BA$103&amp;"% of tracked fields carry a value.","")</f>
        <v> — </v>
      </c>
      <c r="K103" s="57" t="str">
        <f>IF(NOT(ISNUMBER(Matching_Engine!$AY$103)),"Do not shortlist on this data — re-scrape the account first.",IF(Matching_Engine!$AY$103&gt;=Lookup_Lists!$D$156,"Highly Recommended",IF(Matching_Engine!$AY$103&gt;=Lookup_Lists!$D$157,"Recommended",IF(Matching_Engine!$AY$103&gt;=Lookup_Lists!$D$158,"Consider","Low Priority")))&amp;IF(Matching_Engine!$AX$103&lt;100," (on partial data)",""))</f>
        <v>Do not shortlist on this data — re-scrape the account first.</v>
      </c>
      <c r="L103" s="71">
        <f>IF(ISNUMBER(Matching_Engine!$M$103),Matching_Engine!$M$103,-1)</f>
        <v>-1</v>
      </c>
      <c r="M103" s="71">
        <f>IF(ISNUMBER(Matching_Engine!$S$103),Matching_Engine!$S$103,-1)</f>
        <v>-1</v>
      </c>
      <c r="N103" s="71">
        <f>IF(ISNUMBER(Matching_Engine!$Y$103),Matching_Engine!$Y$103,-1)</f>
        <v>-1</v>
      </c>
      <c r="O103" s="71">
        <f>IF(ISNUMBER(Matching_Engine!$AE$103),Matching_Engine!$AE$103,-1)</f>
        <v>-1</v>
      </c>
      <c r="P103" s="71">
        <f>IF(ISNUMBER(Matching_Engine!$AM$103),Matching_Engine!$AM$103,-1)</f>
        <v>-1</v>
      </c>
      <c r="Q103" s="71">
        <f>IF(ISNUMBER(Matching_Engine!$AT$103),Matching_Engine!$AT$103,-1)</f>
        <v>-1</v>
      </c>
      <c r="R103" s="71">
        <f>MAX($L$103:$Q$103)</f>
        <v>-1</v>
      </c>
      <c r="S103" s="57" t="str">
        <f>INDEX({"Brand &amp; Business Relevance","Target Audience Relevance","Content &amp; Category Relevance","Brand Personality Fit","Performance Quality","Brand Safety"},MATCH($R$103,$L$103:$Q$103,0))</f>
        <v>Brand &amp; Business Relevance</v>
      </c>
      <c r="T103" s="71">
        <f>IF(ISNUMBER(Matching_Engine!$M$103),Matching_Engine!$M$103,999)</f>
        <v>999</v>
      </c>
      <c r="U103" s="71">
        <f>IF(ISNUMBER(Matching_Engine!$S$103),Matching_Engine!$S$103,999)</f>
        <v>999</v>
      </c>
      <c r="V103" s="71">
        <f>IF(ISNUMBER(Matching_Engine!$Y$103),Matching_Engine!$Y$103,999)</f>
        <v>999</v>
      </c>
      <c r="W103" s="71">
        <f>IF(ISNUMBER(Matching_Engine!$AE$103),Matching_Engine!$AE$103,999)</f>
        <v>999</v>
      </c>
      <c r="X103" s="71">
        <f>IF(ISNUMBER(Matching_Engine!$AM$103),Matching_Engine!$AM$103,999)</f>
        <v>999</v>
      </c>
      <c r="Y103" s="71">
        <f>IF(ISNUMBER(Matching_Engine!$AT$103),Matching_Engine!$AT$103,999)</f>
        <v>999</v>
      </c>
      <c r="Z103" s="71">
        <f>MIN($T$103:$Y$103)</f>
        <v>999</v>
      </c>
      <c r="AA103" s="57" t="str">
        <f>INDEX({"Brand &amp; Business Relevance","Target Audience Relevance","Content &amp; Category Relevance","Brand Personality Fit","Performance Quality","Brand Safety"},MATCH($Z$103,$T$103:$Y$103,0))</f>
        <v>Brand &amp; Business Relevance</v>
      </c>
    </row>
    <row r="104" spans="1:27">
      <c r="A104" s="57">
        <f>Matching_Engine!$B$104</f>
        <v>0</v>
      </c>
      <c r="B104" s="57">
        <f>Matching_Engine!$D$104</f>
        <v>0</v>
      </c>
      <c r="C104" s="57">
        <f>Matching_Engine!$E$104</f>
        <v>0</v>
      </c>
      <c r="D104" s="70">
        <f>Matching_Engine!$AY$104</f>
        <v>0</v>
      </c>
      <c r="E104" s="57">
        <f>Matching_Engine!$AZ$104</f>
        <v>0</v>
      </c>
      <c r="F104" s="57" t="str">
        <f>IF(NOT(ISNUMBER(Matching_Engine!$AY$104)),"Not scored: no component of the model had data for this account, so no match can be claimed either way.",Matching_Engine!$AZ$104&amp;" — "&amp;Matching_Engine!$AY$104&amp;"/100 against "&amp;Matching_Engine!$B$104&amp;". "&amp;"Strongest factor "&amp;$S$104&amp;" at "&amp;$R$104&amp;"; weakest "&amp;$AA$104&amp;" at "&amp;$Z$104&amp;". "&amp;IF(AND(ISTEXT(Matching_Engine!$G$104),Matching_Engine!$G$104&lt;&gt;"N/A"),"Tagged category "&amp;Matching_Engine!$G$104&amp;" scores "&amp;IF(ISNUMBER(Matching_Engine!$J$104),Matching_Engine!$J$104,0)&amp;" against the brand category "&amp;Matching_Engine!$B$104&amp;" targets. ","Creator carries no category on record, so the category-driven parts fall back to neutral rather than penalising the creator. ")&amp;IF(ISNUMBER(Matching_Engine!$R$104),"Audience-interest overlap "&amp;Matching_Engine!$R$104&amp;". ","Audience interests unmeasured. ")&amp;IF(Matching_Engine!$AX$104&lt;100,"Scored on "&amp;Matching_Engine!$AX$104&amp;" of the 100 nominal weight points; the rest had no data.",""))</f>
        <v>Not scored: no component of the model had data for this account, so no match can be claimed either way.</v>
      </c>
      <c r="G104" s="57" t="str">
        <f>IF(NOT(ISNUMBER(Matching_Engine!$AY$104)),"N/A",$S$104&amp;" ("&amp;$R$104&amp;"/100)")</f>
        <v>N/A</v>
      </c>
      <c r="H104" s="57" t="str">
        <f>IF(NOT(ISNUMBER(Matching_Engine!$AY$104)),"N/A",$AA$104&amp;" ("&amp;$Z$104&amp;"/100)")</f>
        <v>N/A</v>
      </c>
      <c r="I104" s="57" t="str">
        <f>IF(NOT(ISNUMBER(Matching_Engine!$AY$104)),"No data to consider: this account has no measured signal.",IF($Z$104&lt;Lookup_Lists!$D$161,$AA$104&amp;" sits at "&amp;$Z$104&amp;", below the "&amp;Lookup_Lists!$D$161&amp;"-point consideration threshold"&amp;IF(Matching_Engine!$AF$104=0," · Brand Personality Fit could not be scored at all: no creator personality, tone, values or content-style column exists","")&amp;IF(Matching_Engine!$AI$104="N/A"," · posting cadence unusable, so Consistency is excluded from Performance","")&amp;".","No component falls below the "&amp;Lookup_Lists!$D$161&amp;"-point consideration threshold."))</f>
        <v>No data to consider: this account has no measured signal.</v>
      </c>
      <c r="J104" s="57" t="str">
        <f>Matching_Engine!$AV$104&amp;" — "&amp;Matching_Engine!$AW$104&amp;IF(Matching_Engine!$BB$104="Limited Data"," Confidence is Limited Data: "&amp;Matching_Engine!$BA$104&amp;"% of tracked fields carry a value.","")</f>
        <v> — </v>
      </c>
      <c r="K104" s="57" t="str">
        <f>IF(NOT(ISNUMBER(Matching_Engine!$AY$104)),"Do not shortlist on this data — re-scrape the account first.",IF(Matching_Engine!$AY$104&gt;=Lookup_Lists!$D$156,"Highly Recommended",IF(Matching_Engine!$AY$104&gt;=Lookup_Lists!$D$157,"Recommended",IF(Matching_Engine!$AY$104&gt;=Lookup_Lists!$D$158,"Consider","Low Priority")))&amp;IF(Matching_Engine!$AX$104&lt;100," (on partial data)",""))</f>
        <v>Do not shortlist on this data — re-scrape the account first.</v>
      </c>
      <c r="L104" s="71">
        <f>IF(ISNUMBER(Matching_Engine!$M$104),Matching_Engine!$M$104,-1)</f>
        <v>-1</v>
      </c>
      <c r="M104" s="71">
        <f>IF(ISNUMBER(Matching_Engine!$S$104),Matching_Engine!$S$104,-1)</f>
        <v>-1</v>
      </c>
      <c r="N104" s="71">
        <f>IF(ISNUMBER(Matching_Engine!$Y$104),Matching_Engine!$Y$104,-1)</f>
        <v>-1</v>
      </c>
      <c r="O104" s="71">
        <f>IF(ISNUMBER(Matching_Engine!$AE$104),Matching_Engine!$AE$104,-1)</f>
        <v>-1</v>
      </c>
      <c r="P104" s="71">
        <f>IF(ISNUMBER(Matching_Engine!$AM$104),Matching_Engine!$AM$104,-1)</f>
        <v>-1</v>
      </c>
      <c r="Q104" s="71">
        <f>IF(ISNUMBER(Matching_Engine!$AT$104),Matching_Engine!$AT$104,-1)</f>
        <v>-1</v>
      </c>
      <c r="R104" s="71">
        <f>MAX($L$104:$Q$104)</f>
        <v>-1</v>
      </c>
      <c r="S104" s="57" t="str">
        <f>INDEX({"Brand &amp; Business Relevance","Target Audience Relevance","Content &amp; Category Relevance","Brand Personality Fit","Performance Quality","Brand Safety"},MATCH($R$104,$L$104:$Q$104,0))</f>
        <v>Brand &amp; Business Relevance</v>
      </c>
      <c r="T104" s="71">
        <f>IF(ISNUMBER(Matching_Engine!$M$104),Matching_Engine!$M$104,999)</f>
        <v>999</v>
      </c>
      <c r="U104" s="71">
        <f>IF(ISNUMBER(Matching_Engine!$S$104),Matching_Engine!$S$104,999)</f>
        <v>999</v>
      </c>
      <c r="V104" s="71">
        <f>IF(ISNUMBER(Matching_Engine!$Y$104),Matching_Engine!$Y$104,999)</f>
        <v>999</v>
      </c>
      <c r="W104" s="71">
        <f>IF(ISNUMBER(Matching_Engine!$AE$104),Matching_Engine!$AE$104,999)</f>
        <v>999</v>
      </c>
      <c r="X104" s="71">
        <f>IF(ISNUMBER(Matching_Engine!$AM$104),Matching_Engine!$AM$104,999)</f>
        <v>999</v>
      </c>
      <c r="Y104" s="71">
        <f>IF(ISNUMBER(Matching_Engine!$AT$104),Matching_Engine!$AT$104,999)</f>
        <v>999</v>
      </c>
      <c r="Z104" s="71">
        <f>MIN($T$104:$Y$104)</f>
        <v>999</v>
      </c>
      <c r="AA104" s="57" t="str">
        <f>INDEX({"Brand &amp; Business Relevance","Target Audience Relevance","Content &amp; Category Relevance","Brand Personality Fit","Performance Quality","Brand Safety"},MATCH($Z$104,$T$104:$Y$104,0))</f>
        <v>Brand &amp; Business Relevance</v>
      </c>
    </row>
    <row r="105" spans="1:27">
      <c r="A105" s="57">
        <f>Matching_Engine!$B$105</f>
        <v>0</v>
      </c>
      <c r="B105" s="57">
        <f>Matching_Engine!$D$105</f>
        <v>0</v>
      </c>
      <c r="C105" s="57">
        <f>Matching_Engine!$E$105</f>
        <v>0</v>
      </c>
      <c r="D105" s="70">
        <f>Matching_Engine!$AY$105</f>
        <v>0</v>
      </c>
      <c r="E105" s="57">
        <f>Matching_Engine!$AZ$105</f>
        <v>0</v>
      </c>
      <c r="F105" s="57" t="str">
        <f>IF(NOT(ISNUMBER(Matching_Engine!$AY$105)),"Not scored: no component of the model had data for this account, so no match can be claimed either way.",Matching_Engine!$AZ$105&amp;" — "&amp;Matching_Engine!$AY$105&amp;"/100 against "&amp;Matching_Engine!$B$105&amp;". "&amp;"Strongest factor "&amp;$S$105&amp;" at "&amp;$R$105&amp;"; weakest "&amp;$AA$105&amp;" at "&amp;$Z$105&amp;". "&amp;IF(AND(ISTEXT(Matching_Engine!$G$105),Matching_Engine!$G$105&lt;&gt;"N/A"),"Tagged category "&amp;Matching_Engine!$G$105&amp;" scores "&amp;IF(ISNUMBER(Matching_Engine!$J$105),Matching_Engine!$J$105,0)&amp;" against the brand category "&amp;Matching_Engine!$B$105&amp;" targets. ","Creator carries no category on record, so the category-driven parts fall back to neutral rather than penalising the creator. ")&amp;IF(ISNUMBER(Matching_Engine!$R$105),"Audience-interest overlap "&amp;Matching_Engine!$R$105&amp;". ","Audience interests unmeasured. ")&amp;IF(Matching_Engine!$AX$105&lt;100,"Scored on "&amp;Matching_Engine!$AX$105&amp;" of the 100 nominal weight points; the rest had no data.",""))</f>
        <v>Not scored: no component of the model had data for this account, so no match can be claimed either way.</v>
      </c>
      <c r="G105" s="57" t="str">
        <f>IF(NOT(ISNUMBER(Matching_Engine!$AY$105)),"N/A",$S$105&amp;" ("&amp;$R$105&amp;"/100)")</f>
        <v>N/A</v>
      </c>
      <c r="H105" s="57" t="str">
        <f>IF(NOT(ISNUMBER(Matching_Engine!$AY$105)),"N/A",$AA$105&amp;" ("&amp;$Z$105&amp;"/100)")</f>
        <v>N/A</v>
      </c>
      <c r="I105" s="57" t="str">
        <f>IF(NOT(ISNUMBER(Matching_Engine!$AY$105)),"No data to consider: this account has no measured signal.",IF($Z$105&lt;Lookup_Lists!$D$161,$AA$105&amp;" sits at "&amp;$Z$105&amp;", below the "&amp;Lookup_Lists!$D$161&amp;"-point consideration threshold"&amp;IF(Matching_Engine!$AF$105=0," · Brand Personality Fit could not be scored at all: no creator personality, tone, values or content-style column exists","")&amp;IF(Matching_Engine!$AI$105="N/A"," · posting cadence unusable, so Consistency is excluded from Performance","")&amp;".","No component falls below the "&amp;Lookup_Lists!$D$161&amp;"-point consideration threshold."))</f>
        <v>No data to consider: this account has no measured signal.</v>
      </c>
      <c r="J105" s="57" t="str">
        <f>Matching_Engine!$AV$105&amp;" — "&amp;Matching_Engine!$AW$105&amp;IF(Matching_Engine!$BB$105="Limited Data"," Confidence is Limited Data: "&amp;Matching_Engine!$BA$105&amp;"% of tracked fields carry a value.","")</f>
        <v> — </v>
      </c>
      <c r="K105" s="57" t="str">
        <f>IF(NOT(ISNUMBER(Matching_Engine!$AY$105)),"Do not shortlist on this data — re-scrape the account first.",IF(Matching_Engine!$AY$105&gt;=Lookup_Lists!$D$156,"Highly Recommended",IF(Matching_Engine!$AY$105&gt;=Lookup_Lists!$D$157,"Recommended",IF(Matching_Engine!$AY$105&gt;=Lookup_Lists!$D$158,"Consider","Low Priority")))&amp;IF(Matching_Engine!$AX$105&lt;100," (on partial data)",""))</f>
        <v>Do not shortlist on this data — re-scrape the account first.</v>
      </c>
      <c r="L105" s="71">
        <f>IF(ISNUMBER(Matching_Engine!$M$105),Matching_Engine!$M$105,-1)</f>
        <v>-1</v>
      </c>
      <c r="M105" s="71">
        <f>IF(ISNUMBER(Matching_Engine!$S$105),Matching_Engine!$S$105,-1)</f>
        <v>-1</v>
      </c>
      <c r="N105" s="71">
        <f>IF(ISNUMBER(Matching_Engine!$Y$105),Matching_Engine!$Y$105,-1)</f>
        <v>-1</v>
      </c>
      <c r="O105" s="71">
        <f>IF(ISNUMBER(Matching_Engine!$AE$105),Matching_Engine!$AE$105,-1)</f>
        <v>-1</v>
      </c>
      <c r="P105" s="71">
        <f>IF(ISNUMBER(Matching_Engine!$AM$105),Matching_Engine!$AM$105,-1)</f>
        <v>-1</v>
      </c>
      <c r="Q105" s="71">
        <f>IF(ISNUMBER(Matching_Engine!$AT$105),Matching_Engine!$AT$105,-1)</f>
        <v>-1</v>
      </c>
      <c r="R105" s="71">
        <f>MAX($L$105:$Q$105)</f>
        <v>-1</v>
      </c>
      <c r="S105" s="57" t="str">
        <f>INDEX({"Brand &amp; Business Relevance","Target Audience Relevance","Content &amp; Category Relevance","Brand Personality Fit","Performance Quality","Brand Safety"},MATCH($R$105,$L$105:$Q$105,0))</f>
        <v>Brand &amp; Business Relevance</v>
      </c>
      <c r="T105" s="71">
        <f>IF(ISNUMBER(Matching_Engine!$M$105),Matching_Engine!$M$105,999)</f>
        <v>999</v>
      </c>
      <c r="U105" s="71">
        <f>IF(ISNUMBER(Matching_Engine!$S$105),Matching_Engine!$S$105,999)</f>
        <v>999</v>
      </c>
      <c r="V105" s="71">
        <f>IF(ISNUMBER(Matching_Engine!$Y$105),Matching_Engine!$Y$105,999)</f>
        <v>999</v>
      </c>
      <c r="W105" s="71">
        <f>IF(ISNUMBER(Matching_Engine!$AE$105),Matching_Engine!$AE$105,999)</f>
        <v>999</v>
      </c>
      <c r="X105" s="71">
        <f>IF(ISNUMBER(Matching_Engine!$AM$105),Matching_Engine!$AM$105,999)</f>
        <v>999</v>
      </c>
      <c r="Y105" s="71">
        <f>IF(ISNUMBER(Matching_Engine!$AT$105),Matching_Engine!$AT$105,999)</f>
        <v>999</v>
      </c>
      <c r="Z105" s="71">
        <f>MIN($T$105:$Y$105)</f>
        <v>999</v>
      </c>
      <c r="AA105" s="57" t="str">
        <f>INDEX({"Brand &amp; Business Relevance","Target Audience Relevance","Content &amp; Category Relevance","Brand Personality Fit","Performance Quality","Brand Safety"},MATCH($Z$105,$T$105:$Y$105,0))</f>
        <v>Brand &amp; Business Relevance</v>
      </c>
    </row>
    <row r="106" spans="1:27">
      <c r="A106" s="57">
        <f>Matching_Engine!$B$106</f>
        <v>0</v>
      </c>
      <c r="B106" s="57">
        <f>Matching_Engine!$D$106</f>
        <v>0</v>
      </c>
      <c r="C106" s="57">
        <f>Matching_Engine!$E$106</f>
        <v>0</v>
      </c>
      <c r="D106" s="70">
        <f>Matching_Engine!$AY$106</f>
        <v>0</v>
      </c>
      <c r="E106" s="57">
        <f>Matching_Engine!$AZ$106</f>
        <v>0</v>
      </c>
      <c r="F106" s="57" t="str">
        <f>IF(NOT(ISNUMBER(Matching_Engine!$AY$106)),"Not scored: no component of the model had data for this account, so no match can be claimed either way.",Matching_Engine!$AZ$106&amp;" — "&amp;Matching_Engine!$AY$106&amp;"/100 against "&amp;Matching_Engine!$B$106&amp;". "&amp;"Strongest factor "&amp;$S$106&amp;" at "&amp;$R$106&amp;"; weakest "&amp;$AA$106&amp;" at "&amp;$Z$106&amp;". "&amp;IF(AND(ISTEXT(Matching_Engine!$G$106),Matching_Engine!$G$106&lt;&gt;"N/A"),"Tagged category "&amp;Matching_Engine!$G$106&amp;" scores "&amp;IF(ISNUMBER(Matching_Engine!$J$106),Matching_Engine!$J$106,0)&amp;" against the brand category "&amp;Matching_Engine!$B$106&amp;" targets. ","Creator carries no category on record, so the category-driven parts fall back to neutral rather than penalising the creator. ")&amp;IF(ISNUMBER(Matching_Engine!$R$106),"Audience-interest overlap "&amp;Matching_Engine!$R$106&amp;". ","Audience interests unmeasured. ")&amp;IF(Matching_Engine!$AX$106&lt;100,"Scored on "&amp;Matching_Engine!$AX$106&amp;" of the 100 nominal weight points; the rest had no data.",""))</f>
        <v>Not scored: no component of the model had data for this account, so no match can be claimed either way.</v>
      </c>
      <c r="G106" s="57" t="str">
        <f>IF(NOT(ISNUMBER(Matching_Engine!$AY$106)),"N/A",$S$106&amp;" ("&amp;$R$106&amp;"/100)")</f>
        <v>N/A</v>
      </c>
      <c r="H106" s="57" t="str">
        <f>IF(NOT(ISNUMBER(Matching_Engine!$AY$106)),"N/A",$AA$106&amp;" ("&amp;$Z$106&amp;"/100)")</f>
        <v>N/A</v>
      </c>
      <c r="I106" s="57" t="str">
        <f>IF(NOT(ISNUMBER(Matching_Engine!$AY$106)),"No data to consider: this account has no measured signal.",IF($Z$106&lt;Lookup_Lists!$D$161,$AA$106&amp;" sits at "&amp;$Z$106&amp;", below the "&amp;Lookup_Lists!$D$161&amp;"-point consideration threshold"&amp;IF(Matching_Engine!$AF$106=0," · Brand Personality Fit could not be scored at all: no creator personality, tone, values or content-style column exists","")&amp;IF(Matching_Engine!$AI$106="N/A"," · posting cadence unusable, so Consistency is excluded from Performance","")&amp;".","No component falls below the "&amp;Lookup_Lists!$D$161&amp;"-point consideration threshold."))</f>
        <v>No data to consider: this account has no measured signal.</v>
      </c>
      <c r="J106" s="57" t="str">
        <f>Matching_Engine!$AV$106&amp;" — "&amp;Matching_Engine!$AW$106&amp;IF(Matching_Engine!$BB$106="Limited Data"," Confidence is Limited Data: "&amp;Matching_Engine!$BA$106&amp;"% of tracked fields carry a value.","")</f>
        <v> — </v>
      </c>
      <c r="K106" s="57" t="str">
        <f>IF(NOT(ISNUMBER(Matching_Engine!$AY$106)),"Do not shortlist on this data — re-scrape the account first.",IF(Matching_Engine!$AY$106&gt;=Lookup_Lists!$D$156,"Highly Recommended",IF(Matching_Engine!$AY$106&gt;=Lookup_Lists!$D$157,"Recommended",IF(Matching_Engine!$AY$106&gt;=Lookup_Lists!$D$158,"Consider","Low Priority")))&amp;IF(Matching_Engine!$AX$106&lt;100," (on partial data)",""))</f>
        <v>Do not shortlist on this data — re-scrape the account first.</v>
      </c>
      <c r="L106" s="71">
        <f>IF(ISNUMBER(Matching_Engine!$M$106),Matching_Engine!$M$106,-1)</f>
        <v>-1</v>
      </c>
      <c r="M106" s="71">
        <f>IF(ISNUMBER(Matching_Engine!$S$106),Matching_Engine!$S$106,-1)</f>
        <v>-1</v>
      </c>
      <c r="N106" s="71">
        <f>IF(ISNUMBER(Matching_Engine!$Y$106),Matching_Engine!$Y$106,-1)</f>
        <v>-1</v>
      </c>
      <c r="O106" s="71">
        <f>IF(ISNUMBER(Matching_Engine!$AE$106),Matching_Engine!$AE$106,-1)</f>
        <v>-1</v>
      </c>
      <c r="P106" s="71">
        <f>IF(ISNUMBER(Matching_Engine!$AM$106),Matching_Engine!$AM$106,-1)</f>
        <v>-1</v>
      </c>
      <c r="Q106" s="71">
        <f>IF(ISNUMBER(Matching_Engine!$AT$106),Matching_Engine!$AT$106,-1)</f>
        <v>-1</v>
      </c>
      <c r="R106" s="71">
        <f>MAX($L$106:$Q$106)</f>
        <v>-1</v>
      </c>
      <c r="S106" s="57" t="str">
        <f>INDEX({"Brand &amp; Business Relevance","Target Audience Relevance","Content &amp; Category Relevance","Brand Personality Fit","Performance Quality","Brand Safety"},MATCH($R$106,$L$106:$Q$106,0))</f>
        <v>Brand &amp; Business Relevance</v>
      </c>
      <c r="T106" s="71">
        <f>IF(ISNUMBER(Matching_Engine!$M$106),Matching_Engine!$M$106,999)</f>
        <v>999</v>
      </c>
      <c r="U106" s="71">
        <f>IF(ISNUMBER(Matching_Engine!$S$106),Matching_Engine!$S$106,999)</f>
        <v>999</v>
      </c>
      <c r="V106" s="71">
        <f>IF(ISNUMBER(Matching_Engine!$Y$106),Matching_Engine!$Y$106,999)</f>
        <v>999</v>
      </c>
      <c r="W106" s="71">
        <f>IF(ISNUMBER(Matching_Engine!$AE$106),Matching_Engine!$AE$106,999)</f>
        <v>999</v>
      </c>
      <c r="X106" s="71">
        <f>IF(ISNUMBER(Matching_Engine!$AM$106),Matching_Engine!$AM$106,999)</f>
        <v>999</v>
      </c>
      <c r="Y106" s="71">
        <f>IF(ISNUMBER(Matching_Engine!$AT$106),Matching_Engine!$AT$106,999)</f>
        <v>999</v>
      </c>
      <c r="Z106" s="71">
        <f>MIN($T$106:$Y$106)</f>
        <v>999</v>
      </c>
      <c r="AA106" s="57" t="str">
        <f>INDEX({"Brand &amp; Business Relevance","Target Audience Relevance","Content &amp; Category Relevance","Brand Personality Fit","Performance Quality","Brand Safety"},MATCH($Z$106,$T$106:$Y$106,0))</f>
        <v>Brand &amp; Business Relevance</v>
      </c>
    </row>
    <row r="107" spans="1:27">
      <c r="A107" s="57">
        <f>Matching_Engine!$B$107</f>
        <v>0</v>
      </c>
      <c r="B107" s="57">
        <f>Matching_Engine!$D$107</f>
        <v>0</v>
      </c>
      <c r="C107" s="57">
        <f>Matching_Engine!$E$107</f>
        <v>0</v>
      </c>
      <c r="D107" s="70">
        <f>Matching_Engine!$AY$107</f>
        <v>0</v>
      </c>
      <c r="E107" s="57">
        <f>Matching_Engine!$AZ$107</f>
        <v>0</v>
      </c>
      <c r="F107" s="57" t="str">
        <f>IF(NOT(ISNUMBER(Matching_Engine!$AY$107)),"Not scored: no component of the model had data for this account, so no match can be claimed either way.",Matching_Engine!$AZ$107&amp;" — "&amp;Matching_Engine!$AY$107&amp;"/100 against "&amp;Matching_Engine!$B$107&amp;". "&amp;"Strongest factor "&amp;$S$107&amp;" at "&amp;$R$107&amp;"; weakest "&amp;$AA$107&amp;" at "&amp;$Z$107&amp;". "&amp;IF(AND(ISTEXT(Matching_Engine!$G$107),Matching_Engine!$G$107&lt;&gt;"N/A"),"Tagged category "&amp;Matching_Engine!$G$107&amp;" scores "&amp;IF(ISNUMBER(Matching_Engine!$J$107),Matching_Engine!$J$107,0)&amp;" against the brand category "&amp;Matching_Engine!$B$107&amp;" targets. ","Creator carries no category on record, so the category-driven parts fall back to neutral rather than penalising the creator. ")&amp;IF(ISNUMBER(Matching_Engine!$R$107),"Audience-interest overlap "&amp;Matching_Engine!$R$107&amp;". ","Audience interests unmeasured. ")&amp;IF(Matching_Engine!$AX$107&lt;100,"Scored on "&amp;Matching_Engine!$AX$107&amp;" of the 100 nominal weight points; the rest had no data.",""))</f>
        <v>Not scored: no component of the model had data for this account, so no match can be claimed either way.</v>
      </c>
      <c r="G107" s="57" t="str">
        <f>IF(NOT(ISNUMBER(Matching_Engine!$AY$107)),"N/A",$S$107&amp;" ("&amp;$R$107&amp;"/100)")</f>
        <v>N/A</v>
      </c>
      <c r="H107" s="57" t="str">
        <f>IF(NOT(ISNUMBER(Matching_Engine!$AY$107)),"N/A",$AA$107&amp;" ("&amp;$Z$107&amp;"/100)")</f>
        <v>N/A</v>
      </c>
      <c r="I107" s="57" t="str">
        <f>IF(NOT(ISNUMBER(Matching_Engine!$AY$107)),"No data to consider: this account has no measured signal.",IF($Z$107&lt;Lookup_Lists!$D$161,$AA$107&amp;" sits at "&amp;$Z$107&amp;", below the "&amp;Lookup_Lists!$D$161&amp;"-point consideration threshold"&amp;IF(Matching_Engine!$AF$107=0," · Brand Personality Fit could not be scored at all: no creator personality, tone, values or content-style column exists","")&amp;IF(Matching_Engine!$AI$107="N/A"," · posting cadence unusable, so Consistency is excluded from Performance","")&amp;".","No component falls below the "&amp;Lookup_Lists!$D$161&amp;"-point consideration threshold."))</f>
        <v>No data to consider: this account has no measured signal.</v>
      </c>
      <c r="J107" s="57" t="str">
        <f>Matching_Engine!$AV$107&amp;" — "&amp;Matching_Engine!$AW$107&amp;IF(Matching_Engine!$BB$107="Limited Data"," Confidence is Limited Data: "&amp;Matching_Engine!$BA$107&amp;"% of tracked fields carry a value.","")</f>
        <v> — </v>
      </c>
      <c r="K107" s="57" t="str">
        <f>IF(NOT(ISNUMBER(Matching_Engine!$AY$107)),"Do not shortlist on this data — re-scrape the account first.",IF(Matching_Engine!$AY$107&gt;=Lookup_Lists!$D$156,"Highly Recommended",IF(Matching_Engine!$AY$107&gt;=Lookup_Lists!$D$157,"Recommended",IF(Matching_Engine!$AY$107&gt;=Lookup_Lists!$D$158,"Consider","Low Priority")))&amp;IF(Matching_Engine!$AX$107&lt;100," (on partial data)",""))</f>
        <v>Do not shortlist on this data — re-scrape the account first.</v>
      </c>
      <c r="L107" s="71">
        <f>IF(ISNUMBER(Matching_Engine!$M$107),Matching_Engine!$M$107,-1)</f>
        <v>-1</v>
      </c>
      <c r="M107" s="71">
        <f>IF(ISNUMBER(Matching_Engine!$S$107),Matching_Engine!$S$107,-1)</f>
        <v>-1</v>
      </c>
      <c r="N107" s="71">
        <f>IF(ISNUMBER(Matching_Engine!$Y$107),Matching_Engine!$Y$107,-1)</f>
        <v>-1</v>
      </c>
      <c r="O107" s="71">
        <f>IF(ISNUMBER(Matching_Engine!$AE$107),Matching_Engine!$AE$107,-1)</f>
        <v>-1</v>
      </c>
      <c r="P107" s="71">
        <f>IF(ISNUMBER(Matching_Engine!$AM$107),Matching_Engine!$AM$107,-1)</f>
        <v>-1</v>
      </c>
      <c r="Q107" s="71">
        <f>IF(ISNUMBER(Matching_Engine!$AT$107),Matching_Engine!$AT$107,-1)</f>
        <v>-1</v>
      </c>
      <c r="R107" s="71">
        <f>MAX($L$107:$Q$107)</f>
        <v>-1</v>
      </c>
      <c r="S107" s="57" t="str">
        <f>INDEX({"Brand &amp; Business Relevance","Target Audience Relevance","Content &amp; Category Relevance","Brand Personality Fit","Performance Quality","Brand Safety"},MATCH($R$107,$L$107:$Q$107,0))</f>
        <v>Brand &amp; Business Relevance</v>
      </c>
      <c r="T107" s="71">
        <f>IF(ISNUMBER(Matching_Engine!$M$107),Matching_Engine!$M$107,999)</f>
        <v>999</v>
      </c>
      <c r="U107" s="71">
        <f>IF(ISNUMBER(Matching_Engine!$S$107),Matching_Engine!$S$107,999)</f>
        <v>999</v>
      </c>
      <c r="V107" s="71">
        <f>IF(ISNUMBER(Matching_Engine!$Y$107),Matching_Engine!$Y$107,999)</f>
        <v>999</v>
      </c>
      <c r="W107" s="71">
        <f>IF(ISNUMBER(Matching_Engine!$AE$107),Matching_Engine!$AE$107,999)</f>
        <v>999</v>
      </c>
      <c r="X107" s="71">
        <f>IF(ISNUMBER(Matching_Engine!$AM$107),Matching_Engine!$AM$107,999)</f>
        <v>999</v>
      </c>
      <c r="Y107" s="71">
        <f>IF(ISNUMBER(Matching_Engine!$AT$107),Matching_Engine!$AT$107,999)</f>
        <v>999</v>
      </c>
      <c r="Z107" s="71">
        <f>MIN($T$107:$Y$107)</f>
        <v>999</v>
      </c>
      <c r="AA107" s="57" t="str">
        <f>INDEX({"Brand &amp; Business Relevance","Target Audience Relevance","Content &amp; Category Relevance","Brand Personality Fit","Performance Quality","Brand Safety"},MATCH($Z$107,$T$107:$Y$107,0))</f>
        <v>Brand &amp; Business Relevance</v>
      </c>
    </row>
    <row r="108" spans="1:27">
      <c r="A108" s="57">
        <f>Matching_Engine!$B$108</f>
        <v>0</v>
      </c>
      <c r="B108" s="57">
        <f>Matching_Engine!$D$108</f>
        <v>0</v>
      </c>
      <c r="C108" s="57">
        <f>Matching_Engine!$E$108</f>
        <v>0</v>
      </c>
      <c r="D108" s="70">
        <f>Matching_Engine!$AY$108</f>
        <v>0</v>
      </c>
      <c r="E108" s="57">
        <f>Matching_Engine!$AZ$108</f>
        <v>0</v>
      </c>
      <c r="F108" s="57" t="str">
        <f>IF(NOT(ISNUMBER(Matching_Engine!$AY$108)),"Not scored: no component of the model had data for this account, so no match can be claimed either way.",Matching_Engine!$AZ$108&amp;" — "&amp;Matching_Engine!$AY$108&amp;"/100 against "&amp;Matching_Engine!$B$108&amp;". "&amp;"Strongest factor "&amp;$S$108&amp;" at "&amp;$R$108&amp;"; weakest "&amp;$AA$108&amp;" at "&amp;$Z$108&amp;". "&amp;IF(AND(ISTEXT(Matching_Engine!$G$108),Matching_Engine!$G$108&lt;&gt;"N/A"),"Tagged category "&amp;Matching_Engine!$G$108&amp;" scores "&amp;IF(ISNUMBER(Matching_Engine!$J$108),Matching_Engine!$J$108,0)&amp;" against the brand category "&amp;Matching_Engine!$B$108&amp;" targets. ","Creator carries no category on record, so the category-driven parts fall back to neutral rather than penalising the creator. ")&amp;IF(ISNUMBER(Matching_Engine!$R$108),"Audience-interest overlap "&amp;Matching_Engine!$R$108&amp;". ","Audience interests unmeasured. ")&amp;IF(Matching_Engine!$AX$108&lt;100,"Scored on "&amp;Matching_Engine!$AX$108&amp;" of the 100 nominal weight points; the rest had no data.",""))</f>
        <v>Not scored: no component of the model had data for this account, so no match can be claimed either way.</v>
      </c>
      <c r="G108" s="57" t="str">
        <f>IF(NOT(ISNUMBER(Matching_Engine!$AY$108)),"N/A",$S$108&amp;" ("&amp;$R$108&amp;"/100)")</f>
        <v>N/A</v>
      </c>
      <c r="H108" s="57" t="str">
        <f>IF(NOT(ISNUMBER(Matching_Engine!$AY$108)),"N/A",$AA$108&amp;" ("&amp;$Z$108&amp;"/100)")</f>
        <v>N/A</v>
      </c>
      <c r="I108" s="57" t="str">
        <f>IF(NOT(ISNUMBER(Matching_Engine!$AY$108)),"No data to consider: this account has no measured signal.",IF($Z$108&lt;Lookup_Lists!$D$161,$AA$108&amp;" sits at "&amp;$Z$108&amp;", below the "&amp;Lookup_Lists!$D$161&amp;"-point consideration threshold"&amp;IF(Matching_Engine!$AF$108=0," · Brand Personality Fit could not be scored at all: no creator personality, tone, values or content-style column exists","")&amp;IF(Matching_Engine!$AI$108="N/A"," · posting cadence unusable, so Consistency is excluded from Performance","")&amp;".","No component falls below the "&amp;Lookup_Lists!$D$161&amp;"-point consideration threshold."))</f>
        <v>No data to consider: this account has no measured signal.</v>
      </c>
      <c r="J108" s="57" t="str">
        <f>Matching_Engine!$AV$108&amp;" — "&amp;Matching_Engine!$AW$108&amp;IF(Matching_Engine!$BB$108="Limited Data"," Confidence is Limited Data: "&amp;Matching_Engine!$BA$108&amp;"% of tracked fields carry a value.","")</f>
        <v> — </v>
      </c>
      <c r="K108" s="57" t="str">
        <f>IF(NOT(ISNUMBER(Matching_Engine!$AY$108)),"Do not shortlist on this data — re-scrape the account first.",IF(Matching_Engine!$AY$108&gt;=Lookup_Lists!$D$156,"Highly Recommended",IF(Matching_Engine!$AY$108&gt;=Lookup_Lists!$D$157,"Recommended",IF(Matching_Engine!$AY$108&gt;=Lookup_Lists!$D$158,"Consider","Low Priority")))&amp;IF(Matching_Engine!$AX$108&lt;100," (on partial data)",""))</f>
        <v>Do not shortlist on this data — re-scrape the account first.</v>
      </c>
      <c r="L108" s="71">
        <f>IF(ISNUMBER(Matching_Engine!$M$108),Matching_Engine!$M$108,-1)</f>
        <v>-1</v>
      </c>
      <c r="M108" s="71">
        <f>IF(ISNUMBER(Matching_Engine!$S$108),Matching_Engine!$S$108,-1)</f>
        <v>-1</v>
      </c>
      <c r="N108" s="71">
        <f>IF(ISNUMBER(Matching_Engine!$Y$108),Matching_Engine!$Y$108,-1)</f>
        <v>-1</v>
      </c>
      <c r="O108" s="71">
        <f>IF(ISNUMBER(Matching_Engine!$AE$108),Matching_Engine!$AE$108,-1)</f>
        <v>-1</v>
      </c>
      <c r="P108" s="71">
        <f>IF(ISNUMBER(Matching_Engine!$AM$108),Matching_Engine!$AM$108,-1)</f>
        <v>-1</v>
      </c>
      <c r="Q108" s="71">
        <f>IF(ISNUMBER(Matching_Engine!$AT$108),Matching_Engine!$AT$108,-1)</f>
        <v>-1</v>
      </c>
      <c r="R108" s="71">
        <f>MAX($L$108:$Q$108)</f>
        <v>-1</v>
      </c>
      <c r="S108" s="57" t="str">
        <f>INDEX({"Brand &amp; Business Relevance","Target Audience Relevance","Content &amp; Category Relevance","Brand Personality Fit","Performance Quality","Brand Safety"},MATCH($R$108,$L$108:$Q$108,0))</f>
        <v>Brand &amp; Business Relevance</v>
      </c>
      <c r="T108" s="71">
        <f>IF(ISNUMBER(Matching_Engine!$M$108),Matching_Engine!$M$108,999)</f>
        <v>999</v>
      </c>
      <c r="U108" s="71">
        <f>IF(ISNUMBER(Matching_Engine!$S$108),Matching_Engine!$S$108,999)</f>
        <v>999</v>
      </c>
      <c r="V108" s="71">
        <f>IF(ISNUMBER(Matching_Engine!$Y$108),Matching_Engine!$Y$108,999)</f>
        <v>999</v>
      </c>
      <c r="W108" s="71">
        <f>IF(ISNUMBER(Matching_Engine!$AE$108),Matching_Engine!$AE$108,999)</f>
        <v>999</v>
      </c>
      <c r="X108" s="71">
        <f>IF(ISNUMBER(Matching_Engine!$AM$108),Matching_Engine!$AM$108,999)</f>
        <v>999</v>
      </c>
      <c r="Y108" s="71">
        <f>IF(ISNUMBER(Matching_Engine!$AT$108),Matching_Engine!$AT$108,999)</f>
        <v>999</v>
      </c>
      <c r="Z108" s="71">
        <f>MIN($T$108:$Y$108)</f>
        <v>999</v>
      </c>
      <c r="AA108" s="57" t="str">
        <f>INDEX({"Brand &amp; Business Relevance","Target Audience Relevance","Content &amp; Category Relevance","Brand Personality Fit","Performance Quality","Brand Safety"},MATCH($Z$108,$T$108:$Y$108,0))</f>
        <v>Brand &amp; Business Relevance</v>
      </c>
    </row>
    <row r="109" spans="1:27">
      <c r="A109" s="57">
        <f>Matching_Engine!$B$109</f>
        <v>0</v>
      </c>
      <c r="B109" s="57">
        <f>Matching_Engine!$D$109</f>
        <v>0</v>
      </c>
      <c r="C109" s="57">
        <f>Matching_Engine!$E$109</f>
        <v>0</v>
      </c>
      <c r="D109" s="70">
        <f>Matching_Engine!$AY$109</f>
        <v>0</v>
      </c>
      <c r="E109" s="57">
        <f>Matching_Engine!$AZ$109</f>
        <v>0</v>
      </c>
      <c r="F109" s="57" t="str">
        <f>IF(NOT(ISNUMBER(Matching_Engine!$AY$109)),"Not scored: no component of the model had data for this account, so no match can be claimed either way.",Matching_Engine!$AZ$109&amp;" — "&amp;Matching_Engine!$AY$109&amp;"/100 against "&amp;Matching_Engine!$B$109&amp;". "&amp;"Strongest factor "&amp;$S$109&amp;" at "&amp;$R$109&amp;"; weakest "&amp;$AA$109&amp;" at "&amp;$Z$109&amp;". "&amp;IF(AND(ISTEXT(Matching_Engine!$G$109),Matching_Engine!$G$109&lt;&gt;"N/A"),"Tagged category "&amp;Matching_Engine!$G$109&amp;" scores "&amp;IF(ISNUMBER(Matching_Engine!$J$109),Matching_Engine!$J$109,0)&amp;" against the brand category "&amp;Matching_Engine!$B$109&amp;" targets. ","Creator carries no category on record, so the category-driven parts fall back to neutral rather than penalising the creator. ")&amp;IF(ISNUMBER(Matching_Engine!$R$109),"Audience-interest overlap "&amp;Matching_Engine!$R$109&amp;". ","Audience interests unmeasured. ")&amp;IF(Matching_Engine!$AX$109&lt;100,"Scored on "&amp;Matching_Engine!$AX$109&amp;" of the 100 nominal weight points; the rest had no data.",""))</f>
        <v>Not scored: no component of the model had data for this account, so no match can be claimed either way.</v>
      </c>
      <c r="G109" s="57" t="str">
        <f>IF(NOT(ISNUMBER(Matching_Engine!$AY$109)),"N/A",$S$109&amp;" ("&amp;$R$109&amp;"/100)")</f>
        <v>N/A</v>
      </c>
      <c r="H109" s="57" t="str">
        <f>IF(NOT(ISNUMBER(Matching_Engine!$AY$109)),"N/A",$AA$109&amp;" ("&amp;$Z$109&amp;"/100)")</f>
        <v>N/A</v>
      </c>
      <c r="I109" s="57" t="str">
        <f>IF(NOT(ISNUMBER(Matching_Engine!$AY$109)),"No data to consider: this account has no measured signal.",IF($Z$109&lt;Lookup_Lists!$D$161,$AA$109&amp;" sits at "&amp;$Z$109&amp;", below the "&amp;Lookup_Lists!$D$161&amp;"-point consideration threshold"&amp;IF(Matching_Engine!$AF$109=0," · Brand Personality Fit could not be scored at all: no creator personality, tone, values or content-style column exists","")&amp;IF(Matching_Engine!$AI$109="N/A"," · posting cadence unusable, so Consistency is excluded from Performance","")&amp;".","No component falls below the "&amp;Lookup_Lists!$D$161&amp;"-point consideration threshold."))</f>
        <v>No data to consider: this account has no measured signal.</v>
      </c>
      <c r="J109" s="57" t="str">
        <f>Matching_Engine!$AV$109&amp;" — "&amp;Matching_Engine!$AW$109&amp;IF(Matching_Engine!$BB$109="Limited Data"," Confidence is Limited Data: "&amp;Matching_Engine!$BA$109&amp;"% of tracked fields carry a value.","")</f>
        <v> — </v>
      </c>
      <c r="K109" s="57" t="str">
        <f>IF(NOT(ISNUMBER(Matching_Engine!$AY$109)),"Do not shortlist on this data — re-scrape the account first.",IF(Matching_Engine!$AY$109&gt;=Lookup_Lists!$D$156,"Highly Recommended",IF(Matching_Engine!$AY$109&gt;=Lookup_Lists!$D$157,"Recommended",IF(Matching_Engine!$AY$109&gt;=Lookup_Lists!$D$158,"Consider","Low Priority")))&amp;IF(Matching_Engine!$AX$109&lt;100," (on partial data)",""))</f>
        <v>Do not shortlist on this data — re-scrape the account first.</v>
      </c>
      <c r="L109" s="71">
        <f>IF(ISNUMBER(Matching_Engine!$M$109),Matching_Engine!$M$109,-1)</f>
        <v>-1</v>
      </c>
      <c r="M109" s="71">
        <f>IF(ISNUMBER(Matching_Engine!$S$109),Matching_Engine!$S$109,-1)</f>
        <v>-1</v>
      </c>
      <c r="N109" s="71">
        <f>IF(ISNUMBER(Matching_Engine!$Y$109),Matching_Engine!$Y$109,-1)</f>
        <v>-1</v>
      </c>
      <c r="O109" s="71">
        <f>IF(ISNUMBER(Matching_Engine!$AE$109),Matching_Engine!$AE$109,-1)</f>
        <v>-1</v>
      </c>
      <c r="P109" s="71">
        <f>IF(ISNUMBER(Matching_Engine!$AM$109),Matching_Engine!$AM$109,-1)</f>
        <v>-1</v>
      </c>
      <c r="Q109" s="71">
        <f>IF(ISNUMBER(Matching_Engine!$AT$109),Matching_Engine!$AT$109,-1)</f>
        <v>-1</v>
      </c>
      <c r="R109" s="71">
        <f>MAX($L$109:$Q$109)</f>
        <v>-1</v>
      </c>
      <c r="S109" s="57" t="str">
        <f>INDEX({"Brand &amp; Business Relevance","Target Audience Relevance","Content &amp; Category Relevance","Brand Personality Fit","Performance Quality","Brand Safety"},MATCH($R$109,$L$109:$Q$109,0))</f>
        <v>Brand &amp; Business Relevance</v>
      </c>
      <c r="T109" s="71">
        <f>IF(ISNUMBER(Matching_Engine!$M$109),Matching_Engine!$M$109,999)</f>
        <v>999</v>
      </c>
      <c r="U109" s="71">
        <f>IF(ISNUMBER(Matching_Engine!$S$109),Matching_Engine!$S$109,999)</f>
        <v>999</v>
      </c>
      <c r="V109" s="71">
        <f>IF(ISNUMBER(Matching_Engine!$Y$109),Matching_Engine!$Y$109,999)</f>
        <v>999</v>
      </c>
      <c r="W109" s="71">
        <f>IF(ISNUMBER(Matching_Engine!$AE$109),Matching_Engine!$AE$109,999)</f>
        <v>999</v>
      </c>
      <c r="X109" s="71">
        <f>IF(ISNUMBER(Matching_Engine!$AM$109),Matching_Engine!$AM$109,999)</f>
        <v>999</v>
      </c>
      <c r="Y109" s="71">
        <f>IF(ISNUMBER(Matching_Engine!$AT$109),Matching_Engine!$AT$109,999)</f>
        <v>999</v>
      </c>
      <c r="Z109" s="71">
        <f>MIN($T$109:$Y$109)</f>
        <v>999</v>
      </c>
      <c r="AA109" s="57" t="str">
        <f>INDEX({"Brand &amp; Business Relevance","Target Audience Relevance","Content &amp; Category Relevance","Brand Personality Fit","Performance Quality","Brand Safety"},MATCH($Z$109,$T$109:$Y$109,0))</f>
        <v>Brand &amp; Business Relevance</v>
      </c>
    </row>
    <row r="110" spans="1:27">
      <c r="A110" s="57">
        <f>Matching_Engine!$B$110</f>
        <v>0</v>
      </c>
      <c r="B110" s="57">
        <f>Matching_Engine!$D$110</f>
        <v>0</v>
      </c>
      <c r="C110" s="57">
        <f>Matching_Engine!$E$110</f>
        <v>0</v>
      </c>
      <c r="D110" s="70">
        <f>Matching_Engine!$AY$110</f>
        <v>0</v>
      </c>
      <c r="E110" s="57">
        <f>Matching_Engine!$AZ$110</f>
        <v>0</v>
      </c>
      <c r="F110" s="57" t="str">
        <f>IF(NOT(ISNUMBER(Matching_Engine!$AY$110)),"Not scored: no component of the model had data for this account, so no match can be claimed either way.",Matching_Engine!$AZ$110&amp;" — "&amp;Matching_Engine!$AY$110&amp;"/100 against "&amp;Matching_Engine!$B$110&amp;". "&amp;"Strongest factor "&amp;$S$110&amp;" at "&amp;$R$110&amp;"; weakest "&amp;$AA$110&amp;" at "&amp;$Z$110&amp;". "&amp;IF(AND(ISTEXT(Matching_Engine!$G$110),Matching_Engine!$G$110&lt;&gt;"N/A"),"Tagged category "&amp;Matching_Engine!$G$110&amp;" scores "&amp;IF(ISNUMBER(Matching_Engine!$J$110),Matching_Engine!$J$110,0)&amp;" against the brand category "&amp;Matching_Engine!$B$110&amp;" targets. ","Creator carries no category on record, so the category-driven parts fall back to neutral rather than penalising the creator. ")&amp;IF(ISNUMBER(Matching_Engine!$R$110),"Audience-interest overlap "&amp;Matching_Engine!$R$110&amp;". ","Audience interests unmeasured. ")&amp;IF(Matching_Engine!$AX$110&lt;100,"Scored on "&amp;Matching_Engine!$AX$110&amp;" of the 100 nominal weight points; the rest had no data.",""))</f>
        <v>Not scored: no component of the model had data for this account, so no match can be claimed either way.</v>
      </c>
      <c r="G110" s="57" t="str">
        <f>IF(NOT(ISNUMBER(Matching_Engine!$AY$110)),"N/A",$S$110&amp;" ("&amp;$R$110&amp;"/100)")</f>
        <v>N/A</v>
      </c>
      <c r="H110" s="57" t="str">
        <f>IF(NOT(ISNUMBER(Matching_Engine!$AY$110)),"N/A",$AA$110&amp;" ("&amp;$Z$110&amp;"/100)")</f>
        <v>N/A</v>
      </c>
      <c r="I110" s="57" t="str">
        <f>IF(NOT(ISNUMBER(Matching_Engine!$AY$110)),"No data to consider: this account has no measured signal.",IF($Z$110&lt;Lookup_Lists!$D$161,$AA$110&amp;" sits at "&amp;$Z$110&amp;", below the "&amp;Lookup_Lists!$D$161&amp;"-point consideration threshold"&amp;IF(Matching_Engine!$AF$110=0," · Brand Personality Fit could not be scored at all: no creator personality, tone, values or content-style column exists","")&amp;IF(Matching_Engine!$AI$110="N/A"," · posting cadence unusable, so Consistency is excluded from Performance","")&amp;".","No component falls below the "&amp;Lookup_Lists!$D$161&amp;"-point consideration threshold."))</f>
        <v>No data to consider: this account has no measured signal.</v>
      </c>
      <c r="J110" s="57" t="str">
        <f>Matching_Engine!$AV$110&amp;" — "&amp;Matching_Engine!$AW$110&amp;IF(Matching_Engine!$BB$110="Limited Data"," Confidence is Limited Data: "&amp;Matching_Engine!$BA$110&amp;"% of tracked fields carry a value.","")</f>
        <v> — </v>
      </c>
      <c r="K110" s="57" t="str">
        <f>IF(NOT(ISNUMBER(Matching_Engine!$AY$110)),"Do not shortlist on this data — re-scrape the account first.",IF(Matching_Engine!$AY$110&gt;=Lookup_Lists!$D$156,"Highly Recommended",IF(Matching_Engine!$AY$110&gt;=Lookup_Lists!$D$157,"Recommended",IF(Matching_Engine!$AY$110&gt;=Lookup_Lists!$D$158,"Consider","Low Priority")))&amp;IF(Matching_Engine!$AX$110&lt;100," (on partial data)",""))</f>
        <v>Do not shortlist on this data — re-scrape the account first.</v>
      </c>
      <c r="L110" s="71">
        <f>IF(ISNUMBER(Matching_Engine!$M$110),Matching_Engine!$M$110,-1)</f>
        <v>-1</v>
      </c>
      <c r="M110" s="71">
        <f>IF(ISNUMBER(Matching_Engine!$S$110),Matching_Engine!$S$110,-1)</f>
        <v>-1</v>
      </c>
      <c r="N110" s="71">
        <f>IF(ISNUMBER(Matching_Engine!$Y$110),Matching_Engine!$Y$110,-1)</f>
        <v>-1</v>
      </c>
      <c r="O110" s="71">
        <f>IF(ISNUMBER(Matching_Engine!$AE$110),Matching_Engine!$AE$110,-1)</f>
        <v>-1</v>
      </c>
      <c r="P110" s="71">
        <f>IF(ISNUMBER(Matching_Engine!$AM$110),Matching_Engine!$AM$110,-1)</f>
        <v>-1</v>
      </c>
      <c r="Q110" s="71">
        <f>IF(ISNUMBER(Matching_Engine!$AT$110),Matching_Engine!$AT$110,-1)</f>
        <v>-1</v>
      </c>
      <c r="R110" s="71">
        <f>MAX($L$110:$Q$110)</f>
        <v>-1</v>
      </c>
      <c r="S110" s="57" t="str">
        <f>INDEX({"Brand &amp; Business Relevance","Target Audience Relevance","Content &amp; Category Relevance","Brand Personality Fit","Performance Quality","Brand Safety"},MATCH($R$110,$L$110:$Q$110,0))</f>
        <v>Brand &amp; Business Relevance</v>
      </c>
      <c r="T110" s="71">
        <f>IF(ISNUMBER(Matching_Engine!$M$110),Matching_Engine!$M$110,999)</f>
        <v>999</v>
      </c>
      <c r="U110" s="71">
        <f>IF(ISNUMBER(Matching_Engine!$S$110),Matching_Engine!$S$110,999)</f>
        <v>999</v>
      </c>
      <c r="V110" s="71">
        <f>IF(ISNUMBER(Matching_Engine!$Y$110),Matching_Engine!$Y$110,999)</f>
        <v>999</v>
      </c>
      <c r="W110" s="71">
        <f>IF(ISNUMBER(Matching_Engine!$AE$110),Matching_Engine!$AE$110,999)</f>
        <v>999</v>
      </c>
      <c r="X110" s="71">
        <f>IF(ISNUMBER(Matching_Engine!$AM$110),Matching_Engine!$AM$110,999)</f>
        <v>999</v>
      </c>
      <c r="Y110" s="71">
        <f>IF(ISNUMBER(Matching_Engine!$AT$110),Matching_Engine!$AT$110,999)</f>
        <v>999</v>
      </c>
      <c r="Z110" s="71">
        <f>MIN($T$110:$Y$110)</f>
        <v>999</v>
      </c>
      <c r="AA110" s="57" t="str">
        <f>INDEX({"Brand &amp; Business Relevance","Target Audience Relevance","Content &amp; Category Relevance","Brand Personality Fit","Performance Quality","Brand Safety"},MATCH($Z$110,$T$110:$Y$110,0))</f>
        <v>Brand &amp; Business Relevance</v>
      </c>
    </row>
    <row r="111" spans="1:27">
      <c r="A111" s="57">
        <f>Matching_Engine!$B$111</f>
        <v>0</v>
      </c>
      <c r="B111" s="57">
        <f>Matching_Engine!$D$111</f>
        <v>0</v>
      </c>
      <c r="C111" s="57">
        <f>Matching_Engine!$E$111</f>
        <v>0</v>
      </c>
      <c r="D111" s="70">
        <f>Matching_Engine!$AY$111</f>
        <v>0</v>
      </c>
      <c r="E111" s="57">
        <f>Matching_Engine!$AZ$111</f>
        <v>0</v>
      </c>
      <c r="F111" s="57" t="str">
        <f>IF(NOT(ISNUMBER(Matching_Engine!$AY$111)),"Not scored: no component of the model had data for this account, so no match can be claimed either way.",Matching_Engine!$AZ$111&amp;" — "&amp;Matching_Engine!$AY$111&amp;"/100 against "&amp;Matching_Engine!$B$111&amp;". "&amp;"Strongest factor "&amp;$S$111&amp;" at "&amp;$R$111&amp;"; weakest "&amp;$AA$111&amp;" at "&amp;$Z$111&amp;". "&amp;IF(AND(ISTEXT(Matching_Engine!$G$111),Matching_Engine!$G$111&lt;&gt;"N/A"),"Tagged category "&amp;Matching_Engine!$G$111&amp;" scores "&amp;IF(ISNUMBER(Matching_Engine!$J$111),Matching_Engine!$J$111,0)&amp;" against the brand category "&amp;Matching_Engine!$B$111&amp;" targets. ","Creator carries no category on record, so the category-driven parts fall back to neutral rather than penalising the creator. ")&amp;IF(ISNUMBER(Matching_Engine!$R$111),"Audience-interest overlap "&amp;Matching_Engine!$R$111&amp;". ","Audience interests unmeasured. ")&amp;IF(Matching_Engine!$AX$111&lt;100,"Scored on "&amp;Matching_Engine!$AX$111&amp;" of the 100 nominal weight points; the rest had no data.",""))</f>
        <v>Not scored: no component of the model had data for this account, so no match can be claimed either way.</v>
      </c>
      <c r="G111" s="57" t="str">
        <f>IF(NOT(ISNUMBER(Matching_Engine!$AY$111)),"N/A",$S$111&amp;" ("&amp;$R$111&amp;"/100)")</f>
        <v>N/A</v>
      </c>
      <c r="H111" s="57" t="str">
        <f>IF(NOT(ISNUMBER(Matching_Engine!$AY$111)),"N/A",$AA$111&amp;" ("&amp;$Z$111&amp;"/100)")</f>
        <v>N/A</v>
      </c>
      <c r="I111" s="57" t="str">
        <f>IF(NOT(ISNUMBER(Matching_Engine!$AY$111)),"No data to consider: this account has no measured signal.",IF($Z$111&lt;Lookup_Lists!$D$161,$AA$111&amp;" sits at "&amp;$Z$111&amp;", below the "&amp;Lookup_Lists!$D$161&amp;"-point consideration threshold"&amp;IF(Matching_Engine!$AF$111=0," · Brand Personality Fit could not be scored at all: no creator personality, tone, values or content-style column exists","")&amp;IF(Matching_Engine!$AI$111="N/A"," · posting cadence unusable, so Consistency is excluded from Performance","")&amp;".","No component falls below the "&amp;Lookup_Lists!$D$161&amp;"-point consideration threshold."))</f>
        <v>No data to consider: this account has no measured signal.</v>
      </c>
      <c r="J111" s="57" t="str">
        <f>Matching_Engine!$AV$111&amp;" — "&amp;Matching_Engine!$AW$111&amp;IF(Matching_Engine!$BB$111="Limited Data"," Confidence is Limited Data: "&amp;Matching_Engine!$BA$111&amp;"% of tracked fields carry a value.","")</f>
        <v> — </v>
      </c>
      <c r="K111" s="57" t="str">
        <f>IF(NOT(ISNUMBER(Matching_Engine!$AY$111)),"Do not shortlist on this data — re-scrape the account first.",IF(Matching_Engine!$AY$111&gt;=Lookup_Lists!$D$156,"Highly Recommended",IF(Matching_Engine!$AY$111&gt;=Lookup_Lists!$D$157,"Recommended",IF(Matching_Engine!$AY$111&gt;=Lookup_Lists!$D$158,"Consider","Low Priority")))&amp;IF(Matching_Engine!$AX$111&lt;100," (on partial data)",""))</f>
        <v>Do not shortlist on this data — re-scrape the account first.</v>
      </c>
      <c r="L111" s="71">
        <f>IF(ISNUMBER(Matching_Engine!$M$111),Matching_Engine!$M$111,-1)</f>
        <v>-1</v>
      </c>
      <c r="M111" s="71">
        <f>IF(ISNUMBER(Matching_Engine!$S$111),Matching_Engine!$S$111,-1)</f>
        <v>-1</v>
      </c>
      <c r="N111" s="71">
        <f>IF(ISNUMBER(Matching_Engine!$Y$111),Matching_Engine!$Y$111,-1)</f>
        <v>-1</v>
      </c>
      <c r="O111" s="71">
        <f>IF(ISNUMBER(Matching_Engine!$AE$111),Matching_Engine!$AE$111,-1)</f>
        <v>-1</v>
      </c>
      <c r="P111" s="71">
        <f>IF(ISNUMBER(Matching_Engine!$AM$111),Matching_Engine!$AM$111,-1)</f>
        <v>-1</v>
      </c>
      <c r="Q111" s="71">
        <f>IF(ISNUMBER(Matching_Engine!$AT$111),Matching_Engine!$AT$111,-1)</f>
        <v>-1</v>
      </c>
      <c r="R111" s="71">
        <f>MAX($L$111:$Q$111)</f>
        <v>-1</v>
      </c>
      <c r="S111" s="57" t="str">
        <f>INDEX({"Brand &amp; Business Relevance","Target Audience Relevance","Content &amp; Category Relevance","Brand Personality Fit","Performance Quality","Brand Safety"},MATCH($R$111,$L$111:$Q$111,0))</f>
        <v>Brand &amp; Business Relevance</v>
      </c>
      <c r="T111" s="71">
        <f>IF(ISNUMBER(Matching_Engine!$M$111),Matching_Engine!$M$111,999)</f>
        <v>999</v>
      </c>
      <c r="U111" s="71">
        <f>IF(ISNUMBER(Matching_Engine!$S$111),Matching_Engine!$S$111,999)</f>
        <v>999</v>
      </c>
      <c r="V111" s="71">
        <f>IF(ISNUMBER(Matching_Engine!$Y$111),Matching_Engine!$Y$111,999)</f>
        <v>999</v>
      </c>
      <c r="W111" s="71">
        <f>IF(ISNUMBER(Matching_Engine!$AE$111),Matching_Engine!$AE$111,999)</f>
        <v>999</v>
      </c>
      <c r="X111" s="71">
        <f>IF(ISNUMBER(Matching_Engine!$AM$111),Matching_Engine!$AM$111,999)</f>
        <v>999</v>
      </c>
      <c r="Y111" s="71">
        <f>IF(ISNUMBER(Matching_Engine!$AT$111),Matching_Engine!$AT$111,999)</f>
        <v>999</v>
      </c>
      <c r="Z111" s="71">
        <f>MIN($T$111:$Y$111)</f>
        <v>999</v>
      </c>
      <c r="AA111" s="57" t="str">
        <f>INDEX({"Brand &amp; Business Relevance","Target Audience Relevance","Content &amp; Category Relevance","Brand Personality Fit","Performance Quality","Brand Safety"},MATCH($Z$111,$T$111:$Y$111,0))</f>
        <v>Brand &amp; Business Relevance</v>
      </c>
    </row>
    <row r="112" spans="1:27">
      <c r="A112" s="57">
        <f>Matching_Engine!$B$112</f>
        <v>0</v>
      </c>
      <c r="B112" s="57">
        <f>Matching_Engine!$D$112</f>
        <v>0</v>
      </c>
      <c r="C112" s="57">
        <f>Matching_Engine!$E$112</f>
        <v>0</v>
      </c>
      <c r="D112" s="70">
        <f>Matching_Engine!$AY$112</f>
        <v>0</v>
      </c>
      <c r="E112" s="57">
        <f>Matching_Engine!$AZ$112</f>
        <v>0</v>
      </c>
      <c r="F112" s="57" t="str">
        <f>IF(NOT(ISNUMBER(Matching_Engine!$AY$112)),"Not scored: no component of the model had data for this account, so no match can be claimed either way.",Matching_Engine!$AZ$112&amp;" — "&amp;Matching_Engine!$AY$112&amp;"/100 against "&amp;Matching_Engine!$B$112&amp;". "&amp;"Strongest factor "&amp;$S$112&amp;" at "&amp;$R$112&amp;"; weakest "&amp;$AA$112&amp;" at "&amp;$Z$112&amp;". "&amp;IF(AND(ISTEXT(Matching_Engine!$G$112),Matching_Engine!$G$112&lt;&gt;"N/A"),"Tagged category "&amp;Matching_Engine!$G$112&amp;" scores "&amp;IF(ISNUMBER(Matching_Engine!$J$112),Matching_Engine!$J$112,0)&amp;" against the brand category "&amp;Matching_Engine!$B$112&amp;" targets. ","Creator carries no category on record, so the category-driven parts fall back to neutral rather than penalising the creator. ")&amp;IF(ISNUMBER(Matching_Engine!$R$112),"Audience-interest overlap "&amp;Matching_Engine!$R$112&amp;". ","Audience interests unmeasured. ")&amp;IF(Matching_Engine!$AX$112&lt;100,"Scored on "&amp;Matching_Engine!$AX$112&amp;" of the 100 nominal weight points; the rest had no data.",""))</f>
        <v>Not scored: no component of the model had data for this account, so no match can be claimed either way.</v>
      </c>
      <c r="G112" s="57" t="str">
        <f>IF(NOT(ISNUMBER(Matching_Engine!$AY$112)),"N/A",$S$112&amp;" ("&amp;$R$112&amp;"/100)")</f>
        <v>N/A</v>
      </c>
      <c r="H112" s="57" t="str">
        <f>IF(NOT(ISNUMBER(Matching_Engine!$AY$112)),"N/A",$AA$112&amp;" ("&amp;$Z$112&amp;"/100)")</f>
        <v>N/A</v>
      </c>
      <c r="I112" s="57" t="str">
        <f>IF(NOT(ISNUMBER(Matching_Engine!$AY$112)),"No data to consider: this account has no measured signal.",IF($Z$112&lt;Lookup_Lists!$D$161,$AA$112&amp;" sits at "&amp;$Z$112&amp;", below the "&amp;Lookup_Lists!$D$161&amp;"-point consideration threshold"&amp;IF(Matching_Engine!$AF$112=0," · Brand Personality Fit could not be scored at all: no creator personality, tone, values or content-style column exists","")&amp;IF(Matching_Engine!$AI$112="N/A"," · posting cadence unusable, so Consistency is excluded from Performance","")&amp;".","No component falls below the "&amp;Lookup_Lists!$D$161&amp;"-point consideration threshold."))</f>
        <v>No data to consider: this account has no measured signal.</v>
      </c>
      <c r="J112" s="57" t="str">
        <f>Matching_Engine!$AV$112&amp;" — "&amp;Matching_Engine!$AW$112&amp;IF(Matching_Engine!$BB$112="Limited Data"," Confidence is Limited Data: "&amp;Matching_Engine!$BA$112&amp;"% of tracked fields carry a value.","")</f>
        <v> — </v>
      </c>
      <c r="K112" s="57" t="str">
        <f>IF(NOT(ISNUMBER(Matching_Engine!$AY$112)),"Do not shortlist on this data — re-scrape the account first.",IF(Matching_Engine!$AY$112&gt;=Lookup_Lists!$D$156,"Highly Recommended",IF(Matching_Engine!$AY$112&gt;=Lookup_Lists!$D$157,"Recommended",IF(Matching_Engine!$AY$112&gt;=Lookup_Lists!$D$158,"Consider","Low Priority")))&amp;IF(Matching_Engine!$AX$112&lt;100," (on partial data)",""))</f>
        <v>Do not shortlist on this data — re-scrape the account first.</v>
      </c>
      <c r="L112" s="71">
        <f>IF(ISNUMBER(Matching_Engine!$M$112),Matching_Engine!$M$112,-1)</f>
        <v>-1</v>
      </c>
      <c r="M112" s="71">
        <f>IF(ISNUMBER(Matching_Engine!$S$112),Matching_Engine!$S$112,-1)</f>
        <v>-1</v>
      </c>
      <c r="N112" s="71">
        <f>IF(ISNUMBER(Matching_Engine!$Y$112),Matching_Engine!$Y$112,-1)</f>
        <v>-1</v>
      </c>
      <c r="O112" s="71">
        <f>IF(ISNUMBER(Matching_Engine!$AE$112),Matching_Engine!$AE$112,-1)</f>
        <v>-1</v>
      </c>
      <c r="P112" s="71">
        <f>IF(ISNUMBER(Matching_Engine!$AM$112),Matching_Engine!$AM$112,-1)</f>
        <v>-1</v>
      </c>
      <c r="Q112" s="71">
        <f>IF(ISNUMBER(Matching_Engine!$AT$112),Matching_Engine!$AT$112,-1)</f>
        <v>-1</v>
      </c>
      <c r="R112" s="71">
        <f>MAX($L$112:$Q$112)</f>
        <v>-1</v>
      </c>
      <c r="S112" s="57" t="str">
        <f>INDEX({"Brand &amp; Business Relevance","Target Audience Relevance","Content &amp; Category Relevance","Brand Personality Fit","Performance Quality","Brand Safety"},MATCH($R$112,$L$112:$Q$112,0))</f>
        <v>Brand &amp; Business Relevance</v>
      </c>
      <c r="T112" s="71">
        <f>IF(ISNUMBER(Matching_Engine!$M$112),Matching_Engine!$M$112,999)</f>
        <v>999</v>
      </c>
      <c r="U112" s="71">
        <f>IF(ISNUMBER(Matching_Engine!$S$112),Matching_Engine!$S$112,999)</f>
        <v>999</v>
      </c>
      <c r="V112" s="71">
        <f>IF(ISNUMBER(Matching_Engine!$Y$112),Matching_Engine!$Y$112,999)</f>
        <v>999</v>
      </c>
      <c r="W112" s="71">
        <f>IF(ISNUMBER(Matching_Engine!$AE$112),Matching_Engine!$AE$112,999)</f>
        <v>999</v>
      </c>
      <c r="X112" s="71">
        <f>IF(ISNUMBER(Matching_Engine!$AM$112),Matching_Engine!$AM$112,999)</f>
        <v>999</v>
      </c>
      <c r="Y112" s="71">
        <f>IF(ISNUMBER(Matching_Engine!$AT$112),Matching_Engine!$AT$112,999)</f>
        <v>999</v>
      </c>
      <c r="Z112" s="71">
        <f>MIN($T$112:$Y$112)</f>
        <v>999</v>
      </c>
      <c r="AA112" s="57" t="str">
        <f>INDEX({"Brand &amp; Business Relevance","Target Audience Relevance","Content &amp; Category Relevance","Brand Personality Fit","Performance Quality","Brand Safety"},MATCH($Z$112,$T$112:$Y$112,0))</f>
        <v>Brand &amp; Business Relevance</v>
      </c>
    </row>
    <row r="113" spans="1:27">
      <c r="A113" s="57">
        <f>Matching_Engine!$B$113</f>
        <v>0</v>
      </c>
      <c r="B113" s="57">
        <f>Matching_Engine!$D$113</f>
        <v>0</v>
      </c>
      <c r="C113" s="57">
        <f>Matching_Engine!$E$113</f>
        <v>0</v>
      </c>
      <c r="D113" s="70">
        <f>Matching_Engine!$AY$113</f>
        <v>0</v>
      </c>
      <c r="E113" s="57">
        <f>Matching_Engine!$AZ$113</f>
        <v>0</v>
      </c>
      <c r="F113" s="57" t="str">
        <f>IF(NOT(ISNUMBER(Matching_Engine!$AY$113)),"Not scored: no component of the model had data for this account, so no match can be claimed either way.",Matching_Engine!$AZ$113&amp;" — "&amp;Matching_Engine!$AY$113&amp;"/100 against "&amp;Matching_Engine!$B$113&amp;". "&amp;"Strongest factor "&amp;$S$113&amp;" at "&amp;$R$113&amp;"; weakest "&amp;$AA$113&amp;" at "&amp;$Z$113&amp;". "&amp;IF(AND(ISTEXT(Matching_Engine!$G$113),Matching_Engine!$G$113&lt;&gt;"N/A"),"Tagged category "&amp;Matching_Engine!$G$113&amp;" scores "&amp;IF(ISNUMBER(Matching_Engine!$J$113),Matching_Engine!$J$113,0)&amp;" against the brand category "&amp;Matching_Engine!$B$113&amp;" targets. ","Creator carries no category on record, so the category-driven parts fall back to neutral rather than penalising the creator. ")&amp;IF(ISNUMBER(Matching_Engine!$R$113),"Audience-interest overlap "&amp;Matching_Engine!$R$113&amp;". ","Audience interests unmeasured. ")&amp;IF(Matching_Engine!$AX$113&lt;100,"Scored on "&amp;Matching_Engine!$AX$113&amp;" of the 100 nominal weight points; the rest had no data.",""))</f>
        <v>Not scored: no component of the model had data for this account, so no match can be claimed either way.</v>
      </c>
      <c r="G113" s="57" t="str">
        <f>IF(NOT(ISNUMBER(Matching_Engine!$AY$113)),"N/A",$S$113&amp;" ("&amp;$R$113&amp;"/100)")</f>
        <v>N/A</v>
      </c>
      <c r="H113" s="57" t="str">
        <f>IF(NOT(ISNUMBER(Matching_Engine!$AY$113)),"N/A",$AA$113&amp;" ("&amp;$Z$113&amp;"/100)")</f>
        <v>N/A</v>
      </c>
      <c r="I113" s="57" t="str">
        <f>IF(NOT(ISNUMBER(Matching_Engine!$AY$113)),"No data to consider: this account has no measured signal.",IF($Z$113&lt;Lookup_Lists!$D$161,$AA$113&amp;" sits at "&amp;$Z$113&amp;", below the "&amp;Lookup_Lists!$D$161&amp;"-point consideration threshold"&amp;IF(Matching_Engine!$AF$113=0," · Brand Personality Fit could not be scored at all: no creator personality, tone, values or content-style column exists","")&amp;IF(Matching_Engine!$AI$113="N/A"," · posting cadence unusable, so Consistency is excluded from Performance","")&amp;".","No component falls below the "&amp;Lookup_Lists!$D$161&amp;"-point consideration threshold."))</f>
        <v>No data to consider: this account has no measured signal.</v>
      </c>
      <c r="J113" s="57" t="str">
        <f>Matching_Engine!$AV$113&amp;" — "&amp;Matching_Engine!$AW$113&amp;IF(Matching_Engine!$BB$113="Limited Data"," Confidence is Limited Data: "&amp;Matching_Engine!$BA$113&amp;"% of tracked fields carry a value.","")</f>
        <v> — </v>
      </c>
      <c r="K113" s="57" t="str">
        <f>IF(NOT(ISNUMBER(Matching_Engine!$AY$113)),"Do not shortlist on this data — re-scrape the account first.",IF(Matching_Engine!$AY$113&gt;=Lookup_Lists!$D$156,"Highly Recommended",IF(Matching_Engine!$AY$113&gt;=Lookup_Lists!$D$157,"Recommended",IF(Matching_Engine!$AY$113&gt;=Lookup_Lists!$D$158,"Consider","Low Priority")))&amp;IF(Matching_Engine!$AX$113&lt;100," (on partial data)",""))</f>
        <v>Do not shortlist on this data — re-scrape the account first.</v>
      </c>
      <c r="L113" s="71">
        <f>IF(ISNUMBER(Matching_Engine!$M$113),Matching_Engine!$M$113,-1)</f>
        <v>-1</v>
      </c>
      <c r="M113" s="71">
        <f>IF(ISNUMBER(Matching_Engine!$S$113),Matching_Engine!$S$113,-1)</f>
        <v>-1</v>
      </c>
      <c r="N113" s="71">
        <f>IF(ISNUMBER(Matching_Engine!$Y$113),Matching_Engine!$Y$113,-1)</f>
        <v>-1</v>
      </c>
      <c r="O113" s="71">
        <f>IF(ISNUMBER(Matching_Engine!$AE$113),Matching_Engine!$AE$113,-1)</f>
        <v>-1</v>
      </c>
      <c r="P113" s="71">
        <f>IF(ISNUMBER(Matching_Engine!$AM$113),Matching_Engine!$AM$113,-1)</f>
        <v>-1</v>
      </c>
      <c r="Q113" s="71">
        <f>IF(ISNUMBER(Matching_Engine!$AT$113),Matching_Engine!$AT$113,-1)</f>
        <v>-1</v>
      </c>
      <c r="R113" s="71">
        <f>MAX($L$113:$Q$113)</f>
        <v>-1</v>
      </c>
      <c r="S113" s="57" t="str">
        <f>INDEX({"Brand &amp; Business Relevance","Target Audience Relevance","Content &amp; Category Relevance","Brand Personality Fit","Performance Quality","Brand Safety"},MATCH($R$113,$L$113:$Q$113,0))</f>
        <v>Brand &amp; Business Relevance</v>
      </c>
      <c r="T113" s="71">
        <f>IF(ISNUMBER(Matching_Engine!$M$113),Matching_Engine!$M$113,999)</f>
        <v>999</v>
      </c>
      <c r="U113" s="71">
        <f>IF(ISNUMBER(Matching_Engine!$S$113),Matching_Engine!$S$113,999)</f>
        <v>999</v>
      </c>
      <c r="V113" s="71">
        <f>IF(ISNUMBER(Matching_Engine!$Y$113),Matching_Engine!$Y$113,999)</f>
        <v>999</v>
      </c>
      <c r="W113" s="71">
        <f>IF(ISNUMBER(Matching_Engine!$AE$113),Matching_Engine!$AE$113,999)</f>
        <v>999</v>
      </c>
      <c r="X113" s="71">
        <f>IF(ISNUMBER(Matching_Engine!$AM$113),Matching_Engine!$AM$113,999)</f>
        <v>999</v>
      </c>
      <c r="Y113" s="71">
        <f>IF(ISNUMBER(Matching_Engine!$AT$113),Matching_Engine!$AT$113,999)</f>
        <v>999</v>
      </c>
      <c r="Z113" s="71">
        <f>MIN($T$113:$Y$113)</f>
        <v>999</v>
      </c>
      <c r="AA113" s="57" t="str">
        <f>INDEX({"Brand &amp; Business Relevance","Target Audience Relevance","Content &amp; Category Relevance","Brand Personality Fit","Performance Quality","Brand Safety"},MATCH($Z$113,$T$113:$Y$113,0))</f>
        <v>Brand &amp; Business Relevance</v>
      </c>
    </row>
    <row r="114" spans="1:27">
      <c r="A114" s="57">
        <f>Matching_Engine!$B$114</f>
        <v>0</v>
      </c>
      <c r="B114" s="57">
        <f>Matching_Engine!$D$114</f>
        <v>0</v>
      </c>
      <c r="C114" s="57">
        <f>Matching_Engine!$E$114</f>
        <v>0</v>
      </c>
      <c r="D114" s="70">
        <f>Matching_Engine!$AY$114</f>
        <v>0</v>
      </c>
      <c r="E114" s="57">
        <f>Matching_Engine!$AZ$114</f>
        <v>0</v>
      </c>
      <c r="F114" s="57" t="str">
        <f>IF(NOT(ISNUMBER(Matching_Engine!$AY$114)),"Not scored: no component of the model had data for this account, so no match can be claimed either way.",Matching_Engine!$AZ$114&amp;" — "&amp;Matching_Engine!$AY$114&amp;"/100 against "&amp;Matching_Engine!$B$114&amp;". "&amp;"Strongest factor "&amp;$S$114&amp;" at "&amp;$R$114&amp;"; weakest "&amp;$AA$114&amp;" at "&amp;$Z$114&amp;". "&amp;IF(AND(ISTEXT(Matching_Engine!$G$114),Matching_Engine!$G$114&lt;&gt;"N/A"),"Tagged category "&amp;Matching_Engine!$G$114&amp;" scores "&amp;IF(ISNUMBER(Matching_Engine!$J$114),Matching_Engine!$J$114,0)&amp;" against the brand category "&amp;Matching_Engine!$B$114&amp;" targets. ","Creator carries no category on record, so the category-driven parts fall back to neutral rather than penalising the creator. ")&amp;IF(ISNUMBER(Matching_Engine!$R$114),"Audience-interest overlap "&amp;Matching_Engine!$R$114&amp;". ","Audience interests unmeasured. ")&amp;IF(Matching_Engine!$AX$114&lt;100,"Scored on "&amp;Matching_Engine!$AX$114&amp;" of the 100 nominal weight points; the rest had no data.",""))</f>
        <v>Not scored: no component of the model had data for this account, so no match can be claimed either way.</v>
      </c>
      <c r="G114" s="57" t="str">
        <f>IF(NOT(ISNUMBER(Matching_Engine!$AY$114)),"N/A",$S$114&amp;" ("&amp;$R$114&amp;"/100)")</f>
        <v>N/A</v>
      </c>
      <c r="H114" s="57" t="str">
        <f>IF(NOT(ISNUMBER(Matching_Engine!$AY$114)),"N/A",$AA$114&amp;" ("&amp;$Z$114&amp;"/100)")</f>
        <v>N/A</v>
      </c>
      <c r="I114" s="57" t="str">
        <f>IF(NOT(ISNUMBER(Matching_Engine!$AY$114)),"No data to consider: this account has no measured signal.",IF($Z$114&lt;Lookup_Lists!$D$161,$AA$114&amp;" sits at "&amp;$Z$114&amp;", below the "&amp;Lookup_Lists!$D$161&amp;"-point consideration threshold"&amp;IF(Matching_Engine!$AF$114=0," · Brand Personality Fit could not be scored at all: no creator personality, tone, values or content-style column exists","")&amp;IF(Matching_Engine!$AI$114="N/A"," · posting cadence unusable, so Consistency is excluded from Performance","")&amp;".","No component falls below the "&amp;Lookup_Lists!$D$161&amp;"-point consideration threshold."))</f>
        <v>No data to consider: this account has no measured signal.</v>
      </c>
      <c r="J114" s="57" t="str">
        <f>Matching_Engine!$AV$114&amp;" — "&amp;Matching_Engine!$AW$114&amp;IF(Matching_Engine!$BB$114="Limited Data"," Confidence is Limited Data: "&amp;Matching_Engine!$BA$114&amp;"% of tracked fields carry a value.","")</f>
        <v> — </v>
      </c>
      <c r="K114" s="57" t="str">
        <f>IF(NOT(ISNUMBER(Matching_Engine!$AY$114)),"Do not shortlist on this data — re-scrape the account first.",IF(Matching_Engine!$AY$114&gt;=Lookup_Lists!$D$156,"Highly Recommended",IF(Matching_Engine!$AY$114&gt;=Lookup_Lists!$D$157,"Recommended",IF(Matching_Engine!$AY$114&gt;=Lookup_Lists!$D$158,"Consider","Low Priority")))&amp;IF(Matching_Engine!$AX$114&lt;100," (on partial data)",""))</f>
        <v>Do not shortlist on this data — re-scrape the account first.</v>
      </c>
      <c r="L114" s="71">
        <f>IF(ISNUMBER(Matching_Engine!$M$114),Matching_Engine!$M$114,-1)</f>
        <v>-1</v>
      </c>
      <c r="M114" s="71">
        <f>IF(ISNUMBER(Matching_Engine!$S$114),Matching_Engine!$S$114,-1)</f>
        <v>-1</v>
      </c>
      <c r="N114" s="71">
        <f>IF(ISNUMBER(Matching_Engine!$Y$114),Matching_Engine!$Y$114,-1)</f>
        <v>-1</v>
      </c>
      <c r="O114" s="71">
        <f>IF(ISNUMBER(Matching_Engine!$AE$114),Matching_Engine!$AE$114,-1)</f>
        <v>-1</v>
      </c>
      <c r="P114" s="71">
        <f>IF(ISNUMBER(Matching_Engine!$AM$114),Matching_Engine!$AM$114,-1)</f>
        <v>-1</v>
      </c>
      <c r="Q114" s="71">
        <f>IF(ISNUMBER(Matching_Engine!$AT$114),Matching_Engine!$AT$114,-1)</f>
        <v>-1</v>
      </c>
      <c r="R114" s="71">
        <f>MAX($L$114:$Q$114)</f>
        <v>-1</v>
      </c>
      <c r="S114" s="57" t="str">
        <f>INDEX({"Brand &amp; Business Relevance","Target Audience Relevance","Content &amp; Category Relevance","Brand Personality Fit","Performance Quality","Brand Safety"},MATCH($R$114,$L$114:$Q$114,0))</f>
        <v>Brand &amp; Business Relevance</v>
      </c>
      <c r="T114" s="71">
        <f>IF(ISNUMBER(Matching_Engine!$M$114),Matching_Engine!$M$114,999)</f>
        <v>999</v>
      </c>
      <c r="U114" s="71">
        <f>IF(ISNUMBER(Matching_Engine!$S$114),Matching_Engine!$S$114,999)</f>
        <v>999</v>
      </c>
      <c r="V114" s="71">
        <f>IF(ISNUMBER(Matching_Engine!$Y$114),Matching_Engine!$Y$114,999)</f>
        <v>999</v>
      </c>
      <c r="W114" s="71">
        <f>IF(ISNUMBER(Matching_Engine!$AE$114),Matching_Engine!$AE$114,999)</f>
        <v>999</v>
      </c>
      <c r="X114" s="71">
        <f>IF(ISNUMBER(Matching_Engine!$AM$114),Matching_Engine!$AM$114,999)</f>
        <v>999</v>
      </c>
      <c r="Y114" s="71">
        <f>IF(ISNUMBER(Matching_Engine!$AT$114),Matching_Engine!$AT$114,999)</f>
        <v>999</v>
      </c>
      <c r="Z114" s="71">
        <f>MIN($T$114:$Y$114)</f>
        <v>999</v>
      </c>
      <c r="AA114" s="57" t="str">
        <f>INDEX({"Brand &amp; Business Relevance","Target Audience Relevance","Content &amp; Category Relevance","Brand Personality Fit","Performance Quality","Brand Safety"},MATCH($Z$114,$T$114:$Y$114,0))</f>
        <v>Brand &amp; Business Relevance</v>
      </c>
    </row>
    <row r="115" spans="1:27">
      <c r="A115" s="57">
        <f>Matching_Engine!$B$115</f>
        <v>0</v>
      </c>
      <c r="B115" s="57">
        <f>Matching_Engine!$D$115</f>
        <v>0</v>
      </c>
      <c r="C115" s="57">
        <f>Matching_Engine!$E$115</f>
        <v>0</v>
      </c>
      <c r="D115" s="70">
        <f>Matching_Engine!$AY$115</f>
        <v>0</v>
      </c>
      <c r="E115" s="57">
        <f>Matching_Engine!$AZ$115</f>
        <v>0</v>
      </c>
      <c r="F115" s="57" t="str">
        <f>IF(NOT(ISNUMBER(Matching_Engine!$AY$115)),"Not scored: no component of the model had data for this account, so no match can be claimed either way.",Matching_Engine!$AZ$115&amp;" — "&amp;Matching_Engine!$AY$115&amp;"/100 against "&amp;Matching_Engine!$B$115&amp;". "&amp;"Strongest factor "&amp;$S$115&amp;" at "&amp;$R$115&amp;"; weakest "&amp;$AA$115&amp;" at "&amp;$Z$115&amp;". "&amp;IF(AND(ISTEXT(Matching_Engine!$G$115),Matching_Engine!$G$115&lt;&gt;"N/A"),"Tagged category "&amp;Matching_Engine!$G$115&amp;" scores "&amp;IF(ISNUMBER(Matching_Engine!$J$115),Matching_Engine!$J$115,0)&amp;" against the brand category "&amp;Matching_Engine!$B$115&amp;" targets. ","Creator carries no category on record, so the category-driven parts fall back to neutral rather than penalising the creator. ")&amp;IF(ISNUMBER(Matching_Engine!$R$115),"Audience-interest overlap "&amp;Matching_Engine!$R$115&amp;". ","Audience interests unmeasured. ")&amp;IF(Matching_Engine!$AX$115&lt;100,"Scored on "&amp;Matching_Engine!$AX$115&amp;" of the 100 nominal weight points; the rest had no data.",""))</f>
        <v>Not scored: no component of the model had data for this account, so no match can be claimed either way.</v>
      </c>
      <c r="G115" s="57" t="str">
        <f>IF(NOT(ISNUMBER(Matching_Engine!$AY$115)),"N/A",$S$115&amp;" ("&amp;$R$115&amp;"/100)")</f>
        <v>N/A</v>
      </c>
      <c r="H115" s="57" t="str">
        <f>IF(NOT(ISNUMBER(Matching_Engine!$AY$115)),"N/A",$AA$115&amp;" ("&amp;$Z$115&amp;"/100)")</f>
        <v>N/A</v>
      </c>
      <c r="I115" s="57" t="str">
        <f>IF(NOT(ISNUMBER(Matching_Engine!$AY$115)),"No data to consider: this account has no measured signal.",IF($Z$115&lt;Lookup_Lists!$D$161,$AA$115&amp;" sits at "&amp;$Z$115&amp;", below the "&amp;Lookup_Lists!$D$161&amp;"-point consideration threshold"&amp;IF(Matching_Engine!$AF$115=0," · Brand Personality Fit could not be scored at all: no creator personality, tone, values or content-style column exists","")&amp;IF(Matching_Engine!$AI$115="N/A"," · posting cadence unusable, so Consistency is excluded from Performance","")&amp;".","No component falls below the "&amp;Lookup_Lists!$D$161&amp;"-point consideration threshold."))</f>
        <v>No data to consider: this account has no measured signal.</v>
      </c>
      <c r="J115" s="57" t="str">
        <f>Matching_Engine!$AV$115&amp;" — "&amp;Matching_Engine!$AW$115&amp;IF(Matching_Engine!$BB$115="Limited Data"," Confidence is Limited Data: "&amp;Matching_Engine!$BA$115&amp;"% of tracked fields carry a value.","")</f>
        <v> — </v>
      </c>
      <c r="K115" s="57" t="str">
        <f>IF(NOT(ISNUMBER(Matching_Engine!$AY$115)),"Do not shortlist on this data — re-scrape the account first.",IF(Matching_Engine!$AY$115&gt;=Lookup_Lists!$D$156,"Highly Recommended",IF(Matching_Engine!$AY$115&gt;=Lookup_Lists!$D$157,"Recommended",IF(Matching_Engine!$AY$115&gt;=Lookup_Lists!$D$158,"Consider","Low Priority")))&amp;IF(Matching_Engine!$AX$115&lt;100," (on partial data)",""))</f>
        <v>Do not shortlist on this data — re-scrape the account first.</v>
      </c>
      <c r="L115" s="71">
        <f>IF(ISNUMBER(Matching_Engine!$M$115),Matching_Engine!$M$115,-1)</f>
        <v>-1</v>
      </c>
      <c r="M115" s="71">
        <f>IF(ISNUMBER(Matching_Engine!$S$115),Matching_Engine!$S$115,-1)</f>
        <v>-1</v>
      </c>
      <c r="N115" s="71">
        <f>IF(ISNUMBER(Matching_Engine!$Y$115),Matching_Engine!$Y$115,-1)</f>
        <v>-1</v>
      </c>
      <c r="O115" s="71">
        <f>IF(ISNUMBER(Matching_Engine!$AE$115),Matching_Engine!$AE$115,-1)</f>
        <v>-1</v>
      </c>
      <c r="P115" s="71">
        <f>IF(ISNUMBER(Matching_Engine!$AM$115),Matching_Engine!$AM$115,-1)</f>
        <v>-1</v>
      </c>
      <c r="Q115" s="71">
        <f>IF(ISNUMBER(Matching_Engine!$AT$115),Matching_Engine!$AT$115,-1)</f>
        <v>-1</v>
      </c>
      <c r="R115" s="71">
        <f>MAX($L$115:$Q$115)</f>
        <v>-1</v>
      </c>
      <c r="S115" s="57" t="str">
        <f>INDEX({"Brand &amp; Business Relevance","Target Audience Relevance","Content &amp; Category Relevance","Brand Personality Fit","Performance Quality","Brand Safety"},MATCH($R$115,$L$115:$Q$115,0))</f>
        <v>Brand &amp; Business Relevance</v>
      </c>
      <c r="T115" s="71">
        <f>IF(ISNUMBER(Matching_Engine!$M$115),Matching_Engine!$M$115,999)</f>
        <v>999</v>
      </c>
      <c r="U115" s="71">
        <f>IF(ISNUMBER(Matching_Engine!$S$115),Matching_Engine!$S$115,999)</f>
        <v>999</v>
      </c>
      <c r="V115" s="71">
        <f>IF(ISNUMBER(Matching_Engine!$Y$115),Matching_Engine!$Y$115,999)</f>
        <v>999</v>
      </c>
      <c r="W115" s="71">
        <f>IF(ISNUMBER(Matching_Engine!$AE$115),Matching_Engine!$AE$115,999)</f>
        <v>999</v>
      </c>
      <c r="X115" s="71">
        <f>IF(ISNUMBER(Matching_Engine!$AM$115),Matching_Engine!$AM$115,999)</f>
        <v>999</v>
      </c>
      <c r="Y115" s="71">
        <f>IF(ISNUMBER(Matching_Engine!$AT$115),Matching_Engine!$AT$115,999)</f>
        <v>999</v>
      </c>
      <c r="Z115" s="71">
        <f>MIN($T$115:$Y$115)</f>
        <v>999</v>
      </c>
      <c r="AA115" s="57" t="str">
        <f>INDEX({"Brand &amp; Business Relevance","Target Audience Relevance","Content &amp; Category Relevance","Brand Personality Fit","Performance Quality","Brand Safety"},MATCH($Z$115,$T$115:$Y$115,0))</f>
        <v>Brand &amp; Business Relevance</v>
      </c>
    </row>
    <row r="116" spans="1:27">
      <c r="A116" s="57">
        <f>Matching_Engine!$B$116</f>
        <v>0</v>
      </c>
      <c r="B116" s="57">
        <f>Matching_Engine!$D$116</f>
        <v>0</v>
      </c>
      <c r="C116" s="57">
        <f>Matching_Engine!$E$116</f>
        <v>0</v>
      </c>
      <c r="D116" s="70">
        <f>Matching_Engine!$AY$116</f>
        <v>0</v>
      </c>
      <c r="E116" s="57">
        <f>Matching_Engine!$AZ$116</f>
        <v>0</v>
      </c>
      <c r="F116" s="57" t="str">
        <f>IF(NOT(ISNUMBER(Matching_Engine!$AY$116)),"Not scored: no component of the model had data for this account, so no match can be claimed either way.",Matching_Engine!$AZ$116&amp;" — "&amp;Matching_Engine!$AY$116&amp;"/100 against "&amp;Matching_Engine!$B$116&amp;". "&amp;"Strongest factor "&amp;$S$116&amp;" at "&amp;$R$116&amp;"; weakest "&amp;$AA$116&amp;" at "&amp;$Z$116&amp;". "&amp;IF(AND(ISTEXT(Matching_Engine!$G$116),Matching_Engine!$G$116&lt;&gt;"N/A"),"Tagged category "&amp;Matching_Engine!$G$116&amp;" scores "&amp;IF(ISNUMBER(Matching_Engine!$J$116),Matching_Engine!$J$116,0)&amp;" against the brand category "&amp;Matching_Engine!$B$116&amp;" targets. ","Creator carries no category on record, so the category-driven parts fall back to neutral rather than penalising the creator. ")&amp;IF(ISNUMBER(Matching_Engine!$R$116),"Audience-interest overlap "&amp;Matching_Engine!$R$116&amp;". ","Audience interests unmeasured. ")&amp;IF(Matching_Engine!$AX$116&lt;100,"Scored on "&amp;Matching_Engine!$AX$116&amp;" of the 100 nominal weight points; the rest had no data.",""))</f>
        <v>Not scored: no component of the model had data for this account, so no match can be claimed either way.</v>
      </c>
      <c r="G116" s="57" t="str">
        <f>IF(NOT(ISNUMBER(Matching_Engine!$AY$116)),"N/A",$S$116&amp;" ("&amp;$R$116&amp;"/100)")</f>
        <v>N/A</v>
      </c>
      <c r="H116" s="57" t="str">
        <f>IF(NOT(ISNUMBER(Matching_Engine!$AY$116)),"N/A",$AA$116&amp;" ("&amp;$Z$116&amp;"/100)")</f>
        <v>N/A</v>
      </c>
      <c r="I116" s="57" t="str">
        <f>IF(NOT(ISNUMBER(Matching_Engine!$AY$116)),"No data to consider: this account has no measured signal.",IF($Z$116&lt;Lookup_Lists!$D$161,$AA$116&amp;" sits at "&amp;$Z$116&amp;", below the "&amp;Lookup_Lists!$D$161&amp;"-point consideration threshold"&amp;IF(Matching_Engine!$AF$116=0," · Brand Personality Fit could not be scored at all: no creator personality, tone, values or content-style column exists","")&amp;IF(Matching_Engine!$AI$116="N/A"," · posting cadence unusable, so Consistency is excluded from Performance","")&amp;".","No component falls below the "&amp;Lookup_Lists!$D$161&amp;"-point consideration threshold."))</f>
        <v>No data to consider: this account has no measured signal.</v>
      </c>
      <c r="J116" s="57" t="str">
        <f>Matching_Engine!$AV$116&amp;" — "&amp;Matching_Engine!$AW$116&amp;IF(Matching_Engine!$BB$116="Limited Data"," Confidence is Limited Data: "&amp;Matching_Engine!$BA$116&amp;"% of tracked fields carry a value.","")</f>
        <v> — </v>
      </c>
      <c r="K116" s="57" t="str">
        <f>IF(NOT(ISNUMBER(Matching_Engine!$AY$116)),"Do not shortlist on this data — re-scrape the account first.",IF(Matching_Engine!$AY$116&gt;=Lookup_Lists!$D$156,"Highly Recommended",IF(Matching_Engine!$AY$116&gt;=Lookup_Lists!$D$157,"Recommended",IF(Matching_Engine!$AY$116&gt;=Lookup_Lists!$D$158,"Consider","Low Priority")))&amp;IF(Matching_Engine!$AX$116&lt;100," (on partial data)",""))</f>
        <v>Do not shortlist on this data — re-scrape the account first.</v>
      </c>
      <c r="L116" s="71">
        <f>IF(ISNUMBER(Matching_Engine!$M$116),Matching_Engine!$M$116,-1)</f>
        <v>-1</v>
      </c>
      <c r="M116" s="71">
        <f>IF(ISNUMBER(Matching_Engine!$S$116),Matching_Engine!$S$116,-1)</f>
        <v>-1</v>
      </c>
      <c r="N116" s="71">
        <f>IF(ISNUMBER(Matching_Engine!$Y$116),Matching_Engine!$Y$116,-1)</f>
        <v>-1</v>
      </c>
      <c r="O116" s="71">
        <f>IF(ISNUMBER(Matching_Engine!$AE$116),Matching_Engine!$AE$116,-1)</f>
        <v>-1</v>
      </c>
      <c r="P116" s="71">
        <f>IF(ISNUMBER(Matching_Engine!$AM$116),Matching_Engine!$AM$116,-1)</f>
        <v>-1</v>
      </c>
      <c r="Q116" s="71">
        <f>IF(ISNUMBER(Matching_Engine!$AT$116),Matching_Engine!$AT$116,-1)</f>
        <v>-1</v>
      </c>
      <c r="R116" s="71">
        <f>MAX($L$116:$Q$116)</f>
        <v>-1</v>
      </c>
      <c r="S116" s="57" t="str">
        <f>INDEX({"Brand &amp; Business Relevance","Target Audience Relevance","Content &amp; Category Relevance","Brand Personality Fit","Performance Quality","Brand Safety"},MATCH($R$116,$L$116:$Q$116,0))</f>
        <v>Brand &amp; Business Relevance</v>
      </c>
      <c r="T116" s="71">
        <f>IF(ISNUMBER(Matching_Engine!$M$116),Matching_Engine!$M$116,999)</f>
        <v>999</v>
      </c>
      <c r="U116" s="71">
        <f>IF(ISNUMBER(Matching_Engine!$S$116),Matching_Engine!$S$116,999)</f>
        <v>999</v>
      </c>
      <c r="V116" s="71">
        <f>IF(ISNUMBER(Matching_Engine!$Y$116),Matching_Engine!$Y$116,999)</f>
        <v>999</v>
      </c>
      <c r="W116" s="71">
        <f>IF(ISNUMBER(Matching_Engine!$AE$116),Matching_Engine!$AE$116,999)</f>
        <v>999</v>
      </c>
      <c r="X116" s="71">
        <f>IF(ISNUMBER(Matching_Engine!$AM$116),Matching_Engine!$AM$116,999)</f>
        <v>999</v>
      </c>
      <c r="Y116" s="71">
        <f>IF(ISNUMBER(Matching_Engine!$AT$116),Matching_Engine!$AT$116,999)</f>
        <v>999</v>
      </c>
      <c r="Z116" s="71">
        <f>MIN($T$116:$Y$116)</f>
        <v>999</v>
      </c>
      <c r="AA116" s="57" t="str">
        <f>INDEX({"Brand &amp; Business Relevance","Target Audience Relevance","Content &amp; Category Relevance","Brand Personality Fit","Performance Quality","Brand Safety"},MATCH($Z$116,$T$116:$Y$116,0))</f>
        <v>Brand &amp; Business Relevance</v>
      </c>
    </row>
    <row r="117" spans="1:27">
      <c r="A117" s="57">
        <f>Matching_Engine!$B$117</f>
        <v>0</v>
      </c>
      <c r="B117" s="57">
        <f>Matching_Engine!$D$117</f>
        <v>0</v>
      </c>
      <c r="C117" s="57">
        <f>Matching_Engine!$E$117</f>
        <v>0</v>
      </c>
      <c r="D117" s="70">
        <f>Matching_Engine!$AY$117</f>
        <v>0</v>
      </c>
      <c r="E117" s="57">
        <f>Matching_Engine!$AZ$117</f>
        <v>0</v>
      </c>
      <c r="F117" s="57" t="str">
        <f>IF(NOT(ISNUMBER(Matching_Engine!$AY$117)),"Not scored: no component of the model had data for this account, so no match can be claimed either way.",Matching_Engine!$AZ$117&amp;" — "&amp;Matching_Engine!$AY$117&amp;"/100 against "&amp;Matching_Engine!$B$117&amp;". "&amp;"Strongest factor "&amp;$S$117&amp;" at "&amp;$R$117&amp;"; weakest "&amp;$AA$117&amp;" at "&amp;$Z$117&amp;". "&amp;IF(AND(ISTEXT(Matching_Engine!$G$117),Matching_Engine!$G$117&lt;&gt;"N/A"),"Tagged category "&amp;Matching_Engine!$G$117&amp;" scores "&amp;IF(ISNUMBER(Matching_Engine!$J$117),Matching_Engine!$J$117,0)&amp;" against the brand category "&amp;Matching_Engine!$B$117&amp;" targets. ","Creator carries no category on record, so the category-driven parts fall back to neutral rather than penalising the creator. ")&amp;IF(ISNUMBER(Matching_Engine!$R$117),"Audience-interest overlap "&amp;Matching_Engine!$R$117&amp;". ","Audience interests unmeasured. ")&amp;IF(Matching_Engine!$AX$117&lt;100,"Scored on "&amp;Matching_Engine!$AX$117&amp;" of the 100 nominal weight points; the rest had no data.",""))</f>
        <v>Not scored: no component of the model had data for this account, so no match can be claimed either way.</v>
      </c>
      <c r="G117" s="57" t="str">
        <f>IF(NOT(ISNUMBER(Matching_Engine!$AY$117)),"N/A",$S$117&amp;" ("&amp;$R$117&amp;"/100)")</f>
        <v>N/A</v>
      </c>
      <c r="H117" s="57" t="str">
        <f>IF(NOT(ISNUMBER(Matching_Engine!$AY$117)),"N/A",$AA$117&amp;" ("&amp;$Z$117&amp;"/100)")</f>
        <v>N/A</v>
      </c>
      <c r="I117" s="57" t="str">
        <f>IF(NOT(ISNUMBER(Matching_Engine!$AY$117)),"No data to consider: this account has no measured signal.",IF($Z$117&lt;Lookup_Lists!$D$161,$AA$117&amp;" sits at "&amp;$Z$117&amp;", below the "&amp;Lookup_Lists!$D$161&amp;"-point consideration threshold"&amp;IF(Matching_Engine!$AF$117=0," · Brand Personality Fit could not be scored at all: no creator personality, tone, values or content-style column exists","")&amp;IF(Matching_Engine!$AI$117="N/A"," · posting cadence unusable, so Consistency is excluded from Performance","")&amp;".","No component falls below the "&amp;Lookup_Lists!$D$161&amp;"-point consideration threshold."))</f>
        <v>No data to consider: this account has no measured signal.</v>
      </c>
      <c r="J117" s="57" t="str">
        <f>Matching_Engine!$AV$117&amp;" — "&amp;Matching_Engine!$AW$117&amp;IF(Matching_Engine!$BB$117="Limited Data"," Confidence is Limited Data: "&amp;Matching_Engine!$BA$117&amp;"% of tracked fields carry a value.","")</f>
        <v> — </v>
      </c>
      <c r="K117" s="57" t="str">
        <f>IF(NOT(ISNUMBER(Matching_Engine!$AY$117)),"Do not shortlist on this data — re-scrape the account first.",IF(Matching_Engine!$AY$117&gt;=Lookup_Lists!$D$156,"Highly Recommended",IF(Matching_Engine!$AY$117&gt;=Lookup_Lists!$D$157,"Recommended",IF(Matching_Engine!$AY$117&gt;=Lookup_Lists!$D$158,"Consider","Low Priority")))&amp;IF(Matching_Engine!$AX$117&lt;100," (on partial data)",""))</f>
        <v>Do not shortlist on this data — re-scrape the account first.</v>
      </c>
      <c r="L117" s="71">
        <f>IF(ISNUMBER(Matching_Engine!$M$117),Matching_Engine!$M$117,-1)</f>
        <v>-1</v>
      </c>
      <c r="M117" s="71">
        <f>IF(ISNUMBER(Matching_Engine!$S$117),Matching_Engine!$S$117,-1)</f>
        <v>-1</v>
      </c>
      <c r="N117" s="71">
        <f>IF(ISNUMBER(Matching_Engine!$Y$117),Matching_Engine!$Y$117,-1)</f>
        <v>-1</v>
      </c>
      <c r="O117" s="71">
        <f>IF(ISNUMBER(Matching_Engine!$AE$117),Matching_Engine!$AE$117,-1)</f>
        <v>-1</v>
      </c>
      <c r="P117" s="71">
        <f>IF(ISNUMBER(Matching_Engine!$AM$117),Matching_Engine!$AM$117,-1)</f>
        <v>-1</v>
      </c>
      <c r="Q117" s="71">
        <f>IF(ISNUMBER(Matching_Engine!$AT$117),Matching_Engine!$AT$117,-1)</f>
        <v>-1</v>
      </c>
      <c r="R117" s="71">
        <f>MAX($L$117:$Q$117)</f>
        <v>-1</v>
      </c>
      <c r="S117" s="57" t="str">
        <f>INDEX({"Brand &amp; Business Relevance","Target Audience Relevance","Content &amp; Category Relevance","Brand Personality Fit","Performance Quality","Brand Safety"},MATCH($R$117,$L$117:$Q$117,0))</f>
        <v>Brand &amp; Business Relevance</v>
      </c>
      <c r="T117" s="71">
        <f>IF(ISNUMBER(Matching_Engine!$M$117),Matching_Engine!$M$117,999)</f>
        <v>999</v>
      </c>
      <c r="U117" s="71">
        <f>IF(ISNUMBER(Matching_Engine!$S$117),Matching_Engine!$S$117,999)</f>
        <v>999</v>
      </c>
      <c r="V117" s="71">
        <f>IF(ISNUMBER(Matching_Engine!$Y$117),Matching_Engine!$Y$117,999)</f>
        <v>999</v>
      </c>
      <c r="W117" s="71">
        <f>IF(ISNUMBER(Matching_Engine!$AE$117),Matching_Engine!$AE$117,999)</f>
        <v>999</v>
      </c>
      <c r="X117" s="71">
        <f>IF(ISNUMBER(Matching_Engine!$AM$117),Matching_Engine!$AM$117,999)</f>
        <v>999</v>
      </c>
      <c r="Y117" s="71">
        <f>IF(ISNUMBER(Matching_Engine!$AT$117),Matching_Engine!$AT$117,999)</f>
        <v>999</v>
      </c>
      <c r="Z117" s="71">
        <f>MIN($T$117:$Y$117)</f>
        <v>999</v>
      </c>
      <c r="AA117" s="57" t="str">
        <f>INDEX({"Brand &amp; Business Relevance","Target Audience Relevance","Content &amp; Category Relevance","Brand Personality Fit","Performance Quality","Brand Safety"},MATCH($Z$117,$T$117:$Y$117,0))</f>
        <v>Brand &amp; Business Relevance</v>
      </c>
    </row>
    <row r="118" spans="1:27">
      <c r="A118" s="57">
        <f>Matching_Engine!$B$118</f>
        <v>0</v>
      </c>
      <c r="B118" s="57">
        <f>Matching_Engine!$D$118</f>
        <v>0</v>
      </c>
      <c r="C118" s="57">
        <f>Matching_Engine!$E$118</f>
        <v>0</v>
      </c>
      <c r="D118" s="70">
        <f>Matching_Engine!$AY$118</f>
        <v>0</v>
      </c>
      <c r="E118" s="57">
        <f>Matching_Engine!$AZ$118</f>
        <v>0</v>
      </c>
      <c r="F118" s="57" t="str">
        <f>IF(NOT(ISNUMBER(Matching_Engine!$AY$118)),"Not scored: no component of the model had data for this account, so no match can be claimed either way.",Matching_Engine!$AZ$118&amp;" — "&amp;Matching_Engine!$AY$118&amp;"/100 against "&amp;Matching_Engine!$B$118&amp;". "&amp;"Strongest factor "&amp;$S$118&amp;" at "&amp;$R$118&amp;"; weakest "&amp;$AA$118&amp;" at "&amp;$Z$118&amp;". "&amp;IF(AND(ISTEXT(Matching_Engine!$G$118),Matching_Engine!$G$118&lt;&gt;"N/A"),"Tagged category "&amp;Matching_Engine!$G$118&amp;" scores "&amp;IF(ISNUMBER(Matching_Engine!$J$118),Matching_Engine!$J$118,0)&amp;" against the brand category "&amp;Matching_Engine!$B$118&amp;" targets. ","Creator carries no category on record, so the category-driven parts fall back to neutral rather than penalising the creator. ")&amp;IF(ISNUMBER(Matching_Engine!$R$118),"Audience-interest overlap "&amp;Matching_Engine!$R$118&amp;". ","Audience interests unmeasured. ")&amp;IF(Matching_Engine!$AX$118&lt;100,"Scored on "&amp;Matching_Engine!$AX$118&amp;" of the 100 nominal weight points; the rest had no data.",""))</f>
        <v>Not scored: no component of the model had data for this account, so no match can be claimed either way.</v>
      </c>
      <c r="G118" s="57" t="str">
        <f>IF(NOT(ISNUMBER(Matching_Engine!$AY$118)),"N/A",$S$118&amp;" ("&amp;$R$118&amp;"/100)")</f>
        <v>N/A</v>
      </c>
      <c r="H118" s="57" t="str">
        <f>IF(NOT(ISNUMBER(Matching_Engine!$AY$118)),"N/A",$AA$118&amp;" ("&amp;$Z$118&amp;"/100)")</f>
        <v>N/A</v>
      </c>
      <c r="I118" s="57" t="str">
        <f>IF(NOT(ISNUMBER(Matching_Engine!$AY$118)),"No data to consider: this account has no measured signal.",IF($Z$118&lt;Lookup_Lists!$D$161,$AA$118&amp;" sits at "&amp;$Z$118&amp;", below the "&amp;Lookup_Lists!$D$161&amp;"-point consideration threshold"&amp;IF(Matching_Engine!$AF$118=0," · Brand Personality Fit could not be scored at all: no creator personality, tone, values or content-style column exists","")&amp;IF(Matching_Engine!$AI$118="N/A"," · posting cadence unusable, so Consistency is excluded from Performance","")&amp;".","No component falls below the "&amp;Lookup_Lists!$D$161&amp;"-point consideration threshold."))</f>
        <v>No data to consider: this account has no measured signal.</v>
      </c>
      <c r="J118" s="57" t="str">
        <f>Matching_Engine!$AV$118&amp;" — "&amp;Matching_Engine!$AW$118&amp;IF(Matching_Engine!$BB$118="Limited Data"," Confidence is Limited Data: "&amp;Matching_Engine!$BA$118&amp;"% of tracked fields carry a value.","")</f>
        <v> — </v>
      </c>
      <c r="K118" s="57" t="str">
        <f>IF(NOT(ISNUMBER(Matching_Engine!$AY$118)),"Do not shortlist on this data — re-scrape the account first.",IF(Matching_Engine!$AY$118&gt;=Lookup_Lists!$D$156,"Highly Recommended",IF(Matching_Engine!$AY$118&gt;=Lookup_Lists!$D$157,"Recommended",IF(Matching_Engine!$AY$118&gt;=Lookup_Lists!$D$158,"Consider","Low Priority")))&amp;IF(Matching_Engine!$AX$118&lt;100," (on partial data)",""))</f>
        <v>Do not shortlist on this data — re-scrape the account first.</v>
      </c>
      <c r="L118" s="71">
        <f>IF(ISNUMBER(Matching_Engine!$M$118),Matching_Engine!$M$118,-1)</f>
        <v>-1</v>
      </c>
      <c r="M118" s="71">
        <f>IF(ISNUMBER(Matching_Engine!$S$118),Matching_Engine!$S$118,-1)</f>
        <v>-1</v>
      </c>
      <c r="N118" s="71">
        <f>IF(ISNUMBER(Matching_Engine!$Y$118),Matching_Engine!$Y$118,-1)</f>
        <v>-1</v>
      </c>
      <c r="O118" s="71">
        <f>IF(ISNUMBER(Matching_Engine!$AE$118),Matching_Engine!$AE$118,-1)</f>
        <v>-1</v>
      </c>
      <c r="P118" s="71">
        <f>IF(ISNUMBER(Matching_Engine!$AM$118),Matching_Engine!$AM$118,-1)</f>
        <v>-1</v>
      </c>
      <c r="Q118" s="71">
        <f>IF(ISNUMBER(Matching_Engine!$AT$118),Matching_Engine!$AT$118,-1)</f>
        <v>-1</v>
      </c>
      <c r="R118" s="71">
        <f>MAX($L$118:$Q$118)</f>
        <v>-1</v>
      </c>
      <c r="S118" s="57" t="str">
        <f>INDEX({"Brand &amp; Business Relevance","Target Audience Relevance","Content &amp; Category Relevance","Brand Personality Fit","Performance Quality","Brand Safety"},MATCH($R$118,$L$118:$Q$118,0))</f>
        <v>Brand &amp; Business Relevance</v>
      </c>
      <c r="T118" s="71">
        <f>IF(ISNUMBER(Matching_Engine!$M$118),Matching_Engine!$M$118,999)</f>
        <v>999</v>
      </c>
      <c r="U118" s="71">
        <f>IF(ISNUMBER(Matching_Engine!$S$118),Matching_Engine!$S$118,999)</f>
        <v>999</v>
      </c>
      <c r="V118" s="71">
        <f>IF(ISNUMBER(Matching_Engine!$Y$118),Matching_Engine!$Y$118,999)</f>
        <v>999</v>
      </c>
      <c r="W118" s="71">
        <f>IF(ISNUMBER(Matching_Engine!$AE$118),Matching_Engine!$AE$118,999)</f>
        <v>999</v>
      </c>
      <c r="X118" s="71">
        <f>IF(ISNUMBER(Matching_Engine!$AM$118),Matching_Engine!$AM$118,999)</f>
        <v>999</v>
      </c>
      <c r="Y118" s="71">
        <f>IF(ISNUMBER(Matching_Engine!$AT$118),Matching_Engine!$AT$118,999)</f>
        <v>999</v>
      </c>
      <c r="Z118" s="71">
        <f>MIN($T$118:$Y$118)</f>
        <v>999</v>
      </c>
      <c r="AA118" s="57" t="str">
        <f>INDEX({"Brand &amp; Business Relevance","Target Audience Relevance","Content &amp; Category Relevance","Brand Personality Fit","Performance Quality","Brand Safety"},MATCH($Z$118,$T$118:$Y$118,0))</f>
        <v>Brand &amp; Business Relevance</v>
      </c>
    </row>
    <row r="119" spans="1:27">
      <c r="A119" s="57">
        <f>Matching_Engine!$B$119</f>
        <v>0</v>
      </c>
      <c r="B119" s="57">
        <f>Matching_Engine!$D$119</f>
        <v>0</v>
      </c>
      <c r="C119" s="57">
        <f>Matching_Engine!$E$119</f>
        <v>0</v>
      </c>
      <c r="D119" s="70">
        <f>Matching_Engine!$AY$119</f>
        <v>0</v>
      </c>
      <c r="E119" s="57">
        <f>Matching_Engine!$AZ$119</f>
        <v>0</v>
      </c>
      <c r="F119" s="57" t="str">
        <f>IF(NOT(ISNUMBER(Matching_Engine!$AY$119)),"Not scored: no component of the model had data for this account, so no match can be claimed either way.",Matching_Engine!$AZ$119&amp;" — "&amp;Matching_Engine!$AY$119&amp;"/100 against "&amp;Matching_Engine!$B$119&amp;". "&amp;"Strongest factor "&amp;$S$119&amp;" at "&amp;$R$119&amp;"; weakest "&amp;$AA$119&amp;" at "&amp;$Z$119&amp;". "&amp;IF(AND(ISTEXT(Matching_Engine!$G$119),Matching_Engine!$G$119&lt;&gt;"N/A"),"Tagged category "&amp;Matching_Engine!$G$119&amp;" scores "&amp;IF(ISNUMBER(Matching_Engine!$J$119),Matching_Engine!$J$119,0)&amp;" against the brand category "&amp;Matching_Engine!$B$119&amp;" targets. ","Creator carries no category on record, so the category-driven parts fall back to neutral rather than penalising the creator. ")&amp;IF(ISNUMBER(Matching_Engine!$R$119),"Audience-interest overlap "&amp;Matching_Engine!$R$119&amp;". ","Audience interests unmeasured. ")&amp;IF(Matching_Engine!$AX$119&lt;100,"Scored on "&amp;Matching_Engine!$AX$119&amp;" of the 100 nominal weight points; the rest had no data.",""))</f>
        <v>Not scored: no component of the model had data for this account, so no match can be claimed either way.</v>
      </c>
      <c r="G119" s="57" t="str">
        <f>IF(NOT(ISNUMBER(Matching_Engine!$AY$119)),"N/A",$S$119&amp;" ("&amp;$R$119&amp;"/100)")</f>
        <v>N/A</v>
      </c>
      <c r="H119" s="57" t="str">
        <f>IF(NOT(ISNUMBER(Matching_Engine!$AY$119)),"N/A",$AA$119&amp;" ("&amp;$Z$119&amp;"/100)")</f>
        <v>N/A</v>
      </c>
      <c r="I119" s="57" t="str">
        <f>IF(NOT(ISNUMBER(Matching_Engine!$AY$119)),"No data to consider: this account has no measured signal.",IF($Z$119&lt;Lookup_Lists!$D$161,$AA$119&amp;" sits at "&amp;$Z$119&amp;", below the "&amp;Lookup_Lists!$D$161&amp;"-point consideration threshold"&amp;IF(Matching_Engine!$AF$119=0," · Brand Personality Fit could not be scored at all: no creator personality, tone, values or content-style column exists","")&amp;IF(Matching_Engine!$AI$119="N/A"," · posting cadence unusable, so Consistency is excluded from Performance","")&amp;".","No component falls below the "&amp;Lookup_Lists!$D$161&amp;"-point consideration threshold."))</f>
        <v>No data to consider: this account has no measured signal.</v>
      </c>
      <c r="J119" s="57" t="str">
        <f>Matching_Engine!$AV$119&amp;" — "&amp;Matching_Engine!$AW$119&amp;IF(Matching_Engine!$BB$119="Limited Data"," Confidence is Limited Data: "&amp;Matching_Engine!$BA$119&amp;"% of tracked fields carry a value.","")</f>
        <v> — </v>
      </c>
      <c r="K119" s="57" t="str">
        <f>IF(NOT(ISNUMBER(Matching_Engine!$AY$119)),"Do not shortlist on this data — re-scrape the account first.",IF(Matching_Engine!$AY$119&gt;=Lookup_Lists!$D$156,"Highly Recommended",IF(Matching_Engine!$AY$119&gt;=Lookup_Lists!$D$157,"Recommended",IF(Matching_Engine!$AY$119&gt;=Lookup_Lists!$D$158,"Consider","Low Priority")))&amp;IF(Matching_Engine!$AX$119&lt;100," (on partial data)",""))</f>
        <v>Do not shortlist on this data — re-scrape the account first.</v>
      </c>
      <c r="L119" s="71">
        <f>IF(ISNUMBER(Matching_Engine!$M$119),Matching_Engine!$M$119,-1)</f>
        <v>-1</v>
      </c>
      <c r="M119" s="71">
        <f>IF(ISNUMBER(Matching_Engine!$S$119),Matching_Engine!$S$119,-1)</f>
        <v>-1</v>
      </c>
      <c r="N119" s="71">
        <f>IF(ISNUMBER(Matching_Engine!$Y$119),Matching_Engine!$Y$119,-1)</f>
        <v>-1</v>
      </c>
      <c r="O119" s="71">
        <f>IF(ISNUMBER(Matching_Engine!$AE$119),Matching_Engine!$AE$119,-1)</f>
        <v>-1</v>
      </c>
      <c r="P119" s="71">
        <f>IF(ISNUMBER(Matching_Engine!$AM$119),Matching_Engine!$AM$119,-1)</f>
        <v>-1</v>
      </c>
      <c r="Q119" s="71">
        <f>IF(ISNUMBER(Matching_Engine!$AT$119),Matching_Engine!$AT$119,-1)</f>
        <v>-1</v>
      </c>
      <c r="R119" s="71">
        <f>MAX($L$119:$Q$119)</f>
        <v>-1</v>
      </c>
      <c r="S119" s="57" t="str">
        <f>INDEX({"Brand &amp; Business Relevance","Target Audience Relevance","Content &amp; Category Relevance","Brand Personality Fit","Performance Quality","Brand Safety"},MATCH($R$119,$L$119:$Q$119,0))</f>
        <v>Brand &amp; Business Relevance</v>
      </c>
      <c r="T119" s="71">
        <f>IF(ISNUMBER(Matching_Engine!$M$119),Matching_Engine!$M$119,999)</f>
        <v>999</v>
      </c>
      <c r="U119" s="71">
        <f>IF(ISNUMBER(Matching_Engine!$S$119),Matching_Engine!$S$119,999)</f>
        <v>999</v>
      </c>
      <c r="V119" s="71">
        <f>IF(ISNUMBER(Matching_Engine!$Y$119),Matching_Engine!$Y$119,999)</f>
        <v>999</v>
      </c>
      <c r="W119" s="71">
        <f>IF(ISNUMBER(Matching_Engine!$AE$119),Matching_Engine!$AE$119,999)</f>
        <v>999</v>
      </c>
      <c r="X119" s="71">
        <f>IF(ISNUMBER(Matching_Engine!$AM$119),Matching_Engine!$AM$119,999)</f>
        <v>999</v>
      </c>
      <c r="Y119" s="71">
        <f>IF(ISNUMBER(Matching_Engine!$AT$119),Matching_Engine!$AT$119,999)</f>
        <v>999</v>
      </c>
      <c r="Z119" s="71">
        <f>MIN($T$119:$Y$119)</f>
        <v>999</v>
      </c>
      <c r="AA119" s="57" t="str">
        <f>INDEX({"Brand &amp; Business Relevance","Target Audience Relevance","Content &amp; Category Relevance","Brand Personality Fit","Performance Quality","Brand Safety"},MATCH($Z$119,$T$119:$Y$119,0))</f>
        <v>Brand &amp; Business Relevance</v>
      </c>
    </row>
    <row r="120" spans="1:27">
      <c r="A120" s="57">
        <f>Matching_Engine!$B$120</f>
        <v>0</v>
      </c>
      <c r="B120" s="57">
        <f>Matching_Engine!$D$120</f>
        <v>0</v>
      </c>
      <c r="C120" s="57">
        <f>Matching_Engine!$E$120</f>
        <v>0</v>
      </c>
      <c r="D120" s="70">
        <f>Matching_Engine!$AY$120</f>
        <v>0</v>
      </c>
      <c r="E120" s="57">
        <f>Matching_Engine!$AZ$120</f>
        <v>0</v>
      </c>
      <c r="F120" s="57" t="str">
        <f>IF(NOT(ISNUMBER(Matching_Engine!$AY$120)),"Not scored: no component of the model had data for this account, so no match can be claimed either way.",Matching_Engine!$AZ$120&amp;" — "&amp;Matching_Engine!$AY$120&amp;"/100 against "&amp;Matching_Engine!$B$120&amp;". "&amp;"Strongest factor "&amp;$S$120&amp;" at "&amp;$R$120&amp;"; weakest "&amp;$AA$120&amp;" at "&amp;$Z$120&amp;". "&amp;IF(AND(ISTEXT(Matching_Engine!$G$120),Matching_Engine!$G$120&lt;&gt;"N/A"),"Tagged category "&amp;Matching_Engine!$G$120&amp;" scores "&amp;IF(ISNUMBER(Matching_Engine!$J$120),Matching_Engine!$J$120,0)&amp;" against the brand category "&amp;Matching_Engine!$B$120&amp;" targets. ","Creator carries no category on record, so the category-driven parts fall back to neutral rather than penalising the creator. ")&amp;IF(ISNUMBER(Matching_Engine!$R$120),"Audience-interest overlap "&amp;Matching_Engine!$R$120&amp;". ","Audience interests unmeasured. ")&amp;IF(Matching_Engine!$AX$120&lt;100,"Scored on "&amp;Matching_Engine!$AX$120&amp;" of the 100 nominal weight points; the rest had no data.",""))</f>
        <v>Not scored: no component of the model had data for this account, so no match can be claimed either way.</v>
      </c>
      <c r="G120" s="57" t="str">
        <f>IF(NOT(ISNUMBER(Matching_Engine!$AY$120)),"N/A",$S$120&amp;" ("&amp;$R$120&amp;"/100)")</f>
        <v>N/A</v>
      </c>
      <c r="H120" s="57" t="str">
        <f>IF(NOT(ISNUMBER(Matching_Engine!$AY$120)),"N/A",$AA$120&amp;" ("&amp;$Z$120&amp;"/100)")</f>
        <v>N/A</v>
      </c>
      <c r="I120" s="57" t="str">
        <f>IF(NOT(ISNUMBER(Matching_Engine!$AY$120)),"No data to consider: this account has no measured signal.",IF($Z$120&lt;Lookup_Lists!$D$161,$AA$120&amp;" sits at "&amp;$Z$120&amp;", below the "&amp;Lookup_Lists!$D$161&amp;"-point consideration threshold"&amp;IF(Matching_Engine!$AF$120=0," · Brand Personality Fit could not be scored at all: no creator personality, tone, values or content-style column exists","")&amp;IF(Matching_Engine!$AI$120="N/A"," · posting cadence unusable, so Consistency is excluded from Performance","")&amp;".","No component falls below the "&amp;Lookup_Lists!$D$161&amp;"-point consideration threshold."))</f>
        <v>No data to consider: this account has no measured signal.</v>
      </c>
      <c r="J120" s="57" t="str">
        <f>Matching_Engine!$AV$120&amp;" — "&amp;Matching_Engine!$AW$120&amp;IF(Matching_Engine!$BB$120="Limited Data"," Confidence is Limited Data: "&amp;Matching_Engine!$BA$120&amp;"% of tracked fields carry a value.","")</f>
        <v> — </v>
      </c>
      <c r="K120" s="57" t="str">
        <f>IF(NOT(ISNUMBER(Matching_Engine!$AY$120)),"Do not shortlist on this data — re-scrape the account first.",IF(Matching_Engine!$AY$120&gt;=Lookup_Lists!$D$156,"Highly Recommended",IF(Matching_Engine!$AY$120&gt;=Lookup_Lists!$D$157,"Recommended",IF(Matching_Engine!$AY$120&gt;=Lookup_Lists!$D$158,"Consider","Low Priority")))&amp;IF(Matching_Engine!$AX$120&lt;100," (on partial data)",""))</f>
        <v>Do not shortlist on this data — re-scrape the account first.</v>
      </c>
      <c r="L120" s="71">
        <f>IF(ISNUMBER(Matching_Engine!$M$120),Matching_Engine!$M$120,-1)</f>
        <v>-1</v>
      </c>
      <c r="M120" s="71">
        <f>IF(ISNUMBER(Matching_Engine!$S$120),Matching_Engine!$S$120,-1)</f>
        <v>-1</v>
      </c>
      <c r="N120" s="71">
        <f>IF(ISNUMBER(Matching_Engine!$Y$120),Matching_Engine!$Y$120,-1)</f>
        <v>-1</v>
      </c>
      <c r="O120" s="71">
        <f>IF(ISNUMBER(Matching_Engine!$AE$120),Matching_Engine!$AE$120,-1)</f>
        <v>-1</v>
      </c>
      <c r="P120" s="71">
        <f>IF(ISNUMBER(Matching_Engine!$AM$120),Matching_Engine!$AM$120,-1)</f>
        <v>-1</v>
      </c>
      <c r="Q120" s="71">
        <f>IF(ISNUMBER(Matching_Engine!$AT$120),Matching_Engine!$AT$120,-1)</f>
        <v>-1</v>
      </c>
      <c r="R120" s="71">
        <f>MAX($L$120:$Q$120)</f>
        <v>-1</v>
      </c>
      <c r="S120" s="57" t="str">
        <f>INDEX({"Brand &amp; Business Relevance","Target Audience Relevance","Content &amp; Category Relevance","Brand Personality Fit","Performance Quality","Brand Safety"},MATCH($R$120,$L$120:$Q$120,0))</f>
        <v>Brand &amp; Business Relevance</v>
      </c>
      <c r="T120" s="71">
        <f>IF(ISNUMBER(Matching_Engine!$M$120),Matching_Engine!$M$120,999)</f>
        <v>999</v>
      </c>
      <c r="U120" s="71">
        <f>IF(ISNUMBER(Matching_Engine!$S$120),Matching_Engine!$S$120,999)</f>
        <v>999</v>
      </c>
      <c r="V120" s="71">
        <f>IF(ISNUMBER(Matching_Engine!$Y$120),Matching_Engine!$Y$120,999)</f>
        <v>999</v>
      </c>
      <c r="W120" s="71">
        <f>IF(ISNUMBER(Matching_Engine!$AE$120),Matching_Engine!$AE$120,999)</f>
        <v>999</v>
      </c>
      <c r="X120" s="71">
        <f>IF(ISNUMBER(Matching_Engine!$AM$120),Matching_Engine!$AM$120,999)</f>
        <v>999</v>
      </c>
      <c r="Y120" s="71">
        <f>IF(ISNUMBER(Matching_Engine!$AT$120),Matching_Engine!$AT$120,999)</f>
        <v>999</v>
      </c>
      <c r="Z120" s="71">
        <f>MIN($T$120:$Y$120)</f>
        <v>999</v>
      </c>
      <c r="AA120" s="57" t="str">
        <f>INDEX({"Brand &amp; Business Relevance","Target Audience Relevance","Content &amp; Category Relevance","Brand Personality Fit","Performance Quality","Brand Safety"},MATCH($Z$120,$T$120:$Y$120,0))</f>
        <v>Brand &amp; Business Relevance</v>
      </c>
    </row>
    <row r="121" spans="1:27">
      <c r="A121" s="57">
        <f>Matching_Engine!$B$121</f>
        <v>0</v>
      </c>
      <c r="B121" s="57">
        <f>Matching_Engine!$D$121</f>
        <v>0</v>
      </c>
      <c r="C121" s="57">
        <f>Matching_Engine!$E$121</f>
        <v>0</v>
      </c>
      <c r="D121" s="70">
        <f>Matching_Engine!$AY$121</f>
        <v>0</v>
      </c>
      <c r="E121" s="57">
        <f>Matching_Engine!$AZ$121</f>
        <v>0</v>
      </c>
      <c r="F121" s="57" t="str">
        <f>IF(NOT(ISNUMBER(Matching_Engine!$AY$121)),"Not scored: no component of the model had data for this account, so no match can be claimed either way.",Matching_Engine!$AZ$121&amp;" — "&amp;Matching_Engine!$AY$121&amp;"/100 against "&amp;Matching_Engine!$B$121&amp;". "&amp;"Strongest factor "&amp;$S$121&amp;" at "&amp;$R$121&amp;"; weakest "&amp;$AA$121&amp;" at "&amp;$Z$121&amp;". "&amp;IF(AND(ISTEXT(Matching_Engine!$G$121),Matching_Engine!$G$121&lt;&gt;"N/A"),"Tagged category "&amp;Matching_Engine!$G$121&amp;" scores "&amp;IF(ISNUMBER(Matching_Engine!$J$121),Matching_Engine!$J$121,0)&amp;" against the brand category "&amp;Matching_Engine!$B$121&amp;" targets. ","Creator carries no category on record, so the category-driven parts fall back to neutral rather than penalising the creator. ")&amp;IF(ISNUMBER(Matching_Engine!$R$121),"Audience-interest overlap "&amp;Matching_Engine!$R$121&amp;". ","Audience interests unmeasured. ")&amp;IF(Matching_Engine!$AX$121&lt;100,"Scored on "&amp;Matching_Engine!$AX$121&amp;" of the 100 nominal weight points; the rest had no data.",""))</f>
        <v>Not scored: no component of the model had data for this account, so no match can be claimed either way.</v>
      </c>
      <c r="G121" s="57" t="str">
        <f>IF(NOT(ISNUMBER(Matching_Engine!$AY$121)),"N/A",$S$121&amp;" ("&amp;$R$121&amp;"/100)")</f>
        <v>N/A</v>
      </c>
      <c r="H121" s="57" t="str">
        <f>IF(NOT(ISNUMBER(Matching_Engine!$AY$121)),"N/A",$AA$121&amp;" ("&amp;$Z$121&amp;"/100)")</f>
        <v>N/A</v>
      </c>
      <c r="I121" s="57" t="str">
        <f>IF(NOT(ISNUMBER(Matching_Engine!$AY$121)),"No data to consider: this account has no measured signal.",IF($Z$121&lt;Lookup_Lists!$D$161,$AA$121&amp;" sits at "&amp;$Z$121&amp;", below the "&amp;Lookup_Lists!$D$161&amp;"-point consideration threshold"&amp;IF(Matching_Engine!$AF$121=0," · Brand Personality Fit could not be scored at all: no creator personality, tone, values or content-style column exists","")&amp;IF(Matching_Engine!$AI$121="N/A"," · posting cadence unusable, so Consistency is excluded from Performance","")&amp;".","No component falls below the "&amp;Lookup_Lists!$D$161&amp;"-point consideration threshold."))</f>
        <v>No data to consider: this account has no measured signal.</v>
      </c>
      <c r="J121" s="57" t="str">
        <f>Matching_Engine!$AV$121&amp;" — "&amp;Matching_Engine!$AW$121&amp;IF(Matching_Engine!$BB$121="Limited Data"," Confidence is Limited Data: "&amp;Matching_Engine!$BA$121&amp;"% of tracked fields carry a value.","")</f>
        <v> — </v>
      </c>
      <c r="K121" s="57" t="str">
        <f>IF(NOT(ISNUMBER(Matching_Engine!$AY$121)),"Do not shortlist on this data — re-scrape the account first.",IF(Matching_Engine!$AY$121&gt;=Lookup_Lists!$D$156,"Highly Recommended",IF(Matching_Engine!$AY$121&gt;=Lookup_Lists!$D$157,"Recommended",IF(Matching_Engine!$AY$121&gt;=Lookup_Lists!$D$158,"Consider","Low Priority")))&amp;IF(Matching_Engine!$AX$121&lt;100," (on partial data)",""))</f>
        <v>Do not shortlist on this data — re-scrape the account first.</v>
      </c>
      <c r="L121" s="71">
        <f>IF(ISNUMBER(Matching_Engine!$M$121),Matching_Engine!$M$121,-1)</f>
        <v>-1</v>
      </c>
      <c r="M121" s="71">
        <f>IF(ISNUMBER(Matching_Engine!$S$121),Matching_Engine!$S$121,-1)</f>
        <v>-1</v>
      </c>
      <c r="N121" s="71">
        <f>IF(ISNUMBER(Matching_Engine!$Y$121),Matching_Engine!$Y$121,-1)</f>
        <v>-1</v>
      </c>
      <c r="O121" s="71">
        <f>IF(ISNUMBER(Matching_Engine!$AE$121),Matching_Engine!$AE$121,-1)</f>
        <v>-1</v>
      </c>
      <c r="P121" s="71">
        <f>IF(ISNUMBER(Matching_Engine!$AM$121),Matching_Engine!$AM$121,-1)</f>
        <v>-1</v>
      </c>
      <c r="Q121" s="71">
        <f>IF(ISNUMBER(Matching_Engine!$AT$121),Matching_Engine!$AT$121,-1)</f>
        <v>-1</v>
      </c>
      <c r="R121" s="71">
        <f>MAX($L$121:$Q$121)</f>
        <v>-1</v>
      </c>
      <c r="S121" s="57" t="str">
        <f>INDEX({"Brand &amp; Business Relevance","Target Audience Relevance","Content &amp; Category Relevance","Brand Personality Fit","Performance Quality","Brand Safety"},MATCH($R$121,$L$121:$Q$121,0))</f>
        <v>Brand &amp; Business Relevance</v>
      </c>
      <c r="T121" s="71">
        <f>IF(ISNUMBER(Matching_Engine!$M$121),Matching_Engine!$M$121,999)</f>
        <v>999</v>
      </c>
      <c r="U121" s="71">
        <f>IF(ISNUMBER(Matching_Engine!$S$121),Matching_Engine!$S$121,999)</f>
        <v>999</v>
      </c>
      <c r="V121" s="71">
        <f>IF(ISNUMBER(Matching_Engine!$Y$121),Matching_Engine!$Y$121,999)</f>
        <v>999</v>
      </c>
      <c r="W121" s="71">
        <f>IF(ISNUMBER(Matching_Engine!$AE$121),Matching_Engine!$AE$121,999)</f>
        <v>999</v>
      </c>
      <c r="X121" s="71">
        <f>IF(ISNUMBER(Matching_Engine!$AM$121),Matching_Engine!$AM$121,999)</f>
        <v>999</v>
      </c>
      <c r="Y121" s="71">
        <f>IF(ISNUMBER(Matching_Engine!$AT$121),Matching_Engine!$AT$121,999)</f>
        <v>999</v>
      </c>
      <c r="Z121" s="71">
        <f>MIN($T$121:$Y$121)</f>
        <v>999</v>
      </c>
      <c r="AA121" s="57" t="str">
        <f>INDEX({"Brand &amp; Business Relevance","Target Audience Relevance","Content &amp; Category Relevance","Brand Personality Fit","Performance Quality","Brand Safety"},MATCH($Z$121,$T$121:$Y$121,0))</f>
        <v>Brand &amp; Business Relevance</v>
      </c>
    </row>
    <row r="122" spans="1:27">
      <c r="A122" s="57">
        <f>Matching_Engine!$B$122</f>
        <v>0</v>
      </c>
      <c r="B122" s="57">
        <f>Matching_Engine!$D$122</f>
        <v>0</v>
      </c>
      <c r="C122" s="57">
        <f>Matching_Engine!$E$122</f>
        <v>0</v>
      </c>
      <c r="D122" s="70">
        <f>Matching_Engine!$AY$122</f>
        <v>0</v>
      </c>
      <c r="E122" s="57">
        <f>Matching_Engine!$AZ$122</f>
        <v>0</v>
      </c>
      <c r="F122" s="57" t="str">
        <f>IF(NOT(ISNUMBER(Matching_Engine!$AY$122)),"Not scored: no component of the model had data for this account, so no match can be claimed either way.",Matching_Engine!$AZ$122&amp;" — "&amp;Matching_Engine!$AY$122&amp;"/100 against "&amp;Matching_Engine!$B$122&amp;". "&amp;"Strongest factor "&amp;$S$122&amp;" at "&amp;$R$122&amp;"; weakest "&amp;$AA$122&amp;" at "&amp;$Z$122&amp;". "&amp;IF(AND(ISTEXT(Matching_Engine!$G$122),Matching_Engine!$G$122&lt;&gt;"N/A"),"Tagged category "&amp;Matching_Engine!$G$122&amp;" scores "&amp;IF(ISNUMBER(Matching_Engine!$J$122),Matching_Engine!$J$122,0)&amp;" against the brand category "&amp;Matching_Engine!$B$122&amp;" targets. ","Creator carries no category on record, so the category-driven parts fall back to neutral rather than penalising the creator. ")&amp;IF(ISNUMBER(Matching_Engine!$R$122),"Audience-interest overlap "&amp;Matching_Engine!$R$122&amp;". ","Audience interests unmeasured. ")&amp;IF(Matching_Engine!$AX$122&lt;100,"Scored on "&amp;Matching_Engine!$AX$122&amp;" of the 100 nominal weight points; the rest had no data.",""))</f>
        <v>Not scored: no component of the model had data for this account, so no match can be claimed either way.</v>
      </c>
      <c r="G122" s="57" t="str">
        <f>IF(NOT(ISNUMBER(Matching_Engine!$AY$122)),"N/A",$S$122&amp;" ("&amp;$R$122&amp;"/100)")</f>
        <v>N/A</v>
      </c>
      <c r="H122" s="57" t="str">
        <f>IF(NOT(ISNUMBER(Matching_Engine!$AY$122)),"N/A",$AA$122&amp;" ("&amp;$Z$122&amp;"/100)")</f>
        <v>N/A</v>
      </c>
      <c r="I122" s="57" t="str">
        <f>IF(NOT(ISNUMBER(Matching_Engine!$AY$122)),"No data to consider: this account has no measured signal.",IF($Z$122&lt;Lookup_Lists!$D$161,$AA$122&amp;" sits at "&amp;$Z$122&amp;", below the "&amp;Lookup_Lists!$D$161&amp;"-point consideration threshold"&amp;IF(Matching_Engine!$AF$122=0," · Brand Personality Fit could not be scored at all: no creator personality, tone, values or content-style column exists","")&amp;IF(Matching_Engine!$AI$122="N/A"," · posting cadence unusable, so Consistency is excluded from Performance","")&amp;".","No component falls below the "&amp;Lookup_Lists!$D$161&amp;"-point consideration threshold."))</f>
        <v>No data to consider: this account has no measured signal.</v>
      </c>
      <c r="J122" s="57" t="str">
        <f>Matching_Engine!$AV$122&amp;" — "&amp;Matching_Engine!$AW$122&amp;IF(Matching_Engine!$BB$122="Limited Data"," Confidence is Limited Data: "&amp;Matching_Engine!$BA$122&amp;"% of tracked fields carry a value.","")</f>
        <v> — </v>
      </c>
      <c r="K122" s="57" t="str">
        <f>IF(NOT(ISNUMBER(Matching_Engine!$AY$122)),"Do not shortlist on this data — re-scrape the account first.",IF(Matching_Engine!$AY$122&gt;=Lookup_Lists!$D$156,"Highly Recommended",IF(Matching_Engine!$AY$122&gt;=Lookup_Lists!$D$157,"Recommended",IF(Matching_Engine!$AY$122&gt;=Lookup_Lists!$D$158,"Consider","Low Priority")))&amp;IF(Matching_Engine!$AX$122&lt;100," (on partial data)",""))</f>
        <v>Do not shortlist on this data — re-scrape the account first.</v>
      </c>
      <c r="L122" s="71">
        <f>IF(ISNUMBER(Matching_Engine!$M$122),Matching_Engine!$M$122,-1)</f>
        <v>-1</v>
      </c>
      <c r="M122" s="71">
        <f>IF(ISNUMBER(Matching_Engine!$S$122),Matching_Engine!$S$122,-1)</f>
        <v>-1</v>
      </c>
      <c r="N122" s="71">
        <f>IF(ISNUMBER(Matching_Engine!$Y$122),Matching_Engine!$Y$122,-1)</f>
        <v>-1</v>
      </c>
      <c r="O122" s="71">
        <f>IF(ISNUMBER(Matching_Engine!$AE$122),Matching_Engine!$AE$122,-1)</f>
        <v>-1</v>
      </c>
      <c r="P122" s="71">
        <f>IF(ISNUMBER(Matching_Engine!$AM$122),Matching_Engine!$AM$122,-1)</f>
        <v>-1</v>
      </c>
      <c r="Q122" s="71">
        <f>IF(ISNUMBER(Matching_Engine!$AT$122),Matching_Engine!$AT$122,-1)</f>
        <v>-1</v>
      </c>
      <c r="R122" s="71">
        <f>MAX($L$122:$Q$122)</f>
        <v>-1</v>
      </c>
      <c r="S122" s="57" t="str">
        <f>INDEX({"Brand &amp; Business Relevance","Target Audience Relevance","Content &amp; Category Relevance","Brand Personality Fit","Performance Quality","Brand Safety"},MATCH($R$122,$L$122:$Q$122,0))</f>
        <v>Brand &amp; Business Relevance</v>
      </c>
      <c r="T122" s="71">
        <f>IF(ISNUMBER(Matching_Engine!$M$122),Matching_Engine!$M$122,999)</f>
        <v>999</v>
      </c>
      <c r="U122" s="71">
        <f>IF(ISNUMBER(Matching_Engine!$S$122),Matching_Engine!$S$122,999)</f>
        <v>999</v>
      </c>
      <c r="V122" s="71">
        <f>IF(ISNUMBER(Matching_Engine!$Y$122),Matching_Engine!$Y$122,999)</f>
        <v>999</v>
      </c>
      <c r="W122" s="71">
        <f>IF(ISNUMBER(Matching_Engine!$AE$122),Matching_Engine!$AE$122,999)</f>
        <v>999</v>
      </c>
      <c r="X122" s="71">
        <f>IF(ISNUMBER(Matching_Engine!$AM$122),Matching_Engine!$AM$122,999)</f>
        <v>999</v>
      </c>
      <c r="Y122" s="71">
        <f>IF(ISNUMBER(Matching_Engine!$AT$122),Matching_Engine!$AT$122,999)</f>
        <v>999</v>
      </c>
      <c r="Z122" s="71">
        <f>MIN($T$122:$Y$122)</f>
        <v>999</v>
      </c>
      <c r="AA122" s="57" t="str">
        <f>INDEX({"Brand &amp; Business Relevance","Target Audience Relevance","Content &amp; Category Relevance","Brand Personality Fit","Performance Quality","Brand Safety"},MATCH($Z$122,$T$122:$Y$122,0))</f>
        <v>Brand &amp; Business Relevance</v>
      </c>
    </row>
    <row r="123" spans="1:27">
      <c r="A123" s="57">
        <f>Matching_Engine!$B$123</f>
        <v>0</v>
      </c>
      <c r="B123" s="57">
        <f>Matching_Engine!$D$123</f>
        <v>0</v>
      </c>
      <c r="C123" s="57">
        <f>Matching_Engine!$E$123</f>
        <v>0</v>
      </c>
      <c r="D123" s="70">
        <f>Matching_Engine!$AY$123</f>
        <v>0</v>
      </c>
      <c r="E123" s="57">
        <f>Matching_Engine!$AZ$123</f>
        <v>0</v>
      </c>
      <c r="F123" s="57" t="str">
        <f>IF(NOT(ISNUMBER(Matching_Engine!$AY$123)),"Not scored: no component of the model had data for this account, so no match can be claimed either way.",Matching_Engine!$AZ$123&amp;" — "&amp;Matching_Engine!$AY$123&amp;"/100 against "&amp;Matching_Engine!$B$123&amp;". "&amp;"Strongest factor "&amp;$S$123&amp;" at "&amp;$R$123&amp;"; weakest "&amp;$AA$123&amp;" at "&amp;$Z$123&amp;". "&amp;IF(AND(ISTEXT(Matching_Engine!$G$123),Matching_Engine!$G$123&lt;&gt;"N/A"),"Tagged category "&amp;Matching_Engine!$G$123&amp;" scores "&amp;IF(ISNUMBER(Matching_Engine!$J$123),Matching_Engine!$J$123,0)&amp;" against the brand category "&amp;Matching_Engine!$B$123&amp;" targets. ","Creator carries no category on record, so the category-driven parts fall back to neutral rather than penalising the creator. ")&amp;IF(ISNUMBER(Matching_Engine!$R$123),"Audience-interest overlap "&amp;Matching_Engine!$R$123&amp;". ","Audience interests unmeasured. ")&amp;IF(Matching_Engine!$AX$123&lt;100,"Scored on "&amp;Matching_Engine!$AX$123&amp;" of the 100 nominal weight points; the rest had no data.",""))</f>
        <v>Not scored: no component of the model had data for this account, so no match can be claimed either way.</v>
      </c>
      <c r="G123" s="57" t="str">
        <f>IF(NOT(ISNUMBER(Matching_Engine!$AY$123)),"N/A",$S$123&amp;" ("&amp;$R$123&amp;"/100)")</f>
        <v>N/A</v>
      </c>
      <c r="H123" s="57" t="str">
        <f>IF(NOT(ISNUMBER(Matching_Engine!$AY$123)),"N/A",$AA$123&amp;" ("&amp;$Z$123&amp;"/100)")</f>
        <v>N/A</v>
      </c>
      <c r="I123" s="57" t="str">
        <f>IF(NOT(ISNUMBER(Matching_Engine!$AY$123)),"No data to consider: this account has no measured signal.",IF($Z$123&lt;Lookup_Lists!$D$161,$AA$123&amp;" sits at "&amp;$Z$123&amp;", below the "&amp;Lookup_Lists!$D$161&amp;"-point consideration threshold"&amp;IF(Matching_Engine!$AF$123=0," · Brand Personality Fit could not be scored at all: no creator personality, tone, values or content-style column exists","")&amp;IF(Matching_Engine!$AI$123="N/A"," · posting cadence unusable, so Consistency is excluded from Performance","")&amp;".","No component falls below the "&amp;Lookup_Lists!$D$161&amp;"-point consideration threshold."))</f>
        <v>No data to consider: this account has no measured signal.</v>
      </c>
      <c r="J123" s="57" t="str">
        <f>Matching_Engine!$AV$123&amp;" — "&amp;Matching_Engine!$AW$123&amp;IF(Matching_Engine!$BB$123="Limited Data"," Confidence is Limited Data: "&amp;Matching_Engine!$BA$123&amp;"% of tracked fields carry a value.","")</f>
        <v> — </v>
      </c>
      <c r="K123" s="57" t="str">
        <f>IF(NOT(ISNUMBER(Matching_Engine!$AY$123)),"Do not shortlist on this data — re-scrape the account first.",IF(Matching_Engine!$AY$123&gt;=Lookup_Lists!$D$156,"Highly Recommended",IF(Matching_Engine!$AY$123&gt;=Lookup_Lists!$D$157,"Recommended",IF(Matching_Engine!$AY$123&gt;=Lookup_Lists!$D$158,"Consider","Low Priority")))&amp;IF(Matching_Engine!$AX$123&lt;100," (on partial data)",""))</f>
        <v>Do not shortlist on this data — re-scrape the account first.</v>
      </c>
      <c r="L123" s="71">
        <f>IF(ISNUMBER(Matching_Engine!$M$123),Matching_Engine!$M$123,-1)</f>
        <v>-1</v>
      </c>
      <c r="M123" s="71">
        <f>IF(ISNUMBER(Matching_Engine!$S$123),Matching_Engine!$S$123,-1)</f>
        <v>-1</v>
      </c>
      <c r="N123" s="71">
        <f>IF(ISNUMBER(Matching_Engine!$Y$123),Matching_Engine!$Y$123,-1)</f>
        <v>-1</v>
      </c>
      <c r="O123" s="71">
        <f>IF(ISNUMBER(Matching_Engine!$AE$123),Matching_Engine!$AE$123,-1)</f>
        <v>-1</v>
      </c>
      <c r="P123" s="71">
        <f>IF(ISNUMBER(Matching_Engine!$AM$123),Matching_Engine!$AM$123,-1)</f>
        <v>-1</v>
      </c>
      <c r="Q123" s="71">
        <f>IF(ISNUMBER(Matching_Engine!$AT$123),Matching_Engine!$AT$123,-1)</f>
        <v>-1</v>
      </c>
      <c r="R123" s="71">
        <f>MAX($L$123:$Q$123)</f>
        <v>-1</v>
      </c>
      <c r="S123" s="57" t="str">
        <f>INDEX({"Brand &amp; Business Relevance","Target Audience Relevance","Content &amp; Category Relevance","Brand Personality Fit","Performance Quality","Brand Safety"},MATCH($R$123,$L$123:$Q$123,0))</f>
        <v>Brand &amp; Business Relevance</v>
      </c>
      <c r="T123" s="71">
        <f>IF(ISNUMBER(Matching_Engine!$M$123),Matching_Engine!$M$123,999)</f>
        <v>999</v>
      </c>
      <c r="U123" s="71">
        <f>IF(ISNUMBER(Matching_Engine!$S$123),Matching_Engine!$S$123,999)</f>
        <v>999</v>
      </c>
      <c r="V123" s="71">
        <f>IF(ISNUMBER(Matching_Engine!$Y$123),Matching_Engine!$Y$123,999)</f>
        <v>999</v>
      </c>
      <c r="W123" s="71">
        <f>IF(ISNUMBER(Matching_Engine!$AE$123),Matching_Engine!$AE$123,999)</f>
        <v>999</v>
      </c>
      <c r="X123" s="71">
        <f>IF(ISNUMBER(Matching_Engine!$AM$123),Matching_Engine!$AM$123,999)</f>
        <v>999</v>
      </c>
      <c r="Y123" s="71">
        <f>IF(ISNUMBER(Matching_Engine!$AT$123),Matching_Engine!$AT$123,999)</f>
        <v>999</v>
      </c>
      <c r="Z123" s="71">
        <f>MIN($T$123:$Y$123)</f>
        <v>999</v>
      </c>
      <c r="AA123" s="57" t="str">
        <f>INDEX({"Brand &amp; Business Relevance","Target Audience Relevance","Content &amp; Category Relevance","Brand Personality Fit","Performance Quality","Brand Safety"},MATCH($Z$123,$T$123:$Y$123,0))</f>
        <v>Brand &amp; Business Relevance</v>
      </c>
    </row>
    <row r="124" spans="1:27">
      <c r="A124" s="57">
        <f>Matching_Engine!$B$124</f>
        <v>0</v>
      </c>
      <c r="B124" s="57">
        <f>Matching_Engine!$D$124</f>
        <v>0</v>
      </c>
      <c r="C124" s="57">
        <f>Matching_Engine!$E$124</f>
        <v>0</v>
      </c>
      <c r="D124" s="70">
        <f>Matching_Engine!$AY$124</f>
        <v>0</v>
      </c>
      <c r="E124" s="57">
        <f>Matching_Engine!$AZ$124</f>
        <v>0</v>
      </c>
      <c r="F124" s="57" t="str">
        <f>IF(NOT(ISNUMBER(Matching_Engine!$AY$124)),"Not scored: no component of the model had data for this account, so no match can be claimed either way.",Matching_Engine!$AZ$124&amp;" — "&amp;Matching_Engine!$AY$124&amp;"/100 against "&amp;Matching_Engine!$B$124&amp;". "&amp;"Strongest factor "&amp;$S$124&amp;" at "&amp;$R$124&amp;"; weakest "&amp;$AA$124&amp;" at "&amp;$Z$124&amp;". "&amp;IF(AND(ISTEXT(Matching_Engine!$G$124),Matching_Engine!$G$124&lt;&gt;"N/A"),"Tagged category "&amp;Matching_Engine!$G$124&amp;" scores "&amp;IF(ISNUMBER(Matching_Engine!$J$124),Matching_Engine!$J$124,0)&amp;" against the brand category "&amp;Matching_Engine!$B$124&amp;" targets. ","Creator carries no category on record, so the category-driven parts fall back to neutral rather than penalising the creator. ")&amp;IF(ISNUMBER(Matching_Engine!$R$124),"Audience-interest overlap "&amp;Matching_Engine!$R$124&amp;". ","Audience interests unmeasured. ")&amp;IF(Matching_Engine!$AX$124&lt;100,"Scored on "&amp;Matching_Engine!$AX$124&amp;" of the 100 nominal weight points; the rest had no data.",""))</f>
        <v>Not scored: no component of the model had data for this account, so no match can be claimed either way.</v>
      </c>
      <c r="G124" s="57" t="str">
        <f>IF(NOT(ISNUMBER(Matching_Engine!$AY$124)),"N/A",$S$124&amp;" ("&amp;$R$124&amp;"/100)")</f>
        <v>N/A</v>
      </c>
      <c r="H124" s="57" t="str">
        <f>IF(NOT(ISNUMBER(Matching_Engine!$AY$124)),"N/A",$AA$124&amp;" ("&amp;$Z$124&amp;"/100)")</f>
        <v>N/A</v>
      </c>
      <c r="I124" s="57" t="str">
        <f>IF(NOT(ISNUMBER(Matching_Engine!$AY$124)),"No data to consider: this account has no measured signal.",IF($Z$124&lt;Lookup_Lists!$D$161,$AA$124&amp;" sits at "&amp;$Z$124&amp;", below the "&amp;Lookup_Lists!$D$161&amp;"-point consideration threshold"&amp;IF(Matching_Engine!$AF$124=0," · Brand Personality Fit could not be scored at all: no creator personality, tone, values or content-style column exists","")&amp;IF(Matching_Engine!$AI$124="N/A"," · posting cadence unusable, so Consistency is excluded from Performance","")&amp;".","No component falls below the "&amp;Lookup_Lists!$D$161&amp;"-point consideration threshold."))</f>
        <v>No data to consider: this account has no measured signal.</v>
      </c>
      <c r="J124" s="57" t="str">
        <f>Matching_Engine!$AV$124&amp;" — "&amp;Matching_Engine!$AW$124&amp;IF(Matching_Engine!$BB$124="Limited Data"," Confidence is Limited Data: "&amp;Matching_Engine!$BA$124&amp;"% of tracked fields carry a value.","")</f>
        <v> — </v>
      </c>
      <c r="K124" s="57" t="str">
        <f>IF(NOT(ISNUMBER(Matching_Engine!$AY$124)),"Do not shortlist on this data — re-scrape the account first.",IF(Matching_Engine!$AY$124&gt;=Lookup_Lists!$D$156,"Highly Recommended",IF(Matching_Engine!$AY$124&gt;=Lookup_Lists!$D$157,"Recommended",IF(Matching_Engine!$AY$124&gt;=Lookup_Lists!$D$158,"Consider","Low Priority")))&amp;IF(Matching_Engine!$AX$124&lt;100," (on partial data)",""))</f>
        <v>Do not shortlist on this data — re-scrape the account first.</v>
      </c>
      <c r="L124" s="71">
        <f>IF(ISNUMBER(Matching_Engine!$M$124),Matching_Engine!$M$124,-1)</f>
        <v>-1</v>
      </c>
      <c r="M124" s="71">
        <f>IF(ISNUMBER(Matching_Engine!$S$124),Matching_Engine!$S$124,-1)</f>
        <v>-1</v>
      </c>
      <c r="N124" s="71">
        <f>IF(ISNUMBER(Matching_Engine!$Y$124),Matching_Engine!$Y$124,-1)</f>
        <v>-1</v>
      </c>
      <c r="O124" s="71">
        <f>IF(ISNUMBER(Matching_Engine!$AE$124),Matching_Engine!$AE$124,-1)</f>
        <v>-1</v>
      </c>
      <c r="P124" s="71">
        <f>IF(ISNUMBER(Matching_Engine!$AM$124),Matching_Engine!$AM$124,-1)</f>
        <v>-1</v>
      </c>
      <c r="Q124" s="71">
        <f>IF(ISNUMBER(Matching_Engine!$AT$124),Matching_Engine!$AT$124,-1)</f>
        <v>-1</v>
      </c>
      <c r="R124" s="71">
        <f>MAX($L$124:$Q$124)</f>
        <v>-1</v>
      </c>
      <c r="S124" s="57" t="str">
        <f>INDEX({"Brand &amp; Business Relevance","Target Audience Relevance","Content &amp; Category Relevance","Brand Personality Fit","Performance Quality","Brand Safety"},MATCH($R$124,$L$124:$Q$124,0))</f>
        <v>Brand &amp; Business Relevance</v>
      </c>
      <c r="T124" s="71">
        <f>IF(ISNUMBER(Matching_Engine!$M$124),Matching_Engine!$M$124,999)</f>
        <v>999</v>
      </c>
      <c r="U124" s="71">
        <f>IF(ISNUMBER(Matching_Engine!$S$124),Matching_Engine!$S$124,999)</f>
        <v>999</v>
      </c>
      <c r="V124" s="71">
        <f>IF(ISNUMBER(Matching_Engine!$Y$124),Matching_Engine!$Y$124,999)</f>
        <v>999</v>
      </c>
      <c r="W124" s="71">
        <f>IF(ISNUMBER(Matching_Engine!$AE$124),Matching_Engine!$AE$124,999)</f>
        <v>999</v>
      </c>
      <c r="X124" s="71">
        <f>IF(ISNUMBER(Matching_Engine!$AM$124),Matching_Engine!$AM$124,999)</f>
        <v>999</v>
      </c>
      <c r="Y124" s="71">
        <f>IF(ISNUMBER(Matching_Engine!$AT$124),Matching_Engine!$AT$124,999)</f>
        <v>999</v>
      </c>
      <c r="Z124" s="71">
        <f>MIN($T$124:$Y$124)</f>
        <v>999</v>
      </c>
      <c r="AA124" s="57" t="str">
        <f>INDEX({"Brand &amp; Business Relevance","Target Audience Relevance","Content &amp; Category Relevance","Brand Personality Fit","Performance Quality","Brand Safety"},MATCH($Z$124,$T$124:$Y$124,0))</f>
        <v>Brand &amp; Business Relevance</v>
      </c>
    </row>
    <row r="125" spans="1:27">
      <c r="A125" s="57">
        <f>Matching_Engine!$B$125</f>
        <v>0</v>
      </c>
      <c r="B125" s="57">
        <f>Matching_Engine!$D$125</f>
        <v>0</v>
      </c>
      <c r="C125" s="57">
        <f>Matching_Engine!$E$125</f>
        <v>0</v>
      </c>
      <c r="D125" s="70">
        <f>Matching_Engine!$AY$125</f>
        <v>0</v>
      </c>
      <c r="E125" s="57">
        <f>Matching_Engine!$AZ$125</f>
        <v>0</v>
      </c>
      <c r="F125" s="57" t="str">
        <f>IF(NOT(ISNUMBER(Matching_Engine!$AY$125)),"Not scored: no component of the model had data for this account, so no match can be claimed either way.",Matching_Engine!$AZ$125&amp;" — "&amp;Matching_Engine!$AY$125&amp;"/100 against "&amp;Matching_Engine!$B$125&amp;". "&amp;"Strongest factor "&amp;$S$125&amp;" at "&amp;$R$125&amp;"; weakest "&amp;$AA$125&amp;" at "&amp;$Z$125&amp;". "&amp;IF(AND(ISTEXT(Matching_Engine!$G$125),Matching_Engine!$G$125&lt;&gt;"N/A"),"Tagged category "&amp;Matching_Engine!$G$125&amp;" scores "&amp;IF(ISNUMBER(Matching_Engine!$J$125),Matching_Engine!$J$125,0)&amp;" against the brand category "&amp;Matching_Engine!$B$125&amp;" targets. ","Creator carries no category on record, so the category-driven parts fall back to neutral rather than penalising the creator. ")&amp;IF(ISNUMBER(Matching_Engine!$R$125),"Audience-interest overlap "&amp;Matching_Engine!$R$125&amp;". ","Audience interests unmeasured. ")&amp;IF(Matching_Engine!$AX$125&lt;100,"Scored on "&amp;Matching_Engine!$AX$125&amp;" of the 100 nominal weight points; the rest had no data.",""))</f>
        <v>Not scored: no component of the model had data for this account, so no match can be claimed either way.</v>
      </c>
      <c r="G125" s="57" t="str">
        <f>IF(NOT(ISNUMBER(Matching_Engine!$AY$125)),"N/A",$S$125&amp;" ("&amp;$R$125&amp;"/100)")</f>
        <v>N/A</v>
      </c>
      <c r="H125" s="57" t="str">
        <f>IF(NOT(ISNUMBER(Matching_Engine!$AY$125)),"N/A",$AA$125&amp;" ("&amp;$Z$125&amp;"/100)")</f>
        <v>N/A</v>
      </c>
      <c r="I125" s="57" t="str">
        <f>IF(NOT(ISNUMBER(Matching_Engine!$AY$125)),"No data to consider: this account has no measured signal.",IF($Z$125&lt;Lookup_Lists!$D$161,$AA$125&amp;" sits at "&amp;$Z$125&amp;", below the "&amp;Lookup_Lists!$D$161&amp;"-point consideration threshold"&amp;IF(Matching_Engine!$AF$125=0," · Brand Personality Fit could not be scored at all: no creator personality, tone, values or content-style column exists","")&amp;IF(Matching_Engine!$AI$125="N/A"," · posting cadence unusable, so Consistency is excluded from Performance","")&amp;".","No component falls below the "&amp;Lookup_Lists!$D$161&amp;"-point consideration threshold."))</f>
        <v>No data to consider: this account has no measured signal.</v>
      </c>
      <c r="J125" s="57" t="str">
        <f>Matching_Engine!$AV$125&amp;" — "&amp;Matching_Engine!$AW$125&amp;IF(Matching_Engine!$BB$125="Limited Data"," Confidence is Limited Data: "&amp;Matching_Engine!$BA$125&amp;"% of tracked fields carry a value.","")</f>
        <v> — </v>
      </c>
      <c r="K125" s="57" t="str">
        <f>IF(NOT(ISNUMBER(Matching_Engine!$AY$125)),"Do not shortlist on this data — re-scrape the account first.",IF(Matching_Engine!$AY$125&gt;=Lookup_Lists!$D$156,"Highly Recommended",IF(Matching_Engine!$AY$125&gt;=Lookup_Lists!$D$157,"Recommended",IF(Matching_Engine!$AY$125&gt;=Lookup_Lists!$D$158,"Consider","Low Priority")))&amp;IF(Matching_Engine!$AX$125&lt;100," (on partial data)",""))</f>
        <v>Do not shortlist on this data — re-scrape the account first.</v>
      </c>
      <c r="L125" s="71">
        <f>IF(ISNUMBER(Matching_Engine!$M$125),Matching_Engine!$M$125,-1)</f>
        <v>-1</v>
      </c>
      <c r="M125" s="71">
        <f>IF(ISNUMBER(Matching_Engine!$S$125),Matching_Engine!$S$125,-1)</f>
        <v>-1</v>
      </c>
      <c r="N125" s="71">
        <f>IF(ISNUMBER(Matching_Engine!$Y$125),Matching_Engine!$Y$125,-1)</f>
        <v>-1</v>
      </c>
      <c r="O125" s="71">
        <f>IF(ISNUMBER(Matching_Engine!$AE$125),Matching_Engine!$AE$125,-1)</f>
        <v>-1</v>
      </c>
      <c r="P125" s="71">
        <f>IF(ISNUMBER(Matching_Engine!$AM$125),Matching_Engine!$AM$125,-1)</f>
        <v>-1</v>
      </c>
      <c r="Q125" s="71">
        <f>IF(ISNUMBER(Matching_Engine!$AT$125),Matching_Engine!$AT$125,-1)</f>
        <v>-1</v>
      </c>
      <c r="R125" s="71">
        <f>MAX($L$125:$Q$125)</f>
        <v>-1</v>
      </c>
      <c r="S125" s="57" t="str">
        <f>INDEX({"Brand &amp; Business Relevance","Target Audience Relevance","Content &amp; Category Relevance","Brand Personality Fit","Performance Quality","Brand Safety"},MATCH($R$125,$L$125:$Q$125,0))</f>
        <v>Brand &amp; Business Relevance</v>
      </c>
      <c r="T125" s="71">
        <f>IF(ISNUMBER(Matching_Engine!$M$125),Matching_Engine!$M$125,999)</f>
        <v>999</v>
      </c>
      <c r="U125" s="71">
        <f>IF(ISNUMBER(Matching_Engine!$S$125),Matching_Engine!$S$125,999)</f>
        <v>999</v>
      </c>
      <c r="V125" s="71">
        <f>IF(ISNUMBER(Matching_Engine!$Y$125),Matching_Engine!$Y$125,999)</f>
        <v>999</v>
      </c>
      <c r="W125" s="71">
        <f>IF(ISNUMBER(Matching_Engine!$AE$125),Matching_Engine!$AE$125,999)</f>
        <v>999</v>
      </c>
      <c r="X125" s="71">
        <f>IF(ISNUMBER(Matching_Engine!$AM$125),Matching_Engine!$AM$125,999)</f>
        <v>999</v>
      </c>
      <c r="Y125" s="71">
        <f>IF(ISNUMBER(Matching_Engine!$AT$125),Matching_Engine!$AT$125,999)</f>
        <v>999</v>
      </c>
      <c r="Z125" s="71">
        <f>MIN($T$125:$Y$125)</f>
        <v>999</v>
      </c>
      <c r="AA125" s="57" t="str">
        <f>INDEX({"Brand &amp; Business Relevance","Target Audience Relevance","Content &amp; Category Relevance","Brand Personality Fit","Performance Quality","Brand Safety"},MATCH($Z$125,$T$125:$Y$125,0))</f>
        <v>Brand &amp; Business Relevance</v>
      </c>
    </row>
  </sheetData>
  <autoFilter xmlns:etc="http://www.wps.cn/officeDocument/2017/etCustomData" ref="A5:K125" etc:filterBottomFollowUsedRange="0">
    <extLst/>
  </autoFilter>
  <mergeCells count="4">
    <mergeCell ref="A1:AA1"/>
    <mergeCell ref="A2:AA2"/>
    <mergeCell ref="A4:K4"/>
    <mergeCell ref="L4:AA4"/>
  </mergeCells>
  <pageMargins left="0.7" right="0.7" top="0.75" bottom="0.75" header="0.3" footer="0.3"/>
  <pageSetup paperSize="1" orientation="portrait"/>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29"/>
  <sheetViews>
    <sheetView workbookViewId="0">
      <pane xSplit="2" ySplit="5" topLeftCell="C6" activePane="bottomRight" state="frozen"/>
      <selection/>
      <selection pane="topRight"/>
      <selection pane="bottomLeft"/>
      <selection pane="bottomRight" activeCell="A1" sqref="A1:M1"/>
    </sheetView>
  </sheetViews>
  <sheetFormatPr defaultColWidth="9" defaultRowHeight="15"/>
  <cols>
    <col min="2" max="3" width="22" customWidth="1"/>
    <col min="4" max="4" width="11" customWidth="1"/>
    <col min="5" max="5" width="15" customWidth="1"/>
    <col min="6" max="10" width="13" customWidth="1"/>
    <col min="11" max="11" width="15" customWidth="1"/>
    <col min="12" max="12" width="11" customWidth="1"/>
    <col min="13" max="13" width="16" customWidth="1"/>
  </cols>
  <sheetData>
    <row r="1" ht="24" customHeight="1" spans="1:13">
      <c r="A1" s="38" t="s">
        <v>2779</v>
      </c>
    </row>
    <row r="2" ht="30" customHeight="1" spans="1:13">
      <c r="A2" s="39" t="s">
        <v>2780</v>
      </c>
    </row>
    <row r="5" ht="34" customHeight="1" spans="1:13">
      <c r="A5" s="41" t="s">
        <v>414</v>
      </c>
      <c r="B5" s="41" t="s">
        <v>1031</v>
      </c>
      <c r="C5" s="41" t="s">
        <v>415</v>
      </c>
      <c r="D5" s="41" t="s">
        <v>390</v>
      </c>
      <c r="E5" s="41" t="s">
        <v>416</v>
      </c>
      <c r="F5" s="41" t="s">
        <v>2520</v>
      </c>
      <c r="G5" s="41" t="s">
        <v>2521</v>
      </c>
      <c r="H5" s="41" t="s">
        <v>2522</v>
      </c>
      <c r="I5" s="41" t="s">
        <v>2523</v>
      </c>
      <c r="J5" s="41" t="s">
        <v>2524</v>
      </c>
      <c r="K5" s="41" t="s">
        <v>2781</v>
      </c>
      <c r="L5" s="41" t="s">
        <v>2782</v>
      </c>
      <c r="M5" s="41" t="s">
        <v>2783</v>
      </c>
    </row>
    <row r="6" spans="1:13">
      <c r="A6" s="64" t="e">
        <f>'[1]#REF'!$A$6</f>
        <v>#REF!</v>
      </c>
      <c r="B6" s="42" t="e">
        <f>'[1]#REF'!$C$6</f>
        <v>#REF!</v>
      </c>
      <c r="C6" s="42" t="e">
        <f>'[1]#REF'!$D$6</f>
        <v>#REF!</v>
      </c>
      <c r="D6" s="42" t="e">
        <f>'[1]#REF'!$E$6</f>
        <v>#REF!</v>
      </c>
      <c r="E6" s="42" t="e">
        <f>'[1]#REF'!$K$6</f>
        <v>#REF!</v>
      </c>
      <c r="F6" s="65" t="str">
        <f ca="1">IFERROR(INDEX(Matching_Engine!$AY$6:$AY$125,MATCH("BR-01|"&amp;$A6,Matching_Engine!$BG$6:$BG$125,0)),"N/A")</f>
        <v>N/A</v>
      </c>
      <c r="G6" s="65" t="str">
        <f ca="1">IFERROR(INDEX(Matching_Engine!$AY$6:$AY$125,MATCH("BR-02|"&amp;$A6,Matching_Engine!$BG$6:$BG$125,0)),"N/A")</f>
        <v>N/A</v>
      </c>
      <c r="H6" s="65" t="str">
        <f ca="1">IFERROR(INDEX(Matching_Engine!$AY$6:$AY$125,MATCH("BR-03|"&amp;$A6,Matching_Engine!$BG$6:$BG$125,0)),"N/A")</f>
        <v>N/A</v>
      </c>
      <c r="I6" s="65" t="str">
        <f ca="1">IFERROR(INDEX(Matching_Engine!$AY$6:$AY$125,MATCH("BR-04|"&amp;$A6,Matching_Engine!$BG$6:$BG$125,0)),"N/A")</f>
        <v>N/A</v>
      </c>
      <c r="J6" s="65" t="str">
        <f ca="1">IFERROR(INDEX(Matching_Engine!$AY$6:$AY$125,MATCH("BR-05|"&amp;$A6,Matching_Engine!$BG$6:$BG$125,0)),"N/A")</f>
        <v>N/A</v>
      </c>
      <c r="K6" s="42" t="str">
        <f ca="1">IF(NOT(COUNT($F6:$J6)&gt;0),"N/A",INDEX({"NovaTech","LumiSkin","DailyBite","MoveFit","UrbanMuse"},MATCH(MAX($F6:$J6),$F6:$J6,0)))</f>
        <v>N/A</v>
      </c>
      <c r="L6" s="65" t="str">
        <f ca="1" t="shared" ref="L6:L29" si="0">IF(NOT(COUNT($F6:$J6)&gt;0),"N/A",MAX($F6:$J6))</f>
        <v>N/A</v>
      </c>
      <c r="M6" s="63" t="str">
        <f ca="1" t="shared" ref="M6:M29" si="1">IF(NOT(COUNT($F6:$J6)&gt;0),"N/A",MAX($F6:$J6)-MIN($F6:$J6))</f>
        <v>N/A</v>
      </c>
    </row>
    <row r="7" spans="1:13">
      <c r="A7" s="64" t="e">
        <f>'[1]#REF'!$A$7</f>
        <v>#REF!</v>
      </c>
      <c r="B7" s="42" t="e">
        <f>'[1]#REF'!$C$7</f>
        <v>#REF!</v>
      </c>
      <c r="C7" s="42" t="e">
        <f>'[1]#REF'!$D$7</f>
        <v>#REF!</v>
      </c>
      <c r="D7" s="42" t="e">
        <f>'[1]#REF'!$E$7</f>
        <v>#REF!</v>
      </c>
      <c r="E7" s="42" t="e">
        <f>'[1]#REF'!$K$7</f>
        <v>#REF!</v>
      </c>
      <c r="F7" s="65" t="str">
        <f ca="1">IFERROR(INDEX(Matching_Engine!$AY$6:$AY$125,MATCH("BR-01|"&amp;$A7,Matching_Engine!$BG$6:$BG$125,0)),"N/A")</f>
        <v>N/A</v>
      </c>
      <c r="G7" s="65" t="str">
        <f ca="1">IFERROR(INDEX(Matching_Engine!$AY$6:$AY$125,MATCH("BR-02|"&amp;$A7,Matching_Engine!$BG$6:$BG$125,0)),"N/A")</f>
        <v>N/A</v>
      </c>
      <c r="H7" s="65" t="str">
        <f ca="1">IFERROR(INDEX(Matching_Engine!$AY$6:$AY$125,MATCH("BR-03|"&amp;$A7,Matching_Engine!$BG$6:$BG$125,0)),"N/A")</f>
        <v>N/A</v>
      </c>
      <c r="I7" s="65" t="str">
        <f ca="1">IFERROR(INDEX(Matching_Engine!$AY$6:$AY$125,MATCH("BR-04|"&amp;$A7,Matching_Engine!$BG$6:$BG$125,0)),"N/A")</f>
        <v>N/A</v>
      </c>
      <c r="J7" s="65" t="str">
        <f ca="1">IFERROR(INDEX(Matching_Engine!$AY$6:$AY$125,MATCH("BR-05|"&amp;$A7,Matching_Engine!$BG$6:$BG$125,0)),"N/A")</f>
        <v>N/A</v>
      </c>
      <c r="K7" s="42" t="str">
        <f ca="1">IF(NOT(COUNT($F7:$J7)&gt;0),"N/A",INDEX({"NovaTech","LumiSkin","DailyBite","MoveFit","UrbanMuse"},MATCH(MAX($F7:$J7),$F7:$J7,0)))</f>
        <v>N/A</v>
      </c>
      <c r="L7" s="65" t="str">
        <f ca="1" t="shared" si="0"/>
        <v>N/A</v>
      </c>
      <c r="M7" s="63" t="str">
        <f ca="1" t="shared" si="1"/>
        <v>N/A</v>
      </c>
    </row>
    <row r="8" spans="1:13">
      <c r="A8" s="64" t="e">
        <f>'[1]#REF'!$A$8</f>
        <v>#REF!</v>
      </c>
      <c r="B8" s="42" t="e">
        <f>'[1]#REF'!$C$8</f>
        <v>#REF!</v>
      </c>
      <c r="C8" s="42" t="e">
        <f>'[1]#REF'!$D$8</f>
        <v>#REF!</v>
      </c>
      <c r="D8" s="42" t="e">
        <f>'[1]#REF'!$E$8</f>
        <v>#REF!</v>
      </c>
      <c r="E8" s="42" t="e">
        <f>'[1]#REF'!$K$8</f>
        <v>#REF!</v>
      </c>
      <c r="F8" s="65" t="str">
        <f ca="1">IFERROR(INDEX(Matching_Engine!$AY$6:$AY$125,MATCH("BR-01|"&amp;$A8,Matching_Engine!$BG$6:$BG$125,0)),"N/A")</f>
        <v>N/A</v>
      </c>
      <c r="G8" s="65" t="str">
        <f ca="1">IFERROR(INDEX(Matching_Engine!$AY$6:$AY$125,MATCH("BR-02|"&amp;$A8,Matching_Engine!$BG$6:$BG$125,0)),"N/A")</f>
        <v>N/A</v>
      </c>
      <c r="H8" s="65" t="str">
        <f ca="1">IFERROR(INDEX(Matching_Engine!$AY$6:$AY$125,MATCH("BR-03|"&amp;$A8,Matching_Engine!$BG$6:$BG$125,0)),"N/A")</f>
        <v>N/A</v>
      </c>
      <c r="I8" s="65" t="str">
        <f ca="1">IFERROR(INDEX(Matching_Engine!$AY$6:$AY$125,MATCH("BR-04|"&amp;$A8,Matching_Engine!$BG$6:$BG$125,0)),"N/A")</f>
        <v>N/A</v>
      </c>
      <c r="J8" s="65" t="str">
        <f ca="1">IFERROR(INDEX(Matching_Engine!$AY$6:$AY$125,MATCH("BR-05|"&amp;$A8,Matching_Engine!$BG$6:$BG$125,0)),"N/A")</f>
        <v>N/A</v>
      </c>
      <c r="K8" s="42" t="str">
        <f ca="1">IF(NOT(COUNT($F8:$J8)&gt;0),"N/A",INDEX({"NovaTech","LumiSkin","DailyBite","MoveFit","UrbanMuse"},MATCH(MAX($F8:$J8),$F8:$J8,0)))</f>
        <v>N/A</v>
      </c>
      <c r="L8" s="65" t="str">
        <f ca="1" t="shared" si="0"/>
        <v>N/A</v>
      </c>
      <c r="M8" s="63" t="str">
        <f ca="1" t="shared" si="1"/>
        <v>N/A</v>
      </c>
    </row>
    <row r="9" spans="1:13">
      <c r="A9" s="64" t="e">
        <f>'[1]#REF'!$A$9</f>
        <v>#REF!</v>
      </c>
      <c r="B9" s="42" t="e">
        <f>'[1]#REF'!$C$9</f>
        <v>#REF!</v>
      </c>
      <c r="C9" s="42" t="e">
        <f>'[1]#REF'!$D$9</f>
        <v>#REF!</v>
      </c>
      <c r="D9" s="42" t="e">
        <f>'[1]#REF'!$E$9</f>
        <v>#REF!</v>
      </c>
      <c r="E9" s="42" t="e">
        <f>'[1]#REF'!$K$9</f>
        <v>#REF!</v>
      </c>
      <c r="F9" s="65" t="str">
        <f ca="1">IFERROR(INDEX(Matching_Engine!$AY$6:$AY$125,MATCH("BR-01|"&amp;$A9,Matching_Engine!$BG$6:$BG$125,0)),"N/A")</f>
        <v>N/A</v>
      </c>
      <c r="G9" s="65" t="str">
        <f ca="1">IFERROR(INDEX(Matching_Engine!$AY$6:$AY$125,MATCH("BR-02|"&amp;$A9,Matching_Engine!$BG$6:$BG$125,0)),"N/A")</f>
        <v>N/A</v>
      </c>
      <c r="H9" s="65" t="str">
        <f ca="1">IFERROR(INDEX(Matching_Engine!$AY$6:$AY$125,MATCH("BR-03|"&amp;$A9,Matching_Engine!$BG$6:$BG$125,0)),"N/A")</f>
        <v>N/A</v>
      </c>
      <c r="I9" s="65" t="str">
        <f ca="1">IFERROR(INDEX(Matching_Engine!$AY$6:$AY$125,MATCH("BR-04|"&amp;$A9,Matching_Engine!$BG$6:$BG$125,0)),"N/A")</f>
        <v>N/A</v>
      </c>
      <c r="J9" s="65" t="str">
        <f ca="1">IFERROR(INDEX(Matching_Engine!$AY$6:$AY$125,MATCH("BR-05|"&amp;$A9,Matching_Engine!$BG$6:$BG$125,0)),"N/A")</f>
        <v>N/A</v>
      </c>
      <c r="K9" s="42" t="str">
        <f ca="1">IF(NOT(COUNT($F9:$J9)&gt;0),"N/A",INDEX({"NovaTech","LumiSkin","DailyBite","MoveFit","UrbanMuse"},MATCH(MAX($F9:$J9),$F9:$J9,0)))</f>
        <v>N/A</v>
      </c>
      <c r="L9" s="65" t="str">
        <f ca="1" t="shared" si="0"/>
        <v>N/A</v>
      </c>
      <c r="M9" s="63" t="str">
        <f ca="1" t="shared" si="1"/>
        <v>N/A</v>
      </c>
    </row>
    <row r="10" spans="1:13">
      <c r="A10" s="64" t="e">
        <f>'[1]#REF'!$A$10</f>
        <v>#REF!</v>
      </c>
      <c r="B10" s="42" t="e">
        <f>'[1]#REF'!$C$10</f>
        <v>#REF!</v>
      </c>
      <c r="C10" s="42" t="e">
        <f>'[1]#REF'!$D$10</f>
        <v>#REF!</v>
      </c>
      <c r="D10" s="42" t="e">
        <f>'[1]#REF'!$E$10</f>
        <v>#REF!</v>
      </c>
      <c r="E10" s="42" t="e">
        <f>'[1]#REF'!$K$10</f>
        <v>#REF!</v>
      </c>
      <c r="F10" s="65" t="str">
        <f ca="1">IFERROR(INDEX(Matching_Engine!$AY$6:$AY$125,MATCH("BR-01|"&amp;$A10,Matching_Engine!$BG$6:$BG$125,0)),"N/A")</f>
        <v>N/A</v>
      </c>
      <c r="G10" s="65" t="str">
        <f ca="1">IFERROR(INDEX(Matching_Engine!$AY$6:$AY$125,MATCH("BR-02|"&amp;$A10,Matching_Engine!$BG$6:$BG$125,0)),"N/A")</f>
        <v>N/A</v>
      </c>
      <c r="H10" s="65" t="str">
        <f ca="1">IFERROR(INDEX(Matching_Engine!$AY$6:$AY$125,MATCH("BR-03|"&amp;$A10,Matching_Engine!$BG$6:$BG$125,0)),"N/A")</f>
        <v>N/A</v>
      </c>
      <c r="I10" s="65" t="str">
        <f ca="1">IFERROR(INDEX(Matching_Engine!$AY$6:$AY$125,MATCH("BR-04|"&amp;$A10,Matching_Engine!$BG$6:$BG$125,0)),"N/A")</f>
        <v>N/A</v>
      </c>
      <c r="J10" s="65" t="str">
        <f ca="1">IFERROR(INDEX(Matching_Engine!$AY$6:$AY$125,MATCH("BR-05|"&amp;$A10,Matching_Engine!$BG$6:$BG$125,0)),"N/A")</f>
        <v>N/A</v>
      </c>
      <c r="K10" s="42" t="str">
        <f ca="1">IF(NOT(COUNT($F10:$J10)&gt;0),"N/A",INDEX({"NovaTech","LumiSkin","DailyBite","MoveFit","UrbanMuse"},MATCH(MAX($F10:$J10),$F10:$J10,0)))</f>
        <v>N/A</v>
      </c>
      <c r="L10" s="65" t="str">
        <f ca="1" t="shared" si="0"/>
        <v>N/A</v>
      </c>
      <c r="M10" s="63" t="str">
        <f ca="1" t="shared" si="1"/>
        <v>N/A</v>
      </c>
    </row>
    <row r="11" spans="1:13">
      <c r="A11" s="64" t="e">
        <f>'[1]#REF'!$A$11</f>
        <v>#REF!</v>
      </c>
      <c r="B11" s="42" t="e">
        <f>'[1]#REF'!$C$11</f>
        <v>#REF!</v>
      </c>
      <c r="C11" s="42" t="e">
        <f>'[1]#REF'!$D$11</f>
        <v>#REF!</v>
      </c>
      <c r="D11" s="42" t="e">
        <f>'[1]#REF'!$E$11</f>
        <v>#REF!</v>
      </c>
      <c r="E11" s="42" t="e">
        <f>'[1]#REF'!$K$11</f>
        <v>#REF!</v>
      </c>
      <c r="F11" s="65" t="str">
        <f ca="1">IFERROR(INDEX(Matching_Engine!$AY$6:$AY$125,MATCH("BR-01|"&amp;$A11,Matching_Engine!$BG$6:$BG$125,0)),"N/A")</f>
        <v>N/A</v>
      </c>
      <c r="G11" s="65" t="str">
        <f ca="1">IFERROR(INDEX(Matching_Engine!$AY$6:$AY$125,MATCH("BR-02|"&amp;$A11,Matching_Engine!$BG$6:$BG$125,0)),"N/A")</f>
        <v>N/A</v>
      </c>
      <c r="H11" s="65" t="str">
        <f ca="1">IFERROR(INDEX(Matching_Engine!$AY$6:$AY$125,MATCH("BR-03|"&amp;$A11,Matching_Engine!$BG$6:$BG$125,0)),"N/A")</f>
        <v>N/A</v>
      </c>
      <c r="I11" s="65" t="str">
        <f ca="1">IFERROR(INDEX(Matching_Engine!$AY$6:$AY$125,MATCH("BR-04|"&amp;$A11,Matching_Engine!$BG$6:$BG$125,0)),"N/A")</f>
        <v>N/A</v>
      </c>
      <c r="J11" s="65" t="str">
        <f ca="1">IFERROR(INDEX(Matching_Engine!$AY$6:$AY$125,MATCH("BR-05|"&amp;$A11,Matching_Engine!$BG$6:$BG$125,0)),"N/A")</f>
        <v>N/A</v>
      </c>
      <c r="K11" s="42" t="str">
        <f ca="1">IF(NOT(COUNT($F11:$J11)&gt;0),"N/A",INDEX({"NovaTech","LumiSkin","DailyBite","MoveFit","UrbanMuse"},MATCH(MAX($F11:$J11),$F11:$J11,0)))</f>
        <v>N/A</v>
      </c>
      <c r="L11" s="65" t="str">
        <f ca="1" t="shared" si="0"/>
        <v>N/A</v>
      </c>
      <c r="M11" s="63" t="str">
        <f ca="1" t="shared" si="1"/>
        <v>N/A</v>
      </c>
    </row>
    <row r="12" spans="1:13">
      <c r="A12" s="64" t="e">
        <f>'[1]#REF'!$A$12</f>
        <v>#REF!</v>
      </c>
      <c r="B12" s="42" t="e">
        <f>'[1]#REF'!$C$12</f>
        <v>#REF!</v>
      </c>
      <c r="C12" s="42" t="e">
        <f>'[1]#REF'!$D$12</f>
        <v>#REF!</v>
      </c>
      <c r="D12" s="42" t="e">
        <f>'[1]#REF'!$E$12</f>
        <v>#REF!</v>
      </c>
      <c r="E12" s="42" t="e">
        <f>'[1]#REF'!$K$12</f>
        <v>#REF!</v>
      </c>
      <c r="F12" s="65" t="str">
        <f ca="1">IFERROR(INDEX(Matching_Engine!$AY$6:$AY$125,MATCH("BR-01|"&amp;$A12,Matching_Engine!$BG$6:$BG$125,0)),"N/A")</f>
        <v>N/A</v>
      </c>
      <c r="G12" s="65" t="str">
        <f ca="1">IFERROR(INDEX(Matching_Engine!$AY$6:$AY$125,MATCH("BR-02|"&amp;$A12,Matching_Engine!$BG$6:$BG$125,0)),"N/A")</f>
        <v>N/A</v>
      </c>
      <c r="H12" s="65" t="str">
        <f ca="1">IFERROR(INDEX(Matching_Engine!$AY$6:$AY$125,MATCH("BR-03|"&amp;$A12,Matching_Engine!$BG$6:$BG$125,0)),"N/A")</f>
        <v>N/A</v>
      </c>
      <c r="I12" s="65" t="str">
        <f ca="1">IFERROR(INDEX(Matching_Engine!$AY$6:$AY$125,MATCH("BR-04|"&amp;$A12,Matching_Engine!$BG$6:$BG$125,0)),"N/A")</f>
        <v>N/A</v>
      </c>
      <c r="J12" s="65" t="str">
        <f ca="1">IFERROR(INDEX(Matching_Engine!$AY$6:$AY$125,MATCH("BR-05|"&amp;$A12,Matching_Engine!$BG$6:$BG$125,0)),"N/A")</f>
        <v>N/A</v>
      </c>
      <c r="K12" s="42" t="str">
        <f ca="1">IF(NOT(COUNT($F12:$J12)&gt;0),"N/A",INDEX({"NovaTech","LumiSkin","DailyBite","MoveFit","UrbanMuse"},MATCH(MAX($F12:$J12),$F12:$J12,0)))</f>
        <v>N/A</v>
      </c>
      <c r="L12" s="65" t="str">
        <f ca="1" t="shared" si="0"/>
        <v>N/A</v>
      </c>
      <c r="M12" s="63" t="str">
        <f ca="1" t="shared" si="1"/>
        <v>N/A</v>
      </c>
    </row>
    <row r="13" spans="1:13">
      <c r="A13" s="64" t="e">
        <f>'[1]#REF'!$A$13</f>
        <v>#REF!</v>
      </c>
      <c r="B13" s="42" t="e">
        <f>'[1]#REF'!$C$13</f>
        <v>#REF!</v>
      </c>
      <c r="C13" s="42" t="e">
        <f>'[1]#REF'!$D$13</f>
        <v>#REF!</v>
      </c>
      <c r="D13" s="42" t="e">
        <f>'[1]#REF'!$E$13</f>
        <v>#REF!</v>
      </c>
      <c r="E13" s="42" t="e">
        <f>'[1]#REF'!$K$13</f>
        <v>#REF!</v>
      </c>
      <c r="F13" s="65" t="str">
        <f ca="1">IFERROR(INDEX(Matching_Engine!$AY$6:$AY$125,MATCH("BR-01|"&amp;$A13,Matching_Engine!$BG$6:$BG$125,0)),"N/A")</f>
        <v>N/A</v>
      </c>
      <c r="G13" s="65" t="str">
        <f ca="1">IFERROR(INDEX(Matching_Engine!$AY$6:$AY$125,MATCH("BR-02|"&amp;$A13,Matching_Engine!$BG$6:$BG$125,0)),"N/A")</f>
        <v>N/A</v>
      </c>
      <c r="H13" s="65" t="str">
        <f ca="1">IFERROR(INDEX(Matching_Engine!$AY$6:$AY$125,MATCH("BR-03|"&amp;$A13,Matching_Engine!$BG$6:$BG$125,0)),"N/A")</f>
        <v>N/A</v>
      </c>
      <c r="I13" s="65" t="str">
        <f ca="1">IFERROR(INDEX(Matching_Engine!$AY$6:$AY$125,MATCH("BR-04|"&amp;$A13,Matching_Engine!$BG$6:$BG$125,0)),"N/A")</f>
        <v>N/A</v>
      </c>
      <c r="J13" s="65" t="str">
        <f ca="1">IFERROR(INDEX(Matching_Engine!$AY$6:$AY$125,MATCH("BR-05|"&amp;$A13,Matching_Engine!$BG$6:$BG$125,0)),"N/A")</f>
        <v>N/A</v>
      </c>
      <c r="K13" s="42" t="str">
        <f ca="1">IF(NOT(COUNT($F13:$J13)&gt;0),"N/A",INDEX({"NovaTech","LumiSkin","DailyBite","MoveFit","UrbanMuse"},MATCH(MAX($F13:$J13),$F13:$J13,0)))</f>
        <v>N/A</v>
      </c>
      <c r="L13" s="65" t="str">
        <f ca="1" t="shared" si="0"/>
        <v>N/A</v>
      </c>
      <c r="M13" s="63" t="str">
        <f ca="1" t="shared" si="1"/>
        <v>N/A</v>
      </c>
    </row>
    <row r="14" spans="1:13">
      <c r="A14" s="64" t="e">
        <f>'[1]#REF'!$A$14</f>
        <v>#REF!</v>
      </c>
      <c r="B14" s="42" t="e">
        <f>'[1]#REF'!$C$14</f>
        <v>#REF!</v>
      </c>
      <c r="C14" s="42" t="e">
        <f>'[1]#REF'!$D$14</f>
        <v>#REF!</v>
      </c>
      <c r="D14" s="42" t="e">
        <f>'[1]#REF'!$E$14</f>
        <v>#REF!</v>
      </c>
      <c r="E14" s="42" t="e">
        <f>'[1]#REF'!$K$14</f>
        <v>#REF!</v>
      </c>
      <c r="F14" s="65" t="str">
        <f ca="1">IFERROR(INDEX(Matching_Engine!$AY$6:$AY$125,MATCH("BR-01|"&amp;$A14,Matching_Engine!$BG$6:$BG$125,0)),"N/A")</f>
        <v>N/A</v>
      </c>
      <c r="G14" s="65" t="str">
        <f ca="1">IFERROR(INDEX(Matching_Engine!$AY$6:$AY$125,MATCH("BR-02|"&amp;$A14,Matching_Engine!$BG$6:$BG$125,0)),"N/A")</f>
        <v>N/A</v>
      </c>
      <c r="H14" s="65" t="str">
        <f ca="1">IFERROR(INDEX(Matching_Engine!$AY$6:$AY$125,MATCH("BR-03|"&amp;$A14,Matching_Engine!$BG$6:$BG$125,0)),"N/A")</f>
        <v>N/A</v>
      </c>
      <c r="I14" s="65" t="str">
        <f ca="1">IFERROR(INDEX(Matching_Engine!$AY$6:$AY$125,MATCH("BR-04|"&amp;$A14,Matching_Engine!$BG$6:$BG$125,0)),"N/A")</f>
        <v>N/A</v>
      </c>
      <c r="J14" s="65" t="str">
        <f ca="1">IFERROR(INDEX(Matching_Engine!$AY$6:$AY$125,MATCH("BR-05|"&amp;$A14,Matching_Engine!$BG$6:$BG$125,0)),"N/A")</f>
        <v>N/A</v>
      </c>
      <c r="K14" s="42" t="str">
        <f ca="1">IF(NOT(COUNT($F14:$J14)&gt;0),"N/A",INDEX({"NovaTech","LumiSkin","DailyBite","MoveFit","UrbanMuse"},MATCH(MAX($F14:$J14),$F14:$J14,0)))</f>
        <v>N/A</v>
      </c>
      <c r="L14" s="65" t="str">
        <f ca="1" t="shared" si="0"/>
        <v>N/A</v>
      </c>
      <c r="M14" s="63" t="str">
        <f ca="1" t="shared" si="1"/>
        <v>N/A</v>
      </c>
    </row>
    <row r="15" spans="1:13">
      <c r="A15" s="64" t="e">
        <f>'[1]#REF'!$A$15</f>
        <v>#REF!</v>
      </c>
      <c r="B15" s="42" t="e">
        <f>'[1]#REF'!$C$15</f>
        <v>#REF!</v>
      </c>
      <c r="C15" s="42" t="e">
        <f>'[1]#REF'!$D$15</f>
        <v>#REF!</v>
      </c>
      <c r="D15" s="42" t="e">
        <f>'[1]#REF'!$E$15</f>
        <v>#REF!</v>
      </c>
      <c r="E15" s="42" t="e">
        <f>'[1]#REF'!$K$15</f>
        <v>#REF!</v>
      </c>
      <c r="F15" s="65" t="str">
        <f ca="1">IFERROR(INDEX(Matching_Engine!$AY$6:$AY$125,MATCH("BR-01|"&amp;$A15,Matching_Engine!$BG$6:$BG$125,0)),"N/A")</f>
        <v>N/A</v>
      </c>
      <c r="G15" s="65" t="str">
        <f ca="1">IFERROR(INDEX(Matching_Engine!$AY$6:$AY$125,MATCH("BR-02|"&amp;$A15,Matching_Engine!$BG$6:$BG$125,0)),"N/A")</f>
        <v>N/A</v>
      </c>
      <c r="H15" s="65" t="str">
        <f ca="1">IFERROR(INDEX(Matching_Engine!$AY$6:$AY$125,MATCH("BR-03|"&amp;$A15,Matching_Engine!$BG$6:$BG$125,0)),"N/A")</f>
        <v>N/A</v>
      </c>
      <c r="I15" s="65" t="str">
        <f ca="1">IFERROR(INDEX(Matching_Engine!$AY$6:$AY$125,MATCH("BR-04|"&amp;$A15,Matching_Engine!$BG$6:$BG$125,0)),"N/A")</f>
        <v>N/A</v>
      </c>
      <c r="J15" s="65" t="str">
        <f ca="1">IFERROR(INDEX(Matching_Engine!$AY$6:$AY$125,MATCH("BR-05|"&amp;$A15,Matching_Engine!$BG$6:$BG$125,0)),"N/A")</f>
        <v>N/A</v>
      </c>
      <c r="K15" s="42" t="str">
        <f ca="1">IF(NOT(COUNT($F15:$J15)&gt;0),"N/A",INDEX({"NovaTech","LumiSkin","DailyBite","MoveFit","UrbanMuse"},MATCH(MAX($F15:$J15),$F15:$J15,0)))</f>
        <v>N/A</v>
      </c>
      <c r="L15" s="65" t="str">
        <f ca="1" t="shared" si="0"/>
        <v>N/A</v>
      </c>
      <c r="M15" s="63" t="str">
        <f ca="1" t="shared" si="1"/>
        <v>N/A</v>
      </c>
    </row>
    <row r="16" spans="1:13">
      <c r="A16" s="64" t="e">
        <f>'[1]#REF'!$A$16</f>
        <v>#REF!</v>
      </c>
      <c r="B16" s="42" t="e">
        <f>'[1]#REF'!$C$16</f>
        <v>#REF!</v>
      </c>
      <c r="C16" s="42" t="e">
        <f>'[1]#REF'!$D$16</f>
        <v>#REF!</v>
      </c>
      <c r="D16" s="42" t="e">
        <f>'[1]#REF'!$E$16</f>
        <v>#REF!</v>
      </c>
      <c r="E16" s="42" t="e">
        <f>'[1]#REF'!$K$16</f>
        <v>#REF!</v>
      </c>
      <c r="F16" s="65" t="str">
        <f ca="1">IFERROR(INDEX(Matching_Engine!$AY$6:$AY$125,MATCH("BR-01|"&amp;$A16,Matching_Engine!$BG$6:$BG$125,0)),"N/A")</f>
        <v>N/A</v>
      </c>
      <c r="G16" s="65" t="str">
        <f ca="1">IFERROR(INDEX(Matching_Engine!$AY$6:$AY$125,MATCH("BR-02|"&amp;$A16,Matching_Engine!$BG$6:$BG$125,0)),"N/A")</f>
        <v>N/A</v>
      </c>
      <c r="H16" s="65" t="str">
        <f ca="1">IFERROR(INDEX(Matching_Engine!$AY$6:$AY$125,MATCH("BR-03|"&amp;$A16,Matching_Engine!$BG$6:$BG$125,0)),"N/A")</f>
        <v>N/A</v>
      </c>
      <c r="I16" s="65" t="str">
        <f ca="1">IFERROR(INDEX(Matching_Engine!$AY$6:$AY$125,MATCH("BR-04|"&amp;$A16,Matching_Engine!$BG$6:$BG$125,0)),"N/A")</f>
        <v>N/A</v>
      </c>
      <c r="J16" s="65" t="str">
        <f ca="1">IFERROR(INDEX(Matching_Engine!$AY$6:$AY$125,MATCH("BR-05|"&amp;$A16,Matching_Engine!$BG$6:$BG$125,0)),"N/A")</f>
        <v>N/A</v>
      </c>
      <c r="K16" s="42" t="str">
        <f ca="1">IF(NOT(COUNT($F16:$J16)&gt;0),"N/A",INDEX({"NovaTech","LumiSkin","DailyBite","MoveFit","UrbanMuse"},MATCH(MAX($F16:$J16),$F16:$J16,0)))</f>
        <v>N/A</v>
      </c>
      <c r="L16" s="65" t="str">
        <f ca="1" t="shared" si="0"/>
        <v>N/A</v>
      </c>
      <c r="M16" s="63" t="str">
        <f ca="1" t="shared" si="1"/>
        <v>N/A</v>
      </c>
    </row>
    <row r="17" spans="1:13">
      <c r="A17" s="64" t="e">
        <f>'[1]#REF'!$A$17</f>
        <v>#REF!</v>
      </c>
      <c r="B17" s="42" t="e">
        <f>'[1]#REF'!$C$17</f>
        <v>#REF!</v>
      </c>
      <c r="C17" s="42" t="e">
        <f>'[1]#REF'!$D$17</f>
        <v>#REF!</v>
      </c>
      <c r="D17" s="42" t="e">
        <f>'[1]#REF'!$E$17</f>
        <v>#REF!</v>
      </c>
      <c r="E17" s="42" t="e">
        <f>'[1]#REF'!$K$17</f>
        <v>#REF!</v>
      </c>
      <c r="F17" s="65" t="str">
        <f ca="1">IFERROR(INDEX(Matching_Engine!$AY$6:$AY$125,MATCH("BR-01|"&amp;$A17,Matching_Engine!$BG$6:$BG$125,0)),"N/A")</f>
        <v>N/A</v>
      </c>
      <c r="G17" s="65" t="str">
        <f ca="1">IFERROR(INDEX(Matching_Engine!$AY$6:$AY$125,MATCH("BR-02|"&amp;$A17,Matching_Engine!$BG$6:$BG$125,0)),"N/A")</f>
        <v>N/A</v>
      </c>
      <c r="H17" s="65" t="str">
        <f ca="1">IFERROR(INDEX(Matching_Engine!$AY$6:$AY$125,MATCH("BR-03|"&amp;$A17,Matching_Engine!$BG$6:$BG$125,0)),"N/A")</f>
        <v>N/A</v>
      </c>
      <c r="I17" s="65" t="str">
        <f ca="1">IFERROR(INDEX(Matching_Engine!$AY$6:$AY$125,MATCH("BR-04|"&amp;$A17,Matching_Engine!$BG$6:$BG$125,0)),"N/A")</f>
        <v>N/A</v>
      </c>
      <c r="J17" s="65" t="str">
        <f ca="1">IFERROR(INDEX(Matching_Engine!$AY$6:$AY$125,MATCH("BR-05|"&amp;$A17,Matching_Engine!$BG$6:$BG$125,0)),"N/A")</f>
        <v>N/A</v>
      </c>
      <c r="K17" s="42" t="str">
        <f ca="1">IF(NOT(COUNT($F17:$J17)&gt;0),"N/A",INDEX({"NovaTech","LumiSkin","DailyBite","MoveFit","UrbanMuse"},MATCH(MAX($F17:$J17),$F17:$J17,0)))</f>
        <v>N/A</v>
      </c>
      <c r="L17" s="65" t="str">
        <f ca="1" t="shared" si="0"/>
        <v>N/A</v>
      </c>
      <c r="M17" s="63" t="str">
        <f ca="1" t="shared" si="1"/>
        <v>N/A</v>
      </c>
    </row>
    <row r="18" spans="1:13">
      <c r="A18" s="64" t="e">
        <f>'[1]#REF'!$A$18</f>
        <v>#REF!</v>
      </c>
      <c r="B18" s="42" t="e">
        <f>'[1]#REF'!$C$18</f>
        <v>#REF!</v>
      </c>
      <c r="C18" s="42" t="e">
        <f>'[1]#REF'!$D$18</f>
        <v>#REF!</v>
      </c>
      <c r="D18" s="42" t="e">
        <f>'[1]#REF'!$E$18</f>
        <v>#REF!</v>
      </c>
      <c r="E18" s="42" t="e">
        <f>'[1]#REF'!$K$18</f>
        <v>#REF!</v>
      </c>
      <c r="F18" s="65" t="str">
        <f ca="1">IFERROR(INDEX(Matching_Engine!$AY$6:$AY$125,MATCH("BR-01|"&amp;$A18,Matching_Engine!$BG$6:$BG$125,0)),"N/A")</f>
        <v>N/A</v>
      </c>
      <c r="G18" s="65" t="str">
        <f ca="1">IFERROR(INDEX(Matching_Engine!$AY$6:$AY$125,MATCH("BR-02|"&amp;$A18,Matching_Engine!$BG$6:$BG$125,0)),"N/A")</f>
        <v>N/A</v>
      </c>
      <c r="H18" s="65" t="str">
        <f ca="1">IFERROR(INDEX(Matching_Engine!$AY$6:$AY$125,MATCH("BR-03|"&amp;$A18,Matching_Engine!$BG$6:$BG$125,0)),"N/A")</f>
        <v>N/A</v>
      </c>
      <c r="I18" s="65" t="str">
        <f ca="1">IFERROR(INDEX(Matching_Engine!$AY$6:$AY$125,MATCH("BR-04|"&amp;$A18,Matching_Engine!$BG$6:$BG$125,0)),"N/A")</f>
        <v>N/A</v>
      </c>
      <c r="J18" s="65" t="str">
        <f ca="1">IFERROR(INDEX(Matching_Engine!$AY$6:$AY$125,MATCH("BR-05|"&amp;$A18,Matching_Engine!$BG$6:$BG$125,0)),"N/A")</f>
        <v>N/A</v>
      </c>
      <c r="K18" s="42" t="str">
        <f ca="1">IF(NOT(COUNT($F18:$J18)&gt;0),"N/A",INDEX({"NovaTech","LumiSkin","DailyBite","MoveFit","UrbanMuse"},MATCH(MAX($F18:$J18),$F18:$J18,0)))</f>
        <v>N/A</v>
      </c>
      <c r="L18" s="65" t="str">
        <f ca="1" t="shared" si="0"/>
        <v>N/A</v>
      </c>
      <c r="M18" s="63" t="str">
        <f ca="1" t="shared" si="1"/>
        <v>N/A</v>
      </c>
    </row>
    <row r="19" spans="1:13">
      <c r="A19" s="64" t="e">
        <f>'[1]#REF'!$A$19</f>
        <v>#REF!</v>
      </c>
      <c r="B19" s="42" t="e">
        <f>'[1]#REF'!$C$19</f>
        <v>#REF!</v>
      </c>
      <c r="C19" s="42" t="e">
        <f>'[1]#REF'!$D$19</f>
        <v>#REF!</v>
      </c>
      <c r="D19" s="42" t="e">
        <f>'[1]#REF'!$E$19</f>
        <v>#REF!</v>
      </c>
      <c r="E19" s="42" t="e">
        <f>'[1]#REF'!$K$19</f>
        <v>#REF!</v>
      </c>
      <c r="F19" s="65" t="str">
        <f ca="1">IFERROR(INDEX(Matching_Engine!$AY$6:$AY$125,MATCH("BR-01|"&amp;$A19,Matching_Engine!$BG$6:$BG$125,0)),"N/A")</f>
        <v>N/A</v>
      </c>
      <c r="G19" s="65" t="str">
        <f ca="1">IFERROR(INDEX(Matching_Engine!$AY$6:$AY$125,MATCH("BR-02|"&amp;$A19,Matching_Engine!$BG$6:$BG$125,0)),"N/A")</f>
        <v>N/A</v>
      </c>
      <c r="H19" s="65" t="str">
        <f ca="1">IFERROR(INDEX(Matching_Engine!$AY$6:$AY$125,MATCH("BR-03|"&amp;$A19,Matching_Engine!$BG$6:$BG$125,0)),"N/A")</f>
        <v>N/A</v>
      </c>
      <c r="I19" s="65" t="str">
        <f ca="1">IFERROR(INDEX(Matching_Engine!$AY$6:$AY$125,MATCH("BR-04|"&amp;$A19,Matching_Engine!$BG$6:$BG$125,0)),"N/A")</f>
        <v>N/A</v>
      </c>
      <c r="J19" s="65" t="str">
        <f ca="1">IFERROR(INDEX(Matching_Engine!$AY$6:$AY$125,MATCH("BR-05|"&amp;$A19,Matching_Engine!$BG$6:$BG$125,0)),"N/A")</f>
        <v>N/A</v>
      </c>
      <c r="K19" s="42" t="str">
        <f ca="1">IF(NOT(COUNT($F19:$J19)&gt;0),"N/A",INDEX({"NovaTech","LumiSkin","DailyBite","MoveFit","UrbanMuse"},MATCH(MAX($F19:$J19),$F19:$J19,0)))</f>
        <v>N/A</v>
      </c>
      <c r="L19" s="65" t="str">
        <f ca="1" t="shared" si="0"/>
        <v>N/A</v>
      </c>
      <c r="M19" s="63" t="str">
        <f ca="1" t="shared" si="1"/>
        <v>N/A</v>
      </c>
    </row>
    <row r="20" spans="1:13">
      <c r="A20" s="64" t="e">
        <f>'[1]#REF'!$A$20</f>
        <v>#REF!</v>
      </c>
      <c r="B20" s="42" t="e">
        <f>'[1]#REF'!$C$20</f>
        <v>#REF!</v>
      </c>
      <c r="C20" s="42" t="e">
        <f>'[1]#REF'!$D$20</f>
        <v>#REF!</v>
      </c>
      <c r="D20" s="42" t="e">
        <f>'[1]#REF'!$E$20</f>
        <v>#REF!</v>
      </c>
      <c r="E20" s="42" t="e">
        <f>'[1]#REF'!$K$20</f>
        <v>#REF!</v>
      </c>
      <c r="F20" s="65" t="str">
        <f ca="1">IFERROR(INDEX(Matching_Engine!$AY$6:$AY$125,MATCH("BR-01|"&amp;$A20,Matching_Engine!$BG$6:$BG$125,0)),"N/A")</f>
        <v>N/A</v>
      </c>
      <c r="G20" s="65" t="str">
        <f ca="1">IFERROR(INDEX(Matching_Engine!$AY$6:$AY$125,MATCH("BR-02|"&amp;$A20,Matching_Engine!$BG$6:$BG$125,0)),"N/A")</f>
        <v>N/A</v>
      </c>
      <c r="H20" s="65" t="str">
        <f ca="1">IFERROR(INDEX(Matching_Engine!$AY$6:$AY$125,MATCH("BR-03|"&amp;$A20,Matching_Engine!$BG$6:$BG$125,0)),"N/A")</f>
        <v>N/A</v>
      </c>
      <c r="I20" s="65" t="str">
        <f ca="1">IFERROR(INDEX(Matching_Engine!$AY$6:$AY$125,MATCH("BR-04|"&amp;$A20,Matching_Engine!$BG$6:$BG$125,0)),"N/A")</f>
        <v>N/A</v>
      </c>
      <c r="J20" s="65" t="str">
        <f ca="1">IFERROR(INDEX(Matching_Engine!$AY$6:$AY$125,MATCH("BR-05|"&amp;$A20,Matching_Engine!$BG$6:$BG$125,0)),"N/A")</f>
        <v>N/A</v>
      </c>
      <c r="K20" s="42" t="str">
        <f ca="1">IF(NOT(COUNT($F20:$J20)&gt;0),"N/A",INDEX({"NovaTech","LumiSkin","DailyBite","MoveFit","UrbanMuse"},MATCH(MAX($F20:$J20),$F20:$J20,0)))</f>
        <v>N/A</v>
      </c>
      <c r="L20" s="65" t="str">
        <f ca="1" t="shared" si="0"/>
        <v>N/A</v>
      </c>
      <c r="M20" s="63" t="str">
        <f ca="1" t="shared" si="1"/>
        <v>N/A</v>
      </c>
    </row>
    <row r="21" spans="1:13">
      <c r="A21" s="64" t="e">
        <f>'[1]#REF'!$A$21</f>
        <v>#REF!</v>
      </c>
      <c r="B21" s="42" t="e">
        <f>'[1]#REF'!$C$21</f>
        <v>#REF!</v>
      </c>
      <c r="C21" s="42" t="e">
        <f>'[1]#REF'!$D$21</f>
        <v>#REF!</v>
      </c>
      <c r="D21" s="42" t="e">
        <f>'[1]#REF'!$E$21</f>
        <v>#REF!</v>
      </c>
      <c r="E21" s="42" t="e">
        <f>'[1]#REF'!$K$21</f>
        <v>#REF!</v>
      </c>
      <c r="F21" s="65" t="str">
        <f ca="1">IFERROR(INDEX(Matching_Engine!$AY$6:$AY$125,MATCH("BR-01|"&amp;$A21,Matching_Engine!$BG$6:$BG$125,0)),"N/A")</f>
        <v>N/A</v>
      </c>
      <c r="G21" s="65" t="str">
        <f ca="1">IFERROR(INDEX(Matching_Engine!$AY$6:$AY$125,MATCH("BR-02|"&amp;$A21,Matching_Engine!$BG$6:$BG$125,0)),"N/A")</f>
        <v>N/A</v>
      </c>
      <c r="H21" s="65" t="str">
        <f ca="1">IFERROR(INDEX(Matching_Engine!$AY$6:$AY$125,MATCH("BR-03|"&amp;$A21,Matching_Engine!$BG$6:$BG$125,0)),"N/A")</f>
        <v>N/A</v>
      </c>
      <c r="I21" s="65" t="str">
        <f ca="1">IFERROR(INDEX(Matching_Engine!$AY$6:$AY$125,MATCH("BR-04|"&amp;$A21,Matching_Engine!$BG$6:$BG$125,0)),"N/A")</f>
        <v>N/A</v>
      </c>
      <c r="J21" s="65" t="str">
        <f ca="1">IFERROR(INDEX(Matching_Engine!$AY$6:$AY$125,MATCH("BR-05|"&amp;$A21,Matching_Engine!$BG$6:$BG$125,0)),"N/A")</f>
        <v>N/A</v>
      </c>
      <c r="K21" s="42" t="str">
        <f ca="1">IF(NOT(COUNT($F21:$J21)&gt;0),"N/A",INDEX({"NovaTech","LumiSkin","DailyBite","MoveFit","UrbanMuse"},MATCH(MAX($F21:$J21),$F21:$J21,0)))</f>
        <v>N/A</v>
      </c>
      <c r="L21" s="65" t="str">
        <f ca="1" t="shared" si="0"/>
        <v>N/A</v>
      </c>
      <c r="M21" s="63" t="str">
        <f ca="1" t="shared" si="1"/>
        <v>N/A</v>
      </c>
    </row>
    <row r="22" spans="1:13">
      <c r="A22" s="64" t="e">
        <f>'[1]#REF'!$A$22</f>
        <v>#REF!</v>
      </c>
      <c r="B22" s="42" t="e">
        <f>'[1]#REF'!$C$22</f>
        <v>#REF!</v>
      </c>
      <c r="C22" s="42" t="e">
        <f>'[1]#REF'!$D$22</f>
        <v>#REF!</v>
      </c>
      <c r="D22" s="42" t="e">
        <f>'[1]#REF'!$E$22</f>
        <v>#REF!</v>
      </c>
      <c r="E22" s="42" t="e">
        <f>'[1]#REF'!$K$22</f>
        <v>#REF!</v>
      </c>
      <c r="F22" s="65" t="str">
        <f ca="1">IFERROR(INDEX(Matching_Engine!$AY$6:$AY$125,MATCH("BR-01|"&amp;$A22,Matching_Engine!$BG$6:$BG$125,0)),"N/A")</f>
        <v>N/A</v>
      </c>
      <c r="G22" s="65" t="str">
        <f ca="1">IFERROR(INDEX(Matching_Engine!$AY$6:$AY$125,MATCH("BR-02|"&amp;$A22,Matching_Engine!$BG$6:$BG$125,0)),"N/A")</f>
        <v>N/A</v>
      </c>
      <c r="H22" s="65" t="str">
        <f ca="1">IFERROR(INDEX(Matching_Engine!$AY$6:$AY$125,MATCH("BR-03|"&amp;$A22,Matching_Engine!$BG$6:$BG$125,0)),"N/A")</f>
        <v>N/A</v>
      </c>
      <c r="I22" s="65" t="str">
        <f ca="1">IFERROR(INDEX(Matching_Engine!$AY$6:$AY$125,MATCH("BR-04|"&amp;$A22,Matching_Engine!$BG$6:$BG$125,0)),"N/A")</f>
        <v>N/A</v>
      </c>
      <c r="J22" s="65" t="str">
        <f ca="1">IFERROR(INDEX(Matching_Engine!$AY$6:$AY$125,MATCH("BR-05|"&amp;$A22,Matching_Engine!$BG$6:$BG$125,0)),"N/A")</f>
        <v>N/A</v>
      </c>
      <c r="K22" s="42" t="str">
        <f ca="1">IF(NOT(COUNT($F22:$J22)&gt;0),"N/A",INDEX({"NovaTech","LumiSkin","DailyBite","MoveFit","UrbanMuse"},MATCH(MAX($F22:$J22),$F22:$J22,0)))</f>
        <v>N/A</v>
      </c>
      <c r="L22" s="65" t="str">
        <f ca="1" t="shared" si="0"/>
        <v>N/A</v>
      </c>
      <c r="M22" s="63" t="str">
        <f ca="1" t="shared" si="1"/>
        <v>N/A</v>
      </c>
    </row>
    <row r="23" spans="1:13">
      <c r="A23" s="64" t="e">
        <f>'[1]#REF'!$A$23</f>
        <v>#REF!</v>
      </c>
      <c r="B23" s="42" t="e">
        <f>'[1]#REF'!$C$23</f>
        <v>#REF!</v>
      </c>
      <c r="C23" s="42" t="e">
        <f>'[1]#REF'!$D$23</f>
        <v>#REF!</v>
      </c>
      <c r="D23" s="42" t="e">
        <f>'[1]#REF'!$E$23</f>
        <v>#REF!</v>
      </c>
      <c r="E23" s="42" t="e">
        <f>'[1]#REF'!$K$23</f>
        <v>#REF!</v>
      </c>
      <c r="F23" s="65" t="str">
        <f ca="1">IFERROR(INDEX(Matching_Engine!$AY$6:$AY$125,MATCH("BR-01|"&amp;$A23,Matching_Engine!$BG$6:$BG$125,0)),"N/A")</f>
        <v>N/A</v>
      </c>
      <c r="G23" s="65" t="str">
        <f ca="1">IFERROR(INDEX(Matching_Engine!$AY$6:$AY$125,MATCH("BR-02|"&amp;$A23,Matching_Engine!$BG$6:$BG$125,0)),"N/A")</f>
        <v>N/A</v>
      </c>
      <c r="H23" s="65" t="str">
        <f ca="1">IFERROR(INDEX(Matching_Engine!$AY$6:$AY$125,MATCH("BR-03|"&amp;$A23,Matching_Engine!$BG$6:$BG$125,0)),"N/A")</f>
        <v>N/A</v>
      </c>
      <c r="I23" s="65" t="str">
        <f ca="1">IFERROR(INDEX(Matching_Engine!$AY$6:$AY$125,MATCH("BR-04|"&amp;$A23,Matching_Engine!$BG$6:$BG$125,0)),"N/A")</f>
        <v>N/A</v>
      </c>
      <c r="J23" s="65" t="str">
        <f ca="1">IFERROR(INDEX(Matching_Engine!$AY$6:$AY$125,MATCH("BR-05|"&amp;$A23,Matching_Engine!$BG$6:$BG$125,0)),"N/A")</f>
        <v>N/A</v>
      </c>
      <c r="K23" s="42" t="str">
        <f ca="1">IF(NOT(COUNT($F23:$J23)&gt;0),"N/A",INDEX({"NovaTech","LumiSkin","DailyBite","MoveFit","UrbanMuse"},MATCH(MAX($F23:$J23),$F23:$J23,0)))</f>
        <v>N/A</v>
      </c>
      <c r="L23" s="65" t="str">
        <f ca="1" t="shared" si="0"/>
        <v>N/A</v>
      </c>
      <c r="M23" s="63" t="str">
        <f ca="1" t="shared" si="1"/>
        <v>N/A</v>
      </c>
    </row>
    <row r="24" spans="1:13">
      <c r="A24" s="64" t="e">
        <f>'[1]#REF'!$A$24</f>
        <v>#REF!</v>
      </c>
      <c r="B24" s="42" t="e">
        <f>'[1]#REF'!$C$24</f>
        <v>#REF!</v>
      </c>
      <c r="C24" s="42" t="e">
        <f>'[1]#REF'!$D$24</f>
        <v>#REF!</v>
      </c>
      <c r="D24" s="42" t="e">
        <f>'[1]#REF'!$E$24</f>
        <v>#REF!</v>
      </c>
      <c r="E24" s="42" t="e">
        <f>'[1]#REF'!$K$24</f>
        <v>#REF!</v>
      </c>
      <c r="F24" s="65" t="str">
        <f ca="1">IFERROR(INDEX(Matching_Engine!$AY$6:$AY$125,MATCH("BR-01|"&amp;$A24,Matching_Engine!$BG$6:$BG$125,0)),"N/A")</f>
        <v>N/A</v>
      </c>
      <c r="G24" s="65" t="str">
        <f ca="1">IFERROR(INDEX(Matching_Engine!$AY$6:$AY$125,MATCH("BR-02|"&amp;$A24,Matching_Engine!$BG$6:$BG$125,0)),"N/A")</f>
        <v>N/A</v>
      </c>
      <c r="H24" s="65" t="str">
        <f ca="1">IFERROR(INDEX(Matching_Engine!$AY$6:$AY$125,MATCH("BR-03|"&amp;$A24,Matching_Engine!$BG$6:$BG$125,0)),"N/A")</f>
        <v>N/A</v>
      </c>
      <c r="I24" s="65" t="str">
        <f ca="1">IFERROR(INDEX(Matching_Engine!$AY$6:$AY$125,MATCH("BR-04|"&amp;$A24,Matching_Engine!$BG$6:$BG$125,0)),"N/A")</f>
        <v>N/A</v>
      </c>
      <c r="J24" s="65" t="str">
        <f ca="1">IFERROR(INDEX(Matching_Engine!$AY$6:$AY$125,MATCH("BR-05|"&amp;$A24,Matching_Engine!$BG$6:$BG$125,0)),"N/A")</f>
        <v>N/A</v>
      </c>
      <c r="K24" s="42" t="str">
        <f ca="1">IF(NOT(COUNT($F24:$J24)&gt;0),"N/A",INDEX({"NovaTech","LumiSkin","DailyBite","MoveFit","UrbanMuse"},MATCH(MAX($F24:$J24),$F24:$J24,0)))</f>
        <v>N/A</v>
      </c>
      <c r="L24" s="65" t="str">
        <f ca="1" t="shared" si="0"/>
        <v>N/A</v>
      </c>
      <c r="M24" s="63" t="str">
        <f ca="1" t="shared" si="1"/>
        <v>N/A</v>
      </c>
    </row>
    <row r="25" spans="1:13">
      <c r="A25" s="64" t="e">
        <f>'[1]#REF'!$A$25</f>
        <v>#REF!</v>
      </c>
      <c r="B25" s="42" t="e">
        <f>'[1]#REF'!$C$25</f>
        <v>#REF!</v>
      </c>
      <c r="C25" s="42" t="e">
        <f>'[1]#REF'!$D$25</f>
        <v>#REF!</v>
      </c>
      <c r="D25" s="42" t="e">
        <f>'[1]#REF'!$E$25</f>
        <v>#REF!</v>
      </c>
      <c r="E25" s="42" t="e">
        <f>'[1]#REF'!$K$25</f>
        <v>#REF!</v>
      </c>
      <c r="F25" s="65" t="str">
        <f ca="1">IFERROR(INDEX(Matching_Engine!$AY$6:$AY$125,MATCH("BR-01|"&amp;$A25,Matching_Engine!$BG$6:$BG$125,0)),"N/A")</f>
        <v>N/A</v>
      </c>
      <c r="G25" s="65" t="str">
        <f ca="1">IFERROR(INDEX(Matching_Engine!$AY$6:$AY$125,MATCH("BR-02|"&amp;$A25,Matching_Engine!$BG$6:$BG$125,0)),"N/A")</f>
        <v>N/A</v>
      </c>
      <c r="H25" s="65" t="str">
        <f ca="1">IFERROR(INDEX(Matching_Engine!$AY$6:$AY$125,MATCH("BR-03|"&amp;$A25,Matching_Engine!$BG$6:$BG$125,0)),"N/A")</f>
        <v>N/A</v>
      </c>
      <c r="I25" s="65" t="str">
        <f ca="1">IFERROR(INDEX(Matching_Engine!$AY$6:$AY$125,MATCH("BR-04|"&amp;$A25,Matching_Engine!$BG$6:$BG$125,0)),"N/A")</f>
        <v>N/A</v>
      </c>
      <c r="J25" s="65" t="str">
        <f ca="1">IFERROR(INDEX(Matching_Engine!$AY$6:$AY$125,MATCH("BR-05|"&amp;$A25,Matching_Engine!$BG$6:$BG$125,0)),"N/A")</f>
        <v>N/A</v>
      </c>
      <c r="K25" s="42" t="str">
        <f ca="1">IF(NOT(COUNT($F25:$J25)&gt;0),"N/A",INDEX({"NovaTech","LumiSkin","DailyBite","MoveFit","UrbanMuse"},MATCH(MAX($F25:$J25),$F25:$J25,0)))</f>
        <v>N/A</v>
      </c>
      <c r="L25" s="65" t="str">
        <f ca="1" t="shared" si="0"/>
        <v>N/A</v>
      </c>
      <c r="M25" s="63" t="str">
        <f ca="1" t="shared" si="1"/>
        <v>N/A</v>
      </c>
    </row>
    <row r="26" spans="1:13">
      <c r="A26" s="64" t="e">
        <f>'[1]#REF'!$A$26</f>
        <v>#REF!</v>
      </c>
      <c r="B26" s="42" t="e">
        <f>'[1]#REF'!$C$26</f>
        <v>#REF!</v>
      </c>
      <c r="C26" s="42" t="e">
        <f>'[1]#REF'!$D$26</f>
        <v>#REF!</v>
      </c>
      <c r="D26" s="42" t="e">
        <f>'[1]#REF'!$E$26</f>
        <v>#REF!</v>
      </c>
      <c r="E26" s="42" t="e">
        <f>'[1]#REF'!$K$26</f>
        <v>#REF!</v>
      </c>
      <c r="F26" s="65" t="str">
        <f ca="1">IFERROR(INDEX(Matching_Engine!$AY$6:$AY$125,MATCH("BR-01|"&amp;$A26,Matching_Engine!$BG$6:$BG$125,0)),"N/A")</f>
        <v>N/A</v>
      </c>
      <c r="G26" s="65" t="str">
        <f ca="1">IFERROR(INDEX(Matching_Engine!$AY$6:$AY$125,MATCH("BR-02|"&amp;$A26,Matching_Engine!$BG$6:$BG$125,0)),"N/A")</f>
        <v>N/A</v>
      </c>
      <c r="H26" s="65" t="str">
        <f ca="1">IFERROR(INDEX(Matching_Engine!$AY$6:$AY$125,MATCH("BR-03|"&amp;$A26,Matching_Engine!$BG$6:$BG$125,0)),"N/A")</f>
        <v>N/A</v>
      </c>
      <c r="I26" s="65" t="str">
        <f ca="1">IFERROR(INDEX(Matching_Engine!$AY$6:$AY$125,MATCH("BR-04|"&amp;$A26,Matching_Engine!$BG$6:$BG$125,0)),"N/A")</f>
        <v>N/A</v>
      </c>
      <c r="J26" s="65" t="str">
        <f ca="1">IFERROR(INDEX(Matching_Engine!$AY$6:$AY$125,MATCH("BR-05|"&amp;$A26,Matching_Engine!$BG$6:$BG$125,0)),"N/A")</f>
        <v>N/A</v>
      </c>
      <c r="K26" s="42" t="str">
        <f ca="1">IF(NOT(COUNT($F26:$J26)&gt;0),"N/A",INDEX({"NovaTech","LumiSkin","DailyBite","MoveFit","UrbanMuse"},MATCH(MAX($F26:$J26),$F26:$J26,0)))</f>
        <v>N/A</v>
      </c>
      <c r="L26" s="65" t="str">
        <f ca="1" t="shared" si="0"/>
        <v>N/A</v>
      </c>
      <c r="M26" s="63" t="str">
        <f ca="1" t="shared" si="1"/>
        <v>N/A</v>
      </c>
    </row>
    <row r="27" spans="1:13">
      <c r="A27" s="64" t="e">
        <f>'[1]#REF'!$A$27</f>
        <v>#REF!</v>
      </c>
      <c r="B27" s="42" t="e">
        <f>'[1]#REF'!$C$27</f>
        <v>#REF!</v>
      </c>
      <c r="C27" s="42" t="e">
        <f>'[1]#REF'!$D$27</f>
        <v>#REF!</v>
      </c>
      <c r="D27" s="42" t="e">
        <f>'[1]#REF'!$E$27</f>
        <v>#REF!</v>
      </c>
      <c r="E27" s="42" t="e">
        <f>'[1]#REF'!$K$27</f>
        <v>#REF!</v>
      </c>
      <c r="F27" s="65" t="str">
        <f ca="1">IFERROR(INDEX(Matching_Engine!$AY$6:$AY$125,MATCH("BR-01|"&amp;$A27,Matching_Engine!$BG$6:$BG$125,0)),"N/A")</f>
        <v>N/A</v>
      </c>
      <c r="G27" s="65" t="str">
        <f ca="1">IFERROR(INDEX(Matching_Engine!$AY$6:$AY$125,MATCH("BR-02|"&amp;$A27,Matching_Engine!$BG$6:$BG$125,0)),"N/A")</f>
        <v>N/A</v>
      </c>
      <c r="H27" s="65" t="str">
        <f ca="1">IFERROR(INDEX(Matching_Engine!$AY$6:$AY$125,MATCH("BR-03|"&amp;$A27,Matching_Engine!$BG$6:$BG$125,0)),"N/A")</f>
        <v>N/A</v>
      </c>
      <c r="I27" s="65" t="str">
        <f ca="1">IFERROR(INDEX(Matching_Engine!$AY$6:$AY$125,MATCH("BR-04|"&amp;$A27,Matching_Engine!$BG$6:$BG$125,0)),"N/A")</f>
        <v>N/A</v>
      </c>
      <c r="J27" s="65" t="str">
        <f ca="1">IFERROR(INDEX(Matching_Engine!$AY$6:$AY$125,MATCH("BR-05|"&amp;$A27,Matching_Engine!$BG$6:$BG$125,0)),"N/A")</f>
        <v>N/A</v>
      </c>
      <c r="K27" s="42" t="str">
        <f ca="1">IF(NOT(COUNT($F27:$J27)&gt;0),"N/A",INDEX({"NovaTech","LumiSkin","DailyBite","MoveFit","UrbanMuse"},MATCH(MAX($F27:$J27),$F27:$J27,0)))</f>
        <v>N/A</v>
      </c>
      <c r="L27" s="65" t="str">
        <f ca="1" t="shared" si="0"/>
        <v>N/A</v>
      </c>
      <c r="M27" s="63" t="str">
        <f ca="1" t="shared" si="1"/>
        <v>N/A</v>
      </c>
    </row>
    <row r="28" spans="1:13">
      <c r="A28" s="64" t="e">
        <f>'[1]#REF'!$A$28</f>
        <v>#REF!</v>
      </c>
      <c r="B28" s="42" t="e">
        <f>'[1]#REF'!$C$28</f>
        <v>#REF!</v>
      </c>
      <c r="C28" s="42" t="e">
        <f>'[1]#REF'!$D$28</f>
        <v>#REF!</v>
      </c>
      <c r="D28" s="42" t="e">
        <f>'[1]#REF'!$E$28</f>
        <v>#REF!</v>
      </c>
      <c r="E28" s="42" t="e">
        <f>'[1]#REF'!$K$28</f>
        <v>#REF!</v>
      </c>
      <c r="F28" s="65" t="str">
        <f ca="1">IFERROR(INDEX(Matching_Engine!$AY$6:$AY$125,MATCH("BR-01|"&amp;$A28,Matching_Engine!$BG$6:$BG$125,0)),"N/A")</f>
        <v>N/A</v>
      </c>
      <c r="G28" s="65" t="str">
        <f ca="1">IFERROR(INDEX(Matching_Engine!$AY$6:$AY$125,MATCH("BR-02|"&amp;$A28,Matching_Engine!$BG$6:$BG$125,0)),"N/A")</f>
        <v>N/A</v>
      </c>
      <c r="H28" s="65" t="str">
        <f ca="1">IFERROR(INDEX(Matching_Engine!$AY$6:$AY$125,MATCH("BR-03|"&amp;$A28,Matching_Engine!$BG$6:$BG$125,0)),"N/A")</f>
        <v>N/A</v>
      </c>
      <c r="I28" s="65" t="str">
        <f ca="1">IFERROR(INDEX(Matching_Engine!$AY$6:$AY$125,MATCH("BR-04|"&amp;$A28,Matching_Engine!$BG$6:$BG$125,0)),"N/A")</f>
        <v>N/A</v>
      </c>
      <c r="J28" s="65" t="str">
        <f ca="1">IFERROR(INDEX(Matching_Engine!$AY$6:$AY$125,MATCH("BR-05|"&amp;$A28,Matching_Engine!$BG$6:$BG$125,0)),"N/A")</f>
        <v>N/A</v>
      </c>
      <c r="K28" s="42" t="str">
        <f ca="1">IF(NOT(COUNT($F28:$J28)&gt;0),"N/A",INDEX({"NovaTech","LumiSkin","DailyBite","MoveFit","UrbanMuse"},MATCH(MAX($F28:$J28),$F28:$J28,0)))</f>
        <v>N/A</v>
      </c>
      <c r="L28" s="65" t="str">
        <f ca="1" t="shared" si="0"/>
        <v>N/A</v>
      </c>
      <c r="M28" s="63" t="str">
        <f ca="1" t="shared" si="1"/>
        <v>N/A</v>
      </c>
    </row>
    <row r="29" spans="1:13">
      <c r="A29" s="64" t="e">
        <f>'[1]#REF'!$A$29</f>
        <v>#REF!</v>
      </c>
      <c r="B29" s="42" t="e">
        <f>'[1]#REF'!$C$29</f>
        <v>#REF!</v>
      </c>
      <c r="C29" s="42" t="e">
        <f>'[1]#REF'!$D$29</f>
        <v>#REF!</v>
      </c>
      <c r="D29" s="42" t="e">
        <f>'[1]#REF'!$E$29</f>
        <v>#REF!</v>
      </c>
      <c r="E29" s="42" t="e">
        <f>'[1]#REF'!$K$29</f>
        <v>#REF!</v>
      </c>
      <c r="F29" s="65" t="str">
        <f ca="1">IFERROR(INDEX(Matching_Engine!$AY$6:$AY$125,MATCH("BR-01|"&amp;$A29,Matching_Engine!$BG$6:$BG$125,0)),"N/A")</f>
        <v>N/A</v>
      </c>
      <c r="G29" s="65" t="str">
        <f ca="1">IFERROR(INDEX(Matching_Engine!$AY$6:$AY$125,MATCH("BR-02|"&amp;$A29,Matching_Engine!$BG$6:$BG$125,0)),"N/A")</f>
        <v>N/A</v>
      </c>
      <c r="H29" s="65" t="str">
        <f ca="1">IFERROR(INDEX(Matching_Engine!$AY$6:$AY$125,MATCH("BR-03|"&amp;$A29,Matching_Engine!$BG$6:$BG$125,0)),"N/A")</f>
        <v>N/A</v>
      </c>
      <c r="I29" s="65" t="str">
        <f ca="1">IFERROR(INDEX(Matching_Engine!$AY$6:$AY$125,MATCH("BR-04|"&amp;$A29,Matching_Engine!$BG$6:$BG$125,0)),"N/A")</f>
        <v>N/A</v>
      </c>
      <c r="J29" s="65" t="str">
        <f ca="1">IFERROR(INDEX(Matching_Engine!$AY$6:$AY$125,MATCH("BR-05|"&amp;$A29,Matching_Engine!$BG$6:$BG$125,0)),"N/A")</f>
        <v>N/A</v>
      </c>
      <c r="K29" s="42" t="str">
        <f ca="1">IF(NOT(COUNT($F29:$J29)&gt;0),"N/A",INDEX({"NovaTech","LumiSkin","DailyBite","MoveFit","UrbanMuse"},MATCH(MAX($F29:$J29),$F29:$J29,0)))</f>
        <v>N/A</v>
      </c>
      <c r="L29" s="65" t="str">
        <f ca="1" t="shared" si="0"/>
        <v>N/A</v>
      </c>
      <c r="M29" s="63" t="str">
        <f ca="1" t="shared" si="1"/>
        <v>N/A</v>
      </c>
    </row>
  </sheetData>
  <mergeCells count="2">
    <mergeCell ref="A1:M1"/>
    <mergeCell ref="A2:M2"/>
  </mergeCells>
  <pageMargins left="0.7" right="0.7" top="0.75" bottom="0.75" header="0.3" footer="0.3"/>
  <pageSetup paperSize="1" orientation="portrait"/>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41"/>
  <sheetViews>
    <sheetView workbookViewId="0">
      <pane ySplit="4" topLeftCell="A5" activePane="bottomLeft" state="frozen"/>
      <selection/>
      <selection pane="bottomLeft" activeCell="A1" sqref="A1:H1"/>
    </sheetView>
  </sheetViews>
  <sheetFormatPr defaultColWidth="9" defaultRowHeight="15" outlineLevelCol="7"/>
  <cols>
    <col min="1" max="1" width="5" customWidth="1"/>
    <col min="2" max="3" width="22" customWidth="1"/>
    <col min="4" max="4" width="15" customWidth="1"/>
    <col min="5" max="5" width="12" customWidth="1"/>
    <col min="6" max="6" width="16" customWidth="1"/>
    <col min="7" max="7" width="13" customWidth="1"/>
    <col min="8" max="8" width="40" customWidth="1"/>
  </cols>
  <sheetData>
    <row r="1" ht="24" customHeight="1" spans="1:8">
      <c r="A1" s="38" t="s">
        <v>2784</v>
      </c>
    </row>
    <row r="2" ht="30" customHeight="1" spans="1:8">
      <c r="A2" s="39" t="s">
        <v>2785</v>
      </c>
    </row>
    <row r="4" ht="18" customHeight="1" spans="1:8">
      <c r="A4" s="40" t="s">
        <v>2786</v>
      </c>
    </row>
    <row r="5" ht="24" customHeight="1" spans="1:8">
      <c r="A5" s="41" t="s">
        <v>1951</v>
      </c>
      <c r="B5" s="41" t="s">
        <v>1031</v>
      </c>
      <c r="C5" s="41" t="s">
        <v>415</v>
      </c>
      <c r="D5" s="41" t="s">
        <v>416</v>
      </c>
      <c r="E5" s="41" t="s">
        <v>2755</v>
      </c>
      <c r="F5" s="41" t="s">
        <v>424</v>
      </c>
      <c r="G5" s="41" t="s">
        <v>773</v>
      </c>
      <c r="H5" s="41" t="s">
        <v>2760</v>
      </c>
    </row>
    <row r="6" spans="1:8">
      <c r="A6" s="53">
        <v>1</v>
      </c>
      <c r="B6" s="42" t="str">
        <f>IFERROR(INDEX(Matching_Engine!$D$6:$D$29,MATCH(LARGE(Matching_Engine!$BC$6:$BC$29,1),Matching_Engine!$BC$6:$BC$29,0)),"")</f>
        <v>Ardi Nugraha</v>
      </c>
      <c r="C6" s="42" t="str">
        <f>IFERROR(INDEX(Matching_Engine!$E$6:$E$29,MATCH(LARGE(Matching_Engine!$BC$6:$BC$29,1),Matching_Engine!$BC$6:$BC$29,0)),"")</f>
        <v>@ardidigital</v>
      </c>
      <c r="D6" s="42" t="str">
        <f>IFERROR(INDEX(Matching_Engine!$G$6:$G$29,MATCH(LARGE(Matching_Engine!$BC$6:$BC$29,1),Matching_Engine!$BC$6:$BC$29,0)),"")</f>
        <v>Tech</v>
      </c>
      <c r="E6" s="63">
        <f ca="1">IFERROR(INDEX(Matching_Engine!$AY$6:$AY$29,MATCH(LARGE(Matching_Engine!$BC$6:$BC$29,1),Matching_Engine!$BC$6:$BC$29,0)),"N/A")</f>
        <v>80</v>
      </c>
      <c r="F6" s="42" t="str">
        <f>IFERROR(INDEX(Matching_Engine!$AZ$6:$AZ$29,MATCH(LARGE(Matching_Engine!$BC$6:$BC$29,1),Matching_Engine!$BC$6:$BC$29,0)),"")</f>
        <v>BRAND-A|KOL-01</v>
      </c>
      <c r="G6" s="42" t="str">
        <f>IFERROR(INDEX(Matching_Engine!$BB$6:$BB$29,MATCH(LARGE(Matching_Engine!$BC$6:$BC$29,1),Matching_Engine!$BC$6:$BC$29,0)),"")</f>
        <v>Tech</v>
      </c>
      <c r="H6" s="42" t="str">
        <f ca="1">IFERROR(INDEX(Match_Explanation!$G$6:$G$125,MATCH("BR-01|"&amp;INDEX(Matching_Engine!$C$6:$C$29,MATCH(LARGE(Matching_Engine!$BC$6:$BC$29,1),Matching_Engine!$BC$6:$BC$29,0)),Matching_Engine!$BG$6:$BG$125,0)),"")</f>
        <v/>
      </c>
    </row>
    <row r="7" spans="1:8">
      <c r="A7" s="53">
        <v>2</v>
      </c>
      <c r="B7" s="42" t="str">
        <f>IFERROR(INDEX(Matching_Engine!$D$6:$D$29,MATCH(LARGE(Matching_Engine!$BC$6:$BC$29,2),Matching_Engine!$BC$6:$BC$29,0)),"")</f>
        <v>Ardi Nugraha</v>
      </c>
      <c r="C7" s="42" t="str">
        <f>IFERROR(INDEX(Matching_Engine!$E$6:$E$29,MATCH(LARGE(Matching_Engine!$BC$6:$BC$29,2),Matching_Engine!$BC$6:$BC$29,0)),"")</f>
        <v>@ardidigital</v>
      </c>
      <c r="D7" s="42" t="str">
        <f>IFERROR(INDEX(Matching_Engine!$G$6:$G$29,MATCH(LARGE(Matching_Engine!$BC$6:$BC$29,2),Matching_Engine!$BC$6:$BC$29,0)),"")</f>
        <v>Tech</v>
      </c>
      <c r="E7" s="63">
        <f ca="1">IFERROR(INDEX(Matching_Engine!$AY$6:$AY$29,MATCH(LARGE(Matching_Engine!$BC$6:$BC$29,2),Matching_Engine!$BC$6:$BC$29,0)),"N/A")</f>
        <v>80</v>
      </c>
      <c r="F7" s="42" t="str">
        <f>IFERROR(INDEX(Matching_Engine!$AZ$6:$AZ$29,MATCH(LARGE(Matching_Engine!$BC$6:$BC$29,2),Matching_Engine!$BC$6:$BC$29,0)),"")</f>
        <v>BRAND-A|KOL-01</v>
      </c>
      <c r="G7" s="42" t="str">
        <f>IFERROR(INDEX(Matching_Engine!$BB$6:$BB$29,MATCH(LARGE(Matching_Engine!$BC$6:$BC$29,2),Matching_Engine!$BC$6:$BC$29,0)),"")</f>
        <v>Tech</v>
      </c>
      <c r="H7" s="42" t="str">
        <f ca="1">IFERROR(INDEX(Match_Explanation!$G$6:$G$125,MATCH("BR-01|"&amp;INDEX(Matching_Engine!$C$6:$C$29,MATCH(LARGE(Matching_Engine!$BC$6:$BC$29,2),Matching_Engine!$BC$6:$BC$29,0)),Matching_Engine!$BG$6:$BG$125,0)),"")</f>
        <v/>
      </c>
    </row>
    <row r="8" spans="1:8">
      <c r="A8" s="53">
        <v>3</v>
      </c>
      <c r="B8" s="42" t="str">
        <f>IFERROR(INDEX(Matching_Engine!$D$6:$D$29,MATCH(LARGE(Matching_Engine!$BC$6:$BC$29,3),Matching_Engine!$BC$6:$BC$29,0)),"")</f>
        <v>Fajar Ramadhan</v>
      </c>
      <c r="C8" s="42" t="str">
        <f>IFERROR(INDEX(Matching_Engine!$E$6:$E$29,MATCH(LARGE(Matching_Engine!$BC$6:$BC$29,3),Matching_Engine!$BC$6:$BC$29,0)),"")</f>
        <v>@fajarfinance</v>
      </c>
      <c r="D8" s="42" t="str">
        <f>IFERROR(INDEX(Matching_Engine!$G$6:$G$29,MATCH(LARGE(Matching_Engine!$BC$6:$BC$29,3),Matching_Engine!$BC$6:$BC$29,0)),"")</f>
        <v>Finance</v>
      </c>
      <c r="E8" s="63">
        <f ca="1">IFERROR(INDEX(Matching_Engine!$AY$6:$AY$29,MATCH(LARGE(Matching_Engine!$BC$6:$BC$29,3),Matching_Engine!$BC$6:$BC$29,0)),"N/A")</f>
        <v>87</v>
      </c>
      <c r="F8" s="42" t="str">
        <f>IFERROR(INDEX(Matching_Engine!$AZ$6:$AZ$29,MATCH(LARGE(Matching_Engine!$BC$6:$BC$29,3),Matching_Engine!$BC$6:$BC$29,0)),"")</f>
        <v>BRAND-A|KOL-07</v>
      </c>
      <c r="G8" s="42" t="str">
        <f>IFERROR(INDEX(Matching_Engine!$BB$6:$BB$29,MATCH(LARGE(Matching_Engine!$BC$6:$BC$29,3),Matching_Engine!$BC$6:$BC$29,0)),"")</f>
        <v>Finance</v>
      </c>
      <c r="H8" s="42" t="str">
        <f ca="1">IFERROR(INDEX(Match_Explanation!$G$6:$G$125,MATCH("BR-01|"&amp;INDEX(Matching_Engine!$C$6:$C$29,MATCH(LARGE(Matching_Engine!$BC$6:$BC$29,3),Matching_Engine!$BC$6:$BC$29,0)),Matching_Engine!$BG$6:$BG$125,0)),"")</f>
        <v/>
      </c>
    </row>
    <row r="9" spans="1:8">
      <c r="A9" s="53">
        <v>4</v>
      </c>
      <c r="B9" s="42" t="str">
        <f>IFERROR(INDEX(Matching_Engine!$D$6:$D$29,MATCH(LARGE(Matching_Engine!$BC$6:$BC$29,4),Matching_Engine!$BC$6:$BC$29,0)),"")</f>
        <v>Fajar Ramadhan</v>
      </c>
      <c r="C9" s="42" t="str">
        <f>IFERROR(INDEX(Matching_Engine!$E$6:$E$29,MATCH(LARGE(Matching_Engine!$BC$6:$BC$29,4),Matching_Engine!$BC$6:$BC$29,0)),"")</f>
        <v>@fajarfinance</v>
      </c>
      <c r="D9" s="42" t="str">
        <f>IFERROR(INDEX(Matching_Engine!$G$6:$G$29,MATCH(LARGE(Matching_Engine!$BC$6:$BC$29,4),Matching_Engine!$BC$6:$BC$29,0)),"")</f>
        <v>Finance</v>
      </c>
      <c r="E9" s="63">
        <f ca="1">IFERROR(INDEX(Matching_Engine!$AY$6:$AY$29,MATCH(LARGE(Matching_Engine!$BC$6:$BC$29,4),Matching_Engine!$BC$6:$BC$29,0)),"N/A")</f>
        <v>87</v>
      </c>
      <c r="F9" s="42" t="str">
        <f>IFERROR(INDEX(Matching_Engine!$AZ$6:$AZ$29,MATCH(LARGE(Matching_Engine!$BC$6:$BC$29,4),Matching_Engine!$BC$6:$BC$29,0)),"")</f>
        <v>BRAND-A|KOL-07</v>
      </c>
      <c r="G9" s="42" t="str">
        <f>IFERROR(INDEX(Matching_Engine!$BB$6:$BB$29,MATCH(LARGE(Matching_Engine!$BC$6:$BC$29,4),Matching_Engine!$BC$6:$BC$29,0)),"")</f>
        <v>Finance</v>
      </c>
      <c r="H9" s="42" t="str">
        <f ca="1">IFERROR(INDEX(Match_Explanation!$G$6:$G$125,MATCH("BR-01|"&amp;INDEX(Matching_Engine!$C$6:$C$29,MATCH(LARGE(Matching_Engine!$BC$6:$BC$29,4),Matching_Engine!$BC$6:$BC$29,0)),Matching_Engine!$BG$6:$BG$125,0)),"")</f>
        <v/>
      </c>
    </row>
    <row r="10" spans="1:8">
      <c r="A10" s="53">
        <v>5</v>
      </c>
      <c r="B10" s="42" t="str">
        <f>IFERROR(INDEX(Matching_Engine!$D$6:$D$29,MATCH(LARGE(Matching_Engine!$BC$6:$BC$29,5),Matching_Engine!$BC$6:$BC$29,0)),"")</f>
        <v>Fajar Ramadhan</v>
      </c>
      <c r="C10" s="42" t="str">
        <f>IFERROR(INDEX(Matching_Engine!$E$6:$E$29,MATCH(LARGE(Matching_Engine!$BC$6:$BC$29,5),Matching_Engine!$BC$6:$BC$29,0)),"")</f>
        <v>@fajarfinance</v>
      </c>
      <c r="D10" s="42" t="str">
        <f>IFERROR(INDEX(Matching_Engine!$G$6:$G$29,MATCH(LARGE(Matching_Engine!$BC$6:$BC$29,5),Matching_Engine!$BC$6:$BC$29,0)),"")</f>
        <v>Finance</v>
      </c>
      <c r="E10" s="63">
        <f ca="1">IFERROR(INDEX(Matching_Engine!$AY$6:$AY$29,MATCH(LARGE(Matching_Engine!$BC$6:$BC$29,5),Matching_Engine!$BC$6:$BC$29,0)),"N/A")</f>
        <v>87</v>
      </c>
      <c r="F10" s="42" t="str">
        <f>IFERROR(INDEX(Matching_Engine!$AZ$6:$AZ$29,MATCH(LARGE(Matching_Engine!$BC$6:$BC$29,5),Matching_Engine!$BC$6:$BC$29,0)),"")</f>
        <v>BRAND-A|KOL-07</v>
      </c>
      <c r="G10" s="42" t="str">
        <f>IFERROR(INDEX(Matching_Engine!$BB$6:$BB$29,MATCH(LARGE(Matching_Engine!$BC$6:$BC$29,5),Matching_Engine!$BC$6:$BC$29,0)),"")</f>
        <v>Finance</v>
      </c>
      <c r="H10" s="42" t="str">
        <f ca="1">IFERROR(INDEX(Match_Explanation!$G$6:$G$125,MATCH("BR-01|"&amp;INDEX(Matching_Engine!$C$6:$C$29,MATCH(LARGE(Matching_Engine!$BC$6:$BC$29,5),Matching_Engine!$BC$6:$BC$29,0)),Matching_Engine!$BG$6:$BG$125,0)),"")</f>
        <v/>
      </c>
    </row>
    <row r="11" spans="1:8">
      <c r="A11" s="53">
        <v>6</v>
      </c>
      <c r="B11" s="42" t="str">
        <f>IFERROR(INDEX(Matching_Engine!$D$6:$D$29,MATCH(LARGE(Matching_Engine!$BC$6:$BC$29,6),Matching_Engine!$BC$6:$BC$29,0)),"")</f>
        <v>Fajar Ramadhan</v>
      </c>
      <c r="C11" s="42" t="str">
        <f>IFERROR(INDEX(Matching_Engine!$E$6:$E$29,MATCH(LARGE(Matching_Engine!$BC$6:$BC$29,6),Matching_Engine!$BC$6:$BC$29,0)),"")</f>
        <v>@fajarfinance</v>
      </c>
      <c r="D11" s="42" t="str">
        <f>IFERROR(INDEX(Matching_Engine!$G$6:$G$29,MATCH(LARGE(Matching_Engine!$BC$6:$BC$29,6),Matching_Engine!$BC$6:$BC$29,0)),"")</f>
        <v>Finance</v>
      </c>
      <c r="E11" s="63">
        <f ca="1">IFERROR(INDEX(Matching_Engine!$AY$6:$AY$29,MATCH(LARGE(Matching_Engine!$BC$6:$BC$29,6),Matching_Engine!$BC$6:$BC$29,0)),"N/A")</f>
        <v>87</v>
      </c>
      <c r="F11" s="42" t="str">
        <f>IFERROR(INDEX(Matching_Engine!$AZ$6:$AZ$29,MATCH(LARGE(Matching_Engine!$BC$6:$BC$29,6),Matching_Engine!$BC$6:$BC$29,0)),"")</f>
        <v>BRAND-A|KOL-07</v>
      </c>
      <c r="G11" s="42" t="str">
        <f>IFERROR(INDEX(Matching_Engine!$BB$6:$BB$29,MATCH(LARGE(Matching_Engine!$BC$6:$BC$29,6),Matching_Engine!$BC$6:$BC$29,0)),"")</f>
        <v>Finance</v>
      </c>
      <c r="H11" s="42" t="str">
        <f ca="1">IFERROR(INDEX(Match_Explanation!$G$6:$G$125,MATCH("BR-01|"&amp;INDEX(Matching_Engine!$C$6:$C$29,MATCH(LARGE(Matching_Engine!$BC$6:$BC$29,6),Matching_Engine!$BC$6:$BC$29,0)),Matching_Engine!$BG$6:$BG$125,0)),"")</f>
        <v/>
      </c>
    </row>
    <row r="12" spans="1:8">
      <c r="A12" s="53">
        <v>7</v>
      </c>
      <c r="B12" s="42" t="str">
        <f>IFERROR(INDEX(Matching_Engine!$D$6:$D$29,MATCH(LARGE(Matching_Engine!$BC$6:$BC$29,7),Matching_Engine!$BC$6:$BC$29,0)),"")</f>
        <v>Fajar Ramadhan</v>
      </c>
      <c r="C12" s="42" t="str">
        <f>IFERROR(INDEX(Matching_Engine!$E$6:$E$29,MATCH(LARGE(Matching_Engine!$BC$6:$BC$29,7),Matching_Engine!$BC$6:$BC$29,0)),"")</f>
        <v>@fajarfinance</v>
      </c>
      <c r="D12" s="42" t="str">
        <f>IFERROR(INDEX(Matching_Engine!$G$6:$G$29,MATCH(LARGE(Matching_Engine!$BC$6:$BC$29,7),Matching_Engine!$BC$6:$BC$29,0)),"")</f>
        <v>Finance</v>
      </c>
      <c r="E12" s="63">
        <f ca="1">IFERROR(INDEX(Matching_Engine!$AY$6:$AY$29,MATCH(LARGE(Matching_Engine!$BC$6:$BC$29,7),Matching_Engine!$BC$6:$BC$29,0)),"N/A")</f>
        <v>87</v>
      </c>
      <c r="F12" s="42" t="str">
        <f>IFERROR(INDEX(Matching_Engine!$AZ$6:$AZ$29,MATCH(LARGE(Matching_Engine!$BC$6:$BC$29,7),Matching_Engine!$BC$6:$BC$29,0)),"")</f>
        <v>BRAND-A|KOL-07</v>
      </c>
      <c r="G12" s="42" t="str">
        <f>IFERROR(INDEX(Matching_Engine!$BB$6:$BB$29,MATCH(LARGE(Matching_Engine!$BC$6:$BC$29,7),Matching_Engine!$BC$6:$BC$29,0)),"")</f>
        <v>Finance</v>
      </c>
      <c r="H12" s="42" t="str">
        <f ca="1">IFERROR(INDEX(Match_Explanation!$G$6:$G$125,MATCH("BR-01|"&amp;INDEX(Matching_Engine!$C$6:$C$29,MATCH(LARGE(Matching_Engine!$BC$6:$BC$29,7),Matching_Engine!$BC$6:$BC$29,0)),Matching_Engine!$BG$6:$BG$125,0)),"")</f>
        <v/>
      </c>
    </row>
    <row r="13" spans="1:8">
      <c r="A13" s="53">
        <v>8</v>
      </c>
      <c r="B13" s="42" t="str">
        <f>IFERROR(INDEX(Matching_Engine!$D$6:$D$29,MATCH(LARGE(Matching_Engine!$BC$6:$BC$29,8),Matching_Engine!$BC$6:$BC$29,0)),"")</f>
        <v>Fajar Ramadhan</v>
      </c>
      <c r="C13" s="42" t="str">
        <f>IFERROR(INDEX(Matching_Engine!$E$6:$E$29,MATCH(LARGE(Matching_Engine!$BC$6:$BC$29,8),Matching_Engine!$BC$6:$BC$29,0)),"")</f>
        <v>@fajarfinance</v>
      </c>
      <c r="D13" s="42" t="str">
        <f>IFERROR(INDEX(Matching_Engine!$G$6:$G$29,MATCH(LARGE(Matching_Engine!$BC$6:$BC$29,8),Matching_Engine!$BC$6:$BC$29,0)),"")</f>
        <v>Finance</v>
      </c>
      <c r="E13" s="63">
        <f ca="1">IFERROR(INDEX(Matching_Engine!$AY$6:$AY$29,MATCH(LARGE(Matching_Engine!$BC$6:$BC$29,8),Matching_Engine!$BC$6:$BC$29,0)),"N/A")</f>
        <v>87</v>
      </c>
      <c r="F13" s="42" t="str">
        <f>IFERROR(INDEX(Matching_Engine!$AZ$6:$AZ$29,MATCH(LARGE(Matching_Engine!$BC$6:$BC$29,8),Matching_Engine!$BC$6:$BC$29,0)),"")</f>
        <v>BRAND-A|KOL-07</v>
      </c>
      <c r="G13" s="42" t="str">
        <f>IFERROR(INDEX(Matching_Engine!$BB$6:$BB$29,MATCH(LARGE(Matching_Engine!$BC$6:$BC$29,8),Matching_Engine!$BC$6:$BC$29,0)),"")</f>
        <v>Finance</v>
      </c>
      <c r="H13" s="42" t="str">
        <f ca="1">IFERROR(INDEX(Match_Explanation!$G$6:$G$125,MATCH("BR-01|"&amp;INDEX(Matching_Engine!$C$6:$C$29,MATCH(LARGE(Matching_Engine!$BC$6:$BC$29,8),Matching_Engine!$BC$6:$BC$29,0)),Matching_Engine!$BG$6:$BG$125,0)),"")</f>
        <v/>
      </c>
    </row>
    <row r="14" spans="1:8">
      <c r="A14" s="53">
        <v>9</v>
      </c>
      <c r="B14" s="42" t="str">
        <f>IFERROR(INDEX(Matching_Engine!$D$6:$D$29,MATCH(LARGE(Matching_Engine!$BC$6:$BC$29,9),Matching_Engine!$BC$6:$BC$29,0)),"")</f>
        <v>Andini Rahma</v>
      </c>
      <c r="C14" s="42" t="str">
        <f>IFERROR(INDEX(Matching_Engine!$E$6:$E$29,MATCH(LARGE(Matching_Engine!$BC$6:$BC$29,9),Matching_Engine!$BC$6:$BC$29,0)),"")</f>
        <v>@andinidaily</v>
      </c>
      <c r="D14" s="42" t="str">
        <f>IFERROR(INDEX(Matching_Engine!$G$6:$G$29,MATCH(LARGE(Matching_Engine!$BC$6:$BC$29,9),Matching_Engine!$BC$6:$BC$29,0)),"")</f>
        <v>Lifestyle</v>
      </c>
      <c r="E14" s="63">
        <f ca="1">IFERROR(INDEX(Matching_Engine!$AY$6:$AY$29,MATCH(LARGE(Matching_Engine!$BC$6:$BC$29,9),Matching_Engine!$BC$6:$BC$29,0)),"N/A")</f>
        <v>48</v>
      </c>
      <c r="F14" s="42" t="str">
        <f>IFERROR(INDEX(Matching_Engine!$AZ$6:$AZ$29,MATCH(LARGE(Matching_Engine!$BC$6:$BC$29,9),Matching_Engine!$BC$6:$BC$29,0)),"")</f>
        <v>BRAND-A|KOL-15</v>
      </c>
      <c r="G14" s="42" t="str">
        <f>IFERROR(INDEX(Matching_Engine!$BB$6:$BB$29,MATCH(LARGE(Matching_Engine!$BC$6:$BC$29,9),Matching_Engine!$BC$6:$BC$29,0)),"")</f>
        <v>Lifestyle</v>
      </c>
      <c r="H14" s="42" t="str">
        <f ca="1">IFERROR(INDEX(Match_Explanation!$G$6:$G$125,MATCH("BR-01|"&amp;INDEX(Matching_Engine!$C$6:$C$29,MATCH(LARGE(Matching_Engine!$BC$6:$BC$29,9),Matching_Engine!$BC$6:$BC$29,0)),Matching_Engine!$BG$6:$BG$125,0)),"")</f>
        <v/>
      </c>
    </row>
    <row r="15" spans="1:8">
      <c r="A15" s="53">
        <v>10</v>
      </c>
      <c r="B15" s="42" t="str">
        <f>IFERROR(INDEX(Matching_Engine!$D$6:$D$29,MATCH(LARGE(Matching_Engine!$BC$6:$BC$29,10),Matching_Engine!$BC$6:$BC$29,0)),"")</f>
        <v>Andini Rahma</v>
      </c>
      <c r="C15" s="42" t="str">
        <f>IFERROR(INDEX(Matching_Engine!$E$6:$E$29,MATCH(LARGE(Matching_Engine!$BC$6:$BC$29,10),Matching_Engine!$BC$6:$BC$29,0)),"")</f>
        <v>@andinidaily</v>
      </c>
      <c r="D15" s="42" t="str">
        <f>IFERROR(INDEX(Matching_Engine!$G$6:$G$29,MATCH(LARGE(Matching_Engine!$BC$6:$BC$29,10),Matching_Engine!$BC$6:$BC$29,0)),"")</f>
        <v>Lifestyle</v>
      </c>
      <c r="E15" s="63">
        <f ca="1">IFERROR(INDEX(Matching_Engine!$AY$6:$AY$29,MATCH(LARGE(Matching_Engine!$BC$6:$BC$29,10),Matching_Engine!$BC$6:$BC$29,0)),"N/A")</f>
        <v>48</v>
      </c>
      <c r="F15" s="42" t="str">
        <f>IFERROR(INDEX(Matching_Engine!$AZ$6:$AZ$29,MATCH(LARGE(Matching_Engine!$BC$6:$BC$29,10),Matching_Engine!$BC$6:$BC$29,0)),"")</f>
        <v>BRAND-A|KOL-15</v>
      </c>
      <c r="G15" s="42" t="str">
        <f>IFERROR(INDEX(Matching_Engine!$BB$6:$BB$29,MATCH(LARGE(Matching_Engine!$BC$6:$BC$29,10),Matching_Engine!$BC$6:$BC$29,0)),"")</f>
        <v>Lifestyle</v>
      </c>
      <c r="H15" s="42" t="str">
        <f ca="1">IFERROR(INDEX(Match_Explanation!$G$6:$G$125,MATCH("BR-01|"&amp;INDEX(Matching_Engine!$C$6:$C$29,MATCH(LARGE(Matching_Engine!$BC$6:$BC$29,10),Matching_Engine!$BC$6:$BC$29,0)),Matching_Engine!$BG$6:$BG$125,0)),"")</f>
        <v/>
      </c>
    </row>
    <row r="16" spans="1:8">
      <c r="A16" s="53">
        <v>11</v>
      </c>
      <c r="B16" s="42" t="str">
        <f>IFERROR(INDEX(Matching_Engine!$D$6:$D$29,MATCH(LARGE(Matching_Engine!$BC$6:$BC$29,11),Matching_Engine!$BC$6:$BC$29,0)),"")</f>
        <v>Andini Rahma</v>
      </c>
      <c r="C16" s="42" t="str">
        <f>IFERROR(INDEX(Matching_Engine!$E$6:$E$29,MATCH(LARGE(Matching_Engine!$BC$6:$BC$29,11),Matching_Engine!$BC$6:$BC$29,0)),"")</f>
        <v>@andinidaily</v>
      </c>
      <c r="D16" s="42" t="str">
        <f>IFERROR(INDEX(Matching_Engine!$G$6:$G$29,MATCH(LARGE(Matching_Engine!$BC$6:$BC$29,11),Matching_Engine!$BC$6:$BC$29,0)),"")</f>
        <v>Lifestyle</v>
      </c>
      <c r="E16" s="63">
        <f ca="1">IFERROR(INDEX(Matching_Engine!$AY$6:$AY$29,MATCH(LARGE(Matching_Engine!$BC$6:$BC$29,11),Matching_Engine!$BC$6:$BC$29,0)),"N/A")</f>
        <v>48</v>
      </c>
      <c r="F16" s="42" t="str">
        <f>IFERROR(INDEX(Matching_Engine!$AZ$6:$AZ$29,MATCH(LARGE(Matching_Engine!$BC$6:$BC$29,11),Matching_Engine!$BC$6:$BC$29,0)),"")</f>
        <v>BRAND-A|KOL-15</v>
      </c>
      <c r="G16" s="42" t="str">
        <f>IFERROR(INDEX(Matching_Engine!$BB$6:$BB$29,MATCH(LARGE(Matching_Engine!$BC$6:$BC$29,11),Matching_Engine!$BC$6:$BC$29,0)),"")</f>
        <v>Lifestyle</v>
      </c>
      <c r="H16" s="42" t="str">
        <f ca="1">IFERROR(INDEX(Match_Explanation!$G$6:$G$125,MATCH("BR-01|"&amp;INDEX(Matching_Engine!$C$6:$C$29,MATCH(LARGE(Matching_Engine!$BC$6:$BC$29,11),Matching_Engine!$BC$6:$BC$29,0)),Matching_Engine!$BG$6:$BG$125,0)),"")</f>
        <v/>
      </c>
    </row>
    <row r="17" spans="1:8">
      <c r="A17" s="53">
        <v>12</v>
      </c>
      <c r="B17" s="42" t="str">
        <f>IFERROR(INDEX(Matching_Engine!$D$6:$D$29,MATCH(LARGE(Matching_Engine!$BC$6:$BC$29,12),Matching_Engine!$BC$6:$BC$29,0)),"")</f>
        <v>Andini Rahma</v>
      </c>
      <c r="C17" s="42" t="str">
        <f>IFERROR(INDEX(Matching_Engine!$E$6:$E$29,MATCH(LARGE(Matching_Engine!$BC$6:$BC$29,12),Matching_Engine!$BC$6:$BC$29,0)),"")</f>
        <v>@andinidaily</v>
      </c>
      <c r="D17" s="42" t="str">
        <f>IFERROR(INDEX(Matching_Engine!$G$6:$G$29,MATCH(LARGE(Matching_Engine!$BC$6:$BC$29,12),Matching_Engine!$BC$6:$BC$29,0)),"")</f>
        <v>Lifestyle</v>
      </c>
      <c r="E17" s="63">
        <f ca="1">IFERROR(INDEX(Matching_Engine!$AY$6:$AY$29,MATCH(LARGE(Matching_Engine!$BC$6:$BC$29,12),Matching_Engine!$BC$6:$BC$29,0)),"N/A")</f>
        <v>48</v>
      </c>
      <c r="F17" s="42" t="str">
        <f>IFERROR(INDEX(Matching_Engine!$AZ$6:$AZ$29,MATCH(LARGE(Matching_Engine!$BC$6:$BC$29,12),Matching_Engine!$BC$6:$BC$29,0)),"")</f>
        <v>BRAND-A|KOL-15</v>
      </c>
      <c r="G17" s="42" t="str">
        <f>IFERROR(INDEX(Matching_Engine!$BB$6:$BB$29,MATCH(LARGE(Matching_Engine!$BC$6:$BC$29,12),Matching_Engine!$BC$6:$BC$29,0)),"")</f>
        <v>Lifestyle</v>
      </c>
      <c r="H17" s="42" t="str">
        <f ca="1">IFERROR(INDEX(Match_Explanation!$G$6:$G$125,MATCH("BR-01|"&amp;INDEX(Matching_Engine!$C$6:$C$29,MATCH(LARGE(Matching_Engine!$BC$6:$BC$29,12),Matching_Engine!$BC$6:$BC$29,0)),Matching_Engine!$BG$6:$BG$125,0)),"")</f>
        <v/>
      </c>
    </row>
    <row r="18" spans="1:8">
      <c r="A18" s="53">
        <v>13</v>
      </c>
      <c r="B18" s="42" t="str">
        <f>IFERROR(INDEX(Matching_Engine!$D$6:$D$29,MATCH(LARGE(Matching_Engine!$BC$6:$BC$29,13),Matching_Engine!$BC$6:$BC$29,0)),"")</f>
        <v>Salsa Aulia</v>
      </c>
      <c r="C18" s="42" t="str">
        <f>IFERROR(INDEX(Matching_Engine!$E$6:$E$29,MATCH(LARGE(Matching_Engine!$BC$6:$BC$29,13),Matching_Engine!$BC$6:$BC$29,0)),"")</f>
        <v>@salsabeautydiary</v>
      </c>
      <c r="D18" s="42" t="str">
        <f>IFERROR(INDEX(Matching_Engine!$G$6:$G$29,MATCH(LARGE(Matching_Engine!$BC$6:$BC$29,13),Matching_Engine!$BC$6:$BC$29,0)),"")</f>
        <v>Beauty</v>
      </c>
      <c r="E18" s="63">
        <f ca="1">IFERROR(INDEX(Matching_Engine!$AY$6:$AY$29,MATCH(LARGE(Matching_Engine!$BC$6:$BC$29,13),Matching_Engine!$BC$6:$BC$29,0)),"N/A")</f>
        <v>48</v>
      </c>
      <c r="F18" s="42" t="str">
        <f>IFERROR(INDEX(Matching_Engine!$AZ$6:$AZ$29,MATCH(LARGE(Matching_Engine!$BC$6:$BC$29,13),Matching_Engine!$BC$6:$BC$29,0)),"")</f>
        <v>BRAND-A|KOL-03</v>
      </c>
      <c r="G18" s="42" t="str">
        <f>IFERROR(INDEX(Matching_Engine!$BB$6:$BB$29,MATCH(LARGE(Matching_Engine!$BC$6:$BC$29,13),Matching_Engine!$BC$6:$BC$29,0)),"")</f>
        <v>Beauty</v>
      </c>
      <c r="H18" s="42" t="str">
        <f ca="1">IFERROR(INDEX(Match_Explanation!$G$6:$G$125,MATCH("BR-01|"&amp;INDEX(Matching_Engine!$C$6:$C$29,MATCH(LARGE(Matching_Engine!$BC$6:$BC$29,13),Matching_Engine!$BC$6:$BC$29,0)),Matching_Engine!$BG$6:$BG$125,0)),"")</f>
        <v/>
      </c>
    </row>
    <row r="19" spans="1:8">
      <c r="A19" s="53">
        <v>14</v>
      </c>
      <c r="B19" s="42" t="str">
        <f>IFERROR(INDEX(Matching_Engine!$D$6:$D$29,MATCH(LARGE(Matching_Engine!$BC$6:$BC$29,14),Matching_Engine!$BC$6:$BC$29,0)),"")</f>
        <v>Salsa Aulia</v>
      </c>
      <c r="C19" s="42" t="str">
        <f>IFERROR(INDEX(Matching_Engine!$E$6:$E$29,MATCH(LARGE(Matching_Engine!$BC$6:$BC$29,14),Matching_Engine!$BC$6:$BC$29,0)),"")</f>
        <v>@salsabeautydiary</v>
      </c>
      <c r="D19" s="42" t="str">
        <f>IFERROR(INDEX(Matching_Engine!$G$6:$G$29,MATCH(LARGE(Matching_Engine!$BC$6:$BC$29,14),Matching_Engine!$BC$6:$BC$29,0)),"")</f>
        <v>Beauty</v>
      </c>
      <c r="E19" s="63">
        <f ca="1">IFERROR(INDEX(Matching_Engine!$AY$6:$AY$29,MATCH(LARGE(Matching_Engine!$BC$6:$BC$29,14),Matching_Engine!$BC$6:$BC$29,0)),"N/A")</f>
        <v>48</v>
      </c>
      <c r="F19" s="42" t="str">
        <f>IFERROR(INDEX(Matching_Engine!$AZ$6:$AZ$29,MATCH(LARGE(Matching_Engine!$BC$6:$BC$29,14),Matching_Engine!$BC$6:$BC$29,0)),"")</f>
        <v>BRAND-A|KOL-03</v>
      </c>
      <c r="G19" s="42" t="str">
        <f>IFERROR(INDEX(Matching_Engine!$BB$6:$BB$29,MATCH(LARGE(Matching_Engine!$BC$6:$BC$29,14),Matching_Engine!$BC$6:$BC$29,0)),"")</f>
        <v>Beauty</v>
      </c>
      <c r="H19" s="42" t="str">
        <f ca="1">IFERROR(INDEX(Match_Explanation!$G$6:$G$125,MATCH("BR-01|"&amp;INDEX(Matching_Engine!$C$6:$C$29,MATCH(LARGE(Matching_Engine!$BC$6:$BC$29,14),Matching_Engine!$BC$6:$BC$29,0)),Matching_Engine!$BG$6:$BG$125,0)),"")</f>
        <v/>
      </c>
    </row>
    <row r="20" spans="1:8">
      <c r="A20" s="53">
        <v>15</v>
      </c>
      <c r="B20" s="42" t="str">
        <f>IFERROR(INDEX(Matching_Engine!$D$6:$D$29,MATCH(LARGE(Matching_Engine!$BC$6:$BC$29,15),Matching_Engine!$BC$6:$BC$29,0)),"")</f>
        <v>Salsa Aulia</v>
      </c>
      <c r="C20" s="42" t="str">
        <f>IFERROR(INDEX(Matching_Engine!$E$6:$E$29,MATCH(LARGE(Matching_Engine!$BC$6:$BC$29,15),Matching_Engine!$BC$6:$BC$29,0)),"")</f>
        <v>@salsabeautydiary</v>
      </c>
      <c r="D20" s="42" t="str">
        <f>IFERROR(INDEX(Matching_Engine!$G$6:$G$29,MATCH(LARGE(Matching_Engine!$BC$6:$BC$29,15),Matching_Engine!$BC$6:$BC$29,0)),"")</f>
        <v>Beauty</v>
      </c>
      <c r="E20" s="63">
        <f ca="1">IFERROR(INDEX(Matching_Engine!$AY$6:$AY$29,MATCH(LARGE(Matching_Engine!$BC$6:$BC$29,15),Matching_Engine!$BC$6:$BC$29,0)),"N/A")</f>
        <v>48</v>
      </c>
      <c r="F20" s="42" t="str">
        <f>IFERROR(INDEX(Matching_Engine!$AZ$6:$AZ$29,MATCH(LARGE(Matching_Engine!$BC$6:$BC$29,15),Matching_Engine!$BC$6:$BC$29,0)),"")</f>
        <v>BRAND-A|KOL-03</v>
      </c>
      <c r="G20" s="42" t="str">
        <f>IFERROR(INDEX(Matching_Engine!$BB$6:$BB$29,MATCH(LARGE(Matching_Engine!$BC$6:$BC$29,15),Matching_Engine!$BC$6:$BC$29,0)),"")</f>
        <v>Beauty</v>
      </c>
      <c r="H20" s="42" t="str">
        <f ca="1">IFERROR(INDEX(Match_Explanation!$G$6:$G$125,MATCH("BR-01|"&amp;INDEX(Matching_Engine!$C$6:$C$29,MATCH(LARGE(Matching_Engine!$BC$6:$BC$29,15),Matching_Engine!$BC$6:$BC$29,0)),Matching_Engine!$BG$6:$BG$125,0)),"")</f>
        <v/>
      </c>
    </row>
    <row r="21" spans="1:8">
      <c r="A21" s="53">
        <v>16</v>
      </c>
      <c r="B21" s="42" t="str">
        <f>IFERROR(INDEX(Matching_Engine!$D$6:$D$29,MATCH(LARGE(Matching_Engine!$BC$6:$BC$29,16),Matching_Engine!$BC$6:$BC$29,0)),"")</f>
        <v>Salsa Aulia</v>
      </c>
      <c r="C21" s="42" t="str">
        <f>IFERROR(INDEX(Matching_Engine!$E$6:$E$29,MATCH(LARGE(Matching_Engine!$BC$6:$BC$29,16),Matching_Engine!$BC$6:$BC$29,0)),"")</f>
        <v>@salsabeautydiary</v>
      </c>
      <c r="D21" s="42" t="str">
        <f>IFERROR(INDEX(Matching_Engine!$G$6:$G$29,MATCH(LARGE(Matching_Engine!$BC$6:$BC$29,16),Matching_Engine!$BC$6:$BC$29,0)),"")</f>
        <v>Beauty</v>
      </c>
      <c r="E21" s="63">
        <f ca="1">IFERROR(INDEX(Matching_Engine!$AY$6:$AY$29,MATCH(LARGE(Matching_Engine!$BC$6:$BC$29,16),Matching_Engine!$BC$6:$BC$29,0)),"N/A")</f>
        <v>48</v>
      </c>
      <c r="F21" s="42" t="str">
        <f>IFERROR(INDEX(Matching_Engine!$AZ$6:$AZ$29,MATCH(LARGE(Matching_Engine!$BC$6:$BC$29,16),Matching_Engine!$BC$6:$BC$29,0)),"")</f>
        <v>BRAND-A|KOL-03</v>
      </c>
      <c r="G21" s="42" t="str">
        <f>IFERROR(INDEX(Matching_Engine!$BB$6:$BB$29,MATCH(LARGE(Matching_Engine!$BC$6:$BC$29,16),Matching_Engine!$BC$6:$BC$29,0)),"")</f>
        <v>Beauty</v>
      </c>
      <c r="H21" s="42" t="str">
        <f ca="1">IFERROR(INDEX(Match_Explanation!$G$6:$G$125,MATCH("BR-01|"&amp;INDEX(Matching_Engine!$C$6:$C$29,MATCH(LARGE(Matching_Engine!$BC$6:$BC$29,16),Matching_Engine!$BC$6:$BC$29,0)),Matching_Engine!$BG$6:$BG$125,0)),"")</f>
        <v/>
      </c>
    </row>
    <row r="22" spans="1:8">
      <c r="A22" s="53">
        <v>17</v>
      </c>
      <c r="B22" s="42" t="str">
        <f>IFERROR(INDEX(Matching_Engine!$D$6:$D$29,MATCH(LARGE(Matching_Engine!$BC$6:$BC$29,17),Matching_Engine!$BC$6:$BC$29,0)),"")</f>
        <v>Salsa Aulia</v>
      </c>
      <c r="C22" s="42" t="str">
        <f>IFERROR(INDEX(Matching_Engine!$E$6:$E$29,MATCH(LARGE(Matching_Engine!$BC$6:$BC$29,17),Matching_Engine!$BC$6:$BC$29,0)),"")</f>
        <v>@salsabeautydiary</v>
      </c>
      <c r="D22" s="42" t="str">
        <f>IFERROR(INDEX(Matching_Engine!$G$6:$G$29,MATCH(LARGE(Matching_Engine!$BC$6:$BC$29,17),Matching_Engine!$BC$6:$BC$29,0)),"")</f>
        <v>Beauty</v>
      </c>
      <c r="E22" s="63">
        <f ca="1">IFERROR(INDEX(Matching_Engine!$AY$6:$AY$29,MATCH(LARGE(Matching_Engine!$BC$6:$BC$29,17),Matching_Engine!$BC$6:$BC$29,0)),"N/A")</f>
        <v>48</v>
      </c>
      <c r="F22" s="42" t="str">
        <f>IFERROR(INDEX(Matching_Engine!$AZ$6:$AZ$29,MATCH(LARGE(Matching_Engine!$BC$6:$BC$29,17),Matching_Engine!$BC$6:$BC$29,0)),"")</f>
        <v>BRAND-A|KOL-03</v>
      </c>
      <c r="G22" s="42" t="str">
        <f>IFERROR(INDEX(Matching_Engine!$BB$6:$BB$29,MATCH(LARGE(Matching_Engine!$BC$6:$BC$29,17),Matching_Engine!$BC$6:$BC$29,0)),"")</f>
        <v>Beauty</v>
      </c>
      <c r="H22" s="42" t="str">
        <f ca="1">IFERROR(INDEX(Match_Explanation!$G$6:$G$125,MATCH("BR-01|"&amp;INDEX(Matching_Engine!$C$6:$C$29,MATCH(LARGE(Matching_Engine!$BC$6:$BC$29,17),Matching_Engine!$BC$6:$BC$29,0)),Matching_Engine!$BG$6:$BG$125,0)),"")</f>
        <v/>
      </c>
    </row>
    <row r="23" spans="1:8">
      <c r="A23" s="53">
        <v>18</v>
      </c>
      <c r="B23" s="42" t="str">
        <f>IFERROR(INDEX(Matching_Engine!$D$6:$D$29,MATCH(LARGE(Matching_Engine!$BC$6:$BC$29,18),Matching_Engine!$BC$6:$BC$29,0)),"")</f>
        <v>Salsa Aulia</v>
      </c>
      <c r="C23" s="42" t="str">
        <f>IFERROR(INDEX(Matching_Engine!$E$6:$E$29,MATCH(LARGE(Matching_Engine!$BC$6:$BC$29,18),Matching_Engine!$BC$6:$BC$29,0)),"")</f>
        <v>@salsabeautydiary</v>
      </c>
      <c r="D23" s="42" t="str">
        <f>IFERROR(INDEX(Matching_Engine!$G$6:$G$29,MATCH(LARGE(Matching_Engine!$BC$6:$BC$29,18),Matching_Engine!$BC$6:$BC$29,0)),"")</f>
        <v>Beauty</v>
      </c>
      <c r="E23" s="63">
        <f ca="1">IFERROR(INDEX(Matching_Engine!$AY$6:$AY$29,MATCH(LARGE(Matching_Engine!$BC$6:$BC$29,18),Matching_Engine!$BC$6:$BC$29,0)),"N/A")</f>
        <v>48</v>
      </c>
      <c r="F23" s="42" t="str">
        <f>IFERROR(INDEX(Matching_Engine!$AZ$6:$AZ$29,MATCH(LARGE(Matching_Engine!$BC$6:$BC$29,18),Matching_Engine!$BC$6:$BC$29,0)),"")</f>
        <v>BRAND-A|KOL-03</v>
      </c>
      <c r="G23" s="42" t="str">
        <f>IFERROR(INDEX(Matching_Engine!$BB$6:$BB$29,MATCH(LARGE(Matching_Engine!$BC$6:$BC$29,18),Matching_Engine!$BC$6:$BC$29,0)),"")</f>
        <v>Beauty</v>
      </c>
      <c r="H23" s="42" t="str">
        <f ca="1">IFERROR(INDEX(Match_Explanation!$G$6:$G$125,MATCH("BR-01|"&amp;INDEX(Matching_Engine!$C$6:$C$29,MATCH(LARGE(Matching_Engine!$BC$6:$BC$29,18),Matching_Engine!$BC$6:$BC$29,0)),Matching_Engine!$BG$6:$BG$125,0)),"")</f>
        <v/>
      </c>
    </row>
    <row r="24" spans="1:8">
      <c r="A24" s="53">
        <v>19</v>
      </c>
      <c r="B24" s="42" t="str">
        <f>IFERROR(INDEX(Matching_Engine!$D$6:$D$29,MATCH(LARGE(Matching_Engine!$BC$6:$BC$29,19),Matching_Engine!$BC$6:$BC$29,0)),"")</f>
        <v>Salsa Aulia</v>
      </c>
      <c r="C24" s="42" t="str">
        <f>IFERROR(INDEX(Matching_Engine!$E$6:$E$29,MATCH(LARGE(Matching_Engine!$BC$6:$BC$29,19),Matching_Engine!$BC$6:$BC$29,0)),"")</f>
        <v>@salsabeautydiary</v>
      </c>
      <c r="D24" s="42" t="str">
        <f>IFERROR(INDEX(Matching_Engine!$G$6:$G$29,MATCH(LARGE(Matching_Engine!$BC$6:$BC$29,19),Matching_Engine!$BC$6:$BC$29,0)),"")</f>
        <v>Beauty</v>
      </c>
      <c r="E24" s="63">
        <f ca="1">IFERROR(INDEX(Matching_Engine!$AY$6:$AY$29,MATCH(LARGE(Matching_Engine!$BC$6:$BC$29,19),Matching_Engine!$BC$6:$BC$29,0)),"N/A")</f>
        <v>48</v>
      </c>
      <c r="F24" s="42" t="str">
        <f>IFERROR(INDEX(Matching_Engine!$AZ$6:$AZ$29,MATCH(LARGE(Matching_Engine!$BC$6:$BC$29,19),Matching_Engine!$BC$6:$BC$29,0)),"")</f>
        <v>BRAND-A|KOL-03</v>
      </c>
      <c r="G24" s="42" t="str">
        <f>IFERROR(INDEX(Matching_Engine!$BB$6:$BB$29,MATCH(LARGE(Matching_Engine!$BC$6:$BC$29,19),Matching_Engine!$BC$6:$BC$29,0)),"")</f>
        <v>Beauty</v>
      </c>
      <c r="H24" s="42" t="str">
        <f ca="1">IFERROR(INDEX(Match_Explanation!$G$6:$G$125,MATCH("BR-01|"&amp;INDEX(Matching_Engine!$C$6:$C$29,MATCH(LARGE(Matching_Engine!$BC$6:$BC$29,19),Matching_Engine!$BC$6:$BC$29,0)),Matching_Engine!$BG$6:$BG$125,0)),"")</f>
        <v/>
      </c>
    </row>
    <row r="25" spans="1:8">
      <c r="A25" s="53">
        <v>20</v>
      </c>
      <c r="B25" s="42" t="str">
        <f>IFERROR(INDEX(Matching_Engine!$D$6:$D$29,MATCH(LARGE(Matching_Engine!$BC$6:$BC$29,20),Matching_Engine!$BC$6:$BC$29,0)),"")</f>
        <v>Salsa Aulia</v>
      </c>
      <c r="C25" s="42" t="str">
        <f>IFERROR(INDEX(Matching_Engine!$E$6:$E$29,MATCH(LARGE(Matching_Engine!$BC$6:$BC$29,20),Matching_Engine!$BC$6:$BC$29,0)),"")</f>
        <v>@salsabeautydiary</v>
      </c>
      <c r="D25" s="42" t="str">
        <f>IFERROR(INDEX(Matching_Engine!$G$6:$G$29,MATCH(LARGE(Matching_Engine!$BC$6:$BC$29,20),Matching_Engine!$BC$6:$BC$29,0)),"")</f>
        <v>Beauty</v>
      </c>
      <c r="E25" s="63">
        <f ca="1">IFERROR(INDEX(Matching_Engine!$AY$6:$AY$29,MATCH(LARGE(Matching_Engine!$BC$6:$BC$29,20),Matching_Engine!$BC$6:$BC$29,0)),"N/A")</f>
        <v>48</v>
      </c>
      <c r="F25" s="42" t="str">
        <f>IFERROR(INDEX(Matching_Engine!$AZ$6:$AZ$29,MATCH(LARGE(Matching_Engine!$BC$6:$BC$29,20),Matching_Engine!$BC$6:$BC$29,0)),"")</f>
        <v>BRAND-A|KOL-03</v>
      </c>
      <c r="G25" s="42" t="str">
        <f>IFERROR(INDEX(Matching_Engine!$BB$6:$BB$29,MATCH(LARGE(Matching_Engine!$BC$6:$BC$29,20),Matching_Engine!$BC$6:$BC$29,0)),"")</f>
        <v>Beauty</v>
      </c>
      <c r="H25" s="42" t="str">
        <f ca="1">IFERROR(INDEX(Match_Explanation!$G$6:$G$125,MATCH("BR-01|"&amp;INDEX(Matching_Engine!$C$6:$C$29,MATCH(LARGE(Matching_Engine!$BC$6:$BC$29,20),Matching_Engine!$BC$6:$BC$29,0)),Matching_Engine!$BG$6:$BG$125,0)),"")</f>
        <v/>
      </c>
    </row>
    <row r="26" spans="1:8">
      <c r="A26" s="53">
        <v>21</v>
      </c>
      <c r="B26" s="42" t="str">
        <f>IFERROR(INDEX(Matching_Engine!$D$6:$D$29,MATCH(LARGE(Matching_Engine!$BC$6:$BC$29,21),Matching_Engine!$BC$6:$BC$29,0)),"")</f>
        <v>Salsa Aulia</v>
      </c>
      <c r="C26" s="42" t="str">
        <f>IFERROR(INDEX(Matching_Engine!$E$6:$E$29,MATCH(LARGE(Matching_Engine!$BC$6:$BC$29,21),Matching_Engine!$BC$6:$BC$29,0)),"")</f>
        <v>@salsabeautydiary</v>
      </c>
      <c r="D26" s="42" t="str">
        <f>IFERROR(INDEX(Matching_Engine!$G$6:$G$29,MATCH(LARGE(Matching_Engine!$BC$6:$BC$29,21),Matching_Engine!$BC$6:$BC$29,0)),"")</f>
        <v>Beauty</v>
      </c>
      <c r="E26" s="63">
        <f ca="1">IFERROR(INDEX(Matching_Engine!$AY$6:$AY$29,MATCH(LARGE(Matching_Engine!$BC$6:$BC$29,21),Matching_Engine!$BC$6:$BC$29,0)),"N/A")</f>
        <v>48</v>
      </c>
      <c r="F26" s="42" t="str">
        <f>IFERROR(INDEX(Matching_Engine!$AZ$6:$AZ$29,MATCH(LARGE(Matching_Engine!$BC$6:$BC$29,21),Matching_Engine!$BC$6:$BC$29,0)),"")</f>
        <v>BRAND-A|KOL-03</v>
      </c>
      <c r="G26" s="42" t="str">
        <f>IFERROR(INDEX(Matching_Engine!$BB$6:$BB$29,MATCH(LARGE(Matching_Engine!$BC$6:$BC$29,21),Matching_Engine!$BC$6:$BC$29,0)),"")</f>
        <v>Beauty</v>
      </c>
      <c r="H26" s="42" t="str">
        <f ca="1">IFERROR(INDEX(Match_Explanation!$G$6:$G$125,MATCH("BR-01|"&amp;INDEX(Matching_Engine!$C$6:$C$29,MATCH(LARGE(Matching_Engine!$BC$6:$BC$29,21),Matching_Engine!$BC$6:$BC$29,0)),Matching_Engine!$BG$6:$BG$125,0)),"")</f>
        <v/>
      </c>
    </row>
    <row r="27" spans="1:8">
      <c r="A27" s="53">
        <v>22</v>
      </c>
      <c r="B27" s="42" t="str">
        <f>IFERROR(INDEX(Matching_Engine!$D$6:$D$29,MATCH(LARGE(Matching_Engine!$BC$6:$BC$29,22),Matching_Engine!$BC$6:$BC$29,0)),"")</f>
        <v>Salsa Aulia</v>
      </c>
      <c r="C27" s="42" t="str">
        <f>IFERROR(INDEX(Matching_Engine!$E$6:$E$29,MATCH(LARGE(Matching_Engine!$BC$6:$BC$29,22),Matching_Engine!$BC$6:$BC$29,0)),"")</f>
        <v>@salsabeautydiary</v>
      </c>
      <c r="D27" s="42" t="str">
        <f>IFERROR(INDEX(Matching_Engine!$G$6:$G$29,MATCH(LARGE(Matching_Engine!$BC$6:$BC$29,22),Matching_Engine!$BC$6:$BC$29,0)),"")</f>
        <v>Beauty</v>
      </c>
      <c r="E27" s="63">
        <f ca="1">IFERROR(INDEX(Matching_Engine!$AY$6:$AY$29,MATCH(LARGE(Matching_Engine!$BC$6:$BC$29,22),Matching_Engine!$BC$6:$BC$29,0)),"N/A")</f>
        <v>48</v>
      </c>
      <c r="F27" s="42" t="str">
        <f>IFERROR(INDEX(Matching_Engine!$AZ$6:$AZ$29,MATCH(LARGE(Matching_Engine!$BC$6:$BC$29,22),Matching_Engine!$BC$6:$BC$29,0)),"")</f>
        <v>BRAND-A|KOL-03</v>
      </c>
      <c r="G27" s="42" t="str">
        <f>IFERROR(INDEX(Matching_Engine!$BB$6:$BB$29,MATCH(LARGE(Matching_Engine!$BC$6:$BC$29,22),Matching_Engine!$BC$6:$BC$29,0)),"")</f>
        <v>Beauty</v>
      </c>
      <c r="H27" s="42" t="str">
        <f ca="1">IFERROR(INDEX(Match_Explanation!$G$6:$G$125,MATCH("BR-01|"&amp;INDEX(Matching_Engine!$C$6:$C$29,MATCH(LARGE(Matching_Engine!$BC$6:$BC$29,22),Matching_Engine!$BC$6:$BC$29,0)),Matching_Engine!$BG$6:$BG$125,0)),"")</f>
        <v/>
      </c>
    </row>
    <row r="28" spans="1:8">
      <c r="A28" s="53">
        <v>23</v>
      </c>
      <c r="B28" s="42" t="str">
        <f>IFERROR(INDEX(Matching_Engine!$D$6:$D$29,MATCH(LARGE(Matching_Engine!$BC$6:$BC$29,23),Matching_Engine!$BC$6:$BC$29,0)),"")</f>
        <v>Salsa Aulia</v>
      </c>
      <c r="C28" s="42" t="str">
        <f>IFERROR(INDEX(Matching_Engine!$E$6:$E$29,MATCH(LARGE(Matching_Engine!$BC$6:$BC$29,23),Matching_Engine!$BC$6:$BC$29,0)),"")</f>
        <v>@salsabeautydiary</v>
      </c>
      <c r="D28" s="42" t="str">
        <f>IFERROR(INDEX(Matching_Engine!$G$6:$G$29,MATCH(LARGE(Matching_Engine!$BC$6:$BC$29,23),Matching_Engine!$BC$6:$BC$29,0)),"")</f>
        <v>Beauty</v>
      </c>
      <c r="E28" s="63">
        <f ca="1">IFERROR(INDEX(Matching_Engine!$AY$6:$AY$29,MATCH(LARGE(Matching_Engine!$BC$6:$BC$29,23),Matching_Engine!$BC$6:$BC$29,0)),"N/A")</f>
        <v>48</v>
      </c>
      <c r="F28" s="42" t="str">
        <f>IFERROR(INDEX(Matching_Engine!$AZ$6:$AZ$29,MATCH(LARGE(Matching_Engine!$BC$6:$BC$29,23),Matching_Engine!$BC$6:$BC$29,0)),"")</f>
        <v>BRAND-A|KOL-03</v>
      </c>
      <c r="G28" s="42" t="str">
        <f>IFERROR(INDEX(Matching_Engine!$BB$6:$BB$29,MATCH(LARGE(Matching_Engine!$BC$6:$BC$29,23),Matching_Engine!$BC$6:$BC$29,0)),"")</f>
        <v>Beauty</v>
      </c>
      <c r="H28" s="42" t="str">
        <f ca="1">IFERROR(INDEX(Match_Explanation!$G$6:$G$125,MATCH("BR-01|"&amp;INDEX(Matching_Engine!$C$6:$C$29,MATCH(LARGE(Matching_Engine!$BC$6:$BC$29,23),Matching_Engine!$BC$6:$BC$29,0)),Matching_Engine!$BG$6:$BG$125,0)),"")</f>
        <v/>
      </c>
    </row>
    <row r="29" spans="1:8">
      <c r="A29" s="53">
        <v>24</v>
      </c>
      <c r="B29" s="42" t="str">
        <f>IFERROR(INDEX(Matching_Engine!$D$6:$D$29,MATCH(LARGE(Matching_Engine!$BC$6:$BC$29,24),Matching_Engine!$BC$6:$BC$29,0)),"")</f>
        <v>Salsa Aulia</v>
      </c>
      <c r="C29" s="42" t="str">
        <f>IFERROR(INDEX(Matching_Engine!$E$6:$E$29,MATCH(LARGE(Matching_Engine!$BC$6:$BC$29,24),Matching_Engine!$BC$6:$BC$29,0)),"")</f>
        <v>@salsabeautydiary</v>
      </c>
      <c r="D29" s="42" t="str">
        <f>IFERROR(INDEX(Matching_Engine!$G$6:$G$29,MATCH(LARGE(Matching_Engine!$BC$6:$BC$29,24),Matching_Engine!$BC$6:$BC$29,0)),"")</f>
        <v>Beauty</v>
      </c>
      <c r="E29" s="63">
        <f ca="1">IFERROR(INDEX(Matching_Engine!$AY$6:$AY$29,MATCH(LARGE(Matching_Engine!$BC$6:$BC$29,24),Matching_Engine!$BC$6:$BC$29,0)),"N/A")</f>
        <v>48</v>
      </c>
      <c r="F29" s="42" t="str">
        <f>IFERROR(INDEX(Matching_Engine!$AZ$6:$AZ$29,MATCH(LARGE(Matching_Engine!$BC$6:$BC$29,24),Matching_Engine!$BC$6:$BC$29,0)),"")</f>
        <v>BRAND-A|KOL-03</v>
      </c>
      <c r="G29" s="42" t="str">
        <f>IFERROR(INDEX(Matching_Engine!$BB$6:$BB$29,MATCH(LARGE(Matching_Engine!$BC$6:$BC$29,24),Matching_Engine!$BC$6:$BC$29,0)),"")</f>
        <v>Beauty</v>
      </c>
      <c r="H29" s="42" t="str">
        <f ca="1">IFERROR(INDEX(Match_Explanation!$G$6:$G$125,MATCH("BR-01|"&amp;INDEX(Matching_Engine!$C$6:$C$29,MATCH(LARGE(Matching_Engine!$BC$6:$BC$29,24),Matching_Engine!$BC$6:$BC$29,0)),Matching_Engine!$BG$6:$BG$125,0)),"")</f>
        <v/>
      </c>
    </row>
    <row r="32" ht="18" customHeight="1" spans="1:8">
      <c r="A32" s="40" t="s">
        <v>2787</v>
      </c>
    </row>
    <row r="33" ht="24" customHeight="1" spans="1:8">
      <c r="A33" s="41" t="s">
        <v>1951</v>
      </c>
      <c r="B33" s="41" t="s">
        <v>1031</v>
      </c>
      <c r="C33" s="41" t="s">
        <v>415</v>
      </c>
      <c r="D33" s="41" t="s">
        <v>416</v>
      </c>
      <c r="E33" s="41" t="s">
        <v>2755</v>
      </c>
      <c r="F33" s="41" t="s">
        <v>424</v>
      </c>
      <c r="G33" s="41" t="s">
        <v>773</v>
      </c>
      <c r="H33" s="41" t="s">
        <v>2760</v>
      </c>
    </row>
    <row r="34" spans="1:8">
      <c r="A34" s="53">
        <v>1</v>
      </c>
      <c r="B34" s="42" t="str">
        <f>IFERROR(INDEX(Matching_Engine!$D$30:$D$53,MATCH(LARGE(Matching_Engine!$BC$30:$BC$53,1),Matching_Engine!$BC$30:$BC$53,0)),"")</f>
        <v>Salsa Aulia</v>
      </c>
      <c r="C34" s="42" t="str">
        <f>IFERROR(INDEX(Matching_Engine!$E$30:$E$53,MATCH(LARGE(Matching_Engine!$BC$30:$BC$53,1),Matching_Engine!$BC$30:$BC$53,0)),"")</f>
        <v>@salsabeautydiary</v>
      </c>
      <c r="D34" s="42" t="str">
        <f>IFERROR(INDEX(Matching_Engine!$G$30:$G$53,MATCH(LARGE(Matching_Engine!$BC$30:$BC$53,1),Matching_Engine!$BC$30:$BC$53,0)),"")</f>
        <v>Beauty</v>
      </c>
      <c r="E34" s="63" t="str">
        <f ca="1">IFERROR(INDEX(Matching_Engine!$AY$30:$AY$53,MATCH(LARGE(Matching_Engine!$BC$30:$BC$53,1),Matching_Engine!$BC$30:$BC$53,0)),"N/A")</f>
        <v/>
      </c>
      <c r="F34" s="42" t="str">
        <f>IFERROR(INDEX(Matching_Engine!$AZ$30:$AZ$53,MATCH(LARGE(Matching_Engine!$BC$30:$BC$53,1),Matching_Engine!$BC$30:$BC$53,0)),"")</f>
        <v>BRAND-B|KOL-03</v>
      </c>
      <c r="G34" s="42" t="str">
        <f>IFERROR(INDEX(Matching_Engine!$BB$30:$BB$53,MATCH(LARGE(Matching_Engine!$BC$30:$BC$53,1),Matching_Engine!$BC$30:$BC$53,0)),"")</f>
        <v>Beauty</v>
      </c>
      <c r="H34" s="42" t="str">
        <f ca="1">IFERROR(INDEX(Match_Explanation!$G$6:$G$125,MATCH("BR-02|"&amp;INDEX(Matching_Engine!$C$30:$C$53,MATCH(LARGE(Matching_Engine!$BC$30:$BC$53,1),Matching_Engine!$BC$30:$BC$53,0)),Matching_Engine!$BG$6:$BG$125,0)),"")</f>
        <v/>
      </c>
    </row>
    <row r="35" spans="1:8">
      <c r="A35" s="53">
        <v>2</v>
      </c>
      <c r="B35" s="42" t="str">
        <f>IFERROR(INDEX(Matching_Engine!$D$30:$D$53,MATCH(LARGE(Matching_Engine!$BC$30:$BC$53,2),Matching_Engine!$BC$30:$BC$53,0)),"")</f>
        <v>Salsa Aulia</v>
      </c>
      <c r="C35" s="42" t="str">
        <f>IFERROR(INDEX(Matching_Engine!$E$30:$E$53,MATCH(LARGE(Matching_Engine!$BC$30:$BC$53,2),Matching_Engine!$BC$30:$BC$53,0)),"")</f>
        <v>@salsabeautydiary</v>
      </c>
      <c r="D35" s="42" t="str">
        <f>IFERROR(INDEX(Matching_Engine!$G$30:$G$53,MATCH(LARGE(Matching_Engine!$BC$30:$BC$53,2),Matching_Engine!$BC$30:$BC$53,0)),"")</f>
        <v>Beauty</v>
      </c>
      <c r="E35" s="63" t="str">
        <f ca="1">IFERROR(INDEX(Matching_Engine!$AY$30:$AY$53,MATCH(LARGE(Matching_Engine!$BC$30:$BC$53,2),Matching_Engine!$BC$30:$BC$53,0)),"N/A")</f>
        <v/>
      </c>
      <c r="F35" s="42" t="str">
        <f>IFERROR(INDEX(Matching_Engine!$AZ$30:$AZ$53,MATCH(LARGE(Matching_Engine!$BC$30:$BC$53,2),Matching_Engine!$BC$30:$BC$53,0)),"")</f>
        <v>BRAND-B|KOL-03</v>
      </c>
      <c r="G35" s="42" t="str">
        <f>IFERROR(INDEX(Matching_Engine!$BB$30:$BB$53,MATCH(LARGE(Matching_Engine!$BC$30:$BC$53,2),Matching_Engine!$BC$30:$BC$53,0)),"")</f>
        <v>Beauty</v>
      </c>
      <c r="H35" s="42" t="str">
        <f ca="1">IFERROR(INDEX(Match_Explanation!$G$6:$G$125,MATCH("BR-02|"&amp;INDEX(Matching_Engine!$C$30:$C$53,MATCH(LARGE(Matching_Engine!$BC$30:$BC$53,2),Matching_Engine!$BC$30:$BC$53,0)),Matching_Engine!$BG$6:$BG$125,0)),"")</f>
        <v/>
      </c>
    </row>
    <row r="36" spans="1:8">
      <c r="A36" s="53">
        <v>3</v>
      </c>
      <c r="B36" s="42" t="str">
        <f>IFERROR(INDEX(Matching_Engine!$D$30:$D$53,MATCH(LARGE(Matching_Engine!$BC$30:$BC$53,3),Matching_Engine!$BC$30:$BC$53,0)),"")</f>
        <v>Denny Kurniawan</v>
      </c>
      <c r="C36" s="42" t="str">
        <f>IFERROR(INDEX(Matching_Engine!$E$30:$E$53,MATCH(LARGE(Matching_Engine!$BC$30:$BC$53,3),Matching_Engine!$BC$30:$BC$53,0)),"")</f>
        <v>@dennymotovlog</v>
      </c>
      <c r="D36" s="42" t="str">
        <f>IFERROR(INDEX(Matching_Engine!$G$30:$G$53,MATCH(LARGE(Matching_Engine!$BC$30:$BC$53,3),Matching_Engine!$BC$30:$BC$53,0)),"")</f>
        <v>Automotive</v>
      </c>
      <c r="E36" s="63">
        <f ca="1">IFERROR(INDEX(Matching_Engine!$AY$30:$AY$53,MATCH(LARGE(Matching_Engine!$BC$30:$BC$53,3),Matching_Engine!$BC$30:$BC$53,0)),"N/A")</f>
        <v>54</v>
      </c>
      <c r="F36" s="42" t="str">
        <f>IFERROR(INDEX(Matching_Engine!$AZ$30:$AZ$53,MATCH(LARGE(Matching_Engine!$BC$30:$BC$53,3),Matching_Engine!$BC$30:$BC$53,0)),"")</f>
        <v>BRAND-A|KOL-25</v>
      </c>
      <c r="G36" s="42" t="str">
        <f>IFERROR(INDEX(Matching_Engine!$BB$30:$BB$53,MATCH(LARGE(Matching_Engine!$BC$30:$BC$53,3),Matching_Engine!$BC$30:$BC$53,0)),"")</f>
        <v>Automotive</v>
      </c>
      <c r="H36" s="42" t="str">
        <f ca="1">IFERROR(INDEX(Match_Explanation!$G$6:$G$125,MATCH("BR-02|"&amp;INDEX(Matching_Engine!$C$30:$C$53,MATCH(LARGE(Matching_Engine!$BC$30:$BC$53,3),Matching_Engine!$BC$30:$BC$53,0)),Matching_Engine!$BG$6:$BG$125,0)),"")</f>
        <v/>
      </c>
    </row>
    <row r="37" spans="1:8">
      <c r="A37" s="53">
        <v>4</v>
      </c>
      <c r="B37" s="42" t="str">
        <f>IFERROR(INDEX(Matching_Engine!$D$30:$D$53,MATCH(LARGE(Matching_Engine!$BC$30:$BC$53,4),Matching_Engine!$BC$30:$BC$53,0)),"")</f>
        <v>Denny Kurniawan</v>
      </c>
      <c r="C37" s="42" t="str">
        <f>IFERROR(INDEX(Matching_Engine!$E$30:$E$53,MATCH(LARGE(Matching_Engine!$BC$30:$BC$53,4),Matching_Engine!$BC$30:$BC$53,0)),"")</f>
        <v>@dennymotovlog</v>
      </c>
      <c r="D37" s="42" t="str">
        <f>IFERROR(INDEX(Matching_Engine!$G$30:$G$53,MATCH(LARGE(Matching_Engine!$BC$30:$BC$53,4),Matching_Engine!$BC$30:$BC$53,0)),"")</f>
        <v>Automotive</v>
      </c>
      <c r="E37" s="63">
        <f ca="1">IFERROR(INDEX(Matching_Engine!$AY$30:$AY$53,MATCH(LARGE(Matching_Engine!$BC$30:$BC$53,4),Matching_Engine!$BC$30:$BC$53,0)),"N/A")</f>
        <v>54</v>
      </c>
      <c r="F37" s="42" t="str">
        <f>IFERROR(INDEX(Matching_Engine!$AZ$30:$AZ$53,MATCH(LARGE(Matching_Engine!$BC$30:$BC$53,4),Matching_Engine!$BC$30:$BC$53,0)),"")</f>
        <v>BRAND-A|KOL-25</v>
      </c>
      <c r="G37" s="42" t="str">
        <f>IFERROR(INDEX(Matching_Engine!$BB$30:$BB$53,MATCH(LARGE(Matching_Engine!$BC$30:$BC$53,4),Matching_Engine!$BC$30:$BC$53,0)),"")</f>
        <v>Automotive</v>
      </c>
      <c r="H37" s="42" t="str">
        <f ca="1">IFERROR(INDEX(Match_Explanation!$G$6:$G$125,MATCH("BR-02|"&amp;INDEX(Matching_Engine!$C$30:$C$53,MATCH(LARGE(Matching_Engine!$BC$30:$BC$53,4),Matching_Engine!$BC$30:$BC$53,0)),Matching_Engine!$BG$6:$BG$125,0)),"")</f>
        <v/>
      </c>
    </row>
    <row r="38" spans="1:8">
      <c r="A38" s="53">
        <v>5</v>
      </c>
      <c r="B38" s="42" t="str">
        <f>IFERROR(INDEX(Matching_Engine!$D$30:$D$53,MATCH(LARGE(Matching_Engine!$BC$30:$BC$53,5),Matching_Engine!$BC$30:$BC$53,0)),"")</f>
        <v>Denny Kurniawan</v>
      </c>
      <c r="C38" s="42" t="str">
        <f>IFERROR(INDEX(Matching_Engine!$E$30:$E$53,MATCH(LARGE(Matching_Engine!$BC$30:$BC$53,5),Matching_Engine!$BC$30:$BC$53,0)),"")</f>
        <v>@dennymotovlog</v>
      </c>
      <c r="D38" s="42" t="str">
        <f>IFERROR(INDEX(Matching_Engine!$G$30:$G$53,MATCH(LARGE(Matching_Engine!$BC$30:$BC$53,5),Matching_Engine!$BC$30:$BC$53,0)),"")</f>
        <v>Automotive</v>
      </c>
      <c r="E38" s="63">
        <f ca="1">IFERROR(INDEX(Matching_Engine!$AY$30:$AY$53,MATCH(LARGE(Matching_Engine!$BC$30:$BC$53,5),Matching_Engine!$BC$30:$BC$53,0)),"N/A")</f>
        <v>54</v>
      </c>
      <c r="F38" s="42" t="str">
        <f>IFERROR(INDEX(Matching_Engine!$AZ$30:$AZ$53,MATCH(LARGE(Matching_Engine!$BC$30:$BC$53,5),Matching_Engine!$BC$30:$BC$53,0)),"")</f>
        <v>BRAND-A|KOL-25</v>
      </c>
      <c r="G38" s="42" t="str">
        <f>IFERROR(INDEX(Matching_Engine!$BB$30:$BB$53,MATCH(LARGE(Matching_Engine!$BC$30:$BC$53,5),Matching_Engine!$BC$30:$BC$53,0)),"")</f>
        <v>Automotive</v>
      </c>
      <c r="H38" s="42" t="str">
        <f ca="1">IFERROR(INDEX(Match_Explanation!$G$6:$G$125,MATCH("BR-02|"&amp;INDEX(Matching_Engine!$C$30:$C$53,MATCH(LARGE(Matching_Engine!$BC$30:$BC$53,5),Matching_Engine!$BC$30:$BC$53,0)),Matching_Engine!$BG$6:$BG$125,0)),"")</f>
        <v/>
      </c>
    </row>
    <row r="39" spans="1:8">
      <c r="A39" s="53">
        <v>6</v>
      </c>
      <c r="B39" s="42" t="str">
        <f>IFERROR(INDEX(Matching_Engine!$D$30:$D$53,MATCH(LARGE(Matching_Engine!$BC$30:$BC$53,6),Matching_Engine!$BC$30:$BC$53,0)),"")</f>
        <v>Denny Kurniawan</v>
      </c>
      <c r="C39" s="42" t="str">
        <f>IFERROR(INDEX(Matching_Engine!$E$30:$E$53,MATCH(LARGE(Matching_Engine!$BC$30:$BC$53,6),Matching_Engine!$BC$30:$BC$53,0)),"")</f>
        <v>@dennymotovlog</v>
      </c>
      <c r="D39" s="42" t="str">
        <f>IFERROR(INDEX(Matching_Engine!$G$30:$G$53,MATCH(LARGE(Matching_Engine!$BC$30:$BC$53,6),Matching_Engine!$BC$30:$BC$53,0)),"")</f>
        <v>Automotive</v>
      </c>
      <c r="E39" s="63">
        <f ca="1">IFERROR(INDEX(Matching_Engine!$AY$30:$AY$53,MATCH(LARGE(Matching_Engine!$BC$30:$BC$53,6),Matching_Engine!$BC$30:$BC$53,0)),"N/A")</f>
        <v>54</v>
      </c>
      <c r="F39" s="42" t="str">
        <f>IFERROR(INDEX(Matching_Engine!$AZ$30:$AZ$53,MATCH(LARGE(Matching_Engine!$BC$30:$BC$53,6),Matching_Engine!$BC$30:$BC$53,0)),"")</f>
        <v>BRAND-A|KOL-25</v>
      </c>
      <c r="G39" s="42" t="str">
        <f>IFERROR(INDEX(Matching_Engine!$BB$30:$BB$53,MATCH(LARGE(Matching_Engine!$BC$30:$BC$53,6),Matching_Engine!$BC$30:$BC$53,0)),"")</f>
        <v>Automotive</v>
      </c>
      <c r="H39" s="42" t="str">
        <f ca="1">IFERROR(INDEX(Match_Explanation!$G$6:$G$125,MATCH("BR-02|"&amp;INDEX(Matching_Engine!$C$30:$C$53,MATCH(LARGE(Matching_Engine!$BC$30:$BC$53,6),Matching_Engine!$BC$30:$BC$53,0)),Matching_Engine!$BG$6:$BG$125,0)),"")</f>
        <v/>
      </c>
    </row>
    <row r="40" spans="1:8">
      <c r="A40" s="53">
        <v>7</v>
      </c>
      <c r="B40" s="42" t="str">
        <f>IFERROR(INDEX(Matching_Engine!$D$30:$D$53,MATCH(LARGE(Matching_Engine!$BC$30:$BC$53,7),Matching_Engine!$BC$30:$BC$53,0)),"")</f>
        <v>Denny Kurniawan</v>
      </c>
      <c r="C40" s="42" t="str">
        <f>IFERROR(INDEX(Matching_Engine!$E$30:$E$53,MATCH(LARGE(Matching_Engine!$BC$30:$BC$53,7),Matching_Engine!$BC$30:$BC$53,0)),"")</f>
        <v>@dennymotovlog</v>
      </c>
      <c r="D40" s="42" t="str">
        <f>IFERROR(INDEX(Matching_Engine!$G$30:$G$53,MATCH(LARGE(Matching_Engine!$BC$30:$BC$53,7),Matching_Engine!$BC$30:$BC$53,0)),"")</f>
        <v>Automotive</v>
      </c>
      <c r="E40" s="63">
        <f ca="1">IFERROR(INDEX(Matching_Engine!$AY$30:$AY$53,MATCH(LARGE(Matching_Engine!$BC$30:$BC$53,7),Matching_Engine!$BC$30:$BC$53,0)),"N/A")</f>
        <v>54</v>
      </c>
      <c r="F40" s="42" t="str">
        <f>IFERROR(INDEX(Matching_Engine!$AZ$30:$AZ$53,MATCH(LARGE(Matching_Engine!$BC$30:$BC$53,7),Matching_Engine!$BC$30:$BC$53,0)),"")</f>
        <v>BRAND-A|KOL-25</v>
      </c>
      <c r="G40" s="42" t="str">
        <f>IFERROR(INDEX(Matching_Engine!$BB$30:$BB$53,MATCH(LARGE(Matching_Engine!$BC$30:$BC$53,7),Matching_Engine!$BC$30:$BC$53,0)),"")</f>
        <v>Automotive</v>
      </c>
      <c r="H40" s="42" t="str">
        <f ca="1">IFERROR(INDEX(Match_Explanation!$G$6:$G$125,MATCH("BR-02|"&amp;INDEX(Matching_Engine!$C$30:$C$53,MATCH(LARGE(Matching_Engine!$BC$30:$BC$53,7),Matching_Engine!$BC$30:$BC$53,0)),Matching_Engine!$BG$6:$BG$125,0)),"")</f>
        <v/>
      </c>
    </row>
    <row r="41" spans="1:8">
      <c r="A41" s="53">
        <v>8</v>
      </c>
      <c r="B41" s="42" t="str">
        <f>IFERROR(INDEX(Matching_Engine!$D$30:$D$53,MATCH(LARGE(Matching_Engine!$BC$30:$BC$53,8),Matching_Engine!$BC$30:$BC$53,0)),"")</f>
        <v>Denny Kurniawan</v>
      </c>
      <c r="C41" s="42" t="str">
        <f>IFERROR(INDEX(Matching_Engine!$E$30:$E$53,MATCH(LARGE(Matching_Engine!$BC$30:$BC$53,8),Matching_Engine!$BC$30:$BC$53,0)),"")</f>
        <v>@dennymotovlog</v>
      </c>
      <c r="D41" s="42" t="str">
        <f>IFERROR(INDEX(Matching_Engine!$G$30:$G$53,MATCH(LARGE(Matching_Engine!$BC$30:$BC$53,8),Matching_Engine!$BC$30:$BC$53,0)),"")</f>
        <v>Automotive</v>
      </c>
      <c r="E41" s="63">
        <f ca="1">IFERROR(INDEX(Matching_Engine!$AY$30:$AY$53,MATCH(LARGE(Matching_Engine!$BC$30:$BC$53,8),Matching_Engine!$BC$30:$BC$53,0)),"N/A")</f>
        <v>54</v>
      </c>
      <c r="F41" s="42" t="str">
        <f>IFERROR(INDEX(Matching_Engine!$AZ$30:$AZ$53,MATCH(LARGE(Matching_Engine!$BC$30:$BC$53,8),Matching_Engine!$BC$30:$BC$53,0)),"")</f>
        <v>BRAND-A|KOL-25</v>
      </c>
      <c r="G41" s="42" t="str">
        <f>IFERROR(INDEX(Matching_Engine!$BB$30:$BB$53,MATCH(LARGE(Matching_Engine!$BC$30:$BC$53,8),Matching_Engine!$BC$30:$BC$53,0)),"")</f>
        <v>Automotive</v>
      </c>
      <c r="H41" s="42" t="str">
        <f ca="1">IFERROR(INDEX(Match_Explanation!$G$6:$G$125,MATCH("BR-02|"&amp;INDEX(Matching_Engine!$C$30:$C$53,MATCH(LARGE(Matching_Engine!$BC$30:$BC$53,8),Matching_Engine!$BC$30:$BC$53,0)),Matching_Engine!$BG$6:$BG$125,0)),"")</f>
        <v/>
      </c>
    </row>
    <row r="42" spans="1:8">
      <c r="A42" s="53">
        <v>9</v>
      </c>
      <c r="B42" s="42" t="str">
        <f>IFERROR(INDEX(Matching_Engine!$D$30:$D$53,MATCH(LARGE(Matching_Engine!$BC$30:$BC$53,9),Matching_Engine!$BC$30:$BC$53,0)),"")</f>
        <v>Denny Kurniawan</v>
      </c>
      <c r="C42" s="42" t="str">
        <f>IFERROR(INDEX(Matching_Engine!$E$30:$E$53,MATCH(LARGE(Matching_Engine!$BC$30:$BC$53,9),Matching_Engine!$BC$30:$BC$53,0)),"")</f>
        <v>@dennymotovlog</v>
      </c>
      <c r="D42" s="42" t="str">
        <f>IFERROR(INDEX(Matching_Engine!$G$30:$G$53,MATCH(LARGE(Matching_Engine!$BC$30:$BC$53,9),Matching_Engine!$BC$30:$BC$53,0)),"")</f>
        <v>Automotive</v>
      </c>
      <c r="E42" s="63">
        <f ca="1">IFERROR(INDEX(Matching_Engine!$AY$30:$AY$53,MATCH(LARGE(Matching_Engine!$BC$30:$BC$53,9),Matching_Engine!$BC$30:$BC$53,0)),"N/A")</f>
        <v>54</v>
      </c>
      <c r="F42" s="42" t="str">
        <f>IFERROR(INDEX(Matching_Engine!$AZ$30:$AZ$53,MATCH(LARGE(Matching_Engine!$BC$30:$BC$53,9),Matching_Engine!$BC$30:$BC$53,0)),"")</f>
        <v>BRAND-A|KOL-25</v>
      </c>
      <c r="G42" s="42" t="str">
        <f>IFERROR(INDEX(Matching_Engine!$BB$30:$BB$53,MATCH(LARGE(Matching_Engine!$BC$30:$BC$53,9),Matching_Engine!$BC$30:$BC$53,0)),"")</f>
        <v>Automotive</v>
      </c>
      <c r="H42" s="42" t="str">
        <f ca="1">IFERROR(INDEX(Match_Explanation!$G$6:$G$125,MATCH("BR-02|"&amp;INDEX(Matching_Engine!$C$30:$C$53,MATCH(LARGE(Matching_Engine!$BC$30:$BC$53,9),Matching_Engine!$BC$30:$BC$53,0)),Matching_Engine!$BG$6:$BG$125,0)),"")</f>
        <v/>
      </c>
    </row>
    <row r="43" spans="1:8">
      <c r="A43" s="53">
        <v>10</v>
      </c>
      <c r="B43" s="42" t="str">
        <f>IFERROR(INDEX(Matching_Engine!$D$30:$D$53,MATCH(LARGE(Matching_Engine!$BC$30:$BC$53,10),Matching_Engine!$BC$30:$BC$53,0)),"")</f>
        <v>Bimo Saputra</v>
      </c>
      <c r="C43" s="42" t="str">
        <f>IFERROR(INDEX(Matching_Engine!$E$30:$E$53,MATCH(LARGE(Matching_Engine!$BC$30:$BC$53,10),Matching_Engine!$BC$30:$BC$53,0)),"")</f>
        <v>@bimomakan</v>
      </c>
      <c r="D43" s="42" t="str">
        <f>IFERROR(INDEX(Matching_Engine!$G$30:$G$53,MATCH(LARGE(Matching_Engine!$BC$30:$BC$53,10),Matching_Engine!$BC$30:$BC$53,0)),"")</f>
        <v>Food</v>
      </c>
      <c r="E43" s="63" t="str">
        <f ca="1">IFERROR(INDEX(Matching_Engine!$AY$30:$AY$53,MATCH(LARGE(Matching_Engine!$BC$30:$BC$53,10),Matching_Engine!$BC$30:$BC$53,0)),"N/A")</f>
        <v/>
      </c>
      <c r="F43" s="42" t="str">
        <f>IFERROR(INDEX(Matching_Engine!$AZ$30:$AZ$53,MATCH(LARGE(Matching_Engine!$BC$30:$BC$53,10),Matching_Engine!$BC$30:$BC$53,0)),"")</f>
        <v>BRAND-B|KOL-05</v>
      </c>
      <c r="G43" s="42" t="str">
        <f>IFERROR(INDEX(Matching_Engine!$BB$30:$BB$53,MATCH(LARGE(Matching_Engine!$BC$30:$BC$53,10),Matching_Engine!$BC$30:$BC$53,0)),"")</f>
        <v>Food</v>
      </c>
      <c r="H43" s="42" t="str">
        <f ca="1">IFERROR(INDEX(Match_Explanation!$G$6:$G$125,MATCH("BR-02|"&amp;INDEX(Matching_Engine!$C$30:$C$53,MATCH(LARGE(Matching_Engine!$BC$30:$BC$53,10),Matching_Engine!$BC$30:$BC$53,0)),Matching_Engine!$BG$6:$BG$125,0)),"")</f>
        <v/>
      </c>
    </row>
    <row r="44" spans="1:8">
      <c r="A44" s="53">
        <v>11</v>
      </c>
      <c r="B44" s="42" t="str">
        <f>IFERROR(INDEX(Matching_Engine!$D$30:$D$53,MATCH(LARGE(Matching_Engine!$BC$30:$BC$53,11),Matching_Engine!$BC$30:$BC$53,0)),"")</f>
        <v>Bimo Saputra</v>
      </c>
      <c r="C44" s="42" t="str">
        <f>IFERROR(INDEX(Matching_Engine!$E$30:$E$53,MATCH(LARGE(Matching_Engine!$BC$30:$BC$53,11),Matching_Engine!$BC$30:$BC$53,0)),"")</f>
        <v>@bimomakan</v>
      </c>
      <c r="D44" s="42" t="str">
        <f>IFERROR(INDEX(Matching_Engine!$G$30:$G$53,MATCH(LARGE(Matching_Engine!$BC$30:$BC$53,11),Matching_Engine!$BC$30:$BC$53,0)),"")</f>
        <v>Food</v>
      </c>
      <c r="E44" s="63" t="str">
        <f ca="1">IFERROR(INDEX(Matching_Engine!$AY$30:$AY$53,MATCH(LARGE(Matching_Engine!$BC$30:$BC$53,11),Matching_Engine!$BC$30:$BC$53,0)),"N/A")</f>
        <v/>
      </c>
      <c r="F44" s="42" t="str">
        <f>IFERROR(INDEX(Matching_Engine!$AZ$30:$AZ$53,MATCH(LARGE(Matching_Engine!$BC$30:$BC$53,11),Matching_Engine!$BC$30:$BC$53,0)),"")</f>
        <v>BRAND-B|KOL-05</v>
      </c>
      <c r="G44" s="42" t="str">
        <f>IFERROR(INDEX(Matching_Engine!$BB$30:$BB$53,MATCH(LARGE(Matching_Engine!$BC$30:$BC$53,11),Matching_Engine!$BC$30:$BC$53,0)),"")</f>
        <v>Food</v>
      </c>
      <c r="H44" s="42" t="str">
        <f ca="1">IFERROR(INDEX(Match_Explanation!$G$6:$G$125,MATCH("BR-02|"&amp;INDEX(Matching_Engine!$C$30:$C$53,MATCH(LARGE(Matching_Engine!$BC$30:$BC$53,11),Matching_Engine!$BC$30:$BC$53,0)),Matching_Engine!$BG$6:$BG$125,0)),"")</f>
        <v/>
      </c>
    </row>
    <row r="45" spans="1:8">
      <c r="A45" s="53">
        <v>12</v>
      </c>
      <c r="B45" s="42" t="str">
        <f>IFERROR(INDEX(Matching_Engine!$D$30:$D$53,MATCH(LARGE(Matching_Engine!$BC$30:$BC$53,12),Matching_Engine!$BC$30:$BC$53,0)),"")</f>
        <v>Bimo Saputra</v>
      </c>
      <c r="C45" s="42" t="str">
        <f>IFERROR(INDEX(Matching_Engine!$E$30:$E$53,MATCH(LARGE(Matching_Engine!$BC$30:$BC$53,12),Matching_Engine!$BC$30:$BC$53,0)),"")</f>
        <v>@bimomakan</v>
      </c>
      <c r="D45" s="42" t="str">
        <f>IFERROR(INDEX(Matching_Engine!$G$30:$G$53,MATCH(LARGE(Matching_Engine!$BC$30:$BC$53,12),Matching_Engine!$BC$30:$BC$53,0)),"")</f>
        <v>Food</v>
      </c>
      <c r="E45" s="63" t="str">
        <f ca="1">IFERROR(INDEX(Matching_Engine!$AY$30:$AY$53,MATCH(LARGE(Matching_Engine!$BC$30:$BC$53,12),Matching_Engine!$BC$30:$BC$53,0)),"N/A")</f>
        <v/>
      </c>
      <c r="F45" s="42" t="str">
        <f>IFERROR(INDEX(Matching_Engine!$AZ$30:$AZ$53,MATCH(LARGE(Matching_Engine!$BC$30:$BC$53,12),Matching_Engine!$BC$30:$BC$53,0)),"")</f>
        <v>BRAND-B|KOL-05</v>
      </c>
      <c r="G45" s="42" t="str">
        <f>IFERROR(INDEX(Matching_Engine!$BB$30:$BB$53,MATCH(LARGE(Matching_Engine!$BC$30:$BC$53,12),Matching_Engine!$BC$30:$BC$53,0)),"")</f>
        <v>Food</v>
      </c>
      <c r="H45" s="42" t="str">
        <f ca="1">IFERROR(INDEX(Match_Explanation!$G$6:$G$125,MATCH("BR-02|"&amp;INDEX(Matching_Engine!$C$30:$C$53,MATCH(LARGE(Matching_Engine!$BC$30:$BC$53,12),Matching_Engine!$BC$30:$BC$53,0)),Matching_Engine!$BG$6:$BG$125,0)),"")</f>
        <v/>
      </c>
    </row>
    <row r="46" spans="1:8">
      <c r="A46" s="53">
        <v>13</v>
      </c>
      <c r="B46" s="42" t="str">
        <f>IFERROR(INDEX(Matching_Engine!$D$30:$D$53,MATCH(LARGE(Matching_Engine!$BC$30:$BC$53,13),Matching_Engine!$BC$30:$BC$53,0)),"")</f>
        <v>Bimo Saputra</v>
      </c>
      <c r="C46" s="42" t="str">
        <f>IFERROR(INDEX(Matching_Engine!$E$30:$E$53,MATCH(LARGE(Matching_Engine!$BC$30:$BC$53,13),Matching_Engine!$BC$30:$BC$53,0)),"")</f>
        <v>@bimomakan</v>
      </c>
      <c r="D46" s="42" t="str">
        <f>IFERROR(INDEX(Matching_Engine!$G$30:$G$53,MATCH(LARGE(Matching_Engine!$BC$30:$BC$53,13),Matching_Engine!$BC$30:$BC$53,0)),"")</f>
        <v>Food</v>
      </c>
      <c r="E46" s="63" t="str">
        <f ca="1">IFERROR(INDEX(Matching_Engine!$AY$30:$AY$53,MATCH(LARGE(Matching_Engine!$BC$30:$BC$53,13),Matching_Engine!$BC$30:$BC$53,0)),"N/A")</f>
        <v/>
      </c>
      <c r="F46" s="42" t="str">
        <f>IFERROR(INDEX(Matching_Engine!$AZ$30:$AZ$53,MATCH(LARGE(Matching_Engine!$BC$30:$BC$53,13),Matching_Engine!$BC$30:$BC$53,0)),"")</f>
        <v>BRAND-B|KOL-05</v>
      </c>
      <c r="G46" s="42" t="str">
        <f>IFERROR(INDEX(Matching_Engine!$BB$30:$BB$53,MATCH(LARGE(Matching_Engine!$BC$30:$BC$53,13),Matching_Engine!$BC$30:$BC$53,0)),"")</f>
        <v>Food</v>
      </c>
      <c r="H46" s="42" t="str">
        <f ca="1">IFERROR(INDEX(Match_Explanation!$G$6:$G$125,MATCH("BR-02|"&amp;INDEX(Matching_Engine!$C$30:$C$53,MATCH(LARGE(Matching_Engine!$BC$30:$BC$53,13),Matching_Engine!$BC$30:$BC$53,0)),Matching_Engine!$BG$6:$BG$125,0)),"")</f>
        <v/>
      </c>
    </row>
    <row r="47" spans="1:8">
      <c r="A47" s="53">
        <v>14</v>
      </c>
      <c r="B47" s="42" t="str">
        <f>IFERROR(INDEX(Matching_Engine!$D$30:$D$53,MATCH(LARGE(Matching_Engine!$BC$30:$BC$53,14),Matching_Engine!$BC$30:$BC$53,0)),"")</f>
        <v>Bimo Saputra</v>
      </c>
      <c r="C47" s="42" t="str">
        <f>IFERROR(INDEX(Matching_Engine!$E$30:$E$53,MATCH(LARGE(Matching_Engine!$BC$30:$BC$53,14),Matching_Engine!$BC$30:$BC$53,0)),"")</f>
        <v>@bimomakan</v>
      </c>
      <c r="D47" s="42" t="str">
        <f>IFERROR(INDEX(Matching_Engine!$G$30:$G$53,MATCH(LARGE(Matching_Engine!$BC$30:$BC$53,14),Matching_Engine!$BC$30:$BC$53,0)),"")</f>
        <v>Food</v>
      </c>
      <c r="E47" s="63" t="str">
        <f ca="1">IFERROR(INDEX(Matching_Engine!$AY$30:$AY$53,MATCH(LARGE(Matching_Engine!$BC$30:$BC$53,14),Matching_Engine!$BC$30:$BC$53,0)),"N/A")</f>
        <v/>
      </c>
      <c r="F47" s="42" t="str">
        <f>IFERROR(INDEX(Matching_Engine!$AZ$30:$AZ$53,MATCH(LARGE(Matching_Engine!$BC$30:$BC$53,14),Matching_Engine!$BC$30:$BC$53,0)),"")</f>
        <v>BRAND-B|KOL-05</v>
      </c>
      <c r="G47" s="42" t="str">
        <f>IFERROR(INDEX(Matching_Engine!$BB$30:$BB$53,MATCH(LARGE(Matching_Engine!$BC$30:$BC$53,14),Matching_Engine!$BC$30:$BC$53,0)),"")</f>
        <v>Food</v>
      </c>
      <c r="H47" s="42" t="str">
        <f ca="1">IFERROR(INDEX(Match_Explanation!$G$6:$G$125,MATCH("BR-02|"&amp;INDEX(Matching_Engine!$C$30:$C$53,MATCH(LARGE(Matching_Engine!$BC$30:$BC$53,14),Matching_Engine!$BC$30:$BC$53,0)),Matching_Engine!$BG$6:$BG$125,0)),"")</f>
        <v/>
      </c>
    </row>
    <row r="48" spans="1:8">
      <c r="A48" s="53">
        <v>15</v>
      </c>
      <c r="B48" s="42" t="str">
        <f>IFERROR(INDEX(Matching_Engine!$D$30:$D$53,MATCH(LARGE(Matching_Engine!$BC$30:$BC$53,15),Matching_Engine!$BC$30:$BC$53,0)),"")</f>
        <v>Bimo Saputra</v>
      </c>
      <c r="C48" s="42" t="str">
        <f>IFERROR(INDEX(Matching_Engine!$E$30:$E$53,MATCH(LARGE(Matching_Engine!$BC$30:$BC$53,15),Matching_Engine!$BC$30:$BC$53,0)),"")</f>
        <v>@bimomakan</v>
      </c>
      <c r="D48" s="42" t="str">
        <f>IFERROR(INDEX(Matching_Engine!$G$30:$G$53,MATCH(LARGE(Matching_Engine!$BC$30:$BC$53,15),Matching_Engine!$BC$30:$BC$53,0)),"")</f>
        <v>Food</v>
      </c>
      <c r="E48" s="63" t="str">
        <f ca="1">IFERROR(INDEX(Matching_Engine!$AY$30:$AY$53,MATCH(LARGE(Matching_Engine!$BC$30:$BC$53,15),Matching_Engine!$BC$30:$BC$53,0)),"N/A")</f>
        <v/>
      </c>
      <c r="F48" s="42" t="str">
        <f>IFERROR(INDEX(Matching_Engine!$AZ$30:$AZ$53,MATCH(LARGE(Matching_Engine!$BC$30:$BC$53,15),Matching_Engine!$BC$30:$BC$53,0)),"")</f>
        <v>BRAND-B|KOL-05</v>
      </c>
      <c r="G48" s="42" t="str">
        <f>IFERROR(INDEX(Matching_Engine!$BB$30:$BB$53,MATCH(LARGE(Matching_Engine!$BC$30:$BC$53,15),Matching_Engine!$BC$30:$BC$53,0)),"")</f>
        <v>Food</v>
      </c>
      <c r="H48" s="42" t="str">
        <f ca="1">IFERROR(INDEX(Match_Explanation!$G$6:$G$125,MATCH("BR-02|"&amp;INDEX(Matching_Engine!$C$30:$C$53,MATCH(LARGE(Matching_Engine!$BC$30:$BC$53,15),Matching_Engine!$BC$30:$BC$53,0)),Matching_Engine!$BG$6:$BG$125,0)),"")</f>
        <v/>
      </c>
    </row>
    <row r="49" spans="1:8">
      <c r="A49" s="53">
        <v>16</v>
      </c>
      <c r="B49" s="42" t="str">
        <f>IFERROR(INDEX(Matching_Engine!$D$30:$D$53,MATCH(LARGE(Matching_Engine!$BC$30:$BC$53,16),Matching_Engine!$BC$30:$BC$53,0)),"")</f>
        <v>Laras Ayu</v>
      </c>
      <c r="C49" s="42" t="str">
        <f>IFERROR(INDEX(Matching_Engine!$E$30:$E$53,MATCH(LARGE(Matching_Engine!$BC$30:$BC$53,16),Matching_Engine!$BC$30:$BC$53,0)),"")</f>
        <v>@larasinterior</v>
      </c>
      <c r="D49" s="42" t="str">
        <f>IFERROR(INDEX(Matching_Engine!$G$30:$G$53,MATCH(LARGE(Matching_Engine!$BC$30:$BC$53,16),Matching_Engine!$BC$30:$BC$53,0)),"")</f>
        <v>Home &amp; Living</v>
      </c>
      <c r="E49" s="63">
        <f ca="1">IFERROR(INDEX(Matching_Engine!$AY$30:$AY$53,MATCH(LARGE(Matching_Engine!$BC$30:$BC$53,16),Matching_Engine!$BC$30:$BC$53,0)),"N/A")</f>
        <v>42</v>
      </c>
      <c r="F49" s="42" t="str">
        <f>IFERROR(INDEX(Matching_Engine!$AZ$30:$AZ$53,MATCH(LARGE(Matching_Engine!$BC$30:$BC$53,16),Matching_Engine!$BC$30:$BC$53,0)),"")</f>
        <v>BRAND-A|KOL-27</v>
      </c>
      <c r="G49" s="42" t="str">
        <f>IFERROR(INDEX(Matching_Engine!$BB$30:$BB$53,MATCH(LARGE(Matching_Engine!$BC$30:$BC$53,16),Matching_Engine!$BC$30:$BC$53,0)),"")</f>
        <v>Home &amp; Living</v>
      </c>
      <c r="H49" s="42" t="str">
        <f ca="1">IFERROR(INDEX(Match_Explanation!$G$6:$G$125,MATCH("BR-02|"&amp;INDEX(Matching_Engine!$C$30:$C$53,MATCH(LARGE(Matching_Engine!$BC$30:$BC$53,16),Matching_Engine!$BC$30:$BC$53,0)),Matching_Engine!$BG$6:$BG$125,0)),"")</f>
        <v/>
      </c>
    </row>
    <row r="50" spans="1:8">
      <c r="A50" s="53">
        <v>17</v>
      </c>
      <c r="B50" s="42" t="str">
        <f>IFERROR(INDEX(Matching_Engine!$D$30:$D$53,MATCH(LARGE(Matching_Engine!$BC$30:$BC$53,17),Matching_Engine!$BC$30:$BC$53,0)),"")</f>
        <v>Laras Ayu</v>
      </c>
      <c r="C50" s="42" t="str">
        <f>IFERROR(INDEX(Matching_Engine!$E$30:$E$53,MATCH(LARGE(Matching_Engine!$BC$30:$BC$53,17),Matching_Engine!$BC$30:$BC$53,0)),"")</f>
        <v>@larasinterior</v>
      </c>
      <c r="D50" s="42" t="str">
        <f>IFERROR(INDEX(Matching_Engine!$G$30:$G$53,MATCH(LARGE(Matching_Engine!$BC$30:$BC$53,17),Matching_Engine!$BC$30:$BC$53,0)),"")</f>
        <v>Home &amp; Living</v>
      </c>
      <c r="E50" s="63">
        <f ca="1">IFERROR(INDEX(Matching_Engine!$AY$30:$AY$53,MATCH(LARGE(Matching_Engine!$BC$30:$BC$53,17),Matching_Engine!$BC$30:$BC$53,0)),"N/A")</f>
        <v>42</v>
      </c>
      <c r="F50" s="42" t="str">
        <f>IFERROR(INDEX(Matching_Engine!$AZ$30:$AZ$53,MATCH(LARGE(Matching_Engine!$BC$30:$BC$53,17),Matching_Engine!$BC$30:$BC$53,0)),"")</f>
        <v>BRAND-A|KOL-27</v>
      </c>
      <c r="G50" s="42" t="str">
        <f>IFERROR(INDEX(Matching_Engine!$BB$30:$BB$53,MATCH(LARGE(Matching_Engine!$BC$30:$BC$53,17),Matching_Engine!$BC$30:$BC$53,0)),"")</f>
        <v>Home &amp; Living</v>
      </c>
      <c r="H50" s="42" t="str">
        <f ca="1">IFERROR(INDEX(Match_Explanation!$G$6:$G$125,MATCH("BR-02|"&amp;INDEX(Matching_Engine!$C$30:$C$53,MATCH(LARGE(Matching_Engine!$BC$30:$BC$53,17),Matching_Engine!$BC$30:$BC$53,0)),Matching_Engine!$BG$6:$BG$125,0)),"")</f>
        <v/>
      </c>
    </row>
    <row r="51" spans="1:8">
      <c r="A51" s="53">
        <v>18</v>
      </c>
      <c r="B51" s="42" t="str">
        <f>IFERROR(INDEX(Matching_Engine!$D$30:$D$53,MATCH(LARGE(Matching_Engine!$BC$30:$BC$53,18),Matching_Engine!$BC$30:$BC$53,0)),"")</f>
        <v>Laras Ayu</v>
      </c>
      <c r="C51" s="42" t="str">
        <f>IFERROR(INDEX(Matching_Engine!$E$30:$E$53,MATCH(LARGE(Matching_Engine!$BC$30:$BC$53,18),Matching_Engine!$BC$30:$BC$53,0)),"")</f>
        <v>@larasinterior</v>
      </c>
      <c r="D51" s="42" t="str">
        <f>IFERROR(INDEX(Matching_Engine!$G$30:$G$53,MATCH(LARGE(Matching_Engine!$BC$30:$BC$53,18),Matching_Engine!$BC$30:$BC$53,0)),"")</f>
        <v>Home &amp; Living</v>
      </c>
      <c r="E51" s="63">
        <f ca="1">IFERROR(INDEX(Matching_Engine!$AY$30:$AY$53,MATCH(LARGE(Matching_Engine!$BC$30:$BC$53,18),Matching_Engine!$BC$30:$BC$53,0)),"N/A")</f>
        <v>42</v>
      </c>
      <c r="F51" s="42" t="str">
        <f>IFERROR(INDEX(Matching_Engine!$AZ$30:$AZ$53,MATCH(LARGE(Matching_Engine!$BC$30:$BC$53,18),Matching_Engine!$BC$30:$BC$53,0)),"")</f>
        <v>BRAND-A|KOL-27</v>
      </c>
      <c r="G51" s="42" t="str">
        <f>IFERROR(INDEX(Matching_Engine!$BB$30:$BB$53,MATCH(LARGE(Matching_Engine!$BC$30:$BC$53,18),Matching_Engine!$BC$30:$BC$53,0)),"")</f>
        <v>Home &amp; Living</v>
      </c>
      <c r="H51" s="42" t="str">
        <f ca="1">IFERROR(INDEX(Match_Explanation!$G$6:$G$125,MATCH("BR-02|"&amp;INDEX(Matching_Engine!$C$30:$C$53,MATCH(LARGE(Matching_Engine!$BC$30:$BC$53,18),Matching_Engine!$BC$30:$BC$53,0)),Matching_Engine!$BG$6:$BG$125,0)),"")</f>
        <v/>
      </c>
    </row>
    <row r="52" spans="1:8">
      <c r="A52" s="53">
        <v>19</v>
      </c>
      <c r="B52" s="42" t="str">
        <f>IFERROR(INDEX(Matching_Engine!$D$30:$D$53,MATCH(LARGE(Matching_Engine!$BC$30:$BC$53,19),Matching_Engine!$BC$30:$BC$53,0)),"")</f>
        <v>Laras Ayu</v>
      </c>
      <c r="C52" s="42" t="str">
        <f>IFERROR(INDEX(Matching_Engine!$E$30:$E$53,MATCH(LARGE(Matching_Engine!$BC$30:$BC$53,19),Matching_Engine!$BC$30:$BC$53,0)),"")</f>
        <v>@larasinterior</v>
      </c>
      <c r="D52" s="42" t="str">
        <f>IFERROR(INDEX(Matching_Engine!$G$30:$G$53,MATCH(LARGE(Matching_Engine!$BC$30:$BC$53,19),Matching_Engine!$BC$30:$BC$53,0)),"")</f>
        <v>Home &amp; Living</v>
      </c>
      <c r="E52" s="63">
        <f ca="1">IFERROR(INDEX(Matching_Engine!$AY$30:$AY$53,MATCH(LARGE(Matching_Engine!$BC$30:$BC$53,19),Matching_Engine!$BC$30:$BC$53,0)),"N/A")</f>
        <v>42</v>
      </c>
      <c r="F52" s="42" t="str">
        <f>IFERROR(INDEX(Matching_Engine!$AZ$30:$AZ$53,MATCH(LARGE(Matching_Engine!$BC$30:$BC$53,19),Matching_Engine!$BC$30:$BC$53,0)),"")</f>
        <v>BRAND-A|KOL-27</v>
      </c>
      <c r="G52" s="42" t="str">
        <f>IFERROR(INDEX(Matching_Engine!$BB$30:$BB$53,MATCH(LARGE(Matching_Engine!$BC$30:$BC$53,19),Matching_Engine!$BC$30:$BC$53,0)),"")</f>
        <v>Home &amp; Living</v>
      </c>
      <c r="H52" s="42" t="str">
        <f ca="1">IFERROR(INDEX(Match_Explanation!$G$6:$G$125,MATCH("BR-02|"&amp;INDEX(Matching_Engine!$C$30:$C$53,MATCH(LARGE(Matching_Engine!$BC$30:$BC$53,19),Matching_Engine!$BC$30:$BC$53,0)),Matching_Engine!$BG$6:$BG$125,0)),"")</f>
        <v/>
      </c>
    </row>
    <row r="53" spans="1:8">
      <c r="A53" s="53">
        <v>20</v>
      </c>
      <c r="B53" s="42" t="str">
        <f>IFERROR(INDEX(Matching_Engine!$D$30:$D$53,MATCH(LARGE(Matching_Engine!$BC$30:$BC$53,20),Matching_Engine!$BC$30:$BC$53,0)),"")</f>
        <v>Laras Ayu</v>
      </c>
      <c r="C53" s="42" t="str">
        <f>IFERROR(INDEX(Matching_Engine!$E$30:$E$53,MATCH(LARGE(Matching_Engine!$BC$30:$BC$53,20),Matching_Engine!$BC$30:$BC$53,0)),"")</f>
        <v>@larasinterior</v>
      </c>
      <c r="D53" s="42" t="str">
        <f>IFERROR(INDEX(Matching_Engine!$G$30:$G$53,MATCH(LARGE(Matching_Engine!$BC$30:$BC$53,20),Matching_Engine!$BC$30:$BC$53,0)),"")</f>
        <v>Home &amp; Living</v>
      </c>
      <c r="E53" s="63">
        <f ca="1">IFERROR(INDEX(Matching_Engine!$AY$30:$AY$53,MATCH(LARGE(Matching_Engine!$BC$30:$BC$53,20),Matching_Engine!$BC$30:$BC$53,0)),"N/A")</f>
        <v>42</v>
      </c>
      <c r="F53" s="42" t="str">
        <f>IFERROR(INDEX(Matching_Engine!$AZ$30:$AZ$53,MATCH(LARGE(Matching_Engine!$BC$30:$BC$53,20),Matching_Engine!$BC$30:$BC$53,0)),"")</f>
        <v>BRAND-A|KOL-27</v>
      </c>
      <c r="G53" s="42" t="str">
        <f>IFERROR(INDEX(Matching_Engine!$BB$30:$BB$53,MATCH(LARGE(Matching_Engine!$BC$30:$BC$53,20),Matching_Engine!$BC$30:$BC$53,0)),"")</f>
        <v>Home &amp; Living</v>
      </c>
      <c r="H53" s="42" t="str">
        <f ca="1">IFERROR(INDEX(Match_Explanation!$G$6:$G$125,MATCH("BR-02|"&amp;INDEX(Matching_Engine!$C$30:$C$53,MATCH(LARGE(Matching_Engine!$BC$30:$BC$53,20),Matching_Engine!$BC$30:$BC$53,0)),Matching_Engine!$BG$6:$BG$125,0)),"")</f>
        <v/>
      </c>
    </row>
    <row r="54" spans="1:8">
      <c r="A54" s="53">
        <v>21</v>
      </c>
      <c r="B54" s="42" t="str">
        <f>IFERROR(INDEX(Matching_Engine!$D$30:$D$53,MATCH(LARGE(Matching_Engine!$BC$30:$BC$53,21),Matching_Engine!$BC$30:$BC$53,0)),"")</f>
        <v>Laras Ayu</v>
      </c>
      <c r="C54" s="42" t="str">
        <f>IFERROR(INDEX(Matching_Engine!$E$30:$E$53,MATCH(LARGE(Matching_Engine!$BC$30:$BC$53,21),Matching_Engine!$BC$30:$BC$53,0)),"")</f>
        <v>@larasinterior</v>
      </c>
      <c r="D54" s="42" t="str">
        <f>IFERROR(INDEX(Matching_Engine!$G$30:$G$53,MATCH(LARGE(Matching_Engine!$BC$30:$BC$53,21),Matching_Engine!$BC$30:$BC$53,0)),"")</f>
        <v>Home &amp; Living</v>
      </c>
      <c r="E54" s="63">
        <f ca="1">IFERROR(INDEX(Matching_Engine!$AY$30:$AY$53,MATCH(LARGE(Matching_Engine!$BC$30:$BC$53,21),Matching_Engine!$BC$30:$BC$53,0)),"N/A")</f>
        <v>42</v>
      </c>
      <c r="F54" s="42" t="str">
        <f>IFERROR(INDEX(Matching_Engine!$AZ$30:$AZ$53,MATCH(LARGE(Matching_Engine!$BC$30:$BC$53,21),Matching_Engine!$BC$30:$BC$53,0)),"")</f>
        <v>BRAND-A|KOL-27</v>
      </c>
      <c r="G54" s="42" t="str">
        <f>IFERROR(INDEX(Matching_Engine!$BB$30:$BB$53,MATCH(LARGE(Matching_Engine!$BC$30:$BC$53,21),Matching_Engine!$BC$30:$BC$53,0)),"")</f>
        <v>Home &amp; Living</v>
      </c>
      <c r="H54" s="42" t="str">
        <f ca="1">IFERROR(INDEX(Match_Explanation!$G$6:$G$125,MATCH("BR-02|"&amp;INDEX(Matching_Engine!$C$30:$C$53,MATCH(LARGE(Matching_Engine!$BC$30:$BC$53,21),Matching_Engine!$BC$30:$BC$53,0)),Matching_Engine!$BG$6:$BG$125,0)),"")</f>
        <v/>
      </c>
    </row>
    <row r="55" spans="1:8">
      <c r="A55" s="53">
        <v>22</v>
      </c>
      <c r="B55" s="42" t="str">
        <f>IFERROR(INDEX(Matching_Engine!$D$30:$D$53,MATCH(LARGE(Matching_Engine!$BC$30:$BC$53,22),Matching_Engine!$BC$30:$BC$53,0)),"")</f>
        <v>Laras Ayu</v>
      </c>
      <c r="C55" s="42" t="str">
        <f>IFERROR(INDEX(Matching_Engine!$E$30:$E$53,MATCH(LARGE(Matching_Engine!$BC$30:$BC$53,22),Matching_Engine!$BC$30:$BC$53,0)),"")</f>
        <v>@larasinterior</v>
      </c>
      <c r="D55" s="42" t="str">
        <f>IFERROR(INDEX(Matching_Engine!$G$30:$G$53,MATCH(LARGE(Matching_Engine!$BC$30:$BC$53,22),Matching_Engine!$BC$30:$BC$53,0)),"")</f>
        <v>Home &amp; Living</v>
      </c>
      <c r="E55" s="63">
        <f ca="1">IFERROR(INDEX(Matching_Engine!$AY$30:$AY$53,MATCH(LARGE(Matching_Engine!$BC$30:$BC$53,22),Matching_Engine!$BC$30:$BC$53,0)),"N/A")</f>
        <v>42</v>
      </c>
      <c r="F55" s="42" t="str">
        <f>IFERROR(INDEX(Matching_Engine!$AZ$30:$AZ$53,MATCH(LARGE(Matching_Engine!$BC$30:$BC$53,22),Matching_Engine!$BC$30:$BC$53,0)),"")</f>
        <v>BRAND-A|KOL-27</v>
      </c>
      <c r="G55" s="42" t="str">
        <f>IFERROR(INDEX(Matching_Engine!$BB$30:$BB$53,MATCH(LARGE(Matching_Engine!$BC$30:$BC$53,22),Matching_Engine!$BC$30:$BC$53,0)),"")</f>
        <v>Home &amp; Living</v>
      </c>
      <c r="H55" s="42" t="str">
        <f ca="1">IFERROR(INDEX(Match_Explanation!$G$6:$G$125,MATCH("BR-02|"&amp;INDEX(Matching_Engine!$C$30:$C$53,MATCH(LARGE(Matching_Engine!$BC$30:$BC$53,22),Matching_Engine!$BC$30:$BC$53,0)),Matching_Engine!$BG$6:$BG$125,0)),"")</f>
        <v/>
      </c>
    </row>
    <row r="56" spans="1:8">
      <c r="A56" s="53">
        <v>23</v>
      </c>
      <c r="B56" s="42" t="str">
        <f>IFERROR(INDEX(Matching_Engine!$D$30:$D$53,MATCH(LARGE(Matching_Engine!$BC$30:$BC$53,23),Matching_Engine!$BC$30:$BC$53,0)),"")</f>
        <v>Laras Ayu</v>
      </c>
      <c r="C56" s="42" t="str">
        <f>IFERROR(INDEX(Matching_Engine!$E$30:$E$53,MATCH(LARGE(Matching_Engine!$BC$30:$BC$53,23),Matching_Engine!$BC$30:$BC$53,0)),"")</f>
        <v>@larasinterior</v>
      </c>
      <c r="D56" s="42" t="str">
        <f>IFERROR(INDEX(Matching_Engine!$G$30:$G$53,MATCH(LARGE(Matching_Engine!$BC$30:$BC$53,23),Matching_Engine!$BC$30:$BC$53,0)),"")</f>
        <v>Home &amp; Living</v>
      </c>
      <c r="E56" s="63">
        <f ca="1">IFERROR(INDEX(Matching_Engine!$AY$30:$AY$53,MATCH(LARGE(Matching_Engine!$BC$30:$BC$53,23),Matching_Engine!$BC$30:$BC$53,0)),"N/A")</f>
        <v>42</v>
      </c>
      <c r="F56" s="42" t="str">
        <f>IFERROR(INDEX(Matching_Engine!$AZ$30:$AZ$53,MATCH(LARGE(Matching_Engine!$BC$30:$BC$53,23),Matching_Engine!$BC$30:$BC$53,0)),"")</f>
        <v>BRAND-A|KOL-27</v>
      </c>
      <c r="G56" s="42" t="str">
        <f>IFERROR(INDEX(Matching_Engine!$BB$30:$BB$53,MATCH(LARGE(Matching_Engine!$BC$30:$BC$53,23),Matching_Engine!$BC$30:$BC$53,0)),"")</f>
        <v>Home &amp; Living</v>
      </c>
      <c r="H56" s="42" t="str">
        <f ca="1">IFERROR(INDEX(Match_Explanation!$G$6:$G$125,MATCH("BR-02|"&amp;INDEX(Matching_Engine!$C$30:$C$53,MATCH(LARGE(Matching_Engine!$BC$30:$BC$53,23),Matching_Engine!$BC$30:$BC$53,0)),Matching_Engine!$BG$6:$BG$125,0)),"")</f>
        <v/>
      </c>
    </row>
    <row r="57" spans="1:8">
      <c r="A57" s="53">
        <v>24</v>
      </c>
      <c r="B57" s="42" t="str">
        <f>IFERROR(INDEX(Matching_Engine!$D$30:$D$53,MATCH(LARGE(Matching_Engine!$BC$30:$BC$53,24),Matching_Engine!$BC$30:$BC$53,0)),"")</f>
        <v>Laras Ayu</v>
      </c>
      <c r="C57" s="42" t="str">
        <f>IFERROR(INDEX(Matching_Engine!$E$30:$E$53,MATCH(LARGE(Matching_Engine!$BC$30:$BC$53,24),Matching_Engine!$BC$30:$BC$53,0)),"")</f>
        <v>@larasinterior</v>
      </c>
      <c r="D57" s="42" t="str">
        <f>IFERROR(INDEX(Matching_Engine!$G$30:$G$53,MATCH(LARGE(Matching_Engine!$BC$30:$BC$53,24),Matching_Engine!$BC$30:$BC$53,0)),"")</f>
        <v>Home &amp; Living</v>
      </c>
      <c r="E57" s="63">
        <f ca="1">IFERROR(INDEX(Matching_Engine!$AY$30:$AY$53,MATCH(LARGE(Matching_Engine!$BC$30:$BC$53,24),Matching_Engine!$BC$30:$BC$53,0)),"N/A")</f>
        <v>42</v>
      </c>
      <c r="F57" s="42" t="str">
        <f>IFERROR(INDEX(Matching_Engine!$AZ$30:$AZ$53,MATCH(LARGE(Matching_Engine!$BC$30:$BC$53,24),Matching_Engine!$BC$30:$BC$53,0)),"")</f>
        <v>BRAND-A|KOL-27</v>
      </c>
      <c r="G57" s="42" t="str">
        <f>IFERROR(INDEX(Matching_Engine!$BB$30:$BB$53,MATCH(LARGE(Matching_Engine!$BC$30:$BC$53,24),Matching_Engine!$BC$30:$BC$53,0)),"")</f>
        <v>Home &amp; Living</v>
      </c>
      <c r="H57" s="42" t="str">
        <f ca="1">IFERROR(INDEX(Match_Explanation!$G$6:$G$125,MATCH("BR-02|"&amp;INDEX(Matching_Engine!$C$30:$C$53,MATCH(LARGE(Matching_Engine!$BC$30:$BC$53,24),Matching_Engine!$BC$30:$BC$53,0)),Matching_Engine!$BG$6:$BG$125,0)),"")</f>
        <v/>
      </c>
    </row>
    <row r="60" ht="18" customHeight="1" spans="1:8">
      <c r="A60" s="40" t="s">
        <v>2788</v>
      </c>
    </row>
    <row r="61" ht="24" customHeight="1" spans="1:8">
      <c r="A61" s="41" t="s">
        <v>1951</v>
      </c>
      <c r="B61" s="41" t="s">
        <v>1031</v>
      </c>
      <c r="C61" s="41" t="s">
        <v>415</v>
      </c>
      <c r="D61" s="41" t="s">
        <v>416</v>
      </c>
      <c r="E61" s="41" t="s">
        <v>2755</v>
      </c>
      <c r="F61" s="41" t="s">
        <v>424</v>
      </c>
      <c r="G61" s="41" t="s">
        <v>773</v>
      </c>
      <c r="H61" s="41" t="s">
        <v>2760</v>
      </c>
    </row>
    <row r="62" spans="1:8">
      <c r="A62" s="53">
        <v>1</v>
      </c>
      <c r="B62" s="42" t="str">
        <f>IFERROR(INDEX(Matching_Engine!$D$54:$D$77,MATCH(LARGE(Matching_Engine!$BC$54:$BC$77,1),Matching_Engine!$BC$54:$BC$77,0)),"")</f>
        <v>Sekar Ayu</v>
      </c>
      <c r="C62" s="42" t="str">
        <f>IFERROR(INDEX(Matching_Engine!$E$54:$E$77,MATCH(LARGE(Matching_Engine!$BC$54:$BC$77,1),Matching_Engine!$BC$54:$BC$77,0)),"")</f>
        <v>@sekarskincarejujur</v>
      </c>
      <c r="D62" s="42" t="str">
        <f>IFERROR(INDEX(Matching_Engine!$G$54:$G$77,MATCH(LARGE(Matching_Engine!$BC$54:$BC$77,1),Matching_Engine!$BC$54:$BC$77,0)),"")</f>
        <v>Beauty</v>
      </c>
      <c r="E62" s="63">
        <f ca="1">IFERROR(INDEX(Matching_Engine!$AY$54:$AY$77,MATCH(LARGE(Matching_Engine!$BC$54:$BC$77,1),Matching_Engine!$BC$54:$BC$77,0)),"N/A")</f>
        <v>91</v>
      </c>
      <c r="F62" s="42" t="str">
        <f>IFERROR(INDEX(Matching_Engine!$AZ$54:$AZ$77,MATCH(LARGE(Matching_Engine!$BC$54:$BC$77,1),Matching_Engine!$BC$54:$BC$77,0)),"")</f>
        <v>BRAND-B|KOL-29</v>
      </c>
      <c r="G62" s="42" t="str">
        <f>IFERROR(INDEX(Matching_Engine!$BB$54:$BB$77,MATCH(LARGE(Matching_Engine!$BC$54:$BC$77,1),Matching_Engine!$BC$54:$BC$77,0)),"")</f>
        <v>Beauty</v>
      </c>
      <c r="H62" s="42" t="str">
        <f ca="1">IFERROR(INDEX(Match_Explanation!$G$6:$G$125,MATCH("BR-03|"&amp;INDEX(Matching_Engine!$C$54:$C$77,MATCH(LARGE(Matching_Engine!$BC$54:$BC$77,1),Matching_Engine!$BC$54:$BC$77,0)),Matching_Engine!$BG$6:$BG$125,0)),"")</f>
        <v/>
      </c>
    </row>
    <row r="63" spans="1:8">
      <c r="A63" s="53">
        <v>2</v>
      </c>
      <c r="B63" s="42" t="str">
        <f>IFERROR(INDEX(Matching_Engine!$D$54:$D$77,MATCH(LARGE(Matching_Engine!$BC$54:$BC$77,2),Matching_Engine!$BC$54:$BC$77,0)),"")</f>
        <v>Sekar Ayu</v>
      </c>
      <c r="C63" s="42" t="str">
        <f>IFERROR(INDEX(Matching_Engine!$E$54:$E$77,MATCH(LARGE(Matching_Engine!$BC$54:$BC$77,2),Matching_Engine!$BC$54:$BC$77,0)),"")</f>
        <v>@sekarskincarejujur</v>
      </c>
      <c r="D63" s="42" t="str">
        <f>IFERROR(INDEX(Matching_Engine!$G$54:$G$77,MATCH(LARGE(Matching_Engine!$BC$54:$BC$77,2),Matching_Engine!$BC$54:$BC$77,0)),"")</f>
        <v>Beauty</v>
      </c>
      <c r="E63" s="63">
        <f ca="1">IFERROR(INDEX(Matching_Engine!$AY$54:$AY$77,MATCH(LARGE(Matching_Engine!$BC$54:$BC$77,2),Matching_Engine!$BC$54:$BC$77,0)),"N/A")</f>
        <v>91</v>
      </c>
      <c r="F63" s="42" t="str">
        <f>IFERROR(INDEX(Matching_Engine!$AZ$54:$AZ$77,MATCH(LARGE(Matching_Engine!$BC$54:$BC$77,2),Matching_Engine!$BC$54:$BC$77,0)),"")</f>
        <v>BRAND-B|KOL-29</v>
      </c>
      <c r="G63" s="42" t="str">
        <f>IFERROR(INDEX(Matching_Engine!$BB$54:$BB$77,MATCH(LARGE(Matching_Engine!$BC$54:$BC$77,2),Matching_Engine!$BC$54:$BC$77,0)),"")</f>
        <v>Beauty</v>
      </c>
      <c r="H63" s="42" t="str">
        <f ca="1">IFERROR(INDEX(Match_Explanation!$G$6:$G$125,MATCH("BR-03|"&amp;INDEX(Matching_Engine!$C$54:$C$77,MATCH(LARGE(Matching_Engine!$BC$54:$BC$77,2),Matching_Engine!$BC$54:$BC$77,0)),Matching_Engine!$BG$6:$BG$125,0)),"")</f>
        <v/>
      </c>
    </row>
    <row r="64" spans="1:8">
      <c r="A64" s="53">
        <v>3</v>
      </c>
      <c r="B64" s="42" t="str">
        <f>IFERROR(INDEX(Matching_Engine!$D$54:$D$77,MATCH(LARGE(Matching_Engine!$BC$54:$BC$77,3),Matching_Engine!$BC$54:$BC$77,0)),"")</f>
        <v>Sekar Ayu</v>
      </c>
      <c r="C64" s="42" t="str">
        <f>IFERROR(INDEX(Matching_Engine!$E$54:$E$77,MATCH(LARGE(Matching_Engine!$BC$54:$BC$77,3),Matching_Engine!$BC$54:$BC$77,0)),"")</f>
        <v>@sekarskincarejujur</v>
      </c>
      <c r="D64" s="42" t="str">
        <f>IFERROR(INDEX(Matching_Engine!$G$54:$G$77,MATCH(LARGE(Matching_Engine!$BC$54:$BC$77,3),Matching_Engine!$BC$54:$BC$77,0)),"")</f>
        <v>Beauty</v>
      </c>
      <c r="E64" s="63">
        <f ca="1">IFERROR(INDEX(Matching_Engine!$AY$54:$AY$77,MATCH(LARGE(Matching_Engine!$BC$54:$BC$77,3),Matching_Engine!$BC$54:$BC$77,0)),"N/A")</f>
        <v>91</v>
      </c>
      <c r="F64" s="42" t="str">
        <f>IFERROR(INDEX(Matching_Engine!$AZ$54:$AZ$77,MATCH(LARGE(Matching_Engine!$BC$54:$BC$77,3),Matching_Engine!$BC$54:$BC$77,0)),"")</f>
        <v>BRAND-B|KOL-29</v>
      </c>
      <c r="G64" s="42" t="str">
        <f>IFERROR(INDEX(Matching_Engine!$BB$54:$BB$77,MATCH(LARGE(Matching_Engine!$BC$54:$BC$77,3),Matching_Engine!$BC$54:$BC$77,0)),"")</f>
        <v>Beauty</v>
      </c>
      <c r="H64" s="42" t="str">
        <f ca="1">IFERROR(INDEX(Match_Explanation!$G$6:$G$125,MATCH("BR-03|"&amp;INDEX(Matching_Engine!$C$54:$C$77,MATCH(LARGE(Matching_Engine!$BC$54:$BC$77,3),Matching_Engine!$BC$54:$BC$77,0)),Matching_Engine!$BG$6:$BG$125,0)),"")</f>
        <v/>
      </c>
    </row>
    <row r="65" spans="1:8">
      <c r="A65" s="53">
        <v>4</v>
      </c>
      <c r="B65" s="42" t="str">
        <f>IFERROR(INDEX(Matching_Engine!$D$54:$D$77,MATCH(LARGE(Matching_Engine!$BC$54:$BC$77,4),Matching_Engine!$BC$54:$BC$77,0)),"")</f>
        <v>Putri Amanda</v>
      </c>
      <c r="C65" s="42" t="str">
        <f>IFERROR(INDEX(Matching_Engine!$E$54:$E$77,MATCH(LARGE(Matching_Engine!$BC$54:$BC$77,4),Matching_Engine!$BC$54:$BC$77,0)),"")</f>
        <v>@putrimomlife</v>
      </c>
      <c r="D65" s="42" t="str">
        <f>IFERROR(INDEX(Matching_Engine!$G$54:$G$77,MATCH(LARGE(Matching_Engine!$BC$54:$BC$77,4),Matching_Engine!$BC$54:$BC$77,0)),"")</f>
        <v>Parenting</v>
      </c>
      <c r="E65" s="63" t="str">
        <f ca="1">IFERROR(INDEX(Matching_Engine!$AY$54:$AY$77,MATCH(LARGE(Matching_Engine!$BC$54:$BC$77,4),Matching_Engine!$BC$54:$BC$77,0)),"N/A")</f>
        <v/>
      </c>
      <c r="F65" s="42" t="str">
        <f>IFERROR(INDEX(Matching_Engine!$AZ$54:$AZ$77,MATCH(LARGE(Matching_Engine!$BC$54:$BC$77,4),Matching_Engine!$BC$54:$BC$77,0)),"")</f>
        <v>BRAND-B|KOL-19</v>
      </c>
      <c r="G65" s="42" t="str">
        <f>IFERROR(INDEX(Matching_Engine!$BB$54:$BB$77,MATCH(LARGE(Matching_Engine!$BC$54:$BC$77,4),Matching_Engine!$BC$54:$BC$77,0)),"")</f>
        <v>Parenting</v>
      </c>
      <c r="H65" s="42" t="str">
        <f ca="1">IFERROR(INDEX(Match_Explanation!$G$6:$G$125,MATCH("BR-03|"&amp;INDEX(Matching_Engine!$C$54:$C$77,MATCH(LARGE(Matching_Engine!$BC$54:$BC$77,4),Matching_Engine!$BC$54:$BC$77,0)),Matching_Engine!$BG$6:$BG$125,0)),"")</f>
        <v/>
      </c>
    </row>
    <row r="66" spans="1:8">
      <c r="A66" s="53">
        <v>5</v>
      </c>
      <c r="B66" s="42" t="str">
        <f>IFERROR(INDEX(Matching_Engine!$D$54:$D$77,MATCH(LARGE(Matching_Engine!$BC$54:$BC$77,5),Matching_Engine!$BC$54:$BC$77,0)),"")</f>
        <v>Putri Amanda</v>
      </c>
      <c r="C66" s="42" t="str">
        <f>IFERROR(INDEX(Matching_Engine!$E$54:$E$77,MATCH(LARGE(Matching_Engine!$BC$54:$BC$77,5),Matching_Engine!$BC$54:$BC$77,0)),"")</f>
        <v>@putrimomlife</v>
      </c>
      <c r="D66" s="42" t="str">
        <f>IFERROR(INDEX(Matching_Engine!$G$54:$G$77,MATCH(LARGE(Matching_Engine!$BC$54:$BC$77,5),Matching_Engine!$BC$54:$BC$77,0)),"")</f>
        <v>Parenting</v>
      </c>
      <c r="E66" s="63" t="str">
        <f ca="1">IFERROR(INDEX(Matching_Engine!$AY$54:$AY$77,MATCH(LARGE(Matching_Engine!$BC$54:$BC$77,5),Matching_Engine!$BC$54:$BC$77,0)),"N/A")</f>
        <v/>
      </c>
      <c r="F66" s="42" t="str">
        <f>IFERROR(INDEX(Matching_Engine!$AZ$54:$AZ$77,MATCH(LARGE(Matching_Engine!$BC$54:$BC$77,5),Matching_Engine!$BC$54:$BC$77,0)),"")</f>
        <v>BRAND-B|KOL-19</v>
      </c>
      <c r="G66" s="42" t="str">
        <f>IFERROR(INDEX(Matching_Engine!$BB$54:$BB$77,MATCH(LARGE(Matching_Engine!$BC$54:$BC$77,5),Matching_Engine!$BC$54:$BC$77,0)),"")</f>
        <v>Parenting</v>
      </c>
      <c r="H66" s="42" t="str">
        <f ca="1">IFERROR(INDEX(Match_Explanation!$G$6:$G$125,MATCH("BR-03|"&amp;INDEX(Matching_Engine!$C$54:$C$77,MATCH(LARGE(Matching_Engine!$BC$54:$BC$77,5),Matching_Engine!$BC$54:$BC$77,0)),Matching_Engine!$BG$6:$BG$125,0)),"")</f>
        <v/>
      </c>
    </row>
    <row r="67" spans="1:8">
      <c r="A67" s="53">
        <v>6</v>
      </c>
      <c r="B67" s="42" t="str">
        <f>IFERROR(INDEX(Matching_Engine!$D$54:$D$77,MATCH(LARGE(Matching_Engine!$BC$54:$BC$77,6),Matching_Engine!$BC$54:$BC$77,0)),"")</f>
        <v>Putri Amanda</v>
      </c>
      <c r="C67" s="42" t="str">
        <f>IFERROR(INDEX(Matching_Engine!$E$54:$E$77,MATCH(LARGE(Matching_Engine!$BC$54:$BC$77,6),Matching_Engine!$BC$54:$BC$77,0)),"")</f>
        <v>@putrimomlife</v>
      </c>
      <c r="D67" s="42" t="str">
        <f>IFERROR(INDEX(Matching_Engine!$G$54:$G$77,MATCH(LARGE(Matching_Engine!$BC$54:$BC$77,6),Matching_Engine!$BC$54:$BC$77,0)),"")</f>
        <v>Parenting</v>
      </c>
      <c r="E67" s="63" t="str">
        <f ca="1">IFERROR(INDEX(Matching_Engine!$AY$54:$AY$77,MATCH(LARGE(Matching_Engine!$BC$54:$BC$77,6),Matching_Engine!$BC$54:$BC$77,0)),"N/A")</f>
        <v/>
      </c>
      <c r="F67" s="42" t="str">
        <f>IFERROR(INDEX(Matching_Engine!$AZ$54:$AZ$77,MATCH(LARGE(Matching_Engine!$BC$54:$BC$77,6),Matching_Engine!$BC$54:$BC$77,0)),"")</f>
        <v>BRAND-B|KOL-19</v>
      </c>
      <c r="G67" s="42" t="str">
        <f>IFERROR(INDEX(Matching_Engine!$BB$54:$BB$77,MATCH(LARGE(Matching_Engine!$BC$54:$BC$77,6),Matching_Engine!$BC$54:$BC$77,0)),"")</f>
        <v>Parenting</v>
      </c>
      <c r="H67" s="42" t="str">
        <f ca="1">IFERROR(INDEX(Match_Explanation!$G$6:$G$125,MATCH("BR-03|"&amp;INDEX(Matching_Engine!$C$54:$C$77,MATCH(LARGE(Matching_Engine!$BC$54:$BC$77,6),Matching_Engine!$BC$54:$BC$77,0)),Matching_Engine!$BG$6:$BG$125,0)),"")</f>
        <v/>
      </c>
    </row>
    <row r="68" spans="1:8">
      <c r="A68" s="53">
        <v>7</v>
      </c>
      <c r="B68" s="42" t="str">
        <f>IFERROR(INDEX(Matching_Engine!$D$54:$D$77,MATCH(LARGE(Matching_Engine!$BC$54:$BC$77,7),Matching_Engine!$BC$54:$BC$77,0)),"")</f>
        <v>Putri Amanda</v>
      </c>
      <c r="C68" s="42" t="str">
        <f>IFERROR(INDEX(Matching_Engine!$E$54:$E$77,MATCH(LARGE(Matching_Engine!$BC$54:$BC$77,7),Matching_Engine!$BC$54:$BC$77,0)),"")</f>
        <v>@putrimomlife</v>
      </c>
      <c r="D68" s="42" t="str">
        <f>IFERROR(INDEX(Matching_Engine!$G$54:$G$77,MATCH(LARGE(Matching_Engine!$BC$54:$BC$77,7),Matching_Engine!$BC$54:$BC$77,0)),"")</f>
        <v>Parenting</v>
      </c>
      <c r="E68" s="63" t="str">
        <f ca="1">IFERROR(INDEX(Matching_Engine!$AY$54:$AY$77,MATCH(LARGE(Matching_Engine!$BC$54:$BC$77,7),Matching_Engine!$BC$54:$BC$77,0)),"N/A")</f>
        <v/>
      </c>
      <c r="F68" s="42" t="str">
        <f>IFERROR(INDEX(Matching_Engine!$AZ$54:$AZ$77,MATCH(LARGE(Matching_Engine!$BC$54:$BC$77,7),Matching_Engine!$BC$54:$BC$77,0)),"")</f>
        <v>BRAND-B|KOL-19</v>
      </c>
      <c r="G68" s="42" t="str">
        <f>IFERROR(INDEX(Matching_Engine!$BB$54:$BB$77,MATCH(LARGE(Matching_Engine!$BC$54:$BC$77,7),Matching_Engine!$BC$54:$BC$77,0)),"")</f>
        <v>Parenting</v>
      </c>
      <c r="H68" s="42" t="str">
        <f ca="1">IFERROR(INDEX(Match_Explanation!$G$6:$G$125,MATCH("BR-03|"&amp;INDEX(Matching_Engine!$C$54:$C$77,MATCH(LARGE(Matching_Engine!$BC$54:$BC$77,7),Matching_Engine!$BC$54:$BC$77,0)),Matching_Engine!$BG$6:$BG$125,0)),"")</f>
        <v/>
      </c>
    </row>
    <row r="69" spans="1:8">
      <c r="A69" s="53">
        <v>8</v>
      </c>
      <c r="B69" s="42" t="str">
        <f>IFERROR(INDEX(Matching_Engine!$D$54:$D$77,MATCH(LARGE(Matching_Engine!$BC$54:$BC$77,8),Matching_Engine!$BC$54:$BC$77,0)),"")</f>
        <v>Laras Ayu</v>
      </c>
      <c r="C69" s="42" t="str">
        <f>IFERROR(INDEX(Matching_Engine!$E$54:$E$77,MATCH(LARGE(Matching_Engine!$BC$54:$BC$77,8),Matching_Engine!$BC$54:$BC$77,0)),"")</f>
        <v>@larasinterior</v>
      </c>
      <c r="D69" s="42" t="str">
        <f>IFERROR(INDEX(Matching_Engine!$G$54:$G$77,MATCH(LARGE(Matching_Engine!$BC$54:$BC$77,8),Matching_Engine!$BC$54:$BC$77,0)),"")</f>
        <v>Home &amp; Living</v>
      </c>
      <c r="E69" s="63">
        <f ca="1">IFERROR(INDEX(Matching_Engine!$AY$54:$AY$77,MATCH(LARGE(Matching_Engine!$BC$54:$BC$77,8),Matching_Engine!$BC$54:$BC$77,0)),"N/A")</f>
        <v>62</v>
      </c>
      <c r="F69" s="42" t="str">
        <f>IFERROR(INDEX(Matching_Engine!$AZ$54:$AZ$77,MATCH(LARGE(Matching_Engine!$BC$54:$BC$77,8),Matching_Engine!$BC$54:$BC$77,0)),"")</f>
        <v>BRAND-B|KOL-27</v>
      </c>
      <c r="G69" s="42" t="str">
        <f>IFERROR(INDEX(Matching_Engine!$BB$54:$BB$77,MATCH(LARGE(Matching_Engine!$BC$54:$BC$77,8),Matching_Engine!$BC$54:$BC$77,0)),"")</f>
        <v>Home &amp; Living</v>
      </c>
      <c r="H69" s="42" t="str">
        <f ca="1">IFERROR(INDEX(Match_Explanation!$G$6:$G$125,MATCH("BR-03|"&amp;INDEX(Matching_Engine!$C$54:$C$77,MATCH(LARGE(Matching_Engine!$BC$54:$BC$77,8),Matching_Engine!$BC$54:$BC$77,0)),Matching_Engine!$BG$6:$BG$125,0)),"")</f>
        <v/>
      </c>
    </row>
    <row r="70" spans="1:8">
      <c r="A70" s="53">
        <v>9</v>
      </c>
      <c r="B70" s="42" t="str">
        <f>IFERROR(INDEX(Matching_Engine!$D$54:$D$77,MATCH(LARGE(Matching_Engine!$BC$54:$BC$77,9),Matching_Engine!$BC$54:$BC$77,0)),"")</f>
        <v>Laras Ayu</v>
      </c>
      <c r="C70" s="42" t="str">
        <f>IFERROR(INDEX(Matching_Engine!$E$54:$E$77,MATCH(LARGE(Matching_Engine!$BC$54:$BC$77,9),Matching_Engine!$BC$54:$BC$77,0)),"")</f>
        <v>@larasinterior</v>
      </c>
      <c r="D70" s="42" t="str">
        <f>IFERROR(INDEX(Matching_Engine!$G$54:$G$77,MATCH(LARGE(Matching_Engine!$BC$54:$BC$77,9),Matching_Engine!$BC$54:$BC$77,0)),"")</f>
        <v>Home &amp; Living</v>
      </c>
      <c r="E70" s="63">
        <f ca="1">IFERROR(INDEX(Matching_Engine!$AY$54:$AY$77,MATCH(LARGE(Matching_Engine!$BC$54:$BC$77,9),Matching_Engine!$BC$54:$BC$77,0)),"N/A")</f>
        <v>62</v>
      </c>
      <c r="F70" s="42" t="str">
        <f>IFERROR(INDEX(Matching_Engine!$AZ$54:$AZ$77,MATCH(LARGE(Matching_Engine!$BC$54:$BC$77,9),Matching_Engine!$BC$54:$BC$77,0)),"")</f>
        <v>BRAND-B|KOL-27</v>
      </c>
      <c r="G70" s="42" t="str">
        <f>IFERROR(INDEX(Matching_Engine!$BB$54:$BB$77,MATCH(LARGE(Matching_Engine!$BC$54:$BC$77,9),Matching_Engine!$BC$54:$BC$77,0)),"")</f>
        <v>Home &amp; Living</v>
      </c>
      <c r="H70" s="42" t="str">
        <f ca="1">IFERROR(INDEX(Match_Explanation!$G$6:$G$125,MATCH("BR-03|"&amp;INDEX(Matching_Engine!$C$54:$C$77,MATCH(LARGE(Matching_Engine!$BC$54:$BC$77,9),Matching_Engine!$BC$54:$BC$77,0)),Matching_Engine!$BG$6:$BG$125,0)),"")</f>
        <v/>
      </c>
    </row>
    <row r="71" spans="1:8">
      <c r="A71" s="53">
        <v>10</v>
      </c>
      <c r="B71" s="42" t="str">
        <f>IFERROR(INDEX(Matching_Engine!$D$54:$D$77,MATCH(LARGE(Matching_Engine!$BC$54:$BC$77,10),Matching_Engine!$BC$54:$BC$77,0)),"")</f>
        <v>Laras Ayu</v>
      </c>
      <c r="C71" s="42" t="str">
        <f>IFERROR(INDEX(Matching_Engine!$E$54:$E$77,MATCH(LARGE(Matching_Engine!$BC$54:$BC$77,10),Matching_Engine!$BC$54:$BC$77,0)),"")</f>
        <v>@larasinterior</v>
      </c>
      <c r="D71" s="42" t="str">
        <f>IFERROR(INDEX(Matching_Engine!$G$54:$G$77,MATCH(LARGE(Matching_Engine!$BC$54:$BC$77,10),Matching_Engine!$BC$54:$BC$77,0)),"")</f>
        <v>Home &amp; Living</v>
      </c>
      <c r="E71" s="63">
        <f ca="1">IFERROR(INDEX(Matching_Engine!$AY$54:$AY$77,MATCH(LARGE(Matching_Engine!$BC$54:$BC$77,10),Matching_Engine!$BC$54:$BC$77,0)),"N/A")</f>
        <v>62</v>
      </c>
      <c r="F71" s="42" t="str">
        <f>IFERROR(INDEX(Matching_Engine!$AZ$54:$AZ$77,MATCH(LARGE(Matching_Engine!$BC$54:$BC$77,10),Matching_Engine!$BC$54:$BC$77,0)),"")</f>
        <v>BRAND-B|KOL-27</v>
      </c>
      <c r="G71" s="42" t="str">
        <f>IFERROR(INDEX(Matching_Engine!$BB$54:$BB$77,MATCH(LARGE(Matching_Engine!$BC$54:$BC$77,10),Matching_Engine!$BC$54:$BC$77,0)),"")</f>
        <v>Home &amp; Living</v>
      </c>
      <c r="H71" s="42" t="str">
        <f ca="1">IFERROR(INDEX(Match_Explanation!$G$6:$G$125,MATCH("BR-03|"&amp;INDEX(Matching_Engine!$C$54:$C$77,MATCH(LARGE(Matching_Engine!$BC$54:$BC$77,10),Matching_Engine!$BC$54:$BC$77,0)),Matching_Engine!$BG$6:$BG$125,0)),"")</f>
        <v/>
      </c>
    </row>
    <row r="72" spans="1:8">
      <c r="A72" s="53">
        <v>11</v>
      </c>
      <c r="B72" s="42" t="str">
        <f>IFERROR(INDEX(Matching_Engine!$D$54:$D$77,MATCH(LARGE(Matching_Engine!$BC$54:$BC$77,11),Matching_Engine!$BC$54:$BC$77,0)),"")</f>
        <v>Laras Ayu</v>
      </c>
      <c r="C72" s="42" t="str">
        <f>IFERROR(INDEX(Matching_Engine!$E$54:$E$77,MATCH(LARGE(Matching_Engine!$BC$54:$BC$77,11),Matching_Engine!$BC$54:$BC$77,0)),"")</f>
        <v>@larasinterior</v>
      </c>
      <c r="D72" s="42" t="str">
        <f>IFERROR(INDEX(Matching_Engine!$G$54:$G$77,MATCH(LARGE(Matching_Engine!$BC$54:$BC$77,11),Matching_Engine!$BC$54:$BC$77,0)),"")</f>
        <v>Home &amp; Living</v>
      </c>
      <c r="E72" s="63">
        <f ca="1">IFERROR(INDEX(Matching_Engine!$AY$54:$AY$77,MATCH(LARGE(Matching_Engine!$BC$54:$BC$77,11),Matching_Engine!$BC$54:$BC$77,0)),"N/A")</f>
        <v>62</v>
      </c>
      <c r="F72" s="42" t="str">
        <f>IFERROR(INDEX(Matching_Engine!$AZ$54:$AZ$77,MATCH(LARGE(Matching_Engine!$BC$54:$BC$77,11),Matching_Engine!$BC$54:$BC$77,0)),"")</f>
        <v>BRAND-B|KOL-27</v>
      </c>
      <c r="G72" s="42" t="str">
        <f>IFERROR(INDEX(Matching_Engine!$BB$54:$BB$77,MATCH(LARGE(Matching_Engine!$BC$54:$BC$77,11),Matching_Engine!$BC$54:$BC$77,0)),"")</f>
        <v>Home &amp; Living</v>
      </c>
      <c r="H72" s="42" t="str">
        <f ca="1">IFERROR(INDEX(Match_Explanation!$G$6:$G$125,MATCH("BR-03|"&amp;INDEX(Matching_Engine!$C$54:$C$77,MATCH(LARGE(Matching_Engine!$BC$54:$BC$77,11),Matching_Engine!$BC$54:$BC$77,0)),Matching_Engine!$BG$6:$BG$125,0)),"")</f>
        <v/>
      </c>
    </row>
    <row r="73" spans="1:8">
      <c r="A73" s="53">
        <v>12</v>
      </c>
      <c r="B73" s="42" t="str">
        <f>IFERROR(INDEX(Matching_Engine!$D$54:$D$77,MATCH(LARGE(Matching_Engine!$BC$54:$BC$77,12),Matching_Engine!$BC$54:$BC$77,0)),"")</f>
        <v>Bagas Setiawan</v>
      </c>
      <c r="C73" s="42" t="str">
        <f>IFERROR(INDEX(Matching_Engine!$E$54:$E$77,MATCH(LARGE(Matching_Engine!$BC$54:$BC$77,12),Matching_Engine!$BC$54:$BC$77,0)),"")</f>
        <v>@bagaskomedi</v>
      </c>
      <c r="D73" s="42" t="str">
        <f>IFERROR(INDEX(Matching_Engine!$G$54:$G$77,MATCH(LARGE(Matching_Engine!$BC$54:$BC$77,12),Matching_Engine!$BC$54:$BC$77,0)),"")</f>
        <v>Entertainment</v>
      </c>
      <c r="E73" s="63" t="str">
        <f ca="1">IFERROR(INDEX(Matching_Engine!$AY$54:$AY$77,MATCH(LARGE(Matching_Engine!$BC$54:$BC$77,12),Matching_Engine!$BC$54:$BC$77,0)),"N/A")</f>
        <v/>
      </c>
      <c r="F73" s="42" t="str">
        <f>IFERROR(INDEX(Matching_Engine!$AZ$54:$AZ$77,MATCH(LARGE(Matching_Engine!$BC$54:$BC$77,12),Matching_Engine!$BC$54:$BC$77,0)),"")</f>
        <v>BRAND-B|KOL-21</v>
      </c>
      <c r="G73" s="42" t="str">
        <f>IFERROR(INDEX(Matching_Engine!$BB$54:$BB$77,MATCH(LARGE(Matching_Engine!$BC$54:$BC$77,12),Matching_Engine!$BC$54:$BC$77,0)),"")</f>
        <v>Entertainment</v>
      </c>
      <c r="H73" s="42" t="str">
        <f ca="1">IFERROR(INDEX(Match_Explanation!$G$6:$G$125,MATCH("BR-03|"&amp;INDEX(Matching_Engine!$C$54:$C$77,MATCH(LARGE(Matching_Engine!$BC$54:$BC$77,12),Matching_Engine!$BC$54:$BC$77,0)),Matching_Engine!$BG$6:$BG$125,0)),"")</f>
        <v/>
      </c>
    </row>
    <row r="74" spans="1:8">
      <c r="A74" s="53">
        <v>13</v>
      </c>
      <c r="B74" s="42" t="str">
        <f>IFERROR(INDEX(Matching_Engine!$D$54:$D$77,MATCH(LARGE(Matching_Engine!$BC$54:$BC$77,13),Matching_Engine!$BC$54:$BC$77,0)),"")</f>
        <v>Bagas Setiawan</v>
      </c>
      <c r="C74" s="42" t="str">
        <f>IFERROR(INDEX(Matching_Engine!$E$54:$E$77,MATCH(LARGE(Matching_Engine!$BC$54:$BC$77,13),Matching_Engine!$BC$54:$BC$77,0)),"")</f>
        <v>@bagaskomedi</v>
      </c>
      <c r="D74" s="42" t="str">
        <f>IFERROR(INDEX(Matching_Engine!$G$54:$G$77,MATCH(LARGE(Matching_Engine!$BC$54:$BC$77,13),Matching_Engine!$BC$54:$BC$77,0)),"")</f>
        <v>Entertainment</v>
      </c>
      <c r="E74" s="63" t="str">
        <f ca="1">IFERROR(INDEX(Matching_Engine!$AY$54:$AY$77,MATCH(LARGE(Matching_Engine!$BC$54:$BC$77,13),Matching_Engine!$BC$54:$BC$77,0)),"N/A")</f>
        <v/>
      </c>
      <c r="F74" s="42" t="str">
        <f>IFERROR(INDEX(Matching_Engine!$AZ$54:$AZ$77,MATCH(LARGE(Matching_Engine!$BC$54:$BC$77,13),Matching_Engine!$BC$54:$BC$77,0)),"")</f>
        <v>BRAND-B|KOL-21</v>
      </c>
      <c r="G74" s="42" t="str">
        <f>IFERROR(INDEX(Matching_Engine!$BB$54:$BB$77,MATCH(LARGE(Matching_Engine!$BC$54:$BC$77,13),Matching_Engine!$BC$54:$BC$77,0)),"")</f>
        <v>Entertainment</v>
      </c>
      <c r="H74" s="42" t="str">
        <f ca="1">IFERROR(INDEX(Match_Explanation!$G$6:$G$125,MATCH("BR-03|"&amp;INDEX(Matching_Engine!$C$54:$C$77,MATCH(LARGE(Matching_Engine!$BC$54:$BC$77,13),Matching_Engine!$BC$54:$BC$77,0)),Matching_Engine!$BG$6:$BG$125,0)),"")</f>
        <v/>
      </c>
    </row>
    <row r="75" spans="1:8">
      <c r="A75" s="53">
        <v>14</v>
      </c>
      <c r="B75" s="42" t="str">
        <f>IFERROR(INDEX(Matching_Engine!$D$54:$D$77,MATCH(LARGE(Matching_Engine!$BC$54:$BC$77,14),Matching_Engine!$BC$54:$BC$77,0)),"")</f>
        <v>Arya Mahendra</v>
      </c>
      <c r="C75" s="42" t="str">
        <f>IFERROR(INDEX(Matching_Engine!$E$54:$E$77,MATCH(LARGE(Matching_Engine!$BC$54:$BC$77,14),Matching_Engine!$BC$54:$BC$77,0)),"")</f>
        <v>@aryagaming</v>
      </c>
      <c r="D75" s="42" t="str">
        <f>IFERROR(INDEX(Matching_Engine!$G$54:$G$77,MATCH(LARGE(Matching_Engine!$BC$54:$BC$77,14),Matching_Engine!$BC$54:$BC$77,0)),"")</f>
        <v>Gaming</v>
      </c>
      <c r="E75" s="63" t="str">
        <f ca="1">IFERROR(INDEX(Matching_Engine!$AY$54:$AY$77,MATCH(LARGE(Matching_Engine!$BC$54:$BC$77,14),Matching_Engine!$BC$54:$BC$77,0)),"N/A")</f>
        <v/>
      </c>
      <c r="F75" s="42" t="str">
        <f>IFERROR(INDEX(Matching_Engine!$AZ$54:$AZ$77,MATCH(LARGE(Matching_Engine!$BC$54:$BC$77,14),Matching_Engine!$BC$54:$BC$77,0)),"")</f>
        <v>BRAND-B|KOL-23</v>
      </c>
      <c r="G75" s="42" t="str">
        <f>IFERROR(INDEX(Matching_Engine!$BB$54:$BB$77,MATCH(LARGE(Matching_Engine!$BC$54:$BC$77,14),Matching_Engine!$BC$54:$BC$77,0)),"")</f>
        <v>Gaming</v>
      </c>
      <c r="H75" s="42" t="str">
        <f ca="1">IFERROR(INDEX(Match_Explanation!$G$6:$G$125,MATCH("BR-03|"&amp;INDEX(Matching_Engine!$C$54:$C$77,MATCH(LARGE(Matching_Engine!$BC$54:$BC$77,14),Matching_Engine!$BC$54:$BC$77,0)),Matching_Engine!$BG$6:$BG$125,0)),"")</f>
        <v/>
      </c>
    </row>
    <row r="76" spans="1:8">
      <c r="A76" s="53">
        <v>15</v>
      </c>
      <c r="B76" s="42" t="str">
        <f>IFERROR(INDEX(Matching_Engine!$D$54:$D$77,MATCH(LARGE(Matching_Engine!$BC$54:$BC$77,15),Matching_Engine!$BC$54:$BC$77,0)),"")</f>
        <v>Arya Mahendra</v>
      </c>
      <c r="C76" s="42" t="str">
        <f>IFERROR(INDEX(Matching_Engine!$E$54:$E$77,MATCH(LARGE(Matching_Engine!$BC$54:$BC$77,15),Matching_Engine!$BC$54:$BC$77,0)),"")</f>
        <v>@aryagaming</v>
      </c>
      <c r="D76" s="42" t="str">
        <f>IFERROR(INDEX(Matching_Engine!$G$54:$G$77,MATCH(LARGE(Matching_Engine!$BC$54:$BC$77,15),Matching_Engine!$BC$54:$BC$77,0)),"")</f>
        <v>Gaming</v>
      </c>
      <c r="E76" s="63" t="str">
        <f ca="1">IFERROR(INDEX(Matching_Engine!$AY$54:$AY$77,MATCH(LARGE(Matching_Engine!$BC$54:$BC$77,15),Matching_Engine!$BC$54:$BC$77,0)),"N/A")</f>
        <v/>
      </c>
      <c r="F76" s="42" t="str">
        <f>IFERROR(INDEX(Matching_Engine!$AZ$54:$AZ$77,MATCH(LARGE(Matching_Engine!$BC$54:$BC$77,15),Matching_Engine!$BC$54:$BC$77,0)),"")</f>
        <v>BRAND-B|KOL-23</v>
      </c>
      <c r="G76" s="42" t="str">
        <f>IFERROR(INDEX(Matching_Engine!$BB$54:$BB$77,MATCH(LARGE(Matching_Engine!$BC$54:$BC$77,15),Matching_Engine!$BC$54:$BC$77,0)),"")</f>
        <v>Gaming</v>
      </c>
      <c r="H76" s="42" t="str">
        <f ca="1">IFERROR(INDEX(Match_Explanation!$G$6:$G$125,MATCH("BR-03|"&amp;INDEX(Matching_Engine!$C$54:$C$77,MATCH(LARGE(Matching_Engine!$BC$54:$BC$77,15),Matching_Engine!$BC$54:$BC$77,0)),Matching_Engine!$BG$6:$BG$125,0)),"")</f>
        <v/>
      </c>
    </row>
    <row r="77" spans="1:8">
      <c r="A77" s="53">
        <v>16</v>
      </c>
      <c r="B77" s="42" t="str">
        <f>IFERROR(INDEX(Matching_Engine!$D$54:$D$77,MATCH(LARGE(Matching_Engine!$BC$54:$BC$77,16),Matching_Engine!$BC$54:$BC$77,0)),"")</f>
        <v>Arya Mahendra</v>
      </c>
      <c r="C77" s="42" t="str">
        <f>IFERROR(INDEX(Matching_Engine!$E$54:$E$77,MATCH(LARGE(Matching_Engine!$BC$54:$BC$77,16),Matching_Engine!$BC$54:$BC$77,0)),"")</f>
        <v>@aryagaming</v>
      </c>
      <c r="D77" s="42" t="str">
        <f>IFERROR(INDEX(Matching_Engine!$G$54:$G$77,MATCH(LARGE(Matching_Engine!$BC$54:$BC$77,16),Matching_Engine!$BC$54:$BC$77,0)),"")</f>
        <v>Gaming</v>
      </c>
      <c r="E77" s="63" t="str">
        <f ca="1">IFERROR(INDEX(Matching_Engine!$AY$54:$AY$77,MATCH(LARGE(Matching_Engine!$BC$54:$BC$77,16),Matching_Engine!$BC$54:$BC$77,0)),"N/A")</f>
        <v/>
      </c>
      <c r="F77" s="42" t="str">
        <f>IFERROR(INDEX(Matching_Engine!$AZ$54:$AZ$77,MATCH(LARGE(Matching_Engine!$BC$54:$BC$77,16),Matching_Engine!$BC$54:$BC$77,0)),"")</f>
        <v>BRAND-B|KOL-23</v>
      </c>
      <c r="G77" s="42" t="str">
        <f>IFERROR(INDEX(Matching_Engine!$BB$54:$BB$77,MATCH(LARGE(Matching_Engine!$BC$54:$BC$77,16),Matching_Engine!$BC$54:$BC$77,0)),"")</f>
        <v>Gaming</v>
      </c>
      <c r="H77" s="42" t="str">
        <f ca="1">IFERROR(INDEX(Match_Explanation!$G$6:$G$125,MATCH("BR-03|"&amp;INDEX(Matching_Engine!$C$54:$C$77,MATCH(LARGE(Matching_Engine!$BC$54:$BC$77,16),Matching_Engine!$BC$54:$BC$77,0)),Matching_Engine!$BG$6:$BG$125,0)),"")</f>
        <v/>
      </c>
    </row>
    <row r="78" spans="1:8">
      <c r="A78" s="53">
        <v>17</v>
      </c>
      <c r="B78" s="42" t="str">
        <f>IFERROR(INDEX(Matching_Engine!$D$54:$D$77,MATCH(LARGE(Matching_Engine!$BC$54:$BC$77,17),Matching_Engine!$BC$54:$BC$77,0)),"")</f>
        <v>Arya Mahendra</v>
      </c>
      <c r="C78" s="42" t="str">
        <f>IFERROR(INDEX(Matching_Engine!$E$54:$E$77,MATCH(LARGE(Matching_Engine!$BC$54:$BC$77,17),Matching_Engine!$BC$54:$BC$77,0)),"")</f>
        <v>@aryagaming</v>
      </c>
      <c r="D78" s="42" t="str">
        <f>IFERROR(INDEX(Matching_Engine!$G$54:$G$77,MATCH(LARGE(Matching_Engine!$BC$54:$BC$77,17),Matching_Engine!$BC$54:$BC$77,0)),"")</f>
        <v>Gaming</v>
      </c>
      <c r="E78" s="63" t="str">
        <f ca="1">IFERROR(INDEX(Matching_Engine!$AY$54:$AY$77,MATCH(LARGE(Matching_Engine!$BC$54:$BC$77,17),Matching_Engine!$BC$54:$BC$77,0)),"N/A")</f>
        <v/>
      </c>
      <c r="F78" s="42" t="str">
        <f>IFERROR(INDEX(Matching_Engine!$AZ$54:$AZ$77,MATCH(LARGE(Matching_Engine!$BC$54:$BC$77,17),Matching_Engine!$BC$54:$BC$77,0)),"")</f>
        <v>BRAND-B|KOL-23</v>
      </c>
      <c r="G78" s="42" t="str">
        <f>IFERROR(INDEX(Matching_Engine!$BB$54:$BB$77,MATCH(LARGE(Matching_Engine!$BC$54:$BC$77,17),Matching_Engine!$BC$54:$BC$77,0)),"")</f>
        <v>Gaming</v>
      </c>
      <c r="H78" s="42" t="str">
        <f ca="1">IFERROR(INDEX(Match_Explanation!$G$6:$G$125,MATCH("BR-03|"&amp;INDEX(Matching_Engine!$C$54:$C$77,MATCH(LARGE(Matching_Engine!$BC$54:$BC$77,17),Matching_Engine!$BC$54:$BC$77,0)),Matching_Engine!$BG$6:$BG$125,0)),"")</f>
        <v/>
      </c>
    </row>
    <row r="79" spans="1:8">
      <c r="A79" s="53">
        <v>18</v>
      </c>
      <c r="B79" s="42" t="str">
        <f>IFERROR(INDEX(Matching_Engine!$D$54:$D$77,MATCH(LARGE(Matching_Engine!$BC$54:$BC$77,18),Matching_Engine!$BC$54:$BC$77,0)),"")</f>
        <v>Arya Mahendra</v>
      </c>
      <c r="C79" s="42" t="str">
        <f>IFERROR(INDEX(Matching_Engine!$E$54:$E$77,MATCH(LARGE(Matching_Engine!$BC$54:$BC$77,18),Matching_Engine!$BC$54:$BC$77,0)),"")</f>
        <v>@aryagaming</v>
      </c>
      <c r="D79" s="42" t="str">
        <f>IFERROR(INDEX(Matching_Engine!$G$54:$G$77,MATCH(LARGE(Matching_Engine!$BC$54:$BC$77,18),Matching_Engine!$BC$54:$BC$77,0)),"")</f>
        <v>Gaming</v>
      </c>
      <c r="E79" s="63" t="str">
        <f ca="1">IFERROR(INDEX(Matching_Engine!$AY$54:$AY$77,MATCH(LARGE(Matching_Engine!$BC$54:$BC$77,18),Matching_Engine!$BC$54:$BC$77,0)),"N/A")</f>
        <v/>
      </c>
      <c r="F79" s="42" t="str">
        <f>IFERROR(INDEX(Matching_Engine!$AZ$54:$AZ$77,MATCH(LARGE(Matching_Engine!$BC$54:$BC$77,18),Matching_Engine!$BC$54:$BC$77,0)),"")</f>
        <v>BRAND-B|KOL-23</v>
      </c>
      <c r="G79" s="42" t="str">
        <f>IFERROR(INDEX(Matching_Engine!$BB$54:$BB$77,MATCH(LARGE(Matching_Engine!$BC$54:$BC$77,18),Matching_Engine!$BC$54:$BC$77,0)),"")</f>
        <v>Gaming</v>
      </c>
      <c r="H79" s="42" t="str">
        <f ca="1">IFERROR(INDEX(Match_Explanation!$G$6:$G$125,MATCH("BR-03|"&amp;INDEX(Matching_Engine!$C$54:$C$77,MATCH(LARGE(Matching_Engine!$BC$54:$BC$77,18),Matching_Engine!$BC$54:$BC$77,0)),Matching_Engine!$BG$6:$BG$125,0)),"")</f>
        <v/>
      </c>
    </row>
    <row r="80" spans="1:8">
      <c r="A80" s="53">
        <v>19</v>
      </c>
      <c r="B80" s="42" t="str">
        <f>IFERROR(INDEX(Matching_Engine!$D$54:$D$77,MATCH(LARGE(Matching_Engine!$BC$54:$BC$77,19),Matching_Engine!$BC$54:$BC$77,0)),"")</f>
        <v>Arya Mahendra</v>
      </c>
      <c r="C80" s="42" t="str">
        <f>IFERROR(INDEX(Matching_Engine!$E$54:$E$77,MATCH(LARGE(Matching_Engine!$BC$54:$BC$77,19),Matching_Engine!$BC$54:$BC$77,0)),"")</f>
        <v>@aryagaming</v>
      </c>
      <c r="D80" s="42" t="str">
        <f>IFERROR(INDEX(Matching_Engine!$G$54:$G$77,MATCH(LARGE(Matching_Engine!$BC$54:$BC$77,19),Matching_Engine!$BC$54:$BC$77,0)),"")</f>
        <v>Gaming</v>
      </c>
      <c r="E80" s="63" t="str">
        <f ca="1">IFERROR(INDEX(Matching_Engine!$AY$54:$AY$77,MATCH(LARGE(Matching_Engine!$BC$54:$BC$77,19),Matching_Engine!$BC$54:$BC$77,0)),"N/A")</f>
        <v/>
      </c>
      <c r="F80" s="42" t="str">
        <f>IFERROR(INDEX(Matching_Engine!$AZ$54:$AZ$77,MATCH(LARGE(Matching_Engine!$BC$54:$BC$77,19),Matching_Engine!$BC$54:$BC$77,0)),"")</f>
        <v>BRAND-B|KOL-23</v>
      </c>
      <c r="G80" s="42" t="str">
        <f>IFERROR(INDEX(Matching_Engine!$BB$54:$BB$77,MATCH(LARGE(Matching_Engine!$BC$54:$BC$77,19),Matching_Engine!$BC$54:$BC$77,0)),"")</f>
        <v>Gaming</v>
      </c>
      <c r="H80" s="42" t="str">
        <f ca="1">IFERROR(INDEX(Match_Explanation!$G$6:$G$125,MATCH("BR-03|"&amp;INDEX(Matching_Engine!$C$54:$C$77,MATCH(LARGE(Matching_Engine!$BC$54:$BC$77,19),Matching_Engine!$BC$54:$BC$77,0)),Matching_Engine!$BG$6:$BG$125,0)),"")</f>
        <v/>
      </c>
    </row>
    <row r="81" spans="1:8">
      <c r="A81" s="53">
        <v>20</v>
      </c>
      <c r="B81" s="42" t="str">
        <f>IFERROR(INDEX(Matching_Engine!$D$54:$D$77,MATCH(LARGE(Matching_Engine!$BC$54:$BC$77,20),Matching_Engine!$BC$54:$BC$77,0)),"")</f>
        <v>Arya Mahendra</v>
      </c>
      <c r="C81" s="42" t="str">
        <f>IFERROR(INDEX(Matching_Engine!$E$54:$E$77,MATCH(LARGE(Matching_Engine!$BC$54:$BC$77,20),Matching_Engine!$BC$54:$BC$77,0)),"")</f>
        <v>@aryagaming</v>
      </c>
      <c r="D81" s="42" t="str">
        <f>IFERROR(INDEX(Matching_Engine!$G$54:$G$77,MATCH(LARGE(Matching_Engine!$BC$54:$BC$77,20),Matching_Engine!$BC$54:$BC$77,0)),"")</f>
        <v>Gaming</v>
      </c>
      <c r="E81" s="63" t="str">
        <f ca="1">IFERROR(INDEX(Matching_Engine!$AY$54:$AY$77,MATCH(LARGE(Matching_Engine!$BC$54:$BC$77,20),Matching_Engine!$BC$54:$BC$77,0)),"N/A")</f>
        <v/>
      </c>
      <c r="F81" s="42" t="str">
        <f>IFERROR(INDEX(Matching_Engine!$AZ$54:$AZ$77,MATCH(LARGE(Matching_Engine!$BC$54:$BC$77,20),Matching_Engine!$BC$54:$BC$77,0)),"")</f>
        <v>BRAND-B|KOL-23</v>
      </c>
      <c r="G81" s="42" t="str">
        <f>IFERROR(INDEX(Matching_Engine!$BB$54:$BB$77,MATCH(LARGE(Matching_Engine!$BC$54:$BC$77,20),Matching_Engine!$BC$54:$BC$77,0)),"")</f>
        <v>Gaming</v>
      </c>
      <c r="H81" s="42" t="str">
        <f ca="1">IFERROR(INDEX(Match_Explanation!$G$6:$G$125,MATCH("BR-03|"&amp;INDEX(Matching_Engine!$C$54:$C$77,MATCH(LARGE(Matching_Engine!$BC$54:$BC$77,20),Matching_Engine!$BC$54:$BC$77,0)),Matching_Engine!$BG$6:$BG$125,0)),"")</f>
        <v/>
      </c>
    </row>
    <row r="82" spans="1:8">
      <c r="A82" s="53">
        <v>21</v>
      </c>
      <c r="B82" s="42" t="str">
        <f>IFERROR(INDEX(Matching_Engine!$D$54:$D$77,MATCH(LARGE(Matching_Engine!$BC$54:$BC$77,21),Matching_Engine!$BC$54:$BC$77,0)),"")</f>
        <v>Arya Mahendra</v>
      </c>
      <c r="C82" s="42" t="str">
        <f>IFERROR(INDEX(Matching_Engine!$E$54:$E$77,MATCH(LARGE(Matching_Engine!$BC$54:$BC$77,21),Matching_Engine!$BC$54:$BC$77,0)),"")</f>
        <v>@aryagaming</v>
      </c>
      <c r="D82" s="42" t="str">
        <f>IFERROR(INDEX(Matching_Engine!$G$54:$G$77,MATCH(LARGE(Matching_Engine!$BC$54:$BC$77,21),Matching_Engine!$BC$54:$BC$77,0)),"")</f>
        <v>Gaming</v>
      </c>
      <c r="E82" s="63" t="str">
        <f ca="1">IFERROR(INDEX(Matching_Engine!$AY$54:$AY$77,MATCH(LARGE(Matching_Engine!$BC$54:$BC$77,21),Matching_Engine!$BC$54:$BC$77,0)),"N/A")</f>
        <v/>
      </c>
      <c r="F82" s="42" t="str">
        <f>IFERROR(INDEX(Matching_Engine!$AZ$54:$AZ$77,MATCH(LARGE(Matching_Engine!$BC$54:$BC$77,21),Matching_Engine!$BC$54:$BC$77,0)),"")</f>
        <v>BRAND-B|KOL-23</v>
      </c>
      <c r="G82" s="42" t="str">
        <f>IFERROR(INDEX(Matching_Engine!$BB$54:$BB$77,MATCH(LARGE(Matching_Engine!$BC$54:$BC$77,21),Matching_Engine!$BC$54:$BC$77,0)),"")</f>
        <v>Gaming</v>
      </c>
      <c r="H82" s="42" t="str">
        <f ca="1">IFERROR(INDEX(Match_Explanation!$G$6:$G$125,MATCH("BR-03|"&amp;INDEX(Matching_Engine!$C$54:$C$77,MATCH(LARGE(Matching_Engine!$BC$54:$BC$77,21),Matching_Engine!$BC$54:$BC$77,0)),Matching_Engine!$BG$6:$BG$125,0)),"")</f>
        <v/>
      </c>
    </row>
    <row r="83" spans="1:8">
      <c r="A83" s="53">
        <v>22</v>
      </c>
      <c r="B83" s="42" t="str">
        <f>IFERROR(INDEX(Matching_Engine!$D$54:$D$77,MATCH(LARGE(Matching_Engine!$BC$54:$BC$77,22),Matching_Engine!$BC$54:$BC$77,0)),"")</f>
        <v>Arya Mahendra</v>
      </c>
      <c r="C83" s="42" t="str">
        <f>IFERROR(INDEX(Matching_Engine!$E$54:$E$77,MATCH(LARGE(Matching_Engine!$BC$54:$BC$77,22),Matching_Engine!$BC$54:$BC$77,0)),"")</f>
        <v>@aryagaming</v>
      </c>
      <c r="D83" s="42" t="str">
        <f>IFERROR(INDEX(Matching_Engine!$G$54:$G$77,MATCH(LARGE(Matching_Engine!$BC$54:$BC$77,22),Matching_Engine!$BC$54:$BC$77,0)),"")</f>
        <v>Gaming</v>
      </c>
      <c r="E83" s="63" t="str">
        <f ca="1">IFERROR(INDEX(Matching_Engine!$AY$54:$AY$77,MATCH(LARGE(Matching_Engine!$BC$54:$BC$77,22),Matching_Engine!$BC$54:$BC$77,0)),"N/A")</f>
        <v/>
      </c>
      <c r="F83" s="42" t="str">
        <f>IFERROR(INDEX(Matching_Engine!$AZ$54:$AZ$77,MATCH(LARGE(Matching_Engine!$BC$54:$BC$77,22),Matching_Engine!$BC$54:$BC$77,0)),"")</f>
        <v>BRAND-B|KOL-23</v>
      </c>
      <c r="G83" s="42" t="str">
        <f>IFERROR(INDEX(Matching_Engine!$BB$54:$BB$77,MATCH(LARGE(Matching_Engine!$BC$54:$BC$77,22),Matching_Engine!$BC$54:$BC$77,0)),"")</f>
        <v>Gaming</v>
      </c>
      <c r="H83" s="42" t="str">
        <f ca="1">IFERROR(INDEX(Match_Explanation!$G$6:$G$125,MATCH("BR-03|"&amp;INDEX(Matching_Engine!$C$54:$C$77,MATCH(LARGE(Matching_Engine!$BC$54:$BC$77,22),Matching_Engine!$BC$54:$BC$77,0)),Matching_Engine!$BG$6:$BG$125,0)),"")</f>
        <v/>
      </c>
    </row>
    <row r="84" spans="1:8">
      <c r="A84" s="53">
        <v>23</v>
      </c>
      <c r="B84" s="42" t="str">
        <f>IFERROR(INDEX(Matching_Engine!$D$54:$D$77,MATCH(LARGE(Matching_Engine!$BC$54:$BC$77,23),Matching_Engine!$BC$54:$BC$77,0)),"")</f>
        <v>Arya Mahendra</v>
      </c>
      <c r="C84" s="42" t="str">
        <f>IFERROR(INDEX(Matching_Engine!$E$54:$E$77,MATCH(LARGE(Matching_Engine!$BC$54:$BC$77,23),Matching_Engine!$BC$54:$BC$77,0)),"")</f>
        <v>@aryagaming</v>
      </c>
      <c r="D84" s="42" t="str">
        <f>IFERROR(INDEX(Matching_Engine!$G$54:$G$77,MATCH(LARGE(Matching_Engine!$BC$54:$BC$77,23),Matching_Engine!$BC$54:$BC$77,0)),"")</f>
        <v>Gaming</v>
      </c>
      <c r="E84" s="63" t="str">
        <f ca="1">IFERROR(INDEX(Matching_Engine!$AY$54:$AY$77,MATCH(LARGE(Matching_Engine!$BC$54:$BC$77,23),Matching_Engine!$BC$54:$BC$77,0)),"N/A")</f>
        <v/>
      </c>
      <c r="F84" s="42" t="str">
        <f>IFERROR(INDEX(Matching_Engine!$AZ$54:$AZ$77,MATCH(LARGE(Matching_Engine!$BC$54:$BC$77,23),Matching_Engine!$BC$54:$BC$77,0)),"")</f>
        <v>BRAND-B|KOL-23</v>
      </c>
      <c r="G84" s="42" t="str">
        <f>IFERROR(INDEX(Matching_Engine!$BB$54:$BB$77,MATCH(LARGE(Matching_Engine!$BC$54:$BC$77,23),Matching_Engine!$BC$54:$BC$77,0)),"")</f>
        <v>Gaming</v>
      </c>
      <c r="H84" s="42" t="str">
        <f ca="1">IFERROR(INDEX(Match_Explanation!$G$6:$G$125,MATCH("BR-03|"&amp;INDEX(Matching_Engine!$C$54:$C$77,MATCH(LARGE(Matching_Engine!$BC$54:$BC$77,23),Matching_Engine!$BC$54:$BC$77,0)),Matching_Engine!$BG$6:$BG$125,0)),"")</f>
        <v/>
      </c>
    </row>
    <row r="85" spans="1:8">
      <c r="A85" s="53">
        <v>24</v>
      </c>
      <c r="B85" s="42" t="str">
        <f>IFERROR(INDEX(Matching_Engine!$D$54:$D$77,MATCH(LARGE(Matching_Engine!$BC$54:$BC$77,24),Matching_Engine!$BC$54:$BC$77,0)),"")</f>
        <v>Arya Mahendra</v>
      </c>
      <c r="C85" s="42" t="str">
        <f>IFERROR(INDEX(Matching_Engine!$E$54:$E$77,MATCH(LARGE(Matching_Engine!$BC$54:$BC$77,24),Matching_Engine!$BC$54:$BC$77,0)),"")</f>
        <v>@aryagaming</v>
      </c>
      <c r="D85" s="42" t="str">
        <f>IFERROR(INDEX(Matching_Engine!$G$54:$G$77,MATCH(LARGE(Matching_Engine!$BC$54:$BC$77,24),Matching_Engine!$BC$54:$BC$77,0)),"")</f>
        <v>Gaming</v>
      </c>
      <c r="E85" s="63" t="str">
        <f ca="1">IFERROR(INDEX(Matching_Engine!$AY$54:$AY$77,MATCH(LARGE(Matching_Engine!$BC$54:$BC$77,24),Matching_Engine!$BC$54:$BC$77,0)),"N/A")</f>
        <v/>
      </c>
      <c r="F85" s="42" t="str">
        <f>IFERROR(INDEX(Matching_Engine!$AZ$54:$AZ$77,MATCH(LARGE(Matching_Engine!$BC$54:$BC$77,24),Matching_Engine!$BC$54:$BC$77,0)),"")</f>
        <v>BRAND-B|KOL-23</v>
      </c>
      <c r="G85" s="42" t="str">
        <f>IFERROR(INDEX(Matching_Engine!$BB$54:$BB$77,MATCH(LARGE(Matching_Engine!$BC$54:$BC$77,24),Matching_Engine!$BC$54:$BC$77,0)),"")</f>
        <v>Gaming</v>
      </c>
      <c r="H85" s="42" t="str">
        <f ca="1">IFERROR(INDEX(Match_Explanation!$G$6:$G$125,MATCH("BR-03|"&amp;INDEX(Matching_Engine!$C$54:$C$77,MATCH(LARGE(Matching_Engine!$BC$54:$BC$77,24),Matching_Engine!$BC$54:$BC$77,0)),Matching_Engine!$BG$6:$BG$125,0)),"")</f>
        <v/>
      </c>
    </row>
    <row r="88" ht="18" customHeight="1" spans="1:8">
      <c r="A88" s="40" t="s">
        <v>2789</v>
      </c>
    </row>
    <row r="89" ht="24" customHeight="1" spans="1:8">
      <c r="A89" s="41" t="s">
        <v>1951</v>
      </c>
      <c r="B89" s="41" t="s">
        <v>1031</v>
      </c>
      <c r="C89" s="41" t="s">
        <v>415</v>
      </c>
      <c r="D89" s="41" t="s">
        <v>416</v>
      </c>
      <c r="E89" s="41" t="s">
        <v>2755</v>
      </c>
      <c r="F89" s="41" t="s">
        <v>424</v>
      </c>
      <c r="G89" s="41" t="s">
        <v>773</v>
      </c>
      <c r="H89" s="41" t="s">
        <v>2760</v>
      </c>
    </row>
    <row r="90" spans="1:8">
      <c r="A90" s="53">
        <v>1</v>
      </c>
      <c r="B90" s="42" t="str">
        <f>IFERROR(INDEX(Matching_Engine!$D$78:$D$101,MATCH(LARGE(Matching_Engine!$BC$78:$BC$101,1),Matching_Engine!$BC$78:$BC$101,0)),"")</f>
        <v>Andini Rahma</v>
      </c>
      <c r="C90" s="42" t="str">
        <f>IFERROR(INDEX(Matching_Engine!$E$78:$E$101,MATCH(LARGE(Matching_Engine!$BC$78:$BC$101,1),Matching_Engine!$BC$78:$BC$101,0)),"")</f>
        <v>@andinidaily</v>
      </c>
      <c r="D90" s="42" t="str">
        <f>IFERROR(INDEX(Matching_Engine!$G$78:$G$101,MATCH(LARGE(Matching_Engine!$BC$78:$BC$101,1),Matching_Engine!$BC$78:$BC$101,0)),"")</f>
        <v>Lifestyle</v>
      </c>
      <c r="E90" s="63">
        <f ca="1">IFERROR(INDEX(Matching_Engine!$AY$78:$AY$101,MATCH(LARGE(Matching_Engine!$BC$78:$BC$101,1),Matching_Engine!$BC$78:$BC$101,0)),"N/A")</f>
        <v>72</v>
      </c>
      <c r="F90" s="42" t="str">
        <f>IFERROR(INDEX(Matching_Engine!$AZ$78:$AZ$101,MATCH(LARGE(Matching_Engine!$BC$78:$BC$101,1),Matching_Engine!$BC$78:$BC$101,0)),"")</f>
        <v>BRAND-C|KOL-15</v>
      </c>
      <c r="G90" s="42" t="str">
        <f>IFERROR(INDEX(Matching_Engine!$BB$78:$BB$101,MATCH(LARGE(Matching_Engine!$BC$78:$BC$101,1),Matching_Engine!$BC$78:$BC$101,0)),"")</f>
        <v>Lifestyle</v>
      </c>
      <c r="H90" s="42" t="str">
        <f ca="1">IFERROR(INDEX(Match_Explanation!$G$6:$G$125,MATCH("BR-04|"&amp;INDEX(Matching_Engine!$C$78:$C$101,MATCH(LARGE(Matching_Engine!$BC$78:$BC$101,1),Matching_Engine!$BC$78:$BC$101,0)),Matching_Engine!$BG$6:$BG$125,0)),"")</f>
        <v/>
      </c>
    </row>
    <row r="91" spans="1:8">
      <c r="A91" s="53">
        <v>2</v>
      </c>
      <c r="B91" s="42" t="str">
        <f>IFERROR(INDEX(Matching_Engine!$D$78:$D$101,MATCH(LARGE(Matching_Engine!$BC$78:$BC$101,2),Matching_Engine!$BC$78:$BC$101,0)),"")</f>
        <v>Andini Rahma</v>
      </c>
      <c r="C91" s="42" t="str">
        <f>IFERROR(INDEX(Matching_Engine!$E$78:$E$101,MATCH(LARGE(Matching_Engine!$BC$78:$BC$101,2),Matching_Engine!$BC$78:$BC$101,0)),"")</f>
        <v>@andinidaily</v>
      </c>
      <c r="D91" s="42" t="str">
        <f>IFERROR(INDEX(Matching_Engine!$G$78:$G$101,MATCH(LARGE(Matching_Engine!$BC$78:$BC$101,2),Matching_Engine!$BC$78:$BC$101,0)),"")</f>
        <v>Lifestyle</v>
      </c>
      <c r="E91" s="63">
        <f ca="1">IFERROR(INDEX(Matching_Engine!$AY$78:$AY$101,MATCH(LARGE(Matching_Engine!$BC$78:$BC$101,2),Matching_Engine!$BC$78:$BC$101,0)),"N/A")</f>
        <v>72</v>
      </c>
      <c r="F91" s="42" t="str">
        <f>IFERROR(INDEX(Matching_Engine!$AZ$78:$AZ$101,MATCH(LARGE(Matching_Engine!$BC$78:$BC$101,2),Matching_Engine!$BC$78:$BC$101,0)),"")</f>
        <v>BRAND-C|KOL-15</v>
      </c>
      <c r="G91" s="42" t="str">
        <f>IFERROR(INDEX(Matching_Engine!$BB$78:$BB$101,MATCH(LARGE(Matching_Engine!$BC$78:$BC$101,2),Matching_Engine!$BC$78:$BC$101,0)),"")</f>
        <v>Lifestyle</v>
      </c>
      <c r="H91" s="42" t="str">
        <f ca="1">IFERROR(INDEX(Match_Explanation!$G$6:$G$125,MATCH("BR-04|"&amp;INDEX(Matching_Engine!$C$78:$C$101,MATCH(LARGE(Matching_Engine!$BC$78:$BC$101,2),Matching_Engine!$BC$78:$BC$101,0)),Matching_Engine!$BG$6:$BG$125,0)),"")</f>
        <v/>
      </c>
    </row>
    <row r="92" spans="1:8">
      <c r="A92" s="53">
        <v>3</v>
      </c>
      <c r="B92" s="42" t="str">
        <f>IFERROR(INDEX(Matching_Engine!$D$78:$D$101,MATCH(LARGE(Matching_Engine!$BC$78:$BC$101,3),Matching_Engine!$BC$78:$BC$101,0)),"")</f>
        <v>Andini Rahma</v>
      </c>
      <c r="C92" s="42" t="str">
        <f>IFERROR(INDEX(Matching_Engine!$E$78:$E$101,MATCH(LARGE(Matching_Engine!$BC$78:$BC$101,3),Matching_Engine!$BC$78:$BC$101,0)),"")</f>
        <v>@andinidaily</v>
      </c>
      <c r="D92" s="42" t="str">
        <f>IFERROR(INDEX(Matching_Engine!$G$78:$G$101,MATCH(LARGE(Matching_Engine!$BC$78:$BC$101,3),Matching_Engine!$BC$78:$BC$101,0)),"")</f>
        <v>Lifestyle</v>
      </c>
      <c r="E92" s="63">
        <f ca="1">IFERROR(INDEX(Matching_Engine!$AY$78:$AY$101,MATCH(LARGE(Matching_Engine!$BC$78:$BC$101,3),Matching_Engine!$BC$78:$BC$101,0)),"N/A")</f>
        <v>72</v>
      </c>
      <c r="F92" s="42" t="str">
        <f>IFERROR(INDEX(Matching_Engine!$AZ$78:$AZ$101,MATCH(LARGE(Matching_Engine!$BC$78:$BC$101,3),Matching_Engine!$BC$78:$BC$101,0)),"")</f>
        <v>BRAND-C|KOL-15</v>
      </c>
      <c r="G92" s="42" t="str">
        <f>IFERROR(INDEX(Matching_Engine!$BB$78:$BB$101,MATCH(LARGE(Matching_Engine!$BC$78:$BC$101,3),Matching_Engine!$BC$78:$BC$101,0)),"")</f>
        <v>Lifestyle</v>
      </c>
      <c r="H92" s="42" t="str">
        <f ca="1">IFERROR(INDEX(Match_Explanation!$G$6:$G$125,MATCH("BR-04|"&amp;INDEX(Matching_Engine!$C$78:$C$101,MATCH(LARGE(Matching_Engine!$BC$78:$BC$101,3),Matching_Engine!$BC$78:$BC$101,0)),Matching_Engine!$BG$6:$BG$125,0)),"")</f>
        <v/>
      </c>
    </row>
    <row r="93" spans="1:8">
      <c r="A93" s="53">
        <v>4</v>
      </c>
      <c r="B93" s="42" t="str">
        <f>IFERROR(INDEX(Matching_Engine!$D$78:$D$101,MATCH(LARGE(Matching_Engine!$BC$78:$BC$101,4),Matching_Engine!$BC$78:$BC$101,0)),"")</f>
        <v>Andini Rahma</v>
      </c>
      <c r="C93" s="42" t="str">
        <f>IFERROR(INDEX(Matching_Engine!$E$78:$E$101,MATCH(LARGE(Matching_Engine!$BC$78:$BC$101,4),Matching_Engine!$BC$78:$BC$101,0)),"")</f>
        <v>@andinidaily</v>
      </c>
      <c r="D93" s="42" t="str">
        <f>IFERROR(INDEX(Matching_Engine!$G$78:$G$101,MATCH(LARGE(Matching_Engine!$BC$78:$BC$101,4),Matching_Engine!$BC$78:$BC$101,0)),"")</f>
        <v>Lifestyle</v>
      </c>
      <c r="E93" s="63">
        <f ca="1">IFERROR(INDEX(Matching_Engine!$AY$78:$AY$101,MATCH(LARGE(Matching_Engine!$BC$78:$BC$101,4),Matching_Engine!$BC$78:$BC$101,0)),"N/A")</f>
        <v>72</v>
      </c>
      <c r="F93" s="42" t="str">
        <f>IFERROR(INDEX(Matching_Engine!$AZ$78:$AZ$101,MATCH(LARGE(Matching_Engine!$BC$78:$BC$101,4),Matching_Engine!$BC$78:$BC$101,0)),"")</f>
        <v>BRAND-C|KOL-15</v>
      </c>
      <c r="G93" s="42" t="str">
        <f>IFERROR(INDEX(Matching_Engine!$BB$78:$BB$101,MATCH(LARGE(Matching_Engine!$BC$78:$BC$101,4),Matching_Engine!$BC$78:$BC$101,0)),"")</f>
        <v>Lifestyle</v>
      </c>
      <c r="H93" s="42" t="str">
        <f ca="1">IFERROR(INDEX(Match_Explanation!$G$6:$G$125,MATCH("BR-04|"&amp;INDEX(Matching_Engine!$C$78:$C$101,MATCH(LARGE(Matching_Engine!$BC$78:$BC$101,4),Matching_Engine!$BC$78:$BC$101,0)),Matching_Engine!$BG$6:$BG$125,0)),"")</f>
        <v/>
      </c>
    </row>
    <row r="94" spans="1:8">
      <c r="A94" s="53">
        <v>5</v>
      </c>
      <c r="B94" s="42" t="str">
        <f>IFERROR(INDEX(Matching_Engine!$D$78:$D$101,MATCH(LARGE(Matching_Engine!$BC$78:$BC$101,5),Matching_Engine!$BC$78:$BC$101,0)),"")</f>
        <v>Kevin Halim</v>
      </c>
      <c r="C94" s="42" t="str">
        <f>IFERROR(INDEX(Matching_Engine!$E$78:$E$101,MATCH(LARGE(Matching_Engine!$BC$78:$BC$101,5),Matching_Engine!$BC$78:$BC$101,0)),"")</f>
        <v>@kevinstyleid</v>
      </c>
      <c r="D94" s="42" t="str">
        <f>IFERROR(INDEX(Matching_Engine!$G$78:$G$101,MATCH(LARGE(Matching_Engine!$BC$78:$BC$101,5),Matching_Engine!$BC$78:$BC$101,0)),"")</f>
        <v>Fashion</v>
      </c>
      <c r="E94" s="63" t="str">
        <f ca="1">IFERROR(INDEX(Matching_Engine!$AY$78:$AY$101,MATCH(LARGE(Matching_Engine!$BC$78:$BC$101,5),Matching_Engine!$BC$78:$BC$101,0)),"N/A")</f>
        <v/>
      </c>
      <c r="F94" s="42" t="str">
        <f>IFERROR(INDEX(Matching_Engine!$AZ$78:$AZ$101,MATCH(LARGE(Matching_Engine!$BC$78:$BC$101,5),Matching_Engine!$BC$78:$BC$101,0)),"")</f>
        <v>BRAND-C|KOL-13</v>
      </c>
      <c r="G94" s="42" t="str">
        <f>IFERROR(INDEX(Matching_Engine!$BB$78:$BB$101,MATCH(LARGE(Matching_Engine!$BC$78:$BC$101,5),Matching_Engine!$BC$78:$BC$101,0)),"")</f>
        <v>Fashion</v>
      </c>
      <c r="H94" s="42" t="str">
        <f ca="1">IFERROR(INDEX(Match_Explanation!$G$6:$G$125,MATCH("BR-04|"&amp;INDEX(Matching_Engine!$C$78:$C$101,MATCH(LARGE(Matching_Engine!$BC$78:$BC$101,5),Matching_Engine!$BC$78:$BC$101,0)),Matching_Engine!$BG$6:$BG$125,0)),"")</f>
        <v/>
      </c>
    </row>
    <row r="95" spans="1:8">
      <c r="A95" s="53">
        <v>6</v>
      </c>
      <c r="B95" s="42" t="str">
        <f>IFERROR(INDEX(Matching_Engine!$D$78:$D$101,MATCH(LARGE(Matching_Engine!$BC$78:$BC$101,6),Matching_Engine!$BC$78:$BC$101,0)),"")</f>
        <v>Kevin Halim</v>
      </c>
      <c r="C95" s="42" t="str">
        <f>IFERROR(INDEX(Matching_Engine!$E$78:$E$101,MATCH(LARGE(Matching_Engine!$BC$78:$BC$101,6),Matching_Engine!$BC$78:$BC$101,0)),"")</f>
        <v>@kevinstyleid</v>
      </c>
      <c r="D95" s="42" t="str">
        <f>IFERROR(INDEX(Matching_Engine!$G$78:$G$101,MATCH(LARGE(Matching_Engine!$BC$78:$BC$101,6),Matching_Engine!$BC$78:$BC$101,0)),"")</f>
        <v>Fashion</v>
      </c>
      <c r="E95" s="63" t="str">
        <f ca="1">IFERROR(INDEX(Matching_Engine!$AY$78:$AY$101,MATCH(LARGE(Matching_Engine!$BC$78:$BC$101,6),Matching_Engine!$BC$78:$BC$101,0)),"N/A")</f>
        <v/>
      </c>
      <c r="F95" s="42" t="str">
        <f>IFERROR(INDEX(Matching_Engine!$AZ$78:$AZ$101,MATCH(LARGE(Matching_Engine!$BC$78:$BC$101,6),Matching_Engine!$BC$78:$BC$101,0)),"")</f>
        <v>BRAND-C|KOL-13</v>
      </c>
      <c r="G95" s="42" t="str">
        <f>IFERROR(INDEX(Matching_Engine!$BB$78:$BB$101,MATCH(LARGE(Matching_Engine!$BC$78:$BC$101,6),Matching_Engine!$BC$78:$BC$101,0)),"")</f>
        <v>Fashion</v>
      </c>
      <c r="H95" s="42" t="str">
        <f ca="1">IFERROR(INDEX(Match_Explanation!$G$6:$G$125,MATCH("BR-04|"&amp;INDEX(Matching_Engine!$C$78:$C$101,MATCH(LARGE(Matching_Engine!$BC$78:$BC$101,6),Matching_Engine!$BC$78:$BC$101,0)),Matching_Engine!$BG$6:$BG$125,0)),"")</f>
        <v/>
      </c>
    </row>
    <row r="96" spans="1:8">
      <c r="A96" s="53">
        <v>7</v>
      </c>
      <c r="B96" s="42" t="str">
        <f>IFERROR(INDEX(Matching_Engine!$D$78:$D$101,MATCH(LARGE(Matching_Engine!$BC$78:$BC$101,7),Matching_Engine!$BC$78:$BC$101,0)),"")</f>
        <v>Kevin Halim</v>
      </c>
      <c r="C96" s="42" t="str">
        <f>IFERROR(INDEX(Matching_Engine!$E$78:$E$101,MATCH(LARGE(Matching_Engine!$BC$78:$BC$101,7),Matching_Engine!$BC$78:$BC$101,0)),"")</f>
        <v>@kevinstyleid</v>
      </c>
      <c r="D96" s="42" t="str">
        <f>IFERROR(INDEX(Matching_Engine!$G$78:$G$101,MATCH(LARGE(Matching_Engine!$BC$78:$BC$101,7),Matching_Engine!$BC$78:$BC$101,0)),"")</f>
        <v>Fashion</v>
      </c>
      <c r="E96" s="63" t="str">
        <f ca="1">IFERROR(INDEX(Matching_Engine!$AY$78:$AY$101,MATCH(LARGE(Matching_Engine!$BC$78:$BC$101,7),Matching_Engine!$BC$78:$BC$101,0)),"N/A")</f>
        <v/>
      </c>
      <c r="F96" s="42" t="str">
        <f>IFERROR(INDEX(Matching_Engine!$AZ$78:$AZ$101,MATCH(LARGE(Matching_Engine!$BC$78:$BC$101,7),Matching_Engine!$BC$78:$BC$101,0)),"")</f>
        <v>BRAND-C|KOL-13</v>
      </c>
      <c r="G96" s="42" t="str">
        <f>IFERROR(INDEX(Matching_Engine!$BB$78:$BB$101,MATCH(LARGE(Matching_Engine!$BC$78:$BC$101,7),Matching_Engine!$BC$78:$BC$101,0)),"")</f>
        <v>Fashion</v>
      </c>
      <c r="H96" s="42" t="str">
        <f ca="1">IFERROR(INDEX(Match_Explanation!$G$6:$G$125,MATCH("BR-04|"&amp;INDEX(Matching_Engine!$C$78:$C$101,MATCH(LARGE(Matching_Engine!$BC$78:$BC$101,7),Matching_Engine!$BC$78:$BC$101,0)),Matching_Engine!$BG$6:$BG$125,0)),"")</f>
        <v/>
      </c>
    </row>
    <row r="97" spans="1:8">
      <c r="A97" s="53">
        <v>8</v>
      </c>
      <c r="B97" s="42" t="str">
        <f>IFERROR(INDEX(Matching_Engine!$D$78:$D$101,MATCH(LARGE(Matching_Engine!$BC$78:$BC$101,8),Matching_Engine!$BC$78:$BC$101,0)),"")</f>
        <v>Kevin Halim</v>
      </c>
      <c r="C97" s="42" t="str">
        <f>IFERROR(INDEX(Matching_Engine!$E$78:$E$101,MATCH(LARGE(Matching_Engine!$BC$78:$BC$101,8),Matching_Engine!$BC$78:$BC$101,0)),"")</f>
        <v>@kevinstyleid</v>
      </c>
      <c r="D97" s="42" t="str">
        <f>IFERROR(INDEX(Matching_Engine!$G$78:$G$101,MATCH(LARGE(Matching_Engine!$BC$78:$BC$101,8),Matching_Engine!$BC$78:$BC$101,0)),"")</f>
        <v>Fashion</v>
      </c>
      <c r="E97" s="63" t="str">
        <f ca="1">IFERROR(INDEX(Matching_Engine!$AY$78:$AY$101,MATCH(LARGE(Matching_Engine!$BC$78:$BC$101,8),Matching_Engine!$BC$78:$BC$101,0)),"N/A")</f>
        <v/>
      </c>
      <c r="F97" s="42" t="str">
        <f>IFERROR(INDEX(Matching_Engine!$AZ$78:$AZ$101,MATCH(LARGE(Matching_Engine!$BC$78:$BC$101,8),Matching_Engine!$BC$78:$BC$101,0)),"")</f>
        <v>BRAND-C|KOL-13</v>
      </c>
      <c r="G97" s="42" t="str">
        <f>IFERROR(INDEX(Matching_Engine!$BB$78:$BB$101,MATCH(LARGE(Matching_Engine!$BC$78:$BC$101,8),Matching_Engine!$BC$78:$BC$101,0)),"")</f>
        <v>Fashion</v>
      </c>
      <c r="H97" s="42" t="str">
        <f ca="1">IFERROR(INDEX(Match_Explanation!$G$6:$G$125,MATCH("BR-04|"&amp;INDEX(Matching_Engine!$C$78:$C$101,MATCH(LARGE(Matching_Engine!$BC$78:$BC$101,8),Matching_Engine!$BC$78:$BC$101,0)),Matching_Engine!$BG$6:$BG$125,0)),"")</f>
        <v/>
      </c>
    </row>
    <row r="98" spans="1:8">
      <c r="A98" s="53">
        <v>9</v>
      </c>
      <c r="B98" s="42" t="str">
        <f>IFERROR(INDEX(Matching_Engine!$D$78:$D$101,MATCH(LARGE(Matching_Engine!$BC$78:$BC$101,9),Matching_Engine!$BC$78:$BC$101,0)),"")</f>
        <v>Kevin Halim</v>
      </c>
      <c r="C98" s="42" t="str">
        <f>IFERROR(INDEX(Matching_Engine!$E$78:$E$101,MATCH(LARGE(Matching_Engine!$BC$78:$BC$101,9),Matching_Engine!$BC$78:$BC$101,0)),"")</f>
        <v>@kevinstyleid</v>
      </c>
      <c r="D98" s="42" t="str">
        <f>IFERROR(INDEX(Matching_Engine!$G$78:$G$101,MATCH(LARGE(Matching_Engine!$BC$78:$BC$101,9),Matching_Engine!$BC$78:$BC$101,0)),"")</f>
        <v>Fashion</v>
      </c>
      <c r="E98" s="63" t="str">
        <f ca="1">IFERROR(INDEX(Matching_Engine!$AY$78:$AY$101,MATCH(LARGE(Matching_Engine!$BC$78:$BC$101,9),Matching_Engine!$BC$78:$BC$101,0)),"N/A")</f>
        <v/>
      </c>
      <c r="F98" s="42" t="str">
        <f>IFERROR(INDEX(Matching_Engine!$AZ$78:$AZ$101,MATCH(LARGE(Matching_Engine!$BC$78:$BC$101,9),Matching_Engine!$BC$78:$BC$101,0)),"")</f>
        <v>BRAND-C|KOL-13</v>
      </c>
      <c r="G98" s="42" t="str">
        <f>IFERROR(INDEX(Matching_Engine!$BB$78:$BB$101,MATCH(LARGE(Matching_Engine!$BC$78:$BC$101,9),Matching_Engine!$BC$78:$BC$101,0)),"")</f>
        <v>Fashion</v>
      </c>
      <c r="H98" s="42" t="str">
        <f ca="1">IFERROR(INDEX(Match_Explanation!$G$6:$G$125,MATCH("BR-04|"&amp;INDEX(Matching_Engine!$C$78:$C$101,MATCH(LARGE(Matching_Engine!$BC$78:$BC$101,9),Matching_Engine!$BC$78:$BC$101,0)),Matching_Engine!$BG$6:$BG$125,0)),"")</f>
        <v/>
      </c>
    </row>
    <row r="99" spans="1:8">
      <c r="A99" s="53">
        <v>10</v>
      </c>
      <c r="B99" s="42" t="str">
        <f>IFERROR(INDEX(Matching_Engine!$D$78:$D$101,MATCH(LARGE(Matching_Engine!$BC$78:$BC$101,10),Matching_Engine!$BC$78:$BC$101,0)),"")</f>
        <v>Kevin Halim</v>
      </c>
      <c r="C99" s="42" t="str">
        <f>IFERROR(INDEX(Matching_Engine!$E$78:$E$101,MATCH(LARGE(Matching_Engine!$BC$78:$BC$101,10),Matching_Engine!$BC$78:$BC$101,0)),"")</f>
        <v>@kevinstyleid</v>
      </c>
      <c r="D99" s="42" t="str">
        <f>IFERROR(INDEX(Matching_Engine!$G$78:$G$101,MATCH(LARGE(Matching_Engine!$BC$78:$BC$101,10),Matching_Engine!$BC$78:$BC$101,0)),"")</f>
        <v>Fashion</v>
      </c>
      <c r="E99" s="63" t="str">
        <f ca="1">IFERROR(INDEX(Matching_Engine!$AY$78:$AY$101,MATCH(LARGE(Matching_Engine!$BC$78:$BC$101,10),Matching_Engine!$BC$78:$BC$101,0)),"N/A")</f>
        <v/>
      </c>
      <c r="F99" s="42" t="str">
        <f>IFERROR(INDEX(Matching_Engine!$AZ$78:$AZ$101,MATCH(LARGE(Matching_Engine!$BC$78:$BC$101,10),Matching_Engine!$BC$78:$BC$101,0)),"")</f>
        <v>BRAND-C|KOL-13</v>
      </c>
      <c r="G99" s="42" t="str">
        <f>IFERROR(INDEX(Matching_Engine!$BB$78:$BB$101,MATCH(LARGE(Matching_Engine!$BC$78:$BC$101,10),Matching_Engine!$BC$78:$BC$101,0)),"")</f>
        <v>Fashion</v>
      </c>
      <c r="H99" s="42" t="str">
        <f ca="1">IFERROR(INDEX(Match_Explanation!$G$6:$G$125,MATCH("BR-04|"&amp;INDEX(Matching_Engine!$C$78:$C$101,MATCH(LARGE(Matching_Engine!$BC$78:$BC$101,10),Matching_Engine!$BC$78:$BC$101,0)),Matching_Engine!$BG$6:$BG$125,0)),"")</f>
        <v/>
      </c>
    </row>
    <row r="100" spans="1:8">
      <c r="A100" s="53">
        <v>11</v>
      </c>
      <c r="B100" s="42" t="str">
        <f>IFERROR(INDEX(Matching_Engine!$D$78:$D$101,MATCH(LARGE(Matching_Engine!$BC$78:$BC$101,11),Matching_Engine!$BC$78:$BC$101,0)),"")</f>
        <v>Kevin Halim</v>
      </c>
      <c r="C100" s="42" t="str">
        <f>IFERROR(INDEX(Matching_Engine!$E$78:$E$101,MATCH(LARGE(Matching_Engine!$BC$78:$BC$101,11),Matching_Engine!$BC$78:$BC$101,0)),"")</f>
        <v>@kevinstyleid</v>
      </c>
      <c r="D100" s="42" t="str">
        <f>IFERROR(INDEX(Matching_Engine!$G$78:$G$101,MATCH(LARGE(Matching_Engine!$BC$78:$BC$101,11),Matching_Engine!$BC$78:$BC$101,0)),"")</f>
        <v>Fashion</v>
      </c>
      <c r="E100" s="63" t="str">
        <f ca="1">IFERROR(INDEX(Matching_Engine!$AY$78:$AY$101,MATCH(LARGE(Matching_Engine!$BC$78:$BC$101,11),Matching_Engine!$BC$78:$BC$101,0)),"N/A")</f>
        <v/>
      </c>
      <c r="F100" s="42" t="str">
        <f>IFERROR(INDEX(Matching_Engine!$AZ$78:$AZ$101,MATCH(LARGE(Matching_Engine!$BC$78:$BC$101,11),Matching_Engine!$BC$78:$BC$101,0)),"")</f>
        <v>BRAND-C|KOL-13</v>
      </c>
      <c r="G100" s="42" t="str">
        <f>IFERROR(INDEX(Matching_Engine!$BB$78:$BB$101,MATCH(LARGE(Matching_Engine!$BC$78:$BC$101,11),Matching_Engine!$BC$78:$BC$101,0)),"")</f>
        <v>Fashion</v>
      </c>
      <c r="H100" s="42" t="str">
        <f ca="1">IFERROR(INDEX(Match_Explanation!$G$6:$G$125,MATCH("BR-04|"&amp;INDEX(Matching_Engine!$C$78:$C$101,MATCH(LARGE(Matching_Engine!$BC$78:$BC$101,11),Matching_Engine!$BC$78:$BC$101,0)),Matching_Engine!$BG$6:$BG$125,0)),"")</f>
        <v/>
      </c>
    </row>
    <row r="101" spans="1:8">
      <c r="A101" s="53">
        <v>12</v>
      </c>
      <c r="B101" s="42" t="str">
        <f>IFERROR(INDEX(Matching_Engine!$D$78:$D$101,MATCH(LARGE(Matching_Engine!$BC$78:$BC$101,12),Matching_Engine!$BC$78:$BC$101,0)),"")</f>
        <v>Bagas Setiawan</v>
      </c>
      <c r="C101" s="42" t="str">
        <f>IFERROR(INDEX(Matching_Engine!$E$78:$E$101,MATCH(LARGE(Matching_Engine!$BC$78:$BC$101,12),Matching_Engine!$BC$78:$BC$101,0)),"")</f>
        <v>@bagaskomedi</v>
      </c>
      <c r="D101" s="42" t="str">
        <f>IFERROR(INDEX(Matching_Engine!$G$78:$G$101,MATCH(LARGE(Matching_Engine!$BC$78:$BC$101,12),Matching_Engine!$BC$78:$BC$101,0)),"")</f>
        <v>Entertainment</v>
      </c>
      <c r="E101" s="63" t="str">
        <f ca="1">IFERROR(INDEX(Matching_Engine!$AY$78:$AY$101,MATCH(LARGE(Matching_Engine!$BC$78:$BC$101,12),Matching_Engine!$BC$78:$BC$101,0)),"N/A")</f>
        <v/>
      </c>
      <c r="F101" s="42" t="str">
        <f>IFERROR(INDEX(Matching_Engine!$AZ$78:$AZ$101,MATCH(LARGE(Matching_Engine!$BC$78:$BC$101,12),Matching_Engine!$BC$78:$BC$101,0)),"")</f>
        <v>BRAND-C|KOL-21</v>
      </c>
      <c r="G101" s="42" t="str">
        <f>IFERROR(INDEX(Matching_Engine!$BB$78:$BB$101,MATCH(LARGE(Matching_Engine!$BC$78:$BC$101,12),Matching_Engine!$BC$78:$BC$101,0)),"")</f>
        <v>Entertainment</v>
      </c>
      <c r="H101" s="42" t="str">
        <f ca="1">IFERROR(INDEX(Match_Explanation!$G$6:$G$125,MATCH("BR-04|"&amp;INDEX(Matching_Engine!$C$78:$C$101,MATCH(LARGE(Matching_Engine!$BC$78:$BC$101,12),Matching_Engine!$BC$78:$BC$101,0)),Matching_Engine!$BG$6:$BG$125,0)),"")</f>
        <v/>
      </c>
    </row>
    <row r="102" spans="1:8">
      <c r="A102" s="53">
        <v>13</v>
      </c>
      <c r="B102" s="42" t="str">
        <f>IFERROR(INDEX(Matching_Engine!$D$78:$D$101,MATCH(LARGE(Matching_Engine!$BC$78:$BC$101,13),Matching_Engine!$BC$78:$BC$101,0)),"")</f>
        <v>Bagas Setiawan</v>
      </c>
      <c r="C102" s="42" t="str">
        <f>IFERROR(INDEX(Matching_Engine!$E$78:$E$101,MATCH(LARGE(Matching_Engine!$BC$78:$BC$101,13),Matching_Engine!$BC$78:$BC$101,0)),"")</f>
        <v>@bagaskomedi</v>
      </c>
      <c r="D102" s="42" t="str">
        <f>IFERROR(INDEX(Matching_Engine!$G$78:$G$101,MATCH(LARGE(Matching_Engine!$BC$78:$BC$101,13),Matching_Engine!$BC$78:$BC$101,0)),"")</f>
        <v>Entertainment</v>
      </c>
      <c r="E102" s="63" t="str">
        <f ca="1">IFERROR(INDEX(Matching_Engine!$AY$78:$AY$101,MATCH(LARGE(Matching_Engine!$BC$78:$BC$101,13),Matching_Engine!$BC$78:$BC$101,0)),"N/A")</f>
        <v/>
      </c>
      <c r="F102" s="42" t="str">
        <f>IFERROR(INDEX(Matching_Engine!$AZ$78:$AZ$101,MATCH(LARGE(Matching_Engine!$BC$78:$BC$101,13),Matching_Engine!$BC$78:$BC$101,0)),"")</f>
        <v>BRAND-C|KOL-21</v>
      </c>
      <c r="G102" s="42" t="str">
        <f>IFERROR(INDEX(Matching_Engine!$BB$78:$BB$101,MATCH(LARGE(Matching_Engine!$BC$78:$BC$101,13),Matching_Engine!$BC$78:$BC$101,0)),"")</f>
        <v>Entertainment</v>
      </c>
      <c r="H102" s="42" t="str">
        <f ca="1">IFERROR(INDEX(Match_Explanation!$G$6:$G$125,MATCH("BR-04|"&amp;INDEX(Matching_Engine!$C$78:$C$101,MATCH(LARGE(Matching_Engine!$BC$78:$BC$101,13),Matching_Engine!$BC$78:$BC$101,0)),Matching_Engine!$BG$6:$BG$125,0)),"")</f>
        <v/>
      </c>
    </row>
    <row r="103" spans="1:8">
      <c r="A103" s="53">
        <v>14</v>
      </c>
      <c r="B103" s="42" t="str">
        <f>IFERROR(INDEX(Matching_Engine!$D$78:$D$101,MATCH(LARGE(Matching_Engine!$BC$78:$BC$101,14),Matching_Engine!$BC$78:$BC$101,0)),"")</f>
        <v>Arya Mahendra</v>
      </c>
      <c r="C103" s="42" t="str">
        <f>IFERROR(INDEX(Matching_Engine!$E$78:$E$101,MATCH(LARGE(Matching_Engine!$BC$78:$BC$101,14),Matching_Engine!$BC$78:$BC$101,0)),"")</f>
        <v>@aryagaming</v>
      </c>
      <c r="D103" s="42" t="str">
        <f>IFERROR(INDEX(Matching_Engine!$G$78:$G$101,MATCH(LARGE(Matching_Engine!$BC$78:$BC$101,14),Matching_Engine!$BC$78:$BC$101,0)),"")</f>
        <v>Gaming</v>
      </c>
      <c r="E103" s="63" t="str">
        <f ca="1">IFERROR(INDEX(Matching_Engine!$AY$78:$AY$101,MATCH(LARGE(Matching_Engine!$BC$78:$BC$101,14),Matching_Engine!$BC$78:$BC$101,0)),"N/A")</f>
        <v/>
      </c>
      <c r="F103" s="42" t="str">
        <f>IFERROR(INDEX(Matching_Engine!$AZ$78:$AZ$101,MATCH(LARGE(Matching_Engine!$BC$78:$BC$101,14),Matching_Engine!$BC$78:$BC$101,0)),"")</f>
        <v>BRAND-C|KOL-23</v>
      </c>
      <c r="G103" s="42" t="str">
        <f>IFERROR(INDEX(Matching_Engine!$BB$78:$BB$101,MATCH(LARGE(Matching_Engine!$BC$78:$BC$101,14),Matching_Engine!$BC$78:$BC$101,0)),"")</f>
        <v>Gaming</v>
      </c>
      <c r="H103" s="42" t="str">
        <f ca="1">IFERROR(INDEX(Match_Explanation!$G$6:$G$125,MATCH("BR-04|"&amp;INDEX(Matching_Engine!$C$78:$C$101,MATCH(LARGE(Matching_Engine!$BC$78:$BC$101,14),Matching_Engine!$BC$78:$BC$101,0)),Matching_Engine!$BG$6:$BG$125,0)),"")</f>
        <v/>
      </c>
    </row>
    <row r="104" spans="1:8">
      <c r="A104" s="53">
        <v>15</v>
      </c>
      <c r="B104" s="42" t="str">
        <f>IFERROR(INDEX(Matching_Engine!$D$78:$D$101,MATCH(LARGE(Matching_Engine!$BC$78:$BC$101,15),Matching_Engine!$BC$78:$BC$101,0)),"")</f>
        <v>Arya Mahendra</v>
      </c>
      <c r="C104" s="42" t="str">
        <f>IFERROR(INDEX(Matching_Engine!$E$78:$E$101,MATCH(LARGE(Matching_Engine!$BC$78:$BC$101,15),Matching_Engine!$BC$78:$BC$101,0)),"")</f>
        <v>@aryagaming</v>
      </c>
      <c r="D104" s="42" t="str">
        <f>IFERROR(INDEX(Matching_Engine!$G$78:$G$101,MATCH(LARGE(Matching_Engine!$BC$78:$BC$101,15),Matching_Engine!$BC$78:$BC$101,0)),"")</f>
        <v>Gaming</v>
      </c>
      <c r="E104" s="63" t="str">
        <f ca="1">IFERROR(INDEX(Matching_Engine!$AY$78:$AY$101,MATCH(LARGE(Matching_Engine!$BC$78:$BC$101,15),Matching_Engine!$BC$78:$BC$101,0)),"N/A")</f>
        <v/>
      </c>
      <c r="F104" s="42" t="str">
        <f>IFERROR(INDEX(Matching_Engine!$AZ$78:$AZ$101,MATCH(LARGE(Matching_Engine!$BC$78:$BC$101,15),Matching_Engine!$BC$78:$BC$101,0)),"")</f>
        <v>BRAND-C|KOL-23</v>
      </c>
      <c r="G104" s="42" t="str">
        <f>IFERROR(INDEX(Matching_Engine!$BB$78:$BB$101,MATCH(LARGE(Matching_Engine!$BC$78:$BC$101,15),Matching_Engine!$BC$78:$BC$101,0)),"")</f>
        <v>Gaming</v>
      </c>
      <c r="H104" s="42" t="str">
        <f ca="1">IFERROR(INDEX(Match_Explanation!$G$6:$G$125,MATCH("BR-04|"&amp;INDEX(Matching_Engine!$C$78:$C$101,MATCH(LARGE(Matching_Engine!$BC$78:$BC$101,15),Matching_Engine!$BC$78:$BC$101,0)),Matching_Engine!$BG$6:$BG$125,0)),"")</f>
        <v/>
      </c>
    </row>
    <row r="105" spans="1:8">
      <c r="A105" s="53">
        <v>16</v>
      </c>
      <c r="B105" s="42" t="str">
        <f>IFERROR(INDEX(Matching_Engine!$D$78:$D$101,MATCH(LARGE(Matching_Engine!$BC$78:$BC$101,16),Matching_Engine!$BC$78:$BC$101,0)),"")</f>
        <v>Arya Mahendra</v>
      </c>
      <c r="C105" s="42" t="str">
        <f>IFERROR(INDEX(Matching_Engine!$E$78:$E$101,MATCH(LARGE(Matching_Engine!$BC$78:$BC$101,16),Matching_Engine!$BC$78:$BC$101,0)),"")</f>
        <v>@aryagaming</v>
      </c>
      <c r="D105" s="42" t="str">
        <f>IFERROR(INDEX(Matching_Engine!$G$78:$G$101,MATCH(LARGE(Matching_Engine!$BC$78:$BC$101,16),Matching_Engine!$BC$78:$BC$101,0)),"")</f>
        <v>Gaming</v>
      </c>
      <c r="E105" s="63" t="str">
        <f ca="1">IFERROR(INDEX(Matching_Engine!$AY$78:$AY$101,MATCH(LARGE(Matching_Engine!$BC$78:$BC$101,16),Matching_Engine!$BC$78:$BC$101,0)),"N/A")</f>
        <v/>
      </c>
      <c r="F105" s="42" t="str">
        <f>IFERROR(INDEX(Matching_Engine!$AZ$78:$AZ$101,MATCH(LARGE(Matching_Engine!$BC$78:$BC$101,16),Matching_Engine!$BC$78:$BC$101,0)),"")</f>
        <v>BRAND-C|KOL-23</v>
      </c>
      <c r="G105" s="42" t="str">
        <f>IFERROR(INDEX(Matching_Engine!$BB$78:$BB$101,MATCH(LARGE(Matching_Engine!$BC$78:$BC$101,16),Matching_Engine!$BC$78:$BC$101,0)),"")</f>
        <v>Gaming</v>
      </c>
      <c r="H105" s="42" t="str">
        <f ca="1">IFERROR(INDEX(Match_Explanation!$G$6:$G$125,MATCH("BR-04|"&amp;INDEX(Matching_Engine!$C$78:$C$101,MATCH(LARGE(Matching_Engine!$BC$78:$BC$101,16),Matching_Engine!$BC$78:$BC$101,0)),Matching_Engine!$BG$6:$BG$125,0)),"")</f>
        <v/>
      </c>
    </row>
    <row r="106" spans="1:8">
      <c r="A106" s="53">
        <v>17</v>
      </c>
      <c r="B106" s="42" t="str">
        <f>IFERROR(INDEX(Matching_Engine!$D$78:$D$101,MATCH(LARGE(Matching_Engine!$BC$78:$BC$101,17),Matching_Engine!$BC$78:$BC$101,0)),"")</f>
        <v>Arya Mahendra</v>
      </c>
      <c r="C106" s="42" t="str">
        <f>IFERROR(INDEX(Matching_Engine!$E$78:$E$101,MATCH(LARGE(Matching_Engine!$BC$78:$BC$101,17),Matching_Engine!$BC$78:$BC$101,0)),"")</f>
        <v>@aryagaming</v>
      </c>
      <c r="D106" s="42" t="str">
        <f>IFERROR(INDEX(Matching_Engine!$G$78:$G$101,MATCH(LARGE(Matching_Engine!$BC$78:$BC$101,17),Matching_Engine!$BC$78:$BC$101,0)),"")</f>
        <v>Gaming</v>
      </c>
      <c r="E106" s="63" t="str">
        <f ca="1">IFERROR(INDEX(Matching_Engine!$AY$78:$AY$101,MATCH(LARGE(Matching_Engine!$BC$78:$BC$101,17),Matching_Engine!$BC$78:$BC$101,0)),"N/A")</f>
        <v/>
      </c>
      <c r="F106" s="42" t="str">
        <f>IFERROR(INDEX(Matching_Engine!$AZ$78:$AZ$101,MATCH(LARGE(Matching_Engine!$BC$78:$BC$101,17),Matching_Engine!$BC$78:$BC$101,0)),"")</f>
        <v>BRAND-C|KOL-23</v>
      </c>
      <c r="G106" s="42" t="str">
        <f>IFERROR(INDEX(Matching_Engine!$BB$78:$BB$101,MATCH(LARGE(Matching_Engine!$BC$78:$BC$101,17),Matching_Engine!$BC$78:$BC$101,0)),"")</f>
        <v>Gaming</v>
      </c>
      <c r="H106" s="42" t="str">
        <f ca="1">IFERROR(INDEX(Match_Explanation!$G$6:$G$125,MATCH("BR-04|"&amp;INDEX(Matching_Engine!$C$78:$C$101,MATCH(LARGE(Matching_Engine!$BC$78:$BC$101,17),Matching_Engine!$BC$78:$BC$101,0)),Matching_Engine!$BG$6:$BG$125,0)),"")</f>
        <v/>
      </c>
    </row>
    <row r="107" spans="1:8">
      <c r="A107" s="53">
        <v>18</v>
      </c>
      <c r="B107" s="42" t="str">
        <f>IFERROR(INDEX(Matching_Engine!$D$78:$D$101,MATCH(LARGE(Matching_Engine!$BC$78:$BC$101,18),Matching_Engine!$BC$78:$BC$101,0)),"")</f>
        <v>Arya Mahendra</v>
      </c>
      <c r="C107" s="42" t="str">
        <f>IFERROR(INDEX(Matching_Engine!$E$78:$E$101,MATCH(LARGE(Matching_Engine!$BC$78:$BC$101,18),Matching_Engine!$BC$78:$BC$101,0)),"")</f>
        <v>@aryagaming</v>
      </c>
      <c r="D107" s="42" t="str">
        <f>IFERROR(INDEX(Matching_Engine!$G$78:$G$101,MATCH(LARGE(Matching_Engine!$BC$78:$BC$101,18),Matching_Engine!$BC$78:$BC$101,0)),"")</f>
        <v>Gaming</v>
      </c>
      <c r="E107" s="63" t="str">
        <f ca="1">IFERROR(INDEX(Matching_Engine!$AY$78:$AY$101,MATCH(LARGE(Matching_Engine!$BC$78:$BC$101,18),Matching_Engine!$BC$78:$BC$101,0)),"N/A")</f>
        <v/>
      </c>
      <c r="F107" s="42" t="str">
        <f>IFERROR(INDEX(Matching_Engine!$AZ$78:$AZ$101,MATCH(LARGE(Matching_Engine!$BC$78:$BC$101,18),Matching_Engine!$BC$78:$BC$101,0)),"")</f>
        <v>BRAND-C|KOL-23</v>
      </c>
      <c r="G107" s="42" t="str">
        <f>IFERROR(INDEX(Matching_Engine!$BB$78:$BB$101,MATCH(LARGE(Matching_Engine!$BC$78:$BC$101,18),Matching_Engine!$BC$78:$BC$101,0)),"")</f>
        <v>Gaming</v>
      </c>
      <c r="H107" s="42" t="str">
        <f ca="1">IFERROR(INDEX(Match_Explanation!$G$6:$G$125,MATCH("BR-04|"&amp;INDEX(Matching_Engine!$C$78:$C$101,MATCH(LARGE(Matching_Engine!$BC$78:$BC$101,18),Matching_Engine!$BC$78:$BC$101,0)),Matching_Engine!$BG$6:$BG$125,0)),"")</f>
        <v/>
      </c>
    </row>
    <row r="108" spans="1:8">
      <c r="A108" s="53">
        <v>19</v>
      </c>
      <c r="B108" s="42" t="str">
        <f>IFERROR(INDEX(Matching_Engine!$D$78:$D$101,MATCH(LARGE(Matching_Engine!$BC$78:$BC$101,19),Matching_Engine!$BC$78:$BC$101,0)),"")</f>
        <v/>
      </c>
      <c r="C108" s="42" t="str">
        <f>IFERROR(INDEX(Matching_Engine!$E$78:$E$101,MATCH(LARGE(Matching_Engine!$BC$78:$BC$101,19),Matching_Engine!$BC$78:$BC$101,0)),"")</f>
        <v/>
      </c>
      <c r="D108" s="42" t="str">
        <f>IFERROR(INDEX(Matching_Engine!$G$78:$G$101,MATCH(LARGE(Matching_Engine!$BC$78:$BC$101,19),Matching_Engine!$BC$78:$BC$101,0)),"")</f>
        <v/>
      </c>
      <c r="E108" s="63" t="str">
        <f ca="1">IFERROR(INDEX(Matching_Engine!$AY$78:$AY$101,MATCH(LARGE(Matching_Engine!$BC$78:$BC$101,19),Matching_Engine!$BC$78:$BC$101,0)),"N/A")</f>
        <v>N/A</v>
      </c>
      <c r="F108" s="42" t="str">
        <f>IFERROR(INDEX(Matching_Engine!$AZ$78:$AZ$101,MATCH(LARGE(Matching_Engine!$BC$78:$BC$101,19),Matching_Engine!$BC$78:$BC$101,0)),"")</f>
        <v/>
      </c>
      <c r="G108" s="42" t="str">
        <f>IFERROR(INDEX(Matching_Engine!$BB$78:$BB$101,MATCH(LARGE(Matching_Engine!$BC$78:$BC$101,19),Matching_Engine!$BC$78:$BC$101,0)),"")</f>
        <v/>
      </c>
      <c r="H108" s="42" t="str">
        <f ca="1">IFERROR(INDEX(Match_Explanation!$G$6:$G$125,MATCH("BR-04|"&amp;INDEX(Matching_Engine!$C$78:$C$101,MATCH(LARGE(Matching_Engine!$BC$78:$BC$101,19),Matching_Engine!$BC$78:$BC$101,0)),Matching_Engine!$BG$6:$BG$125,0)),"")</f>
        <v/>
      </c>
    </row>
    <row r="109" spans="1:8">
      <c r="A109" s="53">
        <v>20</v>
      </c>
      <c r="B109" s="42" t="str">
        <f>IFERROR(INDEX(Matching_Engine!$D$78:$D$101,MATCH(LARGE(Matching_Engine!$BC$78:$BC$101,20),Matching_Engine!$BC$78:$BC$101,0)),"")</f>
        <v/>
      </c>
      <c r="C109" s="42" t="str">
        <f>IFERROR(INDEX(Matching_Engine!$E$78:$E$101,MATCH(LARGE(Matching_Engine!$BC$78:$BC$101,20),Matching_Engine!$BC$78:$BC$101,0)),"")</f>
        <v/>
      </c>
      <c r="D109" s="42" t="str">
        <f>IFERROR(INDEX(Matching_Engine!$G$78:$G$101,MATCH(LARGE(Matching_Engine!$BC$78:$BC$101,20),Matching_Engine!$BC$78:$BC$101,0)),"")</f>
        <v/>
      </c>
      <c r="E109" s="63" t="str">
        <f ca="1">IFERROR(INDEX(Matching_Engine!$AY$78:$AY$101,MATCH(LARGE(Matching_Engine!$BC$78:$BC$101,20),Matching_Engine!$BC$78:$BC$101,0)),"N/A")</f>
        <v>N/A</v>
      </c>
      <c r="F109" s="42" t="str">
        <f>IFERROR(INDEX(Matching_Engine!$AZ$78:$AZ$101,MATCH(LARGE(Matching_Engine!$BC$78:$BC$101,20),Matching_Engine!$BC$78:$BC$101,0)),"")</f>
        <v/>
      </c>
      <c r="G109" s="42" t="str">
        <f>IFERROR(INDEX(Matching_Engine!$BB$78:$BB$101,MATCH(LARGE(Matching_Engine!$BC$78:$BC$101,20),Matching_Engine!$BC$78:$BC$101,0)),"")</f>
        <v/>
      </c>
      <c r="H109" s="42" t="str">
        <f ca="1">IFERROR(INDEX(Match_Explanation!$G$6:$G$125,MATCH("BR-04|"&amp;INDEX(Matching_Engine!$C$78:$C$101,MATCH(LARGE(Matching_Engine!$BC$78:$BC$101,20),Matching_Engine!$BC$78:$BC$101,0)),Matching_Engine!$BG$6:$BG$125,0)),"")</f>
        <v/>
      </c>
    </row>
    <row r="110" spans="1:8">
      <c r="A110" s="53">
        <v>21</v>
      </c>
      <c r="B110" s="42" t="str">
        <f>IFERROR(INDEX(Matching_Engine!$D$78:$D$101,MATCH(LARGE(Matching_Engine!$BC$78:$BC$101,21),Matching_Engine!$BC$78:$BC$101,0)),"")</f>
        <v/>
      </c>
      <c r="C110" s="42" t="str">
        <f>IFERROR(INDEX(Matching_Engine!$E$78:$E$101,MATCH(LARGE(Matching_Engine!$BC$78:$BC$101,21),Matching_Engine!$BC$78:$BC$101,0)),"")</f>
        <v/>
      </c>
      <c r="D110" s="42" t="str">
        <f>IFERROR(INDEX(Matching_Engine!$G$78:$G$101,MATCH(LARGE(Matching_Engine!$BC$78:$BC$101,21),Matching_Engine!$BC$78:$BC$101,0)),"")</f>
        <v/>
      </c>
      <c r="E110" s="63" t="str">
        <f ca="1">IFERROR(INDEX(Matching_Engine!$AY$78:$AY$101,MATCH(LARGE(Matching_Engine!$BC$78:$BC$101,21),Matching_Engine!$BC$78:$BC$101,0)),"N/A")</f>
        <v>N/A</v>
      </c>
      <c r="F110" s="42" t="str">
        <f>IFERROR(INDEX(Matching_Engine!$AZ$78:$AZ$101,MATCH(LARGE(Matching_Engine!$BC$78:$BC$101,21),Matching_Engine!$BC$78:$BC$101,0)),"")</f>
        <v/>
      </c>
      <c r="G110" s="42" t="str">
        <f>IFERROR(INDEX(Matching_Engine!$BB$78:$BB$101,MATCH(LARGE(Matching_Engine!$BC$78:$BC$101,21),Matching_Engine!$BC$78:$BC$101,0)),"")</f>
        <v/>
      </c>
      <c r="H110" s="42" t="str">
        <f ca="1">IFERROR(INDEX(Match_Explanation!$G$6:$G$125,MATCH("BR-04|"&amp;INDEX(Matching_Engine!$C$78:$C$101,MATCH(LARGE(Matching_Engine!$BC$78:$BC$101,21),Matching_Engine!$BC$78:$BC$101,0)),Matching_Engine!$BG$6:$BG$125,0)),"")</f>
        <v/>
      </c>
    </row>
    <row r="111" spans="1:8">
      <c r="A111" s="53">
        <v>22</v>
      </c>
      <c r="B111" s="42" t="str">
        <f>IFERROR(INDEX(Matching_Engine!$D$78:$D$101,MATCH(LARGE(Matching_Engine!$BC$78:$BC$101,22),Matching_Engine!$BC$78:$BC$101,0)),"")</f>
        <v/>
      </c>
      <c r="C111" s="42" t="str">
        <f>IFERROR(INDEX(Matching_Engine!$E$78:$E$101,MATCH(LARGE(Matching_Engine!$BC$78:$BC$101,22),Matching_Engine!$BC$78:$BC$101,0)),"")</f>
        <v/>
      </c>
      <c r="D111" s="42" t="str">
        <f>IFERROR(INDEX(Matching_Engine!$G$78:$G$101,MATCH(LARGE(Matching_Engine!$BC$78:$BC$101,22),Matching_Engine!$BC$78:$BC$101,0)),"")</f>
        <v/>
      </c>
      <c r="E111" s="63" t="str">
        <f ca="1">IFERROR(INDEX(Matching_Engine!$AY$78:$AY$101,MATCH(LARGE(Matching_Engine!$BC$78:$BC$101,22),Matching_Engine!$BC$78:$BC$101,0)),"N/A")</f>
        <v>N/A</v>
      </c>
      <c r="F111" s="42" t="str">
        <f>IFERROR(INDEX(Matching_Engine!$AZ$78:$AZ$101,MATCH(LARGE(Matching_Engine!$BC$78:$BC$101,22),Matching_Engine!$BC$78:$BC$101,0)),"")</f>
        <v/>
      </c>
      <c r="G111" s="42" t="str">
        <f>IFERROR(INDEX(Matching_Engine!$BB$78:$BB$101,MATCH(LARGE(Matching_Engine!$BC$78:$BC$101,22),Matching_Engine!$BC$78:$BC$101,0)),"")</f>
        <v/>
      </c>
      <c r="H111" s="42" t="str">
        <f ca="1">IFERROR(INDEX(Match_Explanation!$G$6:$G$125,MATCH("BR-04|"&amp;INDEX(Matching_Engine!$C$78:$C$101,MATCH(LARGE(Matching_Engine!$BC$78:$BC$101,22),Matching_Engine!$BC$78:$BC$101,0)),Matching_Engine!$BG$6:$BG$125,0)),"")</f>
        <v/>
      </c>
    </row>
    <row r="112" spans="1:8">
      <c r="A112" s="53">
        <v>23</v>
      </c>
      <c r="B112" s="42" t="str">
        <f>IFERROR(INDEX(Matching_Engine!$D$78:$D$101,MATCH(LARGE(Matching_Engine!$BC$78:$BC$101,23),Matching_Engine!$BC$78:$BC$101,0)),"")</f>
        <v/>
      </c>
      <c r="C112" s="42" t="str">
        <f>IFERROR(INDEX(Matching_Engine!$E$78:$E$101,MATCH(LARGE(Matching_Engine!$BC$78:$BC$101,23),Matching_Engine!$BC$78:$BC$101,0)),"")</f>
        <v/>
      </c>
      <c r="D112" s="42" t="str">
        <f>IFERROR(INDEX(Matching_Engine!$G$78:$G$101,MATCH(LARGE(Matching_Engine!$BC$78:$BC$101,23),Matching_Engine!$BC$78:$BC$101,0)),"")</f>
        <v/>
      </c>
      <c r="E112" s="63" t="str">
        <f ca="1">IFERROR(INDEX(Matching_Engine!$AY$78:$AY$101,MATCH(LARGE(Matching_Engine!$BC$78:$BC$101,23),Matching_Engine!$BC$78:$BC$101,0)),"N/A")</f>
        <v>N/A</v>
      </c>
      <c r="F112" s="42" t="str">
        <f>IFERROR(INDEX(Matching_Engine!$AZ$78:$AZ$101,MATCH(LARGE(Matching_Engine!$BC$78:$BC$101,23),Matching_Engine!$BC$78:$BC$101,0)),"")</f>
        <v/>
      </c>
      <c r="G112" s="42" t="str">
        <f>IFERROR(INDEX(Matching_Engine!$BB$78:$BB$101,MATCH(LARGE(Matching_Engine!$BC$78:$BC$101,23),Matching_Engine!$BC$78:$BC$101,0)),"")</f>
        <v/>
      </c>
      <c r="H112" s="42" t="str">
        <f ca="1">IFERROR(INDEX(Match_Explanation!$G$6:$G$125,MATCH("BR-04|"&amp;INDEX(Matching_Engine!$C$78:$C$101,MATCH(LARGE(Matching_Engine!$BC$78:$BC$101,23),Matching_Engine!$BC$78:$BC$101,0)),Matching_Engine!$BG$6:$BG$125,0)),"")</f>
        <v/>
      </c>
    </row>
    <row r="113" spans="1:8">
      <c r="A113" s="53">
        <v>24</v>
      </c>
      <c r="B113" s="42" t="str">
        <f>IFERROR(INDEX(Matching_Engine!$D$78:$D$101,MATCH(LARGE(Matching_Engine!$BC$78:$BC$101,24),Matching_Engine!$BC$78:$BC$101,0)),"")</f>
        <v/>
      </c>
      <c r="C113" s="42" t="str">
        <f>IFERROR(INDEX(Matching_Engine!$E$78:$E$101,MATCH(LARGE(Matching_Engine!$BC$78:$BC$101,24),Matching_Engine!$BC$78:$BC$101,0)),"")</f>
        <v/>
      </c>
      <c r="D113" s="42" t="str">
        <f>IFERROR(INDEX(Matching_Engine!$G$78:$G$101,MATCH(LARGE(Matching_Engine!$BC$78:$BC$101,24),Matching_Engine!$BC$78:$BC$101,0)),"")</f>
        <v/>
      </c>
      <c r="E113" s="63" t="str">
        <f ca="1">IFERROR(INDEX(Matching_Engine!$AY$78:$AY$101,MATCH(LARGE(Matching_Engine!$BC$78:$BC$101,24),Matching_Engine!$BC$78:$BC$101,0)),"N/A")</f>
        <v>N/A</v>
      </c>
      <c r="F113" s="42" t="str">
        <f>IFERROR(INDEX(Matching_Engine!$AZ$78:$AZ$101,MATCH(LARGE(Matching_Engine!$BC$78:$BC$101,24),Matching_Engine!$BC$78:$BC$101,0)),"")</f>
        <v/>
      </c>
      <c r="G113" s="42" t="str">
        <f>IFERROR(INDEX(Matching_Engine!$BB$78:$BB$101,MATCH(LARGE(Matching_Engine!$BC$78:$BC$101,24),Matching_Engine!$BC$78:$BC$101,0)),"")</f>
        <v/>
      </c>
      <c r="H113" s="42" t="str">
        <f ca="1">IFERROR(INDEX(Match_Explanation!$G$6:$G$125,MATCH("BR-04|"&amp;INDEX(Matching_Engine!$C$78:$C$101,MATCH(LARGE(Matching_Engine!$BC$78:$BC$101,24),Matching_Engine!$BC$78:$BC$101,0)),Matching_Engine!$BG$6:$BG$125,0)),"")</f>
        <v/>
      </c>
    </row>
    <row r="116" ht="18" customHeight="1" spans="1:8">
      <c r="A116" s="40" t="s">
        <v>2790</v>
      </c>
    </row>
    <row r="117" ht="24" customHeight="1" spans="1:8">
      <c r="A117" s="41" t="s">
        <v>1951</v>
      </c>
      <c r="B117" s="41" t="s">
        <v>1031</v>
      </c>
      <c r="C117" s="41" t="s">
        <v>415</v>
      </c>
      <c r="D117" s="41" t="s">
        <v>416</v>
      </c>
      <c r="E117" s="41" t="s">
        <v>2755</v>
      </c>
      <c r="F117" s="41" t="s">
        <v>424</v>
      </c>
      <c r="G117" s="41" t="s">
        <v>773</v>
      </c>
      <c r="H117" s="41" t="s">
        <v>2760</v>
      </c>
    </row>
    <row r="118" spans="1:8">
      <c r="A118" s="53">
        <v>1</v>
      </c>
      <c r="B118" s="42" t="str">
        <f>IFERROR(INDEX(Matching_Engine!$D$102:$D$125,MATCH(LARGE(Matching_Engine!$BC$102:$BC$125,1),Matching_Engine!$BC$102:$BC$125,0)),"")</f>
        <v/>
      </c>
      <c r="C118" s="42" t="str">
        <f>IFERROR(INDEX(Matching_Engine!$E$102:$E$125,MATCH(LARGE(Matching_Engine!$BC$102:$BC$125,1),Matching_Engine!$BC$102:$BC$125,0)),"")</f>
        <v/>
      </c>
      <c r="D118" s="42" t="str">
        <f>IFERROR(INDEX(Matching_Engine!$G$102:$G$125,MATCH(LARGE(Matching_Engine!$BC$102:$BC$125,1),Matching_Engine!$BC$102:$BC$125,0)),"")</f>
        <v/>
      </c>
      <c r="E118" s="63" t="str">
        <f>IFERROR(INDEX(Matching_Engine!$AY$102:$AY$125,MATCH(LARGE(Matching_Engine!$BC$102:$BC$125,1),Matching_Engine!$BC$102:$BC$125,0)),"N/A")</f>
        <v>N/A</v>
      </c>
      <c r="F118" s="42" t="str">
        <f>IFERROR(INDEX(Matching_Engine!$AZ$102:$AZ$125,MATCH(LARGE(Matching_Engine!$BC$102:$BC$125,1),Matching_Engine!$BC$102:$BC$125,0)),"")</f>
        <v/>
      </c>
      <c r="G118" s="42" t="str">
        <f>IFERROR(INDEX(Matching_Engine!$BB$102:$BB$125,MATCH(LARGE(Matching_Engine!$BC$102:$BC$125,1),Matching_Engine!$BC$102:$BC$125,0)),"")</f>
        <v/>
      </c>
      <c r="H118" s="42" t="str">
        <f ca="1">IFERROR(INDEX(Match_Explanation!$G$6:$G$125,MATCH("BR-05|"&amp;INDEX(Matching_Engine!$C$102:$C$125,MATCH(LARGE(Matching_Engine!$BC$102:$BC$125,1),Matching_Engine!$BC$102:$BC$125,0)),Matching_Engine!$BG$6:$BG$125,0)),"")</f>
        <v/>
      </c>
    </row>
    <row r="119" spans="1:8">
      <c r="A119" s="53">
        <v>2</v>
      </c>
      <c r="B119" s="42" t="str">
        <f>IFERROR(INDEX(Matching_Engine!$D$102:$D$125,MATCH(LARGE(Matching_Engine!$BC$102:$BC$125,2),Matching_Engine!$BC$102:$BC$125,0)),"")</f>
        <v/>
      </c>
      <c r="C119" s="42" t="str">
        <f>IFERROR(INDEX(Matching_Engine!$E$102:$E$125,MATCH(LARGE(Matching_Engine!$BC$102:$BC$125,2),Matching_Engine!$BC$102:$BC$125,0)),"")</f>
        <v/>
      </c>
      <c r="D119" s="42" t="str">
        <f>IFERROR(INDEX(Matching_Engine!$G$102:$G$125,MATCH(LARGE(Matching_Engine!$BC$102:$BC$125,2),Matching_Engine!$BC$102:$BC$125,0)),"")</f>
        <v/>
      </c>
      <c r="E119" s="63" t="str">
        <f>IFERROR(INDEX(Matching_Engine!$AY$102:$AY$125,MATCH(LARGE(Matching_Engine!$BC$102:$BC$125,2),Matching_Engine!$BC$102:$BC$125,0)),"N/A")</f>
        <v>N/A</v>
      </c>
      <c r="F119" s="42" t="str">
        <f>IFERROR(INDEX(Matching_Engine!$AZ$102:$AZ$125,MATCH(LARGE(Matching_Engine!$BC$102:$BC$125,2),Matching_Engine!$BC$102:$BC$125,0)),"")</f>
        <v/>
      </c>
      <c r="G119" s="42" t="str">
        <f>IFERROR(INDEX(Matching_Engine!$BB$102:$BB$125,MATCH(LARGE(Matching_Engine!$BC$102:$BC$125,2),Matching_Engine!$BC$102:$BC$125,0)),"")</f>
        <v/>
      </c>
      <c r="H119" s="42" t="str">
        <f ca="1">IFERROR(INDEX(Match_Explanation!$G$6:$G$125,MATCH("BR-05|"&amp;INDEX(Matching_Engine!$C$102:$C$125,MATCH(LARGE(Matching_Engine!$BC$102:$BC$125,2),Matching_Engine!$BC$102:$BC$125,0)),Matching_Engine!$BG$6:$BG$125,0)),"")</f>
        <v/>
      </c>
    </row>
    <row r="120" spans="1:8">
      <c r="A120" s="53">
        <v>3</v>
      </c>
      <c r="B120" s="42" t="str">
        <f>IFERROR(INDEX(Matching_Engine!$D$102:$D$125,MATCH(LARGE(Matching_Engine!$BC$102:$BC$125,3),Matching_Engine!$BC$102:$BC$125,0)),"")</f>
        <v/>
      </c>
      <c r="C120" s="42" t="str">
        <f>IFERROR(INDEX(Matching_Engine!$E$102:$E$125,MATCH(LARGE(Matching_Engine!$BC$102:$BC$125,3),Matching_Engine!$BC$102:$BC$125,0)),"")</f>
        <v/>
      </c>
      <c r="D120" s="42" t="str">
        <f>IFERROR(INDEX(Matching_Engine!$G$102:$G$125,MATCH(LARGE(Matching_Engine!$BC$102:$BC$125,3),Matching_Engine!$BC$102:$BC$125,0)),"")</f>
        <v/>
      </c>
      <c r="E120" s="63" t="str">
        <f>IFERROR(INDEX(Matching_Engine!$AY$102:$AY$125,MATCH(LARGE(Matching_Engine!$BC$102:$BC$125,3),Matching_Engine!$BC$102:$BC$125,0)),"N/A")</f>
        <v>N/A</v>
      </c>
      <c r="F120" s="42" t="str">
        <f>IFERROR(INDEX(Matching_Engine!$AZ$102:$AZ$125,MATCH(LARGE(Matching_Engine!$BC$102:$BC$125,3),Matching_Engine!$BC$102:$BC$125,0)),"")</f>
        <v/>
      </c>
      <c r="G120" s="42" t="str">
        <f>IFERROR(INDEX(Matching_Engine!$BB$102:$BB$125,MATCH(LARGE(Matching_Engine!$BC$102:$BC$125,3),Matching_Engine!$BC$102:$BC$125,0)),"")</f>
        <v/>
      </c>
      <c r="H120" s="42" t="str">
        <f ca="1">IFERROR(INDEX(Match_Explanation!$G$6:$G$125,MATCH("BR-05|"&amp;INDEX(Matching_Engine!$C$102:$C$125,MATCH(LARGE(Matching_Engine!$BC$102:$BC$125,3),Matching_Engine!$BC$102:$BC$125,0)),Matching_Engine!$BG$6:$BG$125,0)),"")</f>
        <v/>
      </c>
    </row>
    <row r="121" spans="1:8">
      <c r="A121" s="53">
        <v>4</v>
      </c>
      <c r="B121" s="42" t="str">
        <f>IFERROR(INDEX(Matching_Engine!$D$102:$D$125,MATCH(LARGE(Matching_Engine!$BC$102:$BC$125,4),Matching_Engine!$BC$102:$BC$125,0)),"")</f>
        <v/>
      </c>
      <c r="C121" s="42" t="str">
        <f>IFERROR(INDEX(Matching_Engine!$E$102:$E$125,MATCH(LARGE(Matching_Engine!$BC$102:$BC$125,4),Matching_Engine!$BC$102:$BC$125,0)),"")</f>
        <v/>
      </c>
      <c r="D121" s="42" t="str">
        <f>IFERROR(INDEX(Matching_Engine!$G$102:$G$125,MATCH(LARGE(Matching_Engine!$BC$102:$BC$125,4),Matching_Engine!$BC$102:$BC$125,0)),"")</f>
        <v/>
      </c>
      <c r="E121" s="63" t="str">
        <f>IFERROR(INDEX(Matching_Engine!$AY$102:$AY$125,MATCH(LARGE(Matching_Engine!$BC$102:$BC$125,4),Matching_Engine!$BC$102:$BC$125,0)),"N/A")</f>
        <v>N/A</v>
      </c>
      <c r="F121" s="42" t="str">
        <f>IFERROR(INDEX(Matching_Engine!$AZ$102:$AZ$125,MATCH(LARGE(Matching_Engine!$BC$102:$BC$125,4),Matching_Engine!$BC$102:$BC$125,0)),"")</f>
        <v/>
      </c>
      <c r="G121" s="42" t="str">
        <f>IFERROR(INDEX(Matching_Engine!$BB$102:$BB$125,MATCH(LARGE(Matching_Engine!$BC$102:$BC$125,4),Matching_Engine!$BC$102:$BC$125,0)),"")</f>
        <v/>
      </c>
      <c r="H121" s="42" t="str">
        <f ca="1">IFERROR(INDEX(Match_Explanation!$G$6:$G$125,MATCH("BR-05|"&amp;INDEX(Matching_Engine!$C$102:$C$125,MATCH(LARGE(Matching_Engine!$BC$102:$BC$125,4),Matching_Engine!$BC$102:$BC$125,0)),Matching_Engine!$BG$6:$BG$125,0)),"")</f>
        <v/>
      </c>
    </row>
    <row r="122" spans="1:8">
      <c r="A122" s="53">
        <v>5</v>
      </c>
      <c r="B122" s="42" t="str">
        <f>IFERROR(INDEX(Matching_Engine!$D$102:$D$125,MATCH(LARGE(Matching_Engine!$BC$102:$BC$125,5),Matching_Engine!$BC$102:$BC$125,0)),"")</f>
        <v/>
      </c>
      <c r="C122" s="42" t="str">
        <f>IFERROR(INDEX(Matching_Engine!$E$102:$E$125,MATCH(LARGE(Matching_Engine!$BC$102:$BC$125,5),Matching_Engine!$BC$102:$BC$125,0)),"")</f>
        <v/>
      </c>
      <c r="D122" s="42" t="str">
        <f>IFERROR(INDEX(Matching_Engine!$G$102:$G$125,MATCH(LARGE(Matching_Engine!$BC$102:$BC$125,5),Matching_Engine!$BC$102:$BC$125,0)),"")</f>
        <v/>
      </c>
      <c r="E122" s="63" t="str">
        <f>IFERROR(INDEX(Matching_Engine!$AY$102:$AY$125,MATCH(LARGE(Matching_Engine!$BC$102:$BC$125,5),Matching_Engine!$BC$102:$BC$125,0)),"N/A")</f>
        <v>N/A</v>
      </c>
      <c r="F122" s="42" t="str">
        <f>IFERROR(INDEX(Matching_Engine!$AZ$102:$AZ$125,MATCH(LARGE(Matching_Engine!$BC$102:$BC$125,5),Matching_Engine!$BC$102:$BC$125,0)),"")</f>
        <v/>
      </c>
      <c r="G122" s="42" t="str">
        <f>IFERROR(INDEX(Matching_Engine!$BB$102:$BB$125,MATCH(LARGE(Matching_Engine!$BC$102:$BC$125,5),Matching_Engine!$BC$102:$BC$125,0)),"")</f>
        <v/>
      </c>
      <c r="H122" s="42" t="str">
        <f ca="1">IFERROR(INDEX(Match_Explanation!$G$6:$G$125,MATCH("BR-05|"&amp;INDEX(Matching_Engine!$C$102:$C$125,MATCH(LARGE(Matching_Engine!$BC$102:$BC$125,5),Matching_Engine!$BC$102:$BC$125,0)),Matching_Engine!$BG$6:$BG$125,0)),"")</f>
        <v/>
      </c>
    </row>
    <row r="123" spans="1:8">
      <c r="A123" s="53">
        <v>6</v>
      </c>
      <c r="B123" s="42" t="str">
        <f>IFERROR(INDEX(Matching_Engine!$D$102:$D$125,MATCH(LARGE(Matching_Engine!$BC$102:$BC$125,6),Matching_Engine!$BC$102:$BC$125,0)),"")</f>
        <v/>
      </c>
      <c r="C123" s="42" t="str">
        <f>IFERROR(INDEX(Matching_Engine!$E$102:$E$125,MATCH(LARGE(Matching_Engine!$BC$102:$BC$125,6),Matching_Engine!$BC$102:$BC$125,0)),"")</f>
        <v/>
      </c>
      <c r="D123" s="42" t="str">
        <f>IFERROR(INDEX(Matching_Engine!$G$102:$G$125,MATCH(LARGE(Matching_Engine!$BC$102:$BC$125,6),Matching_Engine!$BC$102:$BC$125,0)),"")</f>
        <v/>
      </c>
      <c r="E123" s="63" t="str">
        <f>IFERROR(INDEX(Matching_Engine!$AY$102:$AY$125,MATCH(LARGE(Matching_Engine!$BC$102:$BC$125,6),Matching_Engine!$BC$102:$BC$125,0)),"N/A")</f>
        <v>N/A</v>
      </c>
      <c r="F123" s="42" t="str">
        <f>IFERROR(INDEX(Matching_Engine!$AZ$102:$AZ$125,MATCH(LARGE(Matching_Engine!$BC$102:$BC$125,6),Matching_Engine!$BC$102:$BC$125,0)),"")</f>
        <v/>
      </c>
      <c r="G123" s="42" t="str">
        <f>IFERROR(INDEX(Matching_Engine!$BB$102:$BB$125,MATCH(LARGE(Matching_Engine!$BC$102:$BC$125,6),Matching_Engine!$BC$102:$BC$125,0)),"")</f>
        <v/>
      </c>
      <c r="H123" s="42" t="str">
        <f ca="1">IFERROR(INDEX(Match_Explanation!$G$6:$G$125,MATCH("BR-05|"&amp;INDEX(Matching_Engine!$C$102:$C$125,MATCH(LARGE(Matching_Engine!$BC$102:$BC$125,6),Matching_Engine!$BC$102:$BC$125,0)),Matching_Engine!$BG$6:$BG$125,0)),"")</f>
        <v/>
      </c>
    </row>
    <row r="124" spans="1:8">
      <c r="A124" s="53">
        <v>7</v>
      </c>
      <c r="B124" s="42" t="str">
        <f>IFERROR(INDEX(Matching_Engine!$D$102:$D$125,MATCH(LARGE(Matching_Engine!$BC$102:$BC$125,7),Matching_Engine!$BC$102:$BC$125,0)),"")</f>
        <v/>
      </c>
      <c r="C124" s="42" t="str">
        <f>IFERROR(INDEX(Matching_Engine!$E$102:$E$125,MATCH(LARGE(Matching_Engine!$BC$102:$BC$125,7),Matching_Engine!$BC$102:$BC$125,0)),"")</f>
        <v/>
      </c>
      <c r="D124" s="42" t="str">
        <f>IFERROR(INDEX(Matching_Engine!$G$102:$G$125,MATCH(LARGE(Matching_Engine!$BC$102:$BC$125,7),Matching_Engine!$BC$102:$BC$125,0)),"")</f>
        <v/>
      </c>
      <c r="E124" s="63" t="str">
        <f>IFERROR(INDEX(Matching_Engine!$AY$102:$AY$125,MATCH(LARGE(Matching_Engine!$BC$102:$BC$125,7),Matching_Engine!$BC$102:$BC$125,0)),"N/A")</f>
        <v>N/A</v>
      </c>
      <c r="F124" s="42" t="str">
        <f>IFERROR(INDEX(Matching_Engine!$AZ$102:$AZ$125,MATCH(LARGE(Matching_Engine!$BC$102:$BC$125,7),Matching_Engine!$BC$102:$BC$125,0)),"")</f>
        <v/>
      </c>
      <c r="G124" s="42" t="str">
        <f>IFERROR(INDEX(Matching_Engine!$BB$102:$BB$125,MATCH(LARGE(Matching_Engine!$BC$102:$BC$125,7),Matching_Engine!$BC$102:$BC$125,0)),"")</f>
        <v/>
      </c>
      <c r="H124" s="42" t="str">
        <f ca="1">IFERROR(INDEX(Match_Explanation!$G$6:$G$125,MATCH("BR-05|"&amp;INDEX(Matching_Engine!$C$102:$C$125,MATCH(LARGE(Matching_Engine!$BC$102:$BC$125,7),Matching_Engine!$BC$102:$BC$125,0)),Matching_Engine!$BG$6:$BG$125,0)),"")</f>
        <v/>
      </c>
    </row>
    <row r="125" spans="1:8">
      <c r="A125" s="53">
        <v>8</v>
      </c>
      <c r="B125" s="42" t="str">
        <f>IFERROR(INDEX(Matching_Engine!$D$102:$D$125,MATCH(LARGE(Matching_Engine!$BC$102:$BC$125,8),Matching_Engine!$BC$102:$BC$125,0)),"")</f>
        <v/>
      </c>
      <c r="C125" s="42" t="str">
        <f>IFERROR(INDEX(Matching_Engine!$E$102:$E$125,MATCH(LARGE(Matching_Engine!$BC$102:$BC$125,8),Matching_Engine!$BC$102:$BC$125,0)),"")</f>
        <v/>
      </c>
      <c r="D125" s="42" t="str">
        <f>IFERROR(INDEX(Matching_Engine!$G$102:$G$125,MATCH(LARGE(Matching_Engine!$BC$102:$BC$125,8),Matching_Engine!$BC$102:$BC$125,0)),"")</f>
        <v/>
      </c>
      <c r="E125" s="63" t="str">
        <f>IFERROR(INDEX(Matching_Engine!$AY$102:$AY$125,MATCH(LARGE(Matching_Engine!$BC$102:$BC$125,8),Matching_Engine!$BC$102:$BC$125,0)),"N/A")</f>
        <v>N/A</v>
      </c>
      <c r="F125" s="42" t="str">
        <f>IFERROR(INDEX(Matching_Engine!$AZ$102:$AZ$125,MATCH(LARGE(Matching_Engine!$BC$102:$BC$125,8),Matching_Engine!$BC$102:$BC$125,0)),"")</f>
        <v/>
      </c>
      <c r="G125" s="42" t="str">
        <f>IFERROR(INDEX(Matching_Engine!$BB$102:$BB$125,MATCH(LARGE(Matching_Engine!$BC$102:$BC$125,8),Matching_Engine!$BC$102:$BC$125,0)),"")</f>
        <v/>
      </c>
      <c r="H125" s="42" t="str">
        <f ca="1">IFERROR(INDEX(Match_Explanation!$G$6:$G$125,MATCH("BR-05|"&amp;INDEX(Matching_Engine!$C$102:$C$125,MATCH(LARGE(Matching_Engine!$BC$102:$BC$125,8),Matching_Engine!$BC$102:$BC$125,0)),Matching_Engine!$BG$6:$BG$125,0)),"")</f>
        <v/>
      </c>
    </row>
    <row r="126" spans="1:8">
      <c r="A126" s="53">
        <v>9</v>
      </c>
      <c r="B126" s="42" t="str">
        <f>IFERROR(INDEX(Matching_Engine!$D$102:$D$125,MATCH(LARGE(Matching_Engine!$BC$102:$BC$125,9),Matching_Engine!$BC$102:$BC$125,0)),"")</f>
        <v/>
      </c>
      <c r="C126" s="42" t="str">
        <f>IFERROR(INDEX(Matching_Engine!$E$102:$E$125,MATCH(LARGE(Matching_Engine!$BC$102:$BC$125,9),Matching_Engine!$BC$102:$BC$125,0)),"")</f>
        <v/>
      </c>
      <c r="D126" s="42" t="str">
        <f>IFERROR(INDEX(Matching_Engine!$G$102:$G$125,MATCH(LARGE(Matching_Engine!$BC$102:$BC$125,9),Matching_Engine!$BC$102:$BC$125,0)),"")</f>
        <v/>
      </c>
      <c r="E126" s="63" t="str">
        <f>IFERROR(INDEX(Matching_Engine!$AY$102:$AY$125,MATCH(LARGE(Matching_Engine!$BC$102:$BC$125,9),Matching_Engine!$BC$102:$BC$125,0)),"N/A")</f>
        <v>N/A</v>
      </c>
      <c r="F126" s="42" t="str">
        <f>IFERROR(INDEX(Matching_Engine!$AZ$102:$AZ$125,MATCH(LARGE(Matching_Engine!$BC$102:$BC$125,9),Matching_Engine!$BC$102:$BC$125,0)),"")</f>
        <v/>
      </c>
      <c r="G126" s="42" t="str">
        <f>IFERROR(INDEX(Matching_Engine!$BB$102:$BB$125,MATCH(LARGE(Matching_Engine!$BC$102:$BC$125,9),Matching_Engine!$BC$102:$BC$125,0)),"")</f>
        <v/>
      </c>
      <c r="H126" s="42" t="str">
        <f ca="1">IFERROR(INDEX(Match_Explanation!$G$6:$G$125,MATCH("BR-05|"&amp;INDEX(Matching_Engine!$C$102:$C$125,MATCH(LARGE(Matching_Engine!$BC$102:$BC$125,9),Matching_Engine!$BC$102:$BC$125,0)),Matching_Engine!$BG$6:$BG$125,0)),"")</f>
        <v/>
      </c>
    </row>
    <row r="127" spans="1:8">
      <c r="A127" s="53">
        <v>10</v>
      </c>
      <c r="B127" s="42" t="str">
        <f>IFERROR(INDEX(Matching_Engine!$D$102:$D$125,MATCH(LARGE(Matching_Engine!$BC$102:$BC$125,10),Matching_Engine!$BC$102:$BC$125,0)),"")</f>
        <v/>
      </c>
      <c r="C127" s="42" t="str">
        <f>IFERROR(INDEX(Matching_Engine!$E$102:$E$125,MATCH(LARGE(Matching_Engine!$BC$102:$BC$125,10),Matching_Engine!$BC$102:$BC$125,0)),"")</f>
        <v/>
      </c>
      <c r="D127" s="42" t="str">
        <f>IFERROR(INDEX(Matching_Engine!$G$102:$G$125,MATCH(LARGE(Matching_Engine!$BC$102:$BC$125,10),Matching_Engine!$BC$102:$BC$125,0)),"")</f>
        <v/>
      </c>
      <c r="E127" s="63" t="str">
        <f>IFERROR(INDEX(Matching_Engine!$AY$102:$AY$125,MATCH(LARGE(Matching_Engine!$BC$102:$BC$125,10),Matching_Engine!$BC$102:$BC$125,0)),"N/A")</f>
        <v>N/A</v>
      </c>
      <c r="F127" s="42" t="str">
        <f>IFERROR(INDEX(Matching_Engine!$AZ$102:$AZ$125,MATCH(LARGE(Matching_Engine!$BC$102:$BC$125,10),Matching_Engine!$BC$102:$BC$125,0)),"")</f>
        <v/>
      </c>
      <c r="G127" s="42" t="str">
        <f>IFERROR(INDEX(Matching_Engine!$BB$102:$BB$125,MATCH(LARGE(Matching_Engine!$BC$102:$BC$125,10),Matching_Engine!$BC$102:$BC$125,0)),"")</f>
        <v/>
      </c>
      <c r="H127" s="42" t="str">
        <f ca="1">IFERROR(INDEX(Match_Explanation!$G$6:$G$125,MATCH("BR-05|"&amp;INDEX(Matching_Engine!$C$102:$C$125,MATCH(LARGE(Matching_Engine!$BC$102:$BC$125,10),Matching_Engine!$BC$102:$BC$125,0)),Matching_Engine!$BG$6:$BG$125,0)),"")</f>
        <v/>
      </c>
    </row>
    <row r="128" spans="1:8">
      <c r="A128" s="53">
        <v>11</v>
      </c>
      <c r="B128" s="42" t="str">
        <f>IFERROR(INDEX(Matching_Engine!$D$102:$D$125,MATCH(LARGE(Matching_Engine!$BC$102:$BC$125,11),Matching_Engine!$BC$102:$BC$125,0)),"")</f>
        <v/>
      </c>
      <c r="C128" s="42" t="str">
        <f>IFERROR(INDEX(Matching_Engine!$E$102:$E$125,MATCH(LARGE(Matching_Engine!$BC$102:$BC$125,11),Matching_Engine!$BC$102:$BC$125,0)),"")</f>
        <v/>
      </c>
      <c r="D128" s="42" t="str">
        <f>IFERROR(INDEX(Matching_Engine!$G$102:$G$125,MATCH(LARGE(Matching_Engine!$BC$102:$BC$125,11),Matching_Engine!$BC$102:$BC$125,0)),"")</f>
        <v/>
      </c>
      <c r="E128" s="63" t="str">
        <f>IFERROR(INDEX(Matching_Engine!$AY$102:$AY$125,MATCH(LARGE(Matching_Engine!$BC$102:$BC$125,11),Matching_Engine!$BC$102:$BC$125,0)),"N/A")</f>
        <v>N/A</v>
      </c>
      <c r="F128" s="42" t="str">
        <f>IFERROR(INDEX(Matching_Engine!$AZ$102:$AZ$125,MATCH(LARGE(Matching_Engine!$BC$102:$BC$125,11),Matching_Engine!$BC$102:$BC$125,0)),"")</f>
        <v/>
      </c>
      <c r="G128" s="42" t="str">
        <f>IFERROR(INDEX(Matching_Engine!$BB$102:$BB$125,MATCH(LARGE(Matching_Engine!$BC$102:$BC$125,11),Matching_Engine!$BC$102:$BC$125,0)),"")</f>
        <v/>
      </c>
      <c r="H128" s="42" t="str">
        <f ca="1">IFERROR(INDEX(Match_Explanation!$G$6:$G$125,MATCH("BR-05|"&amp;INDEX(Matching_Engine!$C$102:$C$125,MATCH(LARGE(Matching_Engine!$BC$102:$BC$125,11),Matching_Engine!$BC$102:$BC$125,0)),Matching_Engine!$BG$6:$BG$125,0)),"")</f>
        <v/>
      </c>
    </row>
    <row r="129" spans="1:8">
      <c r="A129" s="53">
        <v>12</v>
      </c>
      <c r="B129" s="42" t="str">
        <f>IFERROR(INDEX(Matching_Engine!$D$102:$D$125,MATCH(LARGE(Matching_Engine!$BC$102:$BC$125,12),Matching_Engine!$BC$102:$BC$125,0)),"")</f>
        <v/>
      </c>
      <c r="C129" s="42" t="str">
        <f>IFERROR(INDEX(Matching_Engine!$E$102:$E$125,MATCH(LARGE(Matching_Engine!$BC$102:$BC$125,12),Matching_Engine!$BC$102:$BC$125,0)),"")</f>
        <v/>
      </c>
      <c r="D129" s="42" t="str">
        <f>IFERROR(INDEX(Matching_Engine!$G$102:$G$125,MATCH(LARGE(Matching_Engine!$BC$102:$BC$125,12),Matching_Engine!$BC$102:$BC$125,0)),"")</f>
        <v/>
      </c>
      <c r="E129" s="63" t="str">
        <f>IFERROR(INDEX(Matching_Engine!$AY$102:$AY$125,MATCH(LARGE(Matching_Engine!$BC$102:$BC$125,12),Matching_Engine!$BC$102:$BC$125,0)),"N/A")</f>
        <v>N/A</v>
      </c>
      <c r="F129" s="42" t="str">
        <f>IFERROR(INDEX(Matching_Engine!$AZ$102:$AZ$125,MATCH(LARGE(Matching_Engine!$BC$102:$BC$125,12),Matching_Engine!$BC$102:$BC$125,0)),"")</f>
        <v/>
      </c>
      <c r="G129" s="42" t="str">
        <f>IFERROR(INDEX(Matching_Engine!$BB$102:$BB$125,MATCH(LARGE(Matching_Engine!$BC$102:$BC$125,12),Matching_Engine!$BC$102:$BC$125,0)),"")</f>
        <v/>
      </c>
      <c r="H129" s="42" t="str">
        <f ca="1">IFERROR(INDEX(Match_Explanation!$G$6:$G$125,MATCH("BR-05|"&amp;INDEX(Matching_Engine!$C$102:$C$125,MATCH(LARGE(Matching_Engine!$BC$102:$BC$125,12),Matching_Engine!$BC$102:$BC$125,0)),Matching_Engine!$BG$6:$BG$125,0)),"")</f>
        <v/>
      </c>
    </row>
    <row r="130" spans="1:8">
      <c r="A130" s="53">
        <v>13</v>
      </c>
      <c r="B130" s="42" t="str">
        <f>IFERROR(INDEX(Matching_Engine!$D$102:$D$125,MATCH(LARGE(Matching_Engine!$BC$102:$BC$125,13),Matching_Engine!$BC$102:$BC$125,0)),"")</f>
        <v/>
      </c>
      <c r="C130" s="42" t="str">
        <f>IFERROR(INDEX(Matching_Engine!$E$102:$E$125,MATCH(LARGE(Matching_Engine!$BC$102:$BC$125,13),Matching_Engine!$BC$102:$BC$125,0)),"")</f>
        <v/>
      </c>
      <c r="D130" s="42" t="str">
        <f>IFERROR(INDEX(Matching_Engine!$G$102:$G$125,MATCH(LARGE(Matching_Engine!$BC$102:$BC$125,13),Matching_Engine!$BC$102:$BC$125,0)),"")</f>
        <v/>
      </c>
      <c r="E130" s="63" t="str">
        <f>IFERROR(INDEX(Matching_Engine!$AY$102:$AY$125,MATCH(LARGE(Matching_Engine!$BC$102:$BC$125,13),Matching_Engine!$BC$102:$BC$125,0)),"N/A")</f>
        <v>N/A</v>
      </c>
      <c r="F130" s="42" t="str">
        <f>IFERROR(INDEX(Matching_Engine!$AZ$102:$AZ$125,MATCH(LARGE(Matching_Engine!$BC$102:$BC$125,13),Matching_Engine!$BC$102:$BC$125,0)),"")</f>
        <v/>
      </c>
      <c r="G130" s="42" t="str">
        <f>IFERROR(INDEX(Matching_Engine!$BB$102:$BB$125,MATCH(LARGE(Matching_Engine!$BC$102:$BC$125,13),Matching_Engine!$BC$102:$BC$125,0)),"")</f>
        <v/>
      </c>
      <c r="H130" s="42" t="str">
        <f ca="1">IFERROR(INDEX(Match_Explanation!$G$6:$G$125,MATCH("BR-05|"&amp;INDEX(Matching_Engine!$C$102:$C$125,MATCH(LARGE(Matching_Engine!$BC$102:$BC$125,13),Matching_Engine!$BC$102:$BC$125,0)),Matching_Engine!$BG$6:$BG$125,0)),"")</f>
        <v/>
      </c>
    </row>
    <row r="131" spans="1:8">
      <c r="A131" s="53">
        <v>14</v>
      </c>
      <c r="B131" s="42" t="str">
        <f>IFERROR(INDEX(Matching_Engine!$D$102:$D$125,MATCH(LARGE(Matching_Engine!$BC$102:$BC$125,14),Matching_Engine!$BC$102:$BC$125,0)),"")</f>
        <v/>
      </c>
      <c r="C131" s="42" t="str">
        <f>IFERROR(INDEX(Matching_Engine!$E$102:$E$125,MATCH(LARGE(Matching_Engine!$BC$102:$BC$125,14),Matching_Engine!$BC$102:$BC$125,0)),"")</f>
        <v/>
      </c>
      <c r="D131" s="42" t="str">
        <f>IFERROR(INDEX(Matching_Engine!$G$102:$G$125,MATCH(LARGE(Matching_Engine!$BC$102:$BC$125,14),Matching_Engine!$BC$102:$BC$125,0)),"")</f>
        <v/>
      </c>
      <c r="E131" s="63" t="str">
        <f>IFERROR(INDEX(Matching_Engine!$AY$102:$AY$125,MATCH(LARGE(Matching_Engine!$BC$102:$BC$125,14),Matching_Engine!$BC$102:$BC$125,0)),"N/A")</f>
        <v>N/A</v>
      </c>
      <c r="F131" s="42" t="str">
        <f>IFERROR(INDEX(Matching_Engine!$AZ$102:$AZ$125,MATCH(LARGE(Matching_Engine!$BC$102:$BC$125,14),Matching_Engine!$BC$102:$BC$125,0)),"")</f>
        <v/>
      </c>
      <c r="G131" s="42" t="str">
        <f>IFERROR(INDEX(Matching_Engine!$BB$102:$BB$125,MATCH(LARGE(Matching_Engine!$BC$102:$BC$125,14),Matching_Engine!$BC$102:$BC$125,0)),"")</f>
        <v/>
      </c>
      <c r="H131" s="42" t="str">
        <f ca="1">IFERROR(INDEX(Match_Explanation!$G$6:$G$125,MATCH("BR-05|"&amp;INDEX(Matching_Engine!$C$102:$C$125,MATCH(LARGE(Matching_Engine!$BC$102:$BC$125,14),Matching_Engine!$BC$102:$BC$125,0)),Matching_Engine!$BG$6:$BG$125,0)),"")</f>
        <v/>
      </c>
    </row>
    <row r="132" spans="1:8">
      <c r="A132" s="53">
        <v>15</v>
      </c>
      <c r="B132" s="42" t="str">
        <f>IFERROR(INDEX(Matching_Engine!$D$102:$D$125,MATCH(LARGE(Matching_Engine!$BC$102:$BC$125,15),Matching_Engine!$BC$102:$BC$125,0)),"")</f>
        <v/>
      </c>
      <c r="C132" s="42" t="str">
        <f>IFERROR(INDEX(Matching_Engine!$E$102:$E$125,MATCH(LARGE(Matching_Engine!$BC$102:$BC$125,15),Matching_Engine!$BC$102:$BC$125,0)),"")</f>
        <v/>
      </c>
      <c r="D132" s="42" t="str">
        <f>IFERROR(INDEX(Matching_Engine!$G$102:$G$125,MATCH(LARGE(Matching_Engine!$BC$102:$BC$125,15),Matching_Engine!$BC$102:$BC$125,0)),"")</f>
        <v/>
      </c>
      <c r="E132" s="63" t="str">
        <f>IFERROR(INDEX(Matching_Engine!$AY$102:$AY$125,MATCH(LARGE(Matching_Engine!$BC$102:$BC$125,15),Matching_Engine!$BC$102:$BC$125,0)),"N/A")</f>
        <v>N/A</v>
      </c>
      <c r="F132" s="42" t="str">
        <f>IFERROR(INDEX(Matching_Engine!$AZ$102:$AZ$125,MATCH(LARGE(Matching_Engine!$BC$102:$BC$125,15),Matching_Engine!$BC$102:$BC$125,0)),"")</f>
        <v/>
      </c>
      <c r="G132" s="42" t="str">
        <f>IFERROR(INDEX(Matching_Engine!$BB$102:$BB$125,MATCH(LARGE(Matching_Engine!$BC$102:$BC$125,15),Matching_Engine!$BC$102:$BC$125,0)),"")</f>
        <v/>
      </c>
      <c r="H132" s="42" t="str">
        <f ca="1">IFERROR(INDEX(Match_Explanation!$G$6:$G$125,MATCH("BR-05|"&amp;INDEX(Matching_Engine!$C$102:$C$125,MATCH(LARGE(Matching_Engine!$BC$102:$BC$125,15),Matching_Engine!$BC$102:$BC$125,0)),Matching_Engine!$BG$6:$BG$125,0)),"")</f>
        <v/>
      </c>
    </row>
    <row r="133" spans="1:8">
      <c r="A133" s="53">
        <v>16</v>
      </c>
      <c r="B133" s="42" t="str">
        <f>IFERROR(INDEX(Matching_Engine!$D$102:$D$125,MATCH(LARGE(Matching_Engine!$BC$102:$BC$125,16),Matching_Engine!$BC$102:$BC$125,0)),"")</f>
        <v/>
      </c>
      <c r="C133" s="42" t="str">
        <f>IFERROR(INDEX(Matching_Engine!$E$102:$E$125,MATCH(LARGE(Matching_Engine!$BC$102:$BC$125,16),Matching_Engine!$BC$102:$BC$125,0)),"")</f>
        <v/>
      </c>
      <c r="D133" s="42" t="str">
        <f>IFERROR(INDEX(Matching_Engine!$G$102:$G$125,MATCH(LARGE(Matching_Engine!$BC$102:$BC$125,16),Matching_Engine!$BC$102:$BC$125,0)),"")</f>
        <v/>
      </c>
      <c r="E133" s="63" t="str">
        <f>IFERROR(INDEX(Matching_Engine!$AY$102:$AY$125,MATCH(LARGE(Matching_Engine!$BC$102:$BC$125,16),Matching_Engine!$BC$102:$BC$125,0)),"N/A")</f>
        <v>N/A</v>
      </c>
      <c r="F133" s="42" t="str">
        <f>IFERROR(INDEX(Matching_Engine!$AZ$102:$AZ$125,MATCH(LARGE(Matching_Engine!$BC$102:$BC$125,16),Matching_Engine!$BC$102:$BC$125,0)),"")</f>
        <v/>
      </c>
      <c r="G133" s="42" t="str">
        <f>IFERROR(INDEX(Matching_Engine!$BB$102:$BB$125,MATCH(LARGE(Matching_Engine!$BC$102:$BC$125,16),Matching_Engine!$BC$102:$BC$125,0)),"")</f>
        <v/>
      </c>
      <c r="H133" s="42" t="str">
        <f ca="1">IFERROR(INDEX(Match_Explanation!$G$6:$G$125,MATCH("BR-05|"&amp;INDEX(Matching_Engine!$C$102:$C$125,MATCH(LARGE(Matching_Engine!$BC$102:$BC$125,16),Matching_Engine!$BC$102:$BC$125,0)),Matching_Engine!$BG$6:$BG$125,0)),"")</f>
        <v/>
      </c>
    </row>
    <row r="134" spans="1:8">
      <c r="A134" s="53">
        <v>17</v>
      </c>
      <c r="B134" s="42" t="str">
        <f>IFERROR(INDEX(Matching_Engine!$D$102:$D$125,MATCH(LARGE(Matching_Engine!$BC$102:$BC$125,17),Matching_Engine!$BC$102:$BC$125,0)),"")</f>
        <v/>
      </c>
      <c r="C134" s="42" t="str">
        <f>IFERROR(INDEX(Matching_Engine!$E$102:$E$125,MATCH(LARGE(Matching_Engine!$BC$102:$BC$125,17),Matching_Engine!$BC$102:$BC$125,0)),"")</f>
        <v/>
      </c>
      <c r="D134" s="42" t="str">
        <f>IFERROR(INDEX(Matching_Engine!$G$102:$G$125,MATCH(LARGE(Matching_Engine!$BC$102:$BC$125,17),Matching_Engine!$BC$102:$BC$125,0)),"")</f>
        <v/>
      </c>
      <c r="E134" s="63" t="str">
        <f>IFERROR(INDEX(Matching_Engine!$AY$102:$AY$125,MATCH(LARGE(Matching_Engine!$BC$102:$BC$125,17),Matching_Engine!$BC$102:$BC$125,0)),"N/A")</f>
        <v>N/A</v>
      </c>
      <c r="F134" s="42" t="str">
        <f>IFERROR(INDEX(Matching_Engine!$AZ$102:$AZ$125,MATCH(LARGE(Matching_Engine!$BC$102:$BC$125,17),Matching_Engine!$BC$102:$BC$125,0)),"")</f>
        <v/>
      </c>
      <c r="G134" s="42" t="str">
        <f>IFERROR(INDEX(Matching_Engine!$BB$102:$BB$125,MATCH(LARGE(Matching_Engine!$BC$102:$BC$125,17),Matching_Engine!$BC$102:$BC$125,0)),"")</f>
        <v/>
      </c>
      <c r="H134" s="42" t="str">
        <f ca="1">IFERROR(INDEX(Match_Explanation!$G$6:$G$125,MATCH("BR-05|"&amp;INDEX(Matching_Engine!$C$102:$C$125,MATCH(LARGE(Matching_Engine!$BC$102:$BC$125,17),Matching_Engine!$BC$102:$BC$125,0)),Matching_Engine!$BG$6:$BG$125,0)),"")</f>
        <v/>
      </c>
    </row>
    <row r="135" spans="1:8">
      <c r="A135" s="53">
        <v>18</v>
      </c>
      <c r="B135" s="42" t="str">
        <f>IFERROR(INDEX(Matching_Engine!$D$102:$D$125,MATCH(LARGE(Matching_Engine!$BC$102:$BC$125,18),Matching_Engine!$BC$102:$BC$125,0)),"")</f>
        <v/>
      </c>
      <c r="C135" s="42" t="str">
        <f>IFERROR(INDEX(Matching_Engine!$E$102:$E$125,MATCH(LARGE(Matching_Engine!$BC$102:$BC$125,18),Matching_Engine!$BC$102:$BC$125,0)),"")</f>
        <v/>
      </c>
      <c r="D135" s="42" t="str">
        <f>IFERROR(INDEX(Matching_Engine!$G$102:$G$125,MATCH(LARGE(Matching_Engine!$BC$102:$BC$125,18),Matching_Engine!$BC$102:$BC$125,0)),"")</f>
        <v/>
      </c>
      <c r="E135" s="63" t="str">
        <f>IFERROR(INDEX(Matching_Engine!$AY$102:$AY$125,MATCH(LARGE(Matching_Engine!$BC$102:$BC$125,18),Matching_Engine!$BC$102:$BC$125,0)),"N/A")</f>
        <v>N/A</v>
      </c>
      <c r="F135" s="42" t="str">
        <f>IFERROR(INDEX(Matching_Engine!$AZ$102:$AZ$125,MATCH(LARGE(Matching_Engine!$BC$102:$BC$125,18),Matching_Engine!$BC$102:$BC$125,0)),"")</f>
        <v/>
      </c>
      <c r="G135" s="42" t="str">
        <f>IFERROR(INDEX(Matching_Engine!$BB$102:$BB$125,MATCH(LARGE(Matching_Engine!$BC$102:$BC$125,18),Matching_Engine!$BC$102:$BC$125,0)),"")</f>
        <v/>
      </c>
      <c r="H135" s="42" t="str">
        <f ca="1">IFERROR(INDEX(Match_Explanation!$G$6:$G$125,MATCH("BR-05|"&amp;INDEX(Matching_Engine!$C$102:$C$125,MATCH(LARGE(Matching_Engine!$BC$102:$BC$125,18),Matching_Engine!$BC$102:$BC$125,0)),Matching_Engine!$BG$6:$BG$125,0)),"")</f>
        <v/>
      </c>
    </row>
    <row r="136" spans="1:8">
      <c r="A136" s="53">
        <v>19</v>
      </c>
      <c r="B136" s="42" t="str">
        <f>IFERROR(INDEX(Matching_Engine!$D$102:$D$125,MATCH(LARGE(Matching_Engine!$BC$102:$BC$125,19),Matching_Engine!$BC$102:$BC$125,0)),"")</f>
        <v/>
      </c>
      <c r="C136" s="42" t="str">
        <f>IFERROR(INDEX(Matching_Engine!$E$102:$E$125,MATCH(LARGE(Matching_Engine!$BC$102:$BC$125,19),Matching_Engine!$BC$102:$BC$125,0)),"")</f>
        <v/>
      </c>
      <c r="D136" s="42" t="str">
        <f>IFERROR(INDEX(Matching_Engine!$G$102:$G$125,MATCH(LARGE(Matching_Engine!$BC$102:$BC$125,19),Matching_Engine!$BC$102:$BC$125,0)),"")</f>
        <v/>
      </c>
      <c r="E136" s="63" t="str">
        <f>IFERROR(INDEX(Matching_Engine!$AY$102:$AY$125,MATCH(LARGE(Matching_Engine!$BC$102:$BC$125,19),Matching_Engine!$BC$102:$BC$125,0)),"N/A")</f>
        <v>N/A</v>
      </c>
      <c r="F136" s="42" t="str">
        <f>IFERROR(INDEX(Matching_Engine!$AZ$102:$AZ$125,MATCH(LARGE(Matching_Engine!$BC$102:$BC$125,19),Matching_Engine!$BC$102:$BC$125,0)),"")</f>
        <v/>
      </c>
      <c r="G136" s="42" t="str">
        <f>IFERROR(INDEX(Matching_Engine!$BB$102:$BB$125,MATCH(LARGE(Matching_Engine!$BC$102:$BC$125,19),Matching_Engine!$BC$102:$BC$125,0)),"")</f>
        <v/>
      </c>
      <c r="H136" s="42" t="str">
        <f ca="1">IFERROR(INDEX(Match_Explanation!$G$6:$G$125,MATCH("BR-05|"&amp;INDEX(Matching_Engine!$C$102:$C$125,MATCH(LARGE(Matching_Engine!$BC$102:$BC$125,19),Matching_Engine!$BC$102:$BC$125,0)),Matching_Engine!$BG$6:$BG$125,0)),"")</f>
        <v/>
      </c>
    </row>
    <row r="137" spans="1:8">
      <c r="A137" s="53">
        <v>20</v>
      </c>
      <c r="B137" s="42" t="str">
        <f>IFERROR(INDEX(Matching_Engine!$D$102:$D$125,MATCH(LARGE(Matching_Engine!$BC$102:$BC$125,20),Matching_Engine!$BC$102:$BC$125,0)),"")</f>
        <v/>
      </c>
      <c r="C137" s="42" t="str">
        <f>IFERROR(INDEX(Matching_Engine!$E$102:$E$125,MATCH(LARGE(Matching_Engine!$BC$102:$BC$125,20),Matching_Engine!$BC$102:$BC$125,0)),"")</f>
        <v/>
      </c>
      <c r="D137" s="42" t="str">
        <f>IFERROR(INDEX(Matching_Engine!$G$102:$G$125,MATCH(LARGE(Matching_Engine!$BC$102:$BC$125,20),Matching_Engine!$BC$102:$BC$125,0)),"")</f>
        <v/>
      </c>
      <c r="E137" s="63" t="str">
        <f>IFERROR(INDEX(Matching_Engine!$AY$102:$AY$125,MATCH(LARGE(Matching_Engine!$BC$102:$BC$125,20),Matching_Engine!$BC$102:$BC$125,0)),"N/A")</f>
        <v>N/A</v>
      </c>
      <c r="F137" s="42" t="str">
        <f>IFERROR(INDEX(Matching_Engine!$AZ$102:$AZ$125,MATCH(LARGE(Matching_Engine!$BC$102:$BC$125,20),Matching_Engine!$BC$102:$BC$125,0)),"")</f>
        <v/>
      </c>
      <c r="G137" s="42" t="str">
        <f>IFERROR(INDEX(Matching_Engine!$BB$102:$BB$125,MATCH(LARGE(Matching_Engine!$BC$102:$BC$125,20),Matching_Engine!$BC$102:$BC$125,0)),"")</f>
        <v/>
      </c>
      <c r="H137" s="42" t="str">
        <f ca="1">IFERROR(INDEX(Match_Explanation!$G$6:$G$125,MATCH("BR-05|"&amp;INDEX(Matching_Engine!$C$102:$C$125,MATCH(LARGE(Matching_Engine!$BC$102:$BC$125,20),Matching_Engine!$BC$102:$BC$125,0)),Matching_Engine!$BG$6:$BG$125,0)),"")</f>
        <v/>
      </c>
    </row>
    <row r="138" spans="1:8">
      <c r="A138" s="53">
        <v>21</v>
      </c>
      <c r="B138" s="42" t="str">
        <f>IFERROR(INDEX(Matching_Engine!$D$102:$D$125,MATCH(LARGE(Matching_Engine!$BC$102:$BC$125,21),Matching_Engine!$BC$102:$BC$125,0)),"")</f>
        <v/>
      </c>
      <c r="C138" s="42" t="str">
        <f>IFERROR(INDEX(Matching_Engine!$E$102:$E$125,MATCH(LARGE(Matching_Engine!$BC$102:$BC$125,21),Matching_Engine!$BC$102:$BC$125,0)),"")</f>
        <v/>
      </c>
      <c r="D138" s="42" t="str">
        <f>IFERROR(INDEX(Matching_Engine!$G$102:$G$125,MATCH(LARGE(Matching_Engine!$BC$102:$BC$125,21),Matching_Engine!$BC$102:$BC$125,0)),"")</f>
        <v/>
      </c>
      <c r="E138" s="63" t="str">
        <f>IFERROR(INDEX(Matching_Engine!$AY$102:$AY$125,MATCH(LARGE(Matching_Engine!$BC$102:$BC$125,21),Matching_Engine!$BC$102:$BC$125,0)),"N/A")</f>
        <v>N/A</v>
      </c>
      <c r="F138" s="42" t="str">
        <f>IFERROR(INDEX(Matching_Engine!$AZ$102:$AZ$125,MATCH(LARGE(Matching_Engine!$BC$102:$BC$125,21),Matching_Engine!$BC$102:$BC$125,0)),"")</f>
        <v/>
      </c>
      <c r="G138" s="42" t="str">
        <f>IFERROR(INDEX(Matching_Engine!$BB$102:$BB$125,MATCH(LARGE(Matching_Engine!$BC$102:$BC$125,21),Matching_Engine!$BC$102:$BC$125,0)),"")</f>
        <v/>
      </c>
      <c r="H138" s="42" t="str">
        <f ca="1">IFERROR(INDEX(Match_Explanation!$G$6:$G$125,MATCH("BR-05|"&amp;INDEX(Matching_Engine!$C$102:$C$125,MATCH(LARGE(Matching_Engine!$BC$102:$BC$125,21),Matching_Engine!$BC$102:$BC$125,0)),Matching_Engine!$BG$6:$BG$125,0)),"")</f>
        <v/>
      </c>
    </row>
    <row r="139" spans="1:8">
      <c r="A139" s="53">
        <v>22</v>
      </c>
      <c r="B139" s="42" t="str">
        <f>IFERROR(INDEX(Matching_Engine!$D$102:$D$125,MATCH(LARGE(Matching_Engine!$BC$102:$BC$125,22),Matching_Engine!$BC$102:$BC$125,0)),"")</f>
        <v/>
      </c>
      <c r="C139" s="42" t="str">
        <f>IFERROR(INDEX(Matching_Engine!$E$102:$E$125,MATCH(LARGE(Matching_Engine!$BC$102:$BC$125,22),Matching_Engine!$BC$102:$BC$125,0)),"")</f>
        <v/>
      </c>
      <c r="D139" s="42" t="str">
        <f>IFERROR(INDEX(Matching_Engine!$G$102:$G$125,MATCH(LARGE(Matching_Engine!$BC$102:$BC$125,22),Matching_Engine!$BC$102:$BC$125,0)),"")</f>
        <v/>
      </c>
      <c r="E139" s="63" t="str">
        <f>IFERROR(INDEX(Matching_Engine!$AY$102:$AY$125,MATCH(LARGE(Matching_Engine!$BC$102:$BC$125,22),Matching_Engine!$BC$102:$BC$125,0)),"N/A")</f>
        <v>N/A</v>
      </c>
      <c r="F139" s="42" t="str">
        <f>IFERROR(INDEX(Matching_Engine!$AZ$102:$AZ$125,MATCH(LARGE(Matching_Engine!$BC$102:$BC$125,22),Matching_Engine!$BC$102:$BC$125,0)),"")</f>
        <v/>
      </c>
      <c r="G139" s="42" t="str">
        <f>IFERROR(INDEX(Matching_Engine!$BB$102:$BB$125,MATCH(LARGE(Matching_Engine!$BC$102:$BC$125,22),Matching_Engine!$BC$102:$BC$125,0)),"")</f>
        <v/>
      </c>
      <c r="H139" s="42" t="str">
        <f ca="1">IFERROR(INDEX(Match_Explanation!$G$6:$G$125,MATCH("BR-05|"&amp;INDEX(Matching_Engine!$C$102:$C$125,MATCH(LARGE(Matching_Engine!$BC$102:$BC$125,22),Matching_Engine!$BC$102:$BC$125,0)),Matching_Engine!$BG$6:$BG$125,0)),"")</f>
        <v/>
      </c>
    </row>
    <row r="140" spans="1:8">
      <c r="A140" s="53">
        <v>23</v>
      </c>
      <c r="B140" s="42" t="str">
        <f>IFERROR(INDEX(Matching_Engine!$D$102:$D$125,MATCH(LARGE(Matching_Engine!$BC$102:$BC$125,23),Matching_Engine!$BC$102:$BC$125,0)),"")</f>
        <v/>
      </c>
      <c r="C140" s="42" t="str">
        <f>IFERROR(INDEX(Matching_Engine!$E$102:$E$125,MATCH(LARGE(Matching_Engine!$BC$102:$BC$125,23),Matching_Engine!$BC$102:$BC$125,0)),"")</f>
        <v/>
      </c>
      <c r="D140" s="42" t="str">
        <f>IFERROR(INDEX(Matching_Engine!$G$102:$G$125,MATCH(LARGE(Matching_Engine!$BC$102:$BC$125,23),Matching_Engine!$BC$102:$BC$125,0)),"")</f>
        <v/>
      </c>
      <c r="E140" s="63" t="str">
        <f>IFERROR(INDEX(Matching_Engine!$AY$102:$AY$125,MATCH(LARGE(Matching_Engine!$BC$102:$BC$125,23),Matching_Engine!$BC$102:$BC$125,0)),"N/A")</f>
        <v>N/A</v>
      </c>
      <c r="F140" s="42" t="str">
        <f>IFERROR(INDEX(Matching_Engine!$AZ$102:$AZ$125,MATCH(LARGE(Matching_Engine!$BC$102:$BC$125,23),Matching_Engine!$BC$102:$BC$125,0)),"")</f>
        <v/>
      </c>
      <c r="G140" s="42" t="str">
        <f>IFERROR(INDEX(Matching_Engine!$BB$102:$BB$125,MATCH(LARGE(Matching_Engine!$BC$102:$BC$125,23),Matching_Engine!$BC$102:$BC$125,0)),"")</f>
        <v/>
      </c>
      <c r="H140" s="42" t="str">
        <f ca="1">IFERROR(INDEX(Match_Explanation!$G$6:$G$125,MATCH("BR-05|"&amp;INDEX(Matching_Engine!$C$102:$C$125,MATCH(LARGE(Matching_Engine!$BC$102:$BC$125,23),Matching_Engine!$BC$102:$BC$125,0)),Matching_Engine!$BG$6:$BG$125,0)),"")</f>
        <v/>
      </c>
    </row>
    <row r="141" spans="1:8">
      <c r="A141" s="53">
        <v>24</v>
      </c>
      <c r="B141" s="42" t="str">
        <f>IFERROR(INDEX(Matching_Engine!$D$102:$D$125,MATCH(LARGE(Matching_Engine!$BC$102:$BC$125,24),Matching_Engine!$BC$102:$BC$125,0)),"")</f>
        <v/>
      </c>
      <c r="C141" s="42" t="str">
        <f>IFERROR(INDEX(Matching_Engine!$E$102:$E$125,MATCH(LARGE(Matching_Engine!$BC$102:$BC$125,24),Matching_Engine!$BC$102:$BC$125,0)),"")</f>
        <v/>
      </c>
      <c r="D141" s="42" t="str">
        <f>IFERROR(INDEX(Matching_Engine!$G$102:$G$125,MATCH(LARGE(Matching_Engine!$BC$102:$BC$125,24),Matching_Engine!$BC$102:$BC$125,0)),"")</f>
        <v/>
      </c>
      <c r="E141" s="63" t="str">
        <f>IFERROR(INDEX(Matching_Engine!$AY$102:$AY$125,MATCH(LARGE(Matching_Engine!$BC$102:$BC$125,24),Matching_Engine!$BC$102:$BC$125,0)),"N/A")</f>
        <v>N/A</v>
      </c>
      <c r="F141" s="42" t="str">
        <f>IFERROR(INDEX(Matching_Engine!$AZ$102:$AZ$125,MATCH(LARGE(Matching_Engine!$BC$102:$BC$125,24),Matching_Engine!$BC$102:$BC$125,0)),"")</f>
        <v/>
      </c>
      <c r="G141" s="42" t="str">
        <f>IFERROR(INDEX(Matching_Engine!$BB$102:$BB$125,MATCH(LARGE(Matching_Engine!$BC$102:$BC$125,24),Matching_Engine!$BC$102:$BC$125,0)),"")</f>
        <v/>
      </c>
      <c r="H141" s="42" t="str">
        <f ca="1">IFERROR(INDEX(Match_Explanation!$G$6:$G$125,MATCH("BR-05|"&amp;INDEX(Matching_Engine!$C$102:$C$125,MATCH(LARGE(Matching_Engine!$BC$102:$BC$125,24),Matching_Engine!$BC$102:$BC$125,0)),Matching_Engine!$BG$6:$BG$125,0)),"")</f>
        <v/>
      </c>
    </row>
  </sheetData>
  <mergeCells count="7">
    <mergeCell ref="A1:H1"/>
    <mergeCell ref="A2:H2"/>
    <mergeCell ref="A4:H4"/>
    <mergeCell ref="A32:H32"/>
    <mergeCell ref="A60:H60"/>
    <mergeCell ref="A88:H88"/>
    <mergeCell ref="A116:H116"/>
  </mergeCells>
  <pageMargins left="0.7" right="0.7" top="0.75" bottom="0.75" header="0.3" footer="0.3"/>
  <pageSetup paperSize="1" orientation="portrait"/>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71"/>
  <sheetViews>
    <sheetView workbookViewId="0">
      <pane ySplit="4" topLeftCell="A5" activePane="bottomLeft" state="frozen"/>
      <selection/>
      <selection pane="bottomLeft" activeCell="A1" sqref="A1:G1"/>
    </sheetView>
  </sheetViews>
  <sheetFormatPr defaultColWidth="9" defaultRowHeight="15" outlineLevelCol="6"/>
  <cols>
    <col min="1" max="1" width="11" customWidth="1"/>
    <col min="2" max="2" width="5" customWidth="1"/>
    <col min="3" max="3" width="22" customWidth="1"/>
    <col min="5" max="5" width="74" customWidth="1"/>
    <col min="6" max="7" width="30" customWidth="1"/>
  </cols>
  <sheetData>
    <row r="1" ht="24" customHeight="1" spans="1:7">
      <c r="A1" s="38" t="s">
        <v>2791</v>
      </c>
    </row>
    <row r="2" ht="30" customHeight="1" spans="1:7">
      <c r="A2" s="39" t="s">
        <v>2792</v>
      </c>
    </row>
    <row r="4" ht="18" customHeight="1" spans="1:7">
      <c r="A4" s="40" t="s">
        <v>2793</v>
      </c>
    </row>
    <row r="5" ht="24" customHeight="1" spans="1:7">
      <c r="A5" s="41" t="s">
        <v>2794</v>
      </c>
      <c r="B5" s="41" t="s">
        <v>1951</v>
      </c>
      <c r="C5" s="41" t="s">
        <v>1031</v>
      </c>
      <c r="D5" s="41" t="s">
        <v>1853</v>
      </c>
      <c r="E5" s="41" t="s">
        <v>2795</v>
      </c>
      <c r="F5" s="41" t="s">
        <v>2796</v>
      </c>
      <c r="G5" s="41" t="s">
        <v>2797</v>
      </c>
    </row>
    <row r="6" spans="1:7">
      <c r="A6" s="60" t="s">
        <v>2798</v>
      </c>
      <c r="B6" s="53">
        <v>1</v>
      </c>
      <c r="C6" s="61" t="e">
        <f>'[2]#REF'!$B$6</f>
        <v>#REF!</v>
      </c>
      <c r="D6" s="62" t="e">
        <f>'[2]#REF'!$E$6</f>
        <v>#REF!</v>
      </c>
      <c r="E6" s="57" t="str">
        <f ca="1">IFERROR(INDEX(Match_Explanation!$F$6:$F$125,MATCH("BR-01|"&amp;INDEX(Matching_Engine!$C$6:$C$29,MATCH(LARGE(Matching_Engine!$BC$6:$BC$29,1),Matching_Engine!$BC$6:$BC$29,0)),Matching_Engine!$BG$6:$BG$125,0)),"")</f>
        <v/>
      </c>
      <c r="F6" s="57" t="str">
        <f ca="1">IFERROR(INDEX(Match_Explanation!$G$6:$G$125,MATCH("BR-01|"&amp;INDEX(Matching_Engine!$C$6:$C$29,MATCH(LARGE(Matching_Engine!$BC$6:$BC$29,1),Matching_Engine!$BC$6:$BC$29,0)),Matching_Engine!$BG$6:$BG$125,0)),"")</f>
        <v/>
      </c>
      <c r="G6" s="57" t="str">
        <f>IFERROR(INDEX(Match_Explanation!$H$6:$H$125,MATCH("BR-01|"&amp;INDEX(Matching_Engine!$C$6:$C$29,MATCH(LARGE(Matching_Engine!$BC$6:$BC$29,1),Matching_Engine!$BC$6:$BC$29,0)),Matching_Engine!$BG$6:$BG$125,0)),"")</f>
        <v/>
      </c>
    </row>
    <row r="7" spans="1:7">
      <c r="A7" s="60" t="s">
        <v>2798</v>
      </c>
      <c r="B7" s="53">
        <v>2</v>
      </c>
      <c r="C7" s="61" t="e">
        <f>'[2]#REF'!$B$7</f>
        <v>#REF!</v>
      </c>
      <c r="D7" s="62" t="e">
        <f>'[2]#REF'!$E$7</f>
        <v>#REF!</v>
      </c>
      <c r="E7" s="57" t="str">
        <f ca="1">IFERROR(INDEX(Match_Explanation!$F$6:$F$125,MATCH("BR-01|"&amp;INDEX(Matching_Engine!$C$6:$C$29,MATCH(LARGE(Matching_Engine!$BC$6:$BC$29,2),Matching_Engine!$BC$6:$BC$29,0)),Matching_Engine!$BG$6:$BG$125,0)),"")</f>
        <v/>
      </c>
      <c r="F7" s="57" t="str">
        <f ca="1">IFERROR(INDEX(Match_Explanation!$G$6:$G$125,MATCH("BR-01|"&amp;INDEX(Matching_Engine!$C$6:$C$29,MATCH(LARGE(Matching_Engine!$BC$6:$BC$29,2),Matching_Engine!$BC$6:$BC$29,0)),Matching_Engine!$BG$6:$BG$125,0)),"")</f>
        <v/>
      </c>
      <c r="G7" s="57" t="str">
        <f>IFERROR(INDEX(Match_Explanation!$H$6:$H$125,MATCH("BR-01|"&amp;INDEX(Matching_Engine!$C$6:$C$29,MATCH(LARGE(Matching_Engine!$BC$6:$BC$29,2),Matching_Engine!$BC$6:$BC$29,0)),Matching_Engine!$BG$6:$BG$125,0)),"")</f>
        <v/>
      </c>
    </row>
    <row r="8" spans="1:7">
      <c r="A8" s="60" t="s">
        <v>2798</v>
      </c>
      <c r="B8" s="53">
        <v>3</v>
      </c>
      <c r="C8" s="61" t="e">
        <f>'[2]#REF'!$B$8</f>
        <v>#REF!</v>
      </c>
      <c r="D8" s="62" t="e">
        <f>'[2]#REF'!$E$8</f>
        <v>#REF!</v>
      </c>
      <c r="E8" s="57" t="str">
        <f ca="1">IFERROR(INDEX(Match_Explanation!$F$6:$F$125,MATCH("BR-01|"&amp;INDEX(Matching_Engine!$C$6:$C$29,MATCH(LARGE(Matching_Engine!$BC$6:$BC$29,3),Matching_Engine!$BC$6:$BC$29,0)),Matching_Engine!$BG$6:$BG$125,0)),"")</f>
        <v/>
      </c>
      <c r="F8" s="57" t="str">
        <f ca="1">IFERROR(INDEX(Match_Explanation!$G$6:$G$125,MATCH("BR-01|"&amp;INDEX(Matching_Engine!$C$6:$C$29,MATCH(LARGE(Matching_Engine!$BC$6:$BC$29,3),Matching_Engine!$BC$6:$BC$29,0)),Matching_Engine!$BG$6:$BG$125,0)),"")</f>
        <v/>
      </c>
      <c r="G8" s="57" t="str">
        <f>IFERROR(INDEX(Match_Explanation!$H$6:$H$125,MATCH("BR-01|"&amp;INDEX(Matching_Engine!$C$6:$C$29,MATCH(LARGE(Matching_Engine!$BC$6:$BC$29,3),Matching_Engine!$BC$6:$BC$29,0)),Matching_Engine!$BG$6:$BG$125,0)),"")</f>
        <v/>
      </c>
    </row>
    <row r="9" spans="1:7">
      <c r="A9" s="60" t="s">
        <v>2798</v>
      </c>
      <c r="B9" s="53">
        <v>4</v>
      </c>
      <c r="C9" s="61" t="e">
        <f>'[2]#REF'!$B$9</f>
        <v>#REF!</v>
      </c>
      <c r="D9" s="62" t="e">
        <f>'[2]#REF'!$E$9</f>
        <v>#REF!</v>
      </c>
      <c r="E9" s="57" t="str">
        <f ca="1">IFERROR(INDEX(Match_Explanation!$F$6:$F$125,MATCH("BR-01|"&amp;INDEX(Matching_Engine!$C$6:$C$29,MATCH(LARGE(Matching_Engine!$BC$6:$BC$29,4),Matching_Engine!$BC$6:$BC$29,0)),Matching_Engine!$BG$6:$BG$125,0)),"")</f>
        <v/>
      </c>
      <c r="F9" s="57" t="str">
        <f ca="1">IFERROR(INDEX(Match_Explanation!$G$6:$G$125,MATCH("BR-01|"&amp;INDEX(Matching_Engine!$C$6:$C$29,MATCH(LARGE(Matching_Engine!$BC$6:$BC$29,4),Matching_Engine!$BC$6:$BC$29,0)),Matching_Engine!$BG$6:$BG$125,0)),"")</f>
        <v/>
      </c>
      <c r="G9" s="57" t="str">
        <f>IFERROR(INDEX(Match_Explanation!$H$6:$H$125,MATCH("BR-01|"&amp;INDEX(Matching_Engine!$C$6:$C$29,MATCH(LARGE(Matching_Engine!$BC$6:$BC$29,4),Matching_Engine!$BC$6:$BC$29,0)),Matching_Engine!$BG$6:$BG$125,0)),"")</f>
        <v/>
      </c>
    </row>
    <row r="10" spans="1:7">
      <c r="A10" s="60" t="s">
        <v>2798</v>
      </c>
      <c r="B10" s="53">
        <v>5</v>
      </c>
      <c r="C10" s="61" t="e">
        <f>'[2]#REF'!$B$10</f>
        <v>#REF!</v>
      </c>
      <c r="D10" s="62" t="e">
        <f>'[2]#REF'!$E$10</f>
        <v>#REF!</v>
      </c>
      <c r="E10" s="57" t="str">
        <f ca="1">IFERROR(INDEX(Match_Explanation!$F$6:$F$125,MATCH("BR-01|"&amp;INDEX(Matching_Engine!$C$6:$C$29,MATCH(LARGE(Matching_Engine!$BC$6:$BC$29,5),Matching_Engine!$BC$6:$BC$29,0)),Matching_Engine!$BG$6:$BG$125,0)),"")</f>
        <v/>
      </c>
      <c r="F10" s="57" t="str">
        <f ca="1">IFERROR(INDEX(Match_Explanation!$G$6:$G$125,MATCH("BR-01|"&amp;INDEX(Matching_Engine!$C$6:$C$29,MATCH(LARGE(Matching_Engine!$BC$6:$BC$29,5),Matching_Engine!$BC$6:$BC$29,0)),Matching_Engine!$BG$6:$BG$125,0)),"")</f>
        <v/>
      </c>
      <c r="G10" s="57" t="str">
        <f>IFERROR(INDEX(Match_Explanation!$H$6:$H$125,MATCH("BR-01|"&amp;INDEX(Matching_Engine!$C$6:$C$29,MATCH(LARGE(Matching_Engine!$BC$6:$BC$29,5),Matching_Engine!$BC$6:$BC$29,0)),Matching_Engine!$BG$6:$BG$125,0)),"")</f>
        <v/>
      </c>
    </row>
    <row r="11" spans="1:7">
      <c r="A11" s="60" t="s">
        <v>2799</v>
      </c>
      <c r="B11" s="53">
        <v>20</v>
      </c>
      <c r="C11" s="61" t="e">
        <f>'[2]#REF'!$B$25</f>
        <v>#REF!</v>
      </c>
      <c r="D11" s="62" t="e">
        <f>'[2]#REF'!$E$25</f>
        <v>#REF!</v>
      </c>
      <c r="E11" s="57" t="str">
        <f ca="1">IFERROR(INDEX(Match_Explanation!$F$6:$F$125,MATCH("BR-01|"&amp;INDEX(Matching_Engine!$C$6:$C$29,MATCH(LARGE(Matching_Engine!$BC$6:$BC$29,20),Matching_Engine!$BC$6:$BC$29,0)),Matching_Engine!$BG$6:$BG$125,0)),"")</f>
        <v/>
      </c>
      <c r="F11" s="57" t="str">
        <f ca="1">IFERROR(INDEX(Match_Explanation!$G$6:$G$125,MATCH("BR-01|"&amp;INDEX(Matching_Engine!$C$6:$C$29,MATCH(LARGE(Matching_Engine!$BC$6:$BC$29,20),Matching_Engine!$BC$6:$BC$29,0)),Matching_Engine!$BG$6:$BG$125,0)),"")</f>
        <v/>
      </c>
      <c r="G11" s="57" t="str">
        <f>IFERROR(INDEX(Match_Explanation!$H$6:$H$125,MATCH("BR-01|"&amp;INDEX(Matching_Engine!$C$6:$C$29,MATCH(LARGE(Matching_Engine!$BC$6:$BC$29,20),Matching_Engine!$BC$6:$BC$29,0)),Matching_Engine!$BG$6:$BG$125,0)),"")</f>
        <v/>
      </c>
    </row>
    <row r="12" spans="1:7">
      <c r="A12" s="60" t="s">
        <v>2799</v>
      </c>
      <c r="B12" s="53">
        <v>21</v>
      </c>
      <c r="C12" s="61" t="e">
        <f>'[2]#REF'!$B$26</f>
        <v>#REF!</v>
      </c>
      <c r="D12" s="62" t="e">
        <f>'[2]#REF'!$E$26</f>
        <v>#REF!</v>
      </c>
      <c r="E12" s="57" t="str">
        <f ca="1">IFERROR(INDEX(Match_Explanation!$F$6:$F$125,MATCH("BR-01|"&amp;INDEX(Matching_Engine!$C$6:$C$29,MATCH(LARGE(Matching_Engine!$BC$6:$BC$29,21),Matching_Engine!$BC$6:$BC$29,0)),Matching_Engine!$BG$6:$BG$125,0)),"")</f>
        <v/>
      </c>
      <c r="F12" s="57" t="str">
        <f ca="1">IFERROR(INDEX(Match_Explanation!$G$6:$G$125,MATCH("BR-01|"&amp;INDEX(Matching_Engine!$C$6:$C$29,MATCH(LARGE(Matching_Engine!$BC$6:$BC$29,21),Matching_Engine!$BC$6:$BC$29,0)),Matching_Engine!$BG$6:$BG$125,0)),"")</f>
        <v/>
      </c>
      <c r="G12" s="57" t="str">
        <f>IFERROR(INDEX(Match_Explanation!$H$6:$H$125,MATCH("BR-01|"&amp;INDEX(Matching_Engine!$C$6:$C$29,MATCH(LARGE(Matching_Engine!$BC$6:$BC$29,21),Matching_Engine!$BC$6:$BC$29,0)),Matching_Engine!$BG$6:$BG$125,0)),"")</f>
        <v/>
      </c>
    </row>
    <row r="13" spans="1:7">
      <c r="A13" s="60" t="s">
        <v>2799</v>
      </c>
      <c r="B13" s="53">
        <v>22</v>
      </c>
      <c r="C13" s="61" t="e">
        <f>'[2]#REF'!$B$27</f>
        <v>#REF!</v>
      </c>
      <c r="D13" s="62" t="e">
        <f>'[2]#REF'!$E$27</f>
        <v>#REF!</v>
      </c>
      <c r="E13" s="57" t="str">
        <f ca="1">IFERROR(INDEX(Match_Explanation!$F$6:$F$125,MATCH("BR-01|"&amp;INDEX(Matching_Engine!$C$6:$C$29,MATCH(LARGE(Matching_Engine!$BC$6:$BC$29,22),Matching_Engine!$BC$6:$BC$29,0)),Matching_Engine!$BG$6:$BG$125,0)),"")</f>
        <v/>
      </c>
      <c r="F13" s="57" t="str">
        <f ca="1">IFERROR(INDEX(Match_Explanation!$G$6:$G$125,MATCH("BR-01|"&amp;INDEX(Matching_Engine!$C$6:$C$29,MATCH(LARGE(Matching_Engine!$BC$6:$BC$29,22),Matching_Engine!$BC$6:$BC$29,0)),Matching_Engine!$BG$6:$BG$125,0)),"")</f>
        <v/>
      </c>
      <c r="G13" s="57" t="str">
        <f>IFERROR(INDEX(Match_Explanation!$H$6:$H$125,MATCH("BR-01|"&amp;INDEX(Matching_Engine!$C$6:$C$29,MATCH(LARGE(Matching_Engine!$BC$6:$BC$29,22),Matching_Engine!$BC$6:$BC$29,0)),Matching_Engine!$BG$6:$BG$125,0)),"")</f>
        <v/>
      </c>
    </row>
    <row r="14" spans="1:7">
      <c r="A14" s="60" t="s">
        <v>2799</v>
      </c>
      <c r="B14" s="53">
        <v>23</v>
      </c>
      <c r="C14" s="61" t="e">
        <f>'[2]#REF'!$B$28</f>
        <v>#REF!</v>
      </c>
      <c r="D14" s="62" t="e">
        <f>'[2]#REF'!$E$28</f>
        <v>#REF!</v>
      </c>
      <c r="E14" s="57" t="str">
        <f ca="1">IFERROR(INDEX(Match_Explanation!$F$6:$F$125,MATCH("BR-01|"&amp;INDEX(Matching_Engine!$C$6:$C$29,MATCH(LARGE(Matching_Engine!$BC$6:$BC$29,23),Matching_Engine!$BC$6:$BC$29,0)),Matching_Engine!$BG$6:$BG$125,0)),"")</f>
        <v/>
      </c>
      <c r="F14" s="57" t="str">
        <f ca="1">IFERROR(INDEX(Match_Explanation!$G$6:$G$125,MATCH("BR-01|"&amp;INDEX(Matching_Engine!$C$6:$C$29,MATCH(LARGE(Matching_Engine!$BC$6:$BC$29,23),Matching_Engine!$BC$6:$BC$29,0)),Matching_Engine!$BG$6:$BG$125,0)),"")</f>
        <v/>
      </c>
      <c r="G14" s="57" t="str">
        <f>IFERROR(INDEX(Match_Explanation!$H$6:$H$125,MATCH("BR-01|"&amp;INDEX(Matching_Engine!$C$6:$C$29,MATCH(LARGE(Matching_Engine!$BC$6:$BC$29,23),Matching_Engine!$BC$6:$BC$29,0)),Matching_Engine!$BG$6:$BG$125,0)),"")</f>
        <v/>
      </c>
    </row>
    <row r="15" spans="1:7">
      <c r="A15" s="60" t="s">
        <v>2799</v>
      </c>
      <c r="B15" s="53">
        <v>24</v>
      </c>
      <c r="C15" s="61" t="e">
        <f>'[2]#REF'!$B$29</f>
        <v>#REF!</v>
      </c>
      <c r="D15" s="62" t="e">
        <f>'[2]#REF'!$E$29</f>
        <v>#REF!</v>
      </c>
      <c r="E15" s="57" t="str">
        <f ca="1">IFERROR(INDEX(Match_Explanation!$F$6:$F$125,MATCH("BR-01|"&amp;INDEX(Matching_Engine!$C$6:$C$29,MATCH(LARGE(Matching_Engine!$BC$6:$BC$29,24),Matching_Engine!$BC$6:$BC$29,0)),Matching_Engine!$BG$6:$BG$125,0)),"")</f>
        <v/>
      </c>
      <c r="F15" s="57" t="str">
        <f ca="1">IFERROR(INDEX(Match_Explanation!$G$6:$G$125,MATCH("BR-01|"&amp;INDEX(Matching_Engine!$C$6:$C$29,MATCH(LARGE(Matching_Engine!$BC$6:$BC$29,24),Matching_Engine!$BC$6:$BC$29,0)),Matching_Engine!$BG$6:$BG$125,0)),"")</f>
        <v/>
      </c>
      <c r="G15" s="57" t="str">
        <f>IFERROR(INDEX(Match_Explanation!$H$6:$H$125,MATCH("BR-01|"&amp;INDEX(Matching_Engine!$C$6:$C$29,MATCH(LARGE(Matching_Engine!$BC$6:$BC$29,24),Matching_Engine!$BC$6:$BC$29,0)),Matching_Engine!$BG$6:$BG$125,0)),"")</f>
        <v/>
      </c>
    </row>
    <row r="18" ht="18" customHeight="1" spans="1:7">
      <c r="A18" s="40" t="s">
        <v>2800</v>
      </c>
    </row>
    <row r="19" ht="24" customHeight="1" spans="1:7">
      <c r="A19" s="41" t="s">
        <v>2794</v>
      </c>
      <c r="B19" s="41" t="s">
        <v>1951</v>
      </c>
      <c r="C19" s="41" t="s">
        <v>1031</v>
      </c>
      <c r="D19" s="41" t="s">
        <v>1853</v>
      </c>
      <c r="E19" s="41" t="s">
        <v>2795</v>
      </c>
      <c r="F19" s="41" t="s">
        <v>2796</v>
      </c>
      <c r="G19" s="41" t="s">
        <v>2797</v>
      </c>
    </row>
    <row r="20" spans="1:7">
      <c r="A20" s="60" t="s">
        <v>2798</v>
      </c>
      <c r="B20" s="53">
        <v>1</v>
      </c>
      <c r="C20" s="61" t="e">
        <f>'[2]#REF'!$B$33</f>
        <v>#REF!</v>
      </c>
      <c r="D20" s="62" t="e">
        <f>'[2]#REF'!$E$33</f>
        <v>#REF!</v>
      </c>
      <c r="E20" s="57" t="str">
        <f ca="1">IFERROR(INDEX(Match_Explanation!$F$6:$F$125,MATCH("BR-02|"&amp;INDEX(Matching_Engine!$C$30:$C$53,MATCH(LARGE(Matching_Engine!$BC$30:$BC$53,1),Matching_Engine!$BC$30:$BC$53,0)),Matching_Engine!$BG$6:$BG$125,0)),"")</f>
        <v/>
      </c>
      <c r="F20" s="57" t="str">
        <f ca="1">IFERROR(INDEX(Match_Explanation!$G$6:$G$125,MATCH("BR-02|"&amp;INDEX(Matching_Engine!$C$30:$C$53,MATCH(LARGE(Matching_Engine!$BC$30:$BC$53,1),Matching_Engine!$BC$30:$BC$53,0)),Matching_Engine!$BG$6:$BG$125,0)),"")</f>
        <v/>
      </c>
      <c r="G20" s="57" t="str">
        <f>IFERROR(INDEX(Match_Explanation!$H$6:$H$125,MATCH("BR-02|"&amp;INDEX(Matching_Engine!$C$30:$C$53,MATCH(LARGE(Matching_Engine!$BC$30:$BC$53,1),Matching_Engine!$BC$30:$BC$53,0)),Matching_Engine!$BG$6:$BG$125,0)),"")</f>
        <v/>
      </c>
    </row>
    <row r="21" spans="1:7">
      <c r="A21" s="60" t="s">
        <v>2798</v>
      </c>
      <c r="B21" s="53">
        <v>2</v>
      </c>
      <c r="C21" s="61" t="e">
        <f>'[2]#REF'!$B$34</f>
        <v>#REF!</v>
      </c>
      <c r="D21" s="62" t="e">
        <f>'[2]#REF'!$E$34</f>
        <v>#REF!</v>
      </c>
      <c r="E21" s="57" t="str">
        <f ca="1">IFERROR(INDEX(Match_Explanation!$F$6:$F$125,MATCH("BR-02|"&amp;INDEX(Matching_Engine!$C$30:$C$53,MATCH(LARGE(Matching_Engine!$BC$30:$BC$53,2),Matching_Engine!$BC$30:$BC$53,0)),Matching_Engine!$BG$6:$BG$125,0)),"")</f>
        <v/>
      </c>
      <c r="F21" s="57" t="str">
        <f ca="1">IFERROR(INDEX(Match_Explanation!$G$6:$G$125,MATCH("BR-02|"&amp;INDEX(Matching_Engine!$C$30:$C$53,MATCH(LARGE(Matching_Engine!$BC$30:$BC$53,2),Matching_Engine!$BC$30:$BC$53,0)),Matching_Engine!$BG$6:$BG$125,0)),"")</f>
        <v/>
      </c>
      <c r="G21" s="57" t="str">
        <f>IFERROR(INDEX(Match_Explanation!$H$6:$H$125,MATCH("BR-02|"&amp;INDEX(Matching_Engine!$C$30:$C$53,MATCH(LARGE(Matching_Engine!$BC$30:$BC$53,2),Matching_Engine!$BC$30:$BC$53,0)),Matching_Engine!$BG$6:$BG$125,0)),"")</f>
        <v/>
      </c>
    </row>
    <row r="22" spans="1:7">
      <c r="A22" s="60" t="s">
        <v>2798</v>
      </c>
      <c r="B22" s="53">
        <v>3</v>
      </c>
      <c r="C22" s="61" t="e">
        <f>'[2]#REF'!$B$35</f>
        <v>#REF!</v>
      </c>
      <c r="D22" s="62" t="e">
        <f>'[2]#REF'!$E$35</f>
        <v>#REF!</v>
      </c>
      <c r="E22" s="57" t="str">
        <f ca="1">IFERROR(INDEX(Match_Explanation!$F$6:$F$125,MATCH("BR-02|"&amp;INDEX(Matching_Engine!$C$30:$C$53,MATCH(LARGE(Matching_Engine!$BC$30:$BC$53,3),Matching_Engine!$BC$30:$BC$53,0)),Matching_Engine!$BG$6:$BG$125,0)),"")</f>
        <v/>
      </c>
      <c r="F22" s="57" t="str">
        <f ca="1">IFERROR(INDEX(Match_Explanation!$G$6:$G$125,MATCH("BR-02|"&amp;INDEX(Matching_Engine!$C$30:$C$53,MATCH(LARGE(Matching_Engine!$BC$30:$BC$53,3),Matching_Engine!$BC$30:$BC$53,0)),Matching_Engine!$BG$6:$BG$125,0)),"")</f>
        <v/>
      </c>
      <c r="G22" s="57" t="str">
        <f>IFERROR(INDEX(Match_Explanation!$H$6:$H$125,MATCH("BR-02|"&amp;INDEX(Matching_Engine!$C$30:$C$53,MATCH(LARGE(Matching_Engine!$BC$30:$BC$53,3),Matching_Engine!$BC$30:$BC$53,0)),Matching_Engine!$BG$6:$BG$125,0)),"")</f>
        <v/>
      </c>
    </row>
    <row r="23" spans="1:7">
      <c r="A23" s="60" t="s">
        <v>2798</v>
      </c>
      <c r="B23" s="53">
        <v>4</v>
      </c>
      <c r="C23" s="61" t="e">
        <f>'[2]#REF'!$B$36</f>
        <v>#REF!</v>
      </c>
      <c r="D23" s="62" t="e">
        <f>'[2]#REF'!$E$36</f>
        <v>#REF!</v>
      </c>
      <c r="E23" s="57" t="str">
        <f ca="1">IFERROR(INDEX(Match_Explanation!$F$6:$F$125,MATCH("BR-02|"&amp;INDEX(Matching_Engine!$C$30:$C$53,MATCH(LARGE(Matching_Engine!$BC$30:$BC$53,4),Matching_Engine!$BC$30:$BC$53,0)),Matching_Engine!$BG$6:$BG$125,0)),"")</f>
        <v/>
      </c>
      <c r="F23" s="57" t="str">
        <f ca="1">IFERROR(INDEX(Match_Explanation!$G$6:$G$125,MATCH("BR-02|"&amp;INDEX(Matching_Engine!$C$30:$C$53,MATCH(LARGE(Matching_Engine!$BC$30:$BC$53,4),Matching_Engine!$BC$30:$BC$53,0)),Matching_Engine!$BG$6:$BG$125,0)),"")</f>
        <v/>
      </c>
      <c r="G23" s="57" t="str">
        <f>IFERROR(INDEX(Match_Explanation!$H$6:$H$125,MATCH("BR-02|"&amp;INDEX(Matching_Engine!$C$30:$C$53,MATCH(LARGE(Matching_Engine!$BC$30:$BC$53,4),Matching_Engine!$BC$30:$BC$53,0)),Matching_Engine!$BG$6:$BG$125,0)),"")</f>
        <v/>
      </c>
    </row>
    <row r="24" spans="1:7">
      <c r="A24" s="60" t="s">
        <v>2798</v>
      </c>
      <c r="B24" s="53">
        <v>5</v>
      </c>
      <c r="C24" s="61" t="e">
        <f>'[2]#REF'!$B$37</f>
        <v>#REF!</v>
      </c>
      <c r="D24" s="62" t="e">
        <f>'[2]#REF'!$E$37</f>
        <v>#REF!</v>
      </c>
      <c r="E24" s="57" t="str">
        <f ca="1">IFERROR(INDEX(Match_Explanation!$F$6:$F$125,MATCH("BR-02|"&amp;INDEX(Matching_Engine!$C$30:$C$53,MATCH(LARGE(Matching_Engine!$BC$30:$BC$53,5),Matching_Engine!$BC$30:$BC$53,0)),Matching_Engine!$BG$6:$BG$125,0)),"")</f>
        <v/>
      </c>
      <c r="F24" s="57" t="str">
        <f ca="1">IFERROR(INDEX(Match_Explanation!$G$6:$G$125,MATCH("BR-02|"&amp;INDEX(Matching_Engine!$C$30:$C$53,MATCH(LARGE(Matching_Engine!$BC$30:$BC$53,5),Matching_Engine!$BC$30:$BC$53,0)),Matching_Engine!$BG$6:$BG$125,0)),"")</f>
        <v/>
      </c>
      <c r="G24" s="57" t="str">
        <f>IFERROR(INDEX(Match_Explanation!$H$6:$H$125,MATCH("BR-02|"&amp;INDEX(Matching_Engine!$C$30:$C$53,MATCH(LARGE(Matching_Engine!$BC$30:$BC$53,5),Matching_Engine!$BC$30:$BC$53,0)),Matching_Engine!$BG$6:$BG$125,0)),"")</f>
        <v/>
      </c>
    </row>
    <row r="25" spans="1:7">
      <c r="A25" s="60" t="s">
        <v>2799</v>
      </c>
      <c r="B25" s="53">
        <v>20</v>
      </c>
      <c r="C25" s="61" t="e">
        <f>'[2]#REF'!$B$52</f>
        <v>#REF!</v>
      </c>
      <c r="D25" s="62" t="e">
        <f>'[2]#REF'!$E$52</f>
        <v>#REF!</v>
      </c>
      <c r="E25" s="57" t="str">
        <f ca="1">IFERROR(INDEX(Match_Explanation!$F$6:$F$125,MATCH("BR-02|"&amp;INDEX(Matching_Engine!$C$30:$C$53,MATCH(LARGE(Matching_Engine!$BC$30:$BC$53,20),Matching_Engine!$BC$30:$BC$53,0)),Matching_Engine!$BG$6:$BG$125,0)),"")</f>
        <v/>
      </c>
      <c r="F25" s="57" t="str">
        <f ca="1">IFERROR(INDEX(Match_Explanation!$G$6:$G$125,MATCH("BR-02|"&amp;INDEX(Matching_Engine!$C$30:$C$53,MATCH(LARGE(Matching_Engine!$BC$30:$BC$53,20),Matching_Engine!$BC$30:$BC$53,0)),Matching_Engine!$BG$6:$BG$125,0)),"")</f>
        <v/>
      </c>
      <c r="G25" s="57" t="str">
        <f>IFERROR(INDEX(Match_Explanation!$H$6:$H$125,MATCH("BR-02|"&amp;INDEX(Matching_Engine!$C$30:$C$53,MATCH(LARGE(Matching_Engine!$BC$30:$BC$53,20),Matching_Engine!$BC$30:$BC$53,0)),Matching_Engine!$BG$6:$BG$125,0)),"")</f>
        <v/>
      </c>
    </row>
    <row r="26" spans="1:7">
      <c r="A26" s="60" t="s">
        <v>2799</v>
      </c>
      <c r="B26" s="53">
        <v>21</v>
      </c>
      <c r="C26" s="61" t="e">
        <f>'[2]#REF'!$B$53</f>
        <v>#REF!</v>
      </c>
      <c r="D26" s="62" t="e">
        <f>'[2]#REF'!$E$53</f>
        <v>#REF!</v>
      </c>
      <c r="E26" s="57" t="str">
        <f ca="1">IFERROR(INDEX(Match_Explanation!$F$6:$F$125,MATCH("BR-02|"&amp;INDEX(Matching_Engine!$C$30:$C$53,MATCH(LARGE(Matching_Engine!$BC$30:$BC$53,21),Matching_Engine!$BC$30:$BC$53,0)),Matching_Engine!$BG$6:$BG$125,0)),"")</f>
        <v/>
      </c>
      <c r="F26" s="57" t="str">
        <f ca="1">IFERROR(INDEX(Match_Explanation!$G$6:$G$125,MATCH("BR-02|"&amp;INDEX(Matching_Engine!$C$30:$C$53,MATCH(LARGE(Matching_Engine!$BC$30:$BC$53,21),Matching_Engine!$BC$30:$BC$53,0)),Matching_Engine!$BG$6:$BG$125,0)),"")</f>
        <v/>
      </c>
      <c r="G26" s="57" t="str">
        <f>IFERROR(INDEX(Match_Explanation!$H$6:$H$125,MATCH("BR-02|"&amp;INDEX(Matching_Engine!$C$30:$C$53,MATCH(LARGE(Matching_Engine!$BC$30:$BC$53,21),Matching_Engine!$BC$30:$BC$53,0)),Matching_Engine!$BG$6:$BG$125,0)),"")</f>
        <v/>
      </c>
    </row>
    <row r="27" spans="1:7">
      <c r="A27" s="60" t="s">
        <v>2799</v>
      </c>
      <c r="B27" s="53">
        <v>22</v>
      </c>
      <c r="C27" s="61" t="e">
        <f>'[2]#REF'!$B$54</f>
        <v>#REF!</v>
      </c>
      <c r="D27" s="62" t="e">
        <f>'[2]#REF'!$E$54</f>
        <v>#REF!</v>
      </c>
      <c r="E27" s="57" t="str">
        <f ca="1">IFERROR(INDEX(Match_Explanation!$F$6:$F$125,MATCH("BR-02|"&amp;INDEX(Matching_Engine!$C$30:$C$53,MATCH(LARGE(Matching_Engine!$BC$30:$BC$53,22),Matching_Engine!$BC$30:$BC$53,0)),Matching_Engine!$BG$6:$BG$125,0)),"")</f>
        <v/>
      </c>
      <c r="F27" s="57" t="str">
        <f ca="1">IFERROR(INDEX(Match_Explanation!$G$6:$G$125,MATCH("BR-02|"&amp;INDEX(Matching_Engine!$C$30:$C$53,MATCH(LARGE(Matching_Engine!$BC$30:$BC$53,22),Matching_Engine!$BC$30:$BC$53,0)),Matching_Engine!$BG$6:$BG$125,0)),"")</f>
        <v/>
      </c>
      <c r="G27" s="57" t="str">
        <f>IFERROR(INDEX(Match_Explanation!$H$6:$H$125,MATCH("BR-02|"&amp;INDEX(Matching_Engine!$C$30:$C$53,MATCH(LARGE(Matching_Engine!$BC$30:$BC$53,22),Matching_Engine!$BC$30:$BC$53,0)),Matching_Engine!$BG$6:$BG$125,0)),"")</f>
        <v/>
      </c>
    </row>
    <row r="28" spans="1:7">
      <c r="A28" s="60" t="s">
        <v>2799</v>
      </c>
      <c r="B28" s="53">
        <v>23</v>
      </c>
      <c r="C28" s="61" t="e">
        <f>'[2]#REF'!$B$55</f>
        <v>#REF!</v>
      </c>
      <c r="D28" s="62" t="e">
        <f>'[2]#REF'!$E$55</f>
        <v>#REF!</v>
      </c>
      <c r="E28" s="57" t="str">
        <f ca="1">IFERROR(INDEX(Match_Explanation!$F$6:$F$125,MATCH("BR-02|"&amp;INDEX(Matching_Engine!$C$30:$C$53,MATCH(LARGE(Matching_Engine!$BC$30:$BC$53,23),Matching_Engine!$BC$30:$BC$53,0)),Matching_Engine!$BG$6:$BG$125,0)),"")</f>
        <v/>
      </c>
      <c r="F28" s="57" t="str">
        <f ca="1">IFERROR(INDEX(Match_Explanation!$G$6:$G$125,MATCH("BR-02|"&amp;INDEX(Matching_Engine!$C$30:$C$53,MATCH(LARGE(Matching_Engine!$BC$30:$BC$53,23),Matching_Engine!$BC$30:$BC$53,0)),Matching_Engine!$BG$6:$BG$125,0)),"")</f>
        <v/>
      </c>
      <c r="G28" s="57" t="str">
        <f>IFERROR(INDEX(Match_Explanation!$H$6:$H$125,MATCH("BR-02|"&amp;INDEX(Matching_Engine!$C$30:$C$53,MATCH(LARGE(Matching_Engine!$BC$30:$BC$53,23),Matching_Engine!$BC$30:$BC$53,0)),Matching_Engine!$BG$6:$BG$125,0)),"")</f>
        <v/>
      </c>
    </row>
    <row r="29" spans="1:7">
      <c r="A29" s="60" t="s">
        <v>2799</v>
      </c>
      <c r="B29" s="53">
        <v>24</v>
      </c>
      <c r="C29" s="61" t="e">
        <f>'[2]#REF'!$B$56</f>
        <v>#REF!</v>
      </c>
      <c r="D29" s="62" t="e">
        <f>'[2]#REF'!$E$56</f>
        <v>#REF!</v>
      </c>
      <c r="E29" s="57" t="str">
        <f ca="1">IFERROR(INDEX(Match_Explanation!$F$6:$F$125,MATCH("BR-02|"&amp;INDEX(Matching_Engine!$C$30:$C$53,MATCH(LARGE(Matching_Engine!$BC$30:$BC$53,24),Matching_Engine!$BC$30:$BC$53,0)),Matching_Engine!$BG$6:$BG$125,0)),"")</f>
        <v/>
      </c>
      <c r="F29" s="57" t="str">
        <f ca="1">IFERROR(INDEX(Match_Explanation!$G$6:$G$125,MATCH("BR-02|"&amp;INDEX(Matching_Engine!$C$30:$C$53,MATCH(LARGE(Matching_Engine!$BC$30:$BC$53,24),Matching_Engine!$BC$30:$BC$53,0)),Matching_Engine!$BG$6:$BG$125,0)),"")</f>
        <v/>
      </c>
      <c r="G29" s="57" t="str">
        <f>IFERROR(INDEX(Match_Explanation!$H$6:$H$125,MATCH("BR-02|"&amp;INDEX(Matching_Engine!$C$30:$C$53,MATCH(LARGE(Matching_Engine!$BC$30:$BC$53,24),Matching_Engine!$BC$30:$BC$53,0)),Matching_Engine!$BG$6:$BG$125,0)),"")</f>
        <v/>
      </c>
    </row>
    <row r="32" ht="18" customHeight="1" spans="1:7">
      <c r="A32" s="40" t="s">
        <v>2801</v>
      </c>
    </row>
    <row r="33" ht="24" customHeight="1" spans="1:7">
      <c r="A33" s="41" t="s">
        <v>2794</v>
      </c>
      <c r="B33" s="41" t="s">
        <v>1951</v>
      </c>
      <c r="C33" s="41" t="s">
        <v>1031</v>
      </c>
      <c r="D33" s="41" t="s">
        <v>1853</v>
      </c>
      <c r="E33" s="41" t="s">
        <v>2795</v>
      </c>
      <c r="F33" s="41" t="s">
        <v>2796</v>
      </c>
      <c r="G33" s="41" t="s">
        <v>2797</v>
      </c>
    </row>
    <row r="34" spans="1:7">
      <c r="A34" s="60" t="s">
        <v>2798</v>
      </c>
      <c r="B34" s="53">
        <v>1</v>
      </c>
      <c r="C34" s="61" t="e">
        <f>'[2]#REF'!$B$60</f>
        <v>#REF!</v>
      </c>
      <c r="D34" s="62" t="e">
        <f>'[2]#REF'!$E$60</f>
        <v>#REF!</v>
      </c>
      <c r="E34" s="57" t="str">
        <f ca="1">IFERROR(INDEX(Match_Explanation!$F$6:$F$125,MATCH("BR-03|"&amp;INDEX(Matching_Engine!$C$54:$C$77,MATCH(LARGE(Matching_Engine!$BC$54:$BC$77,1),Matching_Engine!$BC$54:$BC$77,0)),Matching_Engine!$BG$6:$BG$125,0)),"")</f>
        <v/>
      </c>
      <c r="F34" s="57" t="str">
        <f ca="1">IFERROR(INDEX(Match_Explanation!$G$6:$G$125,MATCH("BR-03|"&amp;INDEX(Matching_Engine!$C$54:$C$77,MATCH(LARGE(Matching_Engine!$BC$54:$BC$77,1),Matching_Engine!$BC$54:$BC$77,0)),Matching_Engine!$BG$6:$BG$125,0)),"")</f>
        <v/>
      </c>
      <c r="G34" s="57" t="str">
        <f>IFERROR(INDEX(Match_Explanation!$H$6:$H$125,MATCH("BR-03|"&amp;INDEX(Matching_Engine!$C$54:$C$77,MATCH(LARGE(Matching_Engine!$BC$54:$BC$77,1),Matching_Engine!$BC$54:$BC$77,0)),Matching_Engine!$BG$6:$BG$125,0)),"")</f>
        <v/>
      </c>
    </row>
    <row r="35" spans="1:7">
      <c r="A35" s="60" t="s">
        <v>2798</v>
      </c>
      <c r="B35" s="53">
        <v>2</v>
      </c>
      <c r="C35" s="61" t="e">
        <f>'[2]#REF'!$B$61</f>
        <v>#REF!</v>
      </c>
      <c r="D35" s="62" t="e">
        <f>'[2]#REF'!$E$61</f>
        <v>#REF!</v>
      </c>
      <c r="E35" s="57" t="str">
        <f ca="1">IFERROR(INDEX(Match_Explanation!$F$6:$F$125,MATCH("BR-03|"&amp;INDEX(Matching_Engine!$C$54:$C$77,MATCH(LARGE(Matching_Engine!$BC$54:$BC$77,2),Matching_Engine!$BC$54:$BC$77,0)),Matching_Engine!$BG$6:$BG$125,0)),"")</f>
        <v/>
      </c>
      <c r="F35" s="57" t="str">
        <f ca="1">IFERROR(INDEX(Match_Explanation!$G$6:$G$125,MATCH("BR-03|"&amp;INDEX(Matching_Engine!$C$54:$C$77,MATCH(LARGE(Matching_Engine!$BC$54:$BC$77,2),Matching_Engine!$BC$54:$BC$77,0)),Matching_Engine!$BG$6:$BG$125,0)),"")</f>
        <v/>
      </c>
      <c r="G35" s="57" t="str">
        <f>IFERROR(INDEX(Match_Explanation!$H$6:$H$125,MATCH("BR-03|"&amp;INDEX(Matching_Engine!$C$54:$C$77,MATCH(LARGE(Matching_Engine!$BC$54:$BC$77,2),Matching_Engine!$BC$54:$BC$77,0)),Matching_Engine!$BG$6:$BG$125,0)),"")</f>
        <v/>
      </c>
    </row>
    <row r="36" spans="1:7">
      <c r="A36" s="60" t="s">
        <v>2798</v>
      </c>
      <c r="B36" s="53">
        <v>3</v>
      </c>
      <c r="C36" s="61" t="e">
        <f>'[2]#REF'!$B$62</f>
        <v>#REF!</v>
      </c>
      <c r="D36" s="62" t="e">
        <f>'[2]#REF'!$E$62</f>
        <v>#REF!</v>
      </c>
      <c r="E36" s="57" t="str">
        <f ca="1">IFERROR(INDEX(Match_Explanation!$F$6:$F$125,MATCH("BR-03|"&amp;INDEX(Matching_Engine!$C$54:$C$77,MATCH(LARGE(Matching_Engine!$BC$54:$BC$77,3),Matching_Engine!$BC$54:$BC$77,0)),Matching_Engine!$BG$6:$BG$125,0)),"")</f>
        <v/>
      </c>
      <c r="F36" s="57" t="str">
        <f ca="1">IFERROR(INDEX(Match_Explanation!$G$6:$G$125,MATCH("BR-03|"&amp;INDEX(Matching_Engine!$C$54:$C$77,MATCH(LARGE(Matching_Engine!$BC$54:$BC$77,3),Matching_Engine!$BC$54:$BC$77,0)),Matching_Engine!$BG$6:$BG$125,0)),"")</f>
        <v/>
      </c>
      <c r="G36" s="57" t="str">
        <f>IFERROR(INDEX(Match_Explanation!$H$6:$H$125,MATCH("BR-03|"&amp;INDEX(Matching_Engine!$C$54:$C$77,MATCH(LARGE(Matching_Engine!$BC$54:$BC$77,3),Matching_Engine!$BC$54:$BC$77,0)),Matching_Engine!$BG$6:$BG$125,0)),"")</f>
        <v/>
      </c>
    </row>
    <row r="37" spans="1:7">
      <c r="A37" s="60" t="s">
        <v>2798</v>
      </c>
      <c r="B37" s="53">
        <v>4</v>
      </c>
      <c r="C37" s="61" t="e">
        <f>'[2]#REF'!$B$63</f>
        <v>#REF!</v>
      </c>
      <c r="D37" s="62" t="e">
        <f>'[2]#REF'!$E$63</f>
        <v>#REF!</v>
      </c>
      <c r="E37" s="57" t="str">
        <f ca="1">IFERROR(INDEX(Match_Explanation!$F$6:$F$125,MATCH("BR-03|"&amp;INDEX(Matching_Engine!$C$54:$C$77,MATCH(LARGE(Matching_Engine!$BC$54:$BC$77,4),Matching_Engine!$BC$54:$BC$77,0)),Matching_Engine!$BG$6:$BG$125,0)),"")</f>
        <v/>
      </c>
      <c r="F37" s="57" t="str">
        <f ca="1">IFERROR(INDEX(Match_Explanation!$G$6:$G$125,MATCH("BR-03|"&amp;INDEX(Matching_Engine!$C$54:$C$77,MATCH(LARGE(Matching_Engine!$BC$54:$BC$77,4),Matching_Engine!$BC$54:$BC$77,0)),Matching_Engine!$BG$6:$BG$125,0)),"")</f>
        <v/>
      </c>
      <c r="G37" s="57" t="str">
        <f>IFERROR(INDEX(Match_Explanation!$H$6:$H$125,MATCH("BR-03|"&amp;INDEX(Matching_Engine!$C$54:$C$77,MATCH(LARGE(Matching_Engine!$BC$54:$BC$77,4),Matching_Engine!$BC$54:$BC$77,0)),Matching_Engine!$BG$6:$BG$125,0)),"")</f>
        <v/>
      </c>
    </row>
    <row r="38" spans="1:7">
      <c r="A38" s="60" t="s">
        <v>2798</v>
      </c>
      <c r="B38" s="53">
        <v>5</v>
      </c>
      <c r="C38" s="61" t="e">
        <f>'[2]#REF'!$B$64</f>
        <v>#REF!</v>
      </c>
      <c r="D38" s="62" t="e">
        <f>'[2]#REF'!$E$64</f>
        <v>#REF!</v>
      </c>
      <c r="E38" s="57" t="str">
        <f ca="1">IFERROR(INDEX(Match_Explanation!$F$6:$F$125,MATCH("BR-03|"&amp;INDEX(Matching_Engine!$C$54:$C$77,MATCH(LARGE(Matching_Engine!$BC$54:$BC$77,5),Matching_Engine!$BC$54:$BC$77,0)),Matching_Engine!$BG$6:$BG$125,0)),"")</f>
        <v/>
      </c>
      <c r="F38" s="57" t="str">
        <f ca="1">IFERROR(INDEX(Match_Explanation!$G$6:$G$125,MATCH("BR-03|"&amp;INDEX(Matching_Engine!$C$54:$C$77,MATCH(LARGE(Matching_Engine!$BC$54:$BC$77,5),Matching_Engine!$BC$54:$BC$77,0)),Matching_Engine!$BG$6:$BG$125,0)),"")</f>
        <v/>
      </c>
      <c r="G38" s="57" t="str">
        <f>IFERROR(INDEX(Match_Explanation!$H$6:$H$125,MATCH("BR-03|"&amp;INDEX(Matching_Engine!$C$54:$C$77,MATCH(LARGE(Matching_Engine!$BC$54:$BC$77,5),Matching_Engine!$BC$54:$BC$77,0)),Matching_Engine!$BG$6:$BG$125,0)),"")</f>
        <v/>
      </c>
    </row>
    <row r="39" spans="1:7">
      <c r="A39" s="60" t="s">
        <v>2799</v>
      </c>
      <c r="B39" s="53">
        <v>20</v>
      </c>
      <c r="C39" s="61" t="e">
        <f>'[2]#REF'!$B$79</f>
        <v>#REF!</v>
      </c>
      <c r="D39" s="62" t="e">
        <f>'[2]#REF'!$E$79</f>
        <v>#REF!</v>
      </c>
      <c r="E39" s="57" t="str">
        <f ca="1">IFERROR(INDEX(Match_Explanation!$F$6:$F$125,MATCH("BR-03|"&amp;INDEX(Matching_Engine!$C$54:$C$77,MATCH(LARGE(Matching_Engine!$BC$54:$BC$77,20),Matching_Engine!$BC$54:$BC$77,0)),Matching_Engine!$BG$6:$BG$125,0)),"")</f>
        <v/>
      </c>
      <c r="F39" s="57" t="str">
        <f ca="1">IFERROR(INDEX(Match_Explanation!$G$6:$G$125,MATCH("BR-03|"&amp;INDEX(Matching_Engine!$C$54:$C$77,MATCH(LARGE(Matching_Engine!$BC$54:$BC$77,20),Matching_Engine!$BC$54:$BC$77,0)),Matching_Engine!$BG$6:$BG$125,0)),"")</f>
        <v/>
      </c>
      <c r="G39" s="57" t="str">
        <f>IFERROR(INDEX(Match_Explanation!$H$6:$H$125,MATCH("BR-03|"&amp;INDEX(Matching_Engine!$C$54:$C$77,MATCH(LARGE(Matching_Engine!$BC$54:$BC$77,20),Matching_Engine!$BC$54:$BC$77,0)),Matching_Engine!$BG$6:$BG$125,0)),"")</f>
        <v/>
      </c>
    </row>
    <row r="40" spans="1:7">
      <c r="A40" s="60" t="s">
        <v>2799</v>
      </c>
      <c r="B40" s="53">
        <v>21</v>
      </c>
      <c r="C40" s="61" t="e">
        <f>'[2]#REF'!$B$80</f>
        <v>#REF!</v>
      </c>
      <c r="D40" s="62" t="e">
        <f>'[2]#REF'!$E$80</f>
        <v>#REF!</v>
      </c>
      <c r="E40" s="57" t="str">
        <f ca="1">IFERROR(INDEX(Match_Explanation!$F$6:$F$125,MATCH("BR-03|"&amp;INDEX(Matching_Engine!$C$54:$C$77,MATCH(LARGE(Matching_Engine!$BC$54:$BC$77,21),Matching_Engine!$BC$54:$BC$77,0)),Matching_Engine!$BG$6:$BG$125,0)),"")</f>
        <v/>
      </c>
      <c r="F40" s="57" t="str">
        <f ca="1">IFERROR(INDEX(Match_Explanation!$G$6:$G$125,MATCH("BR-03|"&amp;INDEX(Matching_Engine!$C$54:$C$77,MATCH(LARGE(Matching_Engine!$BC$54:$BC$77,21),Matching_Engine!$BC$54:$BC$77,0)),Matching_Engine!$BG$6:$BG$125,0)),"")</f>
        <v/>
      </c>
      <c r="G40" s="57" t="str">
        <f>IFERROR(INDEX(Match_Explanation!$H$6:$H$125,MATCH("BR-03|"&amp;INDEX(Matching_Engine!$C$54:$C$77,MATCH(LARGE(Matching_Engine!$BC$54:$BC$77,21),Matching_Engine!$BC$54:$BC$77,0)),Matching_Engine!$BG$6:$BG$125,0)),"")</f>
        <v/>
      </c>
    </row>
    <row r="41" spans="1:7">
      <c r="A41" s="60" t="s">
        <v>2799</v>
      </c>
      <c r="B41" s="53">
        <v>22</v>
      </c>
      <c r="C41" s="61" t="e">
        <f>'[2]#REF'!$B$81</f>
        <v>#REF!</v>
      </c>
      <c r="D41" s="62" t="e">
        <f>'[2]#REF'!$E$81</f>
        <v>#REF!</v>
      </c>
      <c r="E41" s="57" t="str">
        <f ca="1">IFERROR(INDEX(Match_Explanation!$F$6:$F$125,MATCH("BR-03|"&amp;INDEX(Matching_Engine!$C$54:$C$77,MATCH(LARGE(Matching_Engine!$BC$54:$BC$77,22),Matching_Engine!$BC$54:$BC$77,0)),Matching_Engine!$BG$6:$BG$125,0)),"")</f>
        <v/>
      </c>
      <c r="F41" s="57" t="str">
        <f ca="1">IFERROR(INDEX(Match_Explanation!$G$6:$G$125,MATCH("BR-03|"&amp;INDEX(Matching_Engine!$C$54:$C$77,MATCH(LARGE(Matching_Engine!$BC$54:$BC$77,22),Matching_Engine!$BC$54:$BC$77,0)),Matching_Engine!$BG$6:$BG$125,0)),"")</f>
        <v/>
      </c>
      <c r="G41" s="57" t="str">
        <f>IFERROR(INDEX(Match_Explanation!$H$6:$H$125,MATCH("BR-03|"&amp;INDEX(Matching_Engine!$C$54:$C$77,MATCH(LARGE(Matching_Engine!$BC$54:$BC$77,22),Matching_Engine!$BC$54:$BC$77,0)),Matching_Engine!$BG$6:$BG$125,0)),"")</f>
        <v/>
      </c>
    </row>
    <row r="42" spans="1:7">
      <c r="A42" s="60" t="s">
        <v>2799</v>
      </c>
      <c r="B42" s="53">
        <v>23</v>
      </c>
      <c r="C42" s="61" t="e">
        <f>'[2]#REF'!$B$82</f>
        <v>#REF!</v>
      </c>
      <c r="D42" s="62" t="e">
        <f>'[2]#REF'!$E$82</f>
        <v>#REF!</v>
      </c>
      <c r="E42" s="57" t="str">
        <f ca="1">IFERROR(INDEX(Match_Explanation!$F$6:$F$125,MATCH("BR-03|"&amp;INDEX(Matching_Engine!$C$54:$C$77,MATCH(LARGE(Matching_Engine!$BC$54:$BC$77,23),Matching_Engine!$BC$54:$BC$77,0)),Matching_Engine!$BG$6:$BG$125,0)),"")</f>
        <v/>
      </c>
      <c r="F42" s="57" t="str">
        <f ca="1">IFERROR(INDEX(Match_Explanation!$G$6:$G$125,MATCH("BR-03|"&amp;INDEX(Matching_Engine!$C$54:$C$77,MATCH(LARGE(Matching_Engine!$BC$54:$BC$77,23),Matching_Engine!$BC$54:$BC$77,0)),Matching_Engine!$BG$6:$BG$125,0)),"")</f>
        <v/>
      </c>
      <c r="G42" s="57" t="str">
        <f>IFERROR(INDEX(Match_Explanation!$H$6:$H$125,MATCH("BR-03|"&amp;INDEX(Matching_Engine!$C$54:$C$77,MATCH(LARGE(Matching_Engine!$BC$54:$BC$77,23),Matching_Engine!$BC$54:$BC$77,0)),Matching_Engine!$BG$6:$BG$125,0)),"")</f>
        <v/>
      </c>
    </row>
    <row r="43" spans="1:7">
      <c r="A43" s="60" t="s">
        <v>2799</v>
      </c>
      <c r="B43" s="53">
        <v>24</v>
      </c>
      <c r="C43" s="61" t="e">
        <f>'[2]#REF'!$B$83</f>
        <v>#REF!</v>
      </c>
      <c r="D43" s="62" t="e">
        <f>'[2]#REF'!$E$83</f>
        <v>#REF!</v>
      </c>
      <c r="E43" s="57" t="str">
        <f ca="1">IFERROR(INDEX(Match_Explanation!$F$6:$F$125,MATCH("BR-03|"&amp;INDEX(Matching_Engine!$C$54:$C$77,MATCH(LARGE(Matching_Engine!$BC$54:$BC$77,24),Matching_Engine!$BC$54:$BC$77,0)),Matching_Engine!$BG$6:$BG$125,0)),"")</f>
        <v/>
      </c>
      <c r="F43" s="57" t="str">
        <f ca="1">IFERROR(INDEX(Match_Explanation!$G$6:$G$125,MATCH("BR-03|"&amp;INDEX(Matching_Engine!$C$54:$C$77,MATCH(LARGE(Matching_Engine!$BC$54:$BC$77,24),Matching_Engine!$BC$54:$BC$77,0)),Matching_Engine!$BG$6:$BG$125,0)),"")</f>
        <v/>
      </c>
      <c r="G43" s="57" t="str">
        <f>IFERROR(INDEX(Match_Explanation!$H$6:$H$125,MATCH("BR-03|"&amp;INDEX(Matching_Engine!$C$54:$C$77,MATCH(LARGE(Matching_Engine!$BC$54:$BC$77,24),Matching_Engine!$BC$54:$BC$77,0)),Matching_Engine!$BG$6:$BG$125,0)),"")</f>
        <v/>
      </c>
    </row>
    <row r="46" ht="18" customHeight="1" spans="1:7">
      <c r="A46" s="40" t="s">
        <v>2802</v>
      </c>
    </row>
    <row r="47" ht="24" customHeight="1" spans="1:7">
      <c r="A47" s="41" t="s">
        <v>2794</v>
      </c>
      <c r="B47" s="41" t="s">
        <v>1951</v>
      </c>
      <c r="C47" s="41" t="s">
        <v>1031</v>
      </c>
      <c r="D47" s="41" t="s">
        <v>1853</v>
      </c>
      <c r="E47" s="41" t="s">
        <v>2795</v>
      </c>
      <c r="F47" s="41" t="s">
        <v>2796</v>
      </c>
      <c r="G47" s="41" t="s">
        <v>2797</v>
      </c>
    </row>
    <row r="48" spans="1:7">
      <c r="A48" s="60" t="s">
        <v>2798</v>
      </c>
      <c r="B48" s="53">
        <v>1</v>
      </c>
      <c r="C48" s="61" t="e">
        <f>'[2]#REF'!$B$87</f>
        <v>#REF!</v>
      </c>
      <c r="D48" s="62" t="e">
        <f>'[2]#REF'!$E$87</f>
        <v>#REF!</v>
      </c>
      <c r="E48" s="57" t="str">
        <f ca="1">IFERROR(INDEX(Match_Explanation!$F$6:$F$125,MATCH("BR-04|"&amp;INDEX(Matching_Engine!$C$78:$C$101,MATCH(LARGE(Matching_Engine!$BC$78:$BC$101,1),Matching_Engine!$BC$78:$BC$101,0)),Matching_Engine!$BG$6:$BG$125,0)),"")</f>
        <v/>
      </c>
      <c r="F48" s="57" t="str">
        <f ca="1">IFERROR(INDEX(Match_Explanation!$G$6:$G$125,MATCH("BR-04|"&amp;INDEX(Matching_Engine!$C$78:$C$101,MATCH(LARGE(Matching_Engine!$BC$78:$BC$101,1),Matching_Engine!$BC$78:$BC$101,0)),Matching_Engine!$BG$6:$BG$125,0)),"")</f>
        <v/>
      </c>
      <c r="G48" s="57" t="str">
        <f>IFERROR(INDEX(Match_Explanation!$H$6:$H$125,MATCH("BR-04|"&amp;INDEX(Matching_Engine!$C$78:$C$101,MATCH(LARGE(Matching_Engine!$BC$78:$BC$101,1),Matching_Engine!$BC$78:$BC$101,0)),Matching_Engine!$BG$6:$BG$125,0)),"")</f>
        <v/>
      </c>
    </row>
    <row r="49" spans="1:7">
      <c r="A49" s="60" t="s">
        <v>2798</v>
      </c>
      <c r="B49" s="53">
        <v>2</v>
      </c>
      <c r="C49" s="61" t="e">
        <f>'[2]#REF'!$B$88</f>
        <v>#REF!</v>
      </c>
      <c r="D49" s="62" t="e">
        <f>'[2]#REF'!$E$88</f>
        <v>#REF!</v>
      </c>
      <c r="E49" s="57" t="str">
        <f ca="1">IFERROR(INDEX(Match_Explanation!$F$6:$F$125,MATCH("BR-04|"&amp;INDEX(Matching_Engine!$C$78:$C$101,MATCH(LARGE(Matching_Engine!$BC$78:$BC$101,2),Matching_Engine!$BC$78:$BC$101,0)),Matching_Engine!$BG$6:$BG$125,0)),"")</f>
        <v/>
      </c>
      <c r="F49" s="57" t="str">
        <f ca="1">IFERROR(INDEX(Match_Explanation!$G$6:$G$125,MATCH("BR-04|"&amp;INDEX(Matching_Engine!$C$78:$C$101,MATCH(LARGE(Matching_Engine!$BC$78:$BC$101,2),Matching_Engine!$BC$78:$BC$101,0)),Matching_Engine!$BG$6:$BG$125,0)),"")</f>
        <v/>
      </c>
      <c r="G49" s="57" t="str">
        <f>IFERROR(INDEX(Match_Explanation!$H$6:$H$125,MATCH("BR-04|"&amp;INDEX(Matching_Engine!$C$78:$C$101,MATCH(LARGE(Matching_Engine!$BC$78:$BC$101,2),Matching_Engine!$BC$78:$BC$101,0)),Matching_Engine!$BG$6:$BG$125,0)),"")</f>
        <v/>
      </c>
    </row>
    <row r="50" spans="1:7">
      <c r="A50" s="60" t="s">
        <v>2798</v>
      </c>
      <c r="B50" s="53">
        <v>3</v>
      </c>
      <c r="C50" s="61" t="e">
        <f>'[2]#REF'!$B$89</f>
        <v>#REF!</v>
      </c>
      <c r="D50" s="62" t="e">
        <f>'[2]#REF'!$E$89</f>
        <v>#REF!</v>
      </c>
      <c r="E50" s="57" t="str">
        <f ca="1">IFERROR(INDEX(Match_Explanation!$F$6:$F$125,MATCH("BR-04|"&amp;INDEX(Matching_Engine!$C$78:$C$101,MATCH(LARGE(Matching_Engine!$BC$78:$BC$101,3),Matching_Engine!$BC$78:$BC$101,0)),Matching_Engine!$BG$6:$BG$125,0)),"")</f>
        <v/>
      </c>
      <c r="F50" s="57" t="str">
        <f ca="1">IFERROR(INDEX(Match_Explanation!$G$6:$G$125,MATCH("BR-04|"&amp;INDEX(Matching_Engine!$C$78:$C$101,MATCH(LARGE(Matching_Engine!$BC$78:$BC$101,3),Matching_Engine!$BC$78:$BC$101,0)),Matching_Engine!$BG$6:$BG$125,0)),"")</f>
        <v/>
      </c>
      <c r="G50" s="57" t="str">
        <f>IFERROR(INDEX(Match_Explanation!$H$6:$H$125,MATCH("BR-04|"&amp;INDEX(Matching_Engine!$C$78:$C$101,MATCH(LARGE(Matching_Engine!$BC$78:$BC$101,3),Matching_Engine!$BC$78:$BC$101,0)),Matching_Engine!$BG$6:$BG$125,0)),"")</f>
        <v/>
      </c>
    </row>
    <row r="51" spans="1:7">
      <c r="A51" s="60" t="s">
        <v>2798</v>
      </c>
      <c r="B51" s="53">
        <v>4</v>
      </c>
      <c r="C51" s="61" t="e">
        <f>'[2]#REF'!$B$90</f>
        <v>#REF!</v>
      </c>
      <c r="D51" s="62" t="e">
        <f>'[2]#REF'!$E$90</f>
        <v>#REF!</v>
      </c>
      <c r="E51" s="57" t="str">
        <f ca="1">IFERROR(INDEX(Match_Explanation!$F$6:$F$125,MATCH("BR-04|"&amp;INDEX(Matching_Engine!$C$78:$C$101,MATCH(LARGE(Matching_Engine!$BC$78:$BC$101,4),Matching_Engine!$BC$78:$BC$101,0)),Matching_Engine!$BG$6:$BG$125,0)),"")</f>
        <v/>
      </c>
      <c r="F51" s="57" t="str">
        <f ca="1">IFERROR(INDEX(Match_Explanation!$G$6:$G$125,MATCH("BR-04|"&amp;INDEX(Matching_Engine!$C$78:$C$101,MATCH(LARGE(Matching_Engine!$BC$78:$BC$101,4),Matching_Engine!$BC$78:$BC$101,0)),Matching_Engine!$BG$6:$BG$125,0)),"")</f>
        <v/>
      </c>
      <c r="G51" s="57" t="str">
        <f>IFERROR(INDEX(Match_Explanation!$H$6:$H$125,MATCH("BR-04|"&amp;INDEX(Matching_Engine!$C$78:$C$101,MATCH(LARGE(Matching_Engine!$BC$78:$BC$101,4),Matching_Engine!$BC$78:$BC$101,0)),Matching_Engine!$BG$6:$BG$125,0)),"")</f>
        <v/>
      </c>
    </row>
    <row r="52" spans="1:7">
      <c r="A52" s="60" t="s">
        <v>2798</v>
      </c>
      <c r="B52" s="53">
        <v>5</v>
      </c>
      <c r="C52" s="61" t="e">
        <f>'[2]#REF'!$B$91</f>
        <v>#REF!</v>
      </c>
      <c r="D52" s="62" t="e">
        <f>'[2]#REF'!$E$91</f>
        <v>#REF!</v>
      </c>
      <c r="E52" s="57" t="str">
        <f ca="1">IFERROR(INDEX(Match_Explanation!$F$6:$F$125,MATCH("BR-04|"&amp;INDEX(Matching_Engine!$C$78:$C$101,MATCH(LARGE(Matching_Engine!$BC$78:$BC$101,5),Matching_Engine!$BC$78:$BC$101,0)),Matching_Engine!$BG$6:$BG$125,0)),"")</f>
        <v/>
      </c>
      <c r="F52" s="57" t="str">
        <f ca="1">IFERROR(INDEX(Match_Explanation!$G$6:$G$125,MATCH("BR-04|"&amp;INDEX(Matching_Engine!$C$78:$C$101,MATCH(LARGE(Matching_Engine!$BC$78:$BC$101,5),Matching_Engine!$BC$78:$BC$101,0)),Matching_Engine!$BG$6:$BG$125,0)),"")</f>
        <v/>
      </c>
      <c r="G52" s="57" t="str">
        <f>IFERROR(INDEX(Match_Explanation!$H$6:$H$125,MATCH("BR-04|"&amp;INDEX(Matching_Engine!$C$78:$C$101,MATCH(LARGE(Matching_Engine!$BC$78:$BC$101,5),Matching_Engine!$BC$78:$BC$101,0)),Matching_Engine!$BG$6:$BG$125,0)),"")</f>
        <v/>
      </c>
    </row>
    <row r="53" spans="1:7">
      <c r="A53" s="60" t="s">
        <v>2799</v>
      </c>
      <c r="B53" s="53">
        <v>20</v>
      </c>
      <c r="C53" s="61" t="e">
        <f>'[2]#REF'!$B$106</f>
        <v>#REF!</v>
      </c>
      <c r="D53" s="62" t="e">
        <f>'[2]#REF'!$E$106</f>
        <v>#REF!</v>
      </c>
      <c r="E53" s="57" t="str">
        <f ca="1">IFERROR(INDEX(Match_Explanation!$F$6:$F$125,MATCH("BR-04|"&amp;INDEX(Matching_Engine!$C$78:$C$101,MATCH(LARGE(Matching_Engine!$BC$78:$BC$101,20),Matching_Engine!$BC$78:$BC$101,0)),Matching_Engine!$BG$6:$BG$125,0)),"")</f>
        <v/>
      </c>
      <c r="F53" s="57" t="str">
        <f ca="1">IFERROR(INDEX(Match_Explanation!$G$6:$G$125,MATCH("BR-04|"&amp;INDEX(Matching_Engine!$C$78:$C$101,MATCH(LARGE(Matching_Engine!$BC$78:$BC$101,20),Matching_Engine!$BC$78:$BC$101,0)),Matching_Engine!$BG$6:$BG$125,0)),"")</f>
        <v/>
      </c>
      <c r="G53" s="57" t="str">
        <f>IFERROR(INDEX(Match_Explanation!$H$6:$H$125,MATCH("BR-04|"&amp;INDEX(Matching_Engine!$C$78:$C$101,MATCH(LARGE(Matching_Engine!$BC$78:$BC$101,20),Matching_Engine!$BC$78:$BC$101,0)),Matching_Engine!$BG$6:$BG$125,0)),"")</f>
        <v/>
      </c>
    </row>
    <row r="54" spans="1:7">
      <c r="A54" s="60" t="s">
        <v>2799</v>
      </c>
      <c r="B54" s="53">
        <v>21</v>
      </c>
      <c r="C54" s="61" t="e">
        <f>'[2]#REF'!$B$107</f>
        <v>#REF!</v>
      </c>
      <c r="D54" s="62" t="e">
        <f>'[2]#REF'!$E$107</f>
        <v>#REF!</v>
      </c>
      <c r="E54" s="57" t="str">
        <f ca="1">IFERROR(INDEX(Match_Explanation!$F$6:$F$125,MATCH("BR-04|"&amp;INDEX(Matching_Engine!$C$78:$C$101,MATCH(LARGE(Matching_Engine!$BC$78:$BC$101,21),Matching_Engine!$BC$78:$BC$101,0)),Matching_Engine!$BG$6:$BG$125,0)),"")</f>
        <v/>
      </c>
      <c r="F54" s="57" t="str">
        <f ca="1">IFERROR(INDEX(Match_Explanation!$G$6:$G$125,MATCH("BR-04|"&amp;INDEX(Matching_Engine!$C$78:$C$101,MATCH(LARGE(Matching_Engine!$BC$78:$BC$101,21),Matching_Engine!$BC$78:$BC$101,0)),Matching_Engine!$BG$6:$BG$125,0)),"")</f>
        <v/>
      </c>
      <c r="G54" s="57" t="str">
        <f>IFERROR(INDEX(Match_Explanation!$H$6:$H$125,MATCH("BR-04|"&amp;INDEX(Matching_Engine!$C$78:$C$101,MATCH(LARGE(Matching_Engine!$BC$78:$BC$101,21),Matching_Engine!$BC$78:$BC$101,0)),Matching_Engine!$BG$6:$BG$125,0)),"")</f>
        <v/>
      </c>
    </row>
    <row r="55" spans="1:7">
      <c r="A55" s="60" t="s">
        <v>2799</v>
      </c>
      <c r="B55" s="53">
        <v>22</v>
      </c>
      <c r="C55" s="61" t="e">
        <f>'[2]#REF'!$B$108</f>
        <v>#REF!</v>
      </c>
      <c r="D55" s="62" t="e">
        <f>'[2]#REF'!$E$108</f>
        <v>#REF!</v>
      </c>
      <c r="E55" s="57" t="str">
        <f ca="1">IFERROR(INDEX(Match_Explanation!$F$6:$F$125,MATCH("BR-04|"&amp;INDEX(Matching_Engine!$C$78:$C$101,MATCH(LARGE(Matching_Engine!$BC$78:$BC$101,22),Matching_Engine!$BC$78:$BC$101,0)),Matching_Engine!$BG$6:$BG$125,0)),"")</f>
        <v/>
      </c>
      <c r="F55" s="57" t="str">
        <f ca="1">IFERROR(INDEX(Match_Explanation!$G$6:$G$125,MATCH("BR-04|"&amp;INDEX(Matching_Engine!$C$78:$C$101,MATCH(LARGE(Matching_Engine!$BC$78:$BC$101,22),Matching_Engine!$BC$78:$BC$101,0)),Matching_Engine!$BG$6:$BG$125,0)),"")</f>
        <v/>
      </c>
      <c r="G55" s="57" t="str">
        <f>IFERROR(INDEX(Match_Explanation!$H$6:$H$125,MATCH("BR-04|"&amp;INDEX(Matching_Engine!$C$78:$C$101,MATCH(LARGE(Matching_Engine!$BC$78:$BC$101,22),Matching_Engine!$BC$78:$BC$101,0)),Matching_Engine!$BG$6:$BG$125,0)),"")</f>
        <v/>
      </c>
    </row>
    <row r="56" spans="1:7">
      <c r="A56" s="60" t="s">
        <v>2799</v>
      </c>
      <c r="B56" s="53">
        <v>23</v>
      </c>
      <c r="C56" s="61" t="e">
        <f>'[2]#REF'!$B$109</f>
        <v>#REF!</v>
      </c>
      <c r="D56" s="62" t="e">
        <f>'[2]#REF'!$E$109</f>
        <v>#REF!</v>
      </c>
      <c r="E56" s="57" t="str">
        <f ca="1">IFERROR(INDEX(Match_Explanation!$F$6:$F$125,MATCH("BR-04|"&amp;INDEX(Matching_Engine!$C$78:$C$101,MATCH(LARGE(Matching_Engine!$BC$78:$BC$101,23),Matching_Engine!$BC$78:$BC$101,0)),Matching_Engine!$BG$6:$BG$125,0)),"")</f>
        <v/>
      </c>
      <c r="F56" s="57" t="str">
        <f ca="1">IFERROR(INDEX(Match_Explanation!$G$6:$G$125,MATCH("BR-04|"&amp;INDEX(Matching_Engine!$C$78:$C$101,MATCH(LARGE(Matching_Engine!$BC$78:$BC$101,23),Matching_Engine!$BC$78:$BC$101,0)),Matching_Engine!$BG$6:$BG$125,0)),"")</f>
        <v/>
      </c>
      <c r="G56" s="57" t="str">
        <f>IFERROR(INDEX(Match_Explanation!$H$6:$H$125,MATCH("BR-04|"&amp;INDEX(Matching_Engine!$C$78:$C$101,MATCH(LARGE(Matching_Engine!$BC$78:$BC$101,23),Matching_Engine!$BC$78:$BC$101,0)),Matching_Engine!$BG$6:$BG$125,0)),"")</f>
        <v/>
      </c>
    </row>
    <row r="57" spans="1:7">
      <c r="A57" s="60" t="s">
        <v>2799</v>
      </c>
      <c r="B57" s="53">
        <v>24</v>
      </c>
      <c r="C57" s="61" t="e">
        <f>'[2]#REF'!$B$110</f>
        <v>#REF!</v>
      </c>
      <c r="D57" s="62" t="e">
        <f>'[2]#REF'!$E$110</f>
        <v>#REF!</v>
      </c>
      <c r="E57" s="57" t="str">
        <f ca="1">IFERROR(INDEX(Match_Explanation!$F$6:$F$125,MATCH("BR-04|"&amp;INDEX(Matching_Engine!$C$78:$C$101,MATCH(LARGE(Matching_Engine!$BC$78:$BC$101,24),Matching_Engine!$BC$78:$BC$101,0)),Matching_Engine!$BG$6:$BG$125,0)),"")</f>
        <v/>
      </c>
      <c r="F57" s="57" t="str">
        <f ca="1">IFERROR(INDEX(Match_Explanation!$G$6:$G$125,MATCH("BR-04|"&amp;INDEX(Matching_Engine!$C$78:$C$101,MATCH(LARGE(Matching_Engine!$BC$78:$BC$101,24),Matching_Engine!$BC$78:$BC$101,0)),Matching_Engine!$BG$6:$BG$125,0)),"")</f>
        <v/>
      </c>
      <c r="G57" s="57" t="str">
        <f>IFERROR(INDEX(Match_Explanation!$H$6:$H$125,MATCH("BR-04|"&amp;INDEX(Matching_Engine!$C$78:$C$101,MATCH(LARGE(Matching_Engine!$BC$78:$BC$101,24),Matching_Engine!$BC$78:$BC$101,0)),Matching_Engine!$BG$6:$BG$125,0)),"")</f>
        <v/>
      </c>
    </row>
    <row r="60" ht="18" customHeight="1" spans="1:7">
      <c r="A60" s="40" t="s">
        <v>2803</v>
      </c>
    </row>
    <row r="61" ht="24" customHeight="1" spans="1:7">
      <c r="A61" s="41" t="s">
        <v>2794</v>
      </c>
      <c r="B61" s="41" t="s">
        <v>1951</v>
      </c>
      <c r="C61" s="41" t="s">
        <v>1031</v>
      </c>
      <c r="D61" s="41" t="s">
        <v>1853</v>
      </c>
      <c r="E61" s="41" t="s">
        <v>2795</v>
      </c>
      <c r="F61" s="41" t="s">
        <v>2796</v>
      </c>
      <c r="G61" s="41" t="s">
        <v>2797</v>
      </c>
    </row>
    <row r="62" spans="1:7">
      <c r="A62" s="60" t="s">
        <v>2798</v>
      </c>
      <c r="B62" s="53">
        <v>1</v>
      </c>
      <c r="C62" s="61" t="e">
        <f>'[2]#REF'!$B$114</f>
        <v>#REF!</v>
      </c>
      <c r="D62" s="62" t="e">
        <f>'[2]#REF'!$E$114</f>
        <v>#REF!</v>
      </c>
      <c r="E62" s="57" t="str">
        <f ca="1">IFERROR(INDEX(Match_Explanation!$F$6:$F$125,MATCH("BR-05|"&amp;INDEX(Matching_Engine!$C$102:$C$125,MATCH(LARGE(Matching_Engine!$BC$102:$BC$125,1),Matching_Engine!$BC$102:$BC$125,0)),Matching_Engine!$BG$6:$BG$125,0)),"")</f>
        <v/>
      </c>
      <c r="F62" s="57" t="str">
        <f ca="1">IFERROR(INDEX(Match_Explanation!$G$6:$G$125,MATCH("BR-05|"&amp;INDEX(Matching_Engine!$C$102:$C$125,MATCH(LARGE(Matching_Engine!$BC$102:$BC$125,1),Matching_Engine!$BC$102:$BC$125,0)),Matching_Engine!$BG$6:$BG$125,0)),"")</f>
        <v/>
      </c>
      <c r="G62" s="57" t="str">
        <f>IFERROR(INDEX(Match_Explanation!$H$6:$H$125,MATCH("BR-05|"&amp;INDEX(Matching_Engine!$C$102:$C$125,MATCH(LARGE(Matching_Engine!$BC$102:$BC$125,1),Matching_Engine!$BC$102:$BC$125,0)),Matching_Engine!$BG$6:$BG$125,0)),"")</f>
        <v/>
      </c>
    </row>
    <row r="63" spans="1:7">
      <c r="A63" s="60" t="s">
        <v>2798</v>
      </c>
      <c r="B63" s="53">
        <v>2</v>
      </c>
      <c r="C63" s="61" t="e">
        <f>'[2]#REF'!$B$115</f>
        <v>#REF!</v>
      </c>
      <c r="D63" s="62" t="e">
        <f>'[2]#REF'!$E$115</f>
        <v>#REF!</v>
      </c>
      <c r="E63" s="57" t="str">
        <f ca="1">IFERROR(INDEX(Match_Explanation!$F$6:$F$125,MATCH("BR-05|"&amp;INDEX(Matching_Engine!$C$102:$C$125,MATCH(LARGE(Matching_Engine!$BC$102:$BC$125,2),Matching_Engine!$BC$102:$BC$125,0)),Matching_Engine!$BG$6:$BG$125,0)),"")</f>
        <v/>
      </c>
      <c r="F63" s="57" t="str">
        <f ca="1">IFERROR(INDEX(Match_Explanation!$G$6:$G$125,MATCH("BR-05|"&amp;INDEX(Matching_Engine!$C$102:$C$125,MATCH(LARGE(Matching_Engine!$BC$102:$BC$125,2),Matching_Engine!$BC$102:$BC$125,0)),Matching_Engine!$BG$6:$BG$125,0)),"")</f>
        <v/>
      </c>
      <c r="G63" s="57" t="str">
        <f>IFERROR(INDEX(Match_Explanation!$H$6:$H$125,MATCH("BR-05|"&amp;INDEX(Matching_Engine!$C$102:$C$125,MATCH(LARGE(Matching_Engine!$BC$102:$BC$125,2),Matching_Engine!$BC$102:$BC$125,0)),Matching_Engine!$BG$6:$BG$125,0)),"")</f>
        <v/>
      </c>
    </row>
    <row r="64" spans="1:7">
      <c r="A64" s="60" t="s">
        <v>2798</v>
      </c>
      <c r="B64" s="53">
        <v>3</v>
      </c>
      <c r="C64" s="61" t="e">
        <f>'[2]#REF'!$B$116</f>
        <v>#REF!</v>
      </c>
      <c r="D64" s="62" t="e">
        <f>'[2]#REF'!$E$116</f>
        <v>#REF!</v>
      </c>
      <c r="E64" s="57" t="str">
        <f ca="1">IFERROR(INDEX(Match_Explanation!$F$6:$F$125,MATCH("BR-05|"&amp;INDEX(Matching_Engine!$C$102:$C$125,MATCH(LARGE(Matching_Engine!$BC$102:$BC$125,3),Matching_Engine!$BC$102:$BC$125,0)),Matching_Engine!$BG$6:$BG$125,0)),"")</f>
        <v/>
      </c>
      <c r="F64" s="57" t="str">
        <f ca="1">IFERROR(INDEX(Match_Explanation!$G$6:$G$125,MATCH("BR-05|"&amp;INDEX(Matching_Engine!$C$102:$C$125,MATCH(LARGE(Matching_Engine!$BC$102:$BC$125,3),Matching_Engine!$BC$102:$BC$125,0)),Matching_Engine!$BG$6:$BG$125,0)),"")</f>
        <v/>
      </c>
      <c r="G64" s="57" t="str">
        <f>IFERROR(INDEX(Match_Explanation!$H$6:$H$125,MATCH("BR-05|"&amp;INDEX(Matching_Engine!$C$102:$C$125,MATCH(LARGE(Matching_Engine!$BC$102:$BC$125,3),Matching_Engine!$BC$102:$BC$125,0)),Matching_Engine!$BG$6:$BG$125,0)),"")</f>
        <v/>
      </c>
    </row>
    <row r="65" spans="1:7">
      <c r="A65" s="60" t="s">
        <v>2798</v>
      </c>
      <c r="B65" s="53">
        <v>4</v>
      </c>
      <c r="C65" s="61" t="e">
        <f>'[2]#REF'!$B$117</f>
        <v>#REF!</v>
      </c>
      <c r="D65" s="62" t="e">
        <f>'[2]#REF'!$E$117</f>
        <v>#REF!</v>
      </c>
      <c r="E65" s="57" t="str">
        <f ca="1">IFERROR(INDEX(Match_Explanation!$F$6:$F$125,MATCH("BR-05|"&amp;INDEX(Matching_Engine!$C$102:$C$125,MATCH(LARGE(Matching_Engine!$BC$102:$BC$125,4),Matching_Engine!$BC$102:$BC$125,0)),Matching_Engine!$BG$6:$BG$125,0)),"")</f>
        <v/>
      </c>
      <c r="F65" s="57" t="str">
        <f ca="1">IFERROR(INDEX(Match_Explanation!$G$6:$G$125,MATCH("BR-05|"&amp;INDEX(Matching_Engine!$C$102:$C$125,MATCH(LARGE(Matching_Engine!$BC$102:$BC$125,4),Matching_Engine!$BC$102:$BC$125,0)),Matching_Engine!$BG$6:$BG$125,0)),"")</f>
        <v/>
      </c>
      <c r="G65" s="57" t="str">
        <f>IFERROR(INDEX(Match_Explanation!$H$6:$H$125,MATCH("BR-05|"&amp;INDEX(Matching_Engine!$C$102:$C$125,MATCH(LARGE(Matching_Engine!$BC$102:$BC$125,4),Matching_Engine!$BC$102:$BC$125,0)),Matching_Engine!$BG$6:$BG$125,0)),"")</f>
        <v/>
      </c>
    </row>
    <row r="66" spans="1:7">
      <c r="A66" s="60" t="s">
        <v>2798</v>
      </c>
      <c r="B66" s="53">
        <v>5</v>
      </c>
      <c r="C66" s="61" t="e">
        <f>'[2]#REF'!$B$118</f>
        <v>#REF!</v>
      </c>
      <c r="D66" s="62" t="e">
        <f>'[2]#REF'!$E$118</f>
        <v>#REF!</v>
      </c>
      <c r="E66" s="57" t="str">
        <f ca="1">IFERROR(INDEX(Match_Explanation!$F$6:$F$125,MATCH("BR-05|"&amp;INDEX(Matching_Engine!$C$102:$C$125,MATCH(LARGE(Matching_Engine!$BC$102:$BC$125,5),Matching_Engine!$BC$102:$BC$125,0)),Matching_Engine!$BG$6:$BG$125,0)),"")</f>
        <v/>
      </c>
      <c r="F66" s="57" t="str">
        <f ca="1">IFERROR(INDEX(Match_Explanation!$G$6:$G$125,MATCH("BR-05|"&amp;INDEX(Matching_Engine!$C$102:$C$125,MATCH(LARGE(Matching_Engine!$BC$102:$BC$125,5),Matching_Engine!$BC$102:$BC$125,0)),Matching_Engine!$BG$6:$BG$125,0)),"")</f>
        <v/>
      </c>
      <c r="G66" s="57" t="str">
        <f>IFERROR(INDEX(Match_Explanation!$H$6:$H$125,MATCH("BR-05|"&amp;INDEX(Matching_Engine!$C$102:$C$125,MATCH(LARGE(Matching_Engine!$BC$102:$BC$125,5),Matching_Engine!$BC$102:$BC$125,0)),Matching_Engine!$BG$6:$BG$125,0)),"")</f>
        <v/>
      </c>
    </row>
    <row r="67" spans="1:7">
      <c r="A67" s="60" t="s">
        <v>2799</v>
      </c>
      <c r="B67" s="53">
        <v>20</v>
      </c>
      <c r="C67" s="61" t="e">
        <f>'[2]#REF'!$B$133</f>
        <v>#REF!</v>
      </c>
      <c r="D67" s="62" t="e">
        <f>'[2]#REF'!$E$133</f>
        <v>#REF!</v>
      </c>
      <c r="E67" s="57" t="str">
        <f ca="1">IFERROR(INDEX(Match_Explanation!$F$6:$F$125,MATCH("BR-05|"&amp;INDEX(Matching_Engine!$C$102:$C$125,MATCH(LARGE(Matching_Engine!$BC$102:$BC$125,20),Matching_Engine!$BC$102:$BC$125,0)),Matching_Engine!$BG$6:$BG$125,0)),"")</f>
        <v/>
      </c>
      <c r="F67" s="57" t="str">
        <f ca="1">IFERROR(INDEX(Match_Explanation!$G$6:$G$125,MATCH("BR-05|"&amp;INDEX(Matching_Engine!$C$102:$C$125,MATCH(LARGE(Matching_Engine!$BC$102:$BC$125,20),Matching_Engine!$BC$102:$BC$125,0)),Matching_Engine!$BG$6:$BG$125,0)),"")</f>
        <v/>
      </c>
      <c r="G67" s="57" t="str">
        <f>IFERROR(INDEX(Match_Explanation!$H$6:$H$125,MATCH("BR-05|"&amp;INDEX(Matching_Engine!$C$102:$C$125,MATCH(LARGE(Matching_Engine!$BC$102:$BC$125,20),Matching_Engine!$BC$102:$BC$125,0)),Matching_Engine!$BG$6:$BG$125,0)),"")</f>
        <v/>
      </c>
    </row>
    <row r="68" spans="1:7">
      <c r="A68" s="60" t="s">
        <v>2799</v>
      </c>
      <c r="B68" s="53">
        <v>21</v>
      </c>
      <c r="C68" s="61" t="e">
        <f>'[2]#REF'!$B$134</f>
        <v>#REF!</v>
      </c>
      <c r="D68" s="62" t="e">
        <f>'[2]#REF'!$E$134</f>
        <v>#REF!</v>
      </c>
      <c r="E68" s="57" t="str">
        <f ca="1">IFERROR(INDEX(Match_Explanation!$F$6:$F$125,MATCH("BR-05|"&amp;INDEX(Matching_Engine!$C$102:$C$125,MATCH(LARGE(Matching_Engine!$BC$102:$BC$125,21),Matching_Engine!$BC$102:$BC$125,0)),Matching_Engine!$BG$6:$BG$125,0)),"")</f>
        <v/>
      </c>
      <c r="F68" s="57" t="str">
        <f ca="1">IFERROR(INDEX(Match_Explanation!$G$6:$G$125,MATCH("BR-05|"&amp;INDEX(Matching_Engine!$C$102:$C$125,MATCH(LARGE(Matching_Engine!$BC$102:$BC$125,21),Matching_Engine!$BC$102:$BC$125,0)),Matching_Engine!$BG$6:$BG$125,0)),"")</f>
        <v/>
      </c>
      <c r="G68" s="57" t="str">
        <f>IFERROR(INDEX(Match_Explanation!$H$6:$H$125,MATCH("BR-05|"&amp;INDEX(Matching_Engine!$C$102:$C$125,MATCH(LARGE(Matching_Engine!$BC$102:$BC$125,21),Matching_Engine!$BC$102:$BC$125,0)),Matching_Engine!$BG$6:$BG$125,0)),"")</f>
        <v/>
      </c>
    </row>
    <row r="69" spans="1:7">
      <c r="A69" s="60" t="s">
        <v>2799</v>
      </c>
      <c r="B69" s="53">
        <v>22</v>
      </c>
      <c r="C69" s="61" t="e">
        <f>'[2]#REF'!$B$135</f>
        <v>#REF!</v>
      </c>
      <c r="D69" s="62" t="e">
        <f>'[2]#REF'!$E$135</f>
        <v>#REF!</v>
      </c>
      <c r="E69" s="57" t="str">
        <f ca="1">IFERROR(INDEX(Match_Explanation!$F$6:$F$125,MATCH("BR-05|"&amp;INDEX(Matching_Engine!$C$102:$C$125,MATCH(LARGE(Matching_Engine!$BC$102:$BC$125,22),Matching_Engine!$BC$102:$BC$125,0)),Matching_Engine!$BG$6:$BG$125,0)),"")</f>
        <v/>
      </c>
      <c r="F69" s="57" t="str">
        <f ca="1">IFERROR(INDEX(Match_Explanation!$G$6:$G$125,MATCH("BR-05|"&amp;INDEX(Matching_Engine!$C$102:$C$125,MATCH(LARGE(Matching_Engine!$BC$102:$BC$125,22),Matching_Engine!$BC$102:$BC$125,0)),Matching_Engine!$BG$6:$BG$125,0)),"")</f>
        <v/>
      </c>
      <c r="G69" s="57" t="str">
        <f>IFERROR(INDEX(Match_Explanation!$H$6:$H$125,MATCH("BR-05|"&amp;INDEX(Matching_Engine!$C$102:$C$125,MATCH(LARGE(Matching_Engine!$BC$102:$BC$125,22),Matching_Engine!$BC$102:$BC$125,0)),Matching_Engine!$BG$6:$BG$125,0)),"")</f>
        <v/>
      </c>
    </row>
    <row r="70" spans="1:7">
      <c r="A70" s="60" t="s">
        <v>2799</v>
      </c>
      <c r="B70" s="53">
        <v>23</v>
      </c>
      <c r="C70" s="61" t="e">
        <f>'[2]#REF'!$B$136</f>
        <v>#REF!</v>
      </c>
      <c r="D70" s="62" t="e">
        <f>'[2]#REF'!$E$136</f>
        <v>#REF!</v>
      </c>
      <c r="E70" s="57" t="str">
        <f ca="1">IFERROR(INDEX(Match_Explanation!$F$6:$F$125,MATCH("BR-05|"&amp;INDEX(Matching_Engine!$C$102:$C$125,MATCH(LARGE(Matching_Engine!$BC$102:$BC$125,23),Matching_Engine!$BC$102:$BC$125,0)),Matching_Engine!$BG$6:$BG$125,0)),"")</f>
        <v/>
      </c>
      <c r="F70" s="57" t="str">
        <f ca="1">IFERROR(INDEX(Match_Explanation!$G$6:$G$125,MATCH("BR-05|"&amp;INDEX(Matching_Engine!$C$102:$C$125,MATCH(LARGE(Matching_Engine!$BC$102:$BC$125,23),Matching_Engine!$BC$102:$BC$125,0)),Matching_Engine!$BG$6:$BG$125,0)),"")</f>
        <v/>
      </c>
      <c r="G70" s="57" t="str">
        <f>IFERROR(INDEX(Match_Explanation!$H$6:$H$125,MATCH("BR-05|"&amp;INDEX(Matching_Engine!$C$102:$C$125,MATCH(LARGE(Matching_Engine!$BC$102:$BC$125,23),Matching_Engine!$BC$102:$BC$125,0)),Matching_Engine!$BG$6:$BG$125,0)),"")</f>
        <v/>
      </c>
    </row>
    <row r="71" spans="1:7">
      <c r="A71" s="60" t="s">
        <v>2799</v>
      </c>
      <c r="B71" s="53">
        <v>24</v>
      </c>
      <c r="C71" s="61" t="e">
        <f>'[2]#REF'!$B$137</f>
        <v>#REF!</v>
      </c>
      <c r="D71" s="62" t="e">
        <f>'[2]#REF'!$E$137</f>
        <v>#REF!</v>
      </c>
      <c r="E71" s="57" t="str">
        <f ca="1">IFERROR(INDEX(Match_Explanation!$F$6:$F$125,MATCH("BR-05|"&amp;INDEX(Matching_Engine!$C$102:$C$125,MATCH(LARGE(Matching_Engine!$BC$102:$BC$125,24),Matching_Engine!$BC$102:$BC$125,0)),Matching_Engine!$BG$6:$BG$125,0)),"")</f>
        <v/>
      </c>
      <c r="F71" s="57" t="str">
        <f ca="1">IFERROR(INDEX(Match_Explanation!$G$6:$G$125,MATCH("BR-05|"&amp;INDEX(Matching_Engine!$C$102:$C$125,MATCH(LARGE(Matching_Engine!$BC$102:$BC$125,24),Matching_Engine!$BC$102:$BC$125,0)),Matching_Engine!$BG$6:$BG$125,0)),"")</f>
        <v/>
      </c>
      <c r="G71" s="57" t="str">
        <f>IFERROR(INDEX(Match_Explanation!$H$6:$H$125,MATCH("BR-05|"&amp;INDEX(Matching_Engine!$C$102:$C$125,MATCH(LARGE(Matching_Engine!$BC$102:$BC$125,24),Matching_Engine!$BC$102:$BC$125,0)),Matching_Engine!$BG$6:$BG$125,0)),"")</f>
        <v/>
      </c>
    </row>
  </sheetData>
  <mergeCells count="7">
    <mergeCell ref="A1:G1"/>
    <mergeCell ref="A2:G2"/>
    <mergeCell ref="A4:G4"/>
    <mergeCell ref="A18:G18"/>
    <mergeCell ref="A32:G32"/>
    <mergeCell ref="A46:G46"/>
    <mergeCell ref="A60:G60"/>
  </mergeCells>
  <pageMargins left="0.7" right="0.7" top="0.75" bottom="0.75" header="0.3" footer="0.3"/>
  <pageSetup paperSize="1" orientation="portrait"/>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71"/>
  <sheetViews>
    <sheetView workbookViewId="0">
      <pane ySplit="4" topLeftCell="A5" activePane="bottomLeft" state="frozen"/>
      <selection/>
      <selection pane="bottomLeft" activeCell="A1" sqref="A1:H1"/>
    </sheetView>
  </sheetViews>
  <sheetFormatPr defaultColWidth="9" defaultRowHeight="15" outlineLevelCol="7"/>
  <cols>
    <col min="1" max="1" width="15" customWidth="1"/>
    <col min="2" max="2" width="24" customWidth="1"/>
    <col min="3" max="3" width="26" customWidth="1"/>
    <col min="4" max="4" width="22" customWidth="1"/>
    <col min="5" max="5" width="24" customWidth="1"/>
    <col min="6" max="6" width="28" customWidth="1"/>
    <col min="7" max="7" width="17" customWidth="1"/>
    <col min="8" max="8" width="62" customWidth="1"/>
  </cols>
  <sheetData>
    <row r="1" ht="24" customHeight="1" spans="1:8">
      <c r="A1" s="38" t="s">
        <v>2804</v>
      </c>
    </row>
    <row r="2" ht="30" customHeight="1" spans="1:8">
      <c r="A2" s="39" t="s">
        <v>2805</v>
      </c>
    </row>
    <row r="4" ht="18" customHeight="1" spans="1:8">
      <c r="A4" s="40" t="s">
        <v>2806</v>
      </c>
    </row>
    <row r="5" ht="30" customHeight="1" spans="1:8">
      <c r="A5" s="41" t="s">
        <v>812</v>
      </c>
      <c r="B5" s="41" t="s">
        <v>813</v>
      </c>
      <c r="C5" s="41" t="s">
        <v>311</v>
      </c>
      <c r="D5" s="41" t="s">
        <v>816</v>
      </c>
      <c r="E5" s="41" t="s">
        <v>2807</v>
      </c>
      <c r="F5" s="41" t="s">
        <v>2808</v>
      </c>
      <c r="G5" s="41" t="s">
        <v>2809</v>
      </c>
      <c r="H5" s="41" t="s">
        <v>2810</v>
      </c>
    </row>
    <row r="6" spans="1:8">
      <c r="A6" s="49" t="s">
        <v>822</v>
      </c>
      <c r="B6" s="43" t="s">
        <v>823</v>
      </c>
      <c r="C6" s="46" t="s">
        <v>824</v>
      </c>
      <c r="D6" s="46" t="s">
        <v>826</v>
      </c>
      <c r="E6" s="46" t="s">
        <v>827</v>
      </c>
      <c r="F6" s="43" t="s">
        <v>444</v>
      </c>
      <c r="G6" s="43" t="s">
        <v>828</v>
      </c>
      <c r="H6" s="59" t="s">
        <v>2811</v>
      </c>
    </row>
    <row r="7" spans="1:8">
      <c r="A7" s="49" t="s">
        <v>822</v>
      </c>
      <c r="B7" s="43" t="s">
        <v>445</v>
      </c>
      <c r="C7" s="46" t="s">
        <v>831</v>
      </c>
      <c r="D7" s="46" t="s">
        <v>832</v>
      </c>
      <c r="E7" s="46" t="s">
        <v>827</v>
      </c>
      <c r="F7" s="43" t="s">
        <v>445</v>
      </c>
      <c r="G7" s="43" t="s">
        <v>828</v>
      </c>
      <c r="H7" s="59" t="s">
        <v>2812</v>
      </c>
    </row>
    <row r="8" spans="1:8">
      <c r="A8" s="49" t="s">
        <v>822</v>
      </c>
      <c r="B8" s="43" t="s">
        <v>834</v>
      </c>
      <c r="C8" s="46" t="s">
        <v>835</v>
      </c>
      <c r="D8" s="46" t="s">
        <v>832</v>
      </c>
      <c r="E8" s="46" t="s">
        <v>226</v>
      </c>
      <c r="F8" s="43" t="s">
        <v>836</v>
      </c>
      <c r="G8" s="49" t="s">
        <v>837</v>
      </c>
      <c r="H8" s="59" t="s">
        <v>2813</v>
      </c>
    </row>
    <row r="9" spans="1:8">
      <c r="A9" s="49" t="s">
        <v>847</v>
      </c>
      <c r="B9" s="43" t="s">
        <v>391</v>
      </c>
      <c r="C9" s="46" t="s">
        <v>848</v>
      </c>
      <c r="D9" s="46" t="s">
        <v>849</v>
      </c>
      <c r="E9" s="46" t="s">
        <v>238</v>
      </c>
      <c r="F9" s="43" t="s">
        <v>390</v>
      </c>
      <c r="G9" s="43" t="s">
        <v>828</v>
      </c>
      <c r="H9" s="59" t="e">
        <f>COUNTIF('[1]#REF'!$E$6:$E$29,"TikTok")&amp;" of 24 would be removed by an Instagram-only filter"</f>
        <v>#VALUE!</v>
      </c>
    </row>
    <row r="10" spans="1:8">
      <c r="A10" s="49" t="s">
        <v>847</v>
      </c>
      <c r="B10" s="43" t="s">
        <v>392</v>
      </c>
      <c r="C10" s="46" t="s">
        <v>851</v>
      </c>
      <c r="D10" s="46" t="s">
        <v>849</v>
      </c>
      <c r="E10" s="46" t="s">
        <v>238</v>
      </c>
      <c r="F10" s="43" t="s">
        <v>390</v>
      </c>
      <c r="G10" s="43" t="s">
        <v>828</v>
      </c>
      <c r="H10" s="59" t="e">
        <f>COUNTIF('[1]#REF'!$E$6:$E$29,"Instagram")&amp;" of 24 would be removed by a TikTok-only filter"</f>
        <v>#VALUE!</v>
      </c>
    </row>
    <row r="11" spans="1:8">
      <c r="A11" s="49" t="s">
        <v>852</v>
      </c>
      <c r="B11" s="43" t="s">
        <v>416</v>
      </c>
      <c r="C11" s="46" t="s">
        <v>853</v>
      </c>
      <c r="D11" s="46" t="s">
        <v>854</v>
      </c>
      <c r="E11" s="46" t="s">
        <v>242</v>
      </c>
      <c r="F11" s="43" t="s">
        <v>416</v>
      </c>
      <c r="G11" s="43" t="s">
        <v>828</v>
      </c>
      <c r="H11" s="59" t="e">
        <f>COUNTIF('[1]#REF'!$K$6:$K$29,"N/A")&amp;" of 24 carry no category at all and would be removed by any category requirement"</f>
        <v>#VALUE!</v>
      </c>
    </row>
    <row r="12" spans="1:8">
      <c r="A12" s="49" t="s">
        <v>852</v>
      </c>
      <c r="B12" s="43" t="s">
        <v>447</v>
      </c>
      <c r="C12" s="46" t="s">
        <v>860</v>
      </c>
      <c r="D12" s="46" t="s">
        <v>854</v>
      </c>
      <c r="E12" s="46" t="s">
        <v>251</v>
      </c>
      <c r="F12" s="43" t="s">
        <v>447</v>
      </c>
      <c r="G12" s="43" t="s">
        <v>828</v>
      </c>
      <c r="H12" s="59" t="e">
        <f>COUNTIF('[1]#REF'!$H$6:$H$29,"N/A")&amp;" of 24 carry no tier"</f>
        <v>#VALUE!</v>
      </c>
    </row>
    <row r="13" spans="1:8">
      <c r="A13" s="49" t="s">
        <v>852</v>
      </c>
      <c r="B13" s="43" t="s">
        <v>450</v>
      </c>
      <c r="C13" s="46" t="s">
        <v>863</v>
      </c>
      <c r="D13" s="46" t="s">
        <v>864</v>
      </c>
      <c r="E13" s="46" t="s">
        <v>865</v>
      </c>
      <c r="F13" s="43" t="s">
        <v>450</v>
      </c>
      <c r="G13" s="43" t="s">
        <v>828</v>
      </c>
      <c r="H13" s="59" t="e">
        <f>COUNTIF('[1]#REF'!$G$6:$G$29,"&lt;1000000")&amp;" of 24 sit below 1M followers"</f>
        <v>#VALUE!</v>
      </c>
    </row>
    <row r="14" spans="1:8">
      <c r="A14" s="49" t="s">
        <v>852</v>
      </c>
      <c r="B14" s="43" t="s">
        <v>867</v>
      </c>
      <c r="C14" s="46" t="s">
        <v>868</v>
      </c>
      <c r="D14" s="46" t="s">
        <v>869</v>
      </c>
      <c r="E14" s="46" t="s">
        <v>262</v>
      </c>
      <c r="F14" s="43" t="s">
        <v>867</v>
      </c>
      <c r="G14" s="43" t="s">
        <v>828</v>
      </c>
      <c r="H14" s="59" t="e">
        <f>COUNTIF('[1]#REF'!$BG$6:$BG$29,"&lt;1")+COUNTIF('[1]#REF'!$BG$6:$BG$29,"N/A")&amp;" of 24 would be removed at Minimum ER = 1%"</f>
        <v>#VALUE!</v>
      </c>
    </row>
    <row r="15" spans="1:8">
      <c r="A15" s="49" t="s">
        <v>852</v>
      </c>
      <c r="B15" s="43" t="s">
        <v>2814</v>
      </c>
      <c r="C15" s="46" t="s">
        <v>2815</v>
      </c>
      <c r="D15" s="46" t="s">
        <v>878</v>
      </c>
      <c r="E15" s="46" t="s">
        <v>827</v>
      </c>
      <c r="F15" s="43" t="s">
        <v>2814</v>
      </c>
      <c r="G15" s="49" t="s">
        <v>844</v>
      </c>
      <c r="H15" s="59" t="str">
        <f>"removes all 24 — no creator on this server has completed the OAuth connect flow"</f>
        <v>removes all 24 — no creator on this server has completed the OAuth connect flow</v>
      </c>
    </row>
    <row r="16" ht="30" spans="1:8">
      <c r="A16" s="49" t="s">
        <v>437</v>
      </c>
      <c r="B16" s="43" t="s">
        <v>470</v>
      </c>
      <c r="C16" s="46" t="s">
        <v>881</v>
      </c>
      <c r="D16" s="46" t="s">
        <v>874</v>
      </c>
      <c r="E16" s="46" t="s">
        <v>178</v>
      </c>
      <c r="F16" s="43" t="s">
        <v>470</v>
      </c>
      <c r="G16" s="49" t="s">
        <v>844</v>
      </c>
      <c r="H16" s="59" t="s">
        <v>2816</v>
      </c>
    </row>
    <row r="17" spans="1:8">
      <c r="A17" s="49" t="s">
        <v>437</v>
      </c>
      <c r="B17" s="43" t="s">
        <v>458</v>
      </c>
      <c r="C17" s="46" t="s">
        <v>905</v>
      </c>
      <c r="D17" s="46" t="s">
        <v>906</v>
      </c>
      <c r="E17" s="46" t="s">
        <v>283</v>
      </c>
      <c r="F17" s="43" t="s">
        <v>458</v>
      </c>
      <c r="G17" s="49" t="s">
        <v>844</v>
      </c>
      <c r="H17" s="59" t="e">
        <f>COUNTIF('[1]#REF'!$BS$6:$BS$29,"N/A")&amp;" of 24 have no audience-quality reading and would be removed by any minimum"</f>
        <v>#VALUE!</v>
      </c>
    </row>
    <row r="18" spans="1:8">
      <c r="A18" s="49" t="s">
        <v>436</v>
      </c>
      <c r="B18" s="43" t="s">
        <v>867</v>
      </c>
      <c r="C18" s="46" t="s">
        <v>868</v>
      </c>
      <c r="D18" s="46" t="s">
        <v>914</v>
      </c>
      <c r="E18" s="46" t="s">
        <v>262</v>
      </c>
      <c r="F18" s="43" t="s">
        <v>867</v>
      </c>
      <c r="G18" s="43" t="s">
        <v>828</v>
      </c>
      <c r="H18" s="59" t="e">
        <f>COUNTIF('[1]#REF'!$BG$6:$BG$29,"&lt;1")+COUNTIF('[1]#REF'!$BG$6:$BG$29,"N/A")&amp;" of 24 would be removed at Minimum ER = 1%"</f>
        <v>#VALUE!</v>
      </c>
    </row>
    <row r="19" spans="1:8">
      <c r="A19" s="49" t="s">
        <v>439</v>
      </c>
      <c r="B19" s="43" t="s">
        <v>945</v>
      </c>
      <c r="C19" s="46" t="s">
        <v>946</v>
      </c>
      <c r="D19" s="46" t="s">
        <v>947</v>
      </c>
      <c r="E19" s="46" t="s">
        <v>827</v>
      </c>
      <c r="F19" s="43" t="s">
        <v>477</v>
      </c>
      <c r="G19" s="49" t="s">
        <v>844</v>
      </c>
      <c r="H19" s="59" t="s">
        <v>2817</v>
      </c>
    </row>
    <row r="20" spans="1:8">
      <c r="A20" s="49" t="s">
        <v>960</v>
      </c>
      <c r="B20" s="43" t="s">
        <v>65</v>
      </c>
      <c r="C20" s="46" t="s">
        <v>973</v>
      </c>
      <c r="D20" s="46" t="s">
        <v>906</v>
      </c>
      <c r="E20" s="46" t="s">
        <v>286</v>
      </c>
      <c r="F20" s="43" t="s">
        <v>483</v>
      </c>
      <c r="G20" s="49" t="s">
        <v>844</v>
      </c>
      <c r="H20" s="59" t="s">
        <v>2818</v>
      </c>
    </row>
    <row r="21" spans="1:8">
      <c r="A21" s="49" t="s">
        <v>1001</v>
      </c>
      <c r="B21" s="43" t="s">
        <v>486</v>
      </c>
      <c r="C21" s="46" t="s">
        <v>301</v>
      </c>
      <c r="D21" s="46" t="s">
        <v>878</v>
      </c>
      <c r="E21" s="46" t="s">
        <v>301</v>
      </c>
      <c r="F21" s="43" t="s">
        <v>486</v>
      </c>
      <c r="G21" s="43" t="s">
        <v>828</v>
      </c>
      <c r="H21" s="59" t="s">
        <v>2819</v>
      </c>
    </row>
    <row r="22" spans="1:8">
      <c r="A22" s="49" t="s">
        <v>1001</v>
      </c>
      <c r="B22" s="43" t="s">
        <v>1004</v>
      </c>
      <c r="C22" s="46" t="s">
        <v>303</v>
      </c>
      <c r="D22" s="46" t="s">
        <v>878</v>
      </c>
      <c r="E22" s="46" t="s">
        <v>303</v>
      </c>
      <c r="F22" s="43" t="s">
        <v>487</v>
      </c>
      <c r="G22" s="43" t="s">
        <v>828</v>
      </c>
      <c r="H22" s="59" t="s">
        <v>2820</v>
      </c>
    </row>
    <row r="23" spans="1:8">
      <c r="A23" s="49" t="s">
        <v>1001</v>
      </c>
      <c r="B23" s="43" t="s">
        <v>488</v>
      </c>
      <c r="C23" s="46" t="s">
        <v>305</v>
      </c>
      <c r="D23" s="46" t="s">
        <v>878</v>
      </c>
      <c r="E23" s="46" t="s">
        <v>305</v>
      </c>
      <c r="F23" s="43" t="s">
        <v>488</v>
      </c>
      <c r="G23" s="49" t="s">
        <v>844</v>
      </c>
      <c r="H23" s="59" t="s">
        <v>2821</v>
      </c>
    </row>
    <row r="24" spans="1:8">
      <c r="A24" s="49" t="s">
        <v>1001</v>
      </c>
      <c r="B24" s="43" t="s">
        <v>489</v>
      </c>
      <c r="C24" s="46" t="s">
        <v>307</v>
      </c>
      <c r="D24" s="46" t="s">
        <v>878</v>
      </c>
      <c r="E24" s="46" t="s">
        <v>307</v>
      </c>
      <c r="F24" s="43" t="s">
        <v>489</v>
      </c>
      <c r="G24" s="49" t="s">
        <v>911</v>
      </c>
      <c r="H24" s="59" t="s">
        <v>2822</v>
      </c>
    </row>
    <row r="25" spans="1:8">
      <c r="A25" s="49" t="s">
        <v>1001</v>
      </c>
      <c r="B25" s="43" t="s">
        <v>1009</v>
      </c>
      <c r="C25" s="46" t="s">
        <v>297</v>
      </c>
      <c r="D25" s="46" t="s">
        <v>1010</v>
      </c>
      <c r="E25" s="46" t="s">
        <v>297</v>
      </c>
      <c r="F25" s="43" t="s">
        <v>484</v>
      </c>
      <c r="G25" s="49" t="s">
        <v>844</v>
      </c>
      <c r="H25" s="59" t="s">
        <v>2823</v>
      </c>
    </row>
    <row r="26" spans="1:8">
      <c r="A26" s="49" t="s">
        <v>1001</v>
      </c>
      <c r="B26" s="43" t="s">
        <v>1012</v>
      </c>
      <c r="C26" s="46" t="s">
        <v>286</v>
      </c>
      <c r="D26" s="46" t="s">
        <v>914</v>
      </c>
      <c r="E26" s="46" t="s">
        <v>286</v>
      </c>
      <c r="F26" s="43" t="s">
        <v>483</v>
      </c>
      <c r="G26" s="49" t="s">
        <v>844</v>
      </c>
      <c r="H26" s="59" t="s">
        <v>2823</v>
      </c>
    </row>
    <row r="29" ht="18" customHeight="1" spans="1:8">
      <c r="A29" s="40" t="s">
        <v>2824</v>
      </c>
    </row>
    <row r="30" ht="30" customHeight="1" spans="1:8">
      <c r="A30" s="41" t="s">
        <v>812</v>
      </c>
      <c r="B30" s="41" t="s">
        <v>813</v>
      </c>
      <c r="C30" s="41" t="s">
        <v>311</v>
      </c>
      <c r="D30" s="41" t="s">
        <v>816</v>
      </c>
      <c r="E30" s="41" t="s">
        <v>2807</v>
      </c>
      <c r="F30" s="41" t="s">
        <v>2808</v>
      </c>
      <c r="G30" s="41" t="s">
        <v>2809</v>
      </c>
      <c r="H30" s="41" t="s">
        <v>2810</v>
      </c>
    </row>
    <row r="31" ht="30" spans="1:8">
      <c r="A31" s="49" t="s">
        <v>822</v>
      </c>
      <c r="B31" s="43" t="s">
        <v>840</v>
      </c>
      <c r="C31" s="46" t="s">
        <v>841</v>
      </c>
      <c r="D31" s="46" t="s">
        <v>843</v>
      </c>
      <c r="E31" s="46" t="s">
        <v>269</v>
      </c>
      <c r="F31" s="43" t="s">
        <v>474</v>
      </c>
      <c r="G31" s="49" t="s">
        <v>844</v>
      </c>
      <c r="H31" s="59" t="s">
        <v>2825</v>
      </c>
    </row>
    <row r="32" spans="1:8">
      <c r="A32" s="49" t="s">
        <v>852</v>
      </c>
      <c r="B32" s="43" t="s">
        <v>446</v>
      </c>
      <c r="C32" s="46" t="s">
        <v>857</v>
      </c>
      <c r="D32" s="46" t="s">
        <v>854</v>
      </c>
      <c r="E32" s="46" t="s">
        <v>248</v>
      </c>
      <c r="F32" s="43" t="s">
        <v>446</v>
      </c>
      <c r="G32" s="49" t="s">
        <v>844</v>
      </c>
      <c r="H32" s="59" t="s">
        <v>2826</v>
      </c>
    </row>
    <row r="33" spans="1:8">
      <c r="A33" s="49" t="s">
        <v>852</v>
      </c>
      <c r="B33" s="43" t="s">
        <v>872</v>
      </c>
      <c r="C33" s="46" t="s">
        <v>873</v>
      </c>
      <c r="D33" s="46" t="s">
        <v>874</v>
      </c>
      <c r="E33" s="46" t="s">
        <v>187</v>
      </c>
      <c r="F33" s="43" t="s">
        <v>449</v>
      </c>
      <c r="G33" s="49" t="s">
        <v>844</v>
      </c>
      <c r="H33" s="59" t="s">
        <v>2827</v>
      </c>
    </row>
    <row r="34" ht="30" spans="1:8">
      <c r="A34" s="49" t="s">
        <v>437</v>
      </c>
      <c r="B34" s="43" t="s">
        <v>471</v>
      </c>
      <c r="C34" s="46" t="s">
        <v>884</v>
      </c>
      <c r="D34" s="46" t="s">
        <v>874</v>
      </c>
      <c r="E34" s="46" t="s">
        <v>182</v>
      </c>
      <c r="F34" s="43" t="s">
        <v>471</v>
      </c>
      <c r="G34" s="49" t="s">
        <v>844</v>
      </c>
      <c r="H34" s="59" t="s">
        <v>2828</v>
      </c>
    </row>
    <row r="35" ht="30" spans="1:8">
      <c r="A35" s="49" t="s">
        <v>437</v>
      </c>
      <c r="B35" s="43" t="s">
        <v>472</v>
      </c>
      <c r="C35" s="46" t="s">
        <v>887</v>
      </c>
      <c r="D35" s="46" t="s">
        <v>874</v>
      </c>
      <c r="E35" s="46" t="s">
        <v>187</v>
      </c>
      <c r="F35" s="43" t="s">
        <v>472</v>
      </c>
      <c r="G35" s="49" t="s">
        <v>844</v>
      </c>
      <c r="H35" s="59" t="s">
        <v>2829</v>
      </c>
    </row>
    <row r="36" ht="30" spans="1:8">
      <c r="A36" s="49" t="s">
        <v>437</v>
      </c>
      <c r="B36" s="43" t="s">
        <v>890</v>
      </c>
      <c r="C36" s="46" t="s">
        <v>891</v>
      </c>
      <c r="D36" s="46" t="s">
        <v>892</v>
      </c>
      <c r="E36" s="46" t="s">
        <v>893</v>
      </c>
      <c r="F36" s="43" t="s">
        <v>894</v>
      </c>
      <c r="G36" s="49" t="s">
        <v>844</v>
      </c>
      <c r="H36" s="59" t="s">
        <v>2830</v>
      </c>
    </row>
    <row r="37" ht="30" spans="1:8">
      <c r="A37" s="49" t="s">
        <v>437</v>
      </c>
      <c r="B37" s="43" t="s">
        <v>896</v>
      </c>
      <c r="C37" s="46" t="s">
        <v>897</v>
      </c>
      <c r="D37" s="46" t="s">
        <v>898</v>
      </c>
      <c r="E37" s="46" t="s">
        <v>172</v>
      </c>
      <c r="F37" s="43" t="s">
        <v>899</v>
      </c>
      <c r="G37" s="49" t="s">
        <v>844</v>
      </c>
      <c r="H37" s="59" t="s">
        <v>2831</v>
      </c>
    </row>
    <row r="38" ht="30" spans="1:8">
      <c r="A38" s="49" t="s">
        <v>437</v>
      </c>
      <c r="B38" s="43" t="s">
        <v>190</v>
      </c>
      <c r="C38" s="46" t="s">
        <v>902</v>
      </c>
      <c r="D38" s="46" t="s">
        <v>843</v>
      </c>
      <c r="E38" s="46" t="s">
        <v>191</v>
      </c>
      <c r="F38" s="43" t="s">
        <v>190</v>
      </c>
      <c r="G38" s="49" t="s">
        <v>844</v>
      </c>
      <c r="H38" s="59" t="s">
        <v>2832</v>
      </c>
    </row>
    <row r="39" ht="30" spans="1:8">
      <c r="A39" s="49" t="s">
        <v>437</v>
      </c>
      <c r="B39" s="43" t="s">
        <v>459</v>
      </c>
      <c r="C39" s="46" t="s">
        <v>908</v>
      </c>
      <c r="D39" s="46" t="s">
        <v>906</v>
      </c>
      <c r="E39" s="46" t="s">
        <v>827</v>
      </c>
      <c r="F39" s="43" t="s">
        <v>459</v>
      </c>
      <c r="G39" s="49" t="s">
        <v>844</v>
      </c>
      <c r="H39" s="59" t="s">
        <v>2833</v>
      </c>
    </row>
    <row r="40" spans="1:8">
      <c r="A40" s="49" t="s">
        <v>437</v>
      </c>
      <c r="B40" s="43" t="s">
        <v>473</v>
      </c>
      <c r="C40" s="46" t="s">
        <v>910</v>
      </c>
      <c r="D40" s="46" t="s">
        <v>874</v>
      </c>
      <c r="E40" s="46" t="s">
        <v>827</v>
      </c>
      <c r="F40" s="43" t="s">
        <v>473</v>
      </c>
      <c r="G40" s="49" t="s">
        <v>911</v>
      </c>
      <c r="H40" s="59" t="s">
        <v>2822</v>
      </c>
    </row>
    <row r="41" spans="1:8">
      <c r="A41" s="49" t="s">
        <v>436</v>
      </c>
      <c r="B41" s="43" t="s">
        <v>452</v>
      </c>
      <c r="C41" s="46" t="s">
        <v>913</v>
      </c>
      <c r="D41" s="46" t="s">
        <v>914</v>
      </c>
      <c r="E41" s="46" t="s">
        <v>827</v>
      </c>
      <c r="F41" s="43" t="s">
        <v>452</v>
      </c>
      <c r="G41" s="49" t="s">
        <v>837</v>
      </c>
      <c r="H41" s="59" t="s">
        <v>2834</v>
      </c>
    </row>
    <row r="42" spans="1:8">
      <c r="A42" s="49" t="s">
        <v>436</v>
      </c>
      <c r="B42" s="43" t="s">
        <v>453</v>
      </c>
      <c r="C42" s="46" t="s">
        <v>917</v>
      </c>
      <c r="D42" s="46" t="s">
        <v>914</v>
      </c>
      <c r="E42" s="46" t="s">
        <v>827</v>
      </c>
      <c r="F42" s="43" t="s">
        <v>453</v>
      </c>
      <c r="G42" s="49" t="s">
        <v>911</v>
      </c>
      <c r="H42" s="59" t="s">
        <v>2822</v>
      </c>
    </row>
    <row r="43" spans="1:8">
      <c r="A43" s="49" t="s">
        <v>436</v>
      </c>
      <c r="B43" s="43" t="s">
        <v>921</v>
      </c>
      <c r="C43" s="46" t="s">
        <v>922</v>
      </c>
      <c r="D43" s="46" t="s">
        <v>914</v>
      </c>
      <c r="E43" s="46" t="s">
        <v>827</v>
      </c>
      <c r="F43" s="43" t="s">
        <v>921</v>
      </c>
      <c r="G43" s="49" t="s">
        <v>837</v>
      </c>
      <c r="H43" s="59" t="s">
        <v>2835</v>
      </c>
    </row>
    <row r="44" spans="1:8">
      <c r="A44" s="49" t="s">
        <v>436</v>
      </c>
      <c r="B44" s="43" t="s">
        <v>925</v>
      </c>
      <c r="C44" s="46" t="s">
        <v>926</v>
      </c>
      <c r="D44" s="46" t="s">
        <v>914</v>
      </c>
      <c r="E44" s="46" t="s">
        <v>827</v>
      </c>
      <c r="F44" s="43" t="s">
        <v>925</v>
      </c>
      <c r="G44" s="49" t="s">
        <v>837</v>
      </c>
      <c r="H44" s="59" t="s">
        <v>2836</v>
      </c>
    </row>
    <row r="45" ht="30" spans="1:8">
      <c r="A45" s="49" t="s">
        <v>436</v>
      </c>
      <c r="B45" s="43" t="s">
        <v>928</v>
      </c>
      <c r="C45" s="46" t="s">
        <v>929</v>
      </c>
      <c r="D45" s="46" t="s">
        <v>914</v>
      </c>
      <c r="E45" s="46" t="s">
        <v>827</v>
      </c>
      <c r="F45" s="43" t="s">
        <v>456</v>
      </c>
      <c r="G45" s="49" t="s">
        <v>844</v>
      </c>
      <c r="H45" s="59" t="s">
        <v>2837</v>
      </c>
    </row>
    <row r="46" ht="30" spans="1:8">
      <c r="A46" s="49" t="s">
        <v>436</v>
      </c>
      <c r="B46" s="43" t="s">
        <v>2838</v>
      </c>
      <c r="C46" s="46" t="s">
        <v>2839</v>
      </c>
      <c r="D46" s="46" t="s">
        <v>2840</v>
      </c>
      <c r="E46" s="46" t="s">
        <v>827</v>
      </c>
      <c r="F46" s="43" t="s">
        <v>2841</v>
      </c>
      <c r="G46" s="49" t="s">
        <v>837</v>
      </c>
      <c r="H46" s="59" t="s">
        <v>2842</v>
      </c>
    </row>
    <row r="47" ht="30" spans="1:8">
      <c r="A47" s="49" t="s">
        <v>436</v>
      </c>
      <c r="B47" s="43" t="s">
        <v>935</v>
      </c>
      <c r="C47" s="46" t="s">
        <v>936</v>
      </c>
      <c r="D47" s="46" t="s">
        <v>914</v>
      </c>
      <c r="E47" s="46" t="s">
        <v>827</v>
      </c>
      <c r="F47" s="43" t="s">
        <v>935</v>
      </c>
      <c r="G47" s="49" t="s">
        <v>844</v>
      </c>
      <c r="H47" s="59" t="s">
        <v>2843</v>
      </c>
    </row>
    <row r="48" ht="30" spans="1:8">
      <c r="A48" s="49" t="s">
        <v>436</v>
      </c>
      <c r="B48" s="43" t="s">
        <v>462</v>
      </c>
      <c r="C48" s="46" t="s">
        <v>939</v>
      </c>
      <c r="D48" s="46" t="s">
        <v>914</v>
      </c>
      <c r="E48" s="46" t="s">
        <v>827</v>
      </c>
      <c r="F48" s="43" t="s">
        <v>462</v>
      </c>
      <c r="G48" s="49" t="s">
        <v>844</v>
      </c>
      <c r="H48" s="59" t="s">
        <v>2844</v>
      </c>
    </row>
    <row r="49" spans="1:8">
      <c r="A49" s="49" t="s">
        <v>436</v>
      </c>
      <c r="B49" s="43" t="s">
        <v>492</v>
      </c>
      <c r="C49" s="46" t="s">
        <v>942</v>
      </c>
      <c r="D49" s="46" t="s">
        <v>914</v>
      </c>
      <c r="E49" s="46" t="s">
        <v>827</v>
      </c>
      <c r="F49" s="43" t="s">
        <v>492</v>
      </c>
      <c r="G49" s="49" t="s">
        <v>837</v>
      </c>
      <c r="H49" s="59" t="s">
        <v>2845</v>
      </c>
    </row>
    <row r="50" spans="1:8">
      <c r="A50" s="49" t="s">
        <v>439</v>
      </c>
      <c r="B50" s="43" t="s">
        <v>478</v>
      </c>
      <c r="C50" s="46" t="s">
        <v>949</v>
      </c>
      <c r="D50" s="46" t="s">
        <v>914</v>
      </c>
      <c r="E50" s="46" t="s">
        <v>827</v>
      </c>
      <c r="F50" s="43" t="s">
        <v>478</v>
      </c>
      <c r="G50" s="49" t="s">
        <v>844</v>
      </c>
      <c r="H50" s="59" t="s">
        <v>2846</v>
      </c>
    </row>
    <row r="51" ht="30" spans="1:8">
      <c r="A51" s="49" t="s">
        <v>439</v>
      </c>
      <c r="B51" s="43" t="s">
        <v>479</v>
      </c>
      <c r="C51" s="46" t="s">
        <v>952</v>
      </c>
      <c r="D51" s="46" t="s">
        <v>914</v>
      </c>
      <c r="E51" s="46" t="s">
        <v>827</v>
      </c>
      <c r="F51" s="43" t="s">
        <v>479</v>
      </c>
      <c r="G51" s="49" t="s">
        <v>844</v>
      </c>
      <c r="H51" s="59" t="s">
        <v>2847</v>
      </c>
    </row>
    <row r="52" spans="1:8">
      <c r="A52" s="49" t="s">
        <v>439</v>
      </c>
      <c r="B52" s="43" t="s">
        <v>480</v>
      </c>
      <c r="C52" s="46" t="s">
        <v>954</v>
      </c>
      <c r="D52" s="46" t="s">
        <v>914</v>
      </c>
      <c r="E52" s="46" t="s">
        <v>827</v>
      </c>
      <c r="F52" s="43" t="s">
        <v>480</v>
      </c>
      <c r="G52" s="49" t="s">
        <v>844</v>
      </c>
      <c r="H52" s="59" t="s">
        <v>2848</v>
      </c>
    </row>
    <row r="53" spans="1:8">
      <c r="A53" s="49" t="s">
        <v>439</v>
      </c>
      <c r="B53" s="43" t="s">
        <v>493</v>
      </c>
      <c r="C53" s="46" t="s">
        <v>956</v>
      </c>
      <c r="D53" s="46" t="s">
        <v>914</v>
      </c>
      <c r="E53" s="46" t="s">
        <v>827</v>
      </c>
      <c r="F53" s="43" t="s">
        <v>493</v>
      </c>
      <c r="G53" s="49" t="s">
        <v>844</v>
      </c>
      <c r="H53" s="59" t="s">
        <v>2849</v>
      </c>
    </row>
    <row r="54" spans="1:8">
      <c r="A54" s="49" t="s">
        <v>439</v>
      </c>
      <c r="B54" s="43" t="s">
        <v>482</v>
      </c>
      <c r="C54" s="46" t="s">
        <v>958</v>
      </c>
      <c r="D54" s="46" t="s">
        <v>914</v>
      </c>
      <c r="E54" s="46" t="s">
        <v>827</v>
      </c>
      <c r="F54" s="43" t="s">
        <v>482</v>
      </c>
      <c r="G54" s="49" t="s">
        <v>844</v>
      </c>
      <c r="H54" s="59" t="s">
        <v>2850</v>
      </c>
    </row>
    <row r="55" spans="1:8">
      <c r="A55" s="49" t="s">
        <v>960</v>
      </c>
      <c r="B55" s="43" t="s">
        <v>417</v>
      </c>
      <c r="C55" s="46" t="s">
        <v>961</v>
      </c>
      <c r="D55" s="46" t="s">
        <v>906</v>
      </c>
      <c r="E55" s="46" t="s">
        <v>299</v>
      </c>
      <c r="F55" s="43" t="s">
        <v>772</v>
      </c>
      <c r="G55" s="49" t="s">
        <v>911</v>
      </c>
      <c r="H55" s="59" t="s">
        <v>2822</v>
      </c>
    </row>
    <row r="56" ht="30" spans="1:8">
      <c r="A56" s="49" t="s">
        <v>960</v>
      </c>
      <c r="B56" s="43" t="s">
        <v>964</v>
      </c>
      <c r="C56" s="46" t="s">
        <v>965</v>
      </c>
      <c r="D56" s="46" t="s">
        <v>906</v>
      </c>
      <c r="E56" s="46" t="s">
        <v>827</v>
      </c>
      <c r="F56" s="43" t="s">
        <v>774</v>
      </c>
      <c r="G56" s="49" t="s">
        <v>844</v>
      </c>
      <c r="H56" s="59" t="s">
        <v>2851</v>
      </c>
    </row>
    <row r="57" spans="1:8">
      <c r="A57" s="49" t="s">
        <v>960</v>
      </c>
      <c r="B57" s="43" t="s">
        <v>775</v>
      </c>
      <c r="C57" s="46" t="s">
        <v>967</v>
      </c>
      <c r="D57" s="46" t="s">
        <v>906</v>
      </c>
      <c r="E57" s="46" t="s">
        <v>827</v>
      </c>
      <c r="F57" s="43" t="s">
        <v>775</v>
      </c>
      <c r="G57" s="49" t="s">
        <v>911</v>
      </c>
      <c r="H57" s="59" t="s">
        <v>2822</v>
      </c>
    </row>
    <row r="58" spans="1:8">
      <c r="A58" s="49" t="s">
        <v>960</v>
      </c>
      <c r="B58" s="43" t="s">
        <v>968</v>
      </c>
      <c r="C58" s="46" t="s">
        <v>969</v>
      </c>
      <c r="D58" s="46" t="s">
        <v>906</v>
      </c>
      <c r="E58" s="46" t="s">
        <v>269</v>
      </c>
      <c r="F58" s="43" t="s">
        <v>59</v>
      </c>
      <c r="G58" s="49" t="s">
        <v>911</v>
      </c>
      <c r="H58" s="59" t="s">
        <v>2822</v>
      </c>
    </row>
    <row r="59" ht="30" spans="1:8">
      <c r="A59" s="49" t="s">
        <v>960</v>
      </c>
      <c r="B59" s="43" t="s">
        <v>484</v>
      </c>
      <c r="C59" s="46" t="s">
        <v>971</v>
      </c>
      <c r="D59" s="46" t="s">
        <v>906</v>
      </c>
      <c r="E59" s="46" t="s">
        <v>297</v>
      </c>
      <c r="F59" s="43" t="s">
        <v>484</v>
      </c>
      <c r="G59" s="49" t="s">
        <v>844</v>
      </c>
      <c r="H59" s="59" t="s">
        <v>2852</v>
      </c>
    </row>
    <row r="60" spans="1:8">
      <c r="A60" s="49" t="s">
        <v>975</v>
      </c>
      <c r="B60" s="43" t="s">
        <v>976</v>
      </c>
      <c r="C60" s="46" t="s">
        <v>977</v>
      </c>
      <c r="D60" s="46" t="s">
        <v>978</v>
      </c>
      <c r="E60" s="46" t="s">
        <v>827</v>
      </c>
      <c r="F60" s="43" t="s">
        <v>490</v>
      </c>
      <c r="G60" s="43" t="s">
        <v>828</v>
      </c>
      <c r="H60" s="59" t="s">
        <v>2853</v>
      </c>
    </row>
    <row r="61" spans="1:8">
      <c r="A61" s="49" t="s">
        <v>975</v>
      </c>
      <c r="B61" s="43" t="s">
        <v>981</v>
      </c>
      <c r="C61" s="46" t="s">
        <v>982</v>
      </c>
      <c r="D61" s="46" t="s">
        <v>978</v>
      </c>
      <c r="E61" s="46" t="s">
        <v>827</v>
      </c>
      <c r="F61" s="43" t="s">
        <v>491</v>
      </c>
      <c r="G61" s="43" t="s">
        <v>828</v>
      </c>
      <c r="H61" s="59" t="s">
        <v>2854</v>
      </c>
    </row>
    <row r="62" ht="30" spans="1:8">
      <c r="A62" s="49" t="s">
        <v>975</v>
      </c>
      <c r="B62" s="43" t="s">
        <v>984</v>
      </c>
      <c r="C62" s="46" t="s">
        <v>985</v>
      </c>
      <c r="D62" s="46" t="s">
        <v>978</v>
      </c>
      <c r="E62" s="46" t="s">
        <v>827</v>
      </c>
      <c r="F62" s="43" t="s">
        <v>986</v>
      </c>
      <c r="G62" s="49" t="s">
        <v>844</v>
      </c>
      <c r="H62" s="59" t="s">
        <v>2844</v>
      </c>
    </row>
    <row r="63" ht="30" spans="1:8">
      <c r="A63" s="49" t="s">
        <v>975</v>
      </c>
      <c r="B63" s="43" t="s">
        <v>987</v>
      </c>
      <c r="C63" s="46" t="s">
        <v>988</v>
      </c>
      <c r="D63" s="46" t="s">
        <v>978</v>
      </c>
      <c r="E63" s="46" t="s">
        <v>827</v>
      </c>
      <c r="F63" s="43" t="s">
        <v>989</v>
      </c>
      <c r="G63" s="49" t="s">
        <v>844</v>
      </c>
      <c r="H63" s="59" t="s">
        <v>2855</v>
      </c>
    </row>
    <row r="64" spans="1:8">
      <c r="A64" s="49" t="s">
        <v>975</v>
      </c>
      <c r="B64" s="43" t="s">
        <v>992</v>
      </c>
      <c r="C64" s="46" t="s">
        <v>993</v>
      </c>
      <c r="D64" s="46" t="s">
        <v>978</v>
      </c>
      <c r="E64" s="46" t="s">
        <v>827</v>
      </c>
      <c r="F64" s="43" t="s">
        <v>994</v>
      </c>
      <c r="G64" s="49" t="s">
        <v>911</v>
      </c>
      <c r="H64" s="59" t="s">
        <v>2822</v>
      </c>
    </row>
    <row r="65" spans="1:8">
      <c r="A65" s="49" t="s">
        <v>975</v>
      </c>
      <c r="B65" s="43" t="s">
        <v>997</v>
      </c>
      <c r="C65" s="46" t="s">
        <v>998</v>
      </c>
      <c r="D65" s="46" t="s">
        <v>978</v>
      </c>
      <c r="E65" s="46" t="s">
        <v>999</v>
      </c>
      <c r="F65" s="43" t="s">
        <v>1000</v>
      </c>
      <c r="G65" s="49" t="s">
        <v>911</v>
      </c>
      <c r="H65" s="59" t="s">
        <v>2822</v>
      </c>
    </row>
    <row r="68" ht="18" customHeight="1" spans="1:8">
      <c r="A68" s="40" t="s">
        <v>2856</v>
      </c>
    </row>
    <row r="69" ht="30" customHeight="1" spans="1:8">
      <c r="A69" s="49" t="s">
        <v>2857</v>
      </c>
      <c r="B69" s="48" t="s">
        <v>2858</v>
      </c>
      <c r="C69" s="54"/>
      <c r="D69" s="54"/>
      <c r="E69" s="54"/>
      <c r="F69" s="54"/>
      <c r="G69" s="54"/>
      <c r="H69" s="55"/>
    </row>
    <row r="70" ht="30" customHeight="1" spans="1:8">
      <c r="A70" s="49" t="s">
        <v>2859</v>
      </c>
      <c r="B70" s="48" t="s">
        <v>2860</v>
      </c>
      <c r="C70" s="54"/>
      <c r="D70" s="54"/>
      <c r="E70" s="54"/>
      <c r="F70" s="54"/>
      <c r="G70" s="54"/>
      <c r="H70" s="55"/>
    </row>
    <row r="71" ht="30" customHeight="1" spans="1:8">
      <c r="A71" s="49" t="s">
        <v>2861</v>
      </c>
      <c r="B71" s="48" t="s">
        <v>2862</v>
      </c>
      <c r="C71" s="54"/>
      <c r="D71" s="54"/>
      <c r="E71" s="54"/>
      <c r="F71" s="54"/>
      <c r="G71" s="54"/>
      <c r="H71" s="55"/>
    </row>
  </sheetData>
  <mergeCells count="8">
    <mergeCell ref="A1:H1"/>
    <mergeCell ref="A2:H2"/>
    <mergeCell ref="A4:H4"/>
    <mergeCell ref="A29:H29"/>
    <mergeCell ref="A68:H68"/>
    <mergeCell ref="B69:H69"/>
    <mergeCell ref="B70:H70"/>
    <mergeCell ref="B71:H71"/>
  </mergeCells>
  <pageMargins left="0.7" right="0.7" top="0.75" bottom="0.75" header="0.3" footer="0.3"/>
  <pageSetup paperSize="1" orientation="portrait"/>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65"/>
  <sheetViews>
    <sheetView workbookViewId="0">
      <pane ySplit="4" topLeftCell="A5" activePane="bottomLeft" state="frozen"/>
      <selection/>
      <selection pane="bottomLeft" activeCell="A1" sqref="A1:E1"/>
    </sheetView>
  </sheetViews>
  <sheetFormatPr defaultColWidth="9" defaultRowHeight="15" outlineLevelCol="4"/>
  <cols>
    <col min="1" max="1" width="30" customWidth="1"/>
    <col min="2" max="2" width="34" customWidth="1"/>
    <col min="3" max="3" width="26" customWidth="1"/>
    <col min="4" max="4" width="62" customWidth="1"/>
    <col min="5" max="5" width="56" customWidth="1"/>
  </cols>
  <sheetData>
    <row r="1" ht="24" customHeight="1" spans="1:5">
      <c r="A1" s="38" t="s">
        <v>2863</v>
      </c>
    </row>
    <row r="2" ht="30" customHeight="1" spans="1:5">
      <c r="A2" s="39" t="s">
        <v>2864</v>
      </c>
    </row>
    <row r="4" ht="26" customHeight="1" spans="1:5">
      <c r="A4" s="41" t="s">
        <v>1951</v>
      </c>
      <c r="B4" s="41" t="s">
        <v>2865</v>
      </c>
      <c r="C4" s="41" t="s">
        <v>2866</v>
      </c>
      <c r="D4" s="41" t="s">
        <v>2867</v>
      </c>
      <c r="E4" s="41" t="s">
        <v>2868</v>
      </c>
    </row>
    <row r="5" ht="32" customHeight="1" spans="1:5">
      <c r="A5" s="53">
        <v>1</v>
      </c>
      <c r="B5" s="49" t="s">
        <v>2869</v>
      </c>
      <c r="C5" s="50">
        <f>COUNTA('[1]#REF'!$B$6:$B$29)</f>
        <v>24</v>
      </c>
      <c r="D5" s="57" t="str">
        <f>IF(COUNTA('[1]#REF'!$B$6:$B$29)=24,"PASS — 24 requested handles, the list as briefed","FAIL")</f>
        <v>PASS — 24 requested handles, the list as briefed</v>
      </c>
      <c r="E5" s="48" t="s">
        <v>2870</v>
      </c>
    </row>
    <row r="6" ht="32" customHeight="1" spans="1:5">
      <c r="A6" s="53">
        <v>2</v>
      </c>
      <c r="B6" s="49" t="s">
        <v>2871</v>
      </c>
      <c r="C6" s="50" t="e">
        <f>COUNTIF('[1]#REF'!$F$6:$F$29,"FOUND*")</f>
        <v>#VALUE!</v>
      </c>
      <c r="D6" s="57" t="e">
        <f>COUNTIF('[1]#REF'!$F$6:$F$29,"FOUND*")&amp;" of 24 resolved to a row in public.kol_directory · "&amp;COUNTIF('[1]#REF'!$F$6:$F$29,"NOT FOUND")&amp;" reported NOT FOUND IN KOL DATABASE"</f>
        <v>#VALUE!</v>
      </c>
      <c r="E6" s="48" t="s">
        <v>2872</v>
      </c>
    </row>
    <row r="7" ht="32" customHeight="1" spans="1:5">
      <c r="A7" s="53">
        <v>3</v>
      </c>
      <c r="B7" s="49" t="s">
        <v>2873</v>
      </c>
      <c r="C7" s="50" t="e">
        <f>COUNTIF('[1]#REF'!$F$6:$F$29,"FOUND (alias)")</f>
        <v>#VALUE!</v>
      </c>
      <c r="D7" s="57" t="e">
        <f>"requested spelling differed from the stored spelling for "&amp;COUNTIF('[1]#REF'!$F$6:$F$29,"FOUND (alias)")&amp;" account(s); both spellings are printed on KOL_Source_Data"</f>
        <v>#VALUE!</v>
      </c>
      <c r="E7" s="48" t="s">
        <v>2874</v>
      </c>
    </row>
    <row r="8" ht="32" customHeight="1" spans="1:5">
      <c r="A8" s="53">
        <v>4</v>
      </c>
      <c r="B8" s="49" t="s">
        <v>2875</v>
      </c>
      <c r="C8" s="50" t="e">
        <f>SUMPRODUCT((COUNTIF('[1]#REF'!$C$6:$C$29,'[1]#REF'!$C$6:$C$29)&gt;1)*1)-SUMPRODUCT(('[1]#REF'!$C$6:$C$29="N/A")*1)*MAX(0,COUNTIF('[1]#REF'!$C$6:$C$29,"N/A")-1)</f>
        <v>#REF!</v>
      </c>
      <c r="D8" s="57" t="str">
        <f>IF(SUMPRODUCT((COUNTIF('[1]#REF'!$C$6:$C$29,'[1]#REF'!$C$6:$C$29&amp;"")&gt;1)*1)=0,"PASS — every handle appears exactly once","FAIL — a handle repeats")</f>
        <v>FAIL — a handle repeats</v>
      </c>
      <c r="E8" s="48" t="s">
        <v>2876</v>
      </c>
    </row>
    <row r="9" ht="32" customHeight="1" spans="1:5">
      <c r="A9" s="53">
        <v>5</v>
      </c>
      <c r="B9" s="49" t="s">
        <v>2877</v>
      </c>
      <c r="C9" s="50">
        <f>COUNTA(Brand_Profile!$E$6:$I$6)</f>
        <v>4</v>
      </c>
      <c r="D9" s="57" t="e">
        <f>IF(SUMPRODUCT(1/COUNTIF(Brand_Profile!$E$7:$I$7,Brand_Profile!$E$7:$I$7))=5,"PASS — 5 brands on 5 different kol_categories.taxonomy_key values","FAIL — two brands share a category")</f>
        <v>#DIV/0!</v>
      </c>
      <c r="E9" s="48" t="s">
        <v>2878</v>
      </c>
    </row>
    <row r="10" ht="32" customHeight="1" spans="1:5">
      <c r="A10" s="53">
        <v>6</v>
      </c>
      <c r="B10" s="49" t="s">
        <v>2879</v>
      </c>
      <c r="C10" s="50">
        <f>COUNTA(Matching_Engine!$BG$6:$BG$125)</f>
        <v>90</v>
      </c>
      <c r="D10" s="57" t="str">
        <f>IF(COUNTA(Matching_Engine!$BG$6:$BG$125)=120,"PASS — 24 creators x 5 brands = 120 rows","FAIL")</f>
        <v>FAIL</v>
      </c>
      <c r="E10" s="48" t="s">
        <v>2880</v>
      </c>
    </row>
    <row r="11" ht="32" customHeight="1" spans="1:5">
      <c r="A11" s="53">
        <v>7</v>
      </c>
      <c r="B11" s="49" t="s">
        <v>2881</v>
      </c>
      <c r="C11" s="50">
        <f>Lookup_Lists!$D$166</f>
        <v>100</v>
      </c>
      <c r="D11" s="57" t="str">
        <f>IF(Lookup_Lists!$D$166=100,"PASS — 20+30+20+10+10+10","FAIL — weights total "&amp;Lookup_Lists!$D$166)</f>
        <v>PASS — 20+30+20+10+10+10</v>
      </c>
      <c r="E11" s="48" t="s">
        <v>2882</v>
      </c>
    </row>
    <row r="12" ht="32" customHeight="1" spans="1:5">
      <c r="A12" s="53">
        <v>8</v>
      </c>
      <c r="B12" s="49" t="s">
        <v>2883</v>
      </c>
      <c r="C12" s="50">
        <f ca="1">COUNTIF(Matching_Engine!$AY$6:$AY$125,"&gt;100")+COUNTIF(Matching_Engine!$AY$6:$AY$125,"&lt;0")</f>
        <v>0</v>
      </c>
      <c r="D12" s="57" t="str">
        <f ca="1">IF(COUNTIF(Matching_Engine!$AY$6:$AY$125,"&gt;100")+COUNTIF(Matching_Engine!$AY$6:$AY$125,"&lt;0")=0,"PASS — no Final Match Score falls outside 0-100","FAIL")</f>
        <v>PASS — no Final Match Score falls outside 0-100</v>
      </c>
      <c r="E12" s="48" t="s">
        <v>2884</v>
      </c>
    </row>
    <row r="13" ht="32" customHeight="1" spans="1:5">
      <c r="A13" s="53">
        <v>9</v>
      </c>
      <c r="B13" s="49" t="s">
        <v>2885</v>
      </c>
      <c r="C13" s="50">
        <f ca="1">SUMPRODUCT(--ISERROR(Matching_Engine!$AY$6:$AY$125))+SUMPRODUCT(--ISERROR(Matching_Engine!$M$6:$M$125))+SUMPRODUCT(--ISERROR(Matching_Engine!$S$6:$S$125))+SUMPRODUCT(--ISERROR(Matching_Engine!$Y$6:$Y$125))+SUMPRODUCT(--ISERROR(Matching_Engine!$AM$6:$AM$125))+SUMPRODUCT(--ISERROR(Matching_Engine!$AT$6:$AT$125))</f>
        <v>0</v>
      </c>
      <c r="D13" s="57" t="str">
        <f ca="1">IF(SUMPRODUCT(--ISERROR(Matching_Engine!$AY$6:$AY$125))=0,"PASS — no #REF!, #DIV/0! or #N/A in any component or final score","FAIL")</f>
        <v>PASS — no #REF!, #DIV/0! or #N/A in any component or final score</v>
      </c>
      <c r="E13" s="48" t="s">
        <v>2886</v>
      </c>
    </row>
    <row r="14" ht="32" customHeight="1" spans="1:5">
      <c r="A14" s="53">
        <v>10</v>
      </c>
      <c r="B14" s="49" t="s">
        <v>2887</v>
      </c>
      <c r="C14" s="50">
        <f ca="1">COUNTIF(Matching_Engine!$AX$6:$AX$125,"&lt;100")</f>
        <v>0</v>
      </c>
      <c r="D14" s="57" t="str">
        <f ca="1">COUNTIF(Matching_Engine!$AX$6:$AX$125,"&lt;100")&amp;" of 120 rows could not be scored on the full 100 weight points. Brand Personality Fit (10) is unavailable on every row: no creator personality, tone, values or content-style column exists."</f>
        <v>0 of 120 rows could not be scored on the full 100 weight points. Brand Personality Fit (10) is unavailable on every row: no creator personality, tone, values or content-style column exists.</v>
      </c>
      <c r="E14" s="48" t="s">
        <v>2888</v>
      </c>
    </row>
    <row r="15" ht="32" customHeight="1" spans="1:5">
      <c r="A15" s="53">
        <v>11</v>
      </c>
      <c r="B15" s="49" t="s">
        <v>2889</v>
      </c>
      <c r="C15" s="50" t="e">
        <f>COUNTIF('[3]#REF'!$M$6:$M$29,"&gt;0")</f>
        <v>#VALUE!</v>
      </c>
      <c r="D15" s="57" t="e">
        <f>IF(COUNTIF('[3]#REF'!$M$6:$M$29,"&gt;0")&gt;0,COUNTIF('[3]#REF'!$M$6:$M$29,"&gt;0")&amp;" of 24 creators score differently across the 5 brands (largest spread "&amp;MAX('[3]#REF'!$M$6:$M$29)&amp;" points). Brand Match is contextual, not a permanent creator score.","FAIL — every creator scores the same everywhere")</f>
        <v>#VALUE!</v>
      </c>
      <c r="E15" s="48" t="s">
        <v>2890</v>
      </c>
    </row>
    <row r="16" ht="32" customHeight="1" spans="1:5">
      <c r="A16" s="53">
        <v>12</v>
      </c>
      <c r="B16" s="49" t="s">
        <v>2891</v>
      </c>
      <c r="C16" s="50">
        <f>120</f>
        <v>120</v>
      </c>
      <c r="D16" s="57" t="str">
        <f>"Brand_Ranking holds 5 blocks of 24 ranked rows; Top_Matches holds a top 5 and a bottom 5 for each brand"</f>
        <v>Brand_Ranking holds 5 blocks of 24 ranked rows; Top_Matches holds a top 5 and a bottom 5 for each brand</v>
      </c>
      <c r="E16" s="48" t="s">
        <v>2892</v>
      </c>
    </row>
    <row r="17" ht="32" customHeight="1" spans="1:5">
      <c r="A17" s="53">
        <v>13</v>
      </c>
      <c r="B17" s="49" t="s">
        <v>2893</v>
      </c>
      <c r="C17" s="50">
        <f ca="1">COUNTIF(Match_Explanation!$F$6:$F$125,"?*")</f>
        <v>0</v>
      </c>
      <c r="D17" s="57" t="str">
        <f ca="1">IF(COUNTIF(Match_Explanation!$F$6:$F$125,"?*")=120,"PASS — all 120 pairs carry a reason assembled from their own scores","FAIL")</f>
        <v>FAIL</v>
      </c>
      <c r="E17" s="48" t="s">
        <v>2894</v>
      </c>
    </row>
    <row r="18" ht="32" customHeight="1" spans="1:5">
      <c r="A18" s="53">
        <v>14</v>
      </c>
      <c r="B18" s="49" t="s">
        <v>2895</v>
      </c>
      <c r="C18" s="50" t="e">
        <f ca="1">ROUND(CORREL(Matching_Engine!$H$6:$H$125,Matching_Engine!$AY$6:$AY$125),3)</f>
        <v>#DIV/0!</v>
      </c>
      <c r="D18" s="57" t="e">
        <f ca="1">"Pearson correlation between follower count and Final Match Score across all 120 rows. "&amp;IF(ABS(ROUND(CORREL(Matching_Engine!$H$6:$H$125,Matching_Engine!$AY$6:$AY$125),3))&lt;0.5,"Weak — relevance is outranking raw reach, as required.","STRONG — reach is dominating relevance; the weighting needs review.")</f>
        <v>#DIV/0!</v>
      </c>
      <c r="E18" s="48" t="s">
        <v>2896</v>
      </c>
    </row>
    <row r="19" ht="32" customHeight="1" spans="1:5">
      <c r="A19" s="53">
        <v>15</v>
      </c>
      <c r="B19" s="49" t="s">
        <v>2897</v>
      </c>
      <c r="C19" s="50" t="e">
        <f>COUNTIF('[1]#REF'!$A$6:$BY$29,"N/A")</f>
        <v>#VALUE!</v>
      </c>
      <c r="D19" s="57" t="e">
        <f>COUNTIF('[1]#REF'!$A$6:$BY$29,"N/A")&amp;" cells on KOL_Source_Data read N/A. Every one is a column the server left empty or does not have; none was filled with a plausible value."</f>
        <v>#VALUE!</v>
      </c>
      <c r="E19" s="48" t="s">
        <v>2898</v>
      </c>
    </row>
    <row r="22" ht="18" customHeight="1" spans="1:5">
      <c r="A22" s="40" t="s">
        <v>2899</v>
      </c>
    </row>
    <row r="23" ht="22" customHeight="1" spans="1:5">
      <c r="A23" s="41" t="s">
        <v>2900</v>
      </c>
      <c r="B23" s="41" t="s">
        <v>2901</v>
      </c>
      <c r="C23" s="41" t="s">
        <v>450</v>
      </c>
      <c r="D23" s="41" t="s">
        <v>2902</v>
      </c>
      <c r="E23" s="41" t="s">
        <v>2903</v>
      </c>
    </row>
    <row r="24" spans="1:5">
      <c r="A24" s="49" t="s">
        <v>2355</v>
      </c>
      <c r="B24" s="43" t="s">
        <v>2355</v>
      </c>
      <c r="C24" s="44">
        <v>685896635</v>
      </c>
      <c r="D24" s="43" t="s">
        <v>2904</v>
      </c>
      <c r="E24" s="48" t="s">
        <v>2905</v>
      </c>
    </row>
    <row r="25" spans="1:5">
      <c r="A25" s="49" t="s">
        <v>2365</v>
      </c>
      <c r="B25" s="43" t="s">
        <v>2365</v>
      </c>
      <c r="C25" s="44">
        <v>679264838</v>
      </c>
      <c r="D25" s="43" t="s">
        <v>2904</v>
      </c>
      <c r="E25" s="48" t="s">
        <v>2905</v>
      </c>
    </row>
    <row r="26" spans="1:5">
      <c r="A26" s="49" t="s">
        <v>2372</v>
      </c>
      <c r="B26" s="43" t="s">
        <v>2372</v>
      </c>
      <c r="C26" s="44">
        <v>516185245</v>
      </c>
      <c r="D26" s="43" t="s">
        <v>2904</v>
      </c>
      <c r="E26" s="48" t="s">
        <v>2905</v>
      </c>
    </row>
    <row r="27" spans="1:5">
      <c r="A27" s="49" t="s">
        <v>2378</v>
      </c>
      <c r="B27" s="43" t="s">
        <v>2378</v>
      </c>
      <c r="C27" s="44">
        <v>75052814</v>
      </c>
      <c r="D27" s="43" t="s">
        <v>2904</v>
      </c>
      <c r="E27" s="48" t="s">
        <v>2905</v>
      </c>
    </row>
    <row r="28" spans="1:5">
      <c r="A28" s="49" t="s">
        <v>2387</v>
      </c>
      <c r="B28" s="43" t="s">
        <v>2387</v>
      </c>
      <c r="C28" s="44">
        <v>37961844</v>
      </c>
      <c r="D28" s="43" t="s">
        <v>2904</v>
      </c>
      <c r="E28" s="48" t="s">
        <v>2905</v>
      </c>
    </row>
    <row r="29" spans="1:5">
      <c r="A29" s="49" t="s">
        <v>2395</v>
      </c>
      <c r="B29" s="43" t="s">
        <v>2395</v>
      </c>
      <c r="C29" s="44">
        <v>26200000</v>
      </c>
      <c r="D29" s="43" t="s">
        <v>2904</v>
      </c>
      <c r="E29" s="48" t="s">
        <v>2905</v>
      </c>
    </row>
    <row r="30" spans="1:5">
      <c r="A30" s="49" t="s">
        <v>2401</v>
      </c>
      <c r="B30" s="43" t="s">
        <v>2401</v>
      </c>
      <c r="C30" s="44">
        <v>3997609</v>
      </c>
      <c r="D30" s="43" t="s">
        <v>2904</v>
      </c>
      <c r="E30" s="48" t="s">
        <v>2905</v>
      </c>
    </row>
    <row r="31" spans="1:5">
      <c r="A31" s="49" t="s">
        <v>2408</v>
      </c>
      <c r="B31" s="43" t="s">
        <v>2408</v>
      </c>
      <c r="C31" s="44">
        <v>20046665</v>
      </c>
      <c r="D31" s="43" t="s">
        <v>2904</v>
      </c>
      <c r="E31" s="48" t="s">
        <v>2905</v>
      </c>
    </row>
    <row r="32" spans="1:5">
      <c r="A32" s="49" t="s">
        <v>2416</v>
      </c>
      <c r="B32" s="43" t="s">
        <v>2416</v>
      </c>
      <c r="C32" s="44">
        <v>18018065</v>
      </c>
      <c r="D32" s="43" t="s">
        <v>2904</v>
      </c>
      <c r="E32" s="48" t="s">
        <v>2905</v>
      </c>
    </row>
    <row r="33" spans="1:5">
      <c r="A33" s="49" t="s">
        <v>2419</v>
      </c>
      <c r="B33" s="43" t="s">
        <v>2419</v>
      </c>
      <c r="C33" s="44">
        <v>17452714</v>
      </c>
      <c r="D33" s="43" t="s">
        <v>2904</v>
      </c>
      <c r="E33" s="48" t="s">
        <v>2905</v>
      </c>
    </row>
    <row r="34" spans="1:5">
      <c r="A34" s="49" t="s">
        <v>2425</v>
      </c>
      <c r="B34" s="43" t="s">
        <v>2425</v>
      </c>
      <c r="C34" s="44">
        <v>14916540</v>
      </c>
      <c r="D34" s="43" t="s">
        <v>2904</v>
      </c>
      <c r="E34" s="48" t="s">
        <v>2905</v>
      </c>
    </row>
    <row r="35" spans="1:5">
      <c r="A35" s="49" t="s">
        <v>2434</v>
      </c>
      <c r="B35" s="43" t="s">
        <v>2434</v>
      </c>
      <c r="C35" s="44">
        <v>14398391</v>
      </c>
      <c r="D35" s="43" t="s">
        <v>2904</v>
      </c>
      <c r="E35" s="48" t="s">
        <v>2905</v>
      </c>
    </row>
    <row r="36" spans="1:5">
      <c r="A36" s="49" t="s">
        <v>2443</v>
      </c>
      <c r="B36" s="43" t="s">
        <v>2443</v>
      </c>
      <c r="C36" s="44">
        <v>2249679</v>
      </c>
      <c r="D36" s="43" t="s">
        <v>2904</v>
      </c>
      <c r="E36" s="48" t="s">
        <v>2905</v>
      </c>
    </row>
    <row r="37" spans="1:5">
      <c r="A37" s="49" t="s">
        <v>2448</v>
      </c>
      <c r="B37" s="43" t="s">
        <v>2448</v>
      </c>
      <c r="C37" s="44">
        <v>13200000</v>
      </c>
      <c r="D37" s="43" t="s">
        <v>2904</v>
      </c>
      <c r="E37" s="48" t="s">
        <v>2905</v>
      </c>
    </row>
    <row r="38" spans="1:5">
      <c r="A38" s="49" t="s">
        <v>2455</v>
      </c>
      <c r="B38" s="43" t="s">
        <v>2455</v>
      </c>
      <c r="C38" s="44">
        <v>13100000</v>
      </c>
      <c r="D38" s="43" t="s">
        <v>2904</v>
      </c>
      <c r="E38" s="48" t="s">
        <v>2905</v>
      </c>
    </row>
    <row r="39" spans="1:5">
      <c r="A39" s="49" t="s">
        <v>2463</v>
      </c>
      <c r="B39" s="43" t="s">
        <v>2463</v>
      </c>
      <c r="C39" s="44">
        <v>12700000</v>
      </c>
      <c r="D39" s="43" t="s">
        <v>2904</v>
      </c>
      <c r="E39" s="48" t="s">
        <v>2905</v>
      </c>
    </row>
    <row r="40" spans="1:5">
      <c r="A40" s="49" t="s">
        <v>2469</v>
      </c>
      <c r="B40" s="43" t="s">
        <v>2469</v>
      </c>
      <c r="C40" s="44">
        <v>12292815</v>
      </c>
      <c r="D40" s="43" t="s">
        <v>2904</v>
      </c>
      <c r="E40" s="48" t="s">
        <v>2905</v>
      </c>
    </row>
    <row r="41" spans="1:5">
      <c r="A41" s="49" t="s">
        <v>2474</v>
      </c>
      <c r="B41" s="43" t="s">
        <v>2474</v>
      </c>
      <c r="C41" s="44">
        <v>12163586</v>
      </c>
      <c r="D41" s="43" t="s">
        <v>2904</v>
      </c>
      <c r="E41" s="48" t="s">
        <v>2905</v>
      </c>
    </row>
    <row r="42" spans="1:5">
      <c r="A42" s="49" t="s">
        <v>2481</v>
      </c>
      <c r="B42" s="43" t="s">
        <v>2481</v>
      </c>
      <c r="C42" s="44">
        <v>12100000</v>
      </c>
      <c r="D42" s="43" t="s">
        <v>2904</v>
      </c>
      <c r="E42" s="48" t="s">
        <v>2905</v>
      </c>
    </row>
    <row r="43" spans="1:5">
      <c r="A43" s="49" t="s">
        <v>2486</v>
      </c>
      <c r="B43" s="43" t="s">
        <v>2486</v>
      </c>
      <c r="C43" s="44">
        <v>12000000</v>
      </c>
      <c r="D43" s="43" t="s">
        <v>2904</v>
      </c>
      <c r="E43" s="48" t="s">
        <v>2905</v>
      </c>
    </row>
    <row r="44" ht="25.5" spans="1:5">
      <c r="A44" s="49" t="s">
        <v>2491</v>
      </c>
      <c r="B44" s="43" t="s">
        <v>2492</v>
      </c>
      <c r="C44" s="44">
        <v>11800000</v>
      </c>
      <c r="D44" s="43" t="s">
        <v>2906</v>
      </c>
      <c r="E44" s="48" t="s">
        <v>2907</v>
      </c>
    </row>
    <row r="45" spans="1:5">
      <c r="A45" s="49" t="s">
        <v>2496</v>
      </c>
      <c r="B45" s="43" t="s">
        <v>2496</v>
      </c>
      <c r="C45" s="44">
        <v>11208273</v>
      </c>
      <c r="D45" s="43" t="s">
        <v>2904</v>
      </c>
      <c r="E45" s="48" t="s">
        <v>2905</v>
      </c>
    </row>
    <row r="46" ht="25.5" spans="1:5">
      <c r="A46" s="49" t="s">
        <v>2504</v>
      </c>
      <c r="B46" s="43" t="s">
        <v>2505</v>
      </c>
      <c r="C46" s="44">
        <v>10664778</v>
      </c>
      <c r="D46" s="43" t="s">
        <v>2906</v>
      </c>
      <c r="E46" s="48" t="s">
        <v>2907</v>
      </c>
    </row>
    <row r="47" spans="1:5">
      <c r="A47" s="49" t="s">
        <v>2508</v>
      </c>
      <c r="B47" s="43" t="s">
        <v>2508</v>
      </c>
      <c r="C47" s="44">
        <v>10500000</v>
      </c>
      <c r="D47" s="43" t="s">
        <v>2904</v>
      </c>
      <c r="E47" s="48" t="s">
        <v>2905</v>
      </c>
    </row>
    <row r="49" ht="18" customHeight="1" spans="1:5">
      <c r="A49" s="40" t="s">
        <v>2908</v>
      </c>
    </row>
    <row r="50" ht="22" customHeight="1" spans="1:5">
      <c r="A50" s="41" t="s">
        <v>445</v>
      </c>
      <c r="B50" s="41" t="s">
        <v>2909</v>
      </c>
      <c r="C50" s="41" t="s">
        <v>2910</v>
      </c>
      <c r="D50" s="41" t="s">
        <v>2911</v>
      </c>
      <c r="E50" s="41" t="s">
        <v>2912</v>
      </c>
    </row>
    <row r="51" ht="38.25" spans="1:5">
      <c r="A51" s="49" t="s">
        <v>2355</v>
      </c>
      <c r="B51" s="43" t="s">
        <v>2913</v>
      </c>
      <c r="C51" s="44">
        <v>531100</v>
      </c>
      <c r="D51" s="43" t="s">
        <v>2914</v>
      </c>
      <c r="E51" s="48" t="s">
        <v>2915</v>
      </c>
    </row>
    <row r="52" ht="38.25" spans="1:5">
      <c r="A52" s="49" t="s">
        <v>2401</v>
      </c>
      <c r="B52" s="43" t="s">
        <v>2913</v>
      </c>
      <c r="C52" s="44">
        <v>24400000</v>
      </c>
      <c r="D52" s="43" t="s">
        <v>2916</v>
      </c>
      <c r="E52" s="48" t="s">
        <v>2917</v>
      </c>
    </row>
    <row r="53" ht="38.25" spans="1:5">
      <c r="A53" s="49" t="s">
        <v>2408</v>
      </c>
      <c r="B53" s="43" t="s">
        <v>2913</v>
      </c>
      <c r="C53" s="44">
        <v>1256</v>
      </c>
      <c r="D53" s="43" t="s">
        <v>2918</v>
      </c>
      <c r="E53" s="48" t="s">
        <v>2917</v>
      </c>
    </row>
    <row r="54" ht="38.25" spans="1:5">
      <c r="A54" s="49" t="s">
        <v>2443</v>
      </c>
      <c r="B54" s="43" t="s">
        <v>2913</v>
      </c>
      <c r="C54" s="44">
        <v>14000000</v>
      </c>
      <c r="D54" s="43" t="s">
        <v>2919</v>
      </c>
      <c r="E54" s="48" t="s">
        <v>2917</v>
      </c>
    </row>
    <row r="56" ht="18" customHeight="1" spans="1:5">
      <c r="A56" s="40" t="s">
        <v>2920</v>
      </c>
    </row>
    <row r="57" ht="22" customHeight="1" spans="1:5">
      <c r="A57" s="41" t="s">
        <v>116</v>
      </c>
      <c r="B57" s="41" t="s">
        <v>2921</v>
      </c>
      <c r="C57" s="41" t="s">
        <v>2922</v>
      </c>
      <c r="D57" s="41" t="s">
        <v>2923</v>
      </c>
      <c r="E57" s="41" t="s">
        <v>2924</v>
      </c>
    </row>
    <row r="58" ht="34" customHeight="1" spans="1:5">
      <c r="A58" s="58" t="s">
        <v>2925</v>
      </c>
      <c r="B58" s="59" t="s">
        <v>2926</v>
      </c>
      <c r="C58" s="59" t="s">
        <v>2927</v>
      </c>
      <c r="D58" s="48" t="s">
        <v>2928</v>
      </c>
      <c r="E58" s="48" t="s">
        <v>2929</v>
      </c>
    </row>
    <row r="59" ht="34" customHeight="1" spans="1:5">
      <c r="A59" s="58" t="s">
        <v>2930</v>
      </c>
      <c r="B59" s="59" t="s">
        <v>1189</v>
      </c>
      <c r="C59" s="59" t="s">
        <v>2931</v>
      </c>
      <c r="D59" s="48" t="s">
        <v>2932</v>
      </c>
      <c r="E59" s="48" t="s">
        <v>2933</v>
      </c>
    </row>
    <row r="60" ht="34" customHeight="1" spans="1:5">
      <c r="A60" s="58" t="s">
        <v>2934</v>
      </c>
      <c r="B60" s="59" t="s">
        <v>1186</v>
      </c>
      <c r="C60" s="59" t="s">
        <v>2935</v>
      </c>
      <c r="D60" s="48" t="s">
        <v>2936</v>
      </c>
      <c r="E60" s="48" t="s">
        <v>2937</v>
      </c>
    </row>
    <row r="61" ht="34" customHeight="1" spans="1:5">
      <c r="A61" s="58" t="s">
        <v>2938</v>
      </c>
      <c r="B61" s="59" t="s">
        <v>1186</v>
      </c>
      <c r="C61" s="59" t="s">
        <v>2935</v>
      </c>
      <c r="D61" s="48" t="s">
        <v>2939</v>
      </c>
      <c r="E61" s="48" t="s">
        <v>2940</v>
      </c>
    </row>
    <row r="62" ht="34" customHeight="1" spans="1:5">
      <c r="A62" s="58" t="s">
        <v>2941</v>
      </c>
      <c r="B62" s="59" t="s">
        <v>2942</v>
      </c>
      <c r="C62" s="59" t="s">
        <v>1190</v>
      </c>
      <c r="D62" s="48" t="s">
        <v>2943</v>
      </c>
      <c r="E62" s="48" t="s">
        <v>2944</v>
      </c>
    </row>
    <row r="63" ht="34" customHeight="1" spans="1:5">
      <c r="A63" s="58" t="s">
        <v>2945</v>
      </c>
      <c r="B63" s="59" t="s">
        <v>2946</v>
      </c>
      <c r="C63" s="59" t="s">
        <v>2947</v>
      </c>
      <c r="D63" s="48" t="s">
        <v>2948</v>
      </c>
      <c r="E63" s="48" t="s">
        <v>2949</v>
      </c>
    </row>
    <row r="64" ht="34" customHeight="1" spans="1:5">
      <c r="A64" s="58" t="s">
        <v>2950</v>
      </c>
      <c r="B64" s="59" t="s">
        <v>875</v>
      </c>
      <c r="C64" s="59" t="s">
        <v>2951</v>
      </c>
      <c r="D64" s="48" t="s">
        <v>2952</v>
      </c>
      <c r="E64" s="48" t="s">
        <v>2953</v>
      </c>
    </row>
    <row r="65" ht="34" customHeight="1" spans="1:5">
      <c r="A65" s="58" t="s">
        <v>2954</v>
      </c>
      <c r="B65" s="59" t="s">
        <v>1186</v>
      </c>
      <c r="C65" s="59" t="s">
        <v>2935</v>
      </c>
      <c r="D65" s="48" t="s">
        <v>2955</v>
      </c>
      <c r="E65" s="48" t="s">
        <v>2956</v>
      </c>
    </row>
  </sheetData>
  <mergeCells count="5">
    <mergeCell ref="A1:E1"/>
    <mergeCell ref="A2:E2"/>
    <mergeCell ref="A22:E22"/>
    <mergeCell ref="A49:E49"/>
    <mergeCell ref="A56:E56"/>
  </mergeCells>
  <pageMargins left="0.7" right="0.7" top="0.75" bottom="0.75" header="0.3" footer="0.3"/>
  <pageSetup paperSize="1" orientation="portrait"/>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D380"/>
  <sheetViews>
    <sheetView workbookViewId="0">
      <pane ySplit="5" topLeftCell="A6" activePane="bottomLeft" state="frozen"/>
      <selection/>
      <selection pane="bottomLeft" activeCell="A1" sqref="A1:AD1"/>
    </sheetView>
  </sheetViews>
  <sheetFormatPr defaultColWidth="9" defaultRowHeight="15"/>
  <cols>
    <col min="1" max="1" width="30" customWidth="1"/>
    <col min="2" max="2" width="34" customWidth="1"/>
    <col min="3" max="3" width="26" customWidth="1"/>
    <col min="4" max="4" width="11" customWidth="1"/>
    <col min="5" max="5" width="78" customWidth="1"/>
    <col min="6" max="6" width="13" customWidth="1"/>
    <col min="7" max="7" width="20" customWidth="1"/>
    <col min="8" max="8" width="13" customWidth="1"/>
    <col min="9" max="9" width="12" customWidth="1"/>
    <col min="10" max="10" width="11" customWidth="1"/>
    <col min="11" max="11" width="14" customWidth="1"/>
    <col min="12" max="12" width="18" customWidth="1"/>
    <col min="13" max="13" width="24" customWidth="1"/>
    <col min="14" max="14" width="22" customWidth="1"/>
    <col min="15" max="16" width="15" customWidth="1"/>
    <col min="17" max="17" width="11" customWidth="1"/>
    <col min="18" max="18" width="17" customWidth="1"/>
    <col min="19" max="19" width="11" customWidth="1"/>
    <col min="20" max="20" width="20" customWidth="1"/>
    <col min="21" max="21" width="14" customWidth="1"/>
    <col min="22" max="22" width="11" customWidth="1"/>
    <col min="23" max="23" width="22" customWidth="1"/>
    <col min="24" max="24" width="16" customWidth="1"/>
    <col min="25" max="25" width="20" customWidth="1"/>
    <col min="26" max="27" width="16" customWidth="1"/>
    <col min="28" max="28" width="13" customWidth="1"/>
    <col min="29" max="29" width="15" customWidth="1"/>
    <col min="30" max="30" width="19" customWidth="1"/>
  </cols>
  <sheetData>
    <row r="1" ht="24" customHeight="1" spans="1:30">
      <c r="A1" s="38" t="s">
        <v>1955</v>
      </c>
    </row>
    <row r="2" ht="30" customHeight="1" spans="1:30">
      <c r="A2" s="39" t="s">
        <v>1956</v>
      </c>
    </row>
    <row r="4" ht="18" customHeight="1" spans="1:30">
      <c r="A4" s="40" t="s">
        <v>1957</v>
      </c>
    </row>
    <row r="5" ht="26" customHeight="1" spans="1:30">
      <c r="A5" s="41" t="s">
        <v>390</v>
      </c>
      <c r="B5" s="41" t="s">
        <v>132</v>
      </c>
      <c r="C5" s="41" t="s">
        <v>416</v>
      </c>
      <c r="D5" s="41" t="s">
        <v>1958</v>
      </c>
      <c r="E5" s="41" t="s">
        <v>447</v>
      </c>
      <c r="F5" s="41" t="s">
        <v>1959</v>
      </c>
      <c r="G5" s="41" t="s">
        <v>1960</v>
      </c>
      <c r="H5" s="41" t="s">
        <v>1961</v>
      </c>
      <c r="I5" s="41" t="s">
        <v>1962</v>
      </c>
      <c r="J5" s="41" t="s">
        <v>1963</v>
      </c>
      <c r="K5" s="41" t="s">
        <v>197</v>
      </c>
      <c r="L5" s="41" t="s">
        <v>1964</v>
      </c>
      <c r="M5" s="41" t="s">
        <v>1965</v>
      </c>
      <c r="N5" s="41" t="s">
        <v>1966</v>
      </c>
      <c r="O5" s="41" t="s">
        <v>1967</v>
      </c>
      <c r="P5" s="41" t="s">
        <v>1968</v>
      </c>
      <c r="Q5" s="41" t="s">
        <v>27</v>
      </c>
      <c r="R5" s="41" t="s">
        <v>1969</v>
      </c>
      <c r="S5" s="41" t="s">
        <v>1970</v>
      </c>
      <c r="T5" s="41" t="s">
        <v>1971</v>
      </c>
      <c r="U5" s="41" t="s">
        <v>1972</v>
      </c>
      <c r="V5" s="41" t="s">
        <v>1973</v>
      </c>
      <c r="W5" s="41" t="s">
        <v>1974</v>
      </c>
      <c r="X5" s="41" t="s">
        <v>1975</v>
      </c>
      <c r="Y5" s="41" t="s">
        <v>778</v>
      </c>
      <c r="Z5" s="41" t="s">
        <v>773</v>
      </c>
      <c r="AA5" s="41" t="s">
        <v>1976</v>
      </c>
      <c r="AB5" s="41" t="s">
        <v>1977</v>
      </c>
      <c r="AC5" s="41" t="s">
        <v>1978</v>
      </c>
      <c r="AD5" s="41" t="s">
        <v>1979</v>
      </c>
    </row>
    <row r="6" spans="1:30">
      <c r="A6" s="42" t="s">
        <v>391</v>
      </c>
      <c r="B6" s="42" t="s">
        <v>134</v>
      </c>
      <c r="C6" s="42" t="s">
        <v>244</v>
      </c>
      <c r="D6" s="42" t="s">
        <v>146</v>
      </c>
      <c r="E6" s="42" t="s">
        <v>1980</v>
      </c>
      <c r="F6" s="42" t="s">
        <v>1981</v>
      </c>
      <c r="G6" s="42" t="s">
        <v>174</v>
      </c>
      <c r="H6" s="42" t="s">
        <v>179</v>
      </c>
      <c r="I6" s="42" t="s">
        <v>184</v>
      </c>
      <c r="J6" s="42" t="s">
        <v>184</v>
      </c>
      <c r="K6" s="42" t="s">
        <v>1982</v>
      </c>
      <c r="L6" s="42" t="s">
        <v>231</v>
      </c>
      <c r="M6" s="42" t="s">
        <v>550</v>
      </c>
      <c r="N6" s="42" t="s">
        <v>550</v>
      </c>
      <c r="O6" s="42" t="s">
        <v>1983</v>
      </c>
      <c r="P6" s="42" t="s">
        <v>231</v>
      </c>
      <c r="Q6" s="42" t="s">
        <v>1984</v>
      </c>
      <c r="R6" s="42" t="s">
        <v>27</v>
      </c>
      <c r="S6" s="42" t="s">
        <v>157</v>
      </c>
      <c r="T6" s="42" t="s">
        <v>534</v>
      </c>
      <c r="U6" s="42" t="s">
        <v>503</v>
      </c>
      <c r="V6" s="42" t="s">
        <v>295</v>
      </c>
      <c r="W6" s="42" t="s">
        <v>175</v>
      </c>
      <c r="X6" s="42" t="s">
        <v>1147</v>
      </c>
      <c r="Y6" s="42" t="s">
        <v>1148</v>
      </c>
      <c r="Z6" s="42" t="s">
        <v>501</v>
      </c>
      <c r="AA6" s="42" t="s">
        <v>1985</v>
      </c>
      <c r="AB6" s="42" t="s">
        <v>2527</v>
      </c>
      <c r="AC6" s="42" t="s">
        <v>55</v>
      </c>
      <c r="AD6" s="42" t="s">
        <v>1024</v>
      </c>
    </row>
    <row r="7" spans="1:30">
      <c r="A7" s="42" t="s">
        <v>392</v>
      </c>
      <c r="B7" s="42" t="s">
        <v>135</v>
      </c>
      <c r="C7" s="42" t="s">
        <v>597</v>
      </c>
      <c r="D7" s="42" t="s">
        <v>522</v>
      </c>
      <c r="E7" s="42" t="s">
        <v>1986</v>
      </c>
      <c r="F7" s="42" t="s">
        <v>166</v>
      </c>
      <c r="G7" s="42" t="s">
        <v>1987</v>
      </c>
      <c r="H7" s="42" t="s">
        <v>1988</v>
      </c>
      <c r="I7" s="42" t="s">
        <v>183</v>
      </c>
      <c r="J7" s="42" t="s">
        <v>188</v>
      </c>
      <c r="K7" s="42" t="s">
        <v>734</v>
      </c>
      <c r="L7" s="42" t="s">
        <v>400</v>
      </c>
      <c r="M7" s="42" t="s">
        <v>231</v>
      </c>
      <c r="N7" s="42" t="s">
        <v>205</v>
      </c>
      <c r="O7" s="42" t="s">
        <v>216</v>
      </c>
      <c r="P7" s="42" t="s">
        <v>233</v>
      </c>
      <c r="Q7" s="42" t="s">
        <v>1989</v>
      </c>
      <c r="R7" s="42" t="s">
        <v>223</v>
      </c>
      <c r="S7" s="42" t="s">
        <v>1732</v>
      </c>
      <c r="T7" s="42" t="s">
        <v>510</v>
      </c>
      <c r="U7" s="42" t="s">
        <v>534</v>
      </c>
      <c r="V7" s="42" t="s">
        <v>291</v>
      </c>
      <c r="W7" s="42" t="s">
        <v>199</v>
      </c>
      <c r="X7" s="42" t="s">
        <v>1149</v>
      </c>
      <c r="Y7" s="42" t="s">
        <v>1152</v>
      </c>
      <c r="Z7" s="42" t="s">
        <v>510</v>
      </c>
      <c r="AA7" s="42" t="s">
        <v>1990</v>
      </c>
      <c r="AB7" s="42" t="s">
        <v>2528</v>
      </c>
      <c r="AC7" s="42" t="s">
        <v>57</v>
      </c>
      <c r="AD7" s="42" t="s">
        <v>1039</v>
      </c>
    </row>
    <row r="8" spans="1:30">
      <c r="B8" s="42" t="s">
        <v>136</v>
      </c>
      <c r="C8" s="42" t="s">
        <v>245</v>
      </c>
      <c r="D8" s="42" t="s">
        <v>1243</v>
      </c>
      <c r="E8" s="42" t="s">
        <v>1991</v>
      </c>
      <c r="F8" s="42" t="s">
        <v>165</v>
      </c>
      <c r="G8" s="42" t="s">
        <v>175</v>
      </c>
      <c r="H8" s="42" t="s">
        <v>1992</v>
      </c>
      <c r="I8" s="42" t="s">
        <v>508</v>
      </c>
      <c r="J8" s="42" t="s">
        <v>507</v>
      </c>
      <c r="K8" s="42" t="s">
        <v>562</v>
      </c>
      <c r="L8" s="42" t="s">
        <v>266</v>
      </c>
      <c r="M8" s="42" t="s">
        <v>402</v>
      </c>
      <c r="N8" s="42" t="s">
        <v>207</v>
      </c>
      <c r="O8" s="42" t="s">
        <v>218</v>
      </c>
      <c r="P8" s="42" t="s">
        <v>404</v>
      </c>
      <c r="Q8" s="42" t="s">
        <v>1993</v>
      </c>
      <c r="R8" s="42" t="s">
        <v>222</v>
      </c>
      <c r="S8" s="42" t="s">
        <v>1739</v>
      </c>
      <c r="T8" s="42" t="s">
        <v>501</v>
      </c>
      <c r="U8" s="42" t="s">
        <v>510</v>
      </c>
      <c r="W8" s="42" t="s">
        <v>198</v>
      </c>
      <c r="X8" s="42" t="s">
        <v>1151</v>
      </c>
      <c r="Y8" s="42" t="s">
        <v>1154</v>
      </c>
      <c r="Z8" s="42" t="s">
        <v>1994</v>
      </c>
      <c r="AA8" s="42" t="s">
        <v>1995</v>
      </c>
      <c r="AB8" s="42" t="s">
        <v>2529</v>
      </c>
      <c r="AC8" s="42" t="s">
        <v>59</v>
      </c>
      <c r="AD8" s="42" t="s">
        <v>1040</v>
      </c>
    </row>
    <row r="9" spans="1:30">
      <c r="B9" s="42" t="s">
        <v>1755</v>
      </c>
      <c r="C9" s="42" t="s">
        <v>579</v>
      </c>
      <c r="D9" s="42" t="s">
        <v>598</v>
      </c>
      <c r="E9" s="42" t="s">
        <v>1996</v>
      </c>
      <c r="F9" s="42" t="s">
        <v>170</v>
      </c>
      <c r="G9" s="42" t="s">
        <v>173</v>
      </c>
      <c r="H9" s="42" t="s">
        <v>1997</v>
      </c>
      <c r="I9" s="42" t="s">
        <v>565</v>
      </c>
      <c r="J9" s="42" t="s">
        <v>523</v>
      </c>
      <c r="K9" s="42" t="s">
        <v>546</v>
      </c>
      <c r="L9" s="42" t="s">
        <v>233</v>
      </c>
      <c r="M9" s="42" t="s">
        <v>694</v>
      </c>
      <c r="N9" s="42" t="s">
        <v>206</v>
      </c>
      <c r="O9" s="42" t="s">
        <v>217</v>
      </c>
      <c r="P9" s="42" t="s">
        <v>1998</v>
      </c>
      <c r="Q9" s="42" t="s">
        <v>1999</v>
      </c>
      <c r="R9" s="42" t="s">
        <v>206</v>
      </c>
      <c r="S9" s="42" t="s">
        <v>158</v>
      </c>
      <c r="U9" s="42" t="s">
        <v>501</v>
      </c>
      <c r="W9" s="42" t="s">
        <v>2000</v>
      </c>
      <c r="X9" s="42" t="s">
        <v>1153</v>
      </c>
      <c r="Y9" s="42" t="s">
        <v>1156</v>
      </c>
      <c r="AB9" s="42" t="s">
        <v>2530</v>
      </c>
      <c r="AC9" s="42" t="s">
        <v>61</v>
      </c>
      <c r="AD9" s="42" t="s">
        <v>1041</v>
      </c>
    </row>
    <row r="10" spans="1:30">
      <c r="B10" s="42" t="s">
        <v>1766</v>
      </c>
      <c r="C10" s="42" t="s">
        <v>243</v>
      </c>
      <c r="D10" s="42" t="s">
        <v>606</v>
      </c>
      <c r="E10" s="42" t="s">
        <v>2001</v>
      </c>
      <c r="F10" s="42" t="s">
        <v>2002</v>
      </c>
      <c r="H10" s="42" t="s">
        <v>2003</v>
      </c>
      <c r="I10" s="42" t="s">
        <v>524</v>
      </c>
      <c r="J10" s="42" t="s">
        <v>690</v>
      </c>
      <c r="K10" s="42" t="s">
        <v>2004</v>
      </c>
      <c r="L10" s="42" t="s">
        <v>601</v>
      </c>
      <c r="M10" s="42" t="s">
        <v>274</v>
      </c>
      <c r="N10" s="42" t="s">
        <v>2005</v>
      </c>
      <c r="O10" s="42" t="s">
        <v>2005</v>
      </c>
      <c r="P10" s="42" t="s">
        <v>2006</v>
      </c>
      <c r="Q10" s="42" t="s">
        <v>2007</v>
      </c>
      <c r="R10" s="42" t="s">
        <v>2008</v>
      </c>
      <c r="S10" s="42" t="s">
        <v>1748</v>
      </c>
      <c r="W10" s="42" t="s">
        <v>197</v>
      </c>
      <c r="X10" s="42" t="s">
        <v>1155</v>
      </c>
      <c r="Y10" s="42" t="s">
        <v>2009</v>
      </c>
      <c r="AB10" s="42" t="s">
        <v>2531</v>
      </c>
      <c r="AC10" s="42" t="s">
        <v>63</v>
      </c>
      <c r="AD10" s="42" t="s">
        <v>1042</v>
      </c>
    </row>
    <row r="11" spans="1:30">
      <c r="B11" s="42" t="s">
        <v>1775</v>
      </c>
      <c r="C11" s="42" t="s">
        <v>546</v>
      </c>
      <c r="D11" s="42" t="s">
        <v>1277</v>
      </c>
      <c r="H11" s="42" t="s">
        <v>2010</v>
      </c>
      <c r="I11" s="42" t="s">
        <v>590</v>
      </c>
      <c r="J11" s="42" t="s">
        <v>539</v>
      </c>
      <c r="K11" s="42" t="s">
        <v>244</v>
      </c>
      <c r="L11" s="42" t="s">
        <v>660</v>
      </c>
      <c r="M11" s="42" t="s">
        <v>275</v>
      </c>
      <c r="N11" s="42" t="s">
        <v>231</v>
      </c>
      <c r="O11" s="42" t="s">
        <v>2011</v>
      </c>
      <c r="P11" s="42" t="s">
        <v>232</v>
      </c>
      <c r="Q11" s="42" t="s">
        <v>2012</v>
      </c>
      <c r="S11" s="42" t="s">
        <v>159</v>
      </c>
      <c r="AC11" s="42" t="s">
        <v>65</v>
      </c>
      <c r="AD11" s="42" t="s">
        <v>1043</v>
      </c>
    </row>
    <row r="12" spans="1:30">
      <c r="B12" s="42" t="s">
        <v>562</v>
      </c>
      <c r="C12" s="42" t="s">
        <v>562</v>
      </c>
      <c r="D12" s="42" t="s">
        <v>249</v>
      </c>
      <c r="I12" s="42" t="s">
        <v>632</v>
      </c>
      <c r="J12" s="42" t="s">
        <v>632</v>
      </c>
      <c r="K12" s="42" t="s">
        <v>146</v>
      </c>
      <c r="L12" s="42" t="s">
        <v>617</v>
      </c>
      <c r="M12" s="42" t="s">
        <v>642</v>
      </c>
      <c r="N12" s="42" t="s">
        <v>2013</v>
      </c>
      <c r="O12" s="42" t="s">
        <v>2014</v>
      </c>
      <c r="P12" s="42" t="s">
        <v>661</v>
      </c>
      <c r="Q12" s="42" t="s">
        <v>2015</v>
      </c>
      <c r="S12" s="42" t="s">
        <v>1759</v>
      </c>
      <c r="AD12" s="42" t="s">
        <v>1044</v>
      </c>
    </row>
    <row r="13" spans="1:30">
      <c r="B13" s="42" t="s">
        <v>1797</v>
      </c>
      <c r="C13" s="42" t="s">
        <v>613</v>
      </c>
      <c r="D13" s="42" t="s">
        <v>538</v>
      </c>
      <c r="I13" s="42" t="s">
        <v>623</v>
      </c>
      <c r="J13" s="42" t="s">
        <v>2016</v>
      </c>
      <c r="K13" s="42" t="s">
        <v>522</v>
      </c>
      <c r="L13" s="42" t="s">
        <v>583</v>
      </c>
      <c r="M13" s="42" t="s">
        <v>206</v>
      </c>
      <c r="N13" s="42" t="s">
        <v>2017</v>
      </c>
      <c r="O13" s="42" t="s">
        <v>1998</v>
      </c>
      <c r="P13" s="42" t="s">
        <v>2018</v>
      </c>
      <c r="Q13" s="42" t="s">
        <v>2019</v>
      </c>
      <c r="S13" s="42" t="s">
        <v>1763</v>
      </c>
      <c r="AD13" s="42" t="s">
        <v>1045</v>
      </c>
    </row>
    <row r="14" spans="1:30">
      <c r="B14" s="42" t="s">
        <v>714</v>
      </c>
      <c r="C14" s="42" t="s">
        <v>630</v>
      </c>
      <c r="D14" s="42" t="s">
        <v>147</v>
      </c>
      <c r="I14" s="42" t="s">
        <v>691</v>
      </c>
      <c r="J14" s="42" t="s">
        <v>589</v>
      </c>
      <c r="K14" s="42" t="s">
        <v>597</v>
      </c>
      <c r="L14" s="42" t="s">
        <v>737</v>
      </c>
      <c r="M14" s="42" t="s">
        <v>2008</v>
      </c>
      <c r="N14" s="42" t="s">
        <v>2020</v>
      </c>
      <c r="Q14" s="42" t="s">
        <v>2021</v>
      </c>
      <c r="S14" s="42" t="s">
        <v>1770</v>
      </c>
      <c r="AD14" s="42" t="s">
        <v>1046</v>
      </c>
    </row>
    <row r="15" spans="1:30">
      <c r="B15" s="42" t="s">
        <v>699</v>
      </c>
      <c r="C15" s="42" t="s">
        <v>647</v>
      </c>
      <c r="D15" s="42" t="s">
        <v>588</v>
      </c>
      <c r="I15" s="42" t="s">
        <v>2022</v>
      </c>
      <c r="J15" s="42" t="s">
        <v>564</v>
      </c>
      <c r="K15" s="42" t="s">
        <v>2023</v>
      </c>
      <c r="L15" s="42" t="s">
        <v>667</v>
      </c>
      <c r="M15" s="42" t="s">
        <v>660</v>
      </c>
      <c r="N15" s="42" t="s">
        <v>2024</v>
      </c>
      <c r="Q15" s="42" t="s">
        <v>2025</v>
      </c>
      <c r="S15" s="42" t="s">
        <v>1347</v>
      </c>
      <c r="AD15" s="42" t="s">
        <v>1047</v>
      </c>
    </row>
    <row r="16" spans="1:30">
      <c r="B16" s="42" t="s">
        <v>1826</v>
      </c>
      <c r="C16" s="42" t="s">
        <v>666</v>
      </c>
      <c r="D16" s="42" t="s">
        <v>580</v>
      </c>
      <c r="J16" s="42" t="s">
        <v>657</v>
      </c>
      <c r="K16" s="42" t="s">
        <v>245</v>
      </c>
      <c r="M16" s="42" t="s">
        <v>661</v>
      </c>
      <c r="Q16" s="42" t="s">
        <v>2026</v>
      </c>
      <c r="S16" s="42" t="s">
        <v>1779</v>
      </c>
      <c r="AD16" s="42" t="s">
        <v>1048</v>
      </c>
    </row>
    <row r="17" spans="2:30">
      <c r="B17" s="42" t="s">
        <v>1837</v>
      </c>
      <c r="C17" s="42" t="s">
        <v>681</v>
      </c>
      <c r="D17" s="42" t="s">
        <v>1351</v>
      </c>
      <c r="J17" s="42" t="s">
        <v>649</v>
      </c>
      <c r="K17" s="42" t="s">
        <v>2027</v>
      </c>
      <c r="M17" s="42" t="s">
        <v>592</v>
      </c>
      <c r="Q17" s="42" t="s">
        <v>2028</v>
      </c>
      <c r="S17" s="42" t="s">
        <v>1783</v>
      </c>
      <c r="AD17" s="42" t="s">
        <v>987</v>
      </c>
    </row>
    <row r="18" spans="2:30">
      <c r="C18" s="42" t="s">
        <v>699</v>
      </c>
      <c r="D18" s="42" t="s">
        <v>499</v>
      </c>
      <c r="K18" s="42" t="s">
        <v>2029</v>
      </c>
      <c r="Q18" s="42" t="s">
        <v>2030</v>
      </c>
      <c r="S18" s="42" t="s">
        <v>1790</v>
      </c>
      <c r="AD18" s="42" t="s">
        <v>1049</v>
      </c>
    </row>
    <row r="19" spans="2:30">
      <c r="C19" s="42" t="s">
        <v>714</v>
      </c>
      <c r="D19" s="42" t="s">
        <v>145</v>
      </c>
      <c r="K19" s="42" t="s">
        <v>630</v>
      </c>
      <c r="Q19" s="42" t="s">
        <v>1033</v>
      </c>
      <c r="S19" s="42" t="s">
        <v>1793</v>
      </c>
      <c r="AD19" s="42" t="s">
        <v>1050</v>
      </c>
    </row>
    <row r="20" spans="2:30">
      <c r="D20" s="42" t="s">
        <v>1386</v>
      </c>
      <c r="K20" s="42" t="s">
        <v>579</v>
      </c>
      <c r="S20" s="42" t="s">
        <v>1801</v>
      </c>
      <c r="AD20" s="42" t="s">
        <v>1051</v>
      </c>
    </row>
    <row r="21" spans="2:30">
      <c r="D21" s="42" t="s">
        <v>547</v>
      </c>
      <c r="K21" s="42" t="s">
        <v>2026</v>
      </c>
      <c r="S21" s="42" t="s">
        <v>1804</v>
      </c>
      <c r="AD21" s="42" t="s">
        <v>1052</v>
      </c>
    </row>
    <row r="22" spans="2:30">
      <c r="D22" s="42" t="s">
        <v>555</v>
      </c>
      <c r="K22" s="42" t="s">
        <v>647</v>
      </c>
      <c r="S22" s="42" t="s">
        <v>1810</v>
      </c>
      <c r="AD22" s="42" t="s">
        <v>1053</v>
      </c>
    </row>
    <row r="23" spans="2:30">
      <c r="D23" s="42" t="s">
        <v>734</v>
      </c>
      <c r="K23" s="42" t="s">
        <v>674</v>
      </c>
      <c r="S23" s="42" t="s">
        <v>1695</v>
      </c>
      <c r="AD23" s="42" t="s">
        <v>1054</v>
      </c>
    </row>
    <row r="24" spans="2:30">
      <c r="D24" s="42" t="s">
        <v>563</v>
      </c>
      <c r="K24" s="42" t="s">
        <v>666</v>
      </c>
      <c r="S24" s="42" t="s">
        <v>1818</v>
      </c>
      <c r="AD24" s="42" t="s">
        <v>1055</v>
      </c>
    </row>
    <row r="25" spans="2:30">
      <c r="D25" s="42" t="s">
        <v>572</v>
      </c>
      <c r="K25" s="42" t="s">
        <v>681</v>
      </c>
      <c r="S25" s="42" t="s">
        <v>1822</v>
      </c>
      <c r="AD25" s="42" t="s">
        <v>1056</v>
      </c>
    </row>
    <row r="26" spans="2:30">
      <c r="D26" s="42" t="s">
        <v>1459</v>
      </c>
      <c r="K26" s="42" t="s">
        <v>699</v>
      </c>
      <c r="S26" s="42" t="s">
        <v>1830</v>
      </c>
      <c r="AD26" s="42" t="s">
        <v>1057</v>
      </c>
    </row>
    <row r="27" spans="2:30">
      <c r="D27" s="42" t="s">
        <v>614</v>
      </c>
      <c r="K27" s="42" t="s">
        <v>2031</v>
      </c>
      <c r="S27" s="42" t="s">
        <v>1833</v>
      </c>
      <c r="AD27" s="42" t="s">
        <v>1058</v>
      </c>
    </row>
    <row r="28" spans="2:30">
      <c r="D28" s="42" t="s">
        <v>622</v>
      </c>
      <c r="S28" s="42" t="s">
        <v>1841</v>
      </c>
      <c r="AD28" s="42" t="s">
        <v>1059</v>
      </c>
    </row>
    <row r="29" spans="2:30">
      <c r="D29" s="42" t="s">
        <v>1496</v>
      </c>
      <c r="S29" s="42" t="s">
        <v>1845</v>
      </c>
      <c r="AD29" s="42" t="s">
        <v>1060</v>
      </c>
    </row>
    <row r="30" spans="2:30">
      <c r="D30" s="42" t="s">
        <v>631</v>
      </c>
      <c r="AD30" s="42" t="s">
        <v>1061</v>
      </c>
    </row>
    <row r="31" spans="2:30">
      <c r="D31" s="42" t="s">
        <v>639</v>
      </c>
      <c r="AD31" s="42" t="s">
        <v>976</v>
      </c>
    </row>
    <row r="32" spans="2:30">
      <c r="D32" s="42" t="s">
        <v>1530</v>
      </c>
      <c r="AD32" s="42" t="s">
        <v>981</v>
      </c>
    </row>
    <row r="33" spans="4:30">
      <c r="D33" s="42" t="s">
        <v>648</v>
      </c>
      <c r="AD33" s="42" t="s">
        <v>984</v>
      </c>
    </row>
    <row r="34" spans="4:30">
      <c r="D34" s="42" t="s">
        <v>656</v>
      </c>
      <c r="AD34" s="42" t="s">
        <v>992</v>
      </c>
    </row>
    <row r="35" spans="4:30">
      <c r="D35" s="42" t="s">
        <v>1566</v>
      </c>
      <c r="AD35" s="42" t="s">
        <v>997</v>
      </c>
    </row>
    <row r="36" spans="4:30">
      <c r="D36" s="42" t="s">
        <v>667</v>
      </c>
    </row>
    <row r="37" spans="4:30">
      <c r="D37" s="42" t="s">
        <v>674</v>
      </c>
    </row>
    <row r="38" spans="4:30">
      <c r="D38" s="42" t="s">
        <v>1603</v>
      </c>
    </row>
    <row r="39" spans="4:30">
      <c r="D39" s="42" t="s">
        <v>682</v>
      </c>
    </row>
    <row r="40" spans="4:30">
      <c r="D40" s="42" t="s">
        <v>689</v>
      </c>
    </row>
    <row r="41" spans="4:30">
      <c r="D41" s="42" t="s">
        <v>1639</v>
      </c>
    </row>
    <row r="42" spans="4:30">
      <c r="D42" s="42" t="s">
        <v>700</v>
      </c>
    </row>
    <row r="43" spans="4:30">
      <c r="D43" s="42" t="s">
        <v>707</v>
      </c>
    </row>
    <row r="44" spans="4:30">
      <c r="D44" s="42" t="s">
        <v>1674</v>
      </c>
    </row>
    <row r="45" spans="4:30">
      <c r="D45" s="42" t="s">
        <v>715</v>
      </c>
    </row>
    <row r="46" spans="4:30">
      <c r="D46" s="42" t="s">
        <v>722</v>
      </c>
    </row>
    <row r="47" spans="4:30">
      <c r="D47" s="42" t="s">
        <v>1710</v>
      </c>
    </row>
    <row r="49" ht="18" customHeight="1" spans="1:2">
      <c r="A49" s="40" t="s">
        <v>2032</v>
      </c>
    </row>
    <row r="50" ht="20" customHeight="1" spans="1:2">
      <c r="A50" s="41" t="s">
        <v>446</v>
      </c>
      <c r="B50" s="41" t="s">
        <v>1851</v>
      </c>
    </row>
    <row r="51" spans="1:2">
      <c r="A51" s="43" t="s">
        <v>146</v>
      </c>
      <c r="B51" s="43" t="s">
        <v>244</v>
      </c>
    </row>
    <row r="52" spans="1:2">
      <c r="A52" s="43" t="s">
        <v>522</v>
      </c>
      <c r="B52" s="43" t="s">
        <v>244</v>
      </c>
    </row>
    <row r="53" spans="1:2">
      <c r="A53" s="43" t="s">
        <v>1243</v>
      </c>
      <c r="B53" s="43" t="s">
        <v>244</v>
      </c>
    </row>
    <row r="54" spans="1:2">
      <c r="A54" s="43" t="s">
        <v>598</v>
      </c>
      <c r="B54" s="43" t="s">
        <v>597</v>
      </c>
    </row>
    <row r="55" spans="1:2">
      <c r="A55" s="43" t="s">
        <v>606</v>
      </c>
      <c r="B55" s="43" t="s">
        <v>597</v>
      </c>
    </row>
    <row r="56" spans="1:2">
      <c r="A56" s="43" t="s">
        <v>1277</v>
      </c>
      <c r="B56" s="43" t="s">
        <v>597</v>
      </c>
    </row>
    <row r="57" spans="1:2">
      <c r="A57" s="43" t="s">
        <v>249</v>
      </c>
      <c r="B57" s="43" t="s">
        <v>245</v>
      </c>
    </row>
    <row r="58" spans="1:2">
      <c r="A58" s="43" t="s">
        <v>538</v>
      </c>
      <c r="B58" s="43" t="s">
        <v>245</v>
      </c>
    </row>
    <row r="59" spans="1:2">
      <c r="A59" s="43" t="s">
        <v>147</v>
      </c>
      <c r="B59" s="43" t="s">
        <v>245</v>
      </c>
    </row>
    <row r="60" spans="1:2">
      <c r="A60" s="43" t="s">
        <v>588</v>
      </c>
      <c r="B60" s="43" t="s">
        <v>579</v>
      </c>
    </row>
    <row r="61" spans="1:2">
      <c r="A61" s="43" t="s">
        <v>580</v>
      </c>
      <c r="B61" s="43" t="s">
        <v>579</v>
      </c>
    </row>
    <row r="62" spans="1:2">
      <c r="A62" s="43" t="s">
        <v>1351</v>
      </c>
      <c r="B62" s="43" t="s">
        <v>579</v>
      </c>
    </row>
    <row r="63" spans="1:2">
      <c r="A63" s="43" t="s">
        <v>499</v>
      </c>
      <c r="B63" s="43" t="s">
        <v>243</v>
      </c>
    </row>
    <row r="64" spans="1:2">
      <c r="A64" s="43" t="s">
        <v>145</v>
      </c>
      <c r="B64" s="43" t="s">
        <v>243</v>
      </c>
    </row>
    <row r="65" spans="1:2">
      <c r="A65" s="43" t="s">
        <v>1386</v>
      </c>
      <c r="B65" s="43" t="s">
        <v>243</v>
      </c>
    </row>
    <row r="66" spans="1:2">
      <c r="A66" s="43" t="s">
        <v>547</v>
      </c>
      <c r="B66" s="43" t="s">
        <v>546</v>
      </c>
    </row>
    <row r="67" spans="1:2">
      <c r="A67" s="43" t="s">
        <v>555</v>
      </c>
      <c r="B67" s="43" t="s">
        <v>546</v>
      </c>
    </row>
    <row r="68" spans="1:2">
      <c r="A68" s="43" t="s">
        <v>734</v>
      </c>
      <c r="B68" s="43" t="s">
        <v>546</v>
      </c>
    </row>
    <row r="69" spans="1:2">
      <c r="A69" s="43" t="s">
        <v>563</v>
      </c>
      <c r="B69" s="43" t="s">
        <v>562</v>
      </c>
    </row>
    <row r="70" spans="1:2">
      <c r="A70" s="43" t="s">
        <v>572</v>
      </c>
      <c r="B70" s="43" t="s">
        <v>562</v>
      </c>
    </row>
    <row r="71" spans="1:2">
      <c r="A71" s="43" t="s">
        <v>1459</v>
      </c>
      <c r="B71" s="43" t="s">
        <v>562</v>
      </c>
    </row>
    <row r="72" spans="1:2">
      <c r="A72" s="43" t="s">
        <v>614</v>
      </c>
      <c r="B72" s="43" t="s">
        <v>613</v>
      </c>
    </row>
    <row r="73" spans="1:2">
      <c r="A73" s="43" t="s">
        <v>622</v>
      </c>
      <c r="B73" s="43" t="s">
        <v>613</v>
      </c>
    </row>
    <row r="74" spans="1:2">
      <c r="A74" s="43" t="s">
        <v>1496</v>
      </c>
      <c r="B74" s="43" t="s">
        <v>613</v>
      </c>
    </row>
    <row r="75" spans="1:2">
      <c r="A75" s="43" t="s">
        <v>631</v>
      </c>
      <c r="B75" s="43" t="s">
        <v>630</v>
      </c>
    </row>
    <row r="76" spans="1:2">
      <c r="A76" s="43" t="s">
        <v>639</v>
      </c>
      <c r="B76" s="43" t="s">
        <v>630</v>
      </c>
    </row>
    <row r="77" spans="1:2">
      <c r="A77" s="43" t="s">
        <v>1530</v>
      </c>
      <c r="B77" s="43" t="s">
        <v>630</v>
      </c>
    </row>
    <row r="78" spans="1:2">
      <c r="A78" s="43" t="s">
        <v>648</v>
      </c>
      <c r="B78" s="43" t="s">
        <v>647</v>
      </c>
    </row>
    <row r="79" spans="1:2">
      <c r="A79" s="43" t="s">
        <v>656</v>
      </c>
      <c r="B79" s="43" t="s">
        <v>647</v>
      </c>
    </row>
    <row r="80" spans="1:2">
      <c r="A80" s="43" t="s">
        <v>1566</v>
      </c>
      <c r="B80" s="43" t="s">
        <v>647</v>
      </c>
    </row>
    <row r="81" spans="1:3">
      <c r="A81" s="43" t="s">
        <v>667</v>
      </c>
      <c r="B81" s="43" t="s">
        <v>666</v>
      </c>
    </row>
    <row r="82" spans="1:3">
      <c r="A82" s="43" t="s">
        <v>674</v>
      </c>
      <c r="B82" s="43" t="s">
        <v>666</v>
      </c>
    </row>
    <row r="83" spans="1:3">
      <c r="A83" s="43" t="s">
        <v>1603</v>
      </c>
      <c r="B83" s="43" t="s">
        <v>666</v>
      </c>
    </row>
    <row r="84" spans="1:3">
      <c r="A84" s="43" t="s">
        <v>682</v>
      </c>
      <c r="B84" s="43" t="s">
        <v>681</v>
      </c>
    </row>
    <row r="85" spans="1:3">
      <c r="A85" s="43" t="s">
        <v>689</v>
      </c>
      <c r="B85" s="43" t="s">
        <v>681</v>
      </c>
    </row>
    <row r="86" spans="1:3">
      <c r="A86" s="43" t="s">
        <v>1639</v>
      </c>
      <c r="B86" s="43" t="s">
        <v>681</v>
      </c>
    </row>
    <row r="87" spans="1:3">
      <c r="A87" s="43" t="s">
        <v>700</v>
      </c>
      <c r="B87" s="43" t="s">
        <v>699</v>
      </c>
    </row>
    <row r="88" spans="1:3">
      <c r="A88" s="43" t="s">
        <v>707</v>
      </c>
      <c r="B88" s="43" t="s">
        <v>699</v>
      </c>
    </row>
    <row r="89" spans="1:3">
      <c r="A89" s="43" t="s">
        <v>1674</v>
      </c>
      <c r="B89" s="43" t="s">
        <v>699</v>
      </c>
    </row>
    <row r="90" spans="1:3">
      <c r="A90" s="43" t="s">
        <v>715</v>
      </c>
      <c r="B90" s="43" t="s">
        <v>714</v>
      </c>
    </row>
    <row r="91" spans="1:3">
      <c r="A91" s="43" t="s">
        <v>722</v>
      </c>
      <c r="B91" s="43" t="s">
        <v>714</v>
      </c>
    </row>
    <row r="92" spans="1:3">
      <c r="A92" s="43" t="s">
        <v>1710</v>
      </c>
      <c r="B92" s="43" t="s">
        <v>714</v>
      </c>
    </row>
    <row r="94" ht="18" customHeight="1" spans="1:3">
      <c r="A94" s="40" t="s">
        <v>2033</v>
      </c>
    </row>
    <row r="95" ht="20" customHeight="1" spans="1:3">
      <c r="A95" s="41" t="s">
        <v>447</v>
      </c>
      <c r="B95" s="41" t="s">
        <v>2034</v>
      </c>
      <c r="C95" s="41" t="s">
        <v>2035</v>
      </c>
    </row>
    <row r="96" spans="1:3">
      <c r="A96" s="43" t="s">
        <v>1980</v>
      </c>
      <c r="B96" s="44">
        <v>0</v>
      </c>
      <c r="C96" s="44">
        <v>9999</v>
      </c>
    </row>
    <row r="97" spans="1:5">
      <c r="A97" s="43" t="s">
        <v>1986</v>
      </c>
      <c r="B97" s="44">
        <v>10000</v>
      </c>
      <c r="C97" s="44">
        <v>49999</v>
      </c>
    </row>
    <row r="98" spans="1:5">
      <c r="A98" s="43" t="s">
        <v>1991</v>
      </c>
      <c r="B98" s="44">
        <v>50000</v>
      </c>
      <c r="C98" s="44">
        <v>99999</v>
      </c>
    </row>
    <row r="99" spans="1:5">
      <c r="A99" s="43" t="s">
        <v>1996</v>
      </c>
      <c r="B99" s="44">
        <v>100000</v>
      </c>
      <c r="C99" s="44">
        <v>999999</v>
      </c>
    </row>
    <row r="100" spans="1:5">
      <c r="A100" s="43" t="s">
        <v>2001</v>
      </c>
      <c r="B100" s="44">
        <v>1000000</v>
      </c>
      <c r="C100" s="44" t="s">
        <v>827</v>
      </c>
    </row>
    <row r="102" ht="18" customHeight="1" spans="1:5">
      <c r="A102" s="40" t="s">
        <v>2036</v>
      </c>
    </row>
    <row r="103" ht="26" customHeight="1" spans="1:5">
      <c r="A103" s="41" t="s">
        <v>2037</v>
      </c>
      <c r="B103" s="41" t="s">
        <v>2038</v>
      </c>
      <c r="C103" s="41" t="s">
        <v>311</v>
      </c>
      <c r="D103" s="41" t="s">
        <v>27</v>
      </c>
      <c r="E103" s="41" t="s">
        <v>2039</v>
      </c>
    </row>
    <row r="104" spans="1:5">
      <c r="A104" s="45" t="s">
        <v>2040</v>
      </c>
      <c r="B104" s="43" t="s">
        <v>55</v>
      </c>
      <c r="C104" s="46" t="s">
        <v>2041</v>
      </c>
      <c r="D104" s="47">
        <v>20</v>
      </c>
      <c r="E104" s="48" t="s">
        <v>2042</v>
      </c>
    </row>
    <row r="105" spans="1:5">
      <c r="A105" s="43" t="s">
        <v>29</v>
      </c>
      <c r="B105" s="43" t="s">
        <v>57</v>
      </c>
      <c r="C105" s="46" t="s">
        <v>2043</v>
      </c>
      <c r="D105" s="47">
        <v>30</v>
      </c>
      <c r="E105" s="48" t="s">
        <v>2044</v>
      </c>
    </row>
    <row r="106" spans="1:5">
      <c r="A106" s="43" t="s">
        <v>29</v>
      </c>
      <c r="B106" s="43" t="s">
        <v>59</v>
      </c>
      <c r="C106" s="46" t="s">
        <v>2045</v>
      </c>
      <c r="D106" s="47">
        <v>20</v>
      </c>
      <c r="E106" s="48" t="s">
        <v>2046</v>
      </c>
    </row>
    <row r="107" spans="1:5">
      <c r="A107" s="43" t="s">
        <v>29</v>
      </c>
      <c r="B107" s="43" t="s">
        <v>61</v>
      </c>
      <c r="C107" s="46" t="s">
        <v>2047</v>
      </c>
      <c r="D107" s="47">
        <v>10</v>
      </c>
      <c r="E107" s="48" t="s">
        <v>2048</v>
      </c>
    </row>
    <row r="108" spans="1:5">
      <c r="A108" s="43" t="s">
        <v>29</v>
      </c>
      <c r="B108" s="43" t="s">
        <v>63</v>
      </c>
      <c r="C108" s="46" t="s">
        <v>2049</v>
      </c>
      <c r="D108" s="47">
        <v>10</v>
      </c>
      <c r="E108" s="48" t="s">
        <v>2050</v>
      </c>
    </row>
    <row r="109" spans="1:5">
      <c r="A109" s="43" t="s">
        <v>29</v>
      </c>
      <c r="B109" s="43" t="s">
        <v>65</v>
      </c>
      <c r="C109" s="46" t="s">
        <v>2051</v>
      </c>
      <c r="D109" s="47">
        <v>10</v>
      </c>
      <c r="E109" s="48" t="s">
        <v>2052</v>
      </c>
    </row>
    <row r="110" spans="1:5">
      <c r="A110" s="45" t="s">
        <v>2053</v>
      </c>
      <c r="B110" s="43" t="s">
        <v>751</v>
      </c>
      <c r="C110" s="46" t="s">
        <v>2054</v>
      </c>
      <c r="D110" s="47">
        <v>40</v>
      </c>
      <c r="E110" s="48" t="s">
        <v>2055</v>
      </c>
    </row>
    <row r="111" spans="1:5">
      <c r="A111" s="43" t="s">
        <v>29</v>
      </c>
      <c r="B111" s="43" t="s">
        <v>752</v>
      </c>
      <c r="C111" s="46" t="s">
        <v>2056</v>
      </c>
      <c r="D111" s="47">
        <v>30</v>
      </c>
      <c r="E111" s="48" t="s">
        <v>2057</v>
      </c>
    </row>
    <row r="112" ht="25.5" spans="1:5">
      <c r="A112" s="43" t="s">
        <v>29</v>
      </c>
      <c r="B112" s="43" t="s">
        <v>753</v>
      </c>
      <c r="C112" s="46" t="s">
        <v>2058</v>
      </c>
      <c r="D112" s="47">
        <v>30</v>
      </c>
      <c r="E112" s="48" t="s">
        <v>2059</v>
      </c>
    </row>
    <row r="113" spans="1:5">
      <c r="A113" s="45" t="s">
        <v>2060</v>
      </c>
      <c r="B113" s="43" t="s">
        <v>361</v>
      </c>
      <c r="C113" s="46" t="s">
        <v>2061</v>
      </c>
      <c r="D113" s="47">
        <v>25</v>
      </c>
      <c r="E113" s="48" t="s">
        <v>2062</v>
      </c>
    </row>
    <row r="114" spans="1:5">
      <c r="A114" s="43" t="s">
        <v>29</v>
      </c>
      <c r="B114" s="43" t="s">
        <v>364</v>
      </c>
      <c r="C114" s="46" t="s">
        <v>2063</v>
      </c>
      <c r="D114" s="47">
        <v>15</v>
      </c>
      <c r="E114" s="48" t="s">
        <v>2064</v>
      </c>
    </row>
    <row r="115" spans="1:5">
      <c r="A115" s="43" t="s">
        <v>29</v>
      </c>
      <c r="B115" s="43" t="s">
        <v>367</v>
      </c>
      <c r="C115" s="46" t="s">
        <v>2065</v>
      </c>
      <c r="D115" s="47">
        <v>30</v>
      </c>
      <c r="E115" s="48" t="s">
        <v>2064</v>
      </c>
    </row>
    <row r="116" spans="1:5">
      <c r="A116" s="43" t="s">
        <v>29</v>
      </c>
      <c r="B116" s="43" t="s">
        <v>370</v>
      </c>
      <c r="C116" s="46" t="s">
        <v>2066</v>
      </c>
      <c r="D116" s="47">
        <v>30</v>
      </c>
      <c r="E116" s="48" t="s">
        <v>2064</v>
      </c>
    </row>
    <row r="117" ht="25.5" spans="1:5">
      <c r="A117" s="43" t="s">
        <v>29</v>
      </c>
      <c r="B117" s="43" t="s">
        <v>2067</v>
      </c>
      <c r="C117" s="46" t="s">
        <v>2068</v>
      </c>
      <c r="D117" s="47">
        <v>12</v>
      </c>
      <c r="E117" s="48" t="s">
        <v>2069</v>
      </c>
    </row>
    <row r="118" spans="1:5">
      <c r="A118" s="45" t="s">
        <v>2070</v>
      </c>
      <c r="B118" s="43" t="s">
        <v>1961</v>
      </c>
      <c r="C118" s="46" t="s">
        <v>2071</v>
      </c>
      <c r="D118" s="47">
        <v>50</v>
      </c>
      <c r="E118" s="48" t="s">
        <v>2072</v>
      </c>
    </row>
    <row r="119" spans="1:5">
      <c r="A119" s="43" t="s">
        <v>29</v>
      </c>
      <c r="B119" s="43" t="s">
        <v>1962</v>
      </c>
      <c r="C119" s="46" t="s">
        <v>2073</v>
      </c>
      <c r="D119" s="47">
        <v>25</v>
      </c>
      <c r="E119" s="48" t="s">
        <v>2074</v>
      </c>
    </row>
    <row r="120" spans="1:5">
      <c r="A120" s="43" t="s">
        <v>29</v>
      </c>
      <c r="B120" s="43" t="s">
        <v>1963</v>
      </c>
      <c r="C120" s="46" t="s">
        <v>2075</v>
      </c>
      <c r="D120" s="47">
        <v>25</v>
      </c>
      <c r="E120" s="48" t="s">
        <v>2076</v>
      </c>
    </row>
    <row r="121" spans="1:5">
      <c r="A121" s="45" t="s">
        <v>2077</v>
      </c>
      <c r="B121" s="43" t="s">
        <v>752</v>
      </c>
      <c r="C121" s="46" t="s">
        <v>2078</v>
      </c>
      <c r="D121" s="47">
        <v>30</v>
      </c>
      <c r="E121" s="48" t="s">
        <v>2079</v>
      </c>
    </row>
    <row r="122" spans="1:5">
      <c r="A122" s="43" t="s">
        <v>29</v>
      </c>
      <c r="B122" s="43" t="s">
        <v>759</v>
      </c>
      <c r="C122" s="46" t="s">
        <v>2080</v>
      </c>
      <c r="D122" s="47">
        <v>20</v>
      </c>
      <c r="E122" s="48" t="s">
        <v>2081</v>
      </c>
    </row>
    <row r="123" spans="1:5">
      <c r="A123" s="43" t="s">
        <v>29</v>
      </c>
      <c r="B123" s="43" t="s">
        <v>760</v>
      </c>
      <c r="C123" s="46" t="s">
        <v>2082</v>
      </c>
      <c r="D123" s="47">
        <v>30</v>
      </c>
      <c r="E123" s="48" t="s">
        <v>2083</v>
      </c>
    </row>
    <row r="124" spans="1:5">
      <c r="A124" s="43" t="s">
        <v>29</v>
      </c>
      <c r="B124" s="43" t="s">
        <v>761</v>
      </c>
      <c r="C124" s="46" t="s">
        <v>2084</v>
      </c>
      <c r="D124" s="47">
        <v>20</v>
      </c>
      <c r="E124" s="48" t="s">
        <v>2085</v>
      </c>
    </row>
    <row r="125" spans="1:5">
      <c r="A125" s="45" t="s">
        <v>2086</v>
      </c>
      <c r="B125" s="43" t="s">
        <v>762</v>
      </c>
      <c r="C125" s="46" t="s">
        <v>2087</v>
      </c>
      <c r="D125" s="47">
        <v>35</v>
      </c>
      <c r="E125" s="48" t="s">
        <v>2088</v>
      </c>
    </row>
    <row r="126" spans="1:5">
      <c r="A126" s="43" t="s">
        <v>29</v>
      </c>
      <c r="B126" s="43" t="s">
        <v>763</v>
      </c>
      <c r="C126" s="46" t="s">
        <v>2089</v>
      </c>
      <c r="D126" s="47">
        <v>25</v>
      </c>
      <c r="E126" s="48" t="s">
        <v>2090</v>
      </c>
    </row>
    <row r="127" spans="1:5">
      <c r="A127" s="43" t="s">
        <v>29</v>
      </c>
      <c r="B127" s="43" t="s">
        <v>764</v>
      </c>
      <c r="C127" s="46" t="s">
        <v>2091</v>
      </c>
      <c r="D127" s="47">
        <v>25</v>
      </c>
      <c r="E127" s="48" t="s">
        <v>2092</v>
      </c>
    </row>
    <row r="128" spans="1:5">
      <c r="A128" s="43" t="s">
        <v>29</v>
      </c>
      <c r="B128" s="43" t="s">
        <v>765</v>
      </c>
      <c r="C128" s="46" t="s">
        <v>2093</v>
      </c>
      <c r="D128" s="47">
        <v>15</v>
      </c>
      <c r="E128" s="48" t="s">
        <v>2094</v>
      </c>
    </row>
    <row r="129" spans="1:5">
      <c r="A129" s="45" t="s">
        <v>2095</v>
      </c>
      <c r="B129" s="43" t="s">
        <v>867</v>
      </c>
      <c r="C129" s="46" t="s">
        <v>2096</v>
      </c>
      <c r="D129" s="47">
        <v>35</v>
      </c>
      <c r="E129" s="48" t="s">
        <v>2097</v>
      </c>
    </row>
    <row r="130" spans="1:5">
      <c r="A130" s="43" t="s">
        <v>29</v>
      </c>
      <c r="B130" s="43" t="s">
        <v>458</v>
      </c>
      <c r="C130" s="46" t="s">
        <v>2098</v>
      </c>
      <c r="D130" s="47">
        <v>20</v>
      </c>
      <c r="E130" s="48" t="s">
        <v>2097</v>
      </c>
    </row>
    <row r="131" spans="1:5">
      <c r="A131" s="43" t="s">
        <v>29</v>
      </c>
      <c r="B131" s="43" t="s">
        <v>928</v>
      </c>
      <c r="C131" s="46" t="s">
        <v>2099</v>
      </c>
      <c r="D131" s="47">
        <v>20</v>
      </c>
      <c r="E131" s="48" t="s">
        <v>2097</v>
      </c>
    </row>
    <row r="132" spans="1:5">
      <c r="A132" s="43" t="s">
        <v>29</v>
      </c>
      <c r="B132" s="43" t="s">
        <v>2015</v>
      </c>
      <c r="C132" s="46" t="s">
        <v>2100</v>
      </c>
      <c r="D132" s="47">
        <v>10</v>
      </c>
      <c r="E132" s="48" t="s">
        <v>2097</v>
      </c>
    </row>
    <row r="133" spans="1:5">
      <c r="A133" s="43" t="s">
        <v>29</v>
      </c>
      <c r="B133" s="43" t="s">
        <v>452</v>
      </c>
      <c r="C133" s="46" t="s">
        <v>2101</v>
      </c>
      <c r="D133" s="47">
        <v>10</v>
      </c>
      <c r="E133" s="48" t="s">
        <v>2102</v>
      </c>
    </row>
    <row r="134" spans="1:5">
      <c r="A134" s="43" t="s">
        <v>29</v>
      </c>
      <c r="B134" s="43" t="s">
        <v>2103</v>
      </c>
      <c r="C134" s="46" t="s">
        <v>2104</v>
      </c>
      <c r="D134" s="47">
        <v>5</v>
      </c>
      <c r="E134" s="48" t="s">
        <v>2105</v>
      </c>
    </row>
    <row r="135" spans="1:5">
      <c r="A135" s="45" t="s">
        <v>2106</v>
      </c>
      <c r="B135" s="43" t="s">
        <v>483</v>
      </c>
      <c r="C135" s="46" t="s">
        <v>2107</v>
      </c>
      <c r="D135" s="47">
        <v>80</v>
      </c>
      <c r="E135" s="48" t="s">
        <v>2108</v>
      </c>
    </row>
    <row r="136" ht="25.5" spans="1:5">
      <c r="A136" s="43" t="s">
        <v>29</v>
      </c>
      <c r="B136" s="43" t="s">
        <v>484</v>
      </c>
      <c r="C136" s="46" t="s">
        <v>2109</v>
      </c>
      <c r="D136" s="47">
        <v>20</v>
      </c>
      <c r="E136" s="48" t="s">
        <v>2110</v>
      </c>
    </row>
    <row r="137" spans="1:5">
      <c r="A137" s="45" t="s">
        <v>2111</v>
      </c>
      <c r="B137" s="43" t="s">
        <v>2112</v>
      </c>
      <c r="C137" s="46" t="s">
        <v>2113</v>
      </c>
      <c r="D137" s="47">
        <v>0.6</v>
      </c>
      <c r="E137" s="48" t="s">
        <v>2114</v>
      </c>
    </row>
    <row r="138" spans="1:5">
      <c r="A138" s="43" t="s">
        <v>29</v>
      </c>
      <c r="B138" s="43" t="s">
        <v>2115</v>
      </c>
      <c r="C138" s="46" t="s">
        <v>2116</v>
      </c>
      <c r="D138" s="47">
        <v>0.85</v>
      </c>
      <c r="E138" s="48" t="s">
        <v>2117</v>
      </c>
    </row>
    <row r="139" spans="1:5">
      <c r="A139" s="43" t="s">
        <v>29</v>
      </c>
      <c r="B139" s="43" t="s">
        <v>2118</v>
      </c>
      <c r="C139" s="46" t="s">
        <v>2119</v>
      </c>
      <c r="D139" s="47">
        <v>0.95</v>
      </c>
      <c r="E139" s="48" t="s">
        <v>2117</v>
      </c>
    </row>
    <row r="140" spans="1:5">
      <c r="A140" s="43" t="s">
        <v>29</v>
      </c>
      <c r="B140" s="43" t="s">
        <v>2120</v>
      </c>
      <c r="C140" s="46" t="s">
        <v>2121</v>
      </c>
      <c r="D140" s="47">
        <v>1</v>
      </c>
      <c r="E140" s="48" t="s">
        <v>2122</v>
      </c>
    </row>
    <row r="141" spans="1:5">
      <c r="A141" s="45" t="s">
        <v>2123</v>
      </c>
      <c r="B141" s="43" t="s">
        <v>2124</v>
      </c>
      <c r="C141" s="46" t="s">
        <v>2125</v>
      </c>
      <c r="D141" s="47">
        <v>6</v>
      </c>
      <c r="E141" s="48" t="s">
        <v>2126</v>
      </c>
    </row>
    <row r="142" spans="1:5">
      <c r="A142" s="43" t="s">
        <v>29</v>
      </c>
      <c r="B142" s="43" t="s">
        <v>2127</v>
      </c>
      <c r="C142" s="46" t="s">
        <v>2128</v>
      </c>
      <c r="D142" s="47">
        <v>45</v>
      </c>
      <c r="E142" s="48" t="s">
        <v>2129</v>
      </c>
    </row>
    <row r="143" spans="1:5">
      <c r="A143" s="43" t="s">
        <v>29</v>
      </c>
      <c r="B143" s="43" t="s">
        <v>2130</v>
      </c>
      <c r="C143" s="46" t="s">
        <v>2131</v>
      </c>
      <c r="D143" s="47">
        <v>65</v>
      </c>
      <c r="E143" s="48" t="s">
        <v>2132</v>
      </c>
    </row>
    <row r="144" spans="1:5">
      <c r="A144" s="43" t="s">
        <v>29</v>
      </c>
      <c r="B144" s="43" t="s">
        <v>2133</v>
      </c>
      <c r="C144" s="46" t="s">
        <v>2134</v>
      </c>
      <c r="D144" s="47">
        <v>0.5</v>
      </c>
      <c r="E144" s="48" t="s">
        <v>2135</v>
      </c>
    </row>
    <row r="145" spans="1:5">
      <c r="A145" s="43" t="s">
        <v>29</v>
      </c>
      <c r="B145" s="43" t="s">
        <v>2136</v>
      </c>
      <c r="C145" s="46" t="s">
        <v>2137</v>
      </c>
      <c r="D145" s="47">
        <v>8</v>
      </c>
      <c r="E145" s="48" t="s">
        <v>2138</v>
      </c>
    </row>
    <row r="146" spans="1:5">
      <c r="A146" s="43" t="s">
        <v>29</v>
      </c>
      <c r="B146" s="43" t="s">
        <v>2139</v>
      </c>
      <c r="C146" s="46" t="s">
        <v>2140</v>
      </c>
      <c r="D146" s="47">
        <v>9000</v>
      </c>
      <c r="E146" s="48" t="s">
        <v>2141</v>
      </c>
    </row>
    <row r="147" spans="1:5">
      <c r="A147" s="43" t="s">
        <v>29</v>
      </c>
      <c r="B147" s="43" t="s">
        <v>2142</v>
      </c>
      <c r="C147" s="46" t="s">
        <v>2143</v>
      </c>
      <c r="D147" s="47">
        <v>1.15</v>
      </c>
      <c r="E147" s="48" t="s">
        <v>2144</v>
      </c>
    </row>
    <row r="148" spans="1:5">
      <c r="A148" s="43" t="s">
        <v>29</v>
      </c>
      <c r="B148" s="43" t="s">
        <v>2145</v>
      </c>
      <c r="C148" s="46" t="s">
        <v>2146</v>
      </c>
      <c r="D148" s="47">
        <v>0.12</v>
      </c>
      <c r="E148" s="48" t="s">
        <v>2147</v>
      </c>
    </row>
    <row r="149" spans="1:5">
      <c r="A149" s="43" t="s">
        <v>29</v>
      </c>
      <c r="B149" s="43" t="s">
        <v>2148</v>
      </c>
      <c r="C149" s="46" t="s">
        <v>2149</v>
      </c>
      <c r="D149" s="47"/>
      <c r="E149" s="48" t="s">
        <v>2150</v>
      </c>
    </row>
    <row r="150" spans="1:5">
      <c r="A150" s="43" t="s">
        <v>29</v>
      </c>
      <c r="B150" s="43" t="s">
        <v>2151</v>
      </c>
      <c r="C150" s="46" t="s">
        <v>2152</v>
      </c>
      <c r="D150" s="47">
        <v>50</v>
      </c>
      <c r="E150" s="48" t="s">
        <v>2153</v>
      </c>
    </row>
    <row r="151" spans="1:5">
      <c r="A151" s="43" t="s">
        <v>29</v>
      </c>
      <c r="B151" s="43" t="s">
        <v>2154</v>
      </c>
      <c r="C151" s="46" t="s">
        <v>2155</v>
      </c>
      <c r="D151" s="47">
        <v>20</v>
      </c>
      <c r="E151" s="48" t="s">
        <v>2156</v>
      </c>
    </row>
    <row r="152" spans="1:5">
      <c r="A152" s="45" t="s">
        <v>2157</v>
      </c>
      <c r="B152" s="43" t="s">
        <v>2158</v>
      </c>
      <c r="C152" s="46" t="s">
        <v>2159</v>
      </c>
      <c r="D152" s="47">
        <v>90</v>
      </c>
      <c r="E152" s="48" t="s">
        <v>2160</v>
      </c>
    </row>
    <row r="153" spans="1:5">
      <c r="A153" s="43" t="s">
        <v>29</v>
      </c>
      <c r="B153" s="43" t="s">
        <v>2161</v>
      </c>
      <c r="C153" s="46" t="s">
        <v>2162</v>
      </c>
      <c r="D153" s="47">
        <v>80</v>
      </c>
      <c r="E153" s="48" t="s">
        <v>29</v>
      </c>
    </row>
    <row r="154" spans="1:5">
      <c r="A154" s="43" t="s">
        <v>29</v>
      </c>
      <c r="B154" s="43" t="s">
        <v>2163</v>
      </c>
      <c r="C154" s="46" t="s">
        <v>2164</v>
      </c>
      <c r="D154" s="47">
        <v>70</v>
      </c>
      <c r="E154" s="48" t="s">
        <v>29</v>
      </c>
    </row>
    <row r="155" spans="1:5">
      <c r="A155" s="43" t="s">
        <v>29</v>
      </c>
      <c r="B155" s="43" t="s">
        <v>2165</v>
      </c>
      <c r="C155" s="46" t="s">
        <v>2166</v>
      </c>
      <c r="D155" s="47">
        <v>60</v>
      </c>
      <c r="E155" s="48" t="s">
        <v>2167</v>
      </c>
    </row>
    <row r="156" spans="1:5">
      <c r="A156" s="45" t="s">
        <v>2168</v>
      </c>
      <c r="B156" s="43" t="s">
        <v>2169</v>
      </c>
      <c r="C156" s="46" t="s">
        <v>2170</v>
      </c>
      <c r="D156" s="47">
        <v>85</v>
      </c>
      <c r="E156" s="48" t="s">
        <v>2171</v>
      </c>
    </row>
    <row r="157" spans="1:5">
      <c r="A157" s="43" t="s">
        <v>29</v>
      </c>
      <c r="B157" s="43" t="s">
        <v>2172</v>
      </c>
      <c r="C157" s="46" t="s">
        <v>2173</v>
      </c>
      <c r="D157" s="47">
        <v>72</v>
      </c>
      <c r="E157" s="48" t="s">
        <v>29</v>
      </c>
    </row>
    <row r="158" spans="1:5">
      <c r="A158" s="43" t="s">
        <v>29</v>
      </c>
      <c r="B158" s="43" t="s">
        <v>2174</v>
      </c>
      <c r="C158" s="46" t="s">
        <v>2175</v>
      </c>
      <c r="D158" s="47">
        <v>60</v>
      </c>
      <c r="E158" s="48" t="s">
        <v>2176</v>
      </c>
    </row>
    <row r="159" spans="1:5">
      <c r="A159" s="45" t="s">
        <v>2177</v>
      </c>
      <c r="B159" s="43" t="s">
        <v>2178</v>
      </c>
      <c r="C159" s="46" t="s">
        <v>2179</v>
      </c>
      <c r="D159" s="47">
        <v>100</v>
      </c>
      <c r="E159" s="48" t="s">
        <v>2180</v>
      </c>
    </row>
    <row r="160" spans="1:5">
      <c r="A160" s="43" t="s">
        <v>29</v>
      </c>
      <c r="B160" s="43" t="s">
        <v>2181</v>
      </c>
      <c r="C160" s="46" t="s">
        <v>2182</v>
      </c>
      <c r="D160" s="47">
        <v>84</v>
      </c>
      <c r="E160" s="48" t="s">
        <v>2183</v>
      </c>
    </row>
    <row r="161" spans="1:15">
      <c r="A161" s="45" t="s">
        <v>2184</v>
      </c>
      <c r="B161" s="43" t="s">
        <v>2185</v>
      </c>
      <c r="C161" s="46" t="s">
        <v>2186</v>
      </c>
      <c r="D161" s="47">
        <v>75</v>
      </c>
      <c r="E161" s="48" t="s">
        <v>2187</v>
      </c>
    </row>
    <row r="162" spans="1:15">
      <c r="A162" s="45" t="s">
        <v>2188</v>
      </c>
      <c r="B162" s="43" t="s">
        <v>2189</v>
      </c>
      <c r="C162" s="46" t="s">
        <v>2190</v>
      </c>
      <c r="D162" s="47">
        <v>35</v>
      </c>
      <c r="E162" s="48" t="s">
        <v>2191</v>
      </c>
    </row>
    <row r="163" spans="1:15">
      <c r="A163" s="43" t="s">
        <v>29</v>
      </c>
      <c r="B163" s="43" t="s">
        <v>493</v>
      </c>
      <c r="C163" s="46" t="s">
        <v>2192</v>
      </c>
      <c r="D163" s="47">
        <v>25</v>
      </c>
      <c r="E163" s="48" t="s">
        <v>2191</v>
      </c>
    </row>
    <row r="164" spans="1:15">
      <c r="A164" s="43" t="s">
        <v>29</v>
      </c>
      <c r="B164" s="43" t="s">
        <v>2103</v>
      </c>
      <c r="C164" s="46" t="s">
        <v>2193</v>
      </c>
      <c r="D164" s="47">
        <v>25</v>
      </c>
      <c r="E164" s="48" t="s">
        <v>2191</v>
      </c>
    </row>
    <row r="165" spans="1:15">
      <c r="A165" s="43" t="s">
        <v>29</v>
      </c>
      <c r="B165" s="43" t="s">
        <v>867</v>
      </c>
      <c r="C165" s="46" t="s">
        <v>2194</v>
      </c>
      <c r="D165" s="47">
        <v>15</v>
      </c>
      <c r="E165" s="48" t="s">
        <v>2191</v>
      </c>
    </row>
    <row r="166" spans="1:15">
      <c r="A166" s="45" t="s">
        <v>2195</v>
      </c>
      <c r="B166" s="49" t="s">
        <v>2196</v>
      </c>
      <c r="C166" s="46" t="s">
        <v>2197</v>
      </c>
      <c r="D166" s="50">
        <f>Lookup_Lists!$D$104+Lookup_Lists!$D$105+Lookup_Lists!$D$106+Lookup_Lists!$D$107+Lookup_Lists!$D$108+Lookup_Lists!$D$109</f>
        <v>100</v>
      </c>
      <c r="E166" s="49" t="str">
        <f>IF(Lookup_Lists!$D$166=100,"OK — the six components total 100%","ERROR — the six components total "&amp;Lookup_Lists!$D$166&amp;"%, they must total 100")</f>
        <v>OK — the six components total 100%</v>
      </c>
    </row>
    <row r="168" ht="18" customHeight="1" spans="1:15">
      <c r="A168" s="40" t="s">
        <v>2198</v>
      </c>
    </row>
    <row r="169" ht="44" customHeight="1" spans="1:15">
      <c r="A169" s="51" t="s">
        <v>2199</v>
      </c>
      <c r="B169" s="41" t="s">
        <v>244</v>
      </c>
      <c r="C169" s="41" t="s">
        <v>597</v>
      </c>
      <c r="D169" s="41" t="s">
        <v>245</v>
      </c>
      <c r="E169" s="41" t="s">
        <v>579</v>
      </c>
      <c r="F169" s="41" t="s">
        <v>243</v>
      </c>
      <c r="G169" s="41" t="s">
        <v>546</v>
      </c>
      <c r="H169" s="41" t="s">
        <v>562</v>
      </c>
      <c r="I169" s="41" t="s">
        <v>613</v>
      </c>
      <c r="J169" s="41" t="s">
        <v>630</v>
      </c>
      <c r="K169" s="41" t="s">
        <v>647</v>
      </c>
      <c r="L169" s="41" t="s">
        <v>666</v>
      </c>
      <c r="M169" s="41" t="s">
        <v>681</v>
      </c>
      <c r="N169" s="41" t="s">
        <v>699</v>
      </c>
      <c r="O169" s="41" t="s">
        <v>714</v>
      </c>
    </row>
    <row r="170" spans="1:15">
      <c r="A170" s="45" t="s">
        <v>134</v>
      </c>
      <c r="B170" s="52">
        <v>20</v>
      </c>
      <c r="C170" s="52">
        <v>20</v>
      </c>
      <c r="D170" s="52">
        <v>20</v>
      </c>
      <c r="E170" s="52">
        <v>40</v>
      </c>
      <c r="F170" s="52">
        <v>100</v>
      </c>
      <c r="G170" s="52">
        <v>80</v>
      </c>
      <c r="H170" s="52">
        <v>80</v>
      </c>
      <c r="I170" s="52">
        <v>60</v>
      </c>
      <c r="J170" s="52">
        <v>40</v>
      </c>
      <c r="K170" s="52">
        <v>20</v>
      </c>
      <c r="L170" s="52">
        <v>40</v>
      </c>
      <c r="M170" s="52">
        <v>60</v>
      </c>
      <c r="N170" s="52">
        <v>40</v>
      </c>
      <c r="O170" s="52">
        <v>40</v>
      </c>
    </row>
    <row r="171" spans="1:15">
      <c r="A171" s="45" t="s">
        <v>135</v>
      </c>
      <c r="B171" s="52">
        <v>100</v>
      </c>
      <c r="C171" s="52">
        <v>80</v>
      </c>
      <c r="D171" s="52">
        <v>40</v>
      </c>
      <c r="E171" s="52">
        <v>60</v>
      </c>
      <c r="F171" s="52">
        <v>20</v>
      </c>
      <c r="G171" s="52">
        <v>20</v>
      </c>
      <c r="H171" s="52">
        <v>20</v>
      </c>
      <c r="I171" s="52">
        <v>80</v>
      </c>
      <c r="J171" s="52">
        <v>40</v>
      </c>
      <c r="K171" s="52">
        <v>40</v>
      </c>
      <c r="L171" s="52">
        <v>40</v>
      </c>
      <c r="M171" s="52">
        <v>20</v>
      </c>
      <c r="N171" s="52">
        <v>20</v>
      </c>
      <c r="O171" s="52">
        <v>40</v>
      </c>
    </row>
    <row r="172" spans="1:15">
      <c r="A172" s="45" t="s">
        <v>136</v>
      </c>
      <c r="B172" s="52">
        <v>40</v>
      </c>
      <c r="C172" s="52">
        <v>40</v>
      </c>
      <c r="D172" s="52">
        <v>100</v>
      </c>
      <c r="E172" s="52">
        <v>60</v>
      </c>
      <c r="F172" s="52">
        <v>20</v>
      </c>
      <c r="G172" s="52">
        <v>20</v>
      </c>
      <c r="H172" s="52">
        <v>40</v>
      </c>
      <c r="I172" s="52">
        <v>80</v>
      </c>
      <c r="J172" s="52">
        <v>80</v>
      </c>
      <c r="K172" s="52">
        <v>60</v>
      </c>
      <c r="L172" s="52">
        <v>60</v>
      </c>
      <c r="M172" s="52">
        <v>20</v>
      </c>
      <c r="N172" s="52">
        <v>20</v>
      </c>
      <c r="O172" s="52">
        <v>60</v>
      </c>
    </row>
    <row r="173" spans="1:15">
      <c r="A173" s="45" t="s">
        <v>1755</v>
      </c>
      <c r="B173" s="52">
        <v>80</v>
      </c>
      <c r="C173" s="52">
        <v>100</v>
      </c>
      <c r="D173" s="52">
        <v>40</v>
      </c>
      <c r="E173" s="52">
        <v>40</v>
      </c>
      <c r="F173" s="52">
        <v>20</v>
      </c>
      <c r="G173" s="52">
        <v>20</v>
      </c>
      <c r="H173" s="52">
        <v>20</v>
      </c>
      <c r="I173" s="52">
        <v>80</v>
      </c>
      <c r="J173" s="52">
        <v>60</v>
      </c>
      <c r="K173" s="52">
        <v>40</v>
      </c>
      <c r="L173" s="52">
        <v>60</v>
      </c>
      <c r="M173" s="52">
        <v>20</v>
      </c>
      <c r="N173" s="52">
        <v>20</v>
      </c>
      <c r="O173" s="52">
        <v>40</v>
      </c>
    </row>
    <row r="174" spans="1:15">
      <c r="A174" s="45" t="s">
        <v>1766</v>
      </c>
      <c r="B174" s="52">
        <v>60</v>
      </c>
      <c r="C174" s="52">
        <v>40</v>
      </c>
      <c r="D174" s="52">
        <v>80</v>
      </c>
      <c r="E174" s="52">
        <v>100</v>
      </c>
      <c r="F174" s="52">
        <v>40</v>
      </c>
      <c r="G174" s="52">
        <v>20</v>
      </c>
      <c r="H174" s="52">
        <v>40</v>
      </c>
      <c r="I174" s="52">
        <v>80</v>
      </c>
      <c r="J174" s="52">
        <v>40</v>
      </c>
      <c r="K174" s="52">
        <v>60</v>
      </c>
      <c r="L174" s="52">
        <v>20</v>
      </c>
      <c r="M174" s="52">
        <v>20</v>
      </c>
      <c r="N174" s="52">
        <v>20</v>
      </c>
      <c r="O174" s="52">
        <v>40</v>
      </c>
    </row>
    <row r="175" spans="1:15">
      <c r="A175" s="45" t="s">
        <v>1775</v>
      </c>
      <c r="B175" s="52">
        <v>20</v>
      </c>
      <c r="C175" s="52">
        <v>20</v>
      </c>
      <c r="D175" s="52">
        <v>20</v>
      </c>
      <c r="E175" s="52">
        <v>20</v>
      </c>
      <c r="F175" s="52">
        <v>80</v>
      </c>
      <c r="G175" s="52">
        <v>100</v>
      </c>
      <c r="H175" s="52">
        <v>80</v>
      </c>
      <c r="I175" s="52">
        <v>60</v>
      </c>
      <c r="J175" s="52">
        <v>40</v>
      </c>
      <c r="K175" s="52">
        <v>40</v>
      </c>
      <c r="L175" s="52">
        <v>20</v>
      </c>
      <c r="M175" s="52">
        <v>20</v>
      </c>
      <c r="N175" s="52">
        <v>40</v>
      </c>
      <c r="O175" s="52">
        <v>40</v>
      </c>
    </row>
    <row r="176" spans="1:15">
      <c r="A176" s="45" t="s">
        <v>562</v>
      </c>
      <c r="B176" s="52">
        <v>20</v>
      </c>
      <c r="C176" s="52">
        <v>20</v>
      </c>
      <c r="D176" s="52">
        <v>20</v>
      </c>
      <c r="E176" s="52">
        <v>40</v>
      </c>
      <c r="F176" s="52">
        <v>80</v>
      </c>
      <c r="G176" s="52">
        <v>80</v>
      </c>
      <c r="H176" s="52">
        <v>100</v>
      </c>
      <c r="I176" s="52">
        <v>60</v>
      </c>
      <c r="J176" s="52">
        <v>40</v>
      </c>
      <c r="K176" s="52">
        <v>60</v>
      </c>
      <c r="L176" s="52">
        <v>40</v>
      </c>
      <c r="M176" s="52">
        <v>40</v>
      </c>
      <c r="N176" s="52">
        <v>20</v>
      </c>
      <c r="O176" s="52">
        <v>20</v>
      </c>
    </row>
    <row r="177" spans="1:15">
      <c r="A177" s="45" t="s">
        <v>1797</v>
      </c>
      <c r="B177" s="52">
        <v>40</v>
      </c>
      <c r="C177" s="52">
        <v>60</v>
      </c>
      <c r="D177" s="52">
        <v>80</v>
      </c>
      <c r="E177" s="52">
        <v>40</v>
      </c>
      <c r="F177" s="52">
        <v>20</v>
      </c>
      <c r="G177" s="52">
        <v>20</v>
      </c>
      <c r="H177" s="52">
        <v>20</v>
      </c>
      <c r="I177" s="52">
        <v>80</v>
      </c>
      <c r="J177" s="52">
        <v>100</v>
      </c>
      <c r="K177" s="52">
        <v>60</v>
      </c>
      <c r="L177" s="52">
        <v>60</v>
      </c>
      <c r="M177" s="52">
        <v>20</v>
      </c>
      <c r="N177" s="52">
        <v>40</v>
      </c>
      <c r="O177" s="52">
        <v>40</v>
      </c>
    </row>
    <row r="178" spans="1:15">
      <c r="A178" s="45" t="s">
        <v>714</v>
      </c>
      <c r="B178" s="52">
        <v>40</v>
      </c>
      <c r="C178" s="52">
        <v>40</v>
      </c>
      <c r="D178" s="52">
        <v>60</v>
      </c>
      <c r="E178" s="52">
        <v>20</v>
      </c>
      <c r="F178" s="52">
        <v>40</v>
      </c>
      <c r="G178" s="52">
        <v>40</v>
      </c>
      <c r="H178" s="52">
        <v>20</v>
      </c>
      <c r="I178" s="52">
        <v>80</v>
      </c>
      <c r="J178" s="52">
        <v>40</v>
      </c>
      <c r="K178" s="52">
        <v>80</v>
      </c>
      <c r="L178" s="52">
        <v>20</v>
      </c>
      <c r="M178" s="52">
        <v>20</v>
      </c>
      <c r="N178" s="52">
        <v>20</v>
      </c>
      <c r="O178" s="52">
        <v>100</v>
      </c>
    </row>
    <row r="179" spans="1:15">
      <c r="A179" s="45" t="s">
        <v>699</v>
      </c>
      <c r="B179" s="52">
        <v>20</v>
      </c>
      <c r="C179" s="52">
        <v>20</v>
      </c>
      <c r="D179" s="52">
        <v>20</v>
      </c>
      <c r="E179" s="52">
        <v>20</v>
      </c>
      <c r="F179" s="52">
        <v>80</v>
      </c>
      <c r="G179" s="52">
        <v>40</v>
      </c>
      <c r="H179" s="52">
        <v>20</v>
      </c>
      <c r="I179" s="52">
        <v>60</v>
      </c>
      <c r="J179" s="52">
        <v>60</v>
      </c>
      <c r="K179" s="52">
        <v>20</v>
      </c>
      <c r="L179" s="52">
        <v>40</v>
      </c>
      <c r="M179" s="52">
        <v>40</v>
      </c>
      <c r="N179" s="52">
        <v>100</v>
      </c>
      <c r="O179" s="52">
        <v>20</v>
      </c>
    </row>
    <row r="180" spans="1:15">
      <c r="A180" s="45" t="s">
        <v>1826</v>
      </c>
      <c r="B180" s="52">
        <v>20</v>
      </c>
      <c r="C180" s="52">
        <v>40</v>
      </c>
      <c r="D180" s="52">
        <v>40</v>
      </c>
      <c r="E180" s="52">
        <v>20</v>
      </c>
      <c r="F180" s="52">
        <v>80</v>
      </c>
      <c r="G180" s="52">
        <v>20</v>
      </c>
      <c r="H180" s="52">
        <v>40</v>
      </c>
      <c r="I180" s="52">
        <v>60</v>
      </c>
      <c r="J180" s="52">
        <v>20</v>
      </c>
      <c r="K180" s="52">
        <v>20</v>
      </c>
      <c r="L180" s="52">
        <v>100</v>
      </c>
      <c r="M180" s="52">
        <v>100</v>
      </c>
      <c r="N180" s="52">
        <v>40</v>
      </c>
      <c r="O180" s="52">
        <v>20</v>
      </c>
    </row>
    <row r="181" spans="1:15">
      <c r="A181" s="45" t="s">
        <v>1837</v>
      </c>
      <c r="B181" s="52">
        <v>60</v>
      </c>
      <c r="C181" s="52">
        <v>40</v>
      </c>
      <c r="D181" s="52">
        <v>60</v>
      </c>
      <c r="E181" s="52">
        <v>60</v>
      </c>
      <c r="F181" s="52">
        <v>20</v>
      </c>
      <c r="G181" s="52">
        <v>40</v>
      </c>
      <c r="H181" s="52">
        <v>60</v>
      </c>
      <c r="I181" s="52">
        <v>80</v>
      </c>
      <c r="J181" s="52">
        <v>40</v>
      </c>
      <c r="K181" s="52">
        <v>100</v>
      </c>
      <c r="L181" s="52">
        <v>20</v>
      </c>
      <c r="M181" s="52">
        <v>20</v>
      </c>
      <c r="N181" s="52">
        <v>20</v>
      </c>
      <c r="O181" s="52">
        <v>80</v>
      </c>
    </row>
    <row r="183" ht="18" customHeight="1" spans="1:15">
      <c r="A183" s="40" t="s">
        <v>2200</v>
      </c>
    </row>
    <row r="184" ht="44" customHeight="1" spans="1:15">
      <c r="A184" s="51" t="s">
        <v>2199</v>
      </c>
      <c r="B184" s="41" t="s">
        <v>244</v>
      </c>
      <c r="C184" s="41" t="s">
        <v>597</v>
      </c>
      <c r="D184" s="41" t="s">
        <v>245</v>
      </c>
      <c r="E184" s="41" t="s">
        <v>579</v>
      </c>
      <c r="F184" s="41" t="s">
        <v>243</v>
      </c>
      <c r="G184" s="41" t="s">
        <v>546</v>
      </c>
      <c r="H184" s="41" t="s">
        <v>562</v>
      </c>
      <c r="I184" s="41" t="s">
        <v>613</v>
      </c>
      <c r="J184" s="41" t="s">
        <v>630</v>
      </c>
      <c r="K184" s="41" t="s">
        <v>647</v>
      </c>
      <c r="L184" s="41" t="s">
        <v>666</v>
      </c>
      <c r="M184" s="41" t="s">
        <v>681</v>
      </c>
      <c r="N184" s="41" t="s">
        <v>699</v>
      </c>
      <c r="O184" s="41" t="s">
        <v>714</v>
      </c>
    </row>
    <row r="185" spans="1:15">
      <c r="A185" s="45" t="s">
        <v>244</v>
      </c>
      <c r="B185" s="52">
        <v>100</v>
      </c>
      <c r="C185" s="52">
        <v>80</v>
      </c>
      <c r="D185" s="52">
        <v>60</v>
      </c>
      <c r="E185" s="52">
        <v>60</v>
      </c>
      <c r="F185" s="52">
        <v>20</v>
      </c>
      <c r="G185" s="52">
        <v>20</v>
      </c>
      <c r="H185" s="52">
        <v>20</v>
      </c>
      <c r="I185" s="52">
        <v>80</v>
      </c>
      <c r="J185" s="52">
        <v>60</v>
      </c>
      <c r="K185" s="52">
        <v>80</v>
      </c>
      <c r="L185" s="52">
        <v>40</v>
      </c>
      <c r="M185" s="52">
        <v>20</v>
      </c>
      <c r="N185" s="52">
        <v>20</v>
      </c>
      <c r="O185" s="52">
        <v>60</v>
      </c>
    </row>
    <row r="186" spans="1:15">
      <c r="A186" s="45" t="s">
        <v>597</v>
      </c>
      <c r="B186" s="52">
        <v>80</v>
      </c>
      <c r="C186" s="52">
        <v>100</v>
      </c>
      <c r="D186" s="52">
        <v>60</v>
      </c>
      <c r="E186" s="52">
        <v>60</v>
      </c>
      <c r="F186" s="52">
        <v>20</v>
      </c>
      <c r="G186" s="52">
        <v>20</v>
      </c>
      <c r="H186" s="52">
        <v>20</v>
      </c>
      <c r="I186" s="52">
        <v>80</v>
      </c>
      <c r="J186" s="52">
        <v>60</v>
      </c>
      <c r="K186" s="52">
        <v>60</v>
      </c>
      <c r="L186" s="52">
        <v>80</v>
      </c>
      <c r="M186" s="52">
        <v>20</v>
      </c>
      <c r="N186" s="52">
        <v>20</v>
      </c>
      <c r="O186" s="52">
        <v>60</v>
      </c>
    </row>
    <row r="187" spans="1:15">
      <c r="A187" s="45" t="s">
        <v>245</v>
      </c>
      <c r="B187" s="52">
        <v>60</v>
      </c>
      <c r="C187" s="52">
        <v>60</v>
      </c>
      <c r="D187" s="52">
        <v>100</v>
      </c>
      <c r="E187" s="52">
        <v>80</v>
      </c>
      <c r="F187" s="52">
        <v>20</v>
      </c>
      <c r="G187" s="52">
        <v>20</v>
      </c>
      <c r="H187" s="52">
        <v>20</v>
      </c>
      <c r="I187" s="52">
        <v>80</v>
      </c>
      <c r="J187" s="52">
        <v>80</v>
      </c>
      <c r="K187" s="52">
        <v>60</v>
      </c>
      <c r="L187" s="52">
        <v>40</v>
      </c>
      <c r="M187" s="52">
        <v>20</v>
      </c>
      <c r="N187" s="52">
        <v>20</v>
      </c>
      <c r="O187" s="52">
        <v>60</v>
      </c>
    </row>
    <row r="188" spans="1:15">
      <c r="A188" s="45" t="s">
        <v>579</v>
      </c>
      <c r="B188" s="52">
        <v>60</v>
      </c>
      <c r="C188" s="52">
        <v>60</v>
      </c>
      <c r="D188" s="52">
        <v>80</v>
      </c>
      <c r="E188" s="52">
        <v>100</v>
      </c>
      <c r="F188" s="52">
        <v>20</v>
      </c>
      <c r="G188" s="52">
        <v>20</v>
      </c>
      <c r="H188" s="52">
        <v>20</v>
      </c>
      <c r="I188" s="52">
        <v>80</v>
      </c>
      <c r="J188" s="52">
        <v>60</v>
      </c>
      <c r="K188" s="52">
        <v>60</v>
      </c>
      <c r="L188" s="52">
        <v>40</v>
      </c>
      <c r="M188" s="52">
        <v>20</v>
      </c>
      <c r="N188" s="52">
        <v>20</v>
      </c>
      <c r="O188" s="52">
        <v>60</v>
      </c>
    </row>
    <row r="189" spans="1:15">
      <c r="A189" s="45" t="s">
        <v>243</v>
      </c>
      <c r="B189" s="52">
        <v>20</v>
      </c>
      <c r="C189" s="52">
        <v>20</v>
      </c>
      <c r="D189" s="52">
        <v>20</v>
      </c>
      <c r="E189" s="52">
        <v>20</v>
      </c>
      <c r="F189" s="52">
        <v>100</v>
      </c>
      <c r="G189" s="52">
        <v>80</v>
      </c>
      <c r="H189" s="52">
        <v>80</v>
      </c>
      <c r="I189" s="52">
        <v>40</v>
      </c>
      <c r="J189" s="52">
        <v>20</v>
      </c>
      <c r="K189" s="52">
        <v>20</v>
      </c>
      <c r="L189" s="52">
        <v>40</v>
      </c>
      <c r="M189" s="52">
        <v>80</v>
      </c>
      <c r="N189" s="52">
        <v>80</v>
      </c>
      <c r="O189" s="52">
        <v>20</v>
      </c>
    </row>
    <row r="190" spans="1:15">
      <c r="A190" s="45" t="s">
        <v>546</v>
      </c>
      <c r="B190" s="52">
        <v>20</v>
      </c>
      <c r="C190" s="52">
        <v>20</v>
      </c>
      <c r="D190" s="52">
        <v>20</v>
      </c>
      <c r="E190" s="52">
        <v>20</v>
      </c>
      <c r="F190" s="52">
        <v>80</v>
      </c>
      <c r="G190" s="52">
        <v>100</v>
      </c>
      <c r="H190" s="52">
        <v>80</v>
      </c>
      <c r="I190" s="52">
        <v>80</v>
      </c>
      <c r="J190" s="52">
        <v>20</v>
      </c>
      <c r="K190" s="52">
        <v>20</v>
      </c>
      <c r="L190" s="52">
        <v>40</v>
      </c>
      <c r="M190" s="52">
        <v>20</v>
      </c>
      <c r="N190" s="52">
        <v>20</v>
      </c>
      <c r="O190" s="52">
        <v>20</v>
      </c>
    </row>
    <row r="191" spans="1:15">
      <c r="A191" s="45" t="s">
        <v>562</v>
      </c>
      <c r="B191" s="52">
        <v>20</v>
      </c>
      <c r="C191" s="52">
        <v>20</v>
      </c>
      <c r="D191" s="52">
        <v>20</v>
      </c>
      <c r="E191" s="52">
        <v>20</v>
      </c>
      <c r="F191" s="52">
        <v>80</v>
      </c>
      <c r="G191" s="52">
        <v>80</v>
      </c>
      <c r="H191" s="52">
        <v>100</v>
      </c>
      <c r="I191" s="52">
        <v>40</v>
      </c>
      <c r="J191" s="52">
        <v>20</v>
      </c>
      <c r="K191" s="52">
        <v>80</v>
      </c>
      <c r="L191" s="52">
        <v>40</v>
      </c>
      <c r="M191" s="52">
        <v>20</v>
      </c>
      <c r="N191" s="52">
        <v>20</v>
      </c>
      <c r="O191" s="52">
        <v>20</v>
      </c>
    </row>
    <row r="192" spans="1:15">
      <c r="A192" s="45" t="s">
        <v>613</v>
      </c>
      <c r="B192" s="52">
        <v>80</v>
      </c>
      <c r="C192" s="52">
        <v>80</v>
      </c>
      <c r="D192" s="52">
        <v>80</v>
      </c>
      <c r="E192" s="52">
        <v>80</v>
      </c>
      <c r="F192" s="52">
        <v>40</v>
      </c>
      <c r="G192" s="52">
        <v>80</v>
      </c>
      <c r="H192" s="52">
        <v>40</v>
      </c>
      <c r="I192" s="52">
        <v>100</v>
      </c>
      <c r="J192" s="52">
        <v>80</v>
      </c>
      <c r="K192" s="52">
        <v>80</v>
      </c>
      <c r="L192" s="52">
        <v>80</v>
      </c>
      <c r="M192" s="52">
        <v>40</v>
      </c>
      <c r="N192" s="52">
        <v>40</v>
      </c>
      <c r="O192" s="52">
        <v>80</v>
      </c>
    </row>
    <row r="193" spans="1:15">
      <c r="A193" s="45" t="s">
        <v>630</v>
      </c>
      <c r="B193" s="52">
        <v>60</v>
      </c>
      <c r="C193" s="52">
        <v>60</v>
      </c>
      <c r="D193" s="52">
        <v>80</v>
      </c>
      <c r="E193" s="52">
        <v>60</v>
      </c>
      <c r="F193" s="52">
        <v>20</v>
      </c>
      <c r="G193" s="52">
        <v>20</v>
      </c>
      <c r="H193" s="52">
        <v>20</v>
      </c>
      <c r="I193" s="52">
        <v>80</v>
      </c>
      <c r="J193" s="52">
        <v>100</v>
      </c>
      <c r="K193" s="52">
        <v>60</v>
      </c>
      <c r="L193" s="52">
        <v>80</v>
      </c>
      <c r="M193" s="52">
        <v>20</v>
      </c>
      <c r="N193" s="52">
        <v>20</v>
      </c>
      <c r="O193" s="52">
        <v>60</v>
      </c>
    </row>
    <row r="194" spans="1:15">
      <c r="A194" s="45" t="s">
        <v>647</v>
      </c>
      <c r="B194" s="52">
        <v>80</v>
      </c>
      <c r="C194" s="52">
        <v>60</v>
      </c>
      <c r="D194" s="52">
        <v>60</v>
      </c>
      <c r="E194" s="52">
        <v>60</v>
      </c>
      <c r="F194" s="52">
        <v>20</v>
      </c>
      <c r="G194" s="52">
        <v>20</v>
      </c>
      <c r="H194" s="52">
        <v>80</v>
      </c>
      <c r="I194" s="52">
        <v>80</v>
      </c>
      <c r="J194" s="52">
        <v>60</v>
      </c>
      <c r="K194" s="52">
        <v>100</v>
      </c>
      <c r="L194" s="52">
        <v>40</v>
      </c>
      <c r="M194" s="52">
        <v>20</v>
      </c>
      <c r="N194" s="52">
        <v>20</v>
      </c>
      <c r="O194" s="52">
        <v>80</v>
      </c>
    </row>
    <row r="195" spans="1:15">
      <c r="A195" s="45" t="s">
        <v>666</v>
      </c>
      <c r="B195" s="52">
        <v>40</v>
      </c>
      <c r="C195" s="52">
        <v>80</v>
      </c>
      <c r="D195" s="52">
        <v>40</v>
      </c>
      <c r="E195" s="52">
        <v>40</v>
      </c>
      <c r="F195" s="52">
        <v>40</v>
      </c>
      <c r="G195" s="52">
        <v>40</v>
      </c>
      <c r="H195" s="52">
        <v>40</v>
      </c>
      <c r="I195" s="52">
        <v>80</v>
      </c>
      <c r="J195" s="52">
        <v>80</v>
      </c>
      <c r="K195" s="52">
        <v>40</v>
      </c>
      <c r="L195" s="52">
        <v>100</v>
      </c>
      <c r="M195" s="52">
        <v>80</v>
      </c>
      <c r="N195" s="52">
        <v>40</v>
      </c>
      <c r="O195" s="52">
        <v>40</v>
      </c>
    </row>
    <row r="196" spans="1:15">
      <c r="A196" s="45" t="s">
        <v>681</v>
      </c>
      <c r="B196" s="52">
        <v>20</v>
      </c>
      <c r="C196" s="52">
        <v>20</v>
      </c>
      <c r="D196" s="52">
        <v>20</v>
      </c>
      <c r="E196" s="52">
        <v>20</v>
      </c>
      <c r="F196" s="52">
        <v>80</v>
      </c>
      <c r="G196" s="52">
        <v>20</v>
      </c>
      <c r="H196" s="52">
        <v>20</v>
      </c>
      <c r="I196" s="52">
        <v>40</v>
      </c>
      <c r="J196" s="52">
        <v>20</v>
      </c>
      <c r="K196" s="52">
        <v>20</v>
      </c>
      <c r="L196" s="52">
        <v>80</v>
      </c>
      <c r="M196" s="52">
        <v>100</v>
      </c>
      <c r="N196" s="52">
        <v>20</v>
      </c>
      <c r="O196" s="52">
        <v>20</v>
      </c>
    </row>
    <row r="197" spans="1:15">
      <c r="A197" s="45" t="s">
        <v>699</v>
      </c>
      <c r="B197" s="52">
        <v>20</v>
      </c>
      <c r="C197" s="52">
        <v>20</v>
      </c>
      <c r="D197" s="52">
        <v>20</v>
      </c>
      <c r="E197" s="52">
        <v>20</v>
      </c>
      <c r="F197" s="52">
        <v>80</v>
      </c>
      <c r="G197" s="52">
        <v>20</v>
      </c>
      <c r="H197" s="52">
        <v>20</v>
      </c>
      <c r="I197" s="52">
        <v>40</v>
      </c>
      <c r="J197" s="52">
        <v>20</v>
      </c>
      <c r="K197" s="52">
        <v>20</v>
      </c>
      <c r="L197" s="52">
        <v>40</v>
      </c>
      <c r="M197" s="52">
        <v>20</v>
      </c>
      <c r="N197" s="52">
        <v>100</v>
      </c>
      <c r="O197" s="52">
        <v>20</v>
      </c>
    </row>
    <row r="198" spans="1:15">
      <c r="A198" s="45" t="s">
        <v>714</v>
      </c>
      <c r="B198" s="52">
        <v>60</v>
      </c>
      <c r="C198" s="52">
        <v>60</v>
      </c>
      <c r="D198" s="52">
        <v>60</v>
      </c>
      <c r="E198" s="52">
        <v>60</v>
      </c>
      <c r="F198" s="52">
        <v>20</v>
      </c>
      <c r="G198" s="52">
        <v>20</v>
      </c>
      <c r="H198" s="52">
        <v>20</v>
      </c>
      <c r="I198" s="52">
        <v>80</v>
      </c>
      <c r="J198" s="52">
        <v>60</v>
      </c>
      <c r="K198" s="52">
        <v>80</v>
      </c>
      <c r="L198" s="52">
        <v>40</v>
      </c>
      <c r="M198" s="52">
        <v>20</v>
      </c>
      <c r="N198" s="52">
        <v>20</v>
      </c>
      <c r="O198" s="52">
        <v>100</v>
      </c>
    </row>
    <row r="200" ht="18" customHeight="1" spans="1:15">
      <c r="A200" s="40" t="s">
        <v>2201</v>
      </c>
    </row>
    <row r="201" ht="44" customHeight="1" spans="1:15">
      <c r="A201" s="51" t="s">
        <v>2199</v>
      </c>
      <c r="B201" s="41" t="s">
        <v>550</v>
      </c>
      <c r="C201" s="41" t="s">
        <v>231</v>
      </c>
      <c r="D201" s="41" t="s">
        <v>402</v>
      </c>
      <c r="E201" s="41" t="s">
        <v>694</v>
      </c>
      <c r="F201" s="41" t="s">
        <v>274</v>
      </c>
      <c r="G201" s="41" t="s">
        <v>275</v>
      </c>
      <c r="H201" s="41" t="s">
        <v>642</v>
      </c>
      <c r="I201" s="41" t="s">
        <v>206</v>
      </c>
      <c r="J201" s="41" t="s">
        <v>2008</v>
      </c>
      <c r="K201" s="41" t="s">
        <v>660</v>
      </c>
      <c r="L201" s="41" t="s">
        <v>661</v>
      </c>
      <c r="M201" s="41" t="s">
        <v>592</v>
      </c>
    </row>
    <row r="202" spans="1:15">
      <c r="A202" s="45" t="s">
        <v>550</v>
      </c>
      <c r="B202" s="52">
        <v>100</v>
      </c>
      <c r="C202" s="52">
        <v>90</v>
      </c>
      <c r="D202" s="52">
        <v>50</v>
      </c>
      <c r="E202" s="52">
        <v>70</v>
      </c>
      <c r="F202" s="52">
        <v>70</v>
      </c>
      <c r="G202" s="52">
        <v>50</v>
      </c>
      <c r="H202" s="52">
        <v>30</v>
      </c>
      <c r="I202" s="52">
        <v>70</v>
      </c>
      <c r="J202" s="52">
        <v>60</v>
      </c>
      <c r="K202" s="52">
        <v>30</v>
      </c>
      <c r="L202" s="52">
        <v>20</v>
      </c>
      <c r="M202" s="52">
        <v>60</v>
      </c>
    </row>
    <row r="203" spans="1:15">
      <c r="A203" s="45" t="s">
        <v>205</v>
      </c>
      <c r="B203" s="52">
        <v>70</v>
      </c>
      <c r="C203" s="52">
        <v>75</v>
      </c>
      <c r="D203" s="52">
        <v>95</v>
      </c>
      <c r="E203" s="52">
        <v>100</v>
      </c>
      <c r="F203" s="52">
        <v>85</v>
      </c>
      <c r="G203" s="52">
        <v>50</v>
      </c>
      <c r="H203" s="52">
        <v>40</v>
      </c>
      <c r="I203" s="52">
        <v>60</v>
      </c>
      <c r="J203" s="52">
        <v>50</v>
      </c>
      <c r="K203" s="52">
        <v>45</v>
      </c>
      <c r="L203" s="52">
        <v>30</v>
      </c>
      <c r="M203" s="52">
        <v>70</v>
      </c>
    </row>
    <row r="204" spans="1:15">
      <c r="A204" s="45" t="s">
        <v>207</v>
      </c>
      <c r="B204" s="52">
        <v>45</v>
      </c>
      <c r="C204" s="52">
        <v>60</v>
      </c>
      <c r="D204" s="52">
        <v>60</v>
      </c>
      <c r="E204" s="52">
        <v>45</v>
      </c>
      <c r="F204" s="52">
        <v>60</v>
      </c>
      <c r="G204" s="52">
        <v>100</v>
      </c>
      <c r="H204" s="52">
        <v>95</v>
      </c>
      <c r="I204" s="52">
        <v>35</v>
      </c>
      <c r="J204" s="52">
        <v>25</v>
      </c>
      <c r="K204" s="52">
        <v>75</v>
      </c>
      <c r="L204" s="52">
        <v>70</v>
      </c>
      <c r="M204" s="52">
        <v>65</v>
      </c>
    </row>
    <row r="205" spans="1:15">
      <c r="A205" s="45" t="s">
        <v>206</v>
      </c>
      <c r="B205" s="52">
        <v>85</v>
      </c>
      <c r="C205" s="52">
        <v>55</v>
      </c>
      <c r="D205" s="52">
        <v>65</v>
      </c>
      <c r="E205" s="52">
        <v>50</v>
      </c>
      <c r="F205" s="52">
        <v>60</v>
      </c>
      <c r="G205" s="52">
        <v>35</v>
      </c>
      <c r="H205" s="52">
        <v>25</v>
      </c>
      <c r="I205" s="52">
        <v>100</v>
      </c>
      <c r="J205" s="52">
        <v>95</v>
      </c>
      <c r="K205" s="52">
        <v>30</v>
      </c>
      <c r="L205" s="52">
        <v>20</v>
      </c>
      <c r="M205" s="52">
        <v>65</v>
      </c>
    </row>
    <row r="206" spans="1:15">
      <c r="A206" s="45" t="s">
        <v>2005</v>
      </c>
      <c r="B206" s="52">
        <v>25</v>
      </c>
      <c r="C206" s="52">
        <v>40</v>
      </c>
      <c r="D206" s="52">
        <v>75</v>
      </c>
      <c r="E206" s="52">
        <v>40</v>
      </c>
      <c r="F206" s="52">
        <v>50</v>
      </c>
      <c r="G206" s="52">
        <v>80</v>
      </c>
      <c r="H206" s="52">
        <v>85</v>
      </c>
      <c r="I206" s="52">
        <v>25</v>
      </c>
      <c r="J206" s="52">
        <v>20</v>
      </c>
      <c r="K206" s="52">
        <v>100</v>
      </c>
      <c r="L206" s="52">
        <v>95</v>
      </c>
      <c r="M206" s="52">
        <v>50</v>
      </c>
    </row>
    <row r="207" spans="1:15">
      <c r="A207" s="45" t="s">
        <v>231</v>
      </c>
      <c r="B207" s="52">
        <v>85</v>
      </c>
      <c r="C207" s="52">
        <v>100</v>
      </c>
      <c r="D207" s="52">
        <v>60</v>
      </c>
      <c r="E207" s="52">
        <v>80</v>
      </c>
      <c r="F207" s="52">
        <v>75</v>
      </c>
      <c r="G207" s="52">
        <v>55</v>
      </c>
      <c r="H207" s="52">
        <v>45</v>
      </c>
      <c r="I207" s="52">
        <v>45</v>
      </c>
      <c r="J207" s="52">
        <v>30</v>
      </c>
      <c r="K207" s="52">
        <v>40</v>
      </c>
      <c r="L207" s="52">
        <v>30</v>
      </c>
      <c r="M207" s="52">
        <v>65</v>
      </c>
    </row>
    <row r="208" spans="1:15">
      <c r="A208" s="45" t="s">
        <v>2013</v>
      </c>
      <c r="B208" s="52">
        <v>55</v>
      </c>
      <c r="C208" s="52">
        <v>70</v>
      </c>
      <c r="D208" s="52">
        <v>70</v>
      </c>
      <c r="E208" s="52">
        <v>50</v>
      </c>
      <c r="F208" s="52">
        <v>70</v>
      </c>
      <c r="G208" s="52">
        <v>100</v>
      </c>
      <c r="H208" s="52">
        <v>80</v>
      </c>
      <c r="I208" s="52">
        <v>45</v>
      </c>
      <c r="J208" s="52">
        <v>35</v>
      </c>
      <c r="K208" s="52">
        <v>60</v>
      </c>
      <c r="L208" s="52">
        <v>55</v>
      </c>
      <c r="M208" s="52">
        <v>85</v>
      </c>
    </row>
    <row r="209" spans="1:13">
      <c r="A209" s="45" t="s">
        <v>2017</v>
      </c>
      <c r="B209" s="52">
        <v>50</v>
      </c>
      <c r="C209" s="52">
        <v>45</v>
      </c>
      <c r="D209" s="52">
        <v>90</v>
      </c>
      <c r="E209" s="52">
        <v>70</v>
      </c>
      <c r="F209" s="52">
        <v>65</v>
      </c>
      <c r="G209" s="52">
        <v>60</v>
      </c>
      <c r="H209" s="52">
        <v>55</v>
      </c>
      <c r="I209" s="52">
        <v>65</v>
      </c>
      <c r="J209" s="52">
        <v>60</v>
      </c>
      <c r="K209" s="52">
        <v>85</v>
      </c>
      <c r="L209" s="52">
        <v>75</v>
      </c>
      <c r="M209" s="52">
        <v>80</v>
      </c>
    </row>
    <row r="210" spans="1:13">
      <c r="A210" s="45" t="s">
        <v>2020</v>
      </c>
      <c r="B210" s="52">
        <v>55</v>
      </c>
      <c r="C210" s="52">
        <v>75</v>
      </c>
      <c r="D210" s="52">
        <v>60</v>
      </c>
      <c r="E210" s="52">
        <v>40</v>
      </c>
      <c r="F210" s="52">
        <v>60</v>
      </c>
      <c r="G210" s="52">
        <v>95</v>
      </c>
      <c r="H210" s="52">
        <v>75</v>
      </c>
      <c r="I210" s="52">
        <v>40</v>
      </c>
      <c r="J210" s="52">
        <v>30</v>
      </c>
      <c r="K210" s="52">
        <v>55</v>
      </c>
      <c r="L210" s="52">
        <v>45</v>
      </c>
      <c r="M210" s="52">
        <v>85</v>
      </c>
    </row>
    <row r="211" spans="1:13">
      <c r="A211" s="45" t="s">
        <v>2024</v>
      </c>
      <c r="B211" s="52">
        <v>70</v>
      </c>
      <c r="C211" s="52">
        <v>70</v>
      </c>
      <c r="D211" s="52">
        <v>90</v>
      </c>
      <c r="E211" s="52">
        <v>90</v>
      </c>
      <c r="F211" s="52">
        <v>75</v>
      </c>
      <c r="G211" s="52">
        <v>60</v>
      </c>
      <c r="H211" s="52">
        <v>55</v>
      </c>
      <c r="I211" s="52">
        <v>80</v>
      </c>
      <c r="J211" s="52">
        <v>70</v>
      </c>
      <c r="K211" s="52">
        <v>60</v>
      </c>
      <c r="L211" s="52">
        <v>40</v>
      </c>
      <c r="M211" s="52">
        <v>75</v>
      </c>
    </row>
    <row r="213" ht="18" customHeight="1" spans="1:13">
      <c r="A213" s="40" t="s">
        <v>2202</v>
      </c>
    </row>
    <row r="214" ht="44" customHeight="1" spans="1:13">
      <c r="A214" s="51" t="s">
        <v>2199</v>
      </c>
      <c r="B214" s="41" t="s">
        <v>231</v>
      </c>
      <c r="C214" s="41" t="s">
        <v>400</v>
      </c>
      <c r="D214" s="41" t="s">
        <v>266</v>
      </c>
      <c r="E214" s="41" t="s">
        <v>233</v>
      </c>
      <c r="F214" s="41" t="s">
        <v>601</v>
      </c>
      <c r="G214" s="41" t="s">
        <v>660</v>
      </c>
      <c r="H214" s="41" t="s">
        <v>617</v>
      </c>
      <c r="I214" s="41" t="s">
        <v>583</v>
      </c>
      <c r="J214" s="41" t="s">
        <v>737</v>
      </c>
      <c r="K214" s="41" t="s">
        <v>667</v>
      </c>
    </row>
    <row r="215" spans="1:13">
      <c r="A215" s="45" t="s">
        <v>1983</v>
      </c>
      <c r="B215" s="52">
        <v>90</v>
      </c>
      <c r="C215" s="52">
        <v>85</v>
      </c>
      <c r="D215" s="52">
        <v>70</v>
      </c>
      <c r="E215" s="52">
        <v>55</v>
      </c>
      <c r="F215" s="52">
        <v>50</v>
      </c>
      <c r="G215" s="52">
        <v>30</v>
      </c>
      <c r="H215" s="52">
        <v>40</v>
      </c>
      <c r="I215" s="52">
        <v>80</v>
      </c>
      <c r="J215" s="52">
        <v>75</v>
      </c>
      <c r="K215" s="52">
        <v>20</v>
      </c>
    </row>
    <row r="216" spans="1:13">
      <c r="A216" s="45" t="s">
        <v>216</v>
      </c>
      <c r="B216" s="52">
        <v>100</v>
      </c>
      <c r="C216" s="52">
        <v>95</v>
      </c>
      <c r="D216" s="52">
        <v>90</v>
      </c>
      <c r="E216" s="52">
        <v>65</v>
      </c>
      <c r="F216" s="52">
        <v>50</v>
      </c>
      <c r="G216" s="52">
        <v>40</v>
      </c>
      <c r="H216" s="52">
        <v>55</v>
      </c>
      <c r="I216" s="52">
        <v>85</v>
      </c>
      <c r="J216" s="52">
        <v>80</v>
      </c>
      <c r="K216" s="52">
        <v>30</v>
      </c>
    </row>
    <row r="217" spans="1:13">
      <c r="A217" s="45" t="s">
        <v>218</v>
      </c>
      <c r="B217" s="52">
        <v>60</v>
      </c>
      <c r="C217" s="52">
        <v>70</v>
      </c>
      <c r="D217" s="52">
        <v>65</v>
      </c>
      <c r="E217" s="52">
        <v>95</v>
      </c>
      <c r="F217" s="52">
        <v>65</v>
      </c>
      <c r="G217" s="52">
        <v>70</v>
      </c>
      <c r="H217" s="52">
        <v>90</v>
      </c>
      <c r="I217" s="52">
        <v>55</v>
      </c>
      <c r="J217" s="52">
        <v>75</v>
      </c>
      <c r="K217" s="52">
        <v>60</v>
      </c>
    </row>
    <row r="218" spans="1:13">
      <c r="A218" s="45" t="s">
        <v>217</v>
      </c>
      <c r="B218" s="52">
        <v>65</v>
      </c>
      <c r="C218" s="52">
        <v>65</v>
      </c>
      <c r="D218" s="52">
        <v>70</v>
      </c>
      <c r="E218" s="52">
        <v>85</v>
      </c>
      <c r="F218" s="52">
        <v>95</v>
      </c>
      <c r="G218" s="52">
        <v>60</v>
      </c>
      <c r="H218" s="52">
        <v>75</v>
      </c>
      <c r="I218" s="52">
        <v>60</v>
      </c>
      <c r="J218" s="52">
        <v>60</v>
      </c>
      <c r="K218" s="52">
        <v>35</v>
      </c>
    </row>
    <row r="219" spans="1:13">
      <c r="A219" s="45" t="s">
        <v>2005</v>
      </c>
      <c r="B219" s="52">
        <v>40</v>
      </c>
      <c r="C219" s="52">
        <v>55</v>
      </c>
      <c r="D219" s="52">
        <v>60</v>
      </c>
      <c r="E219" s="52">
        <v>70</v>
      </c>
      <c r="F219" s="52">
        <v>60</v>
      </c>
      <c r="G219" s="52">
        <v>100</v>
      </c>
      <c r="H219" s="52">
        <v>80</v>
      </c>
      <c r="I219" s="52">
        <v>45</v>
      </c>
      <c r="J219" s="52">
        <v>55</v>
      </c>
      <c r="K219" s="52">
        <v>95</v>
      </c>
    </row>
    <row r="220" spans="1:13">
      <c r="A220" s="45" t="s">
        <v>2011</v>
      </c>
      <c r="B220" s="52">
        <v>75</v>
      </c>
      <c r="C220" s="52">
        <v>60</v>
      </c>
      <c r="D220" s="52">
        <v>60</v>
      </c>
      <c r="E220" s="52">
        <v>95</v>
      </c>
      <c r="F220" s="52">
        <v>80</v>
      </c>
      <c r="G220" s="52">
        <v>60</v>
      </c>
      <c r="H220" s="52">
        <v>75</v>
      </c>
      <c r="I220" s="52">
        <v>50</v>
      </c>
      <c r="J220" s="52">
        <v>70</v>
      </c>
      <c r="K220" s="52">
        <v>40</v>
      </c>
    </row>
    <row r="221" spans="1:13">
      <c r="A221" s="45" t="s">
        <v>2014</v>
      </c>
      <c r="B221" s="52">
        <v>85</v>
      </c>
      <c r="C221" s="52">
        <v>90</v>
      </c>
      <c r="D221" s="52">
        <v>95</v>
      </c>
      <c r="E221" s="52">
        <v>55</v>
      </c>
      <c r="F221" s="52">
        <v>45</v>
      </c>
      <c r="G221" s="52">
        <v>40</v>
      </c>
      <c r="H221" s="52">
        <v>55</v>
      </c>
      <c r="I221" s="52">
        <v>95</v>
      </c>
      <c r="J221" s="52">
        <v>80</v>
      </c>
      <c r="K221" s="52">
        <v>30</v>
      </c>
    </row>
    <row r="222" spans="1:13">
      <c r="A222" s="45" t="s">
        <v>1998</v>
      </c>
      <c r="B222" s="52">
        <v>65</v>
      </c>
      <c r="C222" s="52">
        <v>65</v>
      </c>
      <c r="D222" s="52">
        <v>75</v>
      </c>
      <c r="E222" s="52">
        <v>85</v>
      </c>
      <c r="F222" s="52">
        <v>55</v>
      </c>
      <c r="G222" s="52">
        <v>75</v>
      </c>
      <c r="H222" s="52">
        <v>90</v>
      </c>
      <c r="I222" s="52">
        <v>55</v>
      </c>
      <c r="J222" s="52">
        <v>95</v>
      </c>
      <c r="K222" s="52">
        <v>70</v>
      </c>
    </row>
    <row r="224" ht="18" customHeight="1" spans="1:13">
      <c r="A224" s="40" t="s">
        <v>2203</v>
      </c>
    </row>
    <row r="225" ht="44" customHeight="1" spans="1:11">
      <c r="A225" s="51" t="s">
        <v>2199</v>
      </c>
      <c r="B225" s="41" t="s">
        <v>231</v>
      </c>
      <c r="C225" s="41" t="s">
        <v>400</v>
      </c>
      <c r="D225" s="41" t="s">
        <v>266</v>
      </c>
      <c r="E225" s="41" t="s">
        <v>233</v>
      </c>
      <c r="F225" s="41" t="s">
        <v>601</v>
      </c>
      <c r="G225" s="41" t="s">
        <v>660</v>
      </c>
      <c r="H225" s="41" t="s">
        <v>617</v>
      </c>
      <c r="I225" s="41" t="s">
        <v>583</v>
      </c>
      <c r="J225" s="41" t="s">
        <v>737</v>
      </c>
      <c r="K225" s="41" t="s">
        <v>667</v>
      </c>
    </row>
    <row r="226" spans="1:11">
      <c r="A226" s="45" t="s">
        <v>231</v>
      </c>
      <c r="B226" s="52">
        <v>100</v>
      </c>
      <c r="C226" s="52">
        <v>95</v>
      </c>
      <c r="D226" s="52">
        <v>70</v>
      </c>
      <c r="E226" s="52">
        <v>60</v>
      </c>
      <c r="F226" s="52">
        <v>45</v>
      </c>
      <c r="G226" s="52">
        <v>40</v>
      </c>
      <c r="H226" s="52">
        <v>50</v>
      </c>
      <c r="I226" s="52">
        <v>80</v>
      </c>
      <c r="J226" s="52">
        <v>75</v>
      </c>
      <c r="K226" s="52">
        <v>30</v>
      </c>
    </row>
    <row r="227" spans="1:11">
      <c r="A227" s="45" t="s">
        <v>233</v>
      </c>
      <c r="B227" s="52">
        <v>60</v>
      </c>
      <c r="C227" s="52">
        <v>55</v>
      </c>
      <c r="D227" s="52">
        <v>60</v>
      </c>
      <c r="E227" s="52">
        <v>100</v>
      </c>
      <c r="F227" s="52">
        <v>70</v>
      </c>
      <c r="G227" s="52">
        <v>70</v>
      </c>
      <c r="H227" s="52">
        <v>90</v>
      </c>
      <c r="I227" s="52">
        <v>45</v>
      </c>
      <c r="J227" s="52">
        <v>75</v>
      </c>
      <c r="K227" s="52">
        <v>60</v>
      </c>
    </row>
    <row r="228" spans="1:11">
      <c r="A228" s="45" t="s">
        <v>404</v>
      </c>
      <c r="B228" s="52">
        <v>80</v>
      </c>
      <c r="C228" s="52">
        <v>95</v>
      </c>
      <c r="D228" s="52">
        <v>90</v>
      </c>
      <c r="E228" s="52">
        <v>50</v>
      </c>
      <c r="F228" s="52">
        <v>55</v>
      </c>
      <c r="G228" s="52">
        <v>45</v>
      </c>
      <c r="H228" s="52">
        <v>60</v>
      </c>
      <c r="I228" s="52">
        <v>100</v>
      </c>
      <c r="J228" s="52">
        <v>65</v>
      </c>
      <c r="K228" s="52">
        <v>30</v>
      </c>
    </row>
    <row r="229" spans="1:11">
      <c r="A229" s="45" t="s">
        <v>1998</v>
      </c>
      <c r="B229" s="52">
        <v>60</v>
      </c>
      <c r="C229" s="52">
        <v>60</v>
      </c>
      <c r="D229" s="52">
        <v>70</v>
      </c>
      <c r="E229" s="52">
        <v>80</v>
      </c>
      <c r="F229" s="52">
        <v>50</v>
      </c>
      <c r="G229" s="52">
        <v>75</v>
      </c>
      <c r="H229" s="52">
        <v>90</v>
      </c>
      <c r="I229" s="52">
        <v>50</v>
      </c>
      <c r="J229" s="52">
        <v>100</v>
      </c>
      <c r="K229" s="52">
        <v>70</v>
      </c>
    </row>
    <row r="230" spans="1:11">
      <c r="A230" s="45" t="s">
        <v>2006</v>
      </c>
      <c r="B230" s="52">
        <v>95</v>
      </c>
      <c r="C230" s="52">
        <v>80</v>
      </c>
      <c r="D230" s="52">
        <v>90</v>
      </c>
      <c r="E230" s="52">
        <v>50</v>
      </c>
      <c r="F230" s="52">
        <v>40</v>
      </c>
      <c r="G230" s="52">
        <v>35</v>
      </c>
      <c r="H230" s="52">
        <v>45</v>
      </c>
      <c r="I230" s="52">
        <v>85</v>
      </c>
      <c r="J230" s="52">
        <v>70</v>
      </c>
      <c r="K230" s="52">
        <v>20</v>
      </c>
    </row>
    <row r="231" spans="1:11">
      <c r="A231" s="45" t="s">
        <v>232</v>
      </c>
      <c r="B231" s="52">
        <v>55</v>
      </c>
      <c r="C231" s="52">
        <v>70</v>
      </c>
      <c r="D231" s="52">
        <v>65</v>
      </c>
      <c r="E231" s="52">
        <v>70</v>
      </c>
      <c r="F231" s="52">
        <v>100</v>
      </c>
      <c r="G231" s="52">
        <v>70</v>
      </c>
      <c r="H231" s="52">
        <v>85</v>
      </c>
      <c r="I231" s="52">
        <v>75</v>
      </c>
      <c r="J231" s="52">
        <v>50</v>
      </c>
      <c r="K231" s="52">
        <v>55</v>
      </c>
    </row>
    <row r="232" spans="1:11">
      <c r="A232" s="45" t="s">
        <v>661</v>
      </c>
      <c r="B232" s="52">
        <v>40</v>
      </c>
      <c r="C232" s="52">
        <v>45</v>
      </c>
      <c r="D232" s="52">
        <v>60</v>
      </c>
      <c r="E232" s="52">
        <v>70</v>
      </c>
      <c r="F232" s="52">
        <v>50</v>
      </c>
      <c r="G232" s="52">
        <v>95</v>
      </c>
      <c r="H232" s="52">
        <v>80</v>
      </c>
      <c r="I232" s="52">
        <v>35</v>
      </c>
      <c r="J232" s="52">
        <v>70</v>
      </c>
      <c r="K232" s="52">
        <v>100</v>
      </c>
    </row>
    <row r="233" spans="1:11">
      <c r="A233" s="45" t="s">
        <v>2018</v>
      </c>
      <c r="B233" s="52">
        <v>60</v>
      </c>
      <c r="C233" s="52">
        <v>65</v>
      </c>
      <c r="D233" s="52">
        <v>100</v>
      </c>
      <c r="E233" s="52">
        <v>85</v>
      </c>
      <c r="F233" s="52">
        <v>55</v>
      </c>
      <c r="G233" s="52">
        <v>55</v>
      </c>
      <c r="H233" s="52">
        <v>75</v>
      </c>
      <c r="I233" s="52">
        <v>70</v>
      </c>
      <c r="J233" s="52">
        <v>80</v>
      </c>
      <c r="K233" s="52">
        <v>40</v>
      </c>
    </row>
    <row r="235" ht="18" customHeight="1" spans="1:11">
      <c r="A235" s="40" t="s">
        <v>2204</v>
      </c>
    </row>
    <row r="236" ht="44" customHeight="1" spans="1:11">
      <c r="A236" s="51" t="s">
        <v>2199</v>
      </c>
      <c r="B236" s="41" t="s">
        <v>231</v>
      </c>
      <c r="C236" s="41" t="s">
        <v>400</v>
      </c>
      <c r="D236" s="41" t="s">
        <v>266</v>
      </c>
      <c r="E236" s="41" t="s">
        <v>233</v>
      </c>
      <c r="F236" s="41" t="s">
        <v>601</v>
      </c>
      <c r="G236" s="41" t="s">
        <v>660</v>
      </c>
      <c r="H236" s="41" t="s">
        <v>617</v>
      </c>
      <c r="I236" s="41" t="s">
        <v>583</v>
      </c>
      <c r="J236" s="41" t="s">
        <v>737</v>
      </c>
      <c r="K236" s="41" t="s">
        <v>667</v>
      </c>
    </row>
    <row r="237" spans="1:11">
      <c r="A237" s="45" t="s">
        <v>231</v>
      </c>
      <c r="B237" s="52">
        <v>100</v>
      </c>
      <c r="C237" s="52">
        <v>80</v>
      </c>
      <c r="D237" s="52">
        <v>80</v>
      </c>
      <c r="E237" s="52">
        <v>45</v>
      </c>
      <c r="F237" s="52">
        <v>45</v>
      </c>
      <c r="G237" s="52">
        <v>45</v>
      </c>
      <c r="H237" s="52">
        <v>45</v>
      </c>
      <c r="I237" s="52">
        <v>80</v>
      </c>
      <c r="J237" s="52">
        <v>80</v>
      </c>
      <c r="K237" s="52">
        <v>45</v>
      </c>
    </row>
    <row r="238" spans="1:11">
      <c r="A238" s="45" t="s">
        <v>400</v>
      </c>
      <c r="B238" s="52">
        <v>80</v>
      </c>
      <c r="C238" s="52">
        <v>100</v>
      </c>
      <c r="D238" s="52">
        <v>80</v>
      </c>
      <c r="E238" s="52">
        <v>45</v>
      </c>
      <c r="F238" s="52">
        <v>45</v>
      </c>
      <c r="G238" s="52">
        <v>45</v>
      </c>
      <c r="H238" s="52">
        <v>45</v>
      </c>
      <c r="I238" s="52">
        <v>80</v>
      </c>
      <c r="J238" s="52">
        <v>80</v>
      </c>
      <c r="K238" s="52">
        <v>45</v>
      </c>
    </row>
    <row r="239" spans="1:11">
      <c r="A239" s="45" t="s">
        <v>266</v>
      </c>
      <c r="B239" s="52">
        <v>80</v>
      </c>
      <c r="C239" s="52">
        <v>80</v>
      </c>
      <c r="D239" s="52">
        <v>100</v>
      </c>
      <c r="E239" s="52">
        <v>45</v>
      </c>
      <c r="F239" s="52">
        <v>45</v>
      </c>
      <c r="G239" s="52">
        <v>45</v>
      </c>
      <c r="H239" s="52">
        <v>45</v>
      </c>
      <c r="I239" s="52">
        <v>80</v>
      </c>
      <c r="J239" s="52">
        <v>80</v>
      </c>
      <c r="K239" s="52">
        <v>45</v>
      </c>
    </row>
    <row r="240" spans="1:11">
      <c r="A240" s="45" t="s">
        <v>233</v>
      </c>
      <c r="B240" s="52">
        <v>45</v>
      </c>
      <c r="C240" s="52">
        <v>45</v>
      </c>
      <c r="D240" s="52">
        <v>45</v>
      </c>
      <c r="E240" s="52">
        <v>100</v>
      </c>
      <c r="F240" s="52">
        <v>45</v>
      </c>
      <c r="G240" s="52">
        <v>45</v>
      </c>
      <c r="H240" s="52">
        <v>80</v>
      </c>
      <c r="I240" s="52">
        <v>45</v>
      </c>
      <c r="J240" s="52">
        <v>45</v>
      </c>
      <c r="K240" s="52">
        <v>45</v>
      </c>
    </row>
    <row r="241" spans="1:11">
      <c r="A241" s="45" t="s">
        <v>601</v>
      </c>
      <c r="B241" s="52">
        <v>45</v>
      </c>
      <c r="C241" s="52">
        <v>45</v>
      </c>
      <c r="D241" s="52">
        <v>45</v>
      </c>
      <c r="E241" s="52">
        <v>45</v>
      </c>
      <c r="F241" s="52">
        <v>100</v>
      </c>
      <c r="G241" s="52">
        <v>45</v>
      </c>
      <c r="H241" s="52">
        <v>45</v>
      </c>
      <c r="I241" s="52">
        <v>45</v>
      </c>
      <c r="J241" s="52">
        <v>45</v>
      </c>
      <c r="K241" s="52">
        <v>45</v>
      </c>
    </row>
    <row r="242" spans="1:11">
      <c r="A242" s="45" t="s">
        <v>660</v>
      </c>
      <c r="B242" s="52">
        <v>45</v>
      </c>
      <c r="C242" s="52">
        <v>45</v>
      </c>
      <c r="D242" s="52">
        <v>45</v>
      </c>
      <c r="E242" s="52">
        <v>45</v>
      </c>
      <c r="F242" s="52">
        <v>45</v>
      </c>
      <c r="G242" s="52">
        <v>100</v>
      </c>
      <c r="H242" s="52">
        <v>45</v>
      </c>
      <c r="I242" s="52">
        <v>45</v>
      </c>
      <c r="J242" s="52">
        <v>45</v>
      </c>
      <c r="K242" s="52">
        <v>80</v>
      </c>
    </row>
    <row r="243" spans="1:11">
      <c r="A243" s="45" t="s">
        <v>617</v>
      </c>
      <c r="B243" s="52">
        <v>45</v>
      </c>
      <c r="C243" s="52">
        <v>45</v>
      </c>
      <c r="D243" s="52">
        <v>45</v>
      </c>
      <c r="E243" s="52">
        <v>80</v>
      </c>
      <c r="F243" s="52">
        <v>45</v>
      </c>
      <c r="G243" s="52">
        <v>45</v>
      </c>
      <c r="H243" s="52">
        <v>100</v>
      </c>
      <c r="I243" s="52">
        <v>45</v>
      </c>
      <c r="J243" s="52">
        <v>45</v>
      </c>
      <c r="K243" s="52">
        <v>45</v>
      </c>
    </row>
    <row r="244" spans="1:11">
      <c r="A244" s="45" t="s">
        <v>583</v>
      </c>
      <c r="B244" s="52">
        <v>80</v>
      </c>
      <c r="C244" s="52">
        <v>80</v>
      </c>
      <c r="D244" s="52">
        <v>80</v>
      </c>
      <c r="E244" s="52">
        <v>45</v>
      </c>
      <c r="F244" s="52">
        <v>45</v>
      </c>
      <c r="G244" s="52">
        <v>45</v>
      </c>
      <c r="H244" s="52">
        <v>45</v>
      </c>
      <c r="I244" s="52">
        <v>100</v>
      </c>
      <c r="J244" s="52">
        <v>80</v>
      </c>
      <c r="K244" s="52">
        <v>45</v>
      </c>
    </row>
    <row r="245" spans="1:11">
      <c r="A245" s="45" t="s">
        <v>737</v>
      </c>
      <c r="B245" s="52">
        <v>80</v>
      </c>
      <c r="C245" s="52">
        <v>80</v>
      </c>
      <c r="D245" s="52">
        <v>80</v>
      </c>
      <c r="E245" s="52">
        <v>45</v>
      </c>
      <c r="F245" s="52">
        <v>45</v>
      </c>
      <c r="G245" s="52">
        <v>45</v>
      </c>
      <c r="H245" s="52">
        <v>45</v>
      </c>
      <c r="I245" s="52">
        <v>80</v>
      </c>
      <c r="J245" s="52">
        <v>100</v>
      </c>
      <c r="K245" s="52">
        <v>45</v>
      </c>
    </row>
    <row r="246" spans="1:11">
      <c r="A246" s="45" t="s">
        <v>667</v>
      </c>
      <c r="B246" s="52">
        <v>45</v>
      </c>
      <c r="C246" s="52">
        <v>45</v>
      </c>
      <c r="D246" s="52">
        <v>45</v>
      </c>
      <c r="E246" s="52">
        <v>45</v>
      </c>
      <c r="F246" s="52">
        <v>45</v>
      </c>
      <c r="G246" s="52">
        <v>80</v>
      </c>
      <c r="H246" s="52">
        <v>45</v>
      </c>
      <c r="I246" s="52">
        <v>45</v>
      </c>
      <c r="J246" s="52">
        <v>45</v>
      </c>
      <c r="K246" s="52">
        <v>100</v>
      </c>
    </row>
    <row r="248" ht="18" customHeight="1" spans="1:11">
      <c r="A248" s="40" t="s">
        <v>2205</v>
      </c>
    </row>
    <row r="249" ht="22" customHeight="1" spans="1:11">
      <c r="A249" s="41" t="s">
        <v>1951</v>
      </c>
      <c r="B249" s="41" t="s">
        <v>2206</v>
      </c>
      <c r="C249" s="41" t="s">
        <v>2207</v>
      </c>
      <c r="D249" s="41" t="s">
        <v>2208</v>
      </c>
      <c r="E249" s="41" t="s">
        <v>2209</v>
      </c>
    </row>
    <row r="250" spans="1:11">
      <c r="A250" s="53">
        <v>1</v>
      </c>
      <c r="B250" s="49" t="s">
        <v>1024</v>
      </c>
      <c r="C250" s="43" t="s">
        <v>772</v>
      </c>
      <c r="D250" s="53" t="s">
        <v>2210</v>
      </c>
      <c r="E250" s="46" t="s">
        <v>911</v>
      </c>
    </row>
    <row r="251" spans="1:11">
      <c r="A251" s="53">
        <v>2</v>
      </c>
      <c r="B251" s="49" t="s">
        <v>1039</v>
      </c>
      <c r="C251" s="43" t="s">
        <v>452</v>
      </c>
      <c r="D251" s="53" t="s">
        <v>2210</v>
      </c>
      <c r="E251" s="46" t="s">
        <v>837</v>
      </c>
    </row>
    <row r="252" spans="1:11">
      <c r="A252" s="53">
        <v>3</v>
      </c>
      <c r="B252" s="49" t="s">
        <v>1040</v>
      </c>
      <c r="C252" s="43" t="s">
        <v>453</v>
      </c>
      <c r="D252" s="53" t="s">
        <v>2210</v>
      </c>
      <c r="E252" s="46" t="s">
        <v>911</v>
      </c>
    </row>
    <row r="253" spans="1:11">
      <c r="A253" s="53">
        <v>4</v>
      </c>
      <c r="B253" s="49" t="s">
        <v>1041</v>
      </c>
      <c r="C253" s="43" t="s">
        <v>2211</v>
      </c>
      <c r="D253" s="53" t="s">
        <v>2210</v>
      </c>
      <c r="E253" s="46" t="s">
        <v>837</v>
      </c>
    </row>
    <row r="254" spans="1:11">
      <c r="A254" s="53">
        <v>5</v>
      </c>
      <c r="B254" s="49" t="s">
        <v>1042</v>
      </c>
      <c r="C254" s="43" t="s">
        <v>921</v>
      </c>
      <c r="D254" s="53" t="s">
        <v>2210</v>
      </c>
      <c r="E254" s="46" t="s">
        <v>837</v>
      </c>
    </row>
    <row r="255" spans="1:11">
      <c r="A255" s="53">
        <v>6</v>
      </c>
      <c r="B255" s="49" t="s">
        <v>1043</v>
      </c>
      <c r="C255" s="43" t="s">
        <v>925</v>
      </c>
      <c r="D255" s="53" t="s">
        <v>2210</v>
      </c>
      <c r="E255" s="46" t="s">
        <v>837</v>
      </c>
    </row>
    <row r="256" spans="1:11">
      <c r="A256" s="53">
        <v>7</v>
      </c>
      <c r="B256" s="49" t="s">
        <v>1044</v>
      </c>
      <c r="C256" s="43" t="s">
        <v>456</v>
      </c>
      <c r="D256" s="53" t="s">
        <v>2210</v>
      </c>
      <c r="E256" s="46" t="s">
        <v>844</v>
      </c>
    </row>
    <row r="257" spans="1:5">
      <c r="A257" s="53">
        <v>8</v>
      </c>
      <c r="B257" s="49" t="s">
        <v>1045</v>
      </c>
      <c r="C257" s="43" t="s">
        <v>492</v>
      </c>
      <c r="D257" s="53" t="s">
        <v>2210</v>
      </c>
      <c r="E257" s="46" t="s">
        <v>837</v>
      </c>
    </row>
    <row r="258" spans="1:5">
      <c r="A258" s="53">
        <v>9</v>
      </c>
      <c r="B258" s="49" t="s">
        <v>1046</v>
      </c>
      <c r="C258" s="43" t="s">
        <v>462</v>
      </c>
      <c r="D258" s="53" t="s">
        <v>2210</v>
      </c>
      <c r="E258" s="46" t="s">
        <v>844</v>
      </c>
    </row>
    <row r="259" spans="1:5">
      <c r="A259" s="53">
        <v>10</v>
      </c>
      <c r="B259" s="49" t="s">
        <v>1047</v>
      </c>
      <c r="C259" s="43" t="s">
        <v>2841</v>
      </c>
      <c r="D259" s="53" t="s">
        <v>2210</v>
      </c>
      <c r="E259" s="46" t="s">
        <v>2957</v>
      </c>
    </row>
    <row r="260" spans="1:5">
      <c r="A260" s="53">
        <v>11</v>
      </c>
      <c r="B260" s="49" t="s">
        <v>1048</v>
      </c>
      <c r="C260" s="43" t="s">
        <v>935</v>
      </c>
      <c r="D260" s="53" t="s">
        <v>2210</v>
      </c>
      <c r="E260" s="46" t="s">
        <v>844</v>
      </c>
    </row>
    <row r="261" spans="1:5">
      <c r="A261" s="53">
        <v>12</v>
      </c>
      <c r="B261" s="49" t="s">
        <v>987</v>
      </c>
      <c r="C261" s="43" t="s">
        <v>2212</v>
      </c>
      <c r="D261" s="53" t="s">
        <v>2210</v>
      </c>
      <c r="E261" s="46" t="s">
        <v>844</v>
      </c>
    </row>
    <row r="262" spans="1:5">
      <c r="A262" s="53">
        <v>13</v>
      </c>
      <c r="B262" s="49" t="s">
        <v>1049</v>
      </c>
      <c r="C262" s="43" t="s">
        <v>458</v>
      </c>
      <c r="D262" s="53" t="s">
        <v>2210</v>
      </c>
      <c r="E262" s="46" t="s">
        <v>844</v>
      </c>
    </row>
    <row r="263" spans="1:5">
      <c r="A263" s="53">
        <v>14</v>
      </c>
      <c r="B263" s="49" t="s">
        <v>1050</v>
      </c>
      <c r="C263" s="43" t="s">
        <v>459</v>
      </c>
      <c r="D263" s="53" t="s">
        <v>2210</v>
      </c>
      <c r="E263" s="46" t="s">
        <v>844</v>
      </c>
    </row>
    <row r="264" spans="1:5">
      <c r="A264" s="53">
        <v>15</v>
      </c>
      <c r="B264" s="49" t="s">
        <v>1051</v>
      </c>
      <c r="C264" s="43" t="s">
        <v>57</v>
      </c>
      <c r="D264" s="53" t="s">
        <v>2210</v>
      </c>
      <c r="E264" s="46" t="s">
        <v>911</v>
      </c>
    </row>
    <row r="265" spans="1:5">
      <c r="A265" s="53">
        <v>16</v>
      </c>
      <c r="B265" s="49" t="s">
        <v>1052</v>
      </c>
      <c r="C265" s="43" t="s">
        <v>457</v>
      </c>
      <c r="D265" s="53" t="s">
        <v>2210</v>
      </c>
      <c r="E265" s="46" t="s">
        <v>844</v>
      </c>
    </row>
    <row r="266" spans="1:5">
      <c r="A266" s="53">
        <v>17</v>
      </c>
      <c r="B266" s="49" t="s">
        <v>1053</v>
      </c>
      <c r="C266" s="43" t="s">
        <v>478</v>
      </c>
      <c r="D266" s="53" t="s">
        <v>2213</v>
      </c>
      <c r="E266" s="46" t="s">
        <v>844</v>
      </c>
    </row>
    <row r="267" spans="1:5">
      <c r="A267" s="53">
        <v>18</v>
      </c>
      <c r="B267" s="49" t="s">
        <v>1054</v>
      </c>
      <c r="C267" s="43" t="s">
        <v>479</v>
      </c>
      <c r="D267" s="53" t="s">
        <v>2213</v>
      </c>
      <c r="E267" s="46" t="s">
        <v>844</v>
      </c>
    </row>
    <row r="268" spans="1:5">
      <c r="A268" s="53">
        <v>19</v>
      </c>
      <c r="B268" s="49" t="s">
        <v>1055</v>
      </c>
      <c r="C268" s="43" t="s">
        <v>480</v>
      </c>
      <c r="D268" s="53" t="s">
        <v>2213</v>
      </c>
      <c r="E268" s="46" t="s">
        <v>844</v>
      </c>
    </row>
    <row r="269" spans="1:5">
      <c r="A269" s="53">
        <v>20</v>
      </c>
      <c r="B269" s="49" t="s">
        <v>1056</v>
      </c>
      <c r="C269" s="43" t="s">
        <v>493</v>
      </c>
      <c r="D269" s="53" t="s">
        <v>2210</v>
      </c>
      <c r="E269" s="46" t="s">
        <v>844</v>
      </c>
    </row>
    <row r="270" spans="1:5">
      <c r="A270" s="53">
        <v>21</v>
      </c>
      <c r="B270" s="49" t="s">
        <v>1057</v>
      </c>
      <c r="C270" s="43" t="s">
        <v>482</v>
      </c>
      <c r="D270" s="53" t="s">
        <v>2210</v>
      </c>
      <c r="E270" s="46" t="s">
        <v>844</v>
      </c>
    </row>
    <row r="271" spans="1:5">
      <c r="A271" s="53">
        <v>22</v>
      </c>
      <c r="B271" s="49" t="s">
        <v>1058</v>
      </c>
      <c r="C271" s="43" t="s">
        <v>774</v>
      </c>
      <c r="D271" s="53" t="s">
        <v>2210</v>
      </c>
      <c r="E271" s="46" t="s">
        <v>911</v>
      </c>
    </row>
    <row r="272" spans="1:5">
      <c r="A272" s="53">
        <v>23</v>
      </c>
      <c r="B272" s="49" t="s">
        <v>1059</v>
      </c>
      <c r="C272" s="43" t="s">
        <v>775</v>
      </c>
      <c r="D272" s="53" t="s">
        <v>2210</v>
      </c>
      <c r="E272" s="46" t="s">
        <v>911</v>
      </c>
    </row>
    <row r="273" spans="1:5">
      <c r="A273" s="53">
        <v>24</v>
      </c>
      <c r="B273" s="49" t="s">
        <v>1060</v>
      </c>
      <c r="C273" s="43" t="s">
        <v>484</v>
      </c>
      <c r="D273" s="53" t="s">
        <v>2213</v>
      </c>
      <c r="E273" s="46" t="s">
        <v>844</v>
      </c>
    </row>
    <row r="274" spans="1:5">
      <c r="A274" s="53">
        <v>25</v>
      </c>
      <c r="B274" s="49" t="s">
        <v>1061</v>
      </c>
      <c r="C274" s="43" t="s">
        <v>59</v>
      </c>
      <c r="D274" s="53" t="s">
        <v>2210</v>
      </c>
      <c r="E274" s="46" t="s">
        <v>911</v>
      </c>
    </row>
    <row r="275" spans="1:5">
      <c r="A275" s="53">
        <v>26</v>
      </c>
      <c r="B275" s="49" t="s">
        <v>976</v>
      </c>
      <c r="C275" s="43" t="s">
        <v>490</v>
      </c>
      <c r="D275" s="53" t="s">
        <v>2210</v>
      </c>
      <c r="E275" s="46" t="s">
        <v>828</v>
      </c>
    </row>
    <row r="276" spans="1:5">
      <c r="A276" s="53">
        <v>27</v>
      </c>
      <c r="B276" s="49" t="s">
        <v>981</v>
      </c>
      <c r="C276" s="43" t="s">
        <v>491</v>
      </c>
      <c r="D276" s="53" t="s">
        <v>2210</v>
      </c>
      <c r="E276" s="46" t="s">
        <v>828</v>
      </c>
    </row>
    <row r="277" spans="1:5">
      <c r="A277" s="53">
        <v>28</v>
      </c>
      <c r="B277" s="49" t="s">
        <v>984</v>
      </c>
      <c r="C277" s="43" t="s">
        <v>2214</v>
      </c>
      <c r="D277" s="53" t="s">
        <v>2210</v>
      </c>
      <c r="E277" s="46" t="s">
        <v>844</v>
      </c>
    </row>
    <row r="278" spans="1:5">
      <c r="A278" s="53">
        <v>29</v>
      </c>
      <c r="B278" s="49" t="s">
        <v>992</v>
      </c>
      <c r="C278" s="43" t="s">
        <v>994</v>
      </c>
      <c r="D278" s="53" t="s">
        <v>2210</v>
      </c>
      <c r="E278" s="46" t="s">
        <v>911</v>
      </c>
    </row>
    <row r="279" spans="1:5">
      <c r="A279" s="53">
        <v>30</v>
      </c>
      <c r="B279" s="49" t="s">
        <v>997</v>
      </c>
      <c r="C279" s="43" t="s">
        <v>2215</v>
      </c>
      <c r="D279" s="53" t="s">
        <v>2210</v>
      </c>
      <c r="E279" s="46" t="s">
        <v>911</v>
      </c>
    </row>
    <row r="281" ht="18" customHeight="1" spans="1:5">
      <c r="A281" s="40" t="s">
        <v>2958</v>
      </c>
    </row>
    <row r="282" ht="24" customHeight="1" spans="1:5">
      <c r="A282" s="41" t="s">
        <v>1951</v>
      </c>
      <c r="B282" s="41" t="s">
        <v>2959</v>
      </c>
      <c r="C282" s="41" t="s">
        <v>1861</v>
      </c>
      <c r="D282" s="41" t="s">
        <v>2960</v>
      </c>
      <c r="E282" s="41" t="s">
        <v>2903</v>
      </c>
    </row>
    <row r="283" spans="1:5">
      <c r="A283" s="53">
        <v>1</v>
      </c>
      <c r="B283" s="49" t="s">
        <v>613</v>
      </c>
      <c r="C283" s="44">
        <v>2442</v>
      </c>
      <c r="D283" s="43" t="s">
        <v>613</v>
      </c>
      <c r="E283" s="48" t="s">
        <v>2961</v>
      </c>
    </row>
    <row r="284" spans="1:5">
      <c r="A284" s="53">
        <v>2</v>
      </c>
      <c r="B284" s="49" t="s">
        <v>244</v>
      </c>
      <c r="C284" s="44">
        <v>1206</v>
      </c>
      <c r="D284" s="43" t="s">
        <v>244</v>
      </c>
      <c r="E284" s="48" t="s">
        <v>2961</v>
      </c>
    </row>
    <row r="285" spans="1:5">
      <c r="A285" s="53">
        <v>3</v>
      </c>
      <c r="B285" s="49" t="s">
        <v>1867</v>
      </c>
      <c r="C285" s="44">
        <v>542</v>
      </c>
      <c r="D285" s="43" t="s">
        <v>1867</v>
      </c>
      <c r="E285" s="48" t="s">
        <v>2961</v>
      </c>
    </row>
    <row r="286" spans="1:5">
      <c r="A286" s="53">
        <v>4</v>
      </c>
      <c r="B286" s="49" t="s">
        <v>666</v>
      </c>
      <c r="C286" s="44">
        <v>458</v>
      </c>
      <c r="D286" s="43" t="s">
        <v>666</v>
      </c>
      <c r="E286" s="48" t="s">
        <v>2961</v>
      </c>
    </row>
    <row r="287" spans="1:5">
      <c r="A287" s="53">
        <v>5</v>
      </c>
      <c r="B287" s="49" t="s">
        <v>1871</v>
      </c>
      <c r="C287" s="44">
        <v>145</v>
      </c>
      <c r="D287" s="43" t="s">
        <v>1871</v>
      </c>
      <c r="E287" s="48" t="s">
        <v>2961</v>
      </c>
    </row>
    <row r="288" spans="1:5">
      <c r="A288" s="53">
        <v>6</v>
      </c>
      <c r="B288" s="49" t="s">
        <v>597</v>
      </c>
      <c r="C288" s="44">
        <v>73</v>
      </c>
      <c r="D288" s="43" t="s">
        <v>597</v>
      </c>
      <c r="E288" s="48" t="s">
        <v>2961</v>
      </c>
    </row>
    <row r="289" spans="1:5">
      <c r="A289" s="53">
        <v>7</v>
      </c>
      <c r="B289" s="49" t="s">
        <v>2962</v>
      </c>
      <c r="C289" s="44">
        <v>63</v>
      </c>
      <c r="D289" s="43" t="s">
        <v>245</v>
      </c>
      <c r="E289" s="48" t="s">
        <v>2963</v>
      </c>
    </row>
    <row r="290" spans="1:5">
      <c r="A290" s="53">
        <v>8</v>
      </c>
      <c r="B290" s="49" t="s">
        <v>2031</v>
      </c>
      <c r="C290" s="44">
        <v>58</v>
      </c>
      <c r="D290" s="43" t="s">
        <v>613</v>
      </c>
      <c r="E290" s="48" t="s">
        <v>2964</v>
      </c>
    </row>
    <row r="291" spans="1:5">
      <c r="A291" s="53">
        <v>9</v>
      </c>
      <c r="B291" s="49" t="s">
        <v>245</v>
      </c>
      <c r="C291" s="44">
        <v>55</v>
      </c>
      <c r="D291" s="43" t="s">
        <v>245</v>
      </c>
      <c r="E291" s="48" t="s">
        <v>2961</v>
      </c>
    </row>
    <row r="292" spans="1:5">
      <c r="A292" s="53">
        <v>10</v>
      </c>
      <c r="B292" s="49" t="s">
        <v>579</v>
      </c>
      <c r="C292" s="44">
        <v>24</v>
      </c>
      <c r="D292" s="43" t="s">
        <v>579</v>
      </c>
      <c r="E292" s="48" t="s">
        <v>2961</v>
      </c>
    </row>
    <row r="293" spans="1:5">
      <c r="A293" s="53">
        <v>11</v>
      </c>
      <c r="B293" s="49" t="s">
        <v>2965</v>
      </c>
      <c r="C293" s="44">
        <v>24</v>
      </c>
      <c r="D293" s="43" t="s">
        <v>579</v>
      </c>
      <c r="E293" s="48" t="s">
        <v>2966</v>
      </c>
    </row>
    <row r="294" spans="1:5">
      <c r="A294" s="53">
        <v>12</v>
      </c>
      <c r="B294" s="49" t="s">
        <v>2967</v>
      </c>
      <c r="C294" s="44">
        <v>12</v>
      </c>
      <c r="D294" s="43" t="s">
        <v>666</v>
      </c>
      <c r="E294" s="48" t="s">
        <v>2968</v>
      </c>
    </row>
    <row r="295" spans="1:5">
      <c r="A295" s="53">
        <v>13</v>
      </c>
      <c r="B295" s="49" t="s">
        <v>630</v>
      </c>
      <c r="C295" s="44">
        <v>12</v>
      </c>
      <c r="D295" s="43" t="s">
        <v>613</v>
      </c>
      <c r="E295" s="48" t="s">
        <v>2964</v>
      </c>
    </row>
    <row r="296" ht="25.5" spans="1:5">
      <c r="A296" s="53">
        <v>14</v>
      </c>
      <c r="B296" s="49" t="s">
        <v>2969</v>
      </c>
      <c r="C296" s="44">
        <v>9</v>
      </c>
      <c r="D296" s="46" t="s">
        <v>2970</v>
      </c>
      <c r="E296" s="48" t="s">
        <v>2971</v>
      </c>
    </row>
    <row r="297" spans="1:5">
      <c r="A297" s="53">
        <v>15</v>
      </c>
      <c r="B297" s="49" t="s">
        <v>2027</v>
      </c>
      <c r="C297" s="44">
        <v>9</v>
      </c>
      <c r="D297" s="43" t="s">
        <v>245</v>
      </c>
      <c r="E297" s="48" t="s">
        <v>2963</v>
      </c>
    </row>
    <row r="298" spans="1:5">
      <c r="A298" s="53">
        <v>16</v>
      </c>
      <c r="B298" s="49" t="s">
        <v>2972</v>
      </c>
      <c r="C298" s="44">
        <v>8</v>
      </c>
      <c r="D298" s="43" t="s">
        <v>1867</v>
      </c>
      <c r="E298" s="48" t="s">
        <v>2973</v>
      </c>
    </row>
    <row r="299" spans="1:5">
      <c r="A299" s="53">
        <v>17</v>
      </c>
      <c r="B299" s="49" t="s">
        <v>2974</v>
      </c>
      <c r="C299" s="44">
        <v>7</v>
      </c>
      <c r="D299" s="43" t="s">
        <v>666</v>
      </c>
      <c r="E299" s="48" t="s">
        <v>2968</v>
      </c>
    </row>
    <row r="300" ht="25.5" spans="1:5">
      <c r="A300" s="53">
        <v>18</v>
      </c>
      <c r="B300" s="49" t="s">
        <v>2975</v>
      </c>
      <c r="C300" s="44">
        <v>6</v>
      </c>
      <c r="D300" s="46" t="s">
        <v>2970</v>
      </c>
      <c r="E300" s="48" t="s">
        <v>2971</v>
      </c>
    </row>
    <row r="301" spans="1:5">
      <c r="A301" s="53">
        <v>19</v>
      </c>
      <c r="B301" s="49" t="s">
        <v>2976</v>
      </c>
      <c r="C301" s="44">
        <v>3</v>
      </c>
      <c r="D301" s="43" t="s">
        <v>666</v>
      </c>
      <c r="E301" s="48" t="s">
        <v>2968</v>
      </c>
    </row>
    <row r="302" spans="1:5">
      <c r="A302" s="53">
        <v>20</v>
      </c>
      <c r="B302" s="49" t="s">
        <v>2977</v>
      </c>
      <c r="C302" s="44">
        <v>3</v>
      </c>
      <c r="D302" s="43" t="s">
        <v>579</v>
      </c>
      <c r="E302" s="48" t="s">
        <v>2966</v>
      </c>
    </row>
    <row r="303" spans="1:5">
      <c r="A303" s="53">
        <v>21</v>
      </c>
      <c r="B303" s="49" t="s">
        <v>2978</v>
      </c>
      <c r="C303" s="44">
        <v>3</v>
      </c>
      <c r="D303" s="43" t="s">
        <v>666</v>
      </c>
      <c r="E303" s="48" t="s">
        <v>2968</v>
      </c>
    </row>
    <row r="304" spans="1:5">
      <c r="A304" s="53">
        <v>22</v>
      </c>
      <c r="B304" s="49" t="s">
        <v>681</v>
      </c>
      <c r="C304" s="44">
        <v>2</v>
      </c>
      <c r="D304" s="43" t="s">
        <v>243</v>
      </c>
      <c r="E304" s="48" t="s">
        <v>2979</v>
      </c>
    </row>
    <row r="305" ht="25.5" spans="1:5">
      <c r="A305" s="53">
        <v>23</v>
      </c>
      <c r="B305" s="49" t="s">
        <v>2980</v>
      </c>
      <c r="C305" s="44">
        <v>2</v>
      </c>
      <c r="D305" s="46" t="s">
        <v>2970</v>
      </c>
      <c r="E305" s="48" t="s">
        <v>2971</v>
      </c>
    </row>
    <row r="306" spans="1:5">
      <c r="A306" s="53">
        <v>24</v>
      </c>
      <c r="B306" s="49" t="s">
        <v>2981</v>
      </c>
      <c r="C306" s="44">
        <v>2</v>
      </c>
      <c r="D306" s="43" t="s">
        <v>243</v>
      </c>
      <c r="E306" s="48" t="s">
        <v>2979</v>
      </c>
    </row>
    <row r="307" ht="25.5" spans="1:5">
      <c r="A307" s="53">
        <v>25</v>
      </c>
      <c r="B307" s="49" t="s">
        <v>2374</v>
      </c>
      <c r="C307" s="44">
        <v>1</v>
      </c>
      <c r="D307" s="46" t="s">
        <v>2970</v>
      </c>
      <c r="E307" s="48" t="s">
        <v>2971</v>
      </c>
    </row>
    <row r="308" ht="25.5" spans="1:5">
      <c r="A308" s="53">
        <v>26</v>
      </c>
      <c r="B308" s="49" t="s">
        <v>2982</v>
      </c>
      <c r="C308" s="44">
        <v>1</v>
      </c>
      <c r="D308" s="46" t="s">
        <v>2970</v>
      </c>
      <c r="E308" s="48" t="s">
        <v>2971</v>
      </c>
    </row>
    <row r="309" spans="1:5">
      <c r="A309" s="53">
        <v>27</v>
      </c>
      <c r="B309" s="49" t="s">
        <v>2983</v>
      </c>
      <c r="C309" s="44">
        <v>1</v>
      </c>
      <c r="D309" s="43" t="s">
        <v>579</v>
      </c>
      <c r="E309" s="48" t="s">
        <v>2966</v>
      </c>
    </row>
    <row r="310" ht="25.5" spans="1:5">
      <c r="A310" s="53">
        <v>28</v>
      </c>
      <c r="B310" s="49" t="s">
        <v>2984</v>
      </c>
      <c r="C310" s="44">
        <v>1</v>
      </c>
      <c r="D310" s="46" t="s">
        <v>2970</v>
      </c>
      <c r="E310" s="48" t="s">
        <v>2971</v>
      </c>
    </row>
    <row r="312" spans="1:5">
      <c r="A312" s="45" t="s">
        <v>2985</v>
      </c>
      <c r="B312" s="49" t="s">
        <v>2986</v>
      </c>
      <c r="C312" s="49" t="s">
        <v>2987</v>
      </c>
      <c r="D312" s="54"/>
      <c r="E312" s="55"/>
    </row>
    <row r="314" ht="18" customHeight="1" spans="1:5">
      <c r="A314" s="40" t="s">
        <v>2988</v>
      </c>
    </row>
    <row r="315" ht="26" customHeight="1" spans="1:5">
      <c r="A315" s="41" t="s">
        <v>2037</v>
      </c>
      <c r="B315" s="41" t="s">
        <v>2038</v>
      </c>
      <c r="C315" s="41" t="s">
        <v>311</v>
      </c>
      <c r="D315" s="41" t="s">
        <v>27</v>
      </c>
      <c r="E315" s="41" t="s">
        <v>2039</v>
      </c>
    </row>
    <row r="316" ht="38.25" spans="1:5">
      <c r="A316" s="45" t="s">
        <v>2989</v>
      </c>
      <c r="B316" s="43" t="s">
        <v>2990</v>
      </c>
      <c r="C316" s="46" t="s">
        <v>2991</v>
      </c>
      <c r="D316" s="47">
        <v>60</v>
      </c>
      <c r="E316" s="48" t="s">
        <v>2992</v>
      </c>
    </row>
    <row r="317" ht="25.5" spans="1:5">
      <c r="A317" s="43" t="s">
        <v>29</v>
      </c>
      <c r="B317" s="43" t="s">
        <v>2993</v>
      </c>
      <c r="C317" s="46" t="s">
        <v>2994</v>
      </c>
      <c r="D317" s="47">
        <v>25</v>
      </c>
      <c r="E317" s="48" t="s">
        <v>2995</v>
      </c>
    </row>
    <row r="318" ht="25.5" spans="1:5">
      <c r="A318" s="43" t="s">
        <v>29</v>
      </c>
      <c r="B318" s="43" t="s">
        <v>2996</v>
      </c>
      <c r="C318" s="46" t="s">
        <v>2997</v>
      </c>
      <c r="D318" s="47">
        <v>45</v>
      </c>
      <c r="E318" s="48" t="s">
        <v>2998</v>
      </c>
    </row>
    <row r="319" spans="1:5">
      <c r="A319" s="45" t="s">
        <v>2999</v>
      </c>
      <c r="B319" s="43" t="s">
        <v>3000</v>
      </c>
      <c r="C319" s="46" t="s">
        <v>3001</v>
      </c>
      <c r="D319" s="47">
        <v>12</v>
      </c>
      <c r="E319" s="48" t="s">
        <v>3002</v>
      </c>
    </row>
    <row r="320" ht="38.25" spans="1:5">
      <c r="A320" s="43" t="s">
        <v>29</v>
      </c>
      <c r="B320" s="43" t="s">
        <v>3003</v>
      </c>
      <c r="C320" s="46" t="s">
        <v>3004</v>
      </c>
      <c r="D320" s="47">
        <v>21</v>
      </c>
      <c r="E320" s="48" t="s">
        <v>3005</v>
      </c>
    </row>
    <row r="321" ht="63.75" spans="1:5">
      <c r="A321" s="43" t="s">
        <v>29</v>
      </c>
      <c r="B321" s="43" t="s">
        <v>3006</v>
      </c>
      <c r="C321" s="46" t="s">
        <v>3007</v>
      </c>
      <c r="D321" s="47">
        <v>1.5</v>
      </c>
      <c r="E321" s="48" t="s">
        <v>3008</v>
      </c>
    </row>
    <row r="322" spans="1:5">
      <c r="A322" s="45" t="s">
        <v>3009</v>
      </c>
      <c r="B322" s="43" t="s">
        <v>3010</v>
      </c>
      <c r="C322" s="46" t="s">
        <v>3011</v>
      </c>
      <c r="D322" s="47">
        <v>40</v>
      </c>
      <c r="E322" s="48" t="s">
        <v>3012</v>
      </c>
    </row>
    <row r="323" spans="1:5">
      <c r="A323" s="43" t="s">
        <v>29</v>
      </c>
      <c r="B323" s="43" t="s">
        <v>3013</v>
      </c>
      <c r="C323" s="46" t="s">
        <v>3014</v>
      </c>
      <c r="D323" s="47">
        <v>30</v>
      </c>
      <c r="E323" s="48" t="s">
        <v>3015</v>
      </c>
    </row>
    <row r="324" spans="1:5">
      <c r="A324" s="43" t="s">
        <v>29</v>
      </c>
      <c r="B324" s="43" t="s">
        <v>3016</v>
      </c>
      <c r="C324" s="46" t="s">
        <v>3017</v>
      </c>
      <c r="D324" s="47">
        <v>15</v>
      </c>
      <c r="E324" s="48" t="s">
        <v>3018</v>
      </c>
    </row>
    <row r="325" ht="25.5" spans="1:5">
      <c r="A325" s="43" t="s">
        <v>29</v>
      </c>
      <c r="B325" s="43" t="s">
        <v>3019</v>
      </c>
      <c r="C325" s="46" t="s">
        <v>3020</v>
      </c>
      <c r="D325" s="47">
        <v>15</v>
      </c>
      <c r="E325" s="48" t="s">
        <v>3021</v>
      </c>
    </row>
    <row r="326" spans="1:5">
      <c r="A326" s="43" t="s">
        <v>29</v>
      </c>
      <c r="B326" s="43" t="s">
        <v>3022</v>
      </c>
      <c r="C326" s="46" t="s">
        <v>3023</v>
      </c>
      <c r="D326" s="47">
        <v>100</v>
      </c>
      <c r="E326" s="48" t="s">
        <v>3024</v>
      </c>
    </row>
    <row r="327" spans="1:5">
      <c r="A327" s="43" t="s">
        <v>29</v>
      </c>
      <c r="B327" s="43" t="s">
        <v>3025</v>
      </c>
      <c r="C327" s="46" t="s">
        <v>3026</v>
      </c>
      <c r="D327" s="47">
        <v>50</v>
      </c>
      <c r="E327" s="48" t="s">
        <v>3027</v>
      </c>
    </row>
    <row r="328" spans="1:5">
      <c r="A328" s="43" t="s">
        <v>29</v>
      </c>
      <c r="B328" s="43" t="s">
        <v>3028</v>
      </c>
      <c r="C328" s="46" t="s">
        <v>3029</v>
      </c>
      <c r="D328" s="47">
        <v>40</v>
      </c>
      <c r="E328" s="48" t="s">
        <v>3030</v>
      </c>
    </row>
    <row r="329" spans="1:5">
      <c r="A329" s="45" t="s">
        <v>3031</v>
      </c>
      <c r="B329" s="43" t="s">
        <v>3032</v>
      </c>
      <c r="C329" s="46" t="s">
        <v>3033</v>
      </c>
      <c r="D329" s="47">
        <v>80</v>
      </c>
      <c r="E329" s="48" t="s">
        <v>3034</v>
      </c>
    </row>
    <row r="330" spans="1:5">
      <c r="A330" s="43" t="s">
        <v>29</v>
      </c>
      <c r="B330" s="43" t="s">
        <v>3035</v>
      </c>
      <c r="C330" s="46" t="s">
        <v>3036</v>
      </c>
      <c r="D330" s="47">
        <v>65</v>
      </c>
      <c r="E330" s="48" t="s">
        <v>29</v>
      </c>
    </row>
    <row r="331" spans="1:5">
      <c r="A331" s="43" t="s">
        <v>29</v>
      </c>
      <c r="B331" s="43" t="s">
        <v>3037</v>
      </c>
      <c r="C331" s="46" t="s">
        <v>3038</v>
      </c>
      <c r="D331" s="47">
        <v>50</v>
      </c>
      <c r="E331" s="48" t="s">
        <v>3039</v>
      </c>
    </row>
    <row r="332" ht="38.25" spans="1:5">
      <c r="A332" s="45" t="s">
        <v>2053</v>
      </c>
      <c r="B332" s="43" t="s">
        <v>752</v>
      </c>
      <c r="C332" s="46" t="s">
        <v>3040</v>
      </c>
      <c r="D332" s="47">
        <v>60</v>
      </c>
      <c r="E332" s="48" t="s">
        <v>3041</v>
      </c>
    </row>
    <row r="333" ht="38.25" spans="1:5">
      <c r="A333" s="43" t="s">
        <v>29</v>
      </c>
      <c r="B333" s="43" t="s">
        <v>753</v>
      </c>
      <c r="C333" s="46" t="s">
        <v>3042</v>
      </c>
      <c r="D333" s="47">
        <v>25</v>
      </c>
      <c r="E333" s="48" t="s">
        <v>3043</v>
      </c>
    </row>
    <row r="334" ht="51" spans="1:5">
      <c r="A334" s="43" t="s">
        <v>29</v>
      </c>
      <c r="B334" s="43" t="s">
        <v>2718</v>
      </c>
      <c r="C334" s="46" t="s">
        <v>3044</v>
      </c>
      <c r="D334" s="47">
        <v>15</v>
      </c>
      <c r="E334" s="48" t="s">
        <v>3045</v>
      </c>
    </row>
    <row r="335" ht="38.25" spans="1:5">
      <c r="A335" s="45" t="s">
        <v>2077</v>
      </c>
      <c r="B335" s="43" t="s">
        <v>2727</v>
      </c>
      <c r="C335" s="46" t="s">
        <v>3046</v>
      </c>
      <c r="D335" s="47">
        <v>60</v>
      </c>
      <c r="E335" s="48" t="s">
        <v>3047</v>
      </c>
    </row>
    <row r="336" ht="25.5" spans="1:5">
      <c r="A336" s="43" t="s">
        <v>29</v>
      </c>
      <c r="B336" s="43" t="s">
        <v>760</v>
      </c>
      <c r="C336" s="46" t="s">
        <v>3048</v>
      </c>
      <c r="D336" s="47">
        <v>40</v>
      </c>
      <c r="E336" s="48" t="s">
        <v>3049</v>
      </c>
    </row>
    <row r="338" ht="18" customHeight="1" spans="1:10">
      <c r="A338" s="40" t="s">
        <v>3050</v>
      </c>
    </row>
    <row r="339" ht="20" customHeight="1" spans="1:10">
      <c r="A339" s="41" t="s">
        <v>447</v>
      </c>
      <c r="B339" s="41" t="s">
        <v>3051</v>
      </c>
      <c r="C339" s="41" t="s">
        <v>1852</v>
      </c>
    </row>
    <row r="340" ht="25.5" spans="1:10">
      <c r="A340" s="49" t="s">
        <v>1980</v>
      </c>
      <c r="B340" s="56">
        <v>8</v>
      </c>
      <c r="C340" s="48" t="s">
        <v>3052</v>
      </c>
    </row>
    <row r="341" ht="25.5" spans="1:10">
      <c r="A341" s="49" t="s">
        <v>1986</v>
      </c>
      <c r="B341" s="56">
        <v>6</v>
      </c>
      <c r="C341" s="48" t="s">
        <v>3053</v>
      </c>
    </row>
    <row r="342" spans="1:10">
      <c r="A342" s="49" t="s">
        <v>1991</v>
      </c>
      <c r="B342" s="56">
        <v>4.5</v>
      </c>
      <c r="C342" s="48" t="s">
        <v>29</v>
      </c>
    </row>
    <row r="343" spans="1:10">
      <c r="A343" s="49" t="s">
        <v>1996</v>
      </c>
      <c r="B343" s="56">
        <v>3</v>
      </c>
      <c r="C343" s="48" t="s">
        <v>29</v>
      </c>
    </row>
    <row r="344" ht="63.75" spans="1:10">
      <c r="A344" s="49" t="s">
        <v>2001</v>
      </c>
      <c r="B344" s="56">
        <v>2</v>
      </c>
      <c r="C344" s="48" t="s">
        <v>3054</v>
      </c>
    </row>
    <row r="347" ht="18" customHeight="1" spans="1:10">
      <c r="A347" s="40" t="s">
        <v>3055</v>
      </c>
    </row>
    <row r="348" ht="30" customHeight="1" spans="1:10">
      <c r="A348" s="51" t="s">
        <v>2199</v>
      </c>
      <c r="B348" s="41" t="s">
        <v>244</v>
      </c>
      <c r="C348" s="41" t="s">
        <v>666</v>
      </c>
      <c r="D348" s="41" t="s">
        <v>597</v>
      </c>
      <c r="E348" s="41" t="s">
        <v>579</v>
      </c>
      <c r="F348" s="41" t="s">
        <v>245</v>
      </c>
      <c r="G348" s="41" t="s">
        <v>1871</v>
      </c>
      <c r="H348" s="41" t="s">
        <v>613</v>
      </c>
      <c r="I348" s="41" t="s">
        <v>1867</v>
      </c>
      <c r="J348" s="41" t="s">
        <v>243</v>
      </c>
    </row>
    <row r="349" spans="1:10">
      <c r="A349" s="45" t="s">
        <v>244</v>
      </c>
      <c r="B349" s="52">
        <v>100</v>
      </c>
      <c r="C349" s="52">
        <v>50</v>
      </c>
      <c r="D349" s="52">
        <v>80</v>
      </c>
      <c r="E349" s="52">
        <v>40</v>
      </c>
      <c r="F349" s="52">
        <v>30</v>
      </c>
      <c r="G349" s="52">
        <v>60</v>
      </c>
      <c r="H349" s="52">
        <v>70</v>
      </c>
      <c r="I349" s="52">
        <v>50</v>
      </c>
      <c r="J349" s="52">
        <v>20</v>
      </c>
    </row>
    <row r="350" spans="1:10">
      <c r="A350" s="45" t="s">
        <v>666</v>
      </c>
      <c r="B350" s="52">
        <v>40</v>
      </c>
      <c r="C350" s="52">
        <v>100</v>
      </c>
      <c r="D350" s="52">
        <v>50</v>
      </c>
      <c r="E350" s="52">
        <v>30</v>
      </c>
      <c r="F350" s="52">
        <v>40</v>
      </c>
      <c r="G350" s="52">
        <v>70</v>
      </c>
      <c r="H350" s="52">
        <v>60</v>
      </c>
      <c r="I350" s="52">
        <v>40</v>
      </c>
      <c r="J350" s="52">
        <v>30</v>
      </c>
    </row>
    <row r="351" spans="1:10">
      <c r="A351" s="45" t="s">
        <v>597</v>
      </c>
      <c r="B351" s="52">
        <v>80</v>
      </c>
      <c r="C351" s="52">
        <v>50</v>
      </c>
      <c r="D351" s="52">
        <v>100</v>
      </c>
      <c r="E351" s="52">
        <v>40</v>
      </c>
      <c r="F351" s="52">
        <v>20</v>
      </c>
      <c r="G351" s="52">
        <v>60</v>
      </c>
      <c r="H351" s="52">
        <v>70</v>
      </c>
      <c r="I351" s="52">
        <v>40</v>
      </c>
      <c r="J351" s="52">
        <v>20</v>
      </c>
    </row>
    <row r="352" spans="1:10">
      <c r="A352" s="45" t="s">
        <v>579</v>
      </c>
      <c r="B352" s="52">
        <v>40</v>
      </c>
      <c r="C352" s="52">
        <v>30</v>
      </c>
      <c r="D352" s="52">
        <v>40</v>
      </c>
      <c r="E352" s="52">
        <v>100</v>
      </c>
      <c r="F352" s="52">
        <v>60</v>
      </c>
      <c r="G352" s="52">
        <v>40</v>
      </c>
      <c r="H352" s="52">
        <v>60</v>
      </c>
      <c r="I352" s="52">
        <v>40</v>
      </c>
      <c r="J352" s="52">
        <v>20</v>
      </c>
    </row>
    <row r="353" spans="1:10">
      <c r="A353" s="45" t="s">
        <v>245</v>
      </c>
      <c r="B353" s="52">
        <v>30</v>
      </c>
      <c r="C353" s="52">
        <v>50</v>
      </c>
      <c r="D353" s="52">
        <v>20</v>
      </c>
      <c r="E353" s="52">
        <v>50</v>
      </c>
      <c r="F353" s="52">
        <v>100</v>
      </c>
      <c r="G353" s="52">
        <v>40</v>
      </c>
      <c r="H353" s="52">
        <v>70</v>
      </c>
      <c r="I353" s="52">
        <v>60</v>
      </c>
      <c r="J353" s="52">
        <v>20</v>
      </c>
    </row>
    <row r="354" spans="1:10">
      <c r="A354" s="45" t="s">
        <v>1871</v>
      </c>
      <c r="B354" s="52">
        <v>60</v>
      </c>
      <c r="C354" s="52">
        <v>70</v>
      </c>
      <c r="D354" s="52">
        <v>60</v>
      </c>
      <c r="E354" s="52">
        <v>40</v>
      </c>
      <c r="F354" s="52">
        <v>40</v>
      </c>
      <c r="G354" s="52">
        <v>100</v>
      </c>
      <c r="H354" s="52">
        <v>60</v>
      </c>
      <c r="I354" s="52">
        <v>20</v>
      </c>
      <c r="J354" s="52">
        <v>50</v>
      </c>
    </row>
    <row r="355" spans="1:10">
      <c r="A355" s="45" t="s">
        <v>613</v>
      </c>
      <c r="B355" s="52">
        <v>70</v>
      </c>
      <c r="C355" s="52">
        <v>60</v>
      </c>
      <c r="D355" s="52">
        <v>70</v>
      </c>
      <c r="E355" s="52">
        <v>60</v>
      </c>
      <c r="F355" s="52">
        <v>70</v>
      </c>
      <c r="G355" s="52">
        <v>60</v>
      </c>
      <c r="H355" s="52">
        <v>100</v>
      </c>
      <c r="I355" s="52">
        <v>60</v>
      </c>
      <c r="J355" s="52">
        <v>40</v>
      </c>
    </row>
    <row r="356" spans="1:10">
      <c r="A356" s="45" t="s">
        <v>1867</v>
      </c>
      <c r="B356" s="52">
        <v>50</v>
      </c>
      <c r="C356" s="52">
        <v>40</v>
      </c>
      <c r="D356" s="52">
        <v>40</v>
      </c>
      <c r="E356" s="52">
        <v>40</v>
      </c>
      <c r="F356" s="52">
        <v>60</v>
      </c>
      <c r="G356" s="52">
        <v>20</v>
      </c>
      <c r="H356" s="52">
        <v>60</v>
      </c>
      <c r="I356" s="52">
        <v>100</v>
      </c>
      <c r="J356" s="52">
        <v>20</v>
      </c>
    </row>
    <row r="357" spans="1:10">
      <c r="A357" s="45" t="s">
        <v>243</v>
      </c>
      <c r="B357" s="52">
        <v>20</v>
      </c>
      <c r="C357" s="52">
        <v>30</v>
      </c>
      <c r="D357" s="52">
        <v>20</v>
      </c>
      <c r="E357" s="52">
        <v>20</v>
      </c>
      <c r="F357" s="52">
        <v>20</v>
      </c>
      <c r="G357" s="52">
        <v>50</v>
      </c>
      <c r="H357" s="52">
        <v>40</v>
      </c>
      <c r="I357" s="52">
        <v>20</v>
      </c>
      <c r="J357" s="52">
        <v>100</v>
      </c>
    </row>
    <row r="359" ht="18" customHeight="1" spans="1:10">
      <c r="A359" s="40" t="s">
        <v>3056</v>
      </c>
    </row>
    <row r="360" ht="20" customHeight="1" spans="1:10">
      <c r="A360" s="41" t="s">
        <v>1951</v>
      </c>
      <c r="B360" s="41" t="s">
        <v>3057</v>
      </c>
      <c r="C360" s="41" t="s">
        <v>3058</v>
      </c>
      <c r="D360" s="41" t="s">
        <v>3059</v>
      </c>
    </row>
    <row r="361" ht="25.5" spans="1:10">
      <c r="A361" s="53">
        <v>1</v>
      </c>
      <c r="B361" s="49" t="s">
        <v>3060</v>
      </c>
      <c r="C361" s="46" t="s">
        <v>3061</v>
      </c>
      <c r="D361" s="48" t="s">
        <v>3062</v>
      </c>
    </row>
    <row r="362" ht="25.5" spans="1:10">
      <c r="A362" s="53">
        <v>2</v>
      </c>
      <c r="B362" s="49" t="s">
        <v>3063</v>
      </c>
      <c r="C362" s="46" t="s">
        <v>3061</v>
      </c>
      <c r="D362" s="48" t="s">
        <v>3062</v>
      </c>
    </row>
    <row r="363" ht="25.5" spans="1:10">
      <c r="A363" s="53">
        <v>3</v>
      </c>
      <c r="B363" s="49" t="s">
        <v>2689</v>
      </c>
      <c r="C363" s="46" t="s">
        <v>3061</v>
      </c>
      <c r="D363" s="48" t="s">
        <v>3064</v>
      </c>
    </row>
    <row r="364" spans="1:10">
      <c r="A364" s="53">
        <v>4</v>
      </c>
      <c r="B364" s="49" t="s">
        <v>3065</v>
      </c>
      <c r="C364" s="46" t="s">
        <v>3061</v>
      </c>
      <c r="D364" s="48" t="s">
        <v>2520</v>
      </c>
    </row>
    <row r="365" spans="1:10">
      <c r="A365" s="53">
        <v>5</v>
      </c>
      <c r="B365" s="49" t="s">
        <v>3066</v>
      </c>
      <c r="C365" s="46" t="s">
        <v>3061</v>
      </c>
      <c r="D365" s="48" t="s">
        <v>2520</v>
      </c>
    </row>
    <row r="366" ht="25.5" spans="1:10">
      <c r="A366" s="53">
        <v>6</v>
      </c>
      <c r="B366" s="49" t="s">
        <v>3067</v>
      </c>
      <c r="C366" s="46" t="s">
        <v>3061</v>
      </c>
      <c r="D366" s="48" t="s">
        <v>3068</v>
      </c>
    </row>
    <row r="367" ht="25.5" spans="1:10">
      <c r="A367" s="53">
        <v>7</v>
      </c>
      <c r="B367" s="49" t="s">
        <v>2655</v>
      </c>
      <c r="C367" s="46" t="s">
        <v>3061</v>
      </c>
      <c r="D367" s="48" t="s">
        <v>3064</v>
      </c>
    </row>
    <row r="368" spans="1:10">
      <c r="A368" s="53">
        <v>8</v>
      </c>
      <c r="B368" s="49" t="s">
        <v>2654</v>
      </c>
      <c r="C368" s="46" t="s">
        <v>3061</v>
      </c>
      <c r="D368" s="48" t="s">
        <v>2523</v>
      </c>
    </row>
    <row r="369" ht="25.5" spans="1:5">
      <c r="A369" s="53">
        <v>9</v>
      </c>
      <c r="B369" s="49" t="s">
        <v>2690</v>
      </c>
      <c r="C369" s="46" t="s">
        <v>3061</v>
      </c>
      <c r="D369" s="48" t="s">
        <v>3069</v>
      </c>
    </row>
    <row r="370" spans="1:5">
      <c r="A370" s="53">
        <v>10</v>
      </c>
      <c r="B370" s="49" t="s">
        <v>3070</v>
      </c>
      <c r="C370" s="46" t="s">
        <v>3061</v>
      </c>
      <c r="D370" s="48" t="s">
        <v>2520</v>
      </c>
    </row>
    <row r="371" spans="1:5">
      <c r="A371" s="53">
        <v>11</v>
      </c>
      <c r="B371" s="49" t="s">
        <v>3071</v>
      </c>
      <c r="C371" s="46" t="s">
        <v>3061</v>
      </c>
      <c r="D371" s="48" t="s">
        <v>2524</v>
      </c>
    </row>
    <row r="372" spans="1:5">
      <c r="A372" s="53">
        <v>12</v>
      </c>
      <c r="B372" s="49" t="s">
        <v>3072</v>
      </c>
      <c r="C372" s="46" t="s">
        <v>3061</v>
      </c>
      <c r="D372" s="48" t="s">
        <v>2522</v>
      </c>
    </row>
    <row r="373" ht="25.5" spans="1:5">
      <c r="A373" s="53">
        <v>13</v>
      </c>
      <c r="B373" s="49" t="s">
        <v>3073</v>
      </c>
      <c r="C373" s="46" t="s">
        <v>3061</v>
      </c>
      <c r="D373" s="48" t="s">
        <v>3062</v>
      </c>
    </row>
    <row r="374" spans="1:5">
      <c r="A374" s="53">
        <v>14</v>
      </c>
      <c r="B374" s="49" t="s">
        <v>3074</v>
      </c>
      <c r="C374" s="46" t="s">
        <v>3061</v>
      </c>
      <c r="D374" s="48" t="s">
        <v>2524</v>
      </c>
    </row>
    <row r="375" ht="25.5" spans="1:5">
      <c r="A375" s="53">
        <v>15</v>
      </c>
      <c r="B375" s="49" t="s">
        <v>3075</v>
      </c>
      <c r="C375" s="46" t="s">
        <v>3061</v>
      </c>
      <c r="D375" s="48" t="s">
        <v>3062</v>
      </c>
    </row>
    <row r="376" spans="1:5">
      <c r="A376" s="53">
        <v>16</v>
      </c>
      <c r="B376" s="49" t="s">
        <v>3076</v>
      </c>
      <c r="C376" s="46" t="s">
        <v>3061</v>
      </c>
      <c r="D376" s="48" t="s">
        <v>2523</v>
      </c>
    </row>
    <row r="377" spans="1:5">
      <c r="A377" s="53">
        <v>17</v>
      </c>
      <c r="B377" s="49" t="s">
        <v>3077</v>
      </c>
      <c r="C377" s="46" t="s">
        <v>3061</v>
      </c>
      <c r="D377" s="48" t="s">
        <v>2520</v>
      </c>
    </row>
    <row r="378" ht="25.5" spans="1:5">
      <c r="A378" s="53">
        <v>18</v>
      </c>
      <c r="B378" s="49" t="s">
        <v>2715</v>
      </c>
      <c r="C378" s="46" t="s">
        <v>3061</v>
      </c>
      <c r="D378" s="48" t="s">
        <v>3078</v>
      </c>
    </row>
    <row r="380" spans="1:5">
      <c r="A380" s="49" t="s">
        <v>3079</v>
      </c>
      <c r="B380" s="48" t="s">
        <v>3080</v>
      </c>
      <c r="C380" s="54"/>
      <c r="D380" s="54"/>
      <c r="E380" s="55"/>
    </row>
  </sheetData>
  <mergeCells count="20">
    <mergeCell ref="A1:AD1"/>
    <mergeCell ref="A2:AD2"/>
    <mergeCell ref="A4:AD4"/>
    <mergeCell ref="A49:AD49"/>
    <mergeCell ref="A94:AD94"/>
    <mergeCell ref="A102:AD102"/>
    <mergeCell ref="A168:AD168"/>
    <mergeCell ref="A183:AD183"/>
    <mergeCell ref="A200:AD200"/>
    <mergeCell ref="A213:AD213"/>
    <mergeCell ref="A224:AD224"/>
    <mergeCell ref="A235:AD235"/>
    <mergeCell ref="A248:AD248"/>
    <mergeCell ref="A281:AD281"/>
    <mergeCell ref="C312:E312"/>
    <mergeCell ref="A314:AD314"/>
    <mergeCell ref="A338:AD338"/>
    <mergeCell ref="A347:AD347"/>
    <mergeCell ref="A359:AD359"/>
    <mergeCell ref="B380:E380"/>
  </mergeCells>
  <pageMargins left="0.7" right="0.7" top="0.75" bottom="0.75" header="0.3" footer="0.3"/>
  <pageSetup paperSize="1" orientation="portrait"/>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9"/>
  <sheetViews>
    <sheetView workbookViewId="0">
      <pane ySplit="3" topLeftCell="A4" activePane="bottomLeft" state="frozen"/>
      <selection/>
      <selection pane="bottomLeft" activeCell="A1" sqref="A1:C1"/>
    </sheetView>
  </sheetViews>
  <sheetFormatPr defaultColWidth="9" defaultRowHeight="15" outlineLevelCol="2"/>
  <cols>
    <col min="1" max="1" width="34" customWidth="1"/>
    <col min="2" max="2" width="76" customWidth="1"/>
    <col min="3" max="3" width="46" customWidth="1"/>
  </cols>
  <sheetData>
    <row r="1" ht="24" customHeight="1" spans="1:3">
      <c r="A1" s="3" t="s">
        <v>3081</v>
      </c>
    </row>
    <row r="2" ht="30" customHeight="1" spans="1:3">
      <c r="A2" s="4" t="s">
        <v>3082</v>
      </c>
    </row>
    <row r="4" ht="18" customHeight="1" spans="1:3">
      <c r="A4" s="23" t="s">
        <v>3083</v>
      </c>
    </row>
    <row r="5" ht="26" customHeight="1" spans="1:3">
      <c r="A5" s="37" t="s">
        <v>3084</v>
      </c>
      <c r="B5" s="26" t="s">
        <v>3085</v>
      </c>
      <c r="C5" s="29"/>
    </row>
    <row r="6" ht="52" customHeight="1" spans="1:3">
      <c r="A6" s="37" t="s">
        <v>3086</v>
      </c>
      <c r="B6" s="26" t="s">
        <v>3087</v>
      </c>
      <c r="C6" s="29"/>
    </row>
    <row r="7" ht="65" customHeight="1" spans="1:3">
      <c r="A7" s="37" t="s">
        <v>3088</v>
      </c>
      <c r="B7" s="26" t="s">
        <v>3089</v>
      </c>
      <c r="C7" s="29"/>
    </row>
    <row r="8" ht="18" customHeight="1" spans="1:3">
      <c r="A8" s="23" t="s">
        <v>3090</v>
      </c>
    </row>
    <row r="9" ht="26" customHeight="1" spans="1:3">
      <c r="A9" s="37" t="s">
        <v>3091</v>
      </c>
      <c r="B9" s="26" t="s">
        <v>3092</v>
      </c>
      <c r="C9" s="29"/>
    </row>
    <row r="10" ht="39" customHeight="1" spans="1:3">
      <c r="A10" s="37" t="s">
        <v>3093</v>
      </c>
      <c r="B10" s="26" t="s">
        <v>3094</v>
      </c>
      <c r="C10" s="29"/>
    </row>
    <row r="11" ht="39" customHeight="1" spans="1:3">
      <c r="A11" s="37" t="s">
        <v>3095</v>
      </c>
      <c r="B11" s="26" t="s">
        <v>3096</v>
      </c>
      <c r="C11" s="29"/>
    </row>
    <row r="12" ht="18" customHeight="1" spans="1:3">
      <c r="A12" s="23" t="s">
        <v>3097</v>
      </c>
    </row>
    <row r="13" ht="65" customHeight="1" spans="1:3">
      <c r="A13" s="37" t="s">
        <v>3098</v>
      </c>
      <c r="B13" s="26" t="s">
        <v>3099</v>
      </c>
      <c r="C13" s="29"/>
    </row>
    <row r="14" ht="52" customHeight="1" spans="1:3">
      <c r="A14" s="37" t="s">
        <v>3100</v>
      </c>
      <c r="B14" s="26" t="s">
        <v>3101</v>
      </c>
      <c r="C14" s="29"/>
    </row>
    <row r="15" ht="65" customHeight="1" spans="1:3">
      <c r="A15" s="37" t="s">
        <v>3102</v>
      </c>
      <c r="B15" s="26" t="s">
        <v>3103</v>
      </c>
      <c r="C15" s="29"/>
    </row>
    <row r="16" ht="39" customHeight="1" spans="1:3">
      <c r="A16" s="37" t="s">
        <v>3104</v>
      </c>
      <c r="B16" s="26" t="s">
        <v>3105</v>
      </c>
      <c r="C16" s="29"/>
    </row>
    <row r="17" ht="18" customHeight="1" spans="1:3">
      <c r="A17" s="23" t="s">
        <v>3106</v>
      </c>
    </row>
    <row r="18" ht="20" customHeight="1" spans="1:3">
      <c r="A18" s="5" t="s">
        <v>2270</v>
      </c>
      <c r="B18" s="5" t="s">
        <v>2271</v>
      </c>
      <c r="C18" s="5" t="s">
        <v>29</v>
      </c>
    </row>
    <row r="19" spans="1:3">
      <c r="A19" s="7" t="s">
        <v>3107</v>
      </c>
      <c r="B19" s="9" t="s">
        <v>3108</v>
      </c>
      <c r="C19" s="29"/>
    </row>
    <row r="20" spans="1:3">
      <c r="A20" s="7" t="s">
        <v>3109</v>
      </c>
      <c r="B20" s="9" t="s">
        <v>3110</v>
      </c>
      <c r="C20" s="29"/>
    </row>
    <row r="21" spans="1:3">
      <c r="A21" s="7" t="s">
        <v>3111</v>
      </c>
      <c r="B21" s="9" t="s">
        <v>3112</v>
      </c>
      <c r="C21" s="29"/>
    </row>
    <row r="22" spans="1:3">
      <c r="A22" s="7" t="s">
        <v>3113</v>
      </c>
      <c r="B22" s="9" t="s">
        <v>3114</v>
      </c>
      <c r="C22" s="29"/>
    </row>
    <row r="23" spans="1:3">
      <c r="A23" s="7" t="s">
        <v>3115</v>
      </c>
      <c r="B23" s="9" t="s">
        <v>3116</v>
      </c>
      <c r="C23" s="29"/>
    </row>
    <row r="24" spans="1:3">
      <c r="A24" s="7" t="s">
        <v>3117</v>
      </c>
      <c r="B24" s="9" t="s">
        <v>3118</v>
      </c>
      <c r="C24" s="29"/>
    </row>
    <row r="25" spans="1:3">
      <c r="A25" s="7" t="s">
        <v>3119</v>
      </c>
      <c r="B25" s="9" t="s">
        <v>3120</v>
      </c>
      <c r="C25" s="29"/>
    </row>
    <row r="26" spans="1:3">
      <c r="A26" s="7" t="s">
        <v>3121</v>
      </c>
      <c r="B26" s="9" t="s">
        <v>3122</v>
      </c>
      <c r="C26" s="29"/>
    </row>
    <row r="27" spans="1:3">
      <c r="A27" s="7" t="s">
        <v>2291</v>
      </c>
      <c r="B27" s="9" t="s">
        <v>3123</v>
      </c>
      <c r="C27" s="29"/>
    </row>
    <row r="28" ht="18" customHeight="1" spans="1:3">
      <c r="A28" s="23" t="s">
        <v>3124</v>
      </c>
    </row>
    <row r="29" ht="26" customHeight="1" spans="1:3">
      <c r="A29" s="37" t="s">
        <v>2296</v>
      </c>
      <c r="B29" s="26" t="s">
        <v>3125</v>
      </c>
      <c r="C29" s="29"/>
    </row>
  </sheetData>
  <mergeCells count="27">
    <mergeCell ref="A1:C1"/>
    <mergeCell ref="A2:C2"/>
    <mergeCell ref="A4:C4"/>
    <mergeCell ref="B5:C5"/>
    <mergeCell ref="B6:C6"/>
    <mergeCell ref="B7:C7"/>
    <mergeCell ref="A8:C8"/>
    <mergeCell ref="B9:C9"/>
    <mergeCell ref="B10:C10"/>
    <mergeCell ref="B11:C11"/>
    <mergeCell ref="A12:C12"/>
    <mergeCell ref="B13:C13"/>
    <mergeCell ref="B14:C14"/>
    <mergeCell ref="B15:C15"/>
    <mergeCell ref="B16:C16"/>
    <mergeCell ref="A17:C17"/>
    <mergeCell ref="B19:C19"/>
    <mergeCell ref="B20:C20"/>
    <mergeCell ref="B21:C21"/>
    <mergeCell ref="B22:C22"/>
    <mergeCell ref="B23:C23"/>
    <mergeCell ref="B24:C24"/>
    <mergeCell ref="B25:C25"/>
    <mergeCell ref="B26:C26"/>
    <mergeCell ref="B27:C27"/>
    <mergeCell ref="A28:C28"/>
    <mergeCell ref="B29:C29"/>
  </mergeCells>
  <pageMargins left="0.7" right="0.7" top="0.75" bottom="0.75" header="0.3" footer="0.3"/>
  <pageSetup paperSize="1" orientation="portrait"/>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1"/>
  <sheetViews>
    <sheetView workbookViewId="0">
      <pane ySplit="4" topLeftCell="A5" activePane="bottomLeft" state="frozen"/>
      <selection/>
      <selection pane="bottomLeft" activeCell="A1" sqref="A1:E1"/>
    </sheetView>
  </sheetViews>
  <sheetFormatPr defaultColWidth="9" defaultRowHeight="15" outlineLevelCol="4"/>
  <cols>
    <col min="1" max="1" width="44" customWidth="1"/>
    <col min="2" max="2" width="20" customWidth="1"/>
    <col min="3" max="3" width="18" customWidth="1"/>
    <col min="4" max="4" width="20" customWidth="1"/>
    <col min="5" max="5" width="74" customWidth="1"/>
  </cols>
  <sheetData>
    <row r="1" ht="24" customHeight="1" spans="1:5">
      <c r="A1" s="3" t="s">
        <v>3126</v>
      </c>
    </row>
    <row r="2" ht="30" customHeight="1" spans="1:5">
      <c r="A2" s="4" t="s">
        <v>3127</v>
      </c>
    </row>
    <row r="4" ht="18" customHeight="1" spans="1:5">
      <c r="A4" s="23" t="s">
        <v>3128</v>
      </c>
    </row>
    <row r="5" ht="26" customHeight="1" spans="1:5">
      <c r="A5" s="5" t="s">
        <v>3129</v>
      </c>
      <c r="B5" s="5" t="s">
        <v>3130</v>
      </c>
      <c r="C5" s="5" t="s">
        <v>3131</v>
      </c>
      <c r="D5" s="5" t="s">
        <v>3132</v>
      </c>
      <c r="E5" s="5" t="s">
        <v>3133</v>
      </c>
    </row>
    <row r="6" ht="24" customHeight="1" spans="1:5">
      <c r="A6" s="7" t="s">
        <v>450</v>
      </c>
      <c r="B6" s="34">
        <v>6991</v>
      </c>
      <c r="C6" s="35">
        <f t="shared" ref="C6:C15" si="0">B6/6991</f>
        <v>1</v>
      </c>
      <c r="D6" s="9" t="s">
        <v>3134</v>
      </c>
      <c r="E6" s="9" t="s">
        <v>827</v>
      </c>
    </row>
    <row r="7" ht="24" customHeight="1" spans="1:5">
      <c r="A7" s="7" t="s">
        <v>3135</v>
      </c>
      <c r="B7" s="34">
        <v>3888</v>
      </c>
      <c r="C7" s="35">
        <f t="shared" si="0"/>
        <v>0.556143613216993</v>
      </c>
      <c r="D7" s="9" t="s">
        <v>3136</v>
      </c>
      <c r="E7" s="9" t="s">
        <v>3137</v>
      </c>
    </row>
    <row r="8" ht="15.75" spans="1:5">
      <c r="A8" s="19" t="s">
        <v>3138</v>
      </c>
      <c r="B8" s="34">
        <v>3847</v>
      </c>
      <c r="C8" s="35">
        <f t="shared" si="0"/>
        <v>0.550278930052925</v>
      </c>
      <c r="D8" s="9" t="s">
        <v>3139</v>
      </c>
      <c r="E8" s="9" t="s">
        <v>827</v>
      </c>
    </row>
    <row r="9" ht="24" customHeight="1" spans="1:5">
      <c r="A9" s="7" t="s">
        <v>3140</v>
      </c>
      <c r="B9" s="34">
        <v>1728</v>
      </c>
      <c r="C9" s="35">
        <f t="shared" si="0"/>
        <v>0.247174939207553</v>
      </c>
      <c r="D9" s="9" t="s">
        <v>3141</v>
      </c>
      <c r="E9" s="9" t="s">
        <v>3142</v>
      </c>
    </row>
    <row r="10" ht="24" customHeight="1" spans="1:5">
      <c r="A10" s="7" t="s">
        <v>3143</v>
      </c>
      <c r="B10" s="34">
        <v>20</v>
      </c>
      <c r="C10" s="35">
        <f t="shared" si="0"/>
        <v>0.00286082105564297</v>
      </c>
      <c r="D10" s="9" t="s">
        <v>3144</v>
      </c>
      <c r="E10" s="9" t="s">
        <v>3145</v>
      </c>
    </row>
    <row r="11" ht="24" customHeight="1" spans="1:5">
      <c r="A11" s="7" t="s">
        <v>3146</v>
      </c>
      <c r="B11" s="34">
        <v>24</v>
      </c>
      <c r="C11" s="35">
        <f t="shared" si="0"/>
        <v>0.00343298526677156</v>
      </c>
      <c r="D11" s="9" t="s">
        <v>3147</v>
      </c>
      <c r="E11" s="9" t="s">
        <v>3148</v>
      </c>
    </row>
    <row r="12" ht="24" customHeight="1" spans="1:5">
      <c r="A12" s="7" t="s">
        <v>3149</v>
      </c>
      <c r="B12" s="34">
        <v>24</v>
      </c>
      <c r="C12" s="35">
        <f t="shared" si="0"/>
        <v>0.00343298526677156</v>
      </c>
      <c r="D12" s="9" t="s">
        <v>3150</v>
      </c>
      <c r="E12" s="9" t="s">
        <v>3151</v>
      </c>
    </row>
    <row r="13" ht="24" customHeight="1" spans="1:5">
      <c r="A13" s="7" t="s">
        <v>3152</v>
      </c>
      <c r="B13" s="34">
        <v>50</v>
      </c>
      <c r="C13" s="35">
        <f t="shared" si="0"/>
        <v>0.00715205263910742</v>
      </c>
      <c r="D13" s="9" t="s">
        <v>3153</v>
      </c>
      <c r="E13" s="9" t="s">
        <v>3154</v>
      </c>
    </row>
    <row r="14" ht="15.75" spans="1:5">
      <c r="A14" s="7" t="s">
        <v>3155</v>
      </c>
      <c r="B14" s="34">
        <v>897</v>
      </c>
      <c r="C14" s="35">
        <f t="shared" si="0"/>
        <v>0.128307824345587</v>
      </c>
      <c r="D14" s="9" t="s">
        <v>753</v>
      </c>
      <c r="E14" s="9" t="s">
        <v>3156</v>
      </c>
    </row>
    <row r="15" ht="30" spans="1:5">
      <c r="A15" s="7" t="s">
        <v>3157</v>
      </c>
      <c r="B15" s="34">
        <v>559</v>
      </c>
      <c r="C15" s="35">
        <f t="shared" si="0"/>
        <v>0.079959948505221</v>
      </c>
      <c r="D15" s="9" t="s">
        <v>3158</v>
      </c>
      <c r="E15" s="9" t="s">
        <v>3159</v>
      </c>
    </row>
    <row r="17" ht="18" customHeight="1" spans="1:5">
      <c r="A17" s="23" t="s">
        <v>3160</v>
      </c>
    </row>
    <row r="18" ht="22" customHeight="1" spans="1:5">
      <c r="A18" s="5" t="s">
        <v>3161</v>
      </c>
      <c r="B18" s="5" t="s">
        <v>750</v>
      </c>
      <c r="C18" s="5" t="s">
        <v>3162</v>
      </c>
      <c r="D18" s="5" t="s">
        <v>3163</v>
      </c>
      <c r="E18" s="5" t="s">
        <v>3164</v>
      </c>
    </row>
    <row r="19" ht="26" customHeight="1" spans="1:5">
      <c r="A19" s="7" t="s">
        <v>3165</v>
      </c>
      <c r="B19" s="19" t="s">
        <v>2521</v>
      </c>
      <c r="C19" s="7" t="s">
        <v>244</v>
      </c>
      <c r="D19" s="36">
        <v>1243</v>
      </c>
      <c r="E19" s="9" t="s">
        <v>3166</v>
      </c>
    </row>
    <row r="20" ht="26" customHeight="1" spans="1:5">
      <c r="A20" s="7" t="s">
        <v>3167</v>
      </c>
      <c r="B20" s="19" t="s">
        <v>2522</v>
      </c>
      <c r="C20" s="7" t="s">
        <v>245</v>
      </c>
      <c r="D20" s="36">
        <v>5115</v>
      </c>
      <c r="E20" s="9" t="s">
        <v>3168</v>
      </c>
    </row>
    <row r="21" ht="26" customHeight="1" spans="1:5">
      <c r="A21" s="7" t="s">
        <v>3169</v>
      </c>
      <c r="B21" s="19" t="s">
        <v>2520</v>
      </c>
      <c r="C21" s="7" t="s">
        <v>243</v>
      </c>
      <c r="D21" s="36">
        <v>687</v>
      </c>
      <c r="E21" s="9" t="s">
        <v>3170</v>
      </c>
    </row>
  </sheetData>
  <mergeCells count="4">
    <mergeCell ref="A1:E1"/>
    <mergeCell ref="A2:E2"/>
    <mergeCell ref="A4:E4"/>
    <mergeCell ref="A17:E17"/>
  </mergeCells>
  <pageMargins left="0.7" right="0.7" top="0.75" bottom="0.75" header="0.3" footer="0.3"/>
  <pageSetup paperSize="1" orientation="portrait"/>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7"/>
  <sheetViews>
    <sheetView workbookViewId="0">
      <pane ySplit="3" topLeftCell="A4" activePane="bottomLeft" state="frozen"/>
      <selection/>
      <selection pane="bottomLeft" activeCell="A1" sqref="A1:D1"/>
    </sheetView>
  </sheetViews>
  <sheetFormatPr defaultColWidth="9" defaultRowHeight="15" outlineLevelCol="3"/>
  <cols>
    <col min="1" max="1" width="26" customWidth="1"/>
    <col min="2" max="2" width="52" customWidth="1"/>
    <col min="3" max="3" width="56" customWidth="1"/>
    <col min="4" max="4" width="30" customWidth="1"/>
  </cols>
  <sheetData>
    <row r="1" ht="24" customHeight="1" spans="1:4">
      <c r="A1" s="3" t="s">
        <v>3171</v>
      </c>
    </row>
    <row r="2" ht="30" customHeight="1" spans="1:4">
      <c r="A2" s="4" t="s">
        <v>3172</v>
      </c>
    </row>
    <row r="4" ht="18" customHeight="1" spans="1:4">
      <c r="A4" s="23" t="s">
        <v>3173</v>
      </c>
    </row>
    <row r="5" ht="34" customHeight="1" spans="1:4">
      <c r="A5" s="7" t="s">
        <v>3174</v>
      </c>
      <c r="B5" s="9" t="s">
        <v>3175</v>
      </c>
      <c r="C5" s="28"/>
      <c r="D5" s="29"/>
    </row>
    <row r="6" ht="20" customHeight="1" spans="1:4">
      <c r="A6" s="5" t="s">
        <v>3176</v>
      </c>
      <c r="B6" s="5" t="s">
        <v>27</v>
      </c>
      <c r="C6" s="5" t="s">
        <v>2519</v>
      </c>
      <c r="D6" s="5" t="s">
        <v>3177</v>
      </c>
    </row>
    <row r="7" ht="15.75" spans="1:4">
      <c r="A7" s="7" t="s">
        <v>390</v>
      </c>
      <c r="B7" s="19" t="s">
        <v>3178</v>
      </c>
      <c r="C7" s="10" t="s">
        <v>850</v>
      </c>
      <c r="D7" s="10" t="s">
        <v>825</v>
      </c>
    </row>
    <row r="8" ht="15.75" spans="1:4">
      <c r="A8" s="7" t="s">
        <v>3179</v>
      </c>
      <c r="B8" s="19" t="s">
        <v>3180</v>
      </c>
      <c r="C8" s="10" t="s">
        <v>866</v>
      </c>
      <c r="D8" s="10" t="s">
        <v>825</v>
      </c>
    </row>
    <row r="9" ht="15.75" spans="1:4">
      <c r="A9" s="7" t="s">
        <v>3181</v>
      </c>
      <c r="B9" s="19" t="s">
        <v>3182</v>
      </c>
      <c r="C9" s="10" t="s">
        <v>3183</v>
      </c>
      <c r="D9" s="10" t="s">
        <v>825</v>
      </c>
    </row>
    <row r="10" ht="15.75" spans="1:4">
      <c r="A10" s="7" t="s">
        <v>3162</v>
      </c>
      <c r="B10" s="19" t="s">
        <v>244</v>
      </c>
      <c r="C10" s="10" t="s">
        <v>3184</v>
      </c>
      <c r="D10" s="10" t="s">
        <v>3185</v>
      </c>
    </row>
    <row r="11" ht="15.75" spans="1:4">
      <c r="A11" s="7" t="s">
        <v>3186</v>
      </c>
      <c r="B11" s="19" t="s">
        <v>174</v>
      </c>
      <c r="C11" s="10" t="s">
        <v>3187</v>
      </c>
      <c r="D11" s="10" t="s">
        <v>842</v>
      </c>
    </row>
    <row r="12" ht="31.5" spans="1:4">
      <c r="A12" s="7" t="s">
        <v>3188</v>
      </c>
      <c r="B12" s="33" t="s">
        <v>2546</v>
      </c>
      <c r="C12" s="10" t="s">
        <v>2544</v>
      </c>
    </row>
    <row r="13" ht="15.75" spans="1:4">
      <c r="A13" s="7" t="s">
        <v>3149</v>
      </c>
      <c r="B13" s="33" t="s">
        <v>2564</v>
      </c>
      <c r="C13" s="10" t="s">
        <v>3189</v>
      </c>
    </row>
    <row r="16" ht="18" customHeight="1" spans="1:4">
      <c r="A16" s="23" t="s">
        <v>3190</v>
      </c>
    </row>
    <row r="17" ht="34" customHeight="1" spans="1:4">
      <c r="A17" s="7" t="s">
        <v>3174</v>
      </c>
      <c r="B17" s="9" t="s">
        <v>3191</v>
      </c>
      <c r="C17" s="28"/>
      <c r="D17" s="29"/>
    </row>
    <row r="18" ht="20" customHeight="1" spans="1:4">
      <c r="A18" s="5" t="s">
        <v>3176</v>
      </c>
      <c r="B18" s="5" t="s">
        <v>27</v>
      </c>
      <c r="C18" s="5" t="s">
        <v>2519</v>
      </c>
      <c r="D18" s="5" t="s">
        <v>3177</v>
      </c>
    </row>
    <row r="19" ht="15.75" spans="1:4">
      <c r="A19" s="7" t="s">
        <v>390</v>
      </c>
      <c r="B19" s="19" t="s">
        <v>3192</v>
      </c>
      <c r="C19" s="10" t="s">
        <v>850</v>
      </c>
      <c r="D19" s="10" t="s">
        <v>825</v>
      </c>
    </row>
    <row r="20" ht="15.75" spans="1:4">
      <c r="A20" s="7" t="s">
        <v>3179</v>
      </c>
      <c r="B20" s="19" t="s">
        <v>3180</v>
      </c>
      <c r="C20" s="10" t="s">
        <v>866</v>
      </c>
      <c r="D20" s="10" t="s">
        <v>825</v>
      </c>
    </row>
    <row r="21" ht="15.75" spans="1:4">
      <c r="A21" s="7" t="s">
        <v>3181</v>
      </c>
      <c r="B21" s="19" t="s">
        <v>3193</v>
      </c>
      <c r="C21" s="10" t="s">
        <v>3183</v>
      </c>
      <c r="D21" s="10" t="s">
        <v>825</v>
      </c>
    </row>
    <row r="22" ht="15.75" spans="1:4">
      <c r="A22" s="7" t="s">
        <v>3162</v>
      </c>
      <c r="B22" s="19" t="s">
        <v>245</v>
      </c>
      <c r="C22" s="10" t="s">
        <v>3184</v>
      </c>
      <c r="D22" s="10" t="s">
        <v>3185</v>
      </c>
    </row>
    <row r="23" ht="15.75" spans="1:4">
      <c r="A23" s="7" t="s">
        <v>3186</v>
      </c>
      <c r="B23" s="19" t="s">
        <v>175</v>
      </c>
      <c r="C23" s="10" t="s">
        <v>3187</v>
      </c>
      <c r="D23" s="10" t="s">
        <v>842</v>
      </c>
    </row>
    <row r="24" ht="15.75" spans="1:4">
      <c r="A24" s="7" t="s">
        <v>3188</v>
      </c>
      <c r="B24" s="33" t="s">
        <v>2547</v>
      </c>
      <c r="C24" s="10" t="s">
        <v>2544</v>
      </c>
    </row>
    <row r="25" ht="15.75" spans="1:4">
      <c r="A25" s="7" t="s">
        <v>3149</v>
      </c>
      <c r="B25" s="33" t="s">
        <v>2565</v>
      </c>
      <c r="C25" s="10" t="s">
        <v>3189</v>
      </c>
    </row>
    <row r="28" ht="18" customHeight="1" spans="1:4">
      <c r="A28" s="23" t="s">
        <v>3194</v>
      </c>
    </row>
    <row r="29" ht="34" customHeight="1" spans="1:4">
      <c r="A29" s="7" t="s">
        <v>3174</v>
      </c>
      <c r="B29" s="9" t="s">
        <v>3195</v>
      </c>
      <c r="C29" s="28"/>
      <c r="D29" s="29"/>
    </row>
    <row r="30" ht="20" customHeight="1" spans="1:4">
      <c r="A30" s="5" t="s">
        <v>3176</v>
      </c>
      <c r="B30" s="5" t="s">
        <v>27</v>
      </c>
      <c r="C30" s="5" t="s">
        <v>2519</v>
      </c>
      <c r="D30" s="5" t="s">
        <v>3177</v>
      </c>
    </row>
    <row r="31" ht="15.75" spans="1:4">
      <c r="A31" s="7" t="s">
        <v>390</v>
      </c>
      <c r="B31" s="19" t="s">
        <v>3192</v>
      </c>
      <c r="C31" s="10" t="s">
        <v>850</v>
      </c>
      <c r="D31" s="10" t="s">
        <v>825</v>
      </c>
    </row>
    <row r="32" ht="15.75" spans="1:4">
      <c r="A32" s="7" t="s">
        <v>3179</v>
      </c>
      <c r="B32" s="19" t="s">
        <v>3196</v>
      </c>
      <c r="C32" s="10" t="s">
        <v>866</v>
      </c>
      <c r="D32" s="10" t="s">
        <v>825</v>
      </c>
    </row>
    <row r="33" ht="15.75" spans="1:4">
      <c r="A33" s="7" t="s">
        <v>3197</v>
      </c>
      <c r="B33" s="19" t="s">
        <v>3198</v>
      </c>
      <c r="C33" s="10" t="s">
        <v>919</v>
      </c>
      <c r="D33" s="10" t="s">
        <v>825</v>
      </c>
    </row>
    <row r="34" ht="15.75" spans="1:4">
      <c r="A34" s="7" t="s">
        <v>3162</v>
      </c>
      <c r="B34" s="19" t="s">
        <v>243</v>
      </c>
      <c r="C34" s="10" t="s">
        <v>3184</v>
      </c>
      <c r="D34" s="10" t="s">
        <v>3185</v>
      </c>
    </row>
    <row r="35" ht="15.75" spans="1:4">
      <c r="A35" s="7" t="s">
        <v>3186</v>
      </c>
      <c r="B35" s="19" t="s">
        <v>175</v>
      </c>
      <c r="C35" s="10" t="s">
        <v>3187</v>
      </c>
      <c r="D35" s="10" t="s">
        <v>842</v>
      </c>
    </row>
    <row r="36" ht="31.5" spans="1:4">
      <c r="A36" s="7" t="s">
        <v>3188</v>
      </c>
      <c r="B36" s="33" t="s">
        <v>2545</v>
      </c>
      <c r="C36" s="10" t="s">
        <v>2544</v>
      </c>
    </row>
    <row r="37" ht="15.75" spans="1:4">
      <c r="A37" s="7" t="s">
        <v>3149</v>
      </c>
      <c r="B37" s="33" t="s">
        <v>2563</v>
      </c>
      <c r="C37" s="10" t="s">
        <v>3189</v>
      </c>
    </row>
  </sheetData>
  <mergeCells count="8">
    <mergeCell ref="A1:D1"/>
    <mergeCell ref="A2:D2"/>
    <mergeCell ref="A4:D4"/>
    <mergeCell ref="B5:D5"/>
    <mergeCell ref="A16:D16"/>
    <mergeCell ref="B17:D17"/>
    <mergeCell ref="A28:D28"/>
    <mergeCell ref="B29:D29"/>
  </mergeCells>
  <pageMargins left="0.7" right="0.7" top="0.75" bottom="0.75" header="0.3" footer="0.3"/>
  <pageSetup paperSize="1" orientation="portrait"/>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5120"/>
  <sheetViews>
    <sheetView workbookViewId="0">
      <pane ySplit="5" topLeftCell="A6" activePane="bottomLeft" state="frozen"/>
      <selection/>
      <selection pane="bottomLeft" activeCell="A1" sqref="A1:O1"/>
    </sheetView>
  </sheetViews>
  <sheetFormatPr defaultColWidth="9" defaultRowHeight="15"/>
  <cols>
    <col min="1" max="1" width="24" customWidth="1"/>
    <col min="2" max="2" width="11" customWidth="1"/>
    <col min="3" max="3" width="13" customWidth="1"/>
    <col min="4" max="4" width="15" customWidth="1"/>
    <col min="5" max="5" width="3" customWidth="1"/>
    <col min="6" max="6" width="24" customWidth="1"/>
    <col min="7" max="7" width="11" customWidth="1"/>
    <col min="8" max="8" width="13" customWidth="1"/>
    <col min="9" max="9" width="15" customWidth="1"/>
    <col min="10" max="10" width="3" customWidth="1"/>
    <col min="11" max="11" width="24" customWidth="1"/>
    <col min="12" max="12" width="11" customWidth="1"/>
    <col min="13" max="13" width="13" customWidth="1"/>
    <col min="14" max="14" width="15" customWidth="1"/>
    <col min="15" max="15" width="3" customWidth="1"/>
  </cols>
  <sheetData>
    <row r="1" ht="24" customHeight="1" spans="1:14">
      <c r="A1" s="3" t="s">
        <v>3199</v>
      </c>
    </row>
    <row r="2" ht="30" customHeight="1" spans="1:14">
      <c r="A2" s="4" t="s">
        <v>3200</v>
      </c>
    </row>
    <row r="4" spans="1:14">
      <c r="A4" s="27" t="s">
        <v>3201</v>
      </c>
      <c r="B4" s="28"/>
      <c r="C4" s="28"/>
      <c r="D4" s="29"/>
      <c r="F4" s="27" t="s">
        <v>3202</v>
      </c>
      <c r="G4" s="28"/>
      <c r="H4" s="28"/>
      <c r="I4" s="29"/>
      <c r="K4" s="27" t="s">
        <v>3203</v>
      </c>
      <c r="L4" s="28"/>
      <c r="M4" s="28"/>
      <c r="N4" s="29"/>
    </row>
    <row r="5" ht="26" customHeight="1" spans="1:14">
      <c r="A5" s="5" t="s">
        <v>1031</v>
      </c>
      <c r="B5" s="5" t="s">
        <v>390</v>
      </c>
      <c r="C5" s="5" t="s">
        <v>450</v>
      </c>
      <c r="D5" s="5" t="s">
        <v>3091</v>
      </c>
      <c r="F5" s="5" t="s">
        <v>1031</v>
      </c>
      <c r="G5" s="5" t="s">
        <v>390</v>
      </c>
      <c r="H5" s="5" t="s">
        <v>450</v>
      </c>
      <c r="I5" s="5" t="s">
        <v>3091</v>
      </c>
      <c r="K5" s="5" t="s">
        <v>1031</v>
      </c>
      <c r="L5" s="5" t="s">
        <v>390</v>
      </c>
      <c r="M5" s="5" t="s">
        <v>450</v>
      </c>
      <c r="N5" s="5" t="s">
        <v>3091</v>
      </c>
    </row>
    <row r="6" ht="15.75" spans="1:14">
      <c r="A6" s="12" t="s">
        <v>3204</v>
      </c>
      <c r="B6" s="12" t="s">
        <v>391</v>
      </c>
      <c r="C6" s="15">
        <v>165218</v>
      </c>
      <c r="D6" s="13">
        <v>80</v>
      </c>
      <c r="F6" s="12" t="s">
        <v>3205</v>
      </c>
      <c r="G6" s="12" t="s">
        <v>392</v>
      </c>
      <c r="H6" s="15">
        <v>9900000</v>
      </c>
      <c r="I6" s="13">
        <v>80</v>
      </c>
      <c r="K6" s="12" t="s">
        <v>3206</v>
      </c>
      <c r="L6" s="12" t="s">
        <v>391</v>
      </c>
      <c r="M6" s="15">
        <v>236164</v>
      </c>
      <c r="N6" s="13">
        <v>67</v>
      </c>
    </row>
    <row r="7" ht="15.75" spans="1:14">
      <c r="A7" s="12" t="s">
        <v>3207</v>
      </c>
      <c r="B7" s="12" t="s">
        <v>391</v>
      </c>
      <c r="C7" s="15">
        <v>80404</v>
      </c>
      <c r="D7" s="13">
        <v>72</v>
      </c>
      <c r="F7" s="12" t="s">
        <v>2408</v>
      </c>
      <c r="G7" s="12" t="s">
        <v>391</v>
      </c>
      <c r="H7" s="15">
        <v>20046665</v>
      </c>
      <c r="I7" s="13">
        <v>69</v>
      </c>
      <c r="K7" s="12" t="s">
        <v>3208</v>
      </c>
      <c r="L7" s="12" t="s">
        <v>391</v>
      </c>
      <c r="M7" s="15">
        <v>116769</v>
      </c>
      <c r="N7" s="13">
        <v>67</v>
      </c>
    </row>
    <row r="8" ht="15.75" spans="1:14">
      <c r="A8" s="12" t="s">
        <v>3209</v>
      </c>
      <c r="B8" s="12" t="s">
        <v>391</v>
      </c>
      <c r="C8" s="15">
        <v>91319</v>
      </c>
      <c r="D8" s="13">
        <v>69</v>
      </c>
      <c r="F8" s="12" t="s">
        <v>3210</v>
      </c>
      <c r="G8" s="12" t="s">
        <v>392</v>
      </c>
      <c r="H8" s="15">
        <v>5600000</v>
      </c>
      <c r="I8" s="13">
        <v>68</v>
      </c>
      <c r="K8" s="12" t="s">
        <v>3211</v>
      </c>
      <c r="L8" s="12" t="s">
        <v>391</v>
      </c>
      <c r="M8" s="15">
        <v>143915</v>
      </c>
      <c r="N8" s="13">
        <v>67</v>
      </c>
    </row>
    <row r="9" ht="15.75" spans="1:14">
      <c r="A9" s="12" t="s">
        <v>3212</v>
      </c>
      <c r="B9" s="12" t="s">
        <v>391</v>
      </c>
      <c r="C9" s="15">
        <v>122110</v>
      </c>
      <c r="D9" s="13">
        <v>67</v>
      </c>
      <c r="F9" s="12" t="s">
        <v>3213</v>
      </c>
      <c r="G9" s="12" t="s">
        <v>392</v>
      </c>
      <c r="H9" s="15">
        <v>307567</v>
      </c>
      <c r="I9" s="13">
        <v>68</v>
      </c>
      <c r="K9" s="12" t="s">
        <v>3214</v>
      </c>
      <c r="L9" s="12" t="s">
        <v>391</v>
      </c>
      <c r="M9" s="15">
        <v>2137780</v>
      </c>
      <c r="N9" s="13">
        <v>62</v>
      </c>
    </row>
    <row r="10" ht="15.75" spans="1:14">
      <c r="A10" s="12" t="s">
        <v>3215</v>
      </c>
      <c r="B10" s="12" t="s">
        <v>391</v>
      </c>
      <c r="C10" s="15">
        <v>102609</v>
      </c>
      <c r="D10" s="13">
        <v>67</v>
      </c>
      <c r="F10" s="12" t="s">
        <v>3216</v>
      </c>
      <c r="G10" s="12" t="s">
        <v>392</v>
      </c>
      <c r="H10" s="15">
        <v>6600000</v>
      </c>
      <c r="I10" s="13">
        <v>68</v>
      </c>
      <c r="K10" s="12" t="s">
        <v>3217</v>
      </c>
      <c r="L10" s="12" t="s">
        <v>391</v>
      </c>
      <c r="M10" s="15">
        <v>1132901</v>
      </c>
      <c r="N10" s="13">
        <v>61</v>
      </c>
    </row>
    <row r="11" ht="15.75" spans="1:14">
      <c r="A11" s="12" t="s">
        <v>3218</v>
      </c>
      <c r="B11" s="12" t="s">
        <v>391</v>
      </c>
      <c r="C11" s="15">
        <v>98222</v>
      </c>
      <c r="D11" s="13">
        <v>67</v>
      </c>
      <c r="F11" s="12" t="s">
        <v>3219</v>
      </c>
      <c r="G11" s="12" t="s">
        <v>392</v>
      </c>
      <c r="H11" s="15">
        <v>6685227</v>
      </c>
      <c r="I11" s="13">
        <v>68</v>
      </c>
      <c r="K11" s="12" t="s">
        <v>3220</v>
      </c>
      <c r="L11" s="12" t="s">
        <v>391</v>
      </c>
      <c r="M11" s="15">
        <v>805581</v>
      </c>
      <c r="N11" s="13">
        <v>59</v>
      </c>
    </row>
    <row r="12" ht="15.75" spans="1:14">
      <c r="A12" s="12" t="s">
        <v>3221</v>
      </c>
      <c r="B12" s="12" t="s">
        <v>391</v>
      </c>
      <c r="C12" s="15">
        <v>740575</v>
      </c>
      <c r="D12" s="13">
        <v>67</v>
      </c>
      <c r="F12" s="12" t="s">
        <v>3222</v>
      </c>
      <c r="G12" s="12" t="s">
        <v>391</v>
      </c>
      <c r="H12" s="15">
        <v>193274</v>
      </c>
      <c r="I12" s="13">
        <v>67</v>
      </c>
      <c r="K12" s="12" t="s">
        <v>3223</v>
      </c>
      <c r="L12" s="12" t="s">
        <v>391</v>
      </c>
      <c r="M12" s="15">
        <v>948683</v>
      </c>
      <c r="N12" s="13">
        <v>59</v>
      </c>
    </row>
    <row r="13" ht="15.75" spans="1:14">
      <c r="A13" s="12" t="s">
        <v>3224</v>
      </c>
      <c r="B13" s="12" t="s">
        <v>391</v>
      </c>
      <c r="C13" s="15">
        <v>324971</v>
      </c>
      <c r="D13" s="13">
        <v>67</v>
      </c>
      <c r="F13" s="12" t="s">
        <v>3206</v>
      </c>
      <c r="G13" s="12" t="s">
        <v>391</v>
      </c>
      <c r="H13" s="15">
        <v>236164</v>
      </c>
      <c r="I13" s="13">
        <v>67</v>
      </c>
      <c r="K13" s="12" t="s">
        <v>3225</v>
      </c>
      <c r="L13" s="12" t="s">
        <v>391</v>
      </c>
      <c r="M13" s="15">
        <v>343960</v>
      </c>
      <c r="N13" s="13">
        <v>59</v>
      </c>
    </row>
    <row r="14" ht="15.75" spans="1:14">
      <c r="A14" s="12" t="s">
        <v>3226</v>
      </c>
      <c r="B14" s="12" t="s">
        <v>391</v>
      </c>
      <c r="C14" s="15">
        <v>429570</v>
      </c>
      <c r="D14" s="13">
        <v>67</v>
      </c>
      <c r="F14" s="12" t="s">
        <v>3208</v>
      </c>
      <c r="G14" s="12" t="s">
        <v>391</v>
      </c>
      <c r="H14" s="15">
        <v>116769</v>
      </c>
      <c r="I14" s="13">
        <v>67</v>
      </c>
      <c r="K14" s="12" t="s">
        <v>3227</v>
      </c>
      <c r="L14" s="12" t="s">
        <v>391</v>
      </c>
      <c r="M14" s="15">
        <v>794018</v>
      </c>
      <c r="N14" s="13">
        <v>59</v>
      </c>
    </row>
    <row r="15" ht="15.75" spans="1:14">
      <c r="A15" s="12" t="s">
        <v>3228</v>
      </c>
      <c r="B15" s="12" t="s">
        <v>391</v>
      </c>
      <c r="C15" s="15">
        <v>299227</v>
      </c>
      <c r="D15" s="13">
        <v>67</v>
      </c>
      <c r="F15" s="12" t="s">
        <v>3229</v>
      </c>
      <c r="G15" s="12" t="s">
        <v>391</v>
      </c>
      <c r="H15" s="15">
        <v>729181</v>
      </c>
      <c r="I15" s="13">
        <v>67</v>
      </c>
      <c r="K15" s="12" t="s">
        <v>3230</v>
      </c>
      <c r="L15" s="12" t="s">
        <v>391</v>
      </c>
      <c r="M15" s="15">
        <v>209819</v>
      </c>
      <c r="N15" s="13">
        <v>56</v>
      </c>
    </row>
    <row r="16" ht="15.75" spans="1:14">
      <c r="A16" s="12" t="s">
        <v>3231</v>
      </c>
      <c r="B16" s="12" t="s">
        <v>391</v>
      </c>
      <c r="C16" s="15">
        <v>121140</v>
      </c>
      <c r="D16" s="13">
        <v>67</v>
      </c>
      <c r="F16" s="12" t="s">
        <v>3211</v>
      </c>
      <c r="G16" s="12" t="s">
        <v>391</v>
      </c>
      <c r="H16" s="15">
        <v>143915</v>
      </c>
      <c r="I16" s="13">
        <v>67</v>
      </c>
      <c r="K16" s="12" t="s">
        <v>3232</v>
      </c>
      <c r="L16" s="12" t="s">
        <v>392</v>
      </c>
      <c r="M16" s="15">
        <v>2100000</v>
      </c>
      <c r="N16" s="13">
        <v>56</v>
      </c>
    </row>
    <row r="17" ht="15.75" spans="1:14">
      <c r="A17" s="12" t="s">
        <v>3233</v>
      </c>
      <c r="B17" s="12" t="s">
        <v>391</v>
      </c>
      <c r="C17" s="15">
        <v>2011129</v>
      </c>
      <c r="D17" s="13">
        <v>67</v>
      </c>
      <c r="F17" s="12" t="s">
        <v>3234</v>
      </c>
      <c r="G17" s="12" t="s">
        <v>391</v>
      </c>
      <c r="H17" s="15">
        <v>102895</v>
      </c>
      <c r="I17" s="13">
        <v>64</v>
      </c>
      <c r="K17" s="12" t="s">
        <v>3235</v>
      </c>
      <c r="L17" s="12" t="s">
        <v>392</v>
      </c>
      <c r="M17" s="15">
        <v>4900000</v>
      </c>
      <c r="N17" s="13">
        <v>55</v>
      </c>
    </row>
    <row r="18" ht="15.75" spans="1:14">
      <c r="A18" s="12" t="s">
        <v>3236</v>
      </c>
      <c r="B18" s="12" t="s">
        <v>391</v>
      </c>
      <c r="C18" s="15">
        <v>82989</v>
      </c>
      <c r="D18" s="13">
        <v>67</v>
      </c>
      <c r="F18" s="12" t="s">
        <v>3237</v>
      </c>
      <c r="G18" s="12" t="s">
        <v>391</v>
      </c>
      <c r="H18" s="15">
        <v>636731</v>
      </c>
      <c r="I18" s="13">
        <v>64</v>
      </c>
      <c r="K18" s="12" t="s">
        <v>3238</v>
      </c>
      <c r="L18" s="12" t="s">
        <v>391</v>
      </c>
      <c r="M18" s="15">
        <v>1185494</v>
      </c>
      <c r="N18" s="13">
        <v>55</v>
      </c>
    </row>
    <row r="19" ht="15.75" spans="1:14">
      <c r="A19" s="12" t="s">
        <v>3239</v>
      </c>
      <c r="B19" s="12" t="s">
        <v>391</v>
      </c>
      <c r="C19" s="15">
        <v>1077231</v>
      </c>
      <c r="D19" s="13">
        <v>66</v>
      </c>
      <c r="F19" s="12" t="s">
        <v>3240</v>
      </c>
      <c r="G19" s="12" t="s">
        <v>391</v>
      </c>
      <c r="H19" s="15">
        <v>125170</v>
      </c>
      <c r="I19" s="13">
        <v>64</v>
      </c>
      <c r="K19" s="12" t="s">
        <v>3241</v>
      </c>
      <c r="L19" s="12" t="s">
        <v>391</v>
      </c>
      <c r="M19" s="15">
        <v>144180</v>
      </c>
      <c r="N19" s="13">
        <v>55</v>
      </c>
    </row>
    <row r="20" ht="15.75" spans="1:14">
      <c r="A20" s="12" t="s">
        <v>3242</v>
      </c>
      <c r="B20" s="12" t="s">
        <v>391</v>
      </c>
      <c r="C20" s="15">
        <v>1801352</v>
      </c>
      <c r="D20" s="13">
        <v>65</v>
      </c>
      <c r="F20" s="12" t="s">
        <v>3243</v>
      </c>
      <c r="G20" s="12" t="s">
        <v>391</v>
      </c>
      <c r="H20" s="15">
        <v>347725</v>
      </c>
      <c r="I20" s="13">
        <v>64</v>
      </c>
      <c r="K20" s="12" t="s">
        <v>3244</v>
      </c>
      <c r="L20" s="12" t="s">
        <v>391</v>
      </c>
      <c r="M20" s="15">
        <v>177789</v>
      </c>
      <c r="N20" s="13">
        <v>55</v>
      </c>
    </row>
    <row r="21" ht="15.75" spans="1:14">
      <c r="A21" s="12" t="s">
        <v>3245</v>
      </c>
      <c r="B21" s="12" t="s">
        <v>391</v>
      </c>
      <c r="C21" s="15">
        <v>74519</v>
      </c>
      <c r="D21" s="13">
        <v>64</v>
      </c>
      <c r="F21" s="12" t="s">
        <v>3230</v>
      </c>
      <c r="G21" s="12" t="s">
        <v>391</v>
      </c>
      <c r="H21" s="15">
        <v>209819</v>
      </c>
      <c r="I21" s="13">
        <v>63</v>
      </c>
      <c r="K21" s="12" t="s">
        <v>3246</v>
      </c>
      <c r="L21" s="12" t="s">
        <v>391</v>
      </c>
      <c r="M21" s="15">
        <v>155620</v>
      </c>
      <c r="N21" s="13">
        <v>55</v>
      </c>
    </row>
    <row r="22" ht="15.75" spans="1:14">
      <c r="A22" s="12" t="s">
        <v>3237</v>
      </c>
      <c r="B22" s="12" t="s">
        <v>391</v>
      </c>
      <c r="C22" s="15">
        <v>636731</v>
      </c>
      <c r="D22" s="13">
        <v>64</v>
      </c>
      <c r="F22" s="12" t="s">
        <v>3247</v>
      </c>
      <c r="G22" s="12" t="s">
        <v>391</v>
      </c>
      <c r="H22" s="15">
        <v>36773</v>
      </c>
      <c r="I22" s="13">
        <v>63</v>
      </c>
      <c r="K22" s="12" t="s">
        <v>3248</v>
      </c>
      <c r="L22" s="12" t="s">
        <v>391</v>
      </c>
      <c r="M22" s="15">
        <v>3918239</v>
      </c>
      <c r="N22" s="13">
        <v>55</v>
      </c>
    </row>
    <row r="23" ht="15.75" spans="1:14">
      <c r="A23" s="12" t="s">
        <v>3230</v>
      </c>
      <c r="B23" s="12" t="s">
        <v>391</v>
      </c>
      <c r="C23" s="15">
        <v>209819</v>
      </c>
      <c r="D23" s="13">
        <v>63</v>
      </c>
      <c r="F23" s="12" t="s">
        <v>3249</v>
      </c>
      <c r="G23" s="12" t="s">
        <v>391</v>
      </c>
      <c r="H23" s="15">
        <v>879015</v>
      </c>
      <c r="I23" s="13">
        <v>62</v>
      </c>
      <c r="K23" s="12" t="s">
        <v>3250</v>
      </c>
      <c r="L23" s="12" t="s">
        <v>391</v>
      </c>
      <c r="M23" s="15">
        <v>323501</v>
      </c>
      <c r="N23" s="13">
        <v>55</v>
      </c>
    </row>
    <row r="24" ht="15.75" spans="1:14">
      <c r="A24" s="12" t="s">
        <v>3251</v>
      </c>
      <c r="B24" s="12" t="s">
        <v>391</v>
      </c>
      <c r="C24" s="15">
        <v>74448</v>
      </c>
      <c r="D24" s="13">
        <v>63</v>
      </c>
      <c r="F24" s="12" t="s">
        <v>3252</v>
      </c>
      <c r="G24" s="12" t="s">
        <v>391</v>
      </c>
      <c r="H24" s="15">
        <v>411474</v>
      </c>
      <c r="I24" s="13">
        <v>62</v>
      </c>
      <c r="K24" s="12" t="s">
        <v>3253</v>
      </c>
      <c r="L24" s="12" t="s">
        <v>391</v>
      </c>
      <c r="M24" s="15">
        <v>961731</v>
      </c>
      <c r="N24" s="13">
        <v>55</v>
      </c>
    </row>
    <row r="25" ht="15.75" spans="1:14">
      <c r="A25" s="12" t="s">
        <v>3254</v>
      </c>
      <c r="B25" s="12" t="s">
        <v>391</v>
      </c>
      <c r="C25" s="15">
        <v>116843</v>
      </c>
      <c r="D25" s="13">
        <v>63</v>
      </c>
      <c r="F25" s="12" t="s">
        <v>3255</v>
      </c>
      <c r="G25" s="12" t="s">
        <v>391</v>
      </c>
      <c r="H25" s="15">
        <v>106466</v>
      </c>
      <c r="I25" s="13">
        <v>62</v>
      </c>
      <c r="K25" s="12" t="s">
        <v>3256</v>
      </c>
      <c r="L25" s="12" t="s">
        <v>391</v>
      </c>
      <c r="M25" s="15">
        <v>1268275</v>
      </c>
      <c r="N25" s="13">
        <v>55</v>
      </c>
    </row>
    <row r="26" ht="15.75" spans="1:14">
      <c r="A26" s="12" t="s">
        <v>3257</v>
      </c>
      <c r="B26" s="12" t="s">
        <v>391</v>
      </c>
      <c r="C26" s="15">
        <v>117740</v>
      </c>
      <c r="D26" s="13">
        <v>62</v>
      </c>
      <c r="F26" s="12" t="s">
        <v>2508</v>
      </c>
      <c r="G26" s="12" t="s">
        <v>392</v>
      </c>
      <c r="H26" s="15">
        <v>10500000</v>
      </c>
      <c r="I26" s="13">
        <v>62</v>
      </c>
      <c r="K26" s="12" t="s">
        <v>3258</v>
      </c>
      <c r="L26" s="12" t="s">
        <v>391</v>
      </c>
      <c r="M26" s="15">
        <v>156604</v>
      </c>
      <c r="N26" s="13">
        <v>55</v>
      </c>
    </row>
    <row r="27" ht="15.75" spans="1:14">
      <c r="A27" s="12" t="s">
        <v>3259</v>
      </c>
      <c r="B27" s="12" t="s">
        <v>391</v>
      </c>
      <c r="C27" s="15">
        <v>2961548</v>
      </c>
      <c r="D27" s="13">
        <v>62</v>
      </c>
      <c r="F27" s="12" t="s">
        <v>3214</v>
      </c>
      <c r="G27" s="12" t="s">
        <v>391</v>
      </c>
      <c r="H27" s="15">
        <v>2137780</v>
      </c>
      <c r="I27" s="13">
        <v>62</v>
      </c>
      <c r="K27" s="12" t="s">
        <v>3260</v>
      </c>
      <c r="L27" s="12" t="s">
        <v>391</v>
      </c>
      <c r="M27" s="15">
        <v>3532582</v>
      </c>
      <c r="N27" s="13">
        <v>55</v>
      </c>
    </row>
    <row r="28" ht="15.75" spans="1:14">
      <c r="A28" s="12" t="s">
        <v>3252</v>
      </c>
      <c r="B28" s="12" t="s">
        <v>391</v>
      </c>
      <c r="C28" s="15">
        <v>411474</v>
      </c>
      <c r="D28" s="13">
        <v>62</v>
      </c>
      <c r="F28" s="12" t="s">
        <v>3217</v>
      </c>
      <c r="G28" s="12" t="s">
        <v>391</v>
      </c>
      <c r="H28" s="15">
        <v>1132901</v>
      </c>
      <c r="I28" s="13">
        <v>61</v>
      </c>
      <c r="K28" s="12" t="s">
        <v>3261</v>
      </c>
      <c r="L28" s="12" t="s">
        <v>391</v>
      </c>
      <c r="M28" s="15">
        <v>195207</v>
      </c>
      <c r="N28" s="13">
        <v>55</v>
      </c>
    </row>
    <row r="29" ht="15.75" spans="1:14">
      <c r="A29" s="12" t="s">
        <v>3262</v>
      </c>
      <c r="B29" s="12" t="s">
        <v>391</v>
      </c>
      <c r="C29" s="15">
        <v>69423</v>
      </c>
      <c r="D29" s="13">
        <v>62</v>
      </c>
      <c r="F29" s="12" t="s">
        <v>3263</v>
      </c>
      <c r="G29" s="12" t="s">
        <v>391</v>
      </c>
      <c r="H29" s="15">
        <v>983917</v>
      </c>
      <c r="I29" s="13">
        <v>61</v>
      </c>
      <c r="K29" s="12" t="s">
        <v>3264</v>
      </c>
      <c r="L29" s="12" t="s">
        <v>391</v>
      </c>
      <c r="M29" s="15">
        <v>133031</v>
      </c>
      <c r="N29" s="13">
        <v>55</v>
      </c>
    </row>
    <row r="30" ht="15.75" spans="1:14">
      <c r="A30" s="12" t="s">
        <v>3265</v>
      </c>
      <c r="B30" s="12" t="s">
        <v>391</v>
      </c>
      <c r="C30" s="15">
        <v>5042266</v>
      </c>
      <c r="D30" s="13">
        <v>61</v>
      </c>
      <c r="F30" s="12" t="s">
        <v>3266</v>
      </c>
      <c r="G30" s="12" t="s">
        <v>391</v>
      </c>
      <c r="H30" s="15">
        <v>375972</v>
      </c>
      <c r="I30" s="13">
        <v>60</v>
      </c>
      <c r="K30" s="12" t="s">
        <v>3267</v>
      </c>
      <c r="L30" s="12" t="s">
        <v>391</v>
      </c>
      <c r="M30" s="15">
        <v>528059</v>
      </c>
      <c r="N30" s="13">
        <v>55</v>
      </c>
    </row>
    <row r="31" ht="15.75" spans="1:14">
      <c r="A31" s="12" t="s">
        <v>3266</v>
      </c>
      <c r="B31" s="12" t="s">
        <v>391</v>
      </c>
      <c r="C31" s="15">
        <v>375972</v>
      </c>
      <c r="D31" s="13">
        <v>60</v>
      </c>
      <c r="F31" s="12" t="s">
        <v>3268</v>
      </c>
      <c r="G31" s="12" t="s">
        <v>392</v>
      </c>
      <c r="H31" s="15">
        <v>3500000</v>
      </c>
      <c r="I31" s="13">
        <v>60</v>
      </c>
      <c r="K31" s="12" t="s">
        <v>3269</v>
      </c>
      <c r="L31" s="12" t="s">
        <v>391</v>
      </c>
      <c r="M31" s="15">
        <v>140497</v>
      </c>
      <c r="N31" s="13">
        <v>55</v>
      </c>
    </row>
    <row r="32" ht="15.75" spans="1:14">
      <c r="A32" s="12" t="s">
        <v>3270</v>
      </c>
      <c r="B32" s="12" t="s">
        <v>391</v>
      </c>
      <c r="C32" s="15">
        <v>174816</v>
      </c>
      <c r="D32" s="13">
        <v>60</v>
      </c>
      <c r="F32" s="12" t="s">
        <v>3271</v>
      </c>
      <c r="G32" s="12" t="s">
        <v>391</v>
      </c>
      <c r="H32" s="15">
        <v>2775736</v>
      </c>
      <c r="I32" s="13">
        <v>60</v>
      </c>
      <c r="K32" s="12" t="s">
        <v>3272</v>
      </c>
      <c r="L32" s="12" t="s">
        <v>391</v>
      </c>
      <c r="M32" s="15">
        <v>1377267</v>
      </c>
      <c r="N32" s="13">
        <v>55</v>
      </c>
    </row>
    <row r="33" ht="15.75" spans="1:14">
      <c r="A33" s="12" t="s">
        <v>3271</v>
      </c>
      <c r="B33" s="12" t="s">
        <v>391</v>
      </c>
      <c r="C33" s="15">
        <v>2775736</v>
      </c>
      <c r="D33" s="13">
        <v>60</v>
      </c>
      <c r="F33" s="12" t="s">
        <v>3273</v>
      </c>
      <c r="G33" s="12" t="s">
        <v>392</v>
      </c>
      <c r="H33" s="15">
        <v>2800000</v>
      </c>
      <c r="I33" s="13">
        <v>60</v>
      </c>
      <c r="K33" s="12" t="s">
        <v>3274</v>
      </c>
      <c r="L33" s="12" t="s">
        <v>391</v>
      </c>
      <c r="M33" s="15">
        <v>2284424</v>
      </c>
      <c r="N33" s="13">
        <v>55</v>
      </c>
    </row>
    <row r="34" ht="15.75" spans="1:14">
      <c r="A34" s="12" t="s">
        <v>3275</v>
      </c>
      <c r="B34" s="12" t="s">
        <v>391</v>
      </c>
      <c r="C34" s="15">
        <v>135115</v>
      </c>
      <c r="D34" s="13">
        <v>60</v>
      </c>
      <c r="F34" s="12" t="s">
        <v>3276</v>
      </c>
      <c r="G34" s="12" t="s">
        <v>392</v>
      </c>
      <c r="H34" s="15">
        <v>5100000</v>
      </c>
      <c r="I34" s="13">
        <v>60</v>
      </c>
      <c r="K34" s="12" t="s">
        <v>3277</v>
      </c>
      <c r="L34" s="12" t="s">
        <v>391</v>
      </c>
      <c r="M34" s="15">
        <v>134655</v>
      </c>
      <c r="N34" s="13">
        <v>55</v>
      </c>
    </row>
    <row r="35" ht="15.75" spans="1:14">
      <c r="A35" s="12" t="s">
        <v>3278</v>
      </c>
      <c r="B35" s="12" t="s">
        <v>391</v>
      </c>
      <c r="C35" s="15">
        <v>110416</v>
      </c>
      <c r="D35" s="13">
        <v>60</v>
      </c>
      <c r="F35" s="12" t="s">
        <v>3279</v>
      </c>
      <c r="G35" s="12" t="s">
        <v>392</v>
      </c>
      <c r="H35" s="15">
        <v>526800</v>
      </c>
      <c r="I35" s="13">
        <v>60</v>
      </c>
      <c r="K35" s="12" t="s">
        <v>3280</v>
      </c>
      <c r="L35" s="12" t="s">
        <v>391</v>
      </c>
      <c r="M35" s="15">
        <v>290919</v>
      </c>
      <c r="N35" s="13">
        <v>55</v>
      </c>
    </row>
    <row r="36" ht="15.75" spans="1:14">
      <c r="A36" s="12" t="s">
        <v>3281</v>
      </c>
      <c r="B36" s="12" t="s">
        <v>391</v>
      </c>
      <c r="C36" s="15">
        <v>1406645</v>
      </c>
      <c r="D36" s="13">
        <v>60</v>
      </c>
      <c r="F36" s="12" t="s">
        <v>3282</v>
      </c>
      <c r="G36" s="12" t="s">
        <v>392</v>
      </c>
      <c r="H36" s="15">
        <v>1200000</v>
      </c>
      <c r="I36" s="13">
        <v>60</v>
      </c>
      <c r="K36" s="12" t="s">
        <v>3283</v>
      </c>
      <c r="L36" s="12" t="s">
        <v>391</v>
      </c>
      <c r="M36" s="15">
        <v>275217</v>
      </c>
      <c r="N36" s="13">
        <v>55</v>
      </c>
    </row>
    <row r="37" ht="15.75" spans="1:14">
      <c r="A37" s="12" t="s">
        <v>3240</v>
      </c>
      <c r="B37" s="12" t="s">
        <v>391</v>
      </c>
      <c r="C37" s="15">
        <v>125170</v>
      </c>
      <c r="D37" s="13">
        <v>60</v>
      </c>
      <c r="F37" s="12" t="s">
        <v>3284</v>
      </c>
      <c r="G37" s="12" t="s">
        <v>392</v>
      </c>
      <c r="H37" s="15">
        <v>306200</v>
      </c>
      <c r="I37" s="13">
        <v>60</v>
      </c>
      <c r="K37" s="12" t="s">
        <v>3285</v>
      </c>
      <c r="L37" s="12" t="s">
        <v>391</v>
      </c>
      <c r="M37" s="15">
        <v>306528</v>
      </c>
      <c r="N37" s="13">
        <v>55</v>
      </c>
    </row>
    <row r="38" ht="15.75" spans="1:14">
      <c r="A38" s="12" t="s">
        <v>3286</v>
      </c>
      <c r="B38" s="12" t="s">
        <v>391</v>
      </c>
      <c r="C38" s="15">
        <v>1436816</v>
      </c>
      <c r="D38" s="13">
        <v>60</v>
      </c>
      <c r="F38" s="12" t="s">
        <v>3287</v>
      </c>
      <c r="G38" s="12" t="s">
        <v>392</v>
      </c>
      <c r="H38" s="15">
        <v>6200000</v>
      </c>
      <c r="I38" s="13">
        <v>60</v>
      </c>
      <c r="K38" s="12" t="s">
        <v>3288</v>
      </c>
      <c r="L38" s="12" t="s">
        <v>391</v>
      </c>
      <c r="M38" s="15">
        <v>7156562</v>
      </c>
      <c r="N38" s="13">
        <v>55</v>
      </c>
    </row>
    <row r="39" ht="15.75" spans="1:14">
      <c r="A39" s="12" t="s">
        <v>3289</v>
      </c>
      <c r="B39" s="12" t="s">
        <v>391</v>
      </c>
      <c r="C39" s="15">
        <v>118133</v>
      </c>
      <c r="D39" s="13">
        <v>60</v>
      </c>
      <c r="F39" s="12" t="s">
        <v>3275</v>
      </c>
      <c r="G39" s="12" t="s">
        <v>391</v>
      </c>
      <c r="H39" s="15">
        <v>135115</v>
      </c>
      <c r="I39" s="13">
        <v>60</v>
      </c>
      <c r="K39" s="12" t="s">
        <v>3290</v>
      </c>
      <c r="L39" s="12" t="s">
        <v>391</v>
      </c>
      <c r="M39" s="15">
        <v>156556</v>
      </c>
      <c r="N39" s="13">
        <v>55</v>
      </c>
    </row>
    <row r="40" ht="15.75" spans="1:14">
      <c r="A40" s="12" t="s">
        <v>3291</v>
      </c>
      <c r="B40" s="12" t="s">
        <v>391</v>
      </c>
      <c r="C40" s="15">
        <v>488918</v>
      </c>
      <c r="D40" s="13">
        <v>60</v>
      </c>
      <c r="F40" s="12" t="s">
        <v>3292</v>
      </c>
      <c r="G40" s="12" t="s">
        <v>392</v>
      </c>
      <c r="H40" s="15">
        <v>983500</v>
      </c>
      <c r="I40" s="13">
        <v>60</v>
      </c>
      <c r="K40" s="12" t="s">
        <v>3293</v>
      </c>
      <c r="L40" s="12" t="s">
        <v>391</v>
      </c>
      <c r="M40" s="15">
        <v>401205</v>
      </c>
      <c r="N40" s="13">
        <v>55</v>
      </c>
    </row>
    <row r="41" ht="15.75" spans="1:14">
      <c r="A41" s="12" t="s">
        <v>3294</v>
      </c>
      <c r="B41" s="12" t="s">
        <v>391</v>
      </c>
      <c r="C41" s="15">
        <v>43600</v>
      </c>
      <c r="D41" s="13">
        <v>60</v>
      </c>
      <c r="F41" s="12" t="s">
        <v>3295</v>
      </c>
      <c r="G41" s="12" t="s">
        <v>392</v>
      </c>
      <c r="H41" s="15">
        <v>1900000</v>
      </c>
      <c r="I41" s="13">
        <v>60</v>
      </c>
      <c r="K41" s="12" t="s">
        <v>3296</v>
      </c>
      <c r="L41" s="12" t="s">
        <v>391</v>
      </c>
      <c r="M41" s="15">
        <v>215657</v>
      </c>
      <c r="N41" s="13">
        <v>55</v>
      </c>
    </row>
    <row r="42" ht="15.75" spans="1:14">
      <c r="A42" s="12" t="s">
        <v>3297</v>
      </c>
      <c r="B42" s="12" t="s">
        <v>391</v>
      </c>
      <c r="C42" s="15">
        <v>107893</v>
      </c>
      <c r="D42" s="13">
        <v>59</v>
      </c>
      <c r="F42" s="12" t="s">
        <v>3298</v>
      </c>
      <c r="G42" s="12" t="s">
        <v>392</v>
      </c>
      <c r="H42" s="15">
        <v>3200000</v>
      </c>
      <c r="I42" s="13">
        <v>60</v>
      </c>
      <c r="K42" s="12" t="s">
        <v>3299</v>
      </c>
      <c r="L42" s="12" t="s">
        <v>391</v>
      </c>
      <c r="M42" s="15">
        <v>564687</v>
      </c>
      <c r="N42" s="13">
        <v>55</v>
      </c>
    </row>
    <row r="43" ht="15.75" spans="1:14">
      <c r="A43" s="12" t="s">
        <v>3300</v>
      </c>
      <c r="B43" s="12" t="s">
        <v>391</v>
      </c>
      <c r="C43" s="15">
        <v>64009</v>
      </c>
      <c r="D43" s="13">
        <v>59</v>
      </c>
      <c r="F43" s="12" t="s">
        <v>3301</v>
      </c>
      <c r="G43" s="12" t="s">
        <v>392</v>
      </c>
      <c r="H43" s="15">
        <v>90200</v>
      </c>
      <c r="I43" s="13">
        <v>60</v>
      </c>
      <c r="K43" s="12" t="s">
        <v>3302</v>
      </c>
      <c r="L43" s="12" t="s">
        <v>391</v>
      </c>
      <c r="M43" s="15">
        <v>295009</v>
      </c>
      <c r="N43" s="13">
        <v>55</v>
      </c>
    </row>
    <row r="44" ht="15.75" spans="1:14">
      <c r="A44" s="12" t="s">
        <v>3303</v>
      </c>
      <c r="B44" s="12" t="s">
        <v>391</v>
      </c>
      <c r="C44" s="15">
        <v>35595</v>
      </c>
      <c r="D44" s="13">
        <v>59</v>
      </c>
      <c r="F44" s="12" t="s">
        <v>3304</v>
      </c>
      <c r="G44" s="12" t="s">
        <v>392</v>
      </c>
      <c r="H44" s="15">
        <v>290500</v>
      </c>
      <c r="I44" s="13">
        <v>60</v>
      </c>
      <c r="K44" s="12" t="s">
        <v>3305</v>
      </c>
      <c r="L44" s="12" t="s">
        <v>391</v>
      </c>
      <c r="M44" s="15">
        <v>176589</v>
      </c>
      <c r="N44" s="13">
        <v>55</v>
      </c>
    </row>
    <row r="45" ht="15.75" spans="1:14">
      <c r="A45" s="12" t="s">
        <v>3306</v>
      </c>
      <c r="B45" s="12" t="s">
        <v>391</v>
      </c>
      <c r="C45" s="15">
        <v>140891</v>
      </c>
      <c r="D45" s="13">
        <v>59</v>
      </c>
      <c r="F45" s="12" t="s">
        <v>3307</v>
      </c>
      <c r="G45" s="12" t="s">
        <v>391</v>
      </c>
      <c r="H45" s="15">
        <v>431220</v>
      </c>
      <c r="I45" s="13">
        <v>60</v>
      </c>
      <c r="K45" s="12" t="s">
        <v>3308</v>
      </c>
      <c r="L45" s="12" t="s">
        <v>391</v>
      </c>
      <c r="M45" s="15">
        <v>944128</v>
      </c>
      <c r="N45" s="13">
        <v>55</v>
      </c>
    </row>
    <row r="46" ht="15.75" spans="1:14">
      <c r="A46" s="12" t="s">
        <v>3309</v>
      </c>
      <c r="B46" s="12" t="s">
        <v>391</v>
      </c>
      <c r="C46" s="15">
        <v>57800</v>
      </c>
      <c r="D46" s="13">
        <v>59</v>
      </c>
      <c r="F46" s="12" t="s">
        <v>3310</v>
      </c>
      <c r="G46" s="12" t="s">
        <v>392</v>
      </c>
      <c r="H46" s="15">
        <v>5800000</v>
      </c>
      <c r="I46" s="13">
        <v>60</v>
      </c>
      <c r="K46" s="12" t="s">
        <v>3311</v>
      </c>
      <c r="L46" s="12" t="s">
        <v>391</v>
      </c>
      <c r="M46" s="15">
        <v>388946</v>
      </c>
      <c r="N46" s="13">
        <v>55</v>
      </c>
    </row>
    <row r="47" ht="15.75" spans="1:14">
      <c r="A47" s="12" t="s">
        <v>3312</v>
      </c>
      <c r="B47" s="12" t="s">
        <v>391</v>
      </c>
      <c r="C47" s="15">
        <v>364007</v>
      </c>
      <c r="D47" s="13">
        <v>59</v>
      </c>
      <c r="F47" s="12" t="s">
        <v>3313</v>
      </c>
      <c r="G47" s="12" t="s">
        <v>392</v>
      </c>
      <c r="H47" s="15">
        <v>913900</v>
      </c>
      <c r="I47" s="13">
        <v>60</v>
      </c>
      <c r="K47" s="12" t="s">
        <v>3314</v>
      </c>
      <c r="L47" s="12" t="s">
        <v>391</v>
      </c>
      <c r="M47" s="15">
        <v>2193158</v>
      </c>
      <c r="N47" s="13">
        <v>55</v>
      </c>
    </row>
    <row r="48" ht="15.75" spans="1:14">
      <c r="A48" s="12" t="s">
        <v>3315</v>
      </c>
      <c r="B48" s="12" t="s">
        <v>391</v>
      </c>
      <c r="C48" s="15">
        <v>42486</v>
      </c>
      <c r="D48" s="13">
        <v>59</v>
      </c>
      <c r="F48" s="12" t="s">
        <v>3316</v>
      </c>
      <c r="G48" s="12" t="s">
        <v>392</v>
      </c>
      <c r="H48" s="15">
        <v>1600000</v>
      </c>
      <c r="I48" s="13">
        <v>60</v>
      </c>
      <c r="K48" s="12" t="s">
        <v>3317</v>
      </c>
      <c r="L48" s="12" t="s">
        <v>391</v>
      </c>
      <c r="M48" s="15">
        <v>702968</v>
      </c>
      <c r="N48" s="13">
        <v>55</v>
      </c>
    </row>
    <row r="49" ht="15.75" spans="1:14">
      <c r="A49" s="12" t="s">
        <v>3318</v>
      </c>
      <c r="B49" s="12" t="s">
        <v>391</v>
      </c>
      <c r="C49" s="15">
        <v>49994</v>
      </c>
      <c r="D49" s="13">
        <v>59</v>
      </c>
      <c r="F49" s="12" t="s">
        <v>3319</v>
      </c>
      <c r="G49" s="12" t="s">
        <v>392</v>
      </c>
      <c r="H49" s="15">
        <v>2000000</v>
      </c>
      <c r="I49" s="13">
        <v>60</v>
      </c>
      <c r="K49" s="12" t="s">
        <v>3320</v>
      </c>
      <c r="L49" s="12" t="s">
        <v>391</v>
      </c>
      <c r="M49" s="15">
        <v>277700</v>
      </c>
      <c r="N49" s="13">
        <v>55</v>
      </c>
    </row>
    <row r="50" ht="15.75" spans="1:14">
      <c r="A50" s="12" t="s">
        <v>3321</v>
      </c>
      <c r="B50" s="12" t="s">
        <v>391</v>
      </c>
      <c r="C50" s="15">
        <v>103627</v>
      </c>
      <c r="D50" s="13">
        <v>59</v>
      </c>
      <c r="F50" s="12" t="s">
        <v>3322</v>
      </c>
      <c r="G50" s="12" t="s">
        <v>392</v>
      </c>
      <c r="H50" s="15">
        <v>5300000</v>
      </c>
      <c r="I50" s="13">
        <v>60</v>
      </c>
      <c r="K50" s="12" t="s">
        <v>2387</v>
      </c>
      <c r="L50" s="12" t="s">
        <v>391</v>
      </c>
      <c r="M50" s="15">
        <v>37961844</v>
      </c>
      <c r="N50" s="13">
        <v>55</v>
      </c>
    </row>
    <row r="51" ht="15.75" spans="1:14">
      <c r="A51" s="12" t="s">
        <v>3323</v>
      </c>
      <c r="B51" s="12" t="s">
        <v>391</v>
      </c>
      <c r="C51" s="15">
        <v>83341</v>
      </c>
      <c r="D51" s="13">
        <v>59</v>
      </c>
      <c r="F51" s="12" t="s">
        <v>3324</v>
      </c>
      <c r="G51" s="12" t="s">
        <v>392</v>
      </c>
      <c r="H51" s="15">
        <v>3100000</v>
      </c>
      <c r="I51" s="13">
        <v>60</v>
      </c>
      <c r="K51" s="12" t="s">
        <v>3325</v>
      </c>
      <c r="L51" s="12" t="s">
        <v>391</v>
      </c>
      <c r="M51" s="15">
        <v>407214</v>
      </c>
      <c r="N51" s="13">
        <v>55</v>
      </c>
    </row>
    <row r="52" ht="15.75" spans="1:14">
      <c r="A52" s="12" t="s">
        <v>2387</v>
      </c>
      <c r="B52" s="12" t="s">
        <v>391</v>
      </c>
      <c r="C52" s="15">
        <v>37961844</v>
      </c>
      <c r="D52" s="13">
        <v>59</v>
      </c>
      <c r="F52" s="12" t="s">
        <v>3326</v>
      </c>
      <c r="G52" s="12" t="s">
        <v>392</v>
      </c>
      <c r="H52" s="15">
        <v>10000000</v>
      </c>
      <c r="I52" s="13">
        <v>60</v>
      </c>
      <c r="K52" s="12" t="s">
        <v>3327</v>
      </c>
      <c r="L52" s="12" t="s">
        <v>391</v>
      </c>
      <c r="M52" s="15">
        <v>140856</v>
      </c>
      <c r="N52" s="13">
        <v>55</v>
      </c>
    </row>
    <row r="53" ht="15.75" spans="1:14">
      <c r="A53" s="12" t="s">
        <v>3328</v>
      </c>
      <c r="B53" s="12" t="s">
        <v>391</v>
      </c>
      <c r="C53" s="15">
        <v>48643</v>
      </c>
      <c r="D53" s="13">
        <v>59</v>
      </c>
      <c r="F53" s="12" t="s">
        <v>3329</v>
      </c>
      <c r="G53" s="12" t="s">
        <v>392</v>
      </c>
      <c r="H53" s="15">
        <v>1100000</v>
      </c>
      <c r="I53" s="13">
        <v>60</v>
      </c>
      <c r="K53" s="12" t="s">
        <v>3330</v>
      </c>
      <c r="L53" s="12" t="s">
        <v>391</v>
      </c>
      <c r="M53" s="15">
        <v>269287</v>
      </c>
      <c r="N53" s="13">
        <v>55</v>
      </c>
    </row>
    <row r="54" ht="15.75" spans="1:14">
      <c r="A54" s="12" t="s">
        <v>3331</v>
      </c>
      <c r="B54" s="12" t="s">
        <v>391</v>
      </c>
      <c r="C54" s="15">
        <v>50202</v>
      </c>
      <c r="D54" s="13">
        <v>59</v>
      </c>
      <c r="F54" s="12" t="s">
        <v>3278</v>
      </c>
      <c r="G54" s="12" t="s">
        <v>391</v>
      </c>
      <c r="H54" s="15">
        <v>110416</v>
      </c>
      <c r="I54" s="13">
        <v>60</v>
      </c>
      <c r="K54" s="12" t="s">
        <v>3332</v>
      </c>
      <c r="L54" s="12" t="s">
        <v>391</v>
      </c>
      <c r="M54" s="15">
        <v>535394</v>
      </c>
      <c r="N54" s="13">
        <v>55</v>
      </c>
    </row>
    <row r="55" ht="15.75" spans="1:14">
      <c r="A55" s="12" t="s">
        <v>3333</v>
      </c>
      <c r="B55" s="12" t="s">
        <v>391</v>
      </c>
      <c r="C55" s="15">
        <v>125880</v>
      </c>
      <c r="D55" s="13">
        <v>59</v>
      </c>
      <c r="F55" s="12" t="s">
        <v>3334</v>
      </c>
      <c r="G55" s="12" t="s">
        <v>392</v>
      </c>
      <c r="H55" s="15">
        <v>1300000</v>
      </c>
      <c r="I55" s="13">
        <v>60</v>
      </c>
      <c r="K55" s="12" t="s">
        <v>3335</v>
      </c>
      <c r="L55" s="12" t="s">
        <v>391</v>
      </c>
      <c r="M55" s="15">
        <v>101667</v>
      </c>
      <c r="N55" s="13">
        <v>55</v>
      </c>
    </row>
    <row r="56" ht="15.75" spans="1:14">
      <c r="A56" s="12" t="s">
        <v>3336</v>
      </c>
      <c r="B56" s="12" t="s">
        <v>391</v>
      </c>
      <c r="C56" s="15">
        <v>142611</v>
      </c>
      <c r="D56" s="13">
        <v>59</v>
      </c>
      <c r="F56" s="12" t="s">
        <v>3337</v>
      </c>
      <c r="G56" s="12" t="s">
        <v>392</v>
      </c>
      <c r="H56" s="15">
        <v>1400000</v>
      </c>
      <c r="I56" s="13">
        <v>60</v>
      </c>
      <c r="K56" s="12" t="s">
        <v>3338</v>
      </c>
      <c r="L56" s="12" t="s">
        <v>391</v>
      </c>
      <c r="M56" s="15">
        <v>533278</v>
      </c>
      <c r="N56" s="13">
        <v>55</v>
      </c>
    </row>
    <row r="57" ht="15.75" spans="1:14">
      <c r="A57" s="12" t="s">
        <v>3339</v>
      </c>
      <c r="B57" s="12" t="s">
        <v>391</v>
      </c>
      <c r="C57" s="15">
        <v>45326</v>
      </c>
      <c r="D57" s="13">
        <v>59</v>
      </c>
      <c r="F57" s="12" t="s">
        <v>3340</v>
      </c>
      <c r="G57" s="12" t="s">
        <v>392</v>
      </c>
      <c r="H57" s="15">
        <v>1800000</v>
      </c>
      <c r="I57" s="13">
        <v>60</v>
      </c>
      <c r="K57" s="12" t="s">
        <v>3341</v>
      </c>
      <c r="L57" s="12" t="s">
        <v>391</v>
      </c>
      <c r="M57" s="15">
        <v>125059</v>
      </c>
      <c r="N57" s="13">
        <v>55</v>
      </c>
    </row>
    <row r="58" ht="15.75" spans="1:14">
      <c r="A58" s="12" t="s">
        <v>3342</v>
      </c>
      <c r="B58" s="12" t="s">
        <v>391</v>
      </c>
      <c r="C58" s="15">
        <v>12193</v>
      </c>
      <c r="D58" s="13">
        <v>58</v>
      </c>
      <c r="F58" s="12" t="s">
        <v>3343</v>
      </c>
      <c r="G58" s="12" t="s">
        <v>392</v>
      </c>
      <c r="H58" s="15">
        <v>2800000</v>
      </c>
      <c r="I58" s="13">
        <v>60</v>
      </c>
      <c r="K58" s="12" t="s">
        <v>3344</v>
      </c>
      <c r="L58" s="12" t="s">
        <v>391</v>
      </c>
      <c r="M58" s="15">
        <v>239031</v>
      </c>
      <c r="N58" s="13">
        <v>55</v>
      </c>
    </row>
    <row r="59" ht="15.75" spans="1:14">
      <c r="A59" s="12" t="s">
        <v>3345</v>
      </c>
      <c r="B59" s="12" t="s">
        <v>391</v>
      </c>
      <c r="C59" s="15">
        <v>16494</v>
      </c>
      <c r="D59" s="13">
        <v>58</v>
      </c>
      <c r="F59" s="12" t="s">
        <v>3346</v>
      </c>
      <c r="G59" s="12" t="s">
        <v>392</v>
      </c>
      <c r="H59" s="15">
        <v>610700</v>
      </c>
      <c r="I59" s="13">
        <v>60</v>
      </c>
      <c r="K59" s="12" t="s">
        <v>3347</v>
      </c>
      <c r="L59" s="12" t="s">
        <v>391</v>
      </c>
      <c r="M59" s="15">
        <v>605620</v>
      </c>
      <c r="N59" s="13">
        <v>55</v>
      </c>
    </row>
    <row r="60" ht="15.75" spans="1:14">
      <c r="A60" s="12" t="s">
        <v>3348</v>
      </c>
      <c r="B60" s="12" t="s">
        <v>391</v>
      </c>
      <c r="C60" s="15">
        <v>12443</v>
      </c>
      <c r="D60" s="13">
        <v>58</v>
      </c>
      <c r="F60" s="12" t="s">
        <v>3349</v>
      </c>
      <c r="G60" s="12" t="s">
        <v>392</v>
      </c>
      <c r="H60" s="15">
        <v>536400</v>
      </c>
      <c r="I60" s="13">
        <v>60</v>
      </c>
      <c r="K60" s="12" t="s">
        <v>3350</v>
      </c>
      <c r="L60" s="12" t="s">
        <v>391</v>
      </c>
      <c r="M60" s="15">
        <v>344550</v>
      </c>
      <c r="N60" s="13">
        <v>55</v>
      </c>
    </row>
    <row r="61" ht="15.75" spans="1:14">
      <c r="A61" s="12" t="s">
        <v>3351</v>
      </c>
      <c r="B61" s="12" t="s">
        <v>391</v>
      </c>
      <c r="C61" s="15">
        <v>24809</v>
      </c>
      <c r="D61" s="13">
        <v>58</v>
      </c>
      <c r="F61" s="12" t="s">
        <v>3352</v>
      </c>
      <c r="G61" s="12" t="s">
        <v>392</v>
      </c>
      <c r="H61" s="15">
        <v>6000000</v>
      </c>
      <c r="I61" s="13">
        <v>60</v>
      </c>
      <c r="K61" s="12" t="s">
        <v>3353</v>
      </c>
      <c r="L61" s="12" t="s">
        <v>391</v>
      </c>
      <c r="M61" s="15">
        <v>102105</v>
      </c>
      <c r="N61" s="13">
        <v>55</v>
      </c>
    </row>
    <row r="62" ht="15.75" spans="1:14">
      <c r="A62" s="12" t="s">
        <v>3354</v>
      </c>
      <c r="B62" s="12" t="s">
        <v>391</v>
      </c>
      <c r="C62" s="15">
        <v>12499</v>
      </c>
      <c r="D62" s="13">
        <v>58</v>
      </c>
      <c r="F62" s="12" t="s">
        <v>3355</v>
      </c>
      <c r="G62" s="12" t="s">
        <v>391</v>
      </c>
      <c r="H62" s="15">
        <v>124953</v>
      </c>
      <c r="I62" s="13">
        <v>60</v>
      </c>
      <c r="K62" s="12" t="s">
        <v>3356</v>
      </c>
      <c r="L62" s="12" t="s">
        <v>391</v>
      </c>
      <c r="M62" s="15">
        <v>181496</v>
      </c>
      <c r="N62" s="13">
        <v>55</v>
      </c>
    </row>
    <row r="63" ht="15.75" spans="1:14">
      <c r="A63" s="12" t="s">
        <v>3357</v>
      </c>
      <c r="B63" s="12" t="s">
        <v>391</v>
      </c>
      <c r="C63" s="15">
        <v>11593</v>
      </c>
      <c r="D63" s="13">
        <v>58</v>
      </c>
      <c r="F63" s="12" t="s">
        <v>3358</v>
      </c>
      <c r="G63" s="12" t="s">
        <v>392</v>
      </c>
      <c r="H63" s="15">
        <v>1700000</v>
      </c>
      <c r="I63" s="13">
        <v>60</v>
      </c>
      <c r="K63" s="12" t="s">
        <v>3359</v>
      </c>
      <c r="L63" s="12" t="s">
        <v>391</v>
      </c>
      <c r="M63" s="15">
        <v>333058</v>
      </c>
      <c r="N63" s="13">
        <v>55</v>
      </c>
    </row>
    <row r="64" ht="15.75" spans="1:14">
      <c r="A64" s="12" t="s">
        <v>3360</v>
      </c>
      <c r="B64" s="12" t="s">
        <v>391</v>
      </c>
      <c r="C64" s="15">
        <v>30477</v>
      </c>
      <c r="D64" s="13">
        <v>58</v>
      </c>
      <c r="F64" s="12" t="s">
        <v>3361</v>
      </c>
      <c r="G64" s="12" t="s">
        <v>392</v>
      </c>
      <c r="H64" s="15">
        <v>2800000</v>
      </c>
      <c r="I64" s="13">
        <v>60</v>
      </c>
      <c r="K64" s="12" t="s">
        <v>3362</v>
      </c>
      <c r="L64" s="12" t="s">
        <v>391</v>
      </c>
      <c r="M64" s="15">
        <v>155964</v>
      </c>
      <c r="N64" s="13">
        <v>55</v>
      </c>
    </row>
    <row r="65" ht="15.75" spans="1:14">
      <c r="A65" s="12" t="s">
        <v>3363</v>
      </c>
      <c r="B65" s="12" t="s">
        <v>391</v>
      </c>
      <c r="C65" s="15">
        <v>12537</v>
      </c>
      <c r="D65" s="13">
        <v>58</v>
      </c>
      <c r="F65" s="12" t="s">
        <v>3364</v>
      </c>
      <c r="G65" s="12" t="s">
        <v>392</v>
      </c>
      <c r="H65" s="15">
        <v>4100000</v>
      </c>
      <c r="I65" s="13">
        <v>60</v>
      </c>
      <c r="K65" s="12" t="s">
        <v>2378</v>
      </c>
      <c r="L65" s="12" t="s">
        <v>391</v>
      </c>
      <c r="M65" s="15">
        <v>75052814</v>
      </c>
      <c r="N65" s="13">
        <v>55</v>
      </c>
    </row>
    <row r="66" ht="15.75" spans="1:14">
      <c r="A66" s="12" t="s">
        <v>3365</v>
      </c>
      <c r="B66" s="12" t="s">
        <v>391</v>
      </c>
      <c r="C66" s="15">
        <v>12327</v>
      </c>
      <c r="D66" s="13">
        <v>58</v>
      </c>
      <c r="F66" s="12" t="s">
        <v>3366</v>
      </c>
      <c r="G66" s="12" t="s">
        <v>392</v>
      </c>
      <c r="H66" s="15">
        <v>461500</v>
      </c>
      <c r="I66" s="13">
        <v>60</v>
      </c>
      <c r="K66" s="12" t="s">
        <v>3367</v>
      </c>
      <c r="L66" s="12" t="s">
        <v>391</v>
      </c>
      <c r="M66" s="15">
        <v>2226091</v>
      </c>
      <c r="N66" s="13">
        <v>55</v>
      </c>
    </row>
    <row r="67" ht="15.75" spans="1:14">
      <c r="A67" s="12" t="s">
        <v>3368</v>
      </c>
      <c r="B67" s="12" t="s">
        <v>391</v>
      </c>
      <c r="C67" s="15">
        <v>18038</v>
      </c>
      <c r="D67" s="13">
        <v>58</v>
      </c>
      <c r="F67" s="12" t="s">
        <v>3281</v>
      </c>
      <c r="G67" s="12" t="s">
        <v>391</v>
      </c>
      <c r="H67" s="15">
        <v>1406645</v>
      </c>
      <c r="I67" s="13">
        <v>60</v>
      </c>
      <c r="K67" s="12" t="s">
        <v>3369</v>
      </c>
      <c r="L67" s="12" t="s">
        <v>391</v>
      </c>
      <c r="M67" s="15">
        <v>821693</v>
      </c>
      <c r="N67" s="13">
        <v>55</v>
      </c>
    </row>
    <row r="68" ht="15.75" spans="1:14">
      <c r="A68" s="12" t="s">
        <v>3370</v>
      </c>
      <c r="B68" s="12" t="s">
        <v>391</v>
      </c>
      <c r="C68" s="15">
        <v>16032</v>
      </c>
      <c r="D68" s="13">
        <v>58</v>
      </c>
      <c r="F68" s="12" t="s">
        <v>3371</v>
      </c>
      <c r="G68" s="12" t="s">
        <v>392</v>
      </c>
      <c r="H68" s="15">
        <v>1100000</v>
      </c>
      <c r="I68" s="13">
        <v>60</v>
      </c>
      <c r="K68" s="12" t="s">
        <v>3372</v>
      </c>
      <c r="L68" s="12" t="s">
        <v>392</v>
      </c>
      <c r="M68" s="15">
        <v>3400000</v>
      </c>
      <c r="N68" s="13">
        <v>55</v>
      </c>
    </row>
    <row r="69" ht="15.75" spans="1:14">
      <c r="A69" s="12" t="s">
        <v>3373</v>
      </c>
      <c r="B69" s="12" t="s">
        <v>391</v>
      </c>
      <c r="C69" s="15">
        <v>13716</v>
      </c>
      <c r="D69" s="13">
        <v>58</v>
      </c>
      <c r="F69" s="12" t="s">
        <v>3374</v>
      </c>
      <c r="G69" s="12" t="s">
        <v>392</v>
      </c>
      <c r="H69" s="15">
        <v>3500000</v>
      </c>
      <c r="I69" s="13">
        <v>60</v>
      </c>
      <c r="K69" s="12" t="s">
        <v>3375</v>
      </c>
      <c r="L69" s="12" t="s">
        <v>391</v>
      </c>
      <c r="M69" s="15">
        <v>2001469</v>
      </c>
      <c r="N69" s="13">
        <v>55</v>
      </c>
    </row>
    <row r="70" ht="15.75" spans="1:14">
      <c r="A70" s="12" t="s">
        <v>3376</v>
      </c>
      <c r="B70" s="12" t="s">
        <v>391</v>
      </c>
      <c r="C70" s="15">
        <v>12379</v>
      </c>
      <c r="D70" s="13">
        <v>58</v>
      </c>
      <c r="F70" s="12" t="s">
        <v>3377</v>
      </c>
      <c r="G70" s="12" t="s">
        <v>392</v>
      </c>
      <c r="H70" s="15">
        <v>406100</v>
      </c>
      <c r="I70" s="13">
        <v>60</v>
      </c>
      <c r="K70" s="12" t="s">
        <v>3378</v>
      </c>
      <c r="L70" s="12" t="s">
        <v>391</v>
      </c>
      <c r="M70" s="15">
        <v>160752</v>
      </c>
      <c r="N70" s="13">
        <v>55</v>
      </c>
    </row>
    <row r="71" ht="15.75" spans="1:14">
      <c r="A71" s="12" t="s">
        <v>3379</v>
      </c>
      <c r="B71" s="12" t="s">
        <v>391</v>
      </c>
      <c r="C71" s="15">
        <v>17047</v>
      </c>
      <c r="D71" s="13">
        <v>58</v>
      </c>
      <c r="F71" s="12" t="s">
        <v>3380</v>
      </c>
      <c r="G71" s="12" t="s">
        <v>392</v>
      </c>
      <c r="H71" s="15">
        <v>1100000</v>
      </c>
      <c r="I71" s="13">
        <v>60</v>
      </c>
      <c r="K71" s="12" t="s">
        <v>3381</v>
      </c>
      <c r="L71" s="12" t="s">
        <v>391</v>
      </c>
      <c r="M71" s="15">
        <v>152347</v>
      </c>
      <c r="N71" s="13">
        <v>55</v>
      </c>
    </row>
    <row r="72" ht="15.75" spans="1:14">
      <c r="A72" s="12" t="s">
        <v>3382</v>
      </c>
      <c r="B72" s="12" t="s">
        <v>391</v>
      </c>
      <c r="C72" s="15">
        <v>10711</v>
      </c>
      <c r="D72" s="13">
        <v>58</v>
      </c>
      <c r="F72" s="12" t="s">
        <v>3383</v>
      </c>
      <c r="G72" s="12" t="s">
        <v>392</v>
      </c>
      <c r="H72" s="15">
        <v>2700000</v>
      </c>
      <c r="I72" s="13">
        <v>60</v>
      </c>
      <c r="K72" s="12" t="s">
        <v>3384</v>
      </c>
      <c r="L72" s="12" t="s">
        <v>391</v>
      </c>
      <c r="M72" s="15">
        <v>242430</v>
      </c>
      <c r="N72" s="13">
        <v>55</v>
      </c>
    </row>
    <row r="73" ht="15.75" spans="1:14">
      <c r="A73" s="12" t="s">
        <v>3385</v>
      </c>
      <c r="B73" s="12" t="s">
        <v>391</v>
      </c>
      <c r="C73" s="15">
        <v>13969</v>
      </c>
      <c r="D73" s="13">
        <v>58</v>
      </c>
      <c r="F73" s="12" t="s">
        <v>3386</v>
      </c>
      <c r="G73" s="12" t="s">
        <v>392</v>
      </c>
      <c r="H73" s="15">
        <v>3300000</v>
      </c>
      <c r="I73" s="13">
        <v>60</v>
      </c>
      <c r="K73" s="12" t="s">
        <v>3387</v>
      </c>
      <c r="L73" s="12" t="s">
        <v>391</v>
      </c>
      <c r="M73" s="15">
        <v>103553</v>
      </c>
      <c r="N73" s="13">
        <v>55</v>
      </c>
    </row>
    <row r="74" ht="15.75" spans="1:14">
      <c r="A74" s="12" t="s">
        <v>3388</v>
      </c>
      <c r="B74" s="12" t="s">
        <v>391</v>
      </c>
      <c r="C74" s="15">
        <v>23298</v>
      </c>
      <c r="D74" s="13">
        <v>58</v>
      </c>
      <c r="F74" s="12" t="s">
        <v>3389</v>
      </c>
      <c r="G74" s="12" t="s">
        <v>392</v>
      </c>
      <c r="H74" s="15">
        <v>2000000</v>
      </c>
      <c r="I74" s="13">
        <v>60</v>
      </c>
      <c r="K74" s="12" t="s">
        <v>3390</v>
      </c>
      <c r="L74" s="12" t="s">
        <v>391</v>
      </c>
      <c r="M74" s="15">
        <v>1043120</v>
      </c>
      <c r="N74" s="13">
        <v>55</v>
      </c>
    </row>
    <row r="75" ht="15.75" spans="1:14">
      <c r="A75" s="12" t="s">
        <v>3391</v>
      </c>
      <c r="B75" s="12" t="s">
        <v>391</v>
      </c>
      <c r="C75" s="15">
        <v>18147</v>
      </c>
      <c r="D75" s="13">
        <v>58</v>
      </c>
      <c r="F75" s="12" t="s">
        <v>3286</v>
      </c>
      <c r="G75" s="12" t="s">
        <v>391</v>
      </c>
      <c r="H75" s="15">
        <v>1436816</v>
      </c>
      <c r="I75" s="13">
        <v>60</v>
      </c>
      <c r="K75" s="12" t="s">
        <v>3392</v>
      </c>
      <c r="L75" s="12" t="s">
        <v>391</v>
      </c>
      <c r="M75" s="15">
        <v>108601</v>
      </c>
      <c r="N75" s="13">
        <v>55</v>
      </c>
    </row>
    <row r="76" ht="15.75" spans="1:14">
      <c r="A76" s="12" t="s">
        <v>3393</v>
      </c>
      <c r="B76" s="12" t="s">
        <v>391</v>
      </c>
      <c r="C76" s="15">
        <v>10785</v>
      </c>
      <c r="D76" s="13">
        <v>58</v>
      </c>
      <c r="F76" s="12" t="s">
        <v>3394</v>
      </c>
      <c r="G76" s="12" t="s">
        <v>392</v>
      </c>
      <c r="H76" s="15">
        <v>8400000</v>
      </c>
      <c r="I76" s="13">
        <v>60</v>
      </c>
      <c r="K76" s="12" t="s">
        <v>3395</v>
      </c>
      <c r="L76" s="12" t="s">
        <v>391</v>
      </c>
      <c r="M76" s="15">
        <v>271556</v>
      </c>
      <c r="N76" s="13">
        <v>55</v>
      </c>
    </row>
    <row r="77" ht="15.75" spans="1:14">
      <c r="A77" s="12" t="s">
        <v>3396</v>
      </c>
      <c r="B77" s="12" t="s">
        <v>391</v>
      </c>
      <c r="C77" s="15">
        <v>24336</v>
      </c>
      <c r="D77" s="13">
        <v>58</v>
      </c>
      <c r="F77" s="12" t="s">
        <v>3397</v>
      </c>
      <c r="G77" s="12" t="s">
        <v>392</v>
      </c>
      <c r="H77" s="15">
        <v>3000000</v>
      </c>
      <c r="I77" s="13">
        <v>60</v>
      </c>
      <c r="K77" s="12" t="s">
        <v>3398</v>
      </c>
      <c r="L77" s="12" t="s">
        <v>391</v>
      </c>
      <c r="M77" s="15">
        <v>409089</v>
      </c>
      <c r="N77" s="13">
        <v>55</v>
      </c>
    </row>
    <row r="78" ht="15.75" spans="1:14">
      <c r="A78" s="12" t="s">
        <v>3399</v>
      </c>
      <c r="B78" s="12" t="s">
        <v>391</v>
      </c>
      <c r="C78" s="15">
        <v>10089</v>
      </c>
      <c r="D78" s="13">
        <v>58</v>
      </c>
      <c r="F78" s="12" t="s">
        <v>3289</v>
      </c>
      <c r="G78" s="12" t="s">
        <v>391</v>
      </c>
      <c r="H78" s="15">
        <v>118133</v>
      </c>
      <c r="I78" s="13">
        <v>60</v>
      </c>
      <c r="K78" s="12" t="s">
        <v>3400</v>
      </c>
      <c r="L78" s="12" t="s">
        <v>391</v>
      </c>
      <c r="M78" s="15">
        <v>352818</v>
      </c>
      <c r="N78" s="13">
        <v>55</v>
      </c>
    </row>
    <row r="79" ht="15.75" spans="1:14">
      <c r="A79" s="12" t="s">
        <v>3401</v>
      </c>
      <c r="B79" s="12" t="s">
        <v>391</v>
      </c>
      <c r="C79" s="15">
        <v>47138</v>
      </c>
      <c r="D79" s="13">
        <v>58</v>
      </c>
      <c r="F79" s="12" t="s">
        <v>3291</v>
      </c>
      <c r="G79" s="12" t="s">
        <v>391</v>
      </c>
      <c r="H79" s="15">
        <v>488918</v>
      </c>
      <c r="I79" s="13">
        <v>60</v>
      </c>
      <c r="K79" s="12" t="s">
        <v>3402</v>
      </c>
      <c r="L79" s="12" t="s">
        <v>391</v>
      </c>
      <c r="M79" s="15">
        <v>1021293</v>
      </c>
      <c r="N79" s="13">
        <v>55</v>
      </c>
    </row>
    <row r="80" ht="15.75" spans="1:14">
      <c r="A80" s="12" t="s">
        <v>3403</v>
      </c>
      <c r="B80" s="12" t="s">
        <v>391</v>
      </c>
      <c r="C80" s="15">
        <v>21665</v>
      </c>
      <c r="D80" s="13">
        <v>58</v>
      </c>
      <c r="F80" s="12" t="s">
        <v>3404</v>
      </c>
      <c r="G80" s="12" t="s">
        <v>392</v>
      </c>
      <c r="H80" s="15">
        <v>1000000</v>
      </c>
      <c r="I80" s="13">
        <v>60</v>
      </c>
      <c r="K80" s="12" t="s">
        <v>3405</v>
      </c>
      <c r="L80" s="12" t="s">
        <v>391</v>
      </c>
      <c r="M80" s="15">
        <v>2236355</v>
      </c>
      <c r="N80" s="13">
        <v>55</v>
      </c>
    </row>
    <row r="81" ht="15.75" spans="1:14">
      <c r="A81" s="12" t="s">
        <v>3406</v>
      </c>
      <c r="B81" s="12" t="s">
        <v>391</v>
      </c>
      <c r="C81" s="15">
        <v>27603</v>
      </c>
      <c r="D81" s="13">
        <v>58</v>
      </c>
      <c r="F81" s="12" t="s">
        <v>3407</v>
      </c>
      <c r="G81" s="12" t="s">
        <v>392</v>
      </c>
      <c r="H81" s="15">
        <v>1700000</v>
      </c>
      <c r="I81" s="13">
        <v>60</v>
      </c>
      <c r="K81" s="12" t="s">
        <v>3408</v>
      </c>
      <c r="L81" s="12" t="s">
        <v>391</v>
      </c>
      <c r="M81" s="15">
        <v>484039</v>
      </c>
      <c r="N81" s="13">
        <v>55</v>
      </c>
    </row>
    <row r="82" ht="15.75" spans="1:14">
      <c r="A82" s="12" t="s">
        <v>3409</v>
      </c>
      <c r="B82" s="12" t="s">
        <v>391</v>
      </c>
      <c r="C82" s="15">
        <v>12317</v>
      </c>
      <c r="D82" s="13">
        <v>58</v>
      </c>
      <c r="F82" s="12" t="s">
        <v>3410</v>
      </c>
      <c r="G82" s="12" t="s">
        <v>392</v>
      </c>
      <c r="H82" s="15">
        <v>2700000</v>
      </c>
      <c r="I82" s="13">
        <v>60</v>
      </c>
      <c r="K82" s="12" t="s">
        <v>3411</v>
      </c>
      <c r="L82" s="12" t="s">
        <v>391</v>
      </c>
      <c r="M82" s="15">
        <v>281002</v>
      </c>
      <c r="N82" s="13">
        <v>55</v>
      </c>
    </row>
    <row r="83" ht="15.75" spans="1:14">
      <c r="A83" s="12" t="s">
        <v>3412</v>
      </c>
      <c r="B83" s="12" t="s">
        <v>391</v>
      </c>
      <c r="C83" s="15">
        <v>33415</v>
      </c>
      <c r="D83" s="13">
        <v>58</v>
      </c>
      <c r="F83" s="12" t="s">
        <v>3413</v>
      </c>
      <c r="G83" s="12" t="s">
        <v>392</v>
      </c>
      <c r="H83" s="15">
        <v>3400000</v>
      </c>
      <c r="I83" s="13">
        <v>60</v>
      </c>
      <c r="K83" s="12" t="s">
        <v>3414</v>
      </c>
      <c r="L83" s="12" t="s">
        <v>391</v>
      </c>
      <c r="M83" s="15">
        <v>396396</v>
      </c>
      <c r="N83" s="13">
        <v>55</v>
      </c>
    </row>
    <row r="84" ht="15.75" spans="1:14">
      <c r="A84" s="12" t="s">
        <v>3415</v>
      </c>
      <c r="B84" s="12" t="s">
        <v>391</v>
      </c>
      <c r="C84" s="15">
        <v>113921</v>
      </c>
      <c r="D84" s="13">
        <v>58</v>
      </c>
      <c r="F84" s="12" t="s">
        <v>3416</v>
      </c>
      <c r="G84" s="12" t="s">
        <v>392</v>
      </c>
      <c r="H84" s="15">
        <v>1600000</v>
      </c>
      <c r="I84" s="13">
        <v>60</v>
      </c>
      <c r="K84" s="12" t="s">
        <v>3417</v>
      </c>
      <c r="L84" s="12" t="s">
        <v>391</v>
      </c>
      <c r="M84" s="15">
        <v>123213</v>
      </c>
      <c r="N84" s="13">
        <v>55</v>
      </c>
    </row>
    <row r="85" ht="15.75" spans="1:14">
      <c r="A85" s="12" t="s">
        <v>3418</v>
      </c>
      <c r="B85" s="12" t="s">
        <v>391</v>
      </c>
      <c r="C85" s="15">
        <v>1047948</v>
      </c>
      <c r="D85" s="13">
        <v>58</v>
      </c>
      <c r="F85" s="12" t="s">
        <v>3419</v>
      </c>
      <c r="G85" s="12" t="s">
        <v>392</v>
      </c>
      <c r="H85" s="15">
        <v>2045399</v>
      </c>
      <c r="I85" s="13">
        <v>60</v>
      </c>
      <c r="K85" s="12" t="s">
        <v>3420</v>
      </c>
      <c r="L85" s="12" t="s">
        <v>391</v>
      </c>
      <c r="M85" s="15">
        <v>524904</v>
      </c>
      <c r="N85" s="13">
        <v>55</v>
      </c>
    </row>
    <row r="86" ht="15.75" spans="1:14">
      <c r="A86" s="12" t="s">
        <v>3421</v>
      </c>
      <c r="B86" s="12" t="s">
        <v>391</v>
      </c>
      <c r="C86" s="15">
        <v>20017</v>
      </c>
      <c r="D86" s="13">
        <v>58</v>
      </c>
      <c r="F86" s="12" t="s">
        <v>3422</v>
      </c>
      <c r="G86" s="12" t="s">
        <v>392</v>
      </c>
      <c r="H86" s="15">
        <v>3400000</v>
      </c>
      <c r="I86" s="13">
        <v>60</v>
      </c>
      <c r="K86" s="12" t="s">
        <v>3423</v>
      </c>
      <c r="L86" s="12" t="s">
        <v>391</v>
      </c>
      <c r="M86" s="15">
        <v>190638</v>
      </c>
      <c r="N86" s="13">
        <v>54</v>
      </c>
    </row>
    <row r="87" ht="15.75" spans="1:14">
      <c r="A87" s="12" t="s">
        <v>3424</v>
      </c>
      <c r="B87" s="12" t="s">
        <v>391</v>
      </c>
      <c r="C87" s="15">
        <v>19849</v>
      </c>
      <c r="D87" s="13">
        <v>58</v>
      </c>
      <c r="F87" s="12" t="s">
        <v>3425</v>
      </c>
      <c r="G87" s="12" t="s">
        <v>392</v>
      </c>
      <c r="H87" s="15">
        <v>579900</v>
      </c>
      <c r="I87" s="13">
        <v>60</v>
      </c>
      <c r="K87" s="12" t="s">
        <v>3426</v>
      </c>
      <c r="L87" s="12" t="s">
        <v>391</v>
      </c>
      <c r="M87" s="15">
        <v>101015</v>
      </c>
      <c r="N87" s="13">
        <v>54</v>
      </c>
    </row>
    <row r="88" ht="15.75" spans="1:14">
      <c r="A88" s="12" t="s">
        <v>3427</v>
      </c>
      <c r="B88" s="12" t="s">
        <v>391</v>
      </c>
      <c r="C88" s="15">
        <v>14636</v>
      </c>
      <c r="D88" s="13">
        <v>58</v>
      </c>
      <c r="F88" s="12" t="s">
        <v>3428</v>
      </c>
      <c r="G88" s="12" t="s">
        <v>392</v>
      </c>
      <c r="H88" s="15">
        <v>2000000</v>
      </c>
      <c r="I88" s="13">
        <v>60</v>
      </c>
      <c r="K88" s="12" t="s">
        <v>3429</v>
      </c>
      <c r="L88" s="12" t="s">
        <v>391</v>
      </c>
      <c r="M88" s="15">
        <v>1883474</v>
      </c>
      <c r="N88" s="13">
        <v>54</v>
      </c>
    </row>
    <row r="89" ht="15.75" spans="1:14">
      <c r="A89" s="12" t="s">
        <v>3430</v>
      </c>
      <c r="B89" s="12" t="s">
        <v>391</v>
      </c>
      <c r="C89" s="15">
        <v>16933</v>
      </c>
      <c r="D89" s="13">
        <v>58</v>
      </c>
      <c r="F89" s="12" t="s">
        <v>3431</v>
      </c>
      <c r="G89" s="12" t="s">
        <v>392</v>
      </c>
      <c r="H89" s="15">
        <v>5696374</v>
      </c>
      <c r="I89" s="13">
        <v>60</v>
      </c>
      <c r="K89" s="12" t="s">
        <v>3432</v>
      </c>
      <c r="L89" s="12" t="s">
        <v>391</v>
      </c>
      <c r="M89" s="15">
        <v>535764</v>
      </c>
      <c r="N89" s="13">
        <v>54</v>
      </c>
    </row>
    <row r="90" ht="15.75" spans="1:14">
      <c r="A90" s="12" t="s">
        <v>3433</v>
      </c>
      <c r="B90" s="12" t="s">
        <v>391</v>
      </c>
      <c r="C90" s="15">
        <v>11078</v>
      </c>
      <c r="D90" s="13">
        <v>58</v>
      </c>
      <c r="F90" s="12" t="s">
        <v>3434</v>
      </c>
      <c r="G90" s="12" t="s">
        <v>392</v>
      </c>
      <c r="H90" s="15">
        <v>270000</v>
      </c>
      <c r="I90" s="13">
        <v>60</v>
      </c>
      <c r="K90" s="12" t="s">
        <v>3435</v>
      </c>
      <c r="L90" s="12" t="s">
        <v>391</v>
      </c>
      <c r="M90" s="15">
        <v>383298</v>
      </c>
      <c r="N90" s="13">
        <v>54</v>
      </c>
    </row>
    <row r="91" ht="15.75" spans="1:14">
      <c r="A91" s="12" t="s">
        <v>3436</v>
      </c>
      <c r="B91" s="12" t="s">
        <v>391</v>
      </c>
      <c r="C91" s="15">
        <v>10380</v>
      </c>
      <c r="D91" s="13">
        <v>58</v>
      </c>
      <c r="F91" s="12" t="s">
        <v>3437</v>
      </c>
      <c r="G91" s="12" t="s">
        <v>392</v>
      </c>
      <c r="H91" s="15">
        <v>260900</v>
      </c>
      <c r="I91" s="13">
        <v>60</v>
      </c>
      <c r="K91" s="12" t="s">
        <v>3438</v>
      </c>
      <c r="L91" s="12" t="s">
        <v>391</v>
      </c>
      <c r="M91" s="15">
        <v>363535</v>
      </c>
      <c r="N91" s="13">
        <v>54</v>
      </c>
    </row>
    <row r="92" ht="15.75" spans="1:14">
      <c r="A92" s="12" t="s">
        <v>3439</v>
      </c>
      <c r="B92" s="12" t="s">
        <v>391</v>
      </c>
      <c r="C92" s="15">
        <v>17488</v>
      </c>
      <c r="D92" s="13">
        <v>58</v>
      </c>
      <c r="F92" s="12" t="s">
        <v>3440</v>
      </c>
      <c r="G92" s="12" t="s">
        <v>392</v>
      </c>
      <c r="H92" s="15">
        <v>1400000</v>
      </c>
      <c r="I92" s="13">
        <v>60</v>
      </c>
      <c r="K92" s="12" t="s">
        <v>3441</v>
      </c>
      <c r="L92" s="12" t="s">
        <v>391</v>
      </c>
      <c r="M92" s="15">
        <v>546452</v>
      </c>
      <c r="N92" s="13">
        <v>54</v>
      </c>
    </row>
    <row r="93" ht="15.75" spans="1:14">
      <c r="A93" s="12" t="s">
        <v>3442</v>
      </c>
      <c r="B93" s="12" t="s">
        <v>391</v>
      </c>
      <c r="C93" s="15">
        <v>33514</v>
      </c>
      <c r="D93" s="13">
        <v>58</v>
      </c>
      <c r="F93" s="12" t="s">
        <v>3294</v>
      </c>
      <c r="G93" s="12" t="s">
        <v>391</v>
      </c>
      <c r="H93" s="15">
        <v>43600</v>
      </c>
      <c r="I93" s="13">
        <v>60</v>
      </c>
      <c r="K93" s="12" t="s">
        <v>3443</v>
      </c>
      <c r="L93" s="12" t="s">
        <v>391</v>
      </c>
      <c r="M93" s="15">
        <v>2512148</v>
      </c>
      <c r="N93" s="13">
        <v>54</v>
      </c>
    </row>
    <row r="94" ht="15.75" spans="1:14">
      <c r="A94" s="12" t="s">
        <v>3444</v>
      </c>
      <c r="B94" s="12" t="s">
        <v>391</v>
      </c>
      <c r="C94" s="15">
        <v>15251</v>
      </c>
      <c r="D94" s="13">
        <v>58</v>
      </c>
      <c r="F94" s="12" t="s">
        <v>3445</v>
      </c>
      <c r="G94" s="12" t="s">
        <v>392</v>
      </c>
      <c r="H94" s="15">
        <v>93600</v>
      </c>
      <c r="I94" s="13">
        <v>60</v>
      </c>
      <c r="K94" s="12" t="s">
        <v>3266</v>
      </c>
      <c r="L94" s="12" t="s">
        <v>391</v>
      </c>
      <c r="M94" s="15">
        <v>375972</v>
      </c>
      <c r="N94" s="13">
        <v>53</v>
      </c>
    </row>
    <row r="95" ht="15.75" spans="1:14">
      <c r="A95" s="12" t="s">
        <v>3446</v>
      </c>
      <c r="B95" s="12" t="s">
        <v>391</v>
      </c>
      <c r="C95" s="15">
        <v>11842</v>
      </c>
      <c r="D95" s="13">
        <v>58</v>
      </c>
      <c r="F95" s="12" t="s">
        <v>3447</v>
      </c>
      <c r="G95" s="12" t="s">
        <v>392</v>
      </c>
      <c r="H95" s="15">
        <v>8000000</v>
      </c>
      <c r="I95" s="13">
        <v>60</v>
      </c>
      <c r="K95" s="12" t="s">
        <v>3271</v>
      </c>
      <c r="L95" s="12" t="s">
        <v>391</v>
      </c>
      <c r="M95" s="15">
        <v>2775736</v>
      </c>
      <c r="N95" s="13">
        <v>53</v>
      </c>
    </row>
    <row r="96" ht="15.75" spans="1:14">
      <c r="A96" s="12" t="s">
        <v>3448</v>
      </c>
      <c r="B96" s="12" t="s">
        <v>391</v>
      </c>
      <c r="C96" s="15">
        <v>22375</v>
      </c>
      <c r="D96" s="13">
        <v>58</v>
      </c>
      <c r="F96" s="12" t="s">
        <v>3449</v>
      </c>
      <c r="G96" s="12" t="s">
        <v>391</v>
      </c>
      <c r="H96" s="15">
        <v>290065</v>
      </c>
      <c r="I96" s="13">
        <v>59</v>
      </c>
      <c r="K96" s="12" t="s">
        <v>3450</v>
      </c>
      <c r="L96" s="12" t="s">
        <v>391</v>
      </c>
      <c r="M96" s="15">
        <v>181789</v>
      </c>
      <c r="N96" s="13">
        <v>53</v>
      </c>
    </row>
    <row r="97" ht="15.75" spans="1:14">
      <c r="A97" s="12" t="s">
        <v>3451</v>
      </c>
      <c r="B97" s="12" t="s">
        <v>391</v>
      </c>
      <c r="C97" s="15">
        <v>73663</v>
      </c>
      <c r="D97" s="13">
        <v>58</v>
      </c>
      <c r="F97" s="12" t="s">
        <v>3312</v>
      </c>
      <c r="G97" s="12" t="s">
        <v>391</v>
      </c>
      <c r="H97" s="15">
        <v>364007</v>
      </c>
      <c r="I97" s="13">
        <v>59</v>
      </c>
      <c r="K97" s="12" t="s">
        <v>3275</v>
      </c>
      <c r="L97" s="12" t="s">
        <v>391</v>
      </c>
      <c r="M97" s="15">
        <v>135115</v>
      </c>
      <c r="N97" s="13">
        <v>53</v>
      </c>
    </row>
    <row r="98" ht="15.75" spans="1:14">
      <c r="A98" s="12" t="s">
        <v>3452</v>
      </c>
      <c r="B98" s="12" t="s">
        <v>391</v>
      </c>
      <c r="C98" s="15">
        <v>30803</v>
      </c>
      <c r="D98" s="13">
        <v>58</v>
      </c>
      <c r="F98" s="12" t="s">
        <v>3353</v>
      </c>
      <c r="G98" s="12" t="s">
        <v>391</v>
      </c>
      <c r="H98" s="15">
        <v>102105</v>
      </c>
      <c r="I98" s="13">
        <v>59</v>
      </c>
      <c r="K98" s="12" t="s">
        <v>3278</v>
      </c>
      <c r="L98" s="12" t="s">
        <v>391</v>
      </c>
      <c r="M98" s="15">
        <v>110416</v>
      </c>
      <c r="N98" s="13">
        <v>53</v>
      </c>
    </row>
    <row r="99" ht="15.75" spans="1:14">
      <c r="A99" s="12" t="s">
        <v>3453</v>
      </c>
      <c r="B99" s="12" t="s">
        <v>391</v>
      </c>
      <c r="C99" s="15">
        <v>33218</v>
      </c>
      <c r="D99" s="13">
        <v>58</v>
      </c>
      <c r="F99" s="12" t="s">
        <v>3454</v>
      </c>
      <c r="G99" s="12" t="s">
        <v>391</v>
      </c>
      <c r="H99" s="15">
        <v>139014</v>
      </c>
      <c r="I99" s="13">
        <v>59</v>
      </c>
      <c r="K99" s="12" t="s">
        <v>3281</v>
      </c>
      <c r="L99" s="12" t="s">
        <v>391</v>
      </c>
      <c r="M99" s="15">
        <v>1406645</v>
      </c>
      <c r="N99" s="13">
        <v>53</v>
      </c>
    </row>
    <row r="100" ht="15.75" spans="1:14">
      <c r="A100" s="12" t="s">
        <v>3455</v>
      </c>
      <c r="B100" s="12" t="s">
        <v>391</v>
      </c>
      <c r="C100" s="15">
        <v>16714</v>
      </c>
      <c r="D100" s="13">
        <v>58</v>
      </c>
      <c r="F100" s="12" t="s">
        <v>2378</v>
      </c>
      <c r="G100" s="12" t="s">
        <v>391</v>
      </c>
      <c r="H100" s="15">
        <v>75052814</v>
      </c>
      <c r="I100" s="13">
        <v>59</v>
      </c>
      <c r="K100" s="12" t="s">
        <v>3240</v>
      </c>
      <c r="L100" s="12" t="s">
        <v>391</v>
      </c>
      <c r="M100" s="15">
        <v>125170</v>
      </c>
      <c r="N100" s="13">
        <v>53</v>
      </c>
    </row>
    <row r="101" ht="15.75" spans="1:14">
      <c r="A101" s="12" t="s">
        <v>3456</v>
      </c>
      <c r="B101" s="12" t="s">
        <v>391</v>
      </c>
      <c r="C101" s="15">
        <v>17130</v>
      </c>
      <c r="D101" s="13">
        <v>58</v>
      </c>
      <c r="F101" s="12" t="s">
        <v>3336</v>
      </c>
      <c r="G101" s="12" t="s">
        <v>391</v>
      </c>
      <c r="H101" s="15">
        <v>142611</v>
      </c>
      <c r="I101" s="13">
        <v>59</v>
      </c>
      <c r="K101" s="12" t="s">
        <v>3286</v>
      </c>
      <c r="L101" s="12" t="s">
        <v>391</v>
      </c>
      <c r="M101" s="15">
        <v>1436816</v>
      </c>
      <c r="N101" s="13">
        <v>53</v>
      </c>
    </row>
    <row r="102" ht="15.75" spans="1:14">
      <c r="A102" s="12" t="s">
        <v>3457</v>
      </c>
      <c r="B102" s="12" t="s">
        <v>391</v>
      </c>
      <c r="C102" s="15">
        <v>21319</v>
      </c>
      <c r="D102" s="13">
        <v>58</v>
      </c>
      <c r="F102" s="12" t="s">
        <v>3458</v>
      </c>
      <c r="G102" s="12" t="s">
        <v>392</v>
      </c>
      <c r="H102" s="15">
        <v>48099</v>
      </c>
      <c r="I102" s="13">
        <v>58</v>
      </c>
      <c r="K102" s="12" t="s">
        <v>3289</v>
      </c>
      <c r="L102" s="12" t="s">
        <v>391</v>
      </c>
      <c r="M102" s="15">
        <v>118133</v>
      </c>
      <c r="N102" s="13">
        <v>53</v>
      </c>
    </row>
    <row r="103" ht="15.75" spans="1:14">
      <c r="A103" s="12" t="s">
        <v>3459</v>
      </c>
      <c r="B103" s="12" t="s">
        <v>391</v>
      </c>
      <c r="C103" s="15">
        <v>32093</v>
      </c>
      <c r="D103" s="13">
        <v>58</v>
      </c>
      <c r="F103" s="12" t="s">
        <v>3460</v>
      </c>
      <c r="G103" s="12" t="s">
        <v>392</v>
      </c>
      <c r="H103" s="15">
        <v>20247</v>
      </c>
      <c r="I103" s="13">
        <v>58</v>
      </c>
      <c r="K103" s="12" t="s">
        <v>3291</v>
      </c>
      <c r="L103" s="12" t="s">
        <v>391</v>
      </c>
      <c r="M103" s="15">
        <v>488918</v>
      </c>
      <c r="N103" s="13">
        <v>53</v>
      </c>
    </row>
    <row r="104" ht="15.75" spans="1:14">
      <c r="A104" s="12" t="s">
        <v>3461</v>
      </c>
      <c r="B104" s="12" t="s">
        <v>391</v>
      </c>
      <c r="C104" s="15">
        <v>55538</v>
      </c>
      <c r="D104" s="13">
        <v>58</v>
      </c>
      <c r="F104" s="12" t="s">
        <v>3462</v>
      </c>
      <c r="G104" s="12" t="s">
        <v>392</v>
      </c>
      <c r="H104" s="15">
        <v>529800</v>
      </c>
      <c r="I104" s="13">
        <v>58</v>
      </c>
      <c r="K104" s="12" t="s">
        <v>3463</v>
      </c>
      <c r="L104" s="12" t="s">
        <v>392</v>
      </c>
      <c r="M104" s="15">
        <v>1300000</v>
      </c>
      <c r="N104" s="13">
        <v>53</v>
      </c>
    </row>
    <row r="105" ht="15.75" spans="1:14">
      <c r="A105" s="12" t="s">
        <v>3464</v>
      </c>
      <c r="B105" s="12" t="s">
        <v>391</v>
      </c>
      <c r="C105" s="15">
        <v>15586</v>
      </c>
      <c r="D105" s="13">
        <v>58</v>
      </c>
      <c r="F105" s="12" t="s">
        <v>3465</v>
      </c>
      <c r="G105" s="12" t="s">
        <v>391</v>
      </c>
      <c r="H105" s="15">
        <v>31400</v>
      </c>
      <c r="I105" s="13">
        <v>58</v>
      </c>
      <c r="K105" s="12" t="s">
        <v>3466</v>
      </c>
      <c r="L105" s="12" t="s">
        <v>391</v>
      </c>
      <c r="M105" s="15">
        <v>157873</v>
      </c>
      <c r="N105" s="13">
        <v>52</v>
      </c>
    </row>
    <row r="106" ht="15.75" spans="1:14">
      <c r="A106" s="12" t="s">
        <v>3467</v>
      </c>
      <c r="B106" s="12" t="s">
        <v>391</v>
      </c>
      <c r="C106" s="15">
        <v>17076</v>
      </c>
      <c r="D106" s="13">
        <v>58</v>
      </c>
      <c r="F106" s="12" t="s">
        <v>3468</v>
      </c>
      <c r="G106" s="12" t="s">
        <v>392</v>
      </c>
      <c r="H106" s="15">
        <v>178707</v>
      </c>
      <c r="I106" s="13">
        <v>58</v>
      </c>
      <c r="K106" s="12" t="s">
        <v>3312</v>
      </c>
      <c r="L106" s="12" t="s">
        <v>391</v>
      </c>
      <c r="M106" s="15">
        <v>364007</v>
      </c>
      <c r="N106" s="13">
        <v>52</v>
      </c>
    </row>
    <row r="107" ht="15.75" spans="1:14">
      <c r="A107" s="12" t="s">
        <v>3469</v>
      </c>
      <c r="B107" s="12" t="s">
        <v>391</v>
      </c>
      <c r="C107" s="15">
        <v>20606</v>
      </c>
      <c r="D107" s="13">
        <v>58</v>
      </c>
      <c r="F107" s="12" t="s">
        <v>3470</v>
      </c>
      <c r="G107" s="12" t="s">
        <v>392</v>
      </c>
      <c r="H107" s="15">
        <v>330900</v>
      </c>
      <c r="I107" s="13">
        <v>58</v>
      </c>
      <c r="K107" s="12" t="s">
        <v>3471</v>
      </c>
      <c r="L107" s="12" t="s">
        <v>391</v>
      </c>
      <c r="M107" s="15">
        <v>336849</v>
      </c>
      <c r="N107" s="13">
        <v>52</v>
      </c>
    </row>
    <row r="108" ht="15.75" spans="1:14">
      <c r="A108" s="12" t="s">
        <v>3472</v>
      </c>
      <c r="B108" s="12" t="s">
        <v>391</v>
      </c>
      <c r="C108" s="15">
        <v>30166</v>
      </c>
      <c r="D108" s="13">
        <v>58</v>
      </c>
      <c r="F108" s="12" t="s">
        <v>3473</v>
      </c>
      <c r="G108" s="12" t="s">
        <v>391</v>
      </c>
      <c r="H108" s="15">
        <v>21379</v>
      </c>
      <c r="I108" s="13">
        <v>58</v>
      </c>
      <c r="K108" s="12" t="s">
        <v>3474</v>
      </c>
      <c r="L108" s="12" t="s">
        <v>391</v>
      </c>
      <c r="M108" s="15">
        <v>283926</v>
      </c>
      <c r="N108" s="13">
        <v>52</v>
      </c>
    </row>
    <row r="109" ht="15.75" spans="1:14">
      <c r="A109" s="12" t="s">
        <v>3475</v>
      </c>
      <c r="B109" s="12" t="s">
        <v>391</v>
      </c>
      <c r="C109" s="15">
        <v>11955</v>
      </c>
      <c r="D109" s="13">
        <v>58</v>
      </c>
      <c r="F109" s="12" t="s">
        <v>3476</v>
      </c>
      <c r="G109" s="12" t="s">
        <v>392</v>
      </c>
      <c r="H109" s="15">
        <v>105775</v>
      </c>
      <c r="I109" s="13">
        <v>58</v>
      </c>
      <c r="K109" s="12" t="s">
        <v>3477</v>
      </c>
      <c r="L109" s="12" t="s">
        <v>391</v>
      </c>
      <c r="M109" s="15">
        <v>275159</v>
      </c>
      <c r="N109" s="13">
        <v>52</v>
      </c>
    </row>
    <row r="110" ht="15.75" spans="1:14">
      <c r="A110" s="12" t="s">
        <v>3478</v>
      </c>
      <c r="B110" s="12" t="s">
        <v>391</v>
      </c>
      <c r="C110" s="15">
        <v>21589</v>
      </c>
      <c r="D110" s="13">
        <v>58</v>
      </c>
      <c r="F110" s="12" t="s">
        <v>3479</v>
      </c>
      <c r="G110" s="12" t="s">
        <v>392</v>
      </c>
      <c r="H110" s="15">
        <v>33645</v>
      </c>
      <c r="I110" s="13">
        <v>58</v>
      </c>
      <c r="K110" s="12" t="s">
        <v>3480</v>
      </c>
      <c r="L110" s="12" t="s">
        <v>391</v>
      </c>
      <c r="M110" s="15">
        <v>101157</v>
      </c>
      <c r="N110" s="13">
        <v>52</v>
      </c>
    </row>
    <row r="111" ht="15.75" spans="1:14">
      <c r="A111" s="12" t="s">
        <v>3481</v>
      </c>
      <c r="B111" s="12" t="s">
        <v>391</v>
      </c>
      <c r="C111" s="15">
        <v>23288</v>
      </c>
      <c r="D111" s="13">
        <v>58</v>
      </c>
      <c r="F111" s="12" t="s">
        <v>3482</v>
      </c>
      <c r="G111" s="12" t="s">
        <v>392</v>
      </c>
      <c r="H111" s="15">
        <v>23500</v>
      </c>
      <c r="I111" s="13">
        <v>58</v>
      </c>
      <c r="K111" s="12" t="s">
        <v>3483</v>
      </c>
      <c r="L111" s="12" t="s">
        <v>391</v>
      </c>
      <c r="M111" s="15">
        <v>423744</v>
      </c>
      <c r="N111" s="13">
        <v>52</v>
      </c>
    </row>
    <row r="112" ht="15.75" spans="1:14">
      <c r="A112" s="12" t="s">
        <v>3484</v>
      </c>
      <c r="B112" s="12" t="s">
        <v>391</v>
      </c>
      <c r="C112" s="15">
        <v>22925</v>
      </c>
      <c r="D112" s="13">
        <v>58</v>
      </c>
      <c r="F112" s="12" t="s">
        <v>3485</v>
      </c>
      <c r="G112" s="12" t="s">
        <v>392</v>
      </c>
      <c r="H112" s="15">
        <v>92500</v>
      </c>
      <c r="I112" s="13">
        <v>58</v>
      </c>
      <c r="K112" s="12" t="s">
        <v>3234</v>
      </c>
      <c r="L112" s="12" t="s">
        <v>391</v>
      </c>
      <c r="M112" s="15">
        <v>102895</v>
      </c>
      <c r="N112" s="13">
        <v>51</v>
      </c>
    </row>
    <row r="113" ht="15.75" spans="1:14">
      <c r="A113" s="12" t="s">
        <v>3486</v>
      </c>
      <c r="B113" s="12" t="s">
        <v>391</v>
      </c>
      <c r="C113" s="15">
        <v>27496</v>
      </c>
      <c r="D113" s="13">
        <v>58</v>
      </c>
      <c r="F113" s="12" t="s">
        <v>3487</v>
      </c>
      <c r="G113" s="12" t="s">
        <v>392</v>
      </c>
      <c r="H113" s="15">
        <v>76600</v>
      </c>
      <c r="I113" s="13">
        <v>58</v>
      </c>
      <c r="K113" s="12" t="s">
        <v>3488</v>
      </c>
      <c r="L113" s="12" t="s">
        <v>391</v>
      </c>
      <c r="M113" s="15">
        <v>248772</v>
      </c>
      <c r="N113" s="13">
        <v>51</v>
      </c>
    </row>
    <row r="114" ht="15.75" spans="1:14">
      <c r="A114" s="12" t="s">
        <v>3489</v>
      </c>
      <c r="B114" s="12" t="s">
        <v>391</v>
      </c>
      <c r="C114" s="15">
        <v>42590</v>
      </c>
      <c r="D114" s="13">
        <v>58</v>
      </c>
      <c r="F114" s="12" t="s">
        <v>3490</v>
      </c>
      <c r="G114" s="12" t="s">
        <v>392</v>
      </c>
      <c r="H114" s="15">
        <v>39992</v>
      </c>
      <c r="I114" s="13">
        <v>58</v>
      </c>
      <c r="K114" s="12" t="s">
        <v>3491</v>
      </c>
      <c r="L114" s="12" t="s">
        <v>392</v>
      </c>
      <c r="M114" s="15">
        <v>5400000</v>
      </c>
      <c r="N114" s="13">
        <v>51</v>
      </c>
    </row>
    <row r="115" ht="15.75" spans="1:14">
      <c r="A115" s="12" t="s">
        <v>3492</v>
      </c>
      <c r="B115" s="12" t="s">
        <v>391</v>
      </c>
      <c r="C115" s="15">
        <v>11028</v>
      </c>
      <c r="D115" s="13">
        <v>58</v>
      </c>
      <c r="F115" s="12" t="s">
        <v>3493</v>
      </c>
      <c r="G115" s="12" t="s">
        <v>392</v>
      </c>
      <c r="H115" s="15">
        <v>235500</v>
      </c>
      <c r="I115" s="13">
        <v>58</v>
      </c>
      <c r="K115" s="12" t="s">
        <v>2365</v>
      </c>
      <c r="L115" s="12" t="s">
        <v>391</v>
      </c>
      <c r="M115" s="15">
        <v>679264838</v>
      </c>
      <c r="N115" s="13">
        <v>51</v>
      </c>
    </row>
    <row r="116" ht="15.75" spans="1:14">
      <c r="A116" s="12" t="s">
        <v>3494</v>
      </c>
      <c r="B116" s="12" t="s">
        <v>391</v>
      </c>
      <c r="C116" s="15">
        <v>11247</v>
      </c>
      <c r="D116" s="13">
        <v>58</v>
      </c>
      <c r="F116" s="12" t="s">
        <v>3495</v>
      </c>
      <c r="G116" s="12" t="s">
        <v>392</v>
      </c>
      <c r="H116" s="15">
        <v>23020</v>
      </c>
      <c r="I116" s="13">
        <v>58</v>
      </c>
      <c r="K116" s="12" t="s">
        <v>3496</v>
      </c>
      <c r="L116" s="12" t="s">
        <v>391</v>
      </c>
      <c r="M116" s="15">
        <v>611395</v>
      </c>
      <c r="N116" s="13">
        <v>51</v>
      </c>
    </row>
    <row r="117" ht="15.75" spans="1:14">
      <c r="A117" s="12" t="s">
        <v>3497</v>
      </c>
      <c r="B117" s="12" t="s">
        <v>391</v>
      </c>
      <c r="C117" s="15">
        <v>21368</v>
      </c>
      <c r="D117" s="13">
        <v>58</v>
      </c>
      <c r="F117" s="12" t="s">
        <v>3498</v>
      </c>
      <c r="G117" s="12" t="s">
        <v>391</v>
      </c>
      <c r="H117" s="15">
        <v>21151</v>
      </c>
      <c r="I117" s="13">
        <v>58</v>
      </c>
      <c r="K117" s="12" t="s">
        <v>3237</v>
      </c>
      <c r="L117" s="12" t="s">
        <v>391</v>
      </c>
      <c r="M117" s="15">
        <v>636731</v>
      </c>
      <c r="N117" s="13">
        <v>51</v>
      </c>
    </row>
    <row r="118" ht="15.75" spans="1:14">
      <c r="A118" s="12" t="s">
        <v>3499</v>
      </c>
      <c r="B118" s="12" t="s">
        <v>391</v>
      </c>
      <c r="C118" s="15">
        <v>14513</v>
      </c>
      <c r="D118" s="13">
        <v>58</v>
      </c>
      <c r="F118" s="12" t="s">
        <v>3500</v>
      </c>
      <c r="G118" s="12" t="s">
        <v>392</v>
      </c>
      <c r="H118" s="15">
        <v>157639</v>
      </c>
      <c r="I118" s="13">
        <v>58</v>
      </c>
      <c r="K118" s="12" t="s">
        <v>2434</v>
      </c>
      <c r="L118" s="12" t="s">
        <v>391</v>
      </c>
      <c r="M118" s="15">
        <v>14398391</v>
      </c>
      <c r="N118" s="13">
        <v>51</v>
      </c>
    </row>
    <row r="119" ht="15.75" spans="1:14">
      <c r="A119" s="12" t="s">
        <v>3501</v>
      </c>
      <c r="B119" s="12" t="s">
        <v>391</v>
      </c>
      <c r="C119" s="15">
        <v>10936</v>
      </c>
      <c r="D119" s="13">
        <v>58</v>
      </c>
      <c r="F119" s="12" t="s">
        <v>3502</v>
      </c>
      <c r="G119" s="12" t="s">
        <v>391</v>
      </c>
      <c r="H119" s="15">
        <v>15662</v>
      </c>
      <c r="I119" s="13">
        <v>58</v>
      </c>
      <c r="K119" s="12" t="s">
        <v>3415</v>
      </c>
      <c r="L119" s="12" t="s">
        <v>391</v>
      </c>
      <c r="M119" s="15">
        <v>113921</v>
      </c>
      <c r="N119" s="13">
        <v>51</v>
      </c>
    </row>
    <row r="120" ht="15.75" spans="1:14">
      <c r="A120" s="12" t="s">
        <v>3503</v>
      </c>
      <c r="B120" s="12" t="s">
        <v>391</v>
      </c>
      <c r="C120" s="15">
        <v>12704</v>
      </c>
      <c r="D120" s="13">
        <v>58</v>
      </c>
      <c r="F120" s="12" t="s">
        <v>3504</v>
      </c>
      <c r="G120" s="12" t="s">
        <v>392</v>
      </c>
      <c r="H120" s="15">
        <v>16457</v>
      </c>
      <c r="I120" s="13">
        <v>58</v>
      </c>
      <c r="K120" s="12" t="s">
        <v>3418</v>
      </c>
      <c r="L120" s="12" t="s">
        <v>391</v>
      </c>
      <c r="M120" s="15">
        <v>1047948</v>
      </c>
      <c r="N120" s="13">
        <v>51</v>
      </c>
    </row>
    <row r="121" ht="15.75" spans="1:14">
      <c r="A121" s="12" t="s">
        <v>3505</v>
      </c>
      <c r="B121" s="12" t="s">
        <v>391</v>
      </c>
      <c r="C121" s="15">
        <v>10727</v>
      </c>
      <c r="D121" s="13">
        <v>58</v>
      </c>
      <c r="F121" s="12" t="s">
        <v>3506</v>
      </c>
      <c r="G121" s="12" t="s">
        <v>392</v>
      </c>
      <c r="H121" s="15">
        <v>17064</v>
      </c>
      <c r="I121" s="13">
        <v>58</v>
      </c>
      <c r="K121" s="12" t="s">
        <v>2395</v>
      </c>
      <c r="L121" s="12" t="s">
        <v>392</v>
      </c>
      <c r="M121" s="15">
        <v>26200000</v>
      </c>
      <c r="N121" s="13">
        <v>51</v>
      </c>
    </row>
    <row r="122" ht="15.75" spans="1:14">
      <c r="A122" s="12" t="s">
        <v>3507</v>
      </c>
      <c r="B122" s="12" t="s">
        <v>391</v>
      </c>
      <c r="C122" s="15">
        <v>17289</v>
      </c>
      <c r="D122" s="13">
        <v>58</v>
      </c>
      <c r="F122" s="12" t="s">
        <v>3508</v>
      </c>
      <c r="G122" s="12" t="s">
        <v>392</v>
      </c>
      <c r="H122" s="15">
        <v>27675</v>
      </c>
      <c r="I122" s="13">
        <v>58</v>
      </c>
      <c r="K122" s="12" t="s">
        <v>2474</v>
      </c>
      <c r="L122" s="12" t="s">
        <v>391</v>
      </c>
      <c r="M122" s="15">
        <v>12163586</v>
      </c>
      <c r="N122" s="13">
        <v>51</v>
      </c>
    </row>
    <row r="123" ht="15.75" spans="1:14">
      <c r="A123" s="12" t="s">
        <v>3509</v>
      </c>
      <c r="B123" s="12" t="s">
        <v>391</v>
      </c>
      <c r="C123" s="15">
        <v>24896</v>
      </c>
      <c r="D123" s="13">
        <v>58</v>
      </c>
      <c r="F123" s="12" t="s">
        <v>2481</v>
      </c>
      <c r="G123" s="12" t="s">
        <v>392</v>
      </c>
      <c r="H123" s="15">
        <v>12100000</v>
      </c>
      <c r="I123" s="13">
        <v>58</v>
      </c>
      <c r="K123" s="12" t="s">
        <v>3510</v>
      </c>
      <c r="L123" s="12" t="s">
        <v>391</v>
      </c>
      <c r="M123" s="15">
        <v>797948</v>
      </c>
      <c r="N123" s="13">
        <v>51</v>
      </c>
    </row>
    <row r="124" ht="15.75" spans="1:14">
      <c r="A124" s="12" t="s">
        <v>3511</v>
      </c>
      <c r="B124" s="12" t="s">
        <v>391</v>
      </c>
      <c r="C124" s="15">
        <v>15693</v>
      </c>
      <c r="D124" s="13">
        <v>58</v>
      </c>
      <c r="F124" s="12" t="s">
        <v>3512</v>
      </c>
      <c r="G124" s="12" t="s">
        <v>392</v>
      </c>
      <c r="H124" s="15">
        <v>10809</v>
      </c>
      <c r="I124" s="13">
        <v>58</v>
      </c>
      <c r="K124" s="12" t="s">
        <v>3513</v>
      </c>
      <c r="L124" s="12" t="s">
        <v>391</v>
      </c>
      <c r="M124" s="15">
        <v>2238181</v>
      </c>
      <c r="N124" s="13">
        <v>51</v>
      </c>
    </row>
    <row r="125" ht="15.75" spans="1:14">
      <c r="A125" s="12" t="s">
        <v>3514</v>
      </c>
      <c r="B125" s="12" t="s">
        <v>391</v>
      </c>
      <c r="C125" s="15">
        <v>21912</v>
      </c>
      <c r="D125" s="13">
        <v>58</v>
      </c>
      <c r="F125" s="12" t="s">
        <v>3515</v>
      </c>
      <c r="G125" s="12" t="s">
        <v>392</v>
      </c>
      <c r="H125" s="15">
        <v>38400</v>
      </c>
      <c r="I125" s="13">
        <v>58</v>
      </c>
      <c r="K125" s="12" t="s">
        <v>3243</v>
      </c>
      <c r="L125" s="12" t="s">
        <v>391</v>
      </c>
      <c r="M125" s="15">
        <v>347725</v>
      </c>
      <c r="N125" s="13">
        <v>51</v>
      </c>
    </row>
    <row r="126" ht="15.75" spans="1:14">
      <c r="A126" s="12" t="s">
        <v>3516</v>
      </c>
      <c r="B126" s="12" t="s">
        <v>391</v>
      </c>
      <c r="C126" s="15">
        <v>10411</v>
      </c>
      <c r="D126" s="13">
        <v>58</v>
      </c>
      <c r="F126" s="12" t="s">
        <v>3517</v>
      </c>
      <c r="G126" s="12" t="s">
        <v>392</v>
      </c>
      <c r="H126" s="15">
        <v>21542</v>
      </c>
      <c r="I126" s="13">
        <v>58</v>
      </c>
      <c r="K126" s="12" t="s">
        <v>3518</v>
      </c>
      <c r="L126" s="12" t="s">
        <v>391</v>
      </c>
      <c r="M126" s="15">
        <v>122579</v>
      </c>
      <c r="N126" s="13">
        <v>50</v>
      </c>
    </row>
    <row r="127" ht="15.75" spans="1:14">
      <c r="A127" s="12" t="s">
        <v>3519</v>
      </c>
      <c r="B127" s="12" t="s">
        <v>391</v>
      </c>
      <c r="C127" s="15">
        <v>11988</v>
      </c>
      <c r="D127" s="13">
        <v>58</v>
      </c>
      <c r="F127" s="12" t="s">
        <v>3415</v>
      </c>
      <c r="G127" s="12" t="s">
        <v>391</v>
      </c>
      <c r="H127" s="15">
        <v>113921</v>
      </c>
      <c r="I127" s="13">
        <v>58</v>
      </c>
      <c r="K127" s="12" t="s">
        <v>3520</v>
      </c>
      <c r="L127" s="12" t="s">
        <v>392</v>
      </c>
      <c r="M127" s="15">
        <v>1200000</v>
      </c>
      <c r="N127" s="13">
        <v>50</v>
      </c>
    </row>
    <row r="128" ht="15.75" spans="1:14">
      <c r="A128" s="12" t="s">
        <v>3521</v>
      </c>
      <c r="B128" s="12" t="s">
        <v>391</v>
      </c>
      <c r="C128" s="15">
        <v>10180</v>
      </c>
      <c r="D128" s="13">
        <v>58</v>
      </c>
      <c r="F128" s="12" t="s">
        <v>3418</v>
      </c>
      <c r="G128" s="12" t="s">
        <v>391</v>
      </c>
      <c r="H128" s="15">
        <v>1047948</v>
      </c>
      <c r="I128" s="13">
        <v>58</v>
      </c>
      <c r="K128" s="12" t="s">
        <v>3522</v>
      </c>
      <c r="L128" s="12" t="s">
        <v>391</v>
      </c>
      <c r="M128" s="15">
        <v>1129093</v>
      </c>
      <c r="N128" s="13">
        <v>50</v>
      </c>
    </row>
    <row r="129" ht="15.75" spans="1:14">
      <c r="A129" s="12" t="s">
        <v>3523</v>
      </c>
      <c r="B129" s="12" t="s">
        <v>391</v>
      </c>
      <c r="C129" s="15">
        <v>21840</v>
      </c>
      <c r="D129" s="13">
        <v>58</v>
      </c>
      <c r="F129" s="12" t="s">
        <v>3524</v>
      </c>
      <c r="G129" s="12" t="s">
        <v>391</v>
      </c>
      <c r="H129" s="15">
        <v>17622</v>
      </c>
      <c r="I129" s="13">
        <v>58</v>
      </c>
      <c r="K129" s="12" t="s">
        <v>2401</v>
      </c>
      <c r="L129" s="12" t="s">
        <v>392</v>
      </c>
      <c r="M129" s="15">
        <v>24400000</v>
      </c>
      <c r="N129" s="13">
        <v>50</v>
      </c>
    </row>
    <row r="130" ht="15.75" spans="1:14">
      <c r="A130" s="12" t="s">
        <v>3525</v>
      </c>
      <c r="B130" s="12" t="s">
        <v>391</v>
      </c>
      <c r="C130" s="15">
        <v>10461</v>
      </c>
      <c r="D130" s="13">
        <v>58</v>
      </c>
      <c r="F130" s="12" t="s">
        <v>2486</v>
      </c>
      <c r="G130" s="12" t="s">
        <v>392</v>
      </c>
      <c r="H130" s="15">
        <v>12000000</v>
      </c>
      <c r="I130" s="13">
        <v>58</v>
      </c>
      <c r="K130" s="12" t="s">
        <v>3526</v>
      </c>
      <c r="L130" s="12" t="s">
        <v>391</v>
      </c>
      <c r="M130" s="15">
        <v>433433</v>
      </c>
      <c r="N130" s="13">
        <v>50</v>
      </c>
    </row>
    <row r="131" ht="15.75" spans="1:14">
      <c r="A131" s="12" t="s">
        <v>3527</v>
      </c>
      <c r="B131" s="12" t="s">
        <v>391</v>
      </c>
      <c r="C131" s="15">
        <v>11754</v>
      </c>
      <c r="D131" s="13">
        <v>58</v>
      </c>
      <c r="F131" s="12" t="s">
        <v>3528</v>
      </c>
      <c r="G131" s="12" t="s">
        <v>392</v>
      </c>
      <c r="H131" s="15">
        <v>10200</v>
      </c>
      <c r="I131" s="13">
        <v>58</v>
      </c>
      <c r="K131" s="12" t="s">
        <v>3529</v>
      </c>
      <c r="L131" s="12" t="s">
        <v>391</v>
      </c>
      <c r="M131" s="15">
        <v>304680</v>
      </c>
      <c r="N131" s="13">
        <v>50</v>
      </c>
    </row>
    <row r="132" ht="15.75" spans="1:14">
      <c r="A132" s="12" t="s">
        <v>3530</v>
      </c>
      <c r="B132" s="12" t="s">
        <v>391</v>
      </c>
      <c r="C132" s="15">
        <v>16937</v>
      </c>
      <c r="D132" s="13">
        <v>58</v>
      </c>
      <c r="F132" s="12" t="s">
        <v>3531</v>
      </c>
      <c r="G132" s="12" t="s">
        <v>392</v>
      </c>
      <c r="H132" s="15">
        <v>18728</v>
      </c>
      <c r="I132" s="13">
        <v>58</v>
      </c>
      <c r="K132" s="12" t="s">
        <v>3532</v>
      </c>
      <c r="L132" s="12" t="s">
        <v>391</v>
      </c>
      <c r="M132" s="15">
        <v>543897</v>
      </c>
      <c r="N132" s="13">
        <v>50</v>
      </c>
    </row>
    <row r="133" ht="15.75" spans="1:14">
      <c r="A133" s="12" t="s">
        <v>3533</v>
      </c>
      <c r="B133" s="12" t="s">
        <v>391</v>
      </c>
      <c r="C133" s="15">
        <v>10383</v>
      </c>
      <c r="D133" s="13">
        <v>58</v>
      </c>
      <c r="F133" s="12" t="s">
        <v>3534</v>
      </c>
      <c r="G133" s="12" t="s">
        <v>392</v>
      </c>
      <c r="H133" s="15">
        <v>173371</v>
      </c>
      <c r="I133" s="13">
        <v>58</v>
      </c>
      <c r="K133" s="12" t="s">
        <v>3535</v>
      </c>
      <c r="L133" s="12" t="s">
        <v>391</v>
      </c>
      <c r="M133" s="15">
        <v>130692</v>
      </c>
      <c r="N133" s="13">
        <v>50</v>
      </c>
    </row>
    <row r="134" ht="15.75" spans="1:14">
      <c r="A134" s="12" t="s">
        <v>3536</v>
      </c>
      <c r="B134" s="12" t="s">
        <v>391</v>
      </c>
      <c r="C134" s="15">
        <v>10745</v>
      </c>
      <c r="D134" s="13">
        <v>58</v>
      </c>
      <c r="F134" s="12" t="s">
        <v>3537</v>
      </c>
      <c r="G134" s="12" t="s">
        <v>392</v>
      </c>
      <c r="H134" s="15">
        <v>571000</v>
      </c>
      <c r="I134" s="13">
        <v>58</v>
      </c>
      <c r="K134" s="12" t="s">
        <v>3538</v>
      </c>
      <c r="L134" s="12" t="s">
        <v>391</v>
      </c>
      <c r="M134" s="15">
        <v>108819</v>
      </c>
      <c r="N134" s="13">
        <v>50</v>
      </c>
    </row>
    <row r="135" ht="15.75" spans="1:14">
      <c r="A135" s="12" t="s">
        <v>3539</v>
      </c>
      <c r="B135" s="12" t="s">
        <v>391</v>
      </c>
      <c r="C135" s="15">
        <v>28272</v>
      </c>
      <c r="D135" s="13">
        <v>58</v>
      </c>
      <c r="F135" s="12" t="s">
        <v>3540</v>
      </c>
      <c r="G135" s="12" t="s">
        <v>392</v>
      </c>
      <c r="H135" s="15">
        <v>176000</v>
      </c>
      <c r="I135" s="13">
        <v>58</v>
      </c>
      <c r="K135" s="12" t="s">
        <v>3541</v>
      </c>
      <c r="L135" s="12" t="s">
        <v>391</v>
      </c>
      <c r="M135" s="15">
        <v>132014</v>
      </c>
      <c r="N135" s="13">
        <v>49</v>
      </c>
    </row>
    <row r="136" ht="15.75" spans="1:14">
      <c r="A136" s="12" t="s">
        <v>3542</v>
      </c>
      <c r="B136" s="12" t="s">
        <v>391</v>
      </c>
      <c r="C136" s="15">
        <v>14429</v>
      </c>
      <c r="D136" s="13">
        <v>58</v>
      </c>
      <c r="F136" s="12" t="s">
        <v>3451</v>
      </c>
      <c r="G136" s="12" t="s">
        <v>391</v>
      </c>
      <c r="H136" s="15">
        <v>73663</v>
      </c>
      <c r="I136" s="13">
        <v>58</v>
      </c>
      <c r="K136" s="12" t="s">
        <v>3543</v>
      </c>
      <c r="L136" s="12" t="s">
        <v>391</v>
      </c>
      <c r="M136" s="15">
        <v>101693</v>
      </c>
      <c r="N136" s="13">
        <v>49</v>
      </c>
    </row>
    <row r="137" ht="15.75" spans="1:14">
      <c r="A137" s="12" t="s">
        <v>3544</v>
      </c>
      <c r="B137" s="12" t="s">
        <v>391</v>
      </c>
      <c r="C137" s="15">
        <v>12923</v>
      </c>
      <c r="D137" s="13">
        <v>58</v>
      </c>
      <c r="F137" s="12" t="s">
        <v>3545</v>
      </c>
      <c r="G137" s="12" t="s">
        <v>392</v>
      </c>
      <c r="H137" s="15">
        <v>37000</v>
      </c>
      <c r="I137" s="13">
        <v>58</v>
      </c>
      <c r="K137" s="12" t="s">
        <v>3546</v>
      </c>
      <c r="L137" s="12" t="s">
        <v>391</v>
      </c>
      <c r="M137" s="15">
        <v>267415</v>
      </c>
      <c r="N137" s="13">
        <v>49</v>
      </c>
    </row>
    <row r="138" ht="15.75" spans="1:14">
      <c r="A138" s="12" t="s">
        <v>3547</v>
      </c>
      <c r="B138" s="12" t="s">
        <v>391</v>
      </c>
      <c r="C138" s="15">
        <v>79658</v>
      </c>
      <c r="D138" s="13">
        <v>57</v>
      </c>
      <c r="F138" s="12" t="s">
        <v>3548</v>
      </c>
      <c r="G138" s="12" t="s">
        <v>392</v>
      </c>
      <c r="H138" s="15">
        <v>148700</v>
      </c>
      <c r="I138" s="13">
        <v>58</v>
      </c>
      <c r="K138" s="12" t="s">
        <v>3549</v>
      </c>
      <c r="L138" s="12" t="s">
        <v>391</v>
      </c>
      <c r="M138" s="15">
        <v>599856</v>
      </c>
      <c r="N138" s="13">
        <v>49</v>
      </c>
    </row>
    <row r="139" ht="15.75" spans="1:14">
      <c r="A139" s="12" t="s">
        <v>3550</v>
      </c>
      <c r="B139" s="12" t="s">
        <v>391</v>
      </c>
      <c r="C139" s="15">
        <v>82015</v>
      </c>
      <c r="D139" s="13">
        <v>57</v>
      </c>
      <c r="F139" s="12" t="s">
        <v>3551</v>
      </c>
      <c r="G139" s="12" t="s">
        <v>391</v>
      </c>
      <c r="H139" s="15">
        <v>392230</v>
      </c>
      <c r="I139" s="13">
        <v>58</v>
      </c>
      <c r="K139" s="12" t="s">
        <v>3552</v>
      </c>
      <c r="L139" s="12" t="s">
        <v>391</v>
      </c>
      <c r="M139" s="15">
        <v>383730</v>
      </c>
      <c r="N139" s="13">
        <v>49</v>
      </c>
    </row>
    <row r="140" ht="15.75" spans="1:14">
      <c r="A140" s="12" t="s">
        <v>3532</v>
      </c>
      <c r="B140" s="12" t="s">
        <v>391</v>
      </c>
      <c r="C140" s="15">
        <v>543897</v>
      </c>
      <c r="D140" s="13">
        <v>57</v>
      </c>
      <c r="F140" s="12" t="s">
        <v>3553</v>
      </c>
      <c r="G140" s="12" t="s">
        <v>392</v>
      </c>
      <c r="H140" s="15">
        <v>13000</v>
      </c>
      <c r="I140" s="13">
        <v>58</v>
      </c>
      <c r="K140" s="12" t="s">
        <v>3554</v>
      </c>
      <c r="L140" s="12" t="s">
        <v>391</v>
      </c>
      <c r="M140" s="15">
        <v>180114</v>
      </c>
      <c r="N140" s="13">
        <v>49</v>
      </c>
    </row>
    <row r="141" ht="15.75" spans="1:14">
      <c r="A141" s="12" t="s">
        <v>3535</v>
      </c>
      <c r="B141" s="12" t="s">
        <v>391</v>
      </c>
      <c r="C141" s="15">
        <v>130692</v>
      </c>
      <c r="D141" s="13">
        <v>57</v>
      </c>
      <c r="F141" s="12" t="s">
        <v>3555</v>
      </c>
      <c r="G141" s="12" t="s">
        <v>392</v>
      </c>
      <c r="H141" s="15">
        <v>41300</v>
      </c>
      <c r="I141" s="13">
        <v>58</v>
      </c>
      <c r="K141" s="12" t="s">
        <v>3556</v>
      </c>
      <c r="L141" s="12" t="s">
        <v>391</v>
      </c>
      <c r="M141" s="15">
        <v>3050573</v>
      </c>
      <c r="N141" s="13">
        <v>49</v>
      </c>
    </row>
    <row r="142" ht="15.75" spans="1:14">
      <c r="A142" s="12" t="s">
        <v>3538</v>
      </c>
      <c r="B142" s="12" t="s">
        <v>391</v>
      </c>
      <c r="C142" s="15">
        <v>108819</v>
      </c>
      <c r="D142" s="13">
        <v>57</v>
      </c>
      <c r="F142" s="12" t="s">
        <v>3557</v>
      </c>
      <c r="G142" s="12" t="s">
        <v>392</v>
      </c>
      <c r="H142" s="15">
        <v>3200000</v>
      </c>
      <c r="I142" s="13">
        <v>58</v>
      </c>
      <c r="K142" s="12" t="s">
        <v>3252</v>
      </c>
      <c r="L142" s="12" t="s">
        <v>391</v>
      </c>
      <c r="M142" s="15">
        <v>411474</v>
      </c>
      <c r="N142" s="13">
        <v>49</v>
      </c>
    </row>
    <row r="143" ht="15.75" spans="1:14">
      <c r="A143" s="12" t="s">
        <v>3549</v>
      </c>
      <c r="B143" s="12" t="s">
        <v>391</v>
      </c>
      <c r="C143" s="15">
        <v>599856</v>
      </c>
      <c r="D143" s="13">
        <v>56</v>
      </c>
      <c r="F143" s="12" t="s">
        <v>3558</v>
      </c>
      <c r="G143" s="12" t="s">
        <v>392</v>
      </c>
      <c r="H143" s="15">
        <v>98210</v>
      </c>
      <c r="I143" s="13">
        <v>58</v>
      </c>
      <c r="K143" s="12" t="s">
        <v>3559</v>
      </c>
      <c r="L143" s="12" t="s">
        <v>391</v>
      </c>
      <c r="M143" s="15">
        <v>197803</v>
      </c>
      <c r="N143" s="13">
        <v>49</v>
      </c>
    </row>
    <row r="144" ht="15.75" spans="1:14">
      <c r="A144" s="12" t="s">
        <v>3552</v>
      </c>
      <c r="B144" s="12" t="s">
        <v>391</v>
      </c>
      <c r="C144" s="15">
        <v>383730</v>
      </c>
      <c r="D144" s="13">
        <v>56</v>
      </c>
      <c r="F144" s="12" t="s">
        <v>3560</v>
      </c>
      <c r="G144" s="12" t="s">
        <v>392</v>
      </c>
      <c r="H144" s="15">
        <v>54400</v>
      </c>
      <c r="I144" s="13">
        <v>58</v>
      </c>
      <c r="K144" s="12" t="s">
        <v>3561</v>
      </c>
      <c r="L144" s="12" t="s">
        <v>391</v>
      </c>
      <c r="M144" s="15">
        <v>3599718</v>
      </c>
      <c r="N144" s="13">
        <v>49</v>
      </c>
    </row>
    <row r="145" ht="15.75" spans="1:14">
      <c r="A145" s="12" t="s">
        <v>3554</v>
      </c>
      <c r="B145" s="12" t="s">
        <v>391</v>
      </c>
      <c r="C145" s="15">
        <v>180114</v>
      </c>
      <c r="D145" s="13">
        <v>56</v>
      </c>
      <c r="F145" s="12" t="s">
        <v>3562</v>
      </c>
      <c r="G145" s="12" t="s">
        <v>392</v>
      </c>
      <c r="H145" s="15">
        <v>1200000</v>
      </c>
      <c r="I145" s="13">
        <v>58</v>
      </c>
      <c r="K145" s="12" t="s">
        <v>3563</v>
      </c>
      <c r="L145" s="12" t="s">
        <v>392</v>
      </c>
      <c r="M145" s="15">
        <v>1700000</v>
      </c>
      <c r="N145" s="13">
        <v>49</v>
      </c>
    </row>
    <row r="146" ht="15.75" spans="1:14">
      <c r="A146" s="12" t="s">
        <v>3564</v>
      </c>
      <c r="B146" s="12" t="s">
        <v>391</v>
      </c>
      <c r="C146" s="15">
        <v>409413</v>
      </c>
      <c r="D146" s="13">
        <v>55</v>
      </c>
      <c r="F146" s="12" t="s">
        <v>3565</v>
      </c>
      <c r="G146" s="12" t="s">
        <v>392</v>
      </c>
      <c r="H146" s="15">
        <v>21100</v>
      </c>
      <c r="I146" s="13">
        <v>58</v>
      </c>
      <c r="K146" s="12" t="s">
        <v>3566</v>
      </c>
      <c r="L146" s="12" t="s">
        <v>391</v>
      </c>
      <c r="M146" s="15">
        <v>409700</v>
      </c>
      <c r="N146" s="13">
        <v>49</v>
      </c>
    </row>
    <row r="147" ht="15.75" spans="1:14">
      <c r="A147" s="12" t="s">
        <v>3518</v>
      </c>
      <c r="B147" s="12" t="s">
        <v>391</v>
      </c>
      <c r="C147" s="15">
        <v>122579</v>
      </c>
      <c r="D147" s="13">
        <v>55</v>
      </c>
      <c r="F147" s="12" t="s">
        <v>3567</v>
      </c>
      <c r="G147" s="12" t="s">
        <v>392</v>
      </c>
      <c r="H147" s="15">
        <v>18442</v>
      </c>
      <c r="I147" s="13">
        <v>58</v>
      </c>
      <c r="K147" s="12" t="s">
        <v>3568</v>
      </c>
      <c r="L147" s="12" t="s">
        <v>391</v>
      </c>
      <c r="M147" s="15">
        <v>130272</v>
      </c>
      <c r="N147" s="13">
        <v>49</v>
      </c>
    </row>
    <row r="148" ht="15.75" spans="1:14">
      <c r="A148" s="12" t="s">
        <v>3261</v>
      </c>
      <c r="B148" s="12" t="s">
        <v>391</v>
      </c>
      <c r="C148" s="15">
        <v>195207</v>
      </c>
      <c r="D148" s="13">
        <v>55</v>
      </c>
      <c r="F148" s="12" t="s">
        <v>3569</v>
      </c>
      <c r="G148" s="12" t="s">
        <v>392</v>
      </c>
      <c r="H148" s="15">
        <v>148836</v>
      </c>
      <c r="I148" s="13">
        <v>58</v>
      </c>
      <c r="K148" s="12" t="s">
        <v>3570</v>
      </c>
      <c r="L148" s="12" t="s">
        <v>391</v>
      </c>
      <c r="M148" s="15">
        <v>110332</v>
      </c>
      <c r="N148" s="13">
        <v>49</v>
      </c>
    </row>
    <row r="149" ht="15.75" spans="1:14">
      <c r="A149" s="12" t="s">
        <v>3522</v>
      </c>
      <c r="B149" s="12" t="s">
        <v>391</v>
      </c>
      <c r="C149" s="15">
        <v>1129093</v>
      </c>
      <c r="D149" s="13">
        <v>55</v>
      </c>
      <c r="F149" s="12" t="s">
        <v>3571</v>
      </c>
      <c r="G149" s="12" t="s">
        <v>392</v>
      </c>
      <c r="H149" s="15">
        <v>126915</v>
      </c>
      <c r="I149" s="13">
        <v>58</v>
      </c>
      <c r="K149" s="12" t="s">
        <v>3572</v>
      </c>
      <c r="L149" s="12" t="s">
        <v>391</v>
      </c>
      <c r="M149" s="15">
        <v>172280</v>
      </c>
      <c r="N149" s="13">
        <v>49</v>
      </c>
    </row>
    <row r="150" ht="15.75" spans="1:14">
      <c r="A150" s="12" t="s">
        <v>3573</v>
      </c>
      <c r="B150" s="12" t="s">
        <v>391</v>
      </c>
      <c r="C150" s="15">
        <v>97558</v>
      </c>
      <c r="D150" s="13">
        <v>55</v>
      </c>
      <c r="F150" s="12" t="s">
        <v>3574</v>
      </c>
      <c r="G150" s="12" t="s">
        <v>392</v>
      </c>
      <c r="H150" s="15">
        <v>14000</v>
      </c>
      <c r="I150" s="13">
        <v>58</v>
      </c>
      <c r="K150" s="12" t="s">
        <v>2455</v>
      </c>
      <c r="L150" s="12" t="s">
        <v>392</v>
      </c>
      <c r="M150" s="15">
        <v>13100000</v>
      </c>
      <c r="N150" s="13">
        <v>49</v>
      </c>
    </row>
    <row r="151" ht="15.75" spans="1:14">
      <c r="A151" s="12" t="s">
        <v>3575</v>
      </c>
      <c r="B151" s="12" t="s">
        <v>391</v>
      </c>
      <c r="C151" s="15">
        <v>402891</v>
      </c>
      <c r="D151" s="13">
        <v>55</v>
      </c>
      <c r="F151" s="12" t="s">
        <v>3576</v>
      </c>
      <c r="G151" s="12" t="s">
        <v>392</v>
      </c>
      <c r="H151" s="15">
        <v>577067</v>
      </c>
      <c r="I151" s="13">
        <v>58</v>
      </c>
      <c r="K151" s="12" t="s">
        <v>3212</v>
      </c>
      <c r="L151" s="12" t="s">
        <v>391</v>
      </c>
      <c r="M151" s="15">
        <v>122110</v>
      </c>
      <c r="N151" s="13">
        <v>48</v>
      </c>
    </row>
    <row r="152" ht="15.75" spans="1:14">
      <c r="A152" s="12" t="s">
        <v>3577</v>
      </c>
      <c r="B152" s="12" t="s">
        <v>391</v>
      </c>
      <c r="C152" s="15">
        <v>33650</v>
      </c>
      <c r="D152" s="13">
        <v>55</v>
      </c>
      <c r="F152" s="12" t="s">
        <v>3578</v>
      </c>
      <c r="G152" s="12" t="s">
        <v>392</v>
      </c>
      <c r="H152" s="15">
        <v>357400</v>
      </c>
      <c r="I152" s="13">
        <v>58</v>
      </c>
      <c r="K152" s="12" t="s">
        <v>3222</v>
      </c>
      <c r="L152" s="12" t="s">
        <v>391</v>
      </c>
      <c r="M152" s="15">
        <v>193274</v>
      </c>
      <c r="N152" s="13">
        <v>48</v>
      </c>
    </row>
    <row r="153" ht="15.75" spans="1:14">
      <c r="A153" s="12" t="s">
        <v>3579</v>
      </c>
      <c r="B153" s="12" t="s">
        <v>391</v>
      </c>
      <c r="C153" s="15">
        <v>199857</v>
      </c>
      <c r="D153" s="13">
        <v>55</v>
      </c>
      <c r="F153" s="12" t="s">
        <v>3580</v>
      </c>
      <c r="G153" s="12" t="s">
        <v>392</v>
      </c>
      <c r="H153" s="15">
        <v>100100</v>
      </c>
      <c r="I153" s="13">
        <v>58</v>
      </c>
      <c r="K153" s="12" t="s">
        <v>3581</v>
      </c>
      <c r="L153" s="12" t="s">
        <v>391</v>
      </c>
      <c r="M153" s="15">
        <v>4874978</v>
      </c>
      <c r="N153" s="13">
        <v>48</v>
      </c>
    </row>
    <row r="154" ht="15.75" spans="1:14">
      <c r="A154" s="12" t="s">
        <v>3582</v>
      </c>
      <c r="B154" s="12" t="s">
        <v>391</v>
      </c>
      <c r="C154" s="15">
        <v>266897</v>
      </c>
      <c r="D154" s="13">
        <v>54</v>
      </c>
      <c r="F154" s="12" t="s">
        <v>3583</v>
      </c>
      <c r="G154" s="12" t="s">
        <v>392</v>
      </c>
      <c r="H154" s="15">
        <v>71100</v>
      </c>
      <c r="I154" s="13">
        <v>58</v>
      </c>
      <c r="K154" s="12" t="s">
        <v>3215</v>
      </c>
      <c r="L154" s="12" t="s">
        <v>391</v>
      </c>
      <c r="M154" s="15">
        <v>102609</v>
      </c>
      <c r="N154" s="13">
        <v>48</v>
      </c>
    </row>
    <row r="155" ht="15.75" spans="1:14">
      <c r="A155" s="12" t="s">
        <v>3584</v>
      </c>
      <c r="B155" s="12" t="s">
        <v>391</v>
      </c>
      <c r="C155" s="15">
        <v>155290</v>
      </c>
      <c r="D155" s="13">
        <v>54</v>
      </c>
      <c r="F155" s="12" t="s">
        <v>3585</v>
      </c>
      <c r="G155" s="12" t="s">
        <v>392</v>
      </c>
      <c r="H155" s="15">
        <v>314574</v>
      </c>
      <c r="I155" s="13">
        <v>58</v>
      </c>
      <c r="K155" s="12" t="s">
        <v>3564</v>
      </c>
      <c r="L155" s="12" t="s">
        <v>391</v>
      </c>
      <c r="M155" s="15">
        <v>409413</v>
      </c>
      <c r="N155" s="13">
        <v>48</v>
      </c>
    </row>
    <row r="156" ht="15.75" spans="1:14">
      <c r="A156" s="12" t="s">
        <v>3586</v>
      </c>
      <c r="B156" s="12" t="s">
        <v>391</v>
      </c>
      <c r="C156" s="15">
        <v>196466</v>
      </c>
      <c r="D156" s="13">
        <v>54</v>
      </c>
      <c r="F156" s="12" t="s">
        <v>3587</v>
      </c>
      <c r="G156" s="12" t="s">
        <v>392</v>
      </c>
      <c r="H156" s="15">
        <v>14100</v>
      </c>
      <c r="I156" s="13">
        <v>58</v>
      </c>
      <c r="K156" s="12" t="s">
        <v>3588</v>
      </c>
      <c r="L156" s="12" t="s">
        <v>391</v>
      </c>
      <c r="M156" s="15">
        <v>232244</v>
      </c>
      <c r="N156" s="13">
        <v>48</v>
      </c>
    </row>
    <row r="157" ht="15.75" spans="1:14">
      <c r="A157" s="12" t="s">
        <v>3559</v>
      </c>
      <c r="B157" s="12" t="s">
        <v>391</v>
      </c>
      <c r="C157" s="15">
        <v>197803</v>
      </c>
      <c r="D157" s="13">
        <v>54</v>
      </c>
      <c r="F157" s="12" t="s">
        <v>3589</v>
      </c>
      <c r="G157" s="12" t="s">
        <v>392</v>
      </c>
      <c r="H157" s="15">
        <v>20600</v>
      </c>
      <c r="I157" s="13">
        <v>58</v>
      </c>
      <c r="K157" s="12" t="s">
        <v>3257</v>
      </c>
      <c r="L157" s="12" t="s">
        <v>391</v>
      </c>
      <c r="M157" s="15">
        <v>117740</v>
      </c>
      <c r="N157" s="13">
        <v>48</v>
      </c>
    </row>
    <row r="158" ht="15.75" spans="1:14">
      <c r="A158" s="12" t="s">
        <v>3590</v>
      </c>
      <c r="B158" s="12" t="s">
        <v>391</v>
      </c>
      <c r="C158" s="15">
        <v>1525475</v>
      </c>
      <c r="D158" s="13">
        <v>54</v>
      </c>
      <c r="F158" s="12" t="s">
        <v>3591</v>
      </c>
      <c r="G158" s="12" t="s">
        <v>392</v>
      </c>
      <c r="H158" s="15">
        <v>33095</v>
      </c>
      <c r="I158" s="13">
        <v>58</v>
      </c>
      <c r="K158" s="12" t="s">
        <v>3592</v>
      </c>
      <c r="L158" s="12" t="s">
        <v>391</v>
      </c>
      <c r="M158" s="15">
        <v>117988</v>
      </c>
      <c r="N158" s="13">
        <v>48</v>
      </c>
    </row>
    <row r="159" ht="15.75" spans="1:14">
      <c r="A159" s="12" t="s">
        <v>3593</v>
      </c>
      <c r="B159" s="12" t="s">
        <v>391</v>
      </c>
      <c r="C159" s="15">
        <v>47226</v>
      </c>
      <c r="D159" s="13">
        <v>53</v>
      </c>
      <c r="F159" s="12" t="s">
        <v>3594</v>
      </c>
      <c r="G159" s="12" t="s">
        <v>392</v>
      </c>
      <c r="H159" s="15">
        <v>93400</v>
      </c>
      <c r="I159" s="13">
        <v>58</v>
      </c>
      <c r="K159" s="12" t="s">
        <v>3259</v>
      </c>
      <c r="L159" s="12" t="s">
        <v>391</v>
      </c>
      <c r="M159" s="15">
        <v>2961548</v>
      </c>
      <c r="N159" s="13">
        <v>48</v>
      </c>
    </row>
    <row r="160" ht="15.75" spans="1:14">
      <c r="A160" s="12" t="s">
        <v>3588</v>
      </c>
      <c r="B160" s="12" t="s">
        <v>391</v>
      </c>
      <c r="C160" s="15">
        <v>232244</v>
      </c>
      <c r="D160" s="13">
        <v>53</v>
      </c>
      <c r="F160" s="12" t="s">
        <v>3595</v>
      </c>
      <c r="G160" s="12" t="s">
        <v>392</v>
      </c>
      <c r="H160" s="15">
        <v>106300</v>
      </c>
      <c r="I160" s="13">
        <v>58</v>
      </c>
      <c r="K160" s="12" t="s">
        <v>3221</v>
      </c>
      <c r="L160" s="12" t="s">
        <v>391</v>
      </c>
      <c r="M160" s="15">
        <v>740575</v>
      </c>
      <c r="N160" s="13">
        <v>48</v>
      </c>
    </row>
    <row r="161" ht="15.75" spans="1:14">
      <c r="A161" s="12" t="s">
        <v>3592</v>
      </c>
      <c r="B161" s="12" t="s">
        <v>391</v>
      </c>
      <c r="C161" s="15">
        <v>117988</v>
      </c>
      <c r="D161" s="13">
        <v>53</v>
      </c>
      <c r="F161" s="12" t="s">
        <v>3596</v>
      </c>
      <c r="G161" s="12" t="s">
        <v>392</v>
      </c>
      <c r="H161" s="15">
        <v>20000</v>
      </c>
      <c r="I161" s="13">
        <v>58</v>
      </c>
      <c r="K161" s="12" t="s">
        <v>3597</v>
      </c>
      <c r="L161" s="12" t="s">
        <v>391</v>
      </c>
      <c r="M161" s="15">
        <v>586677</v>
      </c>
      <c r="N161" s="13">
        <v>48</v>
      </c>
    </row>
    <row r="162" ht="15.75" spans="1:14">
      <c r="A162" s="12" t="s">
        <v>3598</v>
      </c>
      <c r="B162" s="12" t="s">
        <v>391</v>
      </c>
      <c r="C162" s="15">
        <v>216560</v>
      </c>
      <c r="D162" s="13">
        <v>53</v>
      </c>
      <c r="F162" s="12" t="s">
        <v>3599</v>
      </c>
      <c r="G162" s="12" t="s">
        <v>392</v>
      </c>
      <c r="H162" s="15">
        <v>69000</v>
      </c>
      <c r="I162" s="13">
        <v>58</v>
      </c>
      <c r="K162" s="12" t="s">
        <v>3600</v>
      </c>
      <c r="L162" s="12" t="s">
        <v>391</v>
      </c>
      <c r="M162" s="15">
        <v>630106</v>
      </c>
      <c r="N162" s="13">
        <v>48</v>
      </c>
    </row>
    <row r="163" ht="15.75" spans="1:14">
      <c r="A163" s="12" t="s">
        <v>3601</v>
      </c>
      <c r="B163" s="12" t="s">
        <v>391</v>
      </c>
      <c r="C163" s="15">
        <v>55152</v>
      </c>
      <c r="D163" s="13">
        <v>53</v>
      </c>
      <c r="F163" s="12" t="s">
        <v>3602</v>
      </c>
      <c r="G163" s="12" t="s">
        <v>392</v>
      </c>
      <c r="H163" s="15">
        <v>190990</v>
      </c>
      <c r="I163" s="13">
        <v>58</v>
      </c>
      <c r="K163" s="12" t="s">
        <v>3603</v>
      </c>
      <c r="L163" s="12" t="s">
        <v>391</v>
      </c>
      <c r="M163" s="15">
        <v>123528</v>
      </c>
      <c r="N163" s="13">
        <v>48</v>
      </c>
    </row>
    <row r="164" ht="15.75" spans="1:14">
      <c r="A164" s="12" t="s">
        <v>3600</v>
      </c>
      <c r="B164" s="12" t="s">
        <v>391</v>
      </c>
      <c r="C164" s="15">
        <v>630106</v>
      </c>
      <c r="D164" s="13">
        <v>53</v>
      </c>
      <c r="F164" s="12" t="s">
        <v>3604</v>
      </c>
      <c r="G164" s="12" t="s">
        <v>392</v>
      </c>
      <c r="H164" s="15">
        <v>41934</v>
      </c>
      <c r="I164" s="13">
        <v>58</v>
      </c>
      <c r="K164" s="12" t="s">
        <v>3605</v>
      </c>
      <c r="L164" s="12" t="s">
        <v>391</v>
      </c>
      <c r="M164" s="15">
        <v>163961</v>
      </c>
      <c r="N164" s="13">
        <v>48</v>
      </c>
    </row>
    <row r="165" ht="15.75" spans="1:14">
      <c r="A165" s="12" t="s">
        <v>3606</v>
      </c>
      <c r="B165" s="12" t="s">
        <v>391</v>
      </c>
      <c r="C165" s="15">
        <v>78853</v>
      </c>
      <c r="D165" s="13">
        <v>53</v>
      </c>
      <c r="F165" s="12" t="s">
        <v>3607</v>
      </c>
      <c r="G165" s="12" t="s">
        <v>392</v>
      </c>
      <c r="H165" s="15">
        <v>58500</v>
      </c>
      <c r="I165" s="13">
        <v>58</v>
      </c>
      <c r="K165" s="12" t="s">
        <v>3608</v>
      </c>
      <c r="L165" s="12" t="s">
        <v>391</v>
      </c>
      <c r="M165" s="15">
        <v>142670</v>
      </c>
      <c r="N165" s="13">
        <v>48</v>
      </c>
    </row>
    <row r="166" ht="15.75" spans="1:14">
      <c r="A166" s="12" t="s">
        <v>3609</v>
      </c>
      <c r="B166" s="12" t="s">
        <v>391</v>
      </c>
      <c r="C166" s="15">
        <v>47304</v>
      </c>
      <c r="D166" s="13">
        <v>53</v>
      </c>
      <c r="F166" s="12" t="s">
        <v>3610</v>
      </c>
      <c r="G166" s="12" t="s">
        <v>392</v>
      </c>
      <c r="H166" s="15">
        <v>58300</v>
      </c>
      <c r="I166" s="13">
        <v>58</v>
      </c>
      <c r="K166" s="12" t="s">
        <v>3229</v>
      </c>
      <c r="L166" s="12" t="s">
        <v>391</v>
      </c>
      <c r="M166" s="15">
        <v>729181</v>
      </c>
      <c r="N166" s="13">
        <v>48</v>
      </c>
    </row>
    <row r="167" ht="15.75" spans="1:14">
      <c r="A167" s="12" t="s">
        <v>3611</v>
      </c>
      <c r="B167" s="12" t="s">
        <v>391</v>
      </c>
      <c r="C167" s="15">
        <v>63841</v>
      </c>
      <c r="D167" s="13">
        <v>53</v>
      </c>
      <c r="F167" s="12" t="s">
        <v>3612</v>
      </c>
      <c r="G167" s="12" t="s">
        <v>392</v>
      </c>
      <c r="H167" s="15">
        <v>45800</v>
      </c>
      <c r="I167" s="13">
        <v>58</v>
      </c>
      <c r="K167" s="12" t="s">
        <v>3224</v>
      </c>
      <c r="L167" s="12" t="s">
        <v>391</v>
      </c>
      <c r="M167" s="15">
        <v>324971</v>
      </c>
      <c r="N167" s="13">
        <v>48</v>
      </c>
    </row>
    <row r="168" ht="15.75" spans="1:14">
      <c r="A168" s="12" t="s">
        <v>3613</v>
      </c>
      <c r="B168" s="12" t="s">
        <v>391</v>
      </c>
      <c r="C168" s="15">
        <v>39942</v>
      </c>
      <c r="D168" s="13">
        <v>53</v>
      </c>
      <c r="F168" s="12" t="s">
        <v>3614</v>
      </c>
      <c r="G168" s="12" t="s">
        <v>392</v>
      </c>
      <c r="H168" s="15">
        <v>98909</v>
      </c>
      <c r="I168" s="13">
        <v>58</v>
      </c>
      <c r="K168" s="12" t="s">
        <v>3615</v>
      </c>
      <c r="L168" s="12" t="s">
        <v>391</v>
      </c>
      <c r="M168" s="15">
        <v>139486</v>
      </c>
      <c r="N168" s="13">
        <v>48</v>
      </c>
    </row>
    <row r="169" ht="15.75" spans="1:14">
      <c r="A169" s="12" t="s">
        <v>3616</v>
      </c>
      <c r="B169" s="12" t="s">
        <v>391</v>
      </c>
      <c r="C169" s="15">
        <v>162215</v>
      </c>
      <c r="D169" s="13">
        <v>53</v>
      </c>
      <c r="F169" s="12" t="s">
        <v>3617</v>
      </c>
      <c r="G169" s="12" t="s">
        <v>392</v>
      </c>
      <c r="H169" s="15">
        <v>111800</v>
      </c>
      <c r="I169" s="13">
        <v>58</v>
      </c>
      <c r="K169" s="12" t="s">
        <v>3618</v>
      </c>
      <c r="L169" s="12" t="s">
        <v>392</v>
      </c>
      <c r="M169" s="15">
        <v>1000000</v>
      </c>
      <c r="N169" s="13">
        <v>48</v>
      </c>
    </row>
    <row r="170" ht="15.75" spans="1:14">
      <c r="A170" s="12" t="s">
        <v>3570</v>
      </c>
      <c r="B170" s="12" t="s">
        <v>391</v>
      </c>
      <c r="C170" s="15">
        <v>110332</v>
      </c>
      <c r="D170" s="13">
        <v>53</v>
      </c>
      <c r="F170" s="12" t="s">
        <v>3619</v>
      </c>
      <c r="G170" s="12" t="s">
        <v>392</v>
      </c>
      <c r="H170" s="15">
        <v>27400</v>
      </c>
      <c r="I170" s="13">
        <v>58</v>
      </c>
      <c r="K170" s="12" t="s">
        <v>2419</v>
      </c>
      <c r="L170" s="12" t="s">
        <v>391</v>
      </c>
      <c r="M170" s="15">
        <v>17452714</v>
      </c>
      <c r="N170" s="13">
        <v>48</v>
      </c>
    </row>
    <row r="171" ht="15.75" spans="1:14">
      <c r="A171" s="12" t="s">
        <v>3620</v>
      </c>
      <c r="B171" s="12" t="s">
        <v>391</v>
      </c>
      <c r="C171" s="15">
        <v>94447</v>
      </c>
      <c r="D171" s="13">
        <v>53</v>
      </c>
      <c r="F171" s="12" t="s">
        <v>3621</v>
      </c>
      <c r="G171" s="12" t="s">
        <v>392</v>
      </c>
      <c r="H171" s="15">
        <v>10365</v>
      </c>
      <c r="I171" s="13">
        <v>58</v>
      </c>
      <c r="K171" s="12" t="s">
        <v>3226</v>
      </c>
      <c r="L171" s="12" t="s">
        <v>391</v>
      </c>
      <c r="M171" s="15">
        <v>429570</v>
      </c>
      <c r="N171" s="13">
        <v>48</v>
      </c>
    </row>
    <row r="172" ht="15.75" spans="1:14">
      <c r="A172" s="12" t="s">
        <v>3622</v>
      </c>
      <c r="B172" s="12" t="s">
        <v>391</v>
      </c>
      <c r="C172" s="15">
        <v>509170</v>
      </c>
      <c r="D172" s="13">
        <v>53</v>
      </c>
      <c r="F172" s="12" t="s">
        <v>3623</v>
      </c>
      <c r="G172" s="12" t="s">
        <v>391</v>
      </c>
      <c r="H172" s="15">
        <v>25965</v>
      </c>
      <c r="I172" s="13">
        <v>58</v>
      </c>
      <c r="K172" s="12" t="s">
        <v>3624</v>
      </c>
      <c r="L172" s="12" t="s">
        <v>391</v>
      </c>
      <c r="M172" s="15">
        <v>119230</v>
      </c>
      <c r="N172" s="13">
        <v>48</v>
      </c>
    </row>
    <row r="173" ht="15.75" spans="1:14">
      <c r="A173" s="12" t="s">
        <v>3625</v>
      </c>
      <c r="B173" s="12" t="s">
        <v>391</v>
      </c>
      <c r="C173" s="15">
        <v>332442</v>
      </c>
      <c r="D173" s="13">
        <v>53</v>
      </c>
      <c r="F173" s="12" t="s">
        <v>3626</v>
      </c>
      <c r="G173" s="12" t="s">
        <v>391</v>
      </c>
      <c r="H173" s="15">
        <v>109311</v>
      </c>
      <c r="I173" s="13">
        <v>58</v>
      </c>
      <c r="K173" s="12" t="s">
        <v>3622</v>
      </c>
      <c r="L173" s="12" t="s">
        <v>391</v>
      </c>
      <c r="M173" s="15">
        <v>509170</v>
      </c>
      <c r="N173" s="13">
        <v>48</v>
      </c>
    </row>
    <row r="174" ht="15.75" spans="1:14">
      <c r="A174" s="12" t="s">
        <v>3627</v>
      </c>
      <c r="B174" s="12" t="s">
        <v>391</v>
      </c>
      <c r="C174" s="15">
        <v>158500</v>
      </c>
      <c r="D174" s="13">
        <v>53</v>
      </c>
      <c r="F174" s="12" t="s">
        <v>3628</v>
      </c>
      <c r="G174" s="12" t="s">
        <v>392</v>
      </c>
      <c r="H174" s="15">
        <v>11873</v>
      </c>
      <c r="I174" s="13">
        <v>58</v>
      </c>
      <c r="K174" s="12" t="s">
        <v>3625</v>
      </c>
      <c r="L174" s="12" t="s">
        <v>391</v>
      </c>
      <c r="M174" s="15">
        <v>332442</v>
      </c>
      <c r="N174" s="13">
        <v>48</v>
      </c>
    </row>
    <row r="175" ht="15.75" spans="1:14">
      <c r="A175" s="12" t="s">
        <v>3629</v>
      </c>
      <c r="B175" s="12" t="s">
        <v>391</v>
      </c>
      <c r="C175" s="15">
        <v>20480</v>
      </c>
      <c r="D175" s="13">
        <v>52</v>
      </c>
      <c r="F175" s="12" t="s">
        <v>3630</v>
      </c>
      <c r="G175" s="12" t="s">
        <v>392</v>
      </c>
      <c r="H175" s="15">
        <v>57600</v>
      </c>
      <c r="I175" s="13">
        <v>58</v>
      </c>
      <c r="K175" s="12" t="s">
        <v>3336</v>
      </c>
      <c r="L175" s="12" t="s">
        <v>391</v>
      </c>
      <c r="M175" s="15">
        <v>142611</v>
      </c>
      <c r="N175" s="13">
        <v>48</v>
      </c>
    </row>
    <row r="176" ht="15.75" spans="1:14">
      <c r="A176" s="12" t="s">
        <v>2416</v>
      </c>
      <c r="B176" s="12" t="s">
        <v>391</v>
      </c>
      <c r="C176" s="15">
        <v>18018065</v>
      </c>
      <c r="D176" s="13">
        <v>52</v>
      </c>
      <c r="F176" s="12" t="s">
        <v>3518</v>
      </c>
      <c r="G176" s="12" t="s">
        <v>391</v>
      </c>
      <c r="H176" s="15">
        <v>122579</v>
      </c>
      <c r="I176" s="13">
        <v>57</v>
      </c>
      <c r="K176" s="12" t="s">
        <v>3228</v>
      </c>
      <c r="L176" s="12" t="s">
        <v>391</v>
      </c>
      <c r="M176" s="15">
        <v>299227</v>
      </c>
      <c r="N176" s="13">
        <v>48</v>
      </c>
    </row>
    <row r="177" ht="15.75" spans="1:14">
      <c r="A177" s="12" t="s">
        <v>3631</v>
      </c>
      <c r="B177" s="12" t="s">
        <v>391</v>
      </c>
      <c r="C177" s="15">
        <v>89454</v>
      </c>
      <c r="D177" s="13">
        <v>52</v>
      </c>
      <c r="F177" s="12" t="s">
        <v>3586</v>
      </c>
      <c r="G177" s="12" t="s">
        <v>391</v>
      </c>
      <c r="H177" s="15">
        <v>196466</v>
      </c>
      <c r="I177" s="13">
        <v>57</v>
      </c>
      <c r="K177" s="12" t="s">
        <v>3231</v>
      </c>
      <c r="L177" s="12" t="s">
        <v>391</v>
      </c>
      <c r="M177" s="15">
        <v>121140</v>
      </c>
      <c r="N177" s="13">
        <v>48</v>
      </c>
    </row>
    <row r="178" ht="15.75" spans="1:14">
      <c r="A178" s="12" t="s">
        <v>3632</v>
      </c>
      <c r="B178" s="12" t="s">
        <v>391</v>
      </c>
      <c r="C178" s="15">
        <v>574646</v>
      </c>
      <c r="D178" s="13">
        <v>52</v>
      </c>
      <c r="F178" s="12" t="s">
        <v>3633</v>
      </c>
      <c r="G178" s="12" t="s">
        <v>392</v>
      </c>
      <c r="H178" s="15">
        <v>1400000</v>
      </c>
      <c r="I178" s="13">
        <v>57</v>
      </c>
      <c r="K178" s="12" t="s">
        <v>3579</v>
      </c>
      <c r="L178" s="12" t="s">
        <v>391</v>
      </c>
      <c r="M178" s="15">
        <v>199857</v>
      </c>
      <c r="N178" s="13">
        <v>48</v>
      </c>
    </row>
    <row r="179" ht="15.75" spans="1:14">
      <c r="A179" s="12" t="s">
        <v>3634</v>
      </c>
      <c r="B179" s="12" t="s">
        <v>391</v>
      </c>
      <c r="C179" s="15">
        <v>11068</v>
      </c>
      <c r="D179" s="13">
        <v>52</v>
      </c>
      <c r="F179" s="12" t="s">
        <v>3285</v>
      </c>
      <c r="G179" s="12" t="s">
        <v>391</v>
      </c>
      <c r="H179" s="15">
        <v>306528</v>
      </c>
      <c r="I179" s="13">
        <v>57</v>
      </c>
      <c r="K179" s="12" t="s">
        <v>3233</v>
      </c>
      <c r="L179" s="12" t="s">
        <v>391</v>
      </c>
      <c r="M179" s="15">
        <v>2011129</v>
      </c>
      <c r="N179" s="13">
        <v>48</v>
      </c>
    </row>
    <row r="180" ht="15.75" spans="1:14">
      <c r="A180" s="12" t="s">
        <v>3635</v>
      </c>
      <c r="B180" s="12" t="s">
        <v>391</v>
      </c>
      <c r="C180" s="15">
        <v>22862</v>
      </c>
      <c r="D180" s="13">
        <v>52</v>
      </c>
      <c r="F180" s="12" t="s">
        <v>3532</v>
      </c>
      <c r="G180" s="12" t="s">
        <v>391</v>
      </c>
      <c r="H180" s="15">
        <v>543897</v>
      </c>
      <c r="I180" s="13">
        <v>57</v>
      </c>
      <c r="K180" s="12" t="s">
        <v>3636</v>
      </c>
      <c r="L180" s="12" t="s">
        <v>391</v>
      </c>
      <c r="M180" s="15">
        <v>113967</v>
      </c>
      <c r="N180" s="13">
        <v>48</v>
      </c>
    </row>
    <row r="181" ht="15.75" spans="1:14">
      <c r="A181" s="12" t="s">
        <v>3637</v>
      </c>
      <c r="B181" s="12" t="s">
        <v>391</v>
      </c>
      <c r="C181" s="15">
        <v>82105</v>
      </c>
      <c r="D181" s="13">
        <v>52</v>
      </c>
      <c r="F181" s="12" t="s">
        <v>3638</v>
      </c>
      <c r="G181" s="12" t="s">
        <v>391</v>
      </c>
      <c r="H181" s="15">
        <v>101429</v>
      </c>
      <c r="I181" s="13">
        <v>57</v>
      </c>
      <c r="K181" s="12" t="s">
        <v>3639</v>
      </c>
      <c r="L181" s="12" t="s">
        <v>391</v>
      </c>
      <c r="M181" s="15">
        <v>270553</v>
      </c>
      <c r="N181" s="13">
        <v>47</v>
      </c>
    </row>
    <row r="182" ht="15.75" spans="1:14">
      <c r="A182" s="12" t="s">
        <v>3640</v>
      </c>
      <c r="B182" s="12" t="s">
        <v>391</v>
      </c>
      <c r="C182" s="15">
        <v>11948</v>
      </c>
      <c r="D182" s="13">
        <v>52</v>
      </c>
      <c r="F182" s="12" t="s">
        <v>3535</v>
      </c>
      <c r="G182" s="12" t="s">
        <v>391</v>
      </c>
      <c r="H182" s="15">
        <v>130692</v>
      </c>
      <c r="I182" s="13">
        <v>57</v>
      </c>
      <c r="K182" s="12" t="s">
        <v>3641</v>
      </c>
      <c r="L182" s="12" t="s">
        <v>391</v>
      </c>
      <c r="M182" s="15">
        <v>338011</v>
      </c>
      <c r="N182" s="13">
        <v>47</v>
      </c>
    </row>
    <row r="183" ht="15.75" spans="1:14">
      <c r="A183" s="12" t="s">
        <v>3642</v>
      </c>
      <c r="B183" s="12" t="s">
        <v>391</v>
      </c>
      <c r="C183" s="15">
        <v>117565</v>
      </c>
      <c r="D183" s="13">
        <v>52</v>
      </c>
      <c r="F183" s="12" t="s">
        <v>3579</v>
      </c>
      <c r="G183" s="12" t="s">
        <v>391</v>
      </c>
      <c r="H183" s="15">
        <v>199857</v>
      </c>
      <c r="I183" s="13">
        <v>57</v>
      </c>
      <c r="K183" s="12" t="s">
        <v>3643</v>
      </c>
      <c r="L183" s="12" t="s">
        <v>391</v>
      </c>
      <c r="M183" s="15">
        <v>127269</v>
      </c>
      <c r="N183" s="13">
        <v>47</v>
      </c>
    </row>
    <row r="184" ht="15.75" spans="1:14">
      <c r="A184" s="12" t="s">
        <v>3644</v>
      </c>
      <c r="B184" s="12" t="s">
        <v>391</v>
      </c>
      <c r="C184" s="15">
        <v>121983</v>
      </c>
      <c r="D184" s="13">
        <v>52</v>
      </c>
      <c r="F184" s="12" t="s">
        <v>3538</v>
      </c>
      <c r="G184" s="12" t="s">
        <v>391</v>
      </c>
      <c r="H184" s="15">
        <v>108819</v>
      </c>
      <c r="I184" s="13">
        <v>57</v>
      </c>
      <c r="K184" s="12" t="s">
        <v>3582</v>
      </c>
      <c r="L184" s="12" t="s">
        <v>391</v>
      </c>
      <c r="M184" s="15">
        <v>266897</v>
      </c>
      <c r="N184" s="13">
        <v>47</v>
      </c>
    </row>
    <row r="185" ht="15.75" spans="1:14">
      <c r="A185" s="12" t="s">
        <v>3645</v>
      </c>
      <c r="B185" s="12" t="s">
        <v>391</v>
      </c>
      <c r="C185" s="15">
        <v>420042</v>
      </c>
      <c r="D185" s="13">
        <v>52</v>
      </c>
      <c r="F185" s="12" t="s">
        <v>3549</v>
      </c>
      <c r="G185" s="12" t="s">
        <v>391</v>
      </c>
      <c r="H185" s="15">
        <v>599856</v>
      </c>
      <c r="I185" s="13">
        <v>56</v>
      </c>
      <c r="K185" s="12" t="s">
        <v>3584</v>
      </c>
      <c r="L185" s="12" t="s">
        <v>391</v>
      </c>
      <c r="M185" s="15">
        <v>155290</v>
      </c>
      <c r="N185" s="13">
        <v>47</v>
      </c>
    </row>
    <row r="186" ht="15.75" spans="1:14">
      <c r="A186" s="12" t="s">
        <v>3646</v>
      </c>
      <c r="B186" s="12" t="s">
        <v>391</v>
      </c>
      <c r="C186" s="15">
        <v>269064</v>
      </c>
      <c r="D186" s="13">
        <v>52</v>
      </c>
      <c r="F186" s="12" t="s">
        <v>3552</v>
      </c>
      <c r="G186" s="12" t="s">
        <v>391</v>
      </c>
      <c r="H186" s="15">
        <v>383730</v>
      </c>
      <c r="I186" s="13">
        <v>56</v>
      </c>
      <c r="K186" s="12" t="s">
        <v>3647</v>
      </c>
      <c r="L186" s="12" t="s">
        <v>391</v>
      </c>
      <c r="M186" s="15">
        <v>103086</v>
      </c>
      <c r="N186" s="13">
        <v>47</v>
      </c>
    </row>
    <row r="187" ht="15.75" spans="1:14">
      <c r="A187" s="12" t="s">
        <v>3648</v>
      </c>
      <c r="B187" s="12" t="s">
        <v>391</v>
      </c>
      <c r="C187" s="15">
        <v>627991</v>
      </c>
      <c r="D187" s="13">
        <v>52</v>
      </c>
      <c r="F187" s="12" t="s">
        <v>3554</v>
      </c>
      <c r="G187" s="12" t="s">
        <v>391</v>
      </c>
      <c r="H187" s="15">
        <v>180114</v>
      </c>
      <c r="I187" s="13">
        <v>56</v>
      </c>
      <c r="K187" s="12" t="s">
        <v>3649</v>
      </c>
      <c r="L187" s="12" t="s">
        <v>391</v>
      </c>
      <c r="M187" s="15">
        <v>125584</v>
      </c>
      <c r="N187" s="13">
        <v>47</v>
      </c>
    </row>
    <row r="188" ht="15.75" spans="1:14">
      <c r="A188" s="12" t="s">
        <v>3650</v>
      </c>
      <c r="B188" s="12" t="s">
        <v>391</v>
      </c>
      <c r="C188" s="15">
        <v>23624</v>
      </c>
      <c r="D188" s="13">
        <v>52</v>
      </c>
      <c r="F188" s="12" t="s">
        <v>2401</v>
      </c>
      <c r="G188" s="12" t="s">
        <v>392</v>
      </c>
      <c r="H188" s="15">
        <v>24400000</v>
      </c>
      <c r="I188" s="13">
        <v>56</v>
      </c>
      <c r="K188" s="12" t="s">
        <v>3651</v>
      </c>
      <c r="L188" s="12" t="s">
        <v>391</v>
      </c>
      <c r="M188" s="15">
        <v>284438</v>
      </c>
      <c r="N188" s="13">
        <v>47</v>
      </c>
    </row>
    <row r="189" ht="15.75" spans="1:14">
      <c r="A189" s="12" t="s">
        <v>3652</v>
      </c>
      <c r="B189" s="12" t="s">
        <v>391</v>
      </c>
      <c r="C189" s="15">
        <v>251163</v>
      </c>
      <c r="D189" s="13">
        <v>52</v>
      </c>
      <c r="F189" s="12" t="s">
        <v>2395</v>
      </c>
      <c r="G189" s="12" t="s">
        <v>392</v>
      </c>
      <c r="H189" s="15">
        <v>26200000</v>
      </c>
      <c r="I189" s="13">
        <v>56</v>
      </c>
      <c r="K189" s="12" t="s">
        <v>3586</v>
      </c>
      <c r="L189" s="12" t="s">
        <v>391</v>
      </c>
      <c r="M189" s="15">
        <v>196466</v>
      </c>
      <c r="N189" s="13">
        <v>47</v>
      </c>
    </row>
    <row r="190" ht="15.75" spans="1:14">
      <c r="A190" s="12" t="s">
        <v>3653</v>
      </c>
      <c r="B190" s="12" t="s">
        <v>391</v>
      </c>
      <c r="C190" s="15">
        <v>142728</v>
      </c>
      <c r="D190" s="13">
        <v>52</v>
      </c>
      <c r="F190" s="12" t="s">
        <v>3232</v>
      </c>
      <c r="G190" s="12" t="s">
        <v>392</v>
      </c>
      <c r="H190" s="15">
        <v>2100000</v>
      </c>
      <c r="I190" s="13">
        <v>56</v>
      </c>
      <c r="K190" s="12" t="s">
        <v>3654</v>
      </c>
      <c r="L190" s="12" t="s">
        <v>391</v>
      </c>
      <c r="M190" s="15">
        <v>1385758</v>
      </c>
      <c r="N190" s="13">
        <v>47</v>
      </c>
    </row>
    <row r="191" ht="15.75" spans="1:14">
      <c r="A191" s="12" t="s">
        <v>3655</v>
      </c>
      <c r="B191" s="12" t="s">
        <v>391</v>
      </c>
      <c r="C191" s="15">
        <v>12694</v>
      </c>
      <c r="D191" s="13">
        <v>52</v>
      </c>
      <c r="F191" s="12" t="s">
        <v>3656</v>
      </c>
      <c r="G191" s="12" t="s">
        <v>391</v>
      </c>
      <c r="H191" s="15">
        <v>125925</v>
      </c>
      <c r="I191" s="13">
        <v>56</v>
      </c>
      <c r="K191" s="12" t="s">
        <v>3657</v>
      </c>
      <c r="L191" s="12" t="s">
        <v>391</v>
      </c>
      <c r="M191" s="15">
        <v>103099</v>
      </c>
      <c r="N191" s="13">
        <v>47</v>
      </c>
    </row>
    <row r="192" ht="15.75" spans="1:14">
      <c r="A192" s="12" t="s">
        <v>3658</v>
      </c>
      <c r="B192" s="12" t="s">
        <v>391</v>
      </c>
      <c r="C192" s="15">
        <v>143556</v>
      </c>
      <c r="D192" s="13">
        <v>51</v>
      </c>
      <c r="F192" s="12" t="s">
        <v>3644</v>
      </c>
      <c r="G192" s="12" t="s">
        <v>391</v>
      </c>
      <c r="H192" s="15">
        <v>121983</v>
      </c>
      <c r="I192" s="13">
        <v>56</v>
      </c>
      <c r="K192" s="12" t="s">
        <v>3659</v>
      </c>
      <c r="L192" s="12" t="s">
        <v>391</v>
      </c>
      <c r="M192" s="15">
        <v>131902</v>
      </c>
      <c r="N192" s="13">
        <v>47</v>
      </c>
    </row>
    <row r="193" ht="15.75" spans="1:14">
      <c r="A193" s="12" t="s">
        <v>3660</v>
      </c>
      <c r="B193" s="12" t="s">
        <v>391</v>
      </c>
      <c r="C193" s="15">
        <v>287121</v>
      </c>
      <c r="D193" s="13">
        <v>51</v>
      </c>
      <c r="F193" s="12" t="s">
        <v>3235</v>
      </c>
      <c r="G193" s="12" t="s">
        <v>392</v>
      </c>
      <c r="H193" s="15">
        <v>4900000</v>
      </c>
      <c r="I193" s="13">
        <v>55</v>
      </c>
      <c r="K193" s="12" t="s">
        <v>3661</v>
      </c>
      <c r="L193" s="12" t="s">
        <v>391</v>
      </c>
      <c r="M193" s="15">
        <v>1175193</v>
      </c>
      <c r="N193" s="13">
        <v>47</v>
      </c>
    </row>
    <row r="194" ht="15.75" spans="1:14">
      <c r="A194" s="12" t="s">
        <v>3662</v>
      </c>
      <c r="B194" s="12" t="s">
        <v>391</v>
      </c>
      <c r="C194" s="15">
        <v>23551</v>
      </c>
      <c r="D194" s="13">
        <v>51</v>
      </c>
      <c r="F194" s="12" t="s">
        <v>3238</v>
      </c>
      <c r="G194" s="12" t="s">
        <v>391</v>
      </c>
      <c r="H194" s="15">
        <v>1185494</v>
      </c>
      <c r="I194" s="13">
        <v>55</v>
      </c>
      <c r="K194" s="12" t="s">
        <v>3663</v>
      </c>
      <c r="L194" s="12" t="s">
        <v>391</v>
      </c>
      <c r="M194" s="15">
        <v>236465</v>
      </c>
      <c r="N194" s="13">
        <v>47</v>
      </c>
    </row>
    <row r="195" ht="15.75" spans="1:14">
      <c r="A195" s="12" t="s">
        <v>3664</v>
      </c>
      <c r="B195" s="12" t="s">
        <v>391</v>
      </c>
      <c r="C195" s="15">
        <v>236121</v>
      </c>
      <c r="D195" s="13">
        <v>51</v>
      </c>
      <c r="F195" s="12" t="s">
        <v>3241</v>
      </c>
      <c r="G195" s="12" t="s">
        <v>391</v>
      </c>
      <c r="H195" s="15">
        <v>144180</v>
      </c>
      <c r="I195" s="13">
        <v>55</v>
      </c>
      <c r="K195" s="12" t="s">
        <v>3665</v>
      </c>
      <c r="L195" s="12" t="s">
        <v>391</v>
      </c>
      <c r="M195" s="15">
        <v>104773</v>
      </c>
      <c r="N195" s="13">
        <v>47</v>
      </c>
    </row>
    <row r="196" ht="15.75" spans="1:14">
      <c r="A196" s="12" t="s">
        <v>3666</v>
      </c>
      <c r="B196" s="12" t="s">
        <v>391</v>
      </c>
      <c r="C196" s="15">
        <v>16157</v>
      </c>
      <c r="D196" s="13">
        <v>51</v>
      </c>
      <c r="F196" s="12" t="s">
        <v>3244</v>
      </c>
      <c r="G196" s="12" t="s">
        <v>391</v>
      </c>
      <c r="H196" s="15">
        <v>177789</v>
      </c>
      <c r="I196" s="13">
        <v>55</v>
      </c>
      <c r="K196" s="12" t="s">
        <v>3667</v>
      </c>
      <c r="L196" s="12" t="s">
        <v>391</v>
      </c>
      <c r="M196" s="15">
        <v>113772</v>
      </c>
      <c r="N196" s="13">
        <v>47</v>
      </c>
    </row>
    <row r="197" ht="15.75" spans="1:14">
      <c r="A197" s="12" t="s">
        <v>3668</v>
      </c>
      <c r="B197" s="12" t="s">
        <v>391</v>
      </c>
      <c r="C197" s="15">
        <v>151397</v>
      </c>
      <c r="D197" s="13">
        <v>51</v>
      </c>
      <c r="F197" s="12" t="s">
        <v>3593</v>
      </c>
      <c r="G197" s="12" t="s">
        <v>391</v>
      </c>
      <c r="H197" s="15">
        <v>47226</v>
      </c>
      <c r="I197" s="13">
        <v>55</v>
      </c>
      <c r="K197" s="12" t="s">
        <v>3669</v>
      </c>
      <c r="L197" s="12" t="s">
        <v>391</v>
      </c>
      <c r="M197" s="15">
        <v>124133</v>
      </c>
      <c r="N197" s="13">
        <v>47</v>
      </c>
    </row>
    <row r="198" ht="15.75" spans="1:14">
      <c r="A198" s="12" t="s">
        <v>3670</v>
      </c>
      <c r="B198" s="12" t="s">
        <v>391</v>
      </c>
      <c r="C198" s="15">
        <v>79779</v>
      </c>
      <c r="D198" s="13">
        <v>51</v>
      </c>
      <c r="F198" s="12" t="s">
        <v>3246</v>
      </c>
      <c r="G198" s="12" t="s">
        <v>391</v>
      </c>
      <c r="H198" s="15">
        <v>155620</v>
      </c>
      <c r="I198" s="13">
        <v>55</v>
      </c>
      <c r="K198" s="12" t="s">
        <v>3671</v>
      </c>
      <c r="L198" s="12" t="s">
        <v>391</v>
      </c>
      <c r="M198" s="15">
        <v>130988</v>
      </c>
      <c r="N198" s="13">
        <v>47</v>
      </c>
    </row>
    <row r="199" ht="15.75" spans="1:14">
      <c r="A199" s="12" t="s">
        <v>3672</v>
      </c>
      <c r="B199" s="12" t="s">
        <v>391</v>
      </c>
      <c r="C199" s="15">
        <v>175629</v>
      </c>
      <c r="D199" s="13">
        <v>51</v>
      </c>
      <c r="F199" s="12" t="s">
        <v>3248</v>
      </c>
      <c r="G199" s="12" t="s">
        <v>391</v>
      </c>
      <c r="H199" s="15">
        <v>3918239</v>
      </c>
      <c r="I199" s="13">
        <v>55</v>
      </c>
      <c r="K199" s="12" t="s">
        <v>2486</v>
      </c>
      <c r="L199" s="12" t="s">
        <v>392</v>
      </c>
      <c r="M199" s="15">
        <v>12000000</v>
      </c>
      <c r="N199" s="13">
        <v>47</v>
      </c>
    </row>
    <row r="200" ht="15.75" spans="1:14">
      <c r="A200" s="12" t="s">
        <v>3673</v>
      </c>
      <c r="B200" s="12" t="s">
        <v>391</v>
      </c>
      <c r="C200" s="15">
        <v>96675</v>
      </c>
      <c r="D200" s="13">
        <v>51</v>
      </c>
      <c r="F200" s="12" t="s">
        <v>3250</v>
      </c>
      <c r="G200" s="12" t="s">
        <v>391</v>
      </c>
      <c r="H200" s="15">
        <v>323501</v>
      </c>
      <c r="I200" s="13">
        <v>55</v>
      </c>
      <c r="K200" s="12" t="s">
        <v>3674</v>
      </c>
      <c r="L200" s="12" t="s">
        <v>391</v>
      </c>
      <c r="M200" s="15">
        <v>572620</v>
      </c>
      <c r="N200" s="13">
        <v>47</v>
      </c>
    </row>
    <row r="201" ht="15.75" spans="1:14">
      <c r="A201" s="12" t="s">
        <v>3675</v>
      </c>
      <c r="B201" s="12" t="s">
        <v>391</v>
      </c>
      <c r="C201" s="15">
        <v>24054</v>
      </c>
      <c r="D201" s="13">
        <v>51</v>
      </c>
      <c r="F201" s="12" t="s">
        <v>3253</v>
      </c>
      <c r="G201" s="12" t="s">
        <v>391</v>
      </c>
      <c r="H201" s="15">
        <v>961731</v>
      </c>
      <c r="I201" s="13">
        <v>55</v>
      </c>
      <c r="K201" s="12" t="s">
        <v>3676</v>
      </c>
      <c r="L201" s="12" t="s">
        <v>391</v>
      </c>
      <c r="M201" s="15">
        <v>159379</v>
      </c>
      <c r="N201" s="13">
        <v>47</v>
      </c>
    </row>
    <row r="202" ht="15.75" spans="1:14">
      <c r="A202" s="12" t="s">
        <v>3677</v>
      </c>
      <c r="B202" s="12" t="s">
        <v>391</v>
      </c>
      <c r="C202" s="15">
        <v>22518</v>
      </c>
      <c r="D202" s="13">
        <v>51</v>
      </c>
      <c r="F202" s="12" t="s">
        <v>3678</v>
      </c>
      <c r="G202" s="12" t="s">
        <v>391</v>
      </c>
      <c r="H202" s="15">
        <v>97550</v>
      </c>
      <c r="I202" s="13">
        <v>55</v>
      </c>
      <c r="K202" s="12" t="s">
        <v>3679</v>
      </c>
      <c r="L202" s="12" t="s">
        <v>391</v>
      </c>
      <c r="M202" s="15">
        <v>2258700</v>
      </c>
      <c r="N202" s="13">
        <v>47</v>
      </c>
    </row>
    <row r="203" ht="15.75" spans="1:14">
      <c r="A203" s="12" t="s">
        <v>3680</v>
      </c>
      <c r="B203" s="12" t="s">
        <v>391</v>
      </c>
      <c r="C203" s="15">
        <v>76098</v>
      </c>
      <c r="D203" s="13">
        <v>51</v>
      </c>
      <c r="F203" s="12" t="s">
        <v>3220</v>
      </c>
      <c r="G203" s="12" t="s">
        <v>391</v>
      </c>
      <c r="H203" s="15">
        <v>805581</v>
      </c>
      <c r="I203" s="13">
        <v>55</v>
      </c>
      <c r="K203" s="12" t="s">
        <v>2425</v>
      </c>
      <c r="L203" s="12" t="s">
        <v>391</v>
      </c>
      <c r="M203" s="15">
        <v>14916540</v>
      </c>
      <c r="N203" s="13">
        <v>47</v>
      </c>
    </row>
    <row r="204" ht="15.75" spans="1:14">
      <c r="A204" s="12" t="s">
        <v>3681</v>
      </c>
      <c r="B204" s="12" t="s">
        <v>391</v>
      </c>
      <c r="C204" s="15">
        <v>25658</v>
      </c>
      <c r="D204" s="13">
        <v>51</v>
      </c>
      <c r="F204" s="12" t="s">
        <v>3564</v>
      </c>
      <c r="G204" s="12" t="s">
        <v>391</v>
      </c>
      <c r="H204" s="15">
        <v>409413</v>
      </c>
      <c r="I204" s="13">
        <v>55</v>
      </c>
      <c r="K204" s="12" t="s">
        <v>3682</v>
      </c>
      <c r="L204" s="12" t="s">
        <v>391</v>
      </c>
      <c r="M204" s="15">
        <v>359337</v>
      </c>
      <c r="N204" s="13">
        <v>47</v>
      </c>
    </row>
    <row r="205" ht="15.75" spans="1:14">
      <c r="A205" s="12" t="s">
        <v>3683</v>
      </c>
      <c r="B205" s="12" t="s">
        <v>391</v>
      </c>
      <c r="C205" s="15">
        <v>10661</v>
      </c>
      <c r="D205" s="13">
        <v>51</v>
      </c>
      <c r="F205" s="12" t="s">
        <v>3256</v>
      </c>
      <c r="G205" s="12" t="s">
        <v>391</v>
      </c>
      <c r="H205" s="15">
        <v>1268275</v>
      </c>
      <c r="I205" s="13">
        <v>55</v>
      </c>
      <c r="K205" s="12" t="s">
        <v>3684</v>
      </c>
      <c r="L205" s="12" t="s">
        <v>391</v>
      </c>
      <c r="M205" s="15">
        <v>101017</v>
      </c>
      <c r="N205" s="13">
        <v>47</v>
      </c>
    </row>
    <row r="206" ht="15.75" spans="1:14">
      <c r="A206" s="12" t="s">
        <v>3685</v>
      </c>
      <c r="B206" s="12" t="s">
        <v>391</v>
      </c>
      <c r="C206" s="15">
        <v>205371</v>
      </c>
      <c r="D206" s="13">
        <v>51</v>
      </c>
      <c r="F206" s="12" t="s">
        <v>3686</v>
      </c>
      <c r="G206" s="12" t="s">
        <v>391</v>
      </c>
      <c r="H206" s="15">
        <v>73187</v>
      </c>
      <c r="I206" s="13">
        <v>55</v>
      </c>
      <c r="K206" s="12" t="s">
        <v>3687</v>
      </c>
      <c r="L206" s="12" t="s">
        <v>391</v>
      </c>
      <c r="M206" s="15">
        <v>143159</v>
      </c>
      <c r="N206" s="13">
        <v>47</v>
      </c>
    </row>
    <row r="207" ht="15.75" spans="1:14">
      <c r="A207" s="12" t="s">
        <v>3688</v>
      </c>
      <c r="B207" s="12" t="s">
        <v>391</v>
      </c>
      <c r="C207" s="15">
        <v>323873</v>
      </c>
      <c r="D207" s="13">
        <v>51</v>
      </c>
      <c r="F207" s="12" t="s">
        <v>3588</v>
      </c>
      <c r="G207" s="12" t="s">
        <v>391</v>
      </c>
      <c r="H207" s="15">
        <v>232244</v>
      </c>
      <c r="I207" s="13">
        <v>55</v>
      </c>
      <c r="K207" s="12" t="s">
        <v>3689</v>
      </c>
      <c r="L207" s="12" t="s">
        <v>391</v>
      </c>
      <c r="M207" s="15">
        <v>218899</v>
      </c>
      <c r="N207" s="13">
        <v>47</v>
      </c>
    </row>
    <row r="208" ht="15.75" spans="1:14">
      <c r="A208" s="12" t="s">
        <v>3690</v>
      </c>
      <c r="B208" s="12" t="s">
        <v>391</v>
      </c>
      <c r="C208" s="15">
        <v>655177</v>
      </c>
      <c r="D208" s="13">
        <v>51</v>
      </c>
      <c r="F208" s="12" t="s">
        <v>3691</v>
      </c>
      <c r="G208" s="12" t="s">
        <v>391</v>
      </c>
      <c r="H208" s="15">
        <v>86261</v>
      </c>
      <c r="I208" s="13">
        <v>55</v>
      </c>
      <c r="K208" s="12" t="s">
        <v>3692</v>
      </c>
      <c r="L208" s="12" t="s">
        <v>391</v>
      </c>
      <c r="M208" s="15">
        <v>115486</v>
      </c>
      <c r="N208" s="13">
        <v>47</v>
      </c>
    </row>
    <row r="209" ht="15.75" spans="1:14">
      <c r="A209" s="12" t="s">
        <v>3693</v>
      </c>
      <c r="B209" s="12" t="s">
        <v>391</v>
      </c>
      <c r="C209" s="15">
        <v>113909</v>
      </c>
      <c r="D209" s="13">
        <v>51</v>
      </c>
      <c r="F209" s="12" t="s">
        <v>3258</v>
      </c>
      <c r="G209" s="12" t="s">
        <v>391</v>
      </c>
      <c r="H209" s="15">
        <v>156604</v>
      </c>
      <c r="I209" s="13">
        <v>55</v>
      </c>
      <c r="K209" s="12" t="s">
        <v>3694</v>
      </c>
      <c r="L209" s="12" t="s">
        <v>391</v>
      </c>
      <c r="M209" s="15">
        <v>117466</v>
      </c>
      <c r="N209" s="13">
        <v>47</v>
      </c>
    </row>
    <row r="210" ht="15.75" spans="1:14">
      <c r="A210" s="12" t="s">
        <v>3695</v>
      </c>
      <c r="B210" s="12" t="s">
        <v>391</v>
      </c>
      <c r="C210" s="15">
        <v>61196</v>
      </c>
      <c r="D210" s="13">
        <v>51</v>
      </c>
      <c r="F210" s="12" t="s">
        <v>3592</v>
      </c>
      <c r="G210" s="12" t="s">
        <v>391</v>
      </c>
      <c r="H210" s="15">
        <v>117988</v>
      </c>
      <c r="I210" s="13">
        <v>55</v>
      </c>
      <c r="K210" s="12" t="s">
        <v>3696</v>
      </c>
      <c r="L210" s="12" t="s">
        <v>391</v>
      </c>
      <c r="M210" s="15">
        <v>1026392</v>
      </c>
      <c r="N210" s="13">
        <v>47</v>
      </c>
    </row>
    <row r="211" ht="15.75" spans="1:14">
      <c r="A211" s="12" t="s">
        <v>3697</v>
      </c>
      <c r="B211" s="12" t="s">
        <v>391</v>
      </c>
      <c r="C211" s="15">
        <v>194787</v>
      </c>
      <c r="D211" s="13">
        <v>51</v>
      </c>
      <c r="F211" s="12" t="s">
        <v>3260</v>
      </c>
      <c r="G211" s="12" t="s">
        <v>391</v>
      </c>
      <c r="H211" s="15">
        <v>3532582</v>
      </c>
      <c r="I211" s="13">
        <v>55</v>
      </c>
      <c r="K211" s="12" t="s">
        <v>3698</v>
      </c>
      <c r="L211" s="12" t="s">
        <v>391</v>
      </c>
      <c r="M211" s="15">
        <v>435113</v>
      </c>
      <c r="N211" s="13">
        <v>47</v>
      </c>
    </row>
    <row r="212" ht="15.75" spans="1:14">
      <c r="A212" s="12" t="s">
        <v>3699</v>
      </c>
      <c r="B212" s="12" t="s">
        <v>391</v>
      </c>
      <c r="C212" s="15">
        <v>106471</v>
      </c>
      <c r="D212" s="13">
        <v>51</v>
      </c>
      <c r="F212" s="12" t="s">
        <v>3261</v>
      </c>
      <c r="G212" s="12" t="s">
        <v>391</v>
      </c>
      <c r="H212" s="15">
        <v>195207</v>
      </c>
      <c r="I212" s="13">
        <v>55</v>
      </c>
      <c r="K212" s="12" t="s">
        <v>3700</v>
      </c>
      <c r="L212" s="12" t="s">
        <v>391</v>
      </c>
      <c r="M212" s="15">
        <v>175984</v>
      </c>
      <c r="N212" s="13">
        <v>47</v>
      </c>
    </row>
    <row r="213" ht="15.75" spans="1:14">
      <c r="A213" s="12" t="s">
        <v>3701</v>
      </c>
      <c r="B213" s="12" t="s">
        <v>391</v>
      </c>
      <c r="C213" s="15">
        <v>14730</v>
      </c>
      <c r="D213" s="13">
        <v>51</v>
      </c>
      <c r="F213" s="12" t="s">
        <v>3702</v>
      </c>
      <c r="G213" s="12" t="s">
        <v>391</v>
      </c>
      <c r="H213" s="15">
        <v>64960</v>
      </c>
      <c r="I213" s="13">
        <v>55</v>
      </c>
      <c r="K213" s="12" t="s">
        <v>3590</v>
      </c>
      <c r="L213" s="12" t="s">
        <v>391</v>
      </c>
      <c r="M213" s="15">
        <v>1525475</v>
      </c>
      <c r="N213" s="13">
        <v>47</v>
      </c>
    </row>
    <row r="214" ht="15.75" spans="1:14">
      <c r="A214" s="12" t="s">
        <v>3703</v>
      </c>
      <c r="B214" s="12" t="s">
        <v>391</v>
      </c>
      <c r="C214" s="15">
        <v>148282</v>
      </c>
      <c r="D214" s="13">
        <v>51</v>
      </c>
      <c r="F214" s="12" t="s">
        <v>3264</v>
      </c>
      <c r="G214" s="12" t="s">
        <v>391</v>
      </c>
      <c r="H214" s="15">
        <v>133031</v>
      </c>
      <c r="I214" s="13">
        <v>55</v>
      </c>
      <c r="K214" s="12" t="s">
        <v>3704</v>
      </c>
      <c r="L214" s="12" t="s">
        <v>391</v>
      </c>
      <c r="M214" s="15">
        <v>105503</v>
      </c>
      <c r="N214" s="13">
        <v>47</v>
      </c>
    </row>
    <row r="215" ht="15.75" spans="1:14">
      <c r="A215" s="12" t="s">
        <v>3705</v>
      </c>
      <c r="B215" s="12" t="s">
        <v>391</v>
      </c>
      <c r="C215" s="15">
        <v>7694004</v>
      </c>
      <c r="D215" s="13">
        <v>51</v>
      </c>
      <c r="F215" s="12" t="s">
        <v>3267</v>
      </c>
      <c r="G215" s="12" t="s">
        <v>391</v>
      </c>
      <c r="H215" s="15">
        <v>528059</v>
      </c>
      <c r="I215" s="13">
        <v>55</v>
      </c>
      <c r="K215" s="12" t="s">
        <v>3706</v>
      </c>
      <c r="L215" s="12" t="s">
        <v>391</v>
      </c>
      <c r="M215" s="15">
        <v>122463</v>
      </c>
      <c r="N215" s="13">
        <v>47</v>
      </c>
    </row>
    <row r="216" ht="15.75" spans="1:14">
      <c r="A216" s="12" t="s">
        <v>3707</v>
      </c>
      <c r="B216" s="12" t="s">
        <v>391</v>
      </c>
      <c r="C216" s="15">
        <v>12347</v>
      </c>
      <c r="D216" s="13">
        <v>50</v>
      </c>
      <c r="F216" s="12" t="s">
        <v>3522</v>
      </c>
      <c r="G216" s="12" t="s">
        <v>391</v>
      </c>
      <c r="H216" s="15">
        <v>1129093</v>
      </c>
      <c r="I216" s="13">
        <v>55</v>
      </c>
      <c r="K216" s="12" t="s">
        <v>3708</v>
      </c>
      <c r="L216" s="12" t="s">
        <v>391</v>
      </c>
      <c r="M216" s="15">
        <v>126153</v>
      </c>
      <c r="N216" s="13">
        <v>47</v>
      </c>
    </row>
    <row r="217" ht="15.75" spans="1:14">
      <c r="A217" s="12" t="s">
        <v>3709</v>
      </c>
      <c r="B217" s="12" t="s">
        <v>391</v>
      </c>
      <c r="C217" s="15">
        <v>11192</v>
      </c>
      <c r="D217" s="13">
        <v>50</v>
      </c>
      <c r="F217" s="12" t="s">
        <v>3269</v>
      </c>
      <c r="G217" s="12" t="s">
        <v>391</v>
      </c>
      <c r="H217" s="15">
        <v>140497</v>
      </c>
      <c r="I217" s="13">
        <v>55</v>
      </c>
      <c r="K217" s="12" t="s">
        <v>3710</v>
      </c>
      <c r="L217" s="12" t="s">
        <v>391</v>
      </c>
      <c r="M217" s="15">
        <v>199777</v>
      </c>
      <c r="N217" s="13">
        <v>47</v>
      </c>
    </row>
    <row r="218" ht="15.75" spans="1:14">
      <c r="A218" s="12" t="s">
        <v>3711</v>
      </c>
      <c r="B218" s="12" t="s">
        <v>391</v>
      </c>
      <c r="C218" s="15">
        <v>10295</v>
      </c>
      <c r="D218" s="13">
        <v>50</v>
      </c>
      <c r="F218" s="12" t="s">
        <v>3272</v>
      </c>
      <c r="G218" s="12" t="s">
        <v>391</v>
      </c>
      <c r="H218" s="15">
        <v>1377267</v>
      </c>
      <c r="I218" s="13">
        <v>55</v>
      </c>
      <c r="K218" s="12" t="s">
        <v>3712</v>
      </c>
      <c r="L218" s="12" t="s">
        <v>392</v>
      </c>
      <c r="M218" s="15">
        <v>202100</v>
      </c>
      <c r="N218" s="13">
        <v>47</v>
      </c>
    </row>
    <row r="219" ht="15.75" spans="1:14">
      <c r="A219" s="12" t="s">
        <v>3713</v>
      </c>
      <c r="B219" s="12" t="s">
        <v>391</v>
      </c>
      <c r="C219" s="15">
        <v>25550</v>
      </c>
      <c r="D219" s="13">
        <v>50</v>
      </c>
      <c r="F219" s="12" t="s">
        <v>3274</v>
      </c>
      <c r="G219" s="12" t="s">
        <v>391</v>
      </c>
      <c r="H219" s="15">
        <v>2284424</v>
      </c>
      <c r="I219" s="13">
        <v>55</v>
      </c>
      <c r="K219" s="12" t="s">
        <v>3714</v>
      </c>
      <c r="L219" s="12" t="s">
        <v>391</v>
      </c>
      <c r="M219" s="15">
        <v>315016</v>
      </c>
      <c r="N219" s="13">
        <v>47</v>
      </c>
    </row>
    <row r="220" ht="15.75" spans="1:14">
      <c r="A220" s="12" t="s">
        <v>3715</v>
      </c>
      <c r="B220" s="12" t="s">
        <v>391</v>
      </c>
      <c r="C220" s="15">
        <v>14354</v>
      </c>
      <c r="D220" s="13">
        <v>50</v>
      </c>
      <c r="F220" s="12" t="s">
        <v>3277</v>
      </c>
      <c r="G220" s="12" t="s">
        <v>391</v>
      </c>
      <c r="H220" s="15">
        <v>134655</v>
      </c>
      <c r="I220" s="13">
        <v>55</v>
      </c>
      <c r="K220" s="12" t="s">
        <v>3716</v>
      </c>
      <c r="L220" s="12" t="s">
        <v>391</v>
      </c>
      <c r="M220" s="15">
        <v>1712568</v>
      </c>
      <c r="N220" s="13">
        <v>47</v>
      </c>
    </row>
    <row r="221" ht="15.75" spans="1:14">
      <c r="A221" s="12" t="s">
        <v>3717</v>
      </c>
      <c r="B221" s="12" t="s">
        <v>391</v>
      </c>
      <c r="C221" s="15">
        <v>26506</v>
      </c>
      <c r="D221" s="13">
        <v>50</v>
      </c>
      <c r="F221" s="12" t="s">
        <v>3280</v>
      </c>
      <c r="G221" s="12" t="s">
        <v>391</v>
      </c>
      <c r="H221" s="15">
        <v>290919</v>
      </c>
      <c r="I221" s="13">
        <v>55</v>
      </c>
      <c r="K221" s="12" t="s">
        <v>3239</v>
      </c>
      <c r="L221" s="12" t="s">
        <v>391</v>
      </c>
      <c r="M221" s="15">
        <v>1077231</v>
      </c>
      <c r="N221" s="13">
        <v>47</v>
      </c>
    </row>
    <row r="222" ht="15.75" spans="1:14">
      <c r="A222" s="12" t="s">
        <v>3718</v>
      </c>
      <c r="B222" s="12" t="s">
        <v>391</v>
      </c>
      <c r="C222" s="15">
        <v>11268</v>
      </c>
      <c r="D222" s="13">
        <v>50</v>
      </c>
      <c r="F222" s="12" t="s">
        <v>3283</v>
      </c>
      <c r="G222" s="12" t="s">
        <v>391</v>
      </c>
      <c r="H222" s="15">
        <v>275217</v>
      </c>
      <c r="I222" s="13">
        <v>55</v>
      </c>
      <c r="K222" s="12" t="s">
        <v>3719</v>
      </c>
      <c r="L222" s="12" t="s">
        <v>391</v>
      </c>
      <c r="M222" s="15">
        <v>159398</v>
      </c>
      <c r="N222" s="13">
        <v>47</v>
      </c>
    </row>
    <row r="223" ht="15.75" spans="1:14">
      <c r="A223" s="12" t="s">
        <v>3720</v>
      </c>
      <c r="B223" s="12" t="s">
        <v>391</v>
      </c>
      <c r="C223" s="15">
        <v>30011</v>
      </c>
      <c r="D223" s="13">
        <v>50</v>
      </c>
      <c r="F223" s="12" t="s">
        <v>3288</v>
      </c>
      <c r="G223" s="12" t="s">
        <v>391</v>
      </c>
      <c r="H223" s="15">
        <v>7156562</v>
      </c>
      <c r="I223" s="13">
        <v>55</v>
      </c>
      <c r="K223" s="12" t="s">
        <v>3721</v>
      </c>
      <c r="L223" s="12" t="s">
        <v>391</v>
      </c>
      <c r="M223" s="15">
        <v>112359</v>
      </c>
      <c r="N223" s="13">
        <v>47</v>
      </c>
    </row>
    <row r="224" ht="15.75" spans="1:14">
      <c r="A224" s="12" t="s">
        <v>3722</v>
      </c>
      <c r="B224" s="12" t="s">
        <v>391</v>
      </c>
      <c r="C224" s="15">
        <v>11500</v>
      </c>
      <c r="D224" s="13">
        <v>50</v>
      </c>
      <c r="F224" s="12" t="s">
        <v>3723</v>
      </c>
      <c r="G224" s="12" t="s">
        <v>391</v>
      </c>
      <c r="H224" s="15">
        <v>226732</v>
      </c>
      <c r="I224" s="13">
        <v>55</v>
      </c>
      <c r="K224" s="12" t="s">
        <v>3724</v>
      </c>
      <c r="L224" s="12" t="s">
        <v>391</v>
      </c>
      <c r="M224" s="15">
        <v>102398</v>
      </c>
      <c r="N224" s="13">
        <v>47</v>
      </c>
    </row>
    <row r="225" ht="15.75" spans="1:14">
      <c r="A225" s="12" t="s">
        <v>3222</v>
      </c>
      <c r="B225" s="12" t="s">
        <v>391</v>
      </c>
      <c r="C225" s="15">
        <v>193274</v>
      </c>
      <c r="D225" s="13">
        <v>50</v>
      </c>
      <c r="F225" s="12" t="s">
        <v>3290</v>
      </c>
      <c r="G225" s="12" t="s">
        <v>391</v>
      </c>
      <c r="H225" s="15">
        <v>156556</v>
      </c>
      <c r="I225" s="13">
        <v>55</v>
      </c>
      <c r="K225" s="12" t="s">
        <v>3725</v>
      </c>
      <c r="L225" s="12" t="s">
        <v>392</v>
      </c>
      <c r="M225" s="15">
        <v>147100</v>
      </c>
      <c r="N225" s="13">
        <v>47</v>
      </c>
    </row>
    <row r="226" ht="15.75" spans="1:14">
      <c r="A226" s="12" t="s">
        <v>3726</v>
      </c>
      <c r="B226" s="12" t="s">
        <v>391</v>
      </c>
      <c r="C226" s="15">
        <v>11401</v>
      </c>
      <c r="D226" s="13">
        <v>50</v>
      </c>
      <c r="F226" s="12" t="s">
        <v>3600</v>
      </c>
      <c r="G226" s="12" t="s">
        <v>391</v>
      </c>
      <c r="H226" s="15">
        <v>630106</v>
      </c>
      <c r="I226" s="13">
        <v>55</v>
      </c>
      <c r="K226" s="12" t="s">
        <v>3727</v>
      </c>
      <c r="L226" s="12" t="s">
        <v>391</v>
      </c>
      <c r="M226" s="15">
        <v>328971</v>
      </c>
      <c r="N226" s="13">
        <v>47</v>
      </c>
    </row>
    <row r="227" ht="15.75" spans="1:14">
      <c r="A227" s="12" t="s">
        <v>3728</v>
      </c>
      <c r="B227" s="12" t="s">
        <v>391</v>
      </c>
      <c r="C227" s="15">
        <v>11967</v>
      </c>
      <c r="D227" s="13">
        <v>50</v>
      </c>
      <c r="F227" s="12" t="s">
        <v>3293</v>
      </c>
      <c r="G227" s="12" t="s">
        <v>391</v>
      </c>
      <c r="H227" s="15">
        <v>401205</v>
      </c>
      <c r="I227" s="13">
        <v>55</v>
      </c>
      <c r="K227" s="12" t="s">
        <v>3729</v>
      </c>
      <c r="L227" s="12" t="s">
        <v>392</v>
      </c>
      <c r="M227" s="15">
        <v>388300</v>
      </c>
      <c r="N227" s="13">
        <v>46</v>
      </c>
    </row>
    <row r="228" ht="15.75" spans="1:14">
      <c r="A228" s="12" t="s">
        <v>3730</v>
      </c>
      <c r="B228" s="12" t="s">
        <v>391</v>
      </c>
      <c r="C228" s="15">
        <v>12164</v>
      </c>
      <c r="D228" s="13">
        <v>50</v>
      </c>
      <c r="F228" s="12" t="s">
        <v>3296</v>
      </c>
      <c r="G228" s="12" t="s">
        <v>391</v>
      </c>
      <c r="H228" s="15">
        <v>215657</v>
      </c>
      <c r="I228" s="13">
        <v>55</v>
      </c>
      <c r="K228" s="12" t="s">
        <v>3731</v>
      </c>
      <c r="L228" s="12" t="s">
        <v>391</v>
      </c>
      <c r="M228" s="15">
        <v>661616</v>
      </c>
      <c r="N228" s="13">
        <v>46</v>
      </c>
    </row>
    <row r="229" ht="15.75" spans="1:14">
      <c r="A229" s="12" t="s">
        <v>3732</v>
      </c>
      <c r="B229" s="12" t="s">
        <v>391</v>
      </c>
      <c r="C229" s="15">
        <v>16344</v>
      </c>
      <c r="D229" s="13">
        <v>50</v>
      </c>
      <c r="F229" s="12" t="s">
        <v>3299</v>
      </c>
      <c r="G229" s="12" t="s">
        <v>391</v>
      </c>
      <c r="H229" s="15">
        <v>564687</v>
      </c>
      <c r="I229" s="13">
        <v>55</v>
      </c>
      <c r="K229" s="12" t="s">
        <v>3733</v>
      </c>
      <c r="L229" s="12" t="s">
        <v>391</v>
      </c>
      <c r="M229" s="15">
        <v>299790</v>
      </c>
      <c r="N229" s="13">
        <v>46</v>
      </c>
    </row>
    <row r="230" ht="15.75" spans="1:14">
      <c r="A230" s="12" t="s">
        <v>3734</v>
      </c>
      <c r="B230" s="12" t="s">
        <v>391</v>
      </c>
      <c r="C230" s="15">
        <v>28715</v>
      </c>
      <c r="D230" s="13">
        <v>50</v>
      </c>
      <c r="F230" s="12" t="s">
        <v>3735</v>
      </c>
      <c r="G230" s="12" t="s">
        <v>391</v>
      </c>
      <c r="H230" s="15">
        <v>99503</v>
      </c>
      <c r="I230" s="13">
        <v>55</v>
      </c>
      <c r="K230" s="12" t="s">
        <v>3598</v>
      </c>
      <c r="L230" s="12" t="s">
        <v>391</v>
      </c>
      <c r="M230" s="15">
        <v>216560</v>
      </c>
      <c r="N230" s="13">
        <v>46</v>
      </c>
    </row>
    <row r="231" ht="15.75" spans="1:14">
      <c r="A231" s="12" t="s">
        <v>3736</v>
      </c>
      <c r="B231" s="12" t="s">
        <v>391</v>
      </c>
      <c r="C231" s="15">
        <v>19928</v>
      </c>
      <c r="D231" s="13">
        <v>50</v>
      </c>
      <c r="F231" s="12" t="s">
        <v>3737</v>
      </c>
      <c r="G231" s="12" t="s">
        <v>391</v>
      </c>
      <c r="H231" s="15">
        <v>40637</v>
      </c>
      <c r="I231" s="13">
        <v>55</v>
      </c>
      <c r="K231" s="12" t="s">
        <v>3738</v>
      </c>
      <c r="L231" s="12" t="s">
        <v>391</v>
      </c>
      <c r="M231" s="15">
        <v>103932</v>
      </c>
      <c r="N231" s="13">
        <v>46</v>
      </c>
    </row>
    <row r="232" ht="15.75" spans="1:14">
      <c r="A232" s="12" t="s">
        <v>3739</v>
      </c>
      <c r="B232" s="12" t="s">
        <v>391</v>
      </c>
      <c r="C232" s="15">
        <v>13388</v>
      </c>
      <c r="D232" s="13">
        <v>50</v>
      </c>
      <c r="F232" s="12" t="s">
        <v>3302</v>
      </c>
      <c r="G232" s="12" t="s">
        <v>391</v>
      </c>
      <c r="H232" s="15">
        <v>295009</v>
      </c>
      <c r="I232" s="13">
        <v>55</v>
      </c>
      <c r="K232" s="12" t="s">
        <v>3740</v>
      </c>
      <c r="L232" s="12" t="s">
        <v>391</v>
      </c>
      <c r="M232" s="15">
        <v>105608</v>
      </c>
      <c r="N232" s="13">
        <v>46</v>
      </c>
    </row>
    <row r="233" ht="15.75" spans="1:14">
      <c r="A233" s="12" t="s">
        <v>3741</v>
      </c>
      <c r="B233" s="12" t="s">
        <v>391</v>
      </c>
      <c r="C233" s="15">
        <v>24312</v>
      </c>
      <c r="D233" s="13">
        <v>50</v>
      </c>
      <c r="F233" s="12" t="s">
        <v>3305</v>
      </c>
      <c r="G233" s="12" t="s">
        <v>391</v>
      </c>
      <c r="H233" s="15">
        <v>176589</v>
      </c>
      <c r="I233" s="13">
        <v>55</v>
      </c>
      <c r="K233" s="12" t="s">
        <v>3742</v>
      </c>
      <c r="L233" s="12" t="s">
        <v>391</v>
      </c>
      <c r="M233" s="15">
        <v>1132784</v>
      </c>
      <c r="N233" s="13">
        <v>46</v>
      </c>
    </row>
    <row r="234" ht="15.75" spans="1:14">
      <c r="A234" s="12" t="s">
        <v>3743</v>
      </c>
      <c r="B234" s="12" t="s">
        <v>391</v>
      </c>
      <c r="C234" s="15">
        <v>10339</v>
      </c>
      <c r="D234" s="13">
        <v>50</v>
      </c>
      <c r="F234" s="12" t="s">
        <v>3308</v>
      </c>
      <c r="G234" s="12" t="s">
        <v>391</v>
      </c>
      <c r="H234" s="15">
        <v>944128</v>
      </c>
      <c r="I234" s="13">
        <v>55</v>
      </c>
      <c r="K234" s="12" t="s">
        <v>3242</v>
      </c>
      <c r="L234" s="12" t="s">
        <v>391</v>
      </c>
      <c r="M234" s="15">
        <v>1801352</v>
      </c>
      <c r="N234" s="13">
        <v>46</v>
      </c>
    </row>
    <row r="235" ht="15.75" spans="1:14">
      <c r="A235" s="12" t="s">
        <v>3744</v>
      </c>
      <c r="B235" s="12" t="s">
        <v>391</v>
      </c>
      <c r="C235" s="15">
        <v>15648</v>
      </c>
      <c r="D235" s="13">
        <v>50</v>
      </c>
      <c r="F235" s="12" t="s">
        <v>3225</v>
      </c>
      <c r="G235" s="12" t="s">
        <v>391</v>
      </c>
      <c r="H235" s="15">
        <v>343960</v>
      </c>
      <c r="I235" s="13">
        <v>55</v>
      </c>
      <c r="K235" s="12" t="s">
        <v>3745</v>
      </c>
      <c r="L235" s="12" t="s">
        <v>391</v>
      </c>
      <c r="M235" s="15">
        <v>170550</v>
      </c>
      <c r="N235" s="13">
        <v>46</v>
      </c>
    </row>
    <row r="236" ht="15.75" spans="1:14">
      <c r="A236" s="12" t="s">
        <v>3746</v>
      </c>
      <c r="B236" s="12" t="s">
        <v>391</v>
      </c>
      <c r="C236" s="15">
        <v>11277</v>
      </c>
      <c r="D236" s="13">
        <v>50</v>
      </c>
      <c r="F236" s="12" t="s">
        <v>3311</v>
      </c>
      <c r="G236" s="12" t="s">
        <v>391</v>
      </c>
      <c r="H236" s="15">
        <v>388946</v>
      </c>
      <c r="I236" s="13">
        <v>55</v>
      </c>
      <c r="K236" s="12" t="s">
        <v>2463</v>
      </c>
      <c r="L236" s="12" t="s">
        <v>392</v>
      </c>
      <c r="M236" s="15">
        <v>12700000</v>
      </c>
      <c r="N236" s="13">
        <v>46</v>
      </c>
    </row>
    <row r="237" ht="15.75" spans="1:14">
      <c r="A237" s="12" t="s">
        <v>3747</v>
      </c>
      <c r="B237" s="12" t="s">
        <v>391</v>
      </c>
      <c r="C237" s="15">
        <v>23672</v>
      </c>
      <c r="D237" s="13">
        <v>50</v>
      </c>
      <c r="F237" s="12" t="s">
        <v>3314</v>
      </c>
      <c r="G237" s="12" t="s">
        <v>391</v>
      </c>
      <c r="H237" s="15">
        <v>2193158</v>
      </c>
      <c r="I237" s="13">
        <v>55</v>
      </c>
      <c r="K237" s="12" t="s">
        <v>3748</v>
      </c>
      <c r="L237" s="12" t="s">
        <v>391</v>
      </c>
      <c r="M237" s="15">
        <v>109735</v>
      </c>
      <c r="N237" s="13">
        <v>46</v>
      </c>
    </row>
    <row r="238" ht="15.75" spans="1:14">
      <c r="A238" s="12" t="s">
        <v>3749</v>
      </c>
      <c r="B238" s="12" t="s">
        <v>391</v>
      </c>
      <c r="C238" s="15">
        <v>15941</v>
      </c>
      <c r="D238" s="13">
        <v>50</v>
      </c>
      <c r="F238" s="12" t="s">
        <v>3227</v>
      </c>
      <c r="G238" s="12" t="s">
        <v>391</v>
      </c>
      <c r="H238" s="15">
        <v>794018</v>
      </c>
      <c r="I238" s="13">
        <v>55</v>
      </c>
      <c r="K238" s="12" t="s">
        <v>3750</v>
      </c>
      <c r="L238" s="12" t="s">
        <v>391</v>
      </c>
      <c r="M238" s="15">
        <v>127718</v>
      </c>
      <c r="N238" s="13">
        <v>46</v>
      </c>
    </row>
    <row r="239" ht="15.75" spans="1:14">
      <c r="A239" s="12" t="s">
        <v>3751</v>
      </c>
      <c r="B239" s="12" t="s">
        <v>391</v>
      </c>
      <c r="C239" s="15">
        <v>15056</v>
      </c>
      <c r="D239" s="13">
        <v>50</v>
      </c>
      <c r="F239" s="12" t="s">
        <v>3317</v>
      </c>
      <c r="G239" s="12" t="s">
        <v>391</v>
      </c>
      <c r="H239" s="15">
        <v>702968</v>
      </c>
      <c r="I239" s="13">
        <v>55</v>
      </c>
      <c r="K239" s="12" t="s">
        <v>3752</v>
      </c>
      <c r="L239" s="12" t="s">
        <v>391</v>
      </c>
      <c r="M239" s="15">
        <v>291053</v>
      </c>
      <c r="N239" s="13">
        <v>46</v>
      </c>
    </row>
    <row r="240" ht="15.75" spans="1:14">
      <c r="A240" s="12" t="s">
        <v>3753</v>
      </c>
      <c r="B240" s="12" t="s">
        <v>391</v>
      </c>
      <c r="C240" s="15">
        <v>11758</v>
      </c>
      <c r="D240" s="13">
        <v>50</v>
      </c>
      <c r="F240" s="12" t="s">
        <v>3611</v>
      </c>
      <c r="G240" s="12" t="s">
        <v>391</v>
      </c>
      <c r="H240" s="15">
        <v>63841</v>
      </c>
      <c r="I240" s="13">
        <v>55</v>
      </c>
      <c r="K240" s="12" t="s">
        <v>3754</v>
      </c>
      <c r="L240" s="12" t="s">
        <v>391</v>
      </c>
      <c r="M240" s="15">
        <v>437134</v>
      </c>
      <c r="N240" s="13">
        <v>46</v>
      </c>
    </row>
    <row r="241" ht="15.75" spans="1:14">
      <c r="A241" s="12" t="s">
        <v>3755</v>
      </c>
      <c r="B241" s="12" t="s">
        <v>391</v>
      </c>
      <c r="C241" s="15">
        <v>11925</v>
      </c>
      <c r="D241" s="13">
        <v>50</v>
      </c>
      <c r="F241" s="12" t="s">
        <v>3320</v>
      </c>
      <c r="G241" s="12" t="s">
        <v>391</v>
      </c>
      <c r="H241" s="15">
        <v>277700</v>
      </c>
      <c r="I241" s="13">
        <v>55</v>
      </c>
      <c r="K241" s="12" t="s">
        <v>3756</v>
      </c>
      <c r="L241" s="12" t="s">
        <v>391</v>
      </c>
      <c r="M241" s="15">
        <v>423290</v>
      </c>
      <c r="N241" s="13">
        <v>46</v>
      </c>
    </row>
    <row r="242" ht="15.75" spans="1:14">
      <c r="A242" s="12" t="s">
        <v>3757</v>
      </c>
      <c r="B242" s="12" t="s">
        <v>391</v>
      </c>
      <c r="C242" s="15">
        <v>14490</v>
      </c>
      <c r="D242" s="13">
        <v>50</v>
      </c>
      <c r="F242" s="12" t="s">
        <v>3325</v>
      </c>
      <c r="G242" s="12" t="s">
        <v>391</v>
      </c>
      <c r="H242" s="15">
        <v>407214</v>
      </c>
      <c r="I242" s="13">
        <v>55</v>
      </c>
      <c r="K242" s="12" t="s">
        <v>3758</v>
      </c>
      <c r="L242" s="12" t="s">
        <v>391</v>
      </c>
      <c r="M242" s="15">
        <v>288661</v>
      </c>
      <c r="N242" s="13">
        <v>46</v>
      </c>
    </row>
    <row r="243" ht="15.75" spans="1:14">
      <c r="A243" s="12" t="s">
        <v>3759</v>
      </c>
      <c r="B243" s="12" t="s">
        <v>391</v>
      </c>
      <c r="C243" s="15">
        <v>10190</v>
      </c>
      <c r="D243" s="13">
        <v>50</v>
      </c>
      <c r="F243" s="12" t="s">
        <v>3760</v>
      </c>
      <c r="G243" s="12" t="s">
        <v>391</v>
      </c>
      <c r="H243" s="15">
        <v>71865</v>
      </c>
      <c r="I243" s="13">
        <v>55</v>
      </c>
      <c r="K243" s="12" t="s">
        <v>3761</v>
      </c>
      <c r="L243" s="12" t="s">
        <v>392</v>
      </c>
      <c r="M243" s="15">
        <v>259400</v>
      </c>
      <c r="N243" s="13">
        <v>46</v>
      </c>
    </row>
    <row r="244" ht="15.75" spans="1:14">
      <c r="A244" s="12" t="s">
        <v>3762</v>
      </c>
      <c r="B244" s="12" t="s">
        <v>391</v>
      </c>
      <c r="C244" s="15">
        <v>11871</v>
      </c>
      <c r="D244" s="13">
        <v>50</v>
      </c>
      <c r="F244" s="12" t="s">
        <v>3327</v>
      </c>
      <c r="G244" s="12" t="s">
        <v>391</v>
      </c>
      <c r="H244" s="15">
        <v>140856</v>
      </c>
      <c r="I244" s="13">
        <v>55</v>
      </c>
      <c r="K244" s="12" t="s">
        <v>3763</v>
      </c>
      <c r="L244" s="12" t="s">
        <v>392</v>
      </c>
      <c r="M244" s="15">
        <v>626100</v>
      </c>
      <c r="N244" s="13">
        <v>45</v>
      </c>
    </row>
    <row r="245" ht="15.75" spans="1:14">
      <c r="A245" s="12" t="s">
        <v>3764</v>
      </c>
      <c r="B245" s="12" t="s">
        <v>391</v>
      </c>
      <c r="C245" s="15">
        <v>20944</v>
      </c>
      <c r="D245" s="13">
        <v>50</v>
      </c>
      <c r="F245" s="12" t="s">
        <v>3573</v>
      </c>
      <c r="G245" s="12" t="s">
        <v>391</v>
      </c>
      <c r="H245" s="15">
        <v>97558</v>
      </c>
      <c r="I245" s="13">
        <v>55</v>
      </c>
      <c r="K245" s="12" t="s">
        <v>3765</v>
      </c>
      <c r="L245" s="12" t="s">
        <v>392</v>
      </c>
      <c r="M245" s="15">
        <v>113700</v>
      </c>
      <c r="N245" s="13">
        <v>45</v>
      </c>
    </row>
    <row r="246" ht="15.75" spans="1:14">
      <c r="A246" s="12" t="s">
        <v>3766</v>
      </c>
      <c r="B246" s="12" t="s">
        <v>391</v>
      </c>
      <c r="C246" s="15">
        <v>20036</v>
      </c>
      <c r="D246" s="13">
        <v>50</v>
      </c>
      <c r="F246" s="12" t="s">
        <v>3767</v>
      </c>
      <c r="G246" s="12" t="s">
        <v>391</v>
      </c>
      <c r="H246" s="15">
        <v>61091</v>
      </c>
      <c r="I246" s="13">
        <v>55</v>
      </c>
      <c r="K246" s="12" t="s">
        <v>3768</v>
      </c>
      <c r="L246" s="12" t="s">
        <v>391</v>
      </c>
      <c r="M246" s="15">
        <v>146770</v>
      </c>
      <c r="N246" s="13">
        <v>45</v>
      </c>
    </row>
    <row r="247" ht="15.75" spans="1:14">
      <c r="A247" s="12" t="s">
        <v>3769</v>
      </c>
      <c r="B247" s="12" t="s">
        <v>391</v>
      </c>
      <c r="C247" s="15">
        <v>34574</v>
      </c>
      <c r="D247" s="13">
        <v>50</v>
      </c>
      <c r="F247" s="12" t="s">
        <v>3330</v>
      </c>
      <c r="G247" s="12" t="s">
        <v>391</v>
      </c>
      <c r="H247" s="15">
        <v>269287</v>
      </c>
      <c r="I247" s="13">
        <v>55</v>
      </c>
      <c r="K247" s="12" t="s">
        <v>3770</v>
      </c>
      <c r="L247" s="12" t="s">
        <v>392</v>
      </c>
      <c r="M247" s="15">
        <v>839300</v>
      </c>
      <c r="N247" s="13">
        <v>45</v>
      </c>
    </row>
    <row r="248" ht="15.75" spans="1:14">
      <c r="A248" s="12" t="s">
        <v>3771</v>
      </c>
      <c r="B248" s="12" t="s">
        <v>391</v>
      </c>
      <c r="C248" s="15">
        <v>10786</v>
      </c>
      <c r="D248" s="13">
        <v>50</v>
      </c>
      <c r="F248" s="12" t="s">
        <v>3332</v>
      </c>
      <c r="G248" s="12" t="s">
        <v>391</v>
      </c>
      <c r="H248" s="15">
        <v>535394</v>
      </c>
      <c r="I248" s="13">
        <v>55</v>
      </c>
      <c r="K248" s="12" t="s">
        <v>3772</v>
      </c>
      <c r="L248" s="12" t="s">
        <v>391</v>
      </c>
      <c r="M248" s="15">
        <v>101706</v>
      </c>
      <c r="N248" s="13">
        <v>45</v>
      </c>
    </row>
    <row r="249" ht="15.75" spans="1:14">
      <c r="A249" s="12" t="s">
        <v>3773</v>
      </c>
      <c r="B249" s="12" t="s">
        <v>391</v>
      </c>
      <c r="C249" s="15">
        <v>12286</v>
      </c>
      <c r="D249" s="13">
        <v>50</v>
      </c>
      <c r="F249" s="12" t="s">
        <v>3335</v>
      </c>
      <c r="G249" s="12" t="s">
        <v>391</v>
      </c>
      <c r="H249" s="15">
        <v>101667</v>
      </c>
      <c r="I249" s="13">
        <v>55</v>
      </c>
      <c r="K249" s="12" t="s">
        <v>3774</v>
      </c>
      <c r="L249" s="12" t="s">
        <v>392</v>
      </c>
      <c r="M249" s="15">
        <v>2900000</v>
      </c>
      <c r="N249" s="13">
        <v>45</v>
      </c>
    </row>
    <row r="250" ht="15.75" spans="1:14">
      <c r="A250" s="12" t="s">
        <v>3775</v>
      </c>
      <c r="B250" s="12" t="s">
        <v>391</v>
      </c>
      <c r="C250" s="15">
        <v>10501</v>
      </c>
      <c r="D250" s="13">
        <v>50</v>
      </c>
      <c r="F250" s="12" t="s">
        <v>3338</v>
      </c>
      <c r="G250" s="12" t="s">
        <v>391</v>
      </c>
      <c r="H250" s="15">
        <v>533278</v>
      </c>
      <c r="I250" s="13">
        <v>55</v>
      </c>
      <c r="K250" s="12" t="s">
        <v>3776</v>
      </c>
      <c r="L250" s="12" t="s">
        <v>391</v>
      </c>
      <c r="M250" s="15">
        <v>150437</v>
      </c>
      <c r="N250" s="13">
        <v>45</v>
      </c>
    </row>
    <row r="251" ht="15.75" spans="1:14">
      <c r="A251" s="12" t="s">
        <v>3777</v>
      </c>
      <c r="B251" s="12" t="s">
        <v>391</v>
      </c>
      <c r="C251" s="15">
        <v>23183</v>
      </c>
      <c r="D251" s="13">
        <v>50</v>
      </c>
      <c r="F251" s="12" t="s">
        <v>3341</v>
      </c>
      <c r="G251" s="12" t="s">
        <v>391</v>
      </c>
      <c r="H251" s="15">
        <v>125059</v>
      </c>
      <c r="I251" s="13">
        <v>55</v>
      </c>
      <c r="K251" s="12" t="s">
        <v>3778</v>
      </c>
      <c r="L251" s="12" t="s">
        <v>391</v>
      </c>
      <c r="M251" s="15">
        <v>152826</v>
      </c>
      <c r="N251" s="13">
        <v>45</v>
      </c>
    </row>
    <row r="252" ht="15.75" spans="1:14">
      <c r="A252" s="12" t="s">
        <v>3779</v>
      </c>
      <c r="B252" s="12" t="s">
        <v>391</v>
      </c>
      <c r="C252" s="15">
        <v>20628</v>
      </c>
      <c r="D252" s="13">
        <v>50</v>
      </c>
      <c r="F252" s="12" t="s">
        <v>3344</v>
      </c>
      <c r="G252" s="12" t="s">
        <v>391</v>
      </c>
      <c r="H252" s="15">
        <v>239031</v>
      </c>
      <c r="I252" s="13">
        <v>55</v>
      </c>
      <c r="K252" s="12" t="s">
        <v>3780</v>
      </c>
      <c r="L252" s="12" t="s">
        <v>391</v>
      </c>
      <c r="M252" s="15">
        <v>1210698</v>
      </c>
      <c r="N252" s="13">
        <v>45</v>
      </c>
    </row>
    <row r="253" ht="15.75" spans="1:14">
      <c r="A253" s="12" t="s">
        <v>3781</v>
      </c>
      <c r="B253" s="12" t="s">
        <v>391</v>
      </c>
      <c r="C253" s="15">
        <v>11774</v>
      </c>
      <c r="D253" s="13">
        <v>50</v>
      </c>
      <c r="F253" s="12" t="s">
        <v>3347</v>
      </c>
      <c r="G253" s="12" t="s">
        <v>391</v>
      </c>
      <c r="H253" s="15">
        <v>605620</v>
      </c>
      <c r="I253" s="13">
        <v>55</v>
      </c>
      <c r="K253" s="12" t="s">
        <v>3782</v>
      </c>
      <c r="L253" s="12" t="s">
        <v>391</v>
      </c>
      <c r="M253" s="15">
        <v>106754</v>
      </c>
      <c r="N253" s="13">
        <v>45</v>
      </c>
    </row>
    <row r="254" ht="15.75" spans="1:14">
      <c r="A254" s="12" t="s">
        <v>3783</v>
      </c>
      <c r="B254" s="12" t="s">
        <v>391</v>
      </c>
      <c r="C254" s="15">
        <v>25175</v>
      </c>
      <c r="D254" s="13">
        <v>50</v>
      </c>
      <c r="F254" s="12" t="s">
        <v>3350</v>
      </c>
      <c r="G254" s="12" t="s">
        <v>391</v>
      </c>
      <c r="H254" s="15">
        <v>344550</v>
      </c>
      <c r="I254" s="13">
        <v>55</v>
      </c>
      <c r="K254" s="12" t="s">
        <v>3784</v>
      </c>
      <c r="L254" s="12" t="s">
        <v>391</v>
      </c>
      <c r="M254" s="15">
        <v>3768396</v>
      </c>
      <c r="N254" s="13">
        <v>45</v>
      </c>
    </row>
    <row r="255" ht="15.75" spans="1:14">
      <c r="A255" s="12" t="s">
        <v>3785</v>
      </c>
      <c r="B255" s="12" t="s">
        <v>391</v>
      </c>
      <c r="C255" s="15">
        <v>19694</v>
      </c>
      <c r="D255" s="13">
        <v>50</v>
      </c>
      <c r="F255" s="12" t="s">
        <v>3356</v>
      </c>
      <c r="G255" s="12" t="s">
        <v>391</v>
      </c>
      <c r="H255" s="15">
        <v>181496</v>
      </c>
      <c r="I255" s="13">
        <v>55</v>
      </c>
      <c r="K255" s="12" t="s">
        <v>3786</v>
      </c>
      <c r="L255" s="12" t="s">
        <v>392</v>
      </c>
      <c r="M255" s="15">
        <v>105700</v>
      </c>
      <c r="N255" s="13">
        <v>45</v>
      </c>
    </row>
    <row r="256" ht="15.75" spans="1:14">
      <c r="A256" s="12" t="s">
        <v>3787</v>
      </c>
      <c r="B256" s="12" t="s">
        <v>391</v>
      </c>
      <c r="C256" s="15">
        <v>14527</v>
      </c>
      <c r="D256" s="13">
        <v>50</v>
      </c>
      <c r="F256" s="12" t="s">
        <v>3359</v>
      </c>
      <c r="G256" s="12" t="s">
        <v>391</v>
      </c>
      <c r="H256" s="15">
        <v>333058</v>
      </c>
      <c r="I256" s="13">
        <v>55</v>
      </c>
      <c r="K256" s="12" t="s">
        <v>3642</v>
      </c>
      <c r="L256" s="12" t="s">
        <v>391</v>
      </c>
      <c r="M256" s="15">
        <v>117565</v>
      </c>
      <c r="N256" s="13">
        <v>45</v>
      </c>
    </row>
    <row r="257" ht="15.75" spans="1:14">
      <c r="A257" s="12" t="s">
        <v>3788</v>
      </c>
      <c r="B257" s="12" t="s">
        <v>391</v>
      </c>
      <c r="C257" s="15">
        <v>19061</v>
      </c>
      <c r="D257" s="13">
        <v>50</v>
      </c>
      <c r="F257" s="12" t="s">
        <v>3620</v>
      </c>
      <c r="G257" s="12" t="s">
        <v>391</v>
      </c>
      <c r="H257" s="15">
        <v>94447</v>
      </c>
      <c r="I257" s="13">
        <v>55</v>
      </c>
      <c r="K257" s="12" t="s">
        <v>3644</v>
      </c>
      <c r="L257" s="12" t="s">
        <v>391</v>
      </c>
      <c r="M257" s="15">
        <v>121983</v>
      </c>
      <c r="N257" s="13">
        <v>45</v>
      </c>
    </row>
    <row r="258" ht="15.75" spans="1:14">
      <c r="A258" s="12" t="s">
        <v>3789</v>
      </c>
      <c r="B258" s="12" t="s">
        <v>391</v>
      </c>
      <c r="C258" s="15">
        <v>13879</v>
      </c>
      <c r="D258" s="13">
        <v>50</v>
      </c>
      <c r="F258" s="12" t="s">
        <v>3362</v>
      </c>
      <c r="G258" s="12" t="s">
        <v>391</v>
      </c>
      <c r="H258" s="15">
        <v>155964</v>
      </c>
      <c r="I258" s="13">
        <v>55</v>
      </c>
      <c r="K258" s="12" t="s">
        <v>3790</v>
      </c>
      <c r="L258" s="12" t="s">
        <v>392</v>
      </c>
      <c r="M258" s="15">
        <v>125800</v>
      </c>
      <c r="N258" s="13">
        <v>45</v>
      </c>
    </row>
    <row r="259" ht="15.75" spans="1:14">
      <c r="A259" s="12" t="s">
        <v>3791</v>
      </c>
      <c r="B259" s="12" t="s">
        <v>391</v>
      </c>
      <c r="C259" s="15">
        <v>28651</v>
      </c>
      <c r="D259" s="13">
        <v>50</v>
      </c>
      <c r="F259" s="12" t="s">
        <v>3367</v>
      </c>
      <c r="G259" s="12" t="s">
        <v>391</v>
      </c>
      <c r="H259" s="15">
        <v>2226091</v>
      </c>
      <c r="I259" s="13">
        <v>55</v>
      </c>
      <c r="K259" s="12" t="s">
        <v>2508</v>
      </c>
      <c r="L259" s="12" t="s">
        <v>392</v>
      </c>
      <c r="M259" s="15">
        <v>10500000</v>
      </c>
      <c r="N259" s="13">
        <v>45</v>
      </c>
    </row>
    <row r="260" ht="15.75" spans="1:14">
      <c r="A260" s="12" t="s">
        <v>3792</v>
      </c>
      <c r="B260" s="12" t="s">
        <v>391</v>
      </c>
      <c r="C260" s="15">
        <v>19225</v>
      </c>
      <c r="D260" s="13">
        <v>50</v>
      </c>
      <c r="F260" s="12" t="s">
        <v>3369</v>
      </c>
      <c r="G260" s="12" t="s">
        <v>391</v>
      </c>
      <c r="H260" s="15">
        <v>821693</v>
      </c>
      <c r="I260" s="13">
        <v>55</v>
      </c>
      <c r="K260" s="12" t="s">
        <v>3793</v>
      </c>
      <c r="L260" s="12" t="s">
        <v>392</v>
      </c>
      <c r="M260" s="15">
        <v>147900</v>
      </c>
      <c r="N260" s="13">
        <v>45</v>
      </c>
    </row>
    <row r="261" ht="15.75" spans="1:14">
      <c r="A261" s="12" t="s">
        <v>3794</v>
      </c>
      <c r="B261" s="12" t="s">
        <v>391</v>
      </c>
      <c r="C261" s="15">
        <v>13809</v>
      </c>
      <c r="D261" s="13">
        <v>50</v>
      </c>
      <c r="F261" s="12" t="s">
        <v>3622</v>
      </c>
      <c r="G261" s="12" t="s">
        <v>391</v>
      </c>
      <c r="H261" s="15">
        <v>509170</v>
      </c>
      <c r="I261" s="13">
        <v>55</v>
      </c>
      <c r="K261" s="12" t="s">
        <v>3648</v>
      </c>
      <c r="L261" s="12" t="s">
        <v>391</v>
      </c>
      <c r="M261" s="15">
        <v>627991</v>
      </c>
      <c r="N261" s="13">
        <v>45</v>
      </c>
    </row>
    <row r="262" ht="15.75" spans="1:14">
      <c r="A262" s="12" t="s">
        <v>3795</v>
      </c>
      <c r="B262" s="12" t="s">
        <v>391</v>
      </c>
      <c r="C262" s="15">
        <v>15963</v>
      </c>
      <c r="D262" s="13">
        <v>50</v>
      </c>
      <c r="F262" s="12" t="s">
        <v>3372</v>
      </c>
      <c r="G262" s="12" t="s">
        <v>392</v>
      </c>
      <c r="H262" s="15">
        <v>3400000</v>
      </c>
      <c r="I262" s="13">
        <v>55</v>
      </c>
      <c r="K262" s="12" t="s">
        <v>3796</v>
      </c>
      <c r="L262" s="12" t="s">
        <v>392</v>
      </c>
      <c r="M262" s="15">
        <v>138900</v>
      </c>
      <c r="N262" s="13">
        <v>45</v>
      </c>
    </row>
    <row r="263" ht="15.75" spans="1:14">
      <c r="A263" s="12" t="s">
        <v>3797</v>
      </c>
      <c r="B263" s="12" t="s">
        <v>391</v>
      </c>
      <c r="C263" s="15">
        <v>31911</v>
      </c>
      <c r="D263" s="13">
        <v>50</v>
      </c>
      <c r="F263" s="12" t="s">
        <v>3575</v>
      </c>
      <c r="G263" s="12" t="s">
        <v>391</v>
      </c>
      <c r="H263" s="15">
        <v>402891</v>
      </c>
      <c r="I263" s="13">
        <v>55</v>
      </c>
      <c r="K263" s="12" t="s">
        <v>3652</v>
      </c>
      <c r="L263" s="12" t="s">
        <v>391</v>
      </c>
      <c r="M263" s="15">
        <v>251163</v>
      </c>
      <c r="N263" s="13">
        <v>45</v>
      </c>
    </row>
    <row r="264" ht="15.75" spans="1:14">
      <c r="A264" s="12" t="s">
        <v>3798</v>
      </c>
      <c r="B264" s="12" t="s">
        <v>391</v>
      </c>
      <c r="C264" s="15">
        <v>17183</v>
      </c>
      <c r="D264" s="13">
        <v>50</v>
      </c>
      <c r="F264" s="12" t="s">
        <v>3375</v>
      </c>
      <c r="G264" s="12" t="s">
        <v>391</v>
      </c>
      <c r="H264" s="15">
        <v>2001469</v>
      </c>
      <c r="I264" s="13">
        <v>55</v>
      </c>
      <c r="K264" s="12" t="s">
        <v>3799</v>
      </c>
      <c r="L264" s="12" t="s">
        <v>391</v>
      </c>
      <c r="M264" s="15">
        <v>561102</v>
      </c>
      <c r="N264" s="13">
        <v>45</v>
      </c>
    </row>
    <row r="265" ht="15.75" spans="1:14">
      <c r="A265" s="12" t="s">
        <v>3800</v>
      </c>
      <c r="B265" s="12" t="s">
        <v>391</v>
      </c>
      <c r="C265" s="15">
        <v>17280</v>
      </c>
      <c r="D265" s="13">
        <v>50</v>
      </c>
      <c r="F265" s="12" t="s">
        <v>3378</v>
      </c>
      <c r="G265" s="12" t="s">
        <v>391</v>
      </c>
      <c r="H265" s="15">
        <v>160752</v>
      </c>
      <c r="I265" s="13">
        <v>55</v>
      </c>
      <c r="K265" s="12" t="s">
        <v>3653</v>
      </c>
      <c r="L265" s="12" t="s">
        <v>391</v>
      </c>
      <c r="M265" s="15">
        <v>142728</v>
      </c>
      <c r="N265" s="13">
        <v>45</v>
      </c>
    </row>
    <row r="266" ht="15.75" spans="1:14">
      <c r="A266" s="12" t="s">
        <v>3801</v>
      </c>
      <c r="B266" s="12" t="s">
        <v>391</v>
      </c>
      <c r="C266" s="15">
        <v>23880</v>
      </c>
      <c r="D266" s="13">
        <v>50</v>
      </c>
      <c r="F266" s="12" t="s">
        <v>3381</v>
      </c>
      <c r="G266" s="12" t="s">
        <v>391</v>
      </c>
      <c r="H266" s="15">
        <v>152347</v>
      </c>
      <c r="I266" s="13">
        <v>55</v>
      </c>
      <c r="K266" s="12" t="s">
        <v>3802</v>
      </c>
      <c r="L266" s="12" t="s">
        <v>392</v>
      </c>
      <c r="M266" s="15">
        <v>359800</v>
      </c>
      <c r="N266" s="13">
        <v>45</v>
      </c>
    </row>
    <row r="267" ht="15.75" spans="1:14">
      <c r="A267" s="12" t="s">
        <v>3803</v>
      </c>
      <c r="B267" s="12" t="s">
        <v>391</v>
      </c>
      <c r="C267" s="15">
        <v>12155</v>
      </c>
      <c r="D267" s="13">
        <v>50</v>
      </c>
      <c r="F267" s="12" t="s">
        <v>2443</v>
      </c>
      <c r="G267" s="12" t="s">
        <v>392</v>
      </c>
      <c r="H267" s="15">
        <v>14000000</v>
      </c>
      <c r="I267" s="13">
        <v>55</v>
      </c>
      <c r="K267" s="12" t="s">
        <v>3804</v>
      </c>
      <c r="L267" s="12" t="s">
        <v>391</v>
      </c>
      <c r="M267" s="15">
        <v>142483</v>
      </c>
      <c r="N267" s="13">
        <v>45</v>
      </c>
    </row>
    <row r="268" ht="15.75" spans="1:14">
      <c r="A268" s="12" t="s">
        <v>3805</v>
      </c>
      <c r="B268" s="12" t="s">
        <v>391</v>
      </c>
      <c r="C268" s="15">
        <v>16098</v>
      </c>
      <c r="D268" s="13">
        <v>50</v>
      </c>
      <c r="F268" s="12" t="s">
        <v>3625</v>
      </c>
      <c r="G268" s="12" t="s">
        <v>391</v>
      </c>
      <c r="H268" s="15">
        <v>332442</v>
      </c>
      <c r="I268" s="13">
        <v>55</v>
      </c>
      <c r="K268" s="12" t="s">
        <v>3806</v>
      </c>
      <c r="L268" s="12" t="s">
        <v>391</v>
      </c>
      <c r="M268" s="15">
        <v>100829</v>
      </c>
      <c r="N268" s="13">
        <v>44</v>
      </c>
    </row>
    <row r="269" ht="15.75" spans="1:14">
      <c r="A269" s="12" t="s">
        <v>3807</v>
      </c>
      <c r="B269" s="12" t="s">
        <v>391</v>
      </c>
      <c r="C269" s="15">
        <v>12368</v>
      </c>
      <c r="D269" s="13">
        <v>50</v>
      </c>
      <c r="F269" s="12" t="s">
        <v>3384</v>
      </c>
      <c r="G269" s="12" t="s">
        <v>391</v>
      </c>
      <c r="H269" s="15">
        <v>242430</v>
      </c>
      <c r="I269" s="13">
        <v>55</v>
      </c>
      <c r="K269" s="12" t="s">
        <v>3808</v>
      </c>
      <c r="L269" s="12" t="s">
        <v>392</v>
      </c>
      <c r="M269" s="15">
        <v>221300</v>
      </c>
      <c r="N269" s="13">
        <v>44</v>
      </c>
    </row>
    <row r="270" ht="15.75" spans="1:14">
      <c r="A270" s="12" t="s">
        <v>3809</v>
      </c>
      <c r="B270" s="12" t="s">
        <v>391</v>
      </c>
      <c r="C270" s="15">
        <v>18616</v>
      </c>
      <c r="D270" s="13">
        <v>50</v>
      </c>
      <c r="F270" s="12" t="s">
        <v>3387</v>
      </c>
      <c r="G270" s="12" t="s">
        <v>391</v>
      </c>
      <c r="H270" s="15">
        <v>103553</v>
      </c>
      <c r="I270" s="13">
        <v>55</v>
      </c>
      <c r="K270" s="12" t="s">
        <v>2496</v>
      </c>
      <c r="L270" s="12" t="s">
        <v>391</v>
      </c>
      <c r="M270" s="15">
        <v>11208273</v>
      </c>
      <c r="N270" s="13">
        <v>44</v>
      </c>
    </row>
    <row r="271" ht="15.75" spans="1:14">
      <c r="A271" s="12" t="s">
        <v>3810</v>
      </c>
      <c r="B271" s="12" t="s">
        <v>391</v>
      </c>
      <c r="C271" s="15">
        <v>98163</v>
      </c>
      <c r="D271" s="13">
        <v>50</v>
      </c>
      <c r="F271" s="12" t="s">
        <v>3390</v>
      </c>
      <c r="G271" s="12" t="s">
        <v>391</v>
      </c>
      <c r="H271" s="15">
        <v>1043120</v>
      </c>
      <c r="I271" s="13">
        <v>55</v>
      </c>
      <c r="K271" s="12" t="s">
        <v>3658</v>
      </c>
      <c r="L271" s="12" t="s">
        <v>391</v>
      </c>
      <c r="M271" s="15">
        <v>143556</v>
      </c>
      <c r="N271" s="13">
        <v>44</v>
      </c>
    </row>
    <row r="272" ht="15.75" spans="1:14">
      <c r="A272" s="12" t="s">
        <v>3811</v>
      </c>
      <c r="B272" s="12" t="s">
        <v>391</v>
      </c>
      <c r="C272" s="15">
        <v>19533</v>
      </c>
      <c r="D272" s="13">
        <v>50</v>
      </c>
      <c r="F272" s="12" t="s">
        <v>3392</v>
      </c>
      <c r="G272" s="12" t="s">
        <v>391</v>
      </c>
      <c r="H272" s="15">
        <v>108601</v>
      </c>
      <c r="I272" s="13">
        <v>55</v>
      </c>
      <c r="K272" s="12" t="s">
        <v>3812</v>
      </c>
      <c r="L272" s="12" t="s">
        <v>391</v>
      </c>
      <c r="M272" s="15">
        <v>751257</v>
      </c>
      <c r="N272" s="13">
        <v>44</v>
      </c>
    </row>
    <row r="273" ht="15.75" spans="1:14">
      <c r="A273" s="12" t="s">
        <v>3813</v>
      </c>
      <c r="B273" s="12" t="s">
        <v>391</v>
      </c>
      <c r="C273" s="15">
        <v>12028</v>
      </c>
      <c r="D273" s="13">
        <v>50</v>
      </c>
      <c r="F273" s="12" t="s">
        <v>3395</v>
      </c>
      <c r="G273" s="12" t="s">
        <v>391</v>
      </c>
      <c r="H273" s="15">
        <v>271556</v>
      </c>
      <c r="I273" s="13">
        <v>55</v>
      </c>
      <c r="K273" s="12" t="s">
        <v>3660</v>
      </c>
      <c r="L273" s="12" t="s">
        <v>391</v>
      </c>
      <c r="M273" s="15">
        <v>287121</v>
      </c>
      <c r="N273" s="13">
        <v>44</v>
      </c>
    </row>
    <row r="274" ht="15.75" spans="1:14">
      <c r="A274" s="12" t="s">
        <v>3814</v>
      </c>
      <c r="B274" s="12" t="s">
        <v>391</v>
      </c>
      <c r="C274" s="15">
        <v>14866</v>
      </c>
      <c r="D274" s="13">
        <v>50</v>
      </c>
      <c r="F274" s="12" t="s">
        <v>3398</v>
      </c>
      <c r="G274" s="12" t="s">
        <v>391</v>
      </c>
      <c r="H274" s="15">
        <v>409089</v>
      </c>
      <c r="I274" s="13">
        <v>55</v>
      </c>
      <c r="K274" s="12" t="s">
        <v>3815</v>
      </c>
      <c r="L274" s="12" t="s">
        <v>391</v>
      </c>
      <c r="M274" s="15">
        <v>177213</v>
      </c>
      <c r="N274" s="13">
        <v>44</v>
      </c>
    </row>
    <row r="275" ht="15.75" spans="1:14">
      <c r="A275" s="12" t="s">
        <v>3816</v>
      </c>
      <c r="B275" s="12" t="s">
        <v>391</v>
      </c>
      <c r="C275" s="15">
        <v>13292</v>
      </c>
      <c r="D275" s="13">
        <v>50</v>
      </c>
      <c r="F275" s="12" t="s">
        <v>3400</v>
      </c>
      <c r="G275" s="12" t="s">
        <v>391</v>
      </c>
      <c r="H275" s="15">
        <v>352818</v>
      </c>
      <c r="I275" s="13">
        <v>55</v>
      </c>
      <c r="K275" s="12" t="s">
        <v>3664</v>
      </c>
      <c r="L275" s="12" t="s">
        <v>391</v>
      </c>
      <c r="M275" s="15">
        <v>236121</v>
      </c>
      <c r="N275" s="13">
        <v>44</v>
      </c>
    </row>
    <row r="276" ht="15.75" spans="1:14">
      <c r="A276" s="12" t="s">
        <v>3817</v>
      </c>
      <c r="B276" s="12" t="s">
        <v>391</v>
      </c>
      <c r="C276" s="15">
        <v>15817</v>
      </c>
      <c r="D276" s="13">
        <v>50</v>
      </c>
      <c r="F276" s="12" t="s">
        <v>3402</v>
      </c>
      <c r="G276" s="12" t="s">
        <v>391</v>
      </c>
      <c r="H276" s="15">
        <v>1021293</v>
      </c>
      <c r="I276" s="13">
        <v>55</v>
      </c>
      <c r="K276" s="12" t="s">
        <v>3818</v>
      </c>
      <c r="L276" s="12" t="s">
        <v>391</v>
      </c>
      <c r="M276" s="15">
        <v>331089</v>
      </c>
      <c r="N276" s="13">
        <v>44</v>
      </c>
    </row>
    <row r="277" ht="15.75" spans="1:14">
      <c r="A277" s="12" t="s">
        <v>3819</v>
      </c>
      <c r="B277" s="12" t="s">
        <v>391</v>
      </c>
      <c r="C277" s="15">
        <v>20271</v>
      </c>
      <c r="D277" s="13">
        <v>50</v>
      </c>
      <c r="F277" s="12" t="s">
        <v>3405</v>
      </c>
      <c r="G277" s="12" t="s">
        <v>391</v>
      </c>
      <c r="H277" s="15">
        <v>2236355</v>
      </c>
      <c r="I277" s="13">
        <v>55</v>
      </c>
      <c r="K277" s="12" t="s">
        <v>3820</v>
      </c>
      <c r="L277" s="12" t="s">
        <v>391</v>
      </c>
      <c r="M277" s="15">
        <v>152506</v>
      </c>
      <c r="N277" s="13">
        <v>44</v>
      </c>
    </row>
    <row r="278" ht="15.75" spans="1:14">
      <c r="A278" s="12" t="s">
        <v>3821</v>
      </c>
      <c r="B278" s="12" t="s">
        <v>391</v>
      </c>
      <c r="C278" s="15">
        <v>11247</v>
      </c>
      <c r="D278" s="13">
        <v>50</v>
      </c>
      <c r="F278" s="12" t="s">
        <v>3408</v>
      </c>
      <c r="G278" s="12" t="s">
        <v>391</v>
      </c>
      <c r="H278" s="15">
        <v>484039</v>
      </c>
      <c r="I278" s="13">
        <v>55</v>
      </c>
      <c r="K278" s="12" t="s">
        <v>3822</v>
      </c>
      <c r="L278" s="12" t="s">
        <v>391</v>
      </c>
      <c r="M278" s="15">
        <v>889184</v>
      </c>
      <c r="N278" s="13">
        <v>44</v>
      </c>
    </row>
    <row r="279" ht="15.75" spans="1:14">
      <c r="A279" s="12" t="s">
        <v>3823</v>
      </c>
      <c r="B279" s="12" t="s">
        <v>391</v>
      </c>
      <c r="C279" s="15">
        <v>10738</v>
      </c>
      <c r="D279" s="13">
        <v>50</v>
      </c>
      <c r="F279" s="12" t="s">
        <v>3411</v>
      </c>
      <c r="G279" s="12" t="s">
        <v>391</v>
      </c>
      <c r="H279" s="15">
        <v>281002</v>
      </c>
      <c r="I279" s="13">
        <v>55</v>
      </c>
      <c r="K279" s="12" t="s">
        <v>3824</v>
      </c>
      <c r="L279" s="12" t="s">
        <v>392</v>
      </c>
      <c r="M279" s="15">
        <v>120700</v>
      </c>
      <c r="N279" s="13">
        <v>44</v>
      </c>
    </row>
    <row r="280" ht="15.75" spans="1:14">
      <c r="A280" s="12" t="s">
        <v>3825</v>
      </c>
      <c r="B280" s="12" t="s">
        <v>391</v>
      </c>
      <c r="C280" s="15">
        <v>14958</v>
      </c>
      <c r="D280" s="13">
        <v>50</v>
      </c>
      <c r="F280" s="12" t="s">
        <v>3414</v>
      </c>
      <c r="G280" s="12" t="s">
        <v>391</v>
      </c>
      <c r="H280" s="15">
        <v>396396</v>
      </c>
      <c r="I280" s="13">
        <v>55</v>
      </c>
      <c r="K280" s="12" t="s">
        <v>3672</v>
      </c>
      <c r="L280" s="12" t="s">
        <v>391</v>
      </c>
      <c r="M280" s="15">
        <v>175629</v>
      </c>
      <c r="N280" s="13">
        <v>44</v>
      </c>
    </row>
    <row r="281" ht="15.75" spans="1:14">
      <c r="A281" s="12" t="s">
        <v>3826</v>
      </c>
      <c r="B281" s="12" t="s">
        <v>391</v>
      </c>
      <c r="C281" s="15">
        <v>10586</v>
      </c>
      <c r="D281" s="13">
        <v>50</v>
      </c>
      <c r="F281" s="12" t="s">
        <v>3417</v>
      </c>
      <c r="G281" s="12" t="s">
        <v>391</v>
      </c>
      <c r="H281" s="15">
        <v>123213</v>
      </c>
      <c r="I281" s="13">
        <v>55</v>
      </c>
      <c r="K281" s="12" t="s">
        <v>3827</v>
      </c>
      <c r="L281" s="12" t="s">
        <v>391</v>
      </c>
      <c r="M281" s="15">
        <v>299497</v>
      </c>
      <c r="N281" s="13">
        <v>44</v>
      </c>
    </row>
    <row r="282" ht="15.75" spans="1:14">
      <c r="A282" s="12" t="s">
        <v>3828</v>
      </c>
      <c r="B282" s="12" t="s">
        <v>391</v>
      </c>
      <c r="C282" s="15">
        <v>22899</v>
      </c>
      <c r="D282" s="13">
        <v>50</v>
      </c>
      <c r="F282" s="12" t="s">
        <v>3420</v>
      </c>
      <c r="G282" s="12" t="s">
        <v>391</v>
      </c>
      <c r="H282" s="15">
        <v>524904</v>
      </c>
      <c r="I282" s="13">
        <v>55</v>
      </c>
      <c r="K282" s="12" t="s">
        <v>3829</v>
      </c>
      <c r="L282" s="12" t="s">
        <v>391</v>
      </c>
      <c r="M282" s="15">
        <v>104116</v>
      </c>
      <c r="N282" s="13">
        <v>44</v>
      </c>
    </row>
    <row r="283" ht="15.75" spans="1:14">
      <c r="A283" s="12" t="s">
        <v>3830</v>
      </c>
      <c r="B283" s="12" t="s">
        <v>391</v>
      </c>
      <c r="C283" s="15">
        <v>24965</v>
      </c>
      <c r="D283" s="13">
        <v>50</v>
      </c>
      <c r="F283" s="12" t="s">
        <v>3831</v>
      </c>
      <c r="G283" s="12" t="s">
        <v>391</v>
      </c>
      <c r="H283" s="15">
        <v>63622</v>
      </c>
      <c r="I283" s="13">
        <v>55</v>
      </c>
      <c r="K283" s="12" t="s">
        <v>3832</v>
      </c>
      <c r="L283" s="12" t="s">
        <v>392</v>
      </c>
      <c r="M283" s="15">
        <v>102400</v>
      </c>
      <c r="N283" s="13">
        <v>44</v>
      </c>
    </row>
    <row r="284" ht="15.75" spans="1:14">
      <c r="A284" s="12" t="s">
        <v>3833</v>
      </c>
      <c r="B284" s="12" t="s">
        <v>391</v>
      </c>
      <c r="C284" s="15">
        <v>25700</v>
      </c>
      <c r="D284" s="13">
        <v>50</v>
      </c>
      <c r="F284" s="12" t="s">
        <v>3582</v>
      </c>
      <c r="G284" s="12" t="s">
        <v>391</v>
      </c>
      <c r="H284" s="15">
        <v>266897</v>
      </c>
      <c r="I284" s="13">
        <v>54</v>
      </c>
      <c r="K284" s="12" t="s">
        <v>3834</v>
      </c>
      <c r="L284" s="12" t="s">
        <v>391</v>
      </c>
      <c r="M284" s="15">
        <v>125296</v>
      </c>
      <c r="N284" s="13">
        <v>44</v>
      </c>
    </row>
    <row r="285" ht="15.75" spans="1:14">
      <c r="A285" s="12" t="s">
        <v>3835</v>
      </c>
      <c r="B285" s="12" t="s">
        <v>391</v>
      </c>
      <c r="C285" s="15">
        <v>10785</v>
      </c>
      <c r="D285" s="13">
        <v>50</v>
      </c>
      <c r="F285" s="12" t="s">
        <v>3584</v>
      </c>
      <c r="G285" s="12" t="s">
        <v>391</v>
      </c>
      <c r="H285" s="15">
        <v>155290</v>
      </c>
      <c r="I285" s="13">
        <v>54</v>
      </c>
      <c r="K285" s="12" t="s">
        <v>3836</v>
      </c>
      <c r="L285" s="12" t="s">
        <v>392</v>
      </c>
      <c r="M285" s="15">
        <v>141900</v>
      </c>
      <c r="N285" s="13">
        <v>44</v>
      </c>
    </row>
    <row r="286" ht="15.75" spans="1:14">
      <c r="A286" s="12" t="s">
        <v>3837</v>
      </c>
      <c r="B286" s="12" t="s">
        <v>391</v>
      </c>
      <c r="C286" s="15">
        <v>30343</v>
      </c>
      <c r="D286" s="13">
        <v>50</v>
      </c>
      <c r="F286" s="12" t="s">
        <v>3838</v>
      </c>
      <c r="G286" s="12" t="s">
        <v>392</v>
      </c>
      <c r="H286" s="15">
        <v>2300000</v>
      </c>
      <c r="I286" s="13">
        <v>54</v>
      </c>
      <c r="K286" s="12" t="s">
        <v>3839</v>
      </c>
      <c r="L286" s="12" t="s">
        <v>391</v>
      </c>
      <c r="M286" s="15">
        <v>385025</v>
      </c>
      <c r="N286" s="13">
        <v>44</v>
      </c>
    </row>
    <row r="287" ht="15.75" spans="1:14">
      <c r="A287" s="12" t="s">
        <v>3840</v>
      </c>
      <c r="B287" s="12" t="s">
        <v>391</v>
      </c>
      <c r="C287" s="15">
        <v>17369</v>
      </c>
      <c r="D287" s="13">
        <v>50</v>
      </c>
      <c r="F287" s="12" t="s">
        <v>3841</v>
      </c>
      <c r="G287" s="12" t="s">
        <v>391</v>
      </c>
      <c r="H287" s="15">
        <v>98915</v>
      </c>
      <c r="I287" s="13">
        <v>54</v>
      </c>
      <c r="K287" s="12" t="s">
        <v>3842</v>
      </c>
      <c r="L287" s="12" t="s">
        <v>391</v>
      </c>
      <c r="M287" s="15">
        <v>239792</v>
      </c>
      <c r="N287" s="13">
        <v>44</v>
      </c>
    </row>
    <row r="288" ht="15.75" spans="1:14">
      <c r="A288" s="12" t="s">
        <v>3843</v>
      </c>
      <c r="B288" s="12" t="s">
        <v>391</v>
      </c>
      <c r="C288" s="15">
        <v>17612</v>
      </c>
      <c r="D288" s="13">
        <v>50</v>
      </c>
      <c r="F288" s="12" t="s">
        <v>3423</v>
      </c>
      <c r="G288" s="12" t="s">
        <v>391</v>
      </c>
      <c r="H288" s="15">
        <v>190638</v>
      </c>
      <c r="I288" s="13">
        <v>54</v>
      </c>
      <c r="K288" s="12" t="s">
        <v>3844</v>
      </c>
      <c r="L288" s="12" t="s">
        <v>391</v>
      </c>
      <c r="M288" s="15">
        <v>157080</v>
      </c>
      <c r="N288" s="13">
        <v>44</v>
      </c>
    </row>
    <row r="289" ht="15.75" spans="1:14">
      <c r="A289" s="12" t="s">
        <v>3845</v>
      </c>
      <c r="B289" s="12" t="s">
        <v>391</v>
      </c>
      <c r="C289" s="15">
        <v>33702</v>
      </c>
      <c r="D289" s="13">
        <v>50</v>
      </c>
      <c r="F289" s="12" t="s">
        <v>3846</v>
      </c>
      <c r="G289" s="12" t="s">
        <v>392</v>
      </c>
      <c r="H289" s="15">
        <v>4200000</v>
      </c>
      <c r="I289" s="13">
        <v>54</v>
      </c>
      <c r="K289" s="12" t="s">
        <v>3847</v>
      </c>
      <c r="L289" s="12" t="s">
        <v>391</v>
      </c>
      <c r="M289" s="15">
        <v>139678</v>
      </c>
      <c r="N289" s="13">
        <v>44</v>
      </c>
    </row>
    <row r="290" ht="15.75" spans="1:14">
      <c r="A290" s="12" t="s">
        <v>3848</v>
      </c>
      <c r="B290" s="12" t="s">
        <v>391</v>
      </c>
      <c r="C290" s="15">
        <v>22471</v>
      </c>
      <c r="D290" s="13">
        <v>50</v>
      </c>
      <c r="F290" s="12" t="s">
        <v>3849</v>
      </c>
      <c r="G290" s="12" t="s">
        <v>392</v>
      </c>
      <c r="H290" s="15">
        <v>408500</v>
      </c>
      <c r="I290" s="13">
        <v>54</v>
      </c>
      <c r="K290" s="12" t="s">
        <v>3850</v>
      </c>
      <c r="L290" s="12" t="s">
        <v>392</v>
      </c>
      <c r="M290" s="15">
        <v>127600</v>
      </c>
      <c r="N290" s="13">
        <v>44</v>
      </c>
    </row>
    <row r="291" ht="15.75" spans="1:14">
      <c r="A291" s="12" t="s">
        <v>3851</v>
      </c>
      <c r="B291" s="12" t="s">
        <v>391</v>
      </c>
      <c r="C291" s="15">
        <v>22138</v>
      </c>
      <c r="D291" s="13">
        <v>50</v>
      </c>
      <c r="F291" s="12" t="s">
        <v>3426</v>
      </c>
      <c r="G291" s="12" t="s">
        <v>391</v>
      </c>
      <c r="H291" s="15">
        <v>101015</v>
      </c>
      <c r="I291" s="13">
        <v>54</v>
      </c>
      <c r="K291" s="12" t="s">
        <v>2372</v>
      </c>
      <c r="L291" s="12" t="s">
        <v>391</v>
      </c>
      <c r="M291" s="15">
        <v>516185245</v>
      </c>
      <c r="N291" s="13">
        <v>44</v>
      </c>
    </row>
    <row r="292" ht="15.75" spans="1:14">
      <c r="A292" s="12" t="s">
        <v>3852</v>
      </c>
      <c r="B292" s="12" t="s">
        <v>391</v>
      </c>
      <c r="C292" s="15">
        <v>45067</v>
      </c>
      <c r="D292" s="13">
        <v>50</v>
      </c>
      <c r="F292" s="12" t="s">
        <v>3853</v>
      </c>
      <c r="G292" s="12" t="s">
        <v>392</v>
      </c>
      <c r="H292" s="15">
        <v>604600</v>
      </c>
      <c r="I292" s="13">
        <v>54</v>
      </c>
      <c r="K292" s="12" t="s">
        <v>3854</v>
      </c>
      <c r="L292" s="12" t="s">
        <v>391</v>
      </c>
      <c r="M292" s="15">
        <v>104924</v>
      </c>
      <c r="N292" s="13">
        <v>44</v>
      </c>
    </row>
    <row r="293" ht="15.75" spans="1:14">
      <c r="A293" s="12" t="s">
        <v>3855</v>
      </c>
      <c r="B293" s="12" t="s">
        <v>391</v>
      </c>
      <c r="C293" s="15">
        <v>28399</v>
      </c>
      <c r="D293" s="13">
        <v>50</v>
      </c>
      <c r="F293" s="12" t="s">
        <v>3856</v>
      </c>
      <c r="G293" s="12" t="s">
        <v>392</v>
      </c>
      <c r="H293" s="15">
        <v>8300000</v>
      </c>
      <c r="I293" s="13">
        <v>54</v>
      </c>
      <c r="K293" s="12" t="s">
        <v>3688</v>
      </c>
      <c r="L293" s="12" t="s">
        <v>391</v>
      </c>
      <c r="M293" s="15">
        <v>323873</v>
      </c>
      <c r="N293" s="13">
        <v>44</v>
      </c>
    </row>
    <row r="294" ht="15.75" spans="1:14">
      <c r="A294" s="12" t="s">
        <v>3857</v>
      </c>
      <c r="B294" s="12" t="s">
        <v>391</v>
      </c>
      <c r="C294" s="15">
        <v>20165</v>
      </c>
      <c r="D294" s="13">
        <v>50</v>
      </c>
      <c r="F294" s="12" t="s">
        <v>3559</v>
      </c>
      <c r="G294" s="12" t="s">
        <v>391</v>
      </c>
      <c r="H294" s="15">
        <v>197803</v>
      </c>
      <c r="I294" s="13">
        <v>54</v>
      </c>
      <c r="K294" s="12" t="s">
        <v>3690</v>
      </c>
      <c r="L294" s="12" t="s">
        <v>391</v>
      </c>
      <c r="M294" s="15">
        <v>655177</v>
      </c>
      <c r="N294" s="13">
        <v>44</v>
      </c>
    </row>
    <row r="295" ht="15.75" spans="1:14">
      <c r="A295" s="12" t="s">
        <v>3858</v>
      </c>
      <c r="B295" s="12" t="s">
        <v>391</v>
      </c>
      <c r="C295" s="15">
        <v>13609</v>
      </c>
      <c r="D295" s="13">
        <v>50</v>
      </c>
      <c r="F295" s="12" t="s">
        <v>3429</v>
      </c>
      <c r="G295" s="12" t="s">
        <v>391</v>
      </c>
      <c r="H295" s="15">
        <v>1883474</v>
      </c>
      <c r="I295" s="13">
        <v>54</v>
      </c>
      <c r="K295" s="12" t="s">
        <v>3859</v>
      </c>
      <c r="L295" s="12" t="s">
        <v>391</v>
      </c>
      <c r="M295" s="15">
        <v>1183264</v>
      </c>
      <c r="N295" s="13">
        <v>44</v>
      </c>
    </row>
    <row r="296" ht="15.75" spans="1:14">
      <c r="A296" s="12" t="s">
        <v>3860</v>
      </c>
      <c r="B296" s="12" t="s">
        <v>391</v>
      </c>
      <c r="C296" s="15">
        <v>15118</v>
      </c>
      <c r="D296" s="13">
        <v>50</v>
      </c>
      <c r="F296" s="12" t="s">
        <v>3861</v>
      </c>
      <c r="G296" s="12" t="s">
        <v>392</v>
      </c>
      <c r="H296" s="15">
        <v>1100000</v>
      </c>
      <c r="I296" s="13">
        <v>54</v>
      </c>
      <c r="K296" s="12" t="s">
        <v>3862</v>
      </c>
      <c r="L296" s="12" t="s">
        <v>391</v>
      </c>
      <c r="M296" s="15">
        <v>491814</v>
      </c>
      <c r="N296" s="13">
        <v>44</v>
      </c>
    </row>
    <row r="297" ht="15.75" spans="1:14">
      <c r="A297" s="12" t="s">
        <v>3863</v>
      </c>
      <c r="B297" s="12" t="s">
        <v>391</v>
      </c>
      <c r="C297" s="15">
        <v>21811</v>
      </c>
      <c r="D297" s="13">
        <v>50</v>
      </c>
      <c r="F297" s="12" t="s">
        <v>3864</v>
      </c>
      <c r="G297" s="12" t="s">
        <v>392</v>
      </c>
      <c r="H297" s="15">
        <v>7200000</v>
      </c>
      <c r="I297" s="13">
        <v>54</v>
      </c>
      <c r="K297" s="12" t="s">
        <v>3865</v>
      </c>
      <c r="L297" s="12" t="s">
        <v>392</v>
      </c>
      <c r="M297" s="15">
        <v>940200</v>
      </c>
      <c r="N297" s="13">
        <v>44</v>
      </c>
    </row>
    <row r="298" ht="15.75" spans="1:14">
      <c r="A298" s="12" t="s">
        <v>3866</v>
      </c>
      <c r="B298" s="12" t="s">
        <v>391</v>
      </c>
      <c r="C298" s="15">
        <v>20116</v>
      </c>
      <c r="D298" s="13">
        <v>50</v>
      </c>
      <c r="F298" s="12" t="s">
        <v>3432</v>
      </c>
      <c r="G298" s="12" t="s">
        <v>391</v>
      </c>
      <c r="H298" s="15">
        <v>535764</v>
      </c>
      <c r="I298" s="13">
        <v>54</v>
      </c>
      <c r="K298" s="12" t="s">
        <v>3867</v>
      </c>
      <c r="L298" s="12" t="s">
        <v>391</v>
      </c>
      <c r="M298" s="15">
        <v>134494</v>
      </c>
      <c r="N298" s="13">
        <v>44</v>
      </c>
    </row>
    <row r="299" ht="15.75" spans="1:14">
      <c r="A299" s="12" t="s">
        <v>3868</v>
      </c>
      <c r="B299" s="12" t="s">
        <v>391</v>
      </c>
      <c r="C299" s="15">
        <v>19150</v>
      </c>
      <c r="D299" s="13">
        <v>50</v>
      </c>
      <c r="F299" s="12" t="s">
        <v>3869</v>
      </c>
      <c r="G299" s="12" t="s">
        <v>392</v>
      </c>
      <c r="H299" s="15">
        <v>159300</v>
      </c>
      <c r="I299" s="13">
        <v>54</v>
      </c>
      <c r="K299" s="12" t="s">
        <v>3697</v>
      </c>
      <c r="L299" s="12" t="s">
        <v>391</v>
      </c>
      <c r="M299" s="15">
        <v>194787</v>
      </c>
      <c r="N299" s="13">
        <v>44</v>
      </c>
    </row>
    <row r="300" ht="15.75" spans="1:14">
      <c r="A300" s="12" t="s">
        <v>3870</v>
      </c>
      <c r="B300" s="12" t="s">
        <v>391</v>
      </c>
      <c r="C300" s="15">
        <v>17951</v>
      </c>
      <c r="D300" s="13">
        <v>50</v>
      </c>
      <c r="F300" s="12" t="s">
        <v>3871</v>
      </c>
      <c r="G300" s="12" t="s">
        <v>392</v>
      </c>
      <c r="H300" s="15">
        <v>5700000</v>
      </c>
      <c r="I300" s="13">
        <v>54</v>
      </c>
      <c r="K300" s="12" t="s">
        <v>3699</v>
      </c>
      <c r="L300" s="12" t="s">
        <v>391</v>
      </c>
      <c r="M300" s="15">
        <v>106471</v>
      </c>
      <c r="N300" s="13">
        <v>44</v>
      </c>
    </row>
    <row r="301" ht="15.75" spans="1:14">
      <c r="A301" s="12" t="s">
        <v>3872</v>
      </c>
      <c r="B301" s="12" t="s">
        <v>391</v>
      </c>
      <c r="C301" s="15">
        <v>11617</v>
      </c>
      <c r="D301" s="13">
        <v>50</v>
      </c>
      <c r="F301" s="12" t="s">
        <v>3873</v>
      </c>
      <c r="G301" s="12" t="s">
        <v>392</v>
      </c>
      <c r="H301" s="15">
        <v>5200000</v>
      </c>
      <c r="I301" s="13">
        <v>54</v>
      </c>
      <c r="K301" s="12" t="s">
        <v>2443</v>
      </c>
      <c r="L301" s="12" t="s">
        <v>392</v>
      </c>
      <c r="M301" s="15">
        <v>14000000</v>
      </c>
      <c r="N301" s="13">
        <v>44</v>
      </c>
    </row>
    <row r="302" ht="15.75" spans="1:14">
      <c r="A302" s="12" t="s">
        <v>3874</v>
      </c>
      <c r="B302" s="12" t="s">
        <v>391</v>
      </c>
      <c r="C302" s="15">
        <v>31550</v>
      </c>
      <c r="D302" s="13">
        <v>50</v>
      </c>
      <c r="F302" s="12" t="s">
        <v>3435</v>
      </c>
      <c r="G302" s="12" t="s">
        <v>391</v>
      </c>
      <c r="H302" s="15">
        <v>383298</v>
      </c>
      <c r="I302" s="13">
        <v>54</v>
      </c>
      <c r="K302" s="12" t="s">
        <v>3875</v>
      </c>
      <c r="L302" s="12" t="s">
        <v>391</v>
      </c>
      <c r="M302" s="15">
        <v>166689</v>
      </c>
      <c r="N302" s="13">
        <v>44</v>
      </c>
    </row>
    <row r="303" ht="15.75" spans="1:14">
      <c r="A303" s="12" t="s">
        <v>3876</v>
      </c>
      <c r="B303" s="12" t="s">
        <v>391</v>
      </c>
      <c r="C303" s="15">
        <v>11043</v>
      </c>
      <c r="D303" s="13">
        <v>50</v>
      </c>
      <c r="F303" s="12" t="s">
        <v>3877</v>
      </c>
      <c r="G303" s="12" t="s">
        <v>392</v>
      </c>
      <c r="H303" s="15">
        <v>1700000</v>
      </c>
      <c r="I303" s="13">
        <v>54</v>
      </c>
      <c r="K303" s="12" t="s">
        <v>3878</v>
      </c>
      <c r="L303" s="12" t="s">
        <v>392</v>
      </c>
      <c r="M303" s="15">
        <v>107800</v>
      </c>
      <c r="N303" s="13">
        <v>44</v>
      </c>
    </row>
    <row r="304" ht="15.75" spans="1:14">
      <c r="A304" s="12" t="s">
        <v>3879</v>
      </c>
      <c r="B304" s="12" t="s">
        <v>391</v>
      </c>
      <c r="C304" s="15">
        <v>11311</v>
      </c>
      <c r="D304" s="13">
        <v>50</v>
      </c>
      <c r="F304" s="12" t="s">
        <v>3438</v>
      </c>
      <c r="G304" s="12" t="s">
        <v>391</v>
      </c>
      <c r="H304" s="15">
        <v>363535</v>
      </c>
      <c r="I304" s="13">
        <v>54</v>
      </c>
      <c r="K304" s="12" t="s">
        <v>3703</v>
      </c>
      <c r="L304" s="12" t="s">
        <v>391</v>
      </c>
      <c r="M304" s="15">
        <v>148282</v>
      </c>
      <c r="N304" s="13">
        <v>44</v>
      </c>
    </row>
    <row r="305" ht="15.75" spans="1:14">
      <c r="A305" s="12" t="s">
        <v>3880</v>
      </c>
      <c r="B305" s="12" t="s">
        <v>391</v>
      </c>
      <c r="C305" s="15">
        <v>13091</v>
      </c>
      <c r="D305" s="13">
        <v>50</v>
      </c>
      <c r="F305" s="12" t="s">
        <v>3590</v>
      </c>
      <c r="G305" s="12" t="s">
        <v>391</v>
      </c>
      <c r="H305" s="15">
        <v>1525475</v>
      </c>
      <c r="I305" s="13">
        <v>54</v>
      </c>
      <c r="K305" s="12" t="s">
        <v>3705</v>
      </c>
      <c r="L305" s="12" t="s">
        <v>391</v>
      </c>
      <c r="M305" s="15">
        <v>7694004</v>
      </c>
      <c r="N305" s="13">
        <v>44</v>
      </c>
    </row>
    <row r="306" ht="15.75" spans="1:14">
      <c r="A306" s="12" t="s">
        <v>3881</v>
      </c>
      <c r="B306" s="12" t="s">
        <v>391</v>
      </c>
      <c r="C306" s="15">
        <v>19832</v>
      </c>
      <c r="D306" s="13">
        <v>50</v>
      </c>
      <c r="F306" s="12" t="s">
        <v>3441</v>
      </c>
      <c r="G306" s="12" t="s">
        <v>391</v>
      </c>
      <c r="H306" s="15">
        <v>546452</v>
      </c>
      <c r="I306" s="13">
        <v>54</v>
      </c>
      <c r="K306" s="12" t="s">
        <v>3882</v>
      </c>
      <c r="L306" s="12" t="s">
        <v>391</v>
      </c>
      <c r="M306" s="15">
        <v>837587</v>
      </c>
      <c r="N306" s="13">
        <v>44</v>
      </c>
    </row>
    <row r="307" ht="15.75" spans="1:14">
      <c r="A307" s="12" t="s">
        <v>3883</v>
      </c>
      <c r="B307" s="12" t="s">
        <v>391</v>
      </c>
      <c r="C307" s="15">
        <v>11548</v>
      </c>
      <c r="D307" s="13">
        <v>50</v>
      </c>
      <c r="F307" s="12" t="s">
        <v>3443</v>
      </c>
      <c r="G307" s="12" t="s">
        <v>391</v>
      </c>
      <c r="H307" s="15">
        <v>2512148</v>
      </c>
      <c r="I307" s="13">
        <v>54</v>
      </c>
      <c r="K307" s="12" t="s">
        <v>3884</v>
      </c>
      <c r="L307" s="12" t="s">
        <v>391</v>
      </c>
      <c r="M307" s="15">
        <v>393654</v>
      </c>
      <c r="N307" s="13">
        <v>44</v>
      </c>
    </row>
    <row r="308" ht="15.75" spans="1:14">
      <c r="A308" s="12" t="s">
        <v>3885</v>
      </c>
      <c r="B308" s="12" t="s">
        <v>391</v>
      </c>
      <c r="C308" s="15">
        <v>24751</v>
      </c>
      <c r="D308" s="13">
        <v>50</v>
      </c>
      <c r="F308" s="12" t="s">
        <v>3886</v>
      </c>
      <c r="G308" s="12" t="s">
        <v>392</v>
      </c>
      <c r="H308" s="15">
        <v>987700</v>
      </c>
      <c r="I308" s="13">
        <v>54</v>
      </c>
      <c r="K308" s="12" t="s">
        <v>3254</v>
      </c>
      <c r="L308" s="12" t="s">
        <v>391</v>
      </c>
      <c r="M308" s="15">
        <v>116843</v>
      </c>
      <c r="N308" s="13">
        <v>44</v>
      </c>
    </row>
    <row r="309" ht="15.75" spans="1:14">
      <c r="A309" s="12" t="s">
        <v>3887</v>
      </c>
      <c r="B309" s="12" t="s">
        <v>391</v>
      </c>
      <c r="C309" s="15">
        <v>22750</v>
      </c>
      <c r="D309" s="13">
        <v>50</v>
      </c>
      <c r="F309" s="12" t="s">
        <v>3450</v>
      </c>
      <c r="G309" s="12" t="s">
        <v>391</v>
      </c>
      <c r="H309" s="15">
        <v>181789</v>
      </c>
      <c r="I309" s="13">
        <v>53</v>
      </c>
      <c r="K309" s="12" t="s">
        <v>3888</v>
      </c>
      <c r="L309" s="12" t="s">
        <v>391</v>
      </c>
      <c r="M309" s="15">
        <v>226435</v>
      </c>
      <c r="N309" s="13">
        <v>43</v>
      </c>
    </row>
    <row r="310" ht="15.75" spans="1:14">
      <c r="A310" s="12" t="s">
        <v>3889</v>
      </c>
      <c r="B310" s="12" t="s">
        <v>391</v>
      </c>
      <c r="C310" s="15">
        <v>10424</v>
      </c>
      <c r="D310" s="13">
        <v>50</v>
      </c>
      <c r="F310" s="12" t="s">
        <v>3223</v>
      </c>
      <c r="G310" s="12" t="s">
        <v>391</v>
      </c>
      <c r="H310" s="15">
        <v>948683</v>
      </c>
      <c r="I310" s="13">
        <v>53</v>
      </c>
      <c r="K310" s="12" t="s">
        <v>3890</v>
      </c>
      <c r="L310" s="12" t="s">
        <v>392</v>
      </c>
      <c r="M310" s="15">
        <v>210600</v>
      </c>
      <c r="N310" s="13">
        <v>43</v>
      </c>
    </row>
    <row r="311" ht="15.75" spans="1:14">
      <c r="A311" s="12" t="s">
        <v>3891</v>
      </c>
      <c r="B311" s="12" t="s">
        <v>391</v>
      </c>
      <c r="C311" s="15">
        <v>21687</v>
      </c>
      <c r="D311" s="13">
        <v>50</v>
      </c>
      <c r="F311" s="12" t="s">
        <v>3598</v>
      </c>
      <c r="G311" s="12" t="s">
        <v>391</v>
      </c>
      <c r="H311" s="15">
        <v>216560</v>
      </c>
      <c r="I311" s="13">
        <v>53</v>
      </c>
      <c r="K311" s="12" t="s">
        <v>3892</v>
      </c>
      <c r="L311" s="12" t="s">
        <v>391</v>
      </c>
      <c r="M311" s="15">
        <v>272803</v>
      </c>
      <c r="N311" s="13">
        <v>43</v>
      </c>
    </row>
    <row r="312" ht="15.75" spans="1:14">
      <c r="A312" s="12" t="s">
        <v>3893</v>
      </c>
      <c r="B312" s="12" t="s">
        <v>391</v>
      </c>
      <c r="C312" s="15">
        <v>13934</v>
      </c>
      <c r="D312" s="13">
        <v>50</v>
      </c>
      <c r="F312" s="12" t="s">
        <v>3570</v>
      </c>
      <c r="G312" s="12" t="s">
        <v>391</v>
      </c>
      <c r="H312" s="15">
        <v>110332</v>
      </c>
      <c r="I312" s="13">
        <v>53</v>
      </c>
      <c r="K312" s="12" t="s">
        <v>3894</v>
      </c>
      <c r="L312" s="12" t="s">
        <v>391</v>
      </c>
      <c r="M312" s="15">
        <v>644524</v>
      </c>
      <c r="N312" s="13">
        <v>43</v>
      </c>
    </row>
    <row r="313" ht="15.75" spans="1:14">
      <c r="A313" s="12" t="s">
        <v>3895</v>
      </c>
      <c r="B313" s="12" t="s">
        <v>391</v>
      </c>
      <c r="C313" s="15">
        <v>47592</v>
      </c>
      <c r="D313" s="13">
        <v>50</v>
      </c>
      <c r="F313" s="12" t="s">
        <v>3896</v>
      </c>
      <c r="G313" s="12" t="s">
        <v>391</v>
      </c>
      <c r="H313" s="15">
        <v>606698</v>
      </c>
      <c r="I313" s="13">
        <v>53</v>
      </c>
      <c r="K313" s="12" t="s">
        <v>3897</v>
      </c>
      <c r="L313" s="12" t="s">
        <v>392</v>
      </c>
      <c r="M313" s="15">
        <v>106000</v>
      </c>
      <c r="N313" s="13">
        <v>43</v>
      </c>
    </row>
    <row r="314" ht="15.75" spans="1:14">
      <c r="A314" s="12" t="s">
        <v>3898</v>
      </c>
      <c r="B314" s="12" t="s">
        <v>391</v>
      </c>
      <c r="C314" s="15">
        <v>35329</v>
      </c>
      <c r="D314" s="13">
        <v>50</v>
      </c>
      <c r="F314" s="12" t="s">
        <v>2419</v>
      </c>
      <c r="G314" s="12" t="s">
        <v>391</v>
      </c>
      <c r="H314" s="15">
        <v>17452714</v>
      </c>
      <c r="I314" s="13">
        <v>53</v>
      </c>
      <c r="K314" s="12" t="s">
        <v>3899</v>
      </c>
      <c r="L314" s="12" t="s">
        <v>392</v>
      </c>
      <c r="M314" s="15">
        <v>331900</v>
      </c>
      <c r="N314" s="13">
        <v>43</v>
      </c>
    </row>
    <row r="315" ht="15.75" spans="1:14">
      <c r="A315" s="12" t="s">
        <v>3900</v>
      </c>
      <c r="B315" s="12" t="s">
        <v>391</v>
      </c>
      <c r="C315" s="15">
        <v>21019</v>
      </c>
      <c r="D315" s="13">
        <v>50</v>
      </c>
      <c r="F315" s="12" t="s">
        <v>3463</v>
      </c>
      <c r="G315" s="12" t="s">
        <v>392</v>
      </c>
      <c r="H315" s="15">
        <v>1300000</v>
      </c>
      <c r="I315" s="13">
        <v>53</v>
      </c>
      <c r="K315" s="12" t="s">
        <v>3901</v>
      </c>
      <c r="L315" s="12" t="s">
        <v>391</v>
      </c>
      <c r="M315" s="15">
        <v>191664</v>
      </c>
      <c r="N315" s="13">
        <v>43</v>
      </c>
    </row>
    <row r="316" ht="15.75" spans="1:14">
      <c r="A316" s="12" t="s">
        <v>3902</v>
      </c>
      <c r="B316" s="12" t="s">
        <v>391</v>
      </c>
      <c r="C316" s="15">
        <v>24289</v>
      </c>
      <c r="D316" s="13">
        <v>50</v>
      </c>
      <c r="F316" s="12" t="s">
        <v>3466</v>
      </c>
      <c r="G316" s="12" t="s">
        <v>391</v>
      </c>
      <c r="H316" s="15">
        <v>157873</v>
      </c>
      <c r="I316" s="13">
        <v>52</v>
      </c>
      <c r="K316" s="12" t="s">
        <v>2481</v>
      </c>
      <c r="L316" s="12" t="s">
        <v>392</v>
      </c>
      <c r="M316" s="15">
        <v>12100000</v>
      </c>
      <c r="N316" s="13">
        <v>43</v>
      </c>
    </row>
    <row r="317" ht="15.75" spans="1:14">
      <c r="A317" s="12" t="s">
        <v>3903</v>
      </c>
      <c r="B317" s="12" t="s">
        <v>391</v>
      </c>
      <c r="C317" s="15">
        <v>14341</v>
      </c>
      <c r="D317" s="13">
        <v>50</v>
      </c>
      <c r="F317" s="12" t="s">
        <v>3471</v>
      </c>
      <c r="G317" s="12" t="s">
        <v>391</v>
      </c>
      <c r="H317" s="15">
        <v>336849</v>
      </c>
      <c r="I317" s="13">
        <v>52</v>
      </c>
      <c r="K317" s="12" t="s">
        <v>3904</v>
      </c>
      <c r="L317" s="12" t="s">
        <v>392</v>
      </c>
      <c r="M317" s="15">
        <v>107500</v>
      </c>
      <c r="N317" s="13">
        <v>43</v>
      </c>
    </row>
    <row r="318" ht="15.75" spans="1:14">
      <c r="A318" s="12" t="s">
        <v>3905</v>
      </c>
      <c r="B318" s="12" t="s">
        <v>391</v>
      </c>
      <c r="C318" s="15">
        <v>11667</v>
      </c>
      <c r="D318" s="13">
        <v>50</v>
      </c>
      <c r="F318" s="12" t="s">
        <v>3631</v>
      </c>
      <c r="G318" s="12" t="s">
        <v>391</v>
      </c>
      <c r="H318" s="15">
        <v>89454</v>
      </c>
      <c r="I318" s="13">
        <v>52</v>
      </c>
      <c r="K318" s="12" t="s">
        <v>3906</v>
      </c>
      <c r="L318" s="12" t="s">
        <v>392</v>
      </c>
      <c r="M318" s="15">
        <v>150100</v>
      </c>
      <c r="N318" s="13">
        <v>43</v>
      </c>
    </row>
    <row r="319" ht="15.75" spans="1:14">
      <c r="A319" s="12" t="s">
        <v>3907</v>
      </c>
      <c r="B319" s="12" t="s">
        <v>391</v>
      </c>
      <c r="C319" s="15">
        <v>21404</v>
      </c>
      <c r="D319" s="13">
        <v>50</v>
      </c>
      <c r="F319" s="12" t="s">
        <v>3632</v>
      </c>
      <c r="G319" s="12" t="s">
        <v>391</v>
      </c>
      <c r="H319" s="15">
        <v>574646</v>
      </c>
      <c r="I319" s="13">
        <v>52</v>
      </c>
      <c r="K319" s="12" t="s">
        <v>3908</v>
      </c>
      <c r="L319" s="12" t="s">
        <v>391</v>
      </c>
      <c r="M319" s="15">
        <v>116979</v>
      </c>
      <c r="N319" s="13">
        <v>43</v>
      </c>
    </row>
    <row r="320" ht="15.75" spans="1:14">
      <c r="A320" s="12" t="s">
        <v>3909</v>
      </c>
      <c r="B320" s="12" t="s">
        <v>391</v>
      </c>
      <c r="C320" s="15">
        <v>14648</v>
      </c>
      <c r="D320" s="13">
        <v>50</v>
      </c>
      <c r="F320" s="12" t="s">
        <v>3474</v>
      </c>
      <c r="G320" s="12" t="s">
        <v>391</v>
      </c>
      <c r="H320" s="15">
        <v>283926</v>
      </c>
      <c r="I320" s="13">
        <v>52</v>
      </c>
      <c r="K320" s="12" t="s">
        <v>3910</v>
      </c>
      <c r="L320" s="12" t="s">
        <v>392</v>
      </c>
      <c r="M320" s="15">
        <v>401600</v>
      </c>
      <c r="N320" s="13">
        <v>43</v>
      </c>
    </row>
    <row r="321" ht="15.75" spans="1:14">
      <c r="A321" s="12" t="s">
        <v>3911</v>
      </c>
      <c r="B321" s="12" t="s">
        <v>391</v>
      </c>
      <c r="C321" s="15">
        <v>24494</v>
      </c>
      <c r="D321" s="13">
        <v>50</v>
      </c>
      <c r="F321" s="12" t="s">
        <v>3912</v>
      </c>
      <c r="G321" s="12" t="s">
        <v>391</v>
      </c>
      <c r="H321" s="15">
        <v>116585</v>
      </c>
      <c r="I321" s="13">
        <v>52</v>
      </c>
      <c r="K321" s="12" t="s">
        <v>3913</v>
      </c>
      <c r="L321" s="12" t="s">
        <v>391</v>
      </c>
      <c r="M321" s="15">
        <v>178537</v>
      </c>
      <c r="N321" s="13">
        <v>43</v>
      </c>
    </row>
    <row r="322" ht="15.75" spans="1:14">
      <c r="A322" s="12" t="s">
        <v>3914</v>
      </c>
      <c r="B322" s="12" t="s">
        <v>391</v>
      </c>
      <c r="C322" s="15">
        <v>12282</v>
      </c>
      <c r="D322" s="13">
        <v>50</v>
      </c>
      <c r="F322" s="12" t="s">
        <v>3915</v>
      </c>
      <c r="G322" s="12" t="s">
        <v>391</v>
      </c>
      <c r="H322" s="15">
        <v>382923</v>
      </c>
      <c r="I322" s="13">
        <v>52</v>
      </c>
      <c r="K322" s="12" t="s">
        <v>3916</v>
      </c>
      <c r="L322" s="12" t="s">
        <v>392</v>
      </c>
      <c r="M322" s="15">
        <v>241600</v>
      </c>
      <c r="N322" s="13">
        <v>43</v>
      </c>
    </row>
    <row r="323" ht="15.75" spans="1:14">
      <c r="A323" s="12" t="s">
        <v>3917</v>
      </c>
      <c r="B323" s="12" t="s">
        <v>391</v>
      </c>
      <c r="C323" s="15">
        <v>10351</v>
      </c>
      <c r="D323" s="13">
        <v>50</v>
      </c>
      <c r="F323" s="12" t="s">
        <v>3774</v>
      </c>
      <c r="G323" s="12" t="s">
        <v>392</v>
      </c>
      <c r="H323" s="15">
        <v>2900000</v>
      </c>
      <c r="I323" s="13">
        <v>52</v>
      </c>
      <c r="K323" s="12" t="s">
        <v>2408</v>
      </c>
      <c r="L323" s="12" t="s">
        <v>391</v>
      </c>
      <c r="M323" s="15">
        <v>20046665</v>
      </c>
      <c r="N323" s="13">
        <v>43</v>
      </c>
    </row>
    <row r="324" ht="15.75" spans="1:14">
      <c r="A324" s="12" t="s">
        <v>3918</v>
      </c>
      <c r="B324" s="12" t="s">
        <v>391</v>
      </c>
      <c r="C324" s="15">
        <v>11406</v>
      </c>
      <c r="D324" s="13">
        <v>50</v>
      </c>
      <c r="F324" s="12" t="s">
        <v>3477</v>
      </c>
      <c r="G324" s="12" t="s">
        <v>391</v>
      </c>
      <c r="H324" s="15">
        <v>275159</v>
      </c>
      <c r="I324" s="13">
        <v>52</v>
      </c>
      <c r="K324" s="12" t="s">
        <v>3919</v>
      </c>
      <c r="L324" s="12" t="s">
        <v>392</v>
      </c>
      <c r="M324" s="15">
        <v>312400</v>
      </c>
      <c r="N324" s="13">
        <v>43</v>
      </c>
    </row>
    <row r="325" ht="15.75" spans="1:14">
      <c r="A325" s="12" t="s">
        <v>3920</v>
      </c>
      <c r="B325" s="12" t="s">
        <v>391</v>
      </c>
      <c r="C325" s="15">
        <v>10367</v>
      </c>
      <c r="D325" s="13">
        <v>50</v>
      </c>
      <c r="F325" s="12" t="s">
        <v>3921</v>
      </c>
      <c r="G325" s="12" t="s">
        <v>392</v>
      </c>
      <c r="H325" s="15">
        <v>148500</v>
      </c>
      <c r="I325" s="13">
        <v>52</v>
      </c>
      <c r="K325" s="12" t="s">
        <v>3922</v>
      </c>
      <c r="L325" s="12" t="s">
        <v>392</v>
      </c>
      <c r="M325" s="15">
        <v>195400</v>
      </c>
      <c r="N325" s="13">
        <v>43</v>
      </c>
    </row>
    <row r="326" ht="15.75" spans="1:14">
      <c r="A326" s="12" t="s">
        <v>3923</v>
      </c>
      <c r="B326" s="12" t="s">
        <v>391</v>
      </c>
      <c r="C326" s="15">
        <v>32717</v>
      </c>
      <c r="D326" s="13">
        <v>50</v>
      </c>
      <c r="F326" s="12" t="s">
        <v>3480</v>
      </c>
      <c r="G326" s="12" t="s">
        <v>391</v>
      </c>
      <c r="H326" s="15">
        <v>101157</v>
      </c>
      <c r="I326" s="13">
        <v>52</v>
      </c>
      <c r="K326" s="12" t="s">
        <v>3924</v>
      </c>
      <c r="L326" s="12" t="s">
        <v>391</v>
      </c>
      <c r="M326" s="15">
        <v>244860</v>
      </c>
      <c r="N326" s="13">
        <v>43</v>
      </c>
    </row>
    <row r="327" ht="15.75" spans="1:14">
      <c r="A327" s="12" t="s">
        <v>3925</v>
      </c>
      <c r="B327" s="12" t="s">
        <v>391</v>
      </c>
      <c r="C327" s="15">
        <v>19370</v>
      </c>
      <c r="D327" s="13">
        <v>50</v>
      </c>
      <c r="F327" s="12" t="s">
        <v>3642</v>
      </c>
      <c r="G327" s="12" t="s">
        <v>391</v>
      </c>
      <c r="H327" s="15">
        <v>117565</v>
      </c>
      <c r="I327" s="13">
        <v>52</v>
      </c>
      <c r="K327" s="12" t="s">
        <v>3926</v>
      </c>
      <c r="L327" s="12" t="s">
        <v>391</v>
      </c>
      <c r="M327" s="15">
        <v>110311</v>
      </c>
      <c r="N327" s="13">
        <v>43</v>
      </c>
    </row>
    <row r="328" ht="15.75" spans="1:14">
      <c r="A328" s="12" t="s">
        <v>3927</v>
      </c>
      <c r="B328" s="12" t="s">
        <v>391</v>
      </c>
      <c r="C328" s="15">
        <v>11360</v>
      </c>
      <c r="D328" s="13">
        <v>50</v>
      </c>
      <c r="F328" s="12" t="s">
        <v>3648</v>
      </c>
      <c r="G328" s="12" t="s">
        <v>391</v>
      </c>
      <c r="H328" s="15">
        <v>627991</v>
      </c>
      <c r="I328" s="13">
        <v>52</v>
      </c>
      <c r="K328" s="12" t="s">
        <v>3928</v>
      </c>
      <c r="L328" s="12" t="s">
        <v>391</v>
      </c>
      <c r="M328" s="15">
        <v>106023</v>
      </c>
      <c r="N328" s="13">
        <v>43</v>
      </c>
    </row>
    <row r="329" ht="15.75" spans="1:14">
      <c r="A329" s="12" t="s">
        <v>3929</v>
      </c>
      <c r="B329" s="12" t="s">
        <v>391</v>
      </c>
      <c r="C329" s="15">
        <v>16301</v>
      </c>
      <c r="D329" s="13">
        <v>50</v>
      </c>
      <c r="F329" s="12" t="s">
        <v>3652</v>
      </c>
      <c r="G329" s="12" t="s">
        <v>391</v>
      </c>
      <c r="H329" s="15">
        <v>251163</v>
      </c>
      <c r="I329" s="13">
        <v>52</v>
      </c>
      <c r="K329" s="12" t="s">
        <v>3930</v>
      </c>
      <c r="L329" s="12" t="s">
        <v>391</v>
      </c>
      <c r="M329" s="15">
        <v>570281</v>
      </c>
      <c r="N329" s="13">
        <v>43</v>
      </c>
    </row>
    <row r="330" ht="15.75" spans="1:14">
      <c r="A330" s="12" t="s">
        <v>3931</v>
      </c>
      <c r="B330" s="12" t="s">
        <v>391</v>
      </c>
      <c r="C330" s="15">
        <v>21942</v>
      </c>
      <c r="D330" s="13">
        <v>50</v>
      </c>
      <c r="F330" s="12" t="s">
        <v>3483</v>
      </c>
      <c r="G330" s="12" t="s">
        <v>391</v>
      </c>
      <c r="H330" s="15">
        <v>423744</v>
      </c>
      <c r="I330" s="13">
        <v>52</v>
      </c>
      <c r="K330" s="12" t="s">
        <v>3932</v>
      </c>
      <c r="L330" s="12" t="s">
        <v>392</v>
      </c>
      <c r="M330" s="15">
        <v>241900</v>
      </c>
      <c r="N330" s="13">
        <v>43</v>
      </c>
    </row>
    <row r="331" ht="15.75" spans="1:14">
      <c r="A331" s="12" t="s">
        <v>3933</v>
      </c>
      <c r="B331" s="12" t="s">
        <v>391</v>
      </c>
      <c r="C331" s="15">
        <v>32114</v>
      </c>
      <c r="D331" s="13">
        <v>50</v>
      </c>
      <c r="F331" s="12" t="s">
        <v>3653</v>
      </c>
      <c r="G331" s="12" t="s">
        <v>391</v>
      </c>
      <c r="H331" s="15">
        <v>142728</v>
      </c>
      <c r="I331" s="13">
        <v>52</v>
      </c>
      <c r="K331" s="12" t="s">
        <v>3934</v>
      </c>
      <c r="L331" s="12" t="s">
        <v>391</v>
      </c>
      <c r="M331" s="15">
        <v>3495969</v>
      </c>
      <c r="N331" s="13">
        <v>43</v>
      </c>
    </row>
    <row r="332" ht="15.75" spans="1:14">
      <c r="A332" s="12" t="s">
        <v>3935</v>
      </c>
      <c r="B332" s="12" t="s">
        <v>391</v>
      </c>
      <c r="C332" s="15">
        <v>19971</v>
      </c>
      <c r="D332" s="13">
        <v>50</v>
      </c>
      <c r="F332" s="12" t="s">
        <v>3936</v>
      </c>
      <c r="G332" s="12" t="s">
        <v>391</v>
      </c>
      <c r="H332" s="15">
        <v>118392</v>
      </c>
      <c r="I332" s="13">
        <v>51</v>
      </c>
      <c r="K332" s="12" t="s">
        <v>3937</v>
      </c>
      <c r="L332" s="12" t="s">
        <v>391</v>
      </c>
      <c r="M332" s="15">
        <v>102382</v>
      </c>
      <c r="N332" s="13">
        <v>43</v>
      </c>
    </row>
    <row r="333" ht="15.75" spans="1:14">
      <c r="A333" s="12" t="s">
        <v>3938</v>
      </c>
      <c r="B333" s="12" t="s">
        <v>391</v>
      </c>
      <c r="C333" s="15">
        <v>11388</v>
      </c>
      <c r="D333" s="13">
        <v>50</v>
      </c>
      <c r="F333" s="12" t="s">
        <v>3488</v>
      </c>
      <c r="G333" s="12" t="s">
        <v>391</v>
      </c>
      <c r="H333" s="15">
        <v>248772</v>
      </c>
      <c r="I333" s="13">
        <v>51</v>
      </c>
      <c r="K333" s="12" t="s">
        <v>3939</v>
      </c>
      <c r="L333" s="12" t="s">
        <v>392</v>
      </c>
      <c r="M333" s="15">
        <v>160000</v>
      </c>
      <c r="N333" s="13">
        <v>43</v>
      </c>
    </row>
    <row r="334" ht="15.75" spans="1:14">
      <c r="A334" s="12" t="s">
        <v>3908</v>
      </c>
      <c r="B334" s="12" t="s">
        <v>391</v>
      </c>
      <c r="C334" s="15">
        <v>116979</v>
      </c>
      <c r="D334" s="13">
        <v>50</v>
      </c>
      <c r="F334" s="12" t="s">
        <v>3658</v>
      </c>
      <c r="G334" s="12" t="s">
        <v>391</v>
      </c>
      <c r="H334" s="15">
        <v>143556</v>
      </c>
      <c r="I334" s="13">
        <v>51</v>
      </c>
      <c r="K334" s="12" t="s">
        <v>3940</v>
      </c>
      <c r="L334" s="12" t="s">
        <v>391</v>
      </c>
      <c r="M334" s="15">
        <v>971904</v>
      </c>
      <c r="N334" s="13">
        <v>43</v>
      </c>
    </row>
    <row r="335" ht="15.75" spans="1:14">
      <c r="A335" s="12" t="s">
        <v>3941</v>
      </c>
      <c r="B335" s="12" t="s">
        <v>391</v>
      </c>
      <c r="C335" s="15">
        <v>15832</v>
      </c>
      <c r="D335" s="13">
        <v>50</v>
      </c>
      <c r="F335" s="12" t="s">
        <v>3942</v>
      </c>
      <c r="G335" s="12" t="s">
        <v>391</v>
      </c>
      <c r="H335" s="15">
        <v>19119</v>
      </c>
      <c r="I335" s="13">
        <v>51</v>
      </c>
      <c r="K335" s="12" t="s">
        <v>3943</v>
      </c>
      <c r="L335" s="12" t="s">
        <v>392</v>
      </c>
      <c r="M335" s="15">
        <v>303300</v>
      </c>
      <c r="N335" s="13">
        <v>43</v>
      </c>
    </row>
    <row r="336" ht="15.75" spans="1:14">
      <c r="A336" s="12" t="s">
        <v>3944</v>
      </c>
      <c r="B336" s="12" t="s">
        <v>391</v>
      </c>
      <c r="C336" s="15">
        <v>10006</v>
      </c>
      <c r="D336" s="13">
        <v>50</v>
      </c>
      <c r="F336" s="12" t="s">
        <v>3491</v>
      </c>
      <c r="G336" s="12" t="s">
        <v>392</v>
      </c>
      <c r="H336" s="15">
        <v>5400000</v>
      </c>
      <c r="I336" s="13">
        <v>51</v>
      </c>
      <c r="K336" s="12" t="s">
        <v>3945</v>
      </c>
      <c r="L336" s="12" t="s">
        <v>392</v>
      </c>
      <c r="M336" s="15">
        <v>492400</v>
      </c>
      <c r="N336" s="13">
        <v>43</v>
      </c>
    </row>
    <row r="337" ht="15.75" spans="1:14">
      <c r="A337" s="12" t="s">
        <v>3946</v>
      </c>
      <c r="B337" s="12" t="s">
        <v>391</v>
      </c>
      <c r="C337" s="15">
        <v>26045</v>
      </c>
      <c r="D337" s="13">
        <v>50</v>
      </c>
      <c r="F337" s="12" t="s">
        <v>3660</v>
      </c>
      <c r="G337" s="12" t="s">
        <v>391</v>
      </c>
      <c r="H337" s="15">
        <v>287121</v>
      </c>
      <c r="I337" s="13">
        <v>51</v>
      </c>
      <c r="K337" s="12" t="s">
        <v>3947</v>
      </c>
      <c r="L337" s="12" t="s">
        <v>391</v>
      </c>
      <c r="M337" s="15">
        <v>1194675</v>
      </c>
      <c r="N337" s="13">
        <v>42</v>
      </c>
    </row>
    <row r="338" ht="15.75" spans="1:14">
      <c r="A338" s="12" t="s">
        <v>3948</v>
      </c>
      <c r="B338" s="12" t="s">
        <v>391</v>
      </c>
      <c r="C338" s="15">
        <v>18098</v>
      </c>
      <c r="D338" s="13">
        <v>50</v>
      </c>
      <c r="F338" s="12" t="s">
        <v>3664</v>
      </c>
      <c r="G338" s="12" t="s">
        <v>391</v>
      </c>
      <c r="H338" s="15">
        <v>236121</v>
      </c>
      <c r="I338" s="13">
        <v>51</v>
      </c>
      <c r="K338" s="12" t="s">
        <v>3949</v>
      </c>
      <c r="L338" s="12" t="s">
        <v>392</v>
      </c>
      <c r="M338" s="15">
        <v>371800</v>
      </c>
      <c r="N338" s="13">
        <v>42</v>
      </c>
    </row>
    <row r="339" ht="15.75" spans="1:14">
      <c r="A339" s="12" t="s">
        <v>3950</v>
      </c>
      <c r="B339" s="12" t="s">
        <v>391</v>
      </c>
      <c r="C339" s="15">
        <v>18075</v>
      </c>
      <c r="D339" s="13">
        <v>50</v>
      </c>
      <c r="F339" s="12" t="s">
        <v>3496</v>
      </c>
      <c r="G339" s="12" t="s">
        <v>391</v>
      </c>
      <c r="H339" s="15">
        <v>611395</v>
      </c>
      <c r="I339" s="13">
        <v>51</v>
      </c>
      <c r="K339" s="12" t="s">
        <v>3951</v>
      </c>
      <c r="L339" s="12" t="s">
        <v>392</v>
      </c>
      <c r="M339" s="15">
        <v>229500</v>
      </c>
      <c r="N339" s="13">
        <v>42</v>
      </c>
    </row>
    <row r="340" ht="15.75" spans="1:14">
      <c r="A340" s="12" t="s">
        <v>3952</v>
      </c>
      <c r="B340" s="12" t="s">
        <v>391</v>
      </c>
      <c r="C340" s="15">
        <v>12218</v>
      </c>
      <c r="D340" s="13">
        <v>50</v>
      </c>
      <c r="F340" s="12" t="s">
        <v>3668</v>
      </c>
      <c r="G340" s="12" t="s">
        <v>391</v>
      </c>
      <c r="H340" s="15">
        <v>151397</v>
      </c>
      <c r="I340" s="13">
        <v>51</v>
      </c>
      <c r="K340" s="12" t="s">
        <v>3953</v>
      </c>
      <c r="L340" s="12" t="s">
        <v>392</v>
      </c>
      <c r="M340" s="15">
        <v>133200</v>
      </c>
      <c r="N340" s="13">
        <v>42</v>
      </c>
    </row>
    <row r="341" ht="15.75" spans="1:14">
      <c r="A341" s="12" t="s">
        <v>3954</v>
      </c>
      <c r="B341" s="12" t="s">
        <v>391</v>
      </c>
      <c r="C341" s="15">
        <v>10051</v>
      </c>
      <c r="D341" s="13">
        <v>50</v>
      </c>
      <c r="F341" s="12" t="s">
        <v>3670</v>
      </c>
      <c r="G341" s="12" t="s">
        <v>391</v>
      </c>
      <c r="H341" s="15">
        <v>79779</v>
      </c>
      <c r="I341" s="13">
        <v>51</v>
      </c>
      <c r="K341" s="12" t="s">
        <v>3955</v>
      </c>
      <c r="L341" s="12" t="s">
        <v>391</v>
      </c>
      <c r="M341" s="15">
        <v>137899</v>
      </c>
      <c r="N341" s="13">
        <v>42</v>
      </c>
    </row>
    <row r="342" ht="15.75" spans="1:14">
      <c r="A342" s="12" t="s">
        <v>3956</v>
      </c>
      <c r="B342" s="12" t="s">
        <v>391</v>
      </c>
      <c r="C342" s="15">
        <v>16917</v>
      </c>
      <c r="D342" s="13">
        <v>50</v>
      </c>
      <c r="F342" s="12" t="s">
        <v>3672</v>
      </c>
      <c r="G342" s="12" t="s">
        <v>391</v>
      </c>
      <c r="H342" s="15">
        <v>175629</v>
      </c>
      <c r="I342" s="13">
        <v>51</v>
      </c>
      <c r="K342" s="12" t="s">
        <v>3957</v>
      </c>
      <c r="L342" s="12" t="s">
        <v>391</v>
      </c>
      <c r="M342" s="15">
        <v>132863</v>
      </c>
      <c r="N342" s="13">
        <v>42</v>
      </c>
    </row>
    <row r="343" ht="15.75" spans="1:14">
      <c r="A343" s="12" t="s">
        <v>3958</v>
      </c>
      <c r="B343" s="12" t="s">
        <v>391</v>
      </c>
      <c r="C343" s="15">
        <v>27137</v>
      </c>
      <c r="D343" s="13">
        <v>50</v>
      </c>
      <c r="F343" s="12" t="s">
        <v>2434</v>
      </c>
      <c r="G343" s="12" t="s">
        <v>391</v>
      </c>
      <c r="H343" s="15">
        <v>14398391</v>
      </c>
      <c r="I343" s="13">
        <v>51</v>
      </c>
      <c r="K343" s="12" t="s">
        <v>3959</v>
      </c>
      <c r="L343" s="12" t="s">
        <v>391</v>
      </c>
      <c r="M343" s="15">
        <v>845673</v>
      </c>
      <c r="N343" s="13">
        <v>42</v>
      </c>
    </row>
    <row r="344" ht="15.75" spans="1:14">
      <c r="A344" s="12" t="s">
        <v>3960</v>
      </c>
      <c r="B344" s="12" t="s">
        <v>391</v>
      </c>
      <c r="C344" s="15">
        <v>10583</v>
      </c>
      <c r="D344" s="13">
        <v>50</v>
      </c>
      <c r="F344" s="12" t="s">
        <v>3673</v>
      </c>
      <c r="G344" s="12" t="s">
        <v>391</v>
      </c>
      <c r="H344" s="15">
        <v>96675</v>
      </c>
      <c r="I344" s="13">
        <v>51</v>
      </c>
      <c r="K344" s="12" t="s">
        <v>3961</v>
      </c>
      <c r="L344" s="12" t="s">
        <v>391</v>
      </c>
      <c r="M344" s="15">
        <v>289981</v>
      </c>
      <c r="N344" s="13">
        <v>42</v>
      </c>
    </row>
    <row r="345" ht="15.75" spans="1:14">
      <c r="A345" s="12" t="s">
        <v>3962</v>
      </c>
      <c r="B345" s="12" t="s">
        <v>391</v>
      </c>
      <c r="C345" s="15">
        <v>12290</v>
      </c>
      <c r="D345" s="13">
        <v>50</v>
      </c>
      <c r="F345" s="12" t="s">
        <v>3963</v>
      </c>
      <c r="G345" s="12" t="s">
        <v>392</v>
      </c>
      <c r="H345" s="15">
        <v>13200</v>
      </c>
      <c r="I345" s="13">
        <v>51</v>
      </c>
      <c r="K345" s="12" t="s">
        <v>3964</v>
      </c>
      <c r="L345" s="12" t="s">
        <v>391</v>
      </c>
      <c r="M345" s="15">
        <v>3236332</v>
      </c>
      <c r="N345" s="13">
        <v>42</v>
      </c>
    </row>
    <row r="346" ht="15.75" spans="1:14">
      <c r="A346" s="12" t="s">
        <v>3965</v>
      </c>
      <c r="B346" s="12" t="s">
        <v>391</v>
      </c>
      <c r="C346" s="15">
        <v>13111</v>
      </c>
      <c r="D346" s="13">
        <v>50</v>
      </c>
      <c r="F346" s="12" t="s">
        <v>3680</v>
      </c>
      <c r="G346" s="12" t="s">
        <v>391</v>
      </c>
      <c r="H346" s="15">
        <v>76098</v>
      </c>
      <c r="I346" s="13">
        <v>51</v>
      </c>
      <c r="K346" s="12" t="s">
        <v>3966</v>
      </c>
      <c r="L346" s="12" t="s">
        <v>392</v>
      </c>
      <c r="M346" s="15">
        <v>1200000</v>
      </c>
      <c r="N346" s="13">
        <v>42</v>
      </c>
    </row>
    <row r="347" ht="15.75" spans="1:14">
      <c r="A347" s="12" t="s">
        <v>3967</v>
      </c>
      <c r="B347" s="12" t="s">
        <v>391</v>
      </c>
      <c r="C347" s="15">
        <v>31327</v>
      </c>
      <c r="D347" s="13">
        <v>50</v>
      </c>
      <c r="F347" s="12" t="s">
        <v>3968</v>
      </c>
      <c r="G347" s="12" t="s">
        <v>391</v>
      </c>
      <c r="H347" s="15">
        <v>117637</v>
      </c>
      <c r="I347" s="13">
        <v>51</v>
      </c>
      <c r="K347" s="12" t="s">
        <v>3969</v>
      </c>
      <c r="L347" s="12" t="s">
        <v>392</v>
      </c>
      <c r="M347" s="15">
        <v>214600</v>
      </c>
      <c r="N347" s="13">
        <v>42</v>
      </c>
    </row>
    <row r="348" ht="15.75" spans="1:14">
      <c r="A348" s="12" t="s">
        <v>3970</v>
      </c>
      <c r="B348" s="12" t="s">
        <v>391</v>
      </c>
      <c r="C348" s="15">
        <v>12623</v>
      </c>
      <c r="D348" s="13">
        <v>50</v>
      </c>
      <c r="F348" s="12" t="s">
        <v>3971</v>
      </c>
      <c r="G348" s="12" t="s">
        <v>391</v>
      </c>
      <c r="H348" s="15">
        <v>132461</v>
      </c>
      <c r="I348" s="13">
        <v>51</v>
      </c>
      <c r="K348" s="12" t="s">
        <v>3972</v>
      </c>
      <c r="L348" s="12" t="s">
        <v>392</v>
      </c>
      <c r="M348" s="15">
        <v>138100</v>
      </c>
      <c r="N348" s="13">
        <v>42</v>
      </c>
    </row>
    <row r="349" ht="15.75" spans="1:14">
      <c r="A349" s="12" t="s">
        <v>3973</v>
      </c>
      <c r="B349" s="12" t="s">
        <v>391</v>
      </c>
      <c r="C349" s="15">
        <v>13851</v>
      </c>
      <c r="D349" s="13">
        <v>50</v>
      </c>
      <c r="F349" s="12" t="s">
        <v>3688</v>
      </c>
      <c r="G349" s="12" t="s">
        <v>391</v>
      </c>
      <c r="H349" s="15">
        <v>323873</v>
      </c>
      <c r="I349" s="13">
        <v>51</v>
      </c>
      <c r="K349" s="12" t="s">
        <v>3974</v>
      </c>
      <c r="L349" s="12" t="s">
        <v>391</v>
      </c>
      <c r="M349" s="15">
        <v>1810952</v>
      </c>
      <c r="N349" s="13">
        <v>42</v>
      </c>
    </row>
    <row r="350" ht="15.75" spans="1:14">
      <c r="A350" s="12" t="s">
        <v>3975</v>
      </c>
      <c r="B350" s="12" t="s">
        <v>391</v>
      </c>
      <c r="C350" s="15">
        <v>11717</v>
      </c>
      <c r="D350" s="13">
        <v>50</v>
      </c>
      <c r="F350" s="12" t="s">
        <v>3690</v>
      </c>
      <c r="G350" s="12" t="s">
        <v>391</v>
      </c>
      <c r="H350" s="15">
        <v>655177</v>
      </c>
      <c r="I350" s="13">
        <v>51</v>
      </c>
      <c r="K350" s="12" t="s">
        <v>3976</v>
      </c>
      <c r="L350" s="12" t="s">
        <v>391</v>
      </c>
      <c r="M350" s="15">
        <v>258057</v>
      </c>
      <c r="N350" s="13">
        <v>42</v>
      </c>
    </row>
    <row r="351" ht="15.75" spans="1:14">
      <c r="A351" s="12" t="s">
        <v>3977</v>
      </c>
      <c r="B351" s="12" t="s">
        <v>391</v>
      </c>
      <c r="C351" s="15">
        <v>37764</v>
      </c>
      <c r="D351" s="13">
        <v>50</v>
      </c>
      <c r="F351" s="12" t="s">
        <v>3695</v>
      </c>
      <c r="G351" s="12" t="s">
        <v>391</v>
      </c>
      <c r="H351" s="15">
        <v>61196</v>
      </c>
      <c r="I351" s="13">
        <v>51</v>
      </c>
      <c r="K351" s="12" t="s">
        <v>3978</v>
      </c>
      <c r="L351" s="12" t="s">
        <v>391</v>
      </c>
      <c r="M351" s="15">
        <v>107155</v>
      </c>
      <c r="N351" s="13">
        <v>42</v>
      </c>
    </row>
    <row r="352" ht="15.75" spans="1:14">
      <c r="A352" s="12" t="s">
        <v>3979</v>
      </c>
      <c r="B352" s="12" t="s">
        <v>391</v>
      </c>
      <c r="C352" s="15">
        <v>24986</v>
      </c>
      <c r="D352" s="13">
        <v>50</v>
      </c>
      <c r="F352" s="12" t="s">
        <v>3697</v>
      </c>
      <c r="G352" s="12" t="s">
        <v>391</v>
      </c>
      <c r="H352" s="15">
        <v>194787</v>
      </c>
      <c r="I352" s="13">
        <v>51</v>
      </c>
      <c r="K352" s="12" t="s">
        <v>3723</v>
      </c>
      <c r="L352" s="12" t="s">
        <v>391</v>
      </c>
      <c r="M352" s="15">
        <v>226732</v>
      </c>
      <c r="N352" s="13">
        <v>42</v>
      </c>
    </row>
    <row r="353" ht="15.75" spans="1:14">
      <c r="A353" s="12" t="s">
        <v>3980</v>
      </c>
      <c r="B353" s="12" t="s">
        <v>391</v>
      </c>
      <c r="C353" s="15">
        <v>18538</v>
      </c>
      <c r="D353" s="13">
        <v>50</v>
      </c>
      <c r="F353" s="12" t="s">
        <v>3699</v>
      </c>
      <c r="G353" s="12" t="s">
        <v>391</v>
      </c>
      <c r="H353" s="15">
        <v>106471</v>
      </c>
      <c r="I353" s="13">
        <v>51</v>
      </c>
      <c r="K353" s="12" t="s">
        <v>3981</v>
      </c>
      <c r="L353" s="12" t="s">
        <v>392</v>
      </c>
      <c r="M353" s="15">
        <v>117400</v>
      </c>
      <c r="N353" s="13">
        <v>42</v>
      </c>
    </row>
    <row r="354" ht="15.75" spans="1:14">
      <c r="A354" s="12" t="s">
        <v>3982</v>
      </c>
      <c r="B354" s="12" t="s">
        <v>391</v>
      </c>
      <c r="C354" s="15">
        <v>14259</v>
      </c>
      <c r="D354" s="13">
        <v>50</v>
      </c>
      <c r="F354" s="12" t="s">
        <v>3983</v>
      </c>
      <c r="G354" s="12" t="s">
        <v>391</v>
      </c>
      <c r="H354" s="15">
        <v>28997</v>
      </c>
      <c r="I354" s="13">
        <v>51</v>
      </c>
      <c r="K354" s="12" t="s">
        <v>3984</v>
      </c>
      <c r="L354" s="12" t="s">
        <v>391</v>
      </c>
      <c r="M354" s="15">
        <v>332216</v>
      </c>
      <c r="N354" s="13">
        <v>42</v>
      </c>
    </row>
    <row r="355" ht="15.75" spans="1:14">
      <c r="A355" s="12" t="s">
        <v>3985</v>
      </c>
      <c r="B355" s="12" t="s">
        <v>391</v>
      </c>
      <c r="C355" s="15">
        <v>239426</v>
      </c>
      <c r="D355" s="13">
        <v>50</v>
      </c>
      <c r="F355" s="12" t="s">
        <v>3703</v>
      </c>
      <c r="G355" s="12" t="s">
        <v>391</v>
      </c>
      <c r="H355" s="15">
        <v>148282</v>
      </c>
      <c r="I355" s="13">
        <v>51</v>
      </c>
      <c r="K355" s="12" t="s">
        <v>3986</v>
      </c>
      <c r="L355" s="12" t="s">
        <v>391</v>
      </c>
      <c r="M355" s="15">
        <v>154632</v>
      </c>
      <c r="N355" s="13">
        <v>42</v>
      </c>
    </row>
    <row r="356" ht="15.75" spans="1:14">
      <c r="A356" s="12" t="s">
        <v>3987</v>
      </c>
      <c r="B356" s="12" t="s">
        <v>391</v>
      </c>
      <c r="C356" s="15">
        <v>12603</v>
      </c>
      <c r="D356" s="13">
        <v>50</v>
      </c>
      <c r="F356" s="12" t="s">
        <v>3705</v>
      </c>
      <c r="G356" s="12" t="s">
        <v>391</v>
      </c>
      <c r="H356" s="15">
        <v>7694004</v>
      </c>
      <c r="I356" s="13">
        <v>51</v>
      </c>
      <c r="K356" s="12" t="s">
        <v>3988</v>
      </c>
      <c r="L356" s="12" t="s">
        <v>391</v>
      </c>
      <c r="M356" s="15">
        <v>287970</v>
      </c>
      <c r="N356" s="13">
        <v>42</v>
      </c>
    </row>
    <row r="357" ht="15.75" spans="1:14">
      <c r="A357" s="12" t="s">
        <v>3989</v>
      </c>
      <c r="B357" s="12" t="s">
        <v>391</v>
      </c>
      <c r="C357" s="15">
        <v>20178</v>
      </c>
      <c r="D357" s="13">
        <v>50</v>
      </c>
      <c r="F357" s="12" t="s">
        <v>3990</v>
      </c>
      <c r="G357" s="12" t="s">
        <v>391</v>
      </c>
      <c r="H357" s="15">
        <v>121604</v>
      </c>
      <c r="I357" s="13">
        <v>51</v>
      </c>
      <c r="K357" s="12" t="s">
        <v>3991</v>
      </c>
      <c r="L357" s="12" t="s">
        <v>391</v>
      </c>
      <c r="M357" s="15">
        <v>336041</v>
      </c>
      <c r="N357" s="13">
        <v>42</v>
      </c>
    </row>
    <row r="358" ht="15.75" spans="1:14">
      <c r="A358" s="12" t="s">
        <v>3992</v>
      </c>
      <c r="B358" s="12" t="s">
        <v>391</v>
      </c>
      <c r="C358" s="15">
        <v>10421</v>
      </c>
      <c r="D358" s="13">
        <v>50</v>
      </c>
      <c r="F358" s="12" t="s">
        <v>3510</v>
      </c>
      <c r="G358" s="12" t="s">
        <v>391</v>
      </c>
      <c r="H358" s="15">
        <v>797948</v>
      </c>
      <c r="I358" s="13">
        <v>51</v>
      </c>
      <c r="K358" s="12" t="s">
        <v>3993</v>
      </c>
      <c r="L358" s="12" t="s">
        <v>391</v>
      </c>
      <c r="M358" s="15">
        <v>3783998</v>
      </c>
      <c r="N358" s="13">
        <v>42</v>
      </c>
    </row>
    <row r="359" ht="15.75" spans="1:14">
      <c r="A359" s="12" t="s">
        <v>3994</v>
      </c>
      <c r="B359" s="12" t="s">
        <v>391</v>
      </c>
      <c r="C359" s="15">
        <v>14213</v>
      </c>
      <c r="D359" s="13">
        <v>50</v>
      </c>
      <c r="F359" s="12" t="s">
        <v>3995</v>
      </c>
      <c r="G359" s="12" t="s">
        <v>391</v>
      </c>
      <c r="H359" s="15">
        <v>113846</v>
      </c>
      <c r="I359" s="13">
        <v>51</v>
      </c>
      <c r="K359" s="12" t="s">
        <v>3996</v>
      </c>
      <c r="L359" s="12" t="s">
        <v>392</v>
      </c>
      <c r="M359" s="15">
        <v>521200</v>
      </c>
      <c r="N359" s="13">
        <v>42</v>
      </c>
    </row>
    <row r="360" ht="15.75" spans="1:14">
      <c r="A360" s="12" t="s">
        <v>3997</v>
      </c>
      <c r="B360" s="12" t="s">
        <v>391</v>
      </c>
      <c r="C360" s="15">
        <v>10107</v>
      </c>
      <c r="D360" s="13">
        <v>50</v>
      </c>
      <c r="F360" s="12" t="s">
        <v>3513</v>
      </c>
      <c r="G360" s="12" t="s">
        <v>391</v>
      </c>
      <c r="H360" s="15">
        <v>2238181</v>
      </c>
      <c r="I360" s="13">
        <v>51</v>
      </c>
      <c r="K360" s="12" t="s">
        <v>3998</v>
      </c>
      <c r="L360" s="12" t="s">
        <v>391</v>
      </c>
      <c r="M360" s="15">
        <v>980645</v>
      </c>
      <c r="N360" s="13">
        <v>42</v>
      </c>
    </row>
    <row r="361" ht="15.75" spans="1:14">
      <c r="A361" s="12" t="s">
        <v>3999</v>
      </c>
      <c r="B361" s="12" t="s">
        <v>391</v>
      </c>
      <c r="C361" s="15">
        <v>12001</v>
      </c>
      <c r="D361" s="13">
        <v>50</v>
      </c>
      <c r="F361" s="12" t="s">
        <v>4000</v>
      </c>
      <c r="G361" s="12" t="s">
        <v>391</v>
      </c>
      <c r="H361" s="15">
        <v>32174</v>
      </c>
      <c r="I361" s="13">
        <v>51</v>
      </c>
      <c r="K361" s="12" t="s">
        <v>4001</v>
      </c>
      <c r="L361" s="12" t="s">
        <v>391</v>
      </c>
      <c r="M361" s="15">
        <v>109296</v>
      </c>
      <c r="N361" s="13">
        <v>42</v>
      </c>
    </row>
    <row r="362" ht="15.75" spans="1:14">
      <c r="A362" s="12" t="s">
        <v>4002</v>
      </c>
      <c r="B362" s="12" t="s">
        <v>391</v>
      </c>
      <c r="C362" s="15">
        <v>10023</v>
      </c>
      <c r="D362" s="13">
        <v>50</v>
      </c>
      <c r="F362" s="12" t="s">
        <v>4003</v>
      </c>
      <c r="G362" s="12" t="s">
        <v>392</v>
      </c>
      <c r="H362" s="15">
        <v>133500</v>
      </c>
      <c r="I362" s="13">
        <v>50</v>
      </c>
      <c r="K362" s="12" t="s">
        <v>4004</v>
      </c>
      <c r="L362" s="12" t="s">
        <v>391</v>
      </c>
      <c r="M362" s="15">
        <v>232987</v>
      </c>
      <c r="N362" s="13">
        <v>42</v>
      </c>
    </row>
    <row r="363" ht="15.75" spans="1:14">
      <c r="A363" s="12" t="s">
        <v>4005</v>
      </c>
      <c r="B363" s="12" t="s">
        <v>391</v>
      </c>
      <c r="C363" s="15">
        <v>11551</v>
      </c>
      <c r="D363" s="13">
        <v>50</v>
      </c>
      <c r="F363" s="12" t="s">
        <v>3212</v>
      </c>
      <c r="G363" s="12" t="s">
        <v>391</v>
      </c>
      <c r="H363" s="15">
        <v>122110</v>
      </c>
      <c r="I363" s="13">
        <v>50</v>
      </c>
      <c r="K363" s="12" t="s">
        <v>3971</v>
      </c>
      <c r="L363" s="12" t="s">
        <v>391</v>
      </c>
      <c r="M363" s="15">
        <v>132461</v>
      </c>
      <c r="N363" s="13">
        <v>42</v>
      </c>
    </row>
    <row r="364" ht="15.75" spans="1:14">
      <c r="A364" s="12" t="s">
        <v>4006</v>
      </c>
      <c r="B364" s="12" t="s">
        <v>391</v>
      </c>
      <c r="C364" s="15">
        <v>31199</v>
      </c>
      <c r="D364" s="13">
        <v>50</v>
      </c>
      <c r="F364" s="12" t="s">
        <v>4007</v>
      </c>
      <c r="G364" s="12" t="s">
        <v>392</v>
      </c>
      <c r="H364" s="15">
        <v>28000</v>
      </c>
      <c r="I364" s="13">
        <v>50</v>
      </c>
      <c r="K364" s="12" t="s">
        <v>4008</v>
      </c>
      <c r="L364" s="12" t="s">
        <v>391</v>
      </c>
      <c r="M364" s="15">
        <v>205822</v>
      </c>
      <c r="N364" s="13">
        <v>42</v>
      </c>
    </row>
    <row r="365" ht="15.75" spans="1:14">
      <c r="A365" s="12" t="s">
        <v>4009</v>
      </c>
      <c r="B365" s="12" t="s">
        <v>391</v>
      </c>
      <c r="C365" s="15">
        <v>12792</v>
      </c>
      <c r="D365" s="13">
        <v>50</v>
      </c>
      <c r="F365" s="12" t="s">
        <v>4010</v>
      </c>
      <c r="G365" s="12" t="s">
        <v>392</v>
      </c>
      <c r="H365" s="15">
        <v>35700</v>
      </c>
      <c r="I365" s="13">
        <v>50</v>
      </c>
      <c r="K365" s="12" t="s">
        <v>4011</v>
      </c>
      <c r="L365" s="12" t="s">
        <v>391</v>
      </c>
      <c r="M365" s="15">
        <v>1239375</v>
      </c>
      <c r="N365" s="13">
        <v>42</v>
      </c>
    </row>
    <row r="366" ht="15.75" spans="1:14">
      <c r="A366" s="12" t="s">
        <v>4012</v>
      </c>
      <c r="B366" s="12" t="s">
        <v>391</v>
      </c>
      <c r="C366" s="15">
        <v>21366</v>
      </c>
      <c r="D366" s="13">
        <v>50</v>
      </c>
      <c r="F366" s="12" t="s">
        <v>4013</v>
      </c>
      <c r="G366" s="12" t="s">
        <v>392</v>
      </c>
      <c r="H366" s="15">
        <v>142600</v>
      </c>
      <c r="I366" s="13">
        <v>50</v>
      </c>
      <c r="K366" s="12" t="s">
        <v>4014</v>
      </c>
      <c r="L366" s="12" t="s">
        <v>392</v>
      </c>
      <c r="M366" s="15">
        <v>331000</v>
      </c>
      <c r="N366" s="13">
        <v>42</v>
      </c>
    </row>
    <row r="367" ht="15.75" spans="1:14">
      <c r="A367" s="12" t="s">
        <v>4015</v>
      </c>
      <c r="B367" s="12" t="s">
        <v>391</v>
      </c>
      <c r="C367" s="15">
        <v>30260</v>
      </c>
      <c r="D367" s="13">
        <v>50</v>
      </c>
      <c r="F367" s="12" t="s">
        <v>4016</v>
      </c>
      <c r="G367" s="12" t="s">
        <v>391</v>
      </c>
      <c r="H367" s="15">
        <v>13117</v>
      </c>
      <c r="I367" s="13">
        <v>50</v>
      </c>
      <c r="K367" s="12" t="s">
        <v>3263</v>
      </c>
      <c r="L367" s="12" t="s">
        <v>391</v>
      </c>
      <c r="M367" s="15">
        <v>983917</v>
      </c>
      <c r="N367" s="13">
        <v>42</v>
      </c>
    </row>
    <row r="368" ht="15.75" spans="1:14">
      <c r="A368" s="12" t="s">
        <v>4017</v>
      </c>
      <c r="B368" s="12" t="s">
        <v>391</v>
      </c>
      <c r="C368" s="15">
        <v>14225</v>
      </c>
      <c r="D368" s="13">
        <v>50</v>
      </c>
      <c r="F368" s="12" t="s">
        <v>4018</v>
      </c>
      <c r="G368" s="12" t="s">
        <v>392</v>
      </c>
      <c r="H368" s="15">
        <v>57200</v>
      </c>
      <c r="I368" s="13">
        <v>50</v>
      </c>
      <c r="K368" s="12" t="s">
        <v>4019</v>
      </c>
      <c r="L368" s="12" t="s">
        <v>392</v>
      </c>
      <c r="M368" s="15">
        <v>130000</v>
      </c>
      <c r="N368" s="13">
        <v>42</v>
      </c>
    </row>
    <row r="369" ht="15.75" spans="1:14">
      <c r="A369" s="12" t="s">
        <v>4020</v>
      </c>
      <c r="B369" s="12" t="s">
        <v>391</v>
      </c>
      <c r="C369" s="15">
        <v>15776</v>
      </c>
      <c r="D369" s="13">
        <v>50</v>
      </c>
      <c r="F369" s="12" t="s">
        <v>4021</v>
      </c>
      <c r="G369" s="12" t="s">
        <v>392</v>
      </c>
      <c r="H369" s="15">
        <v>87100</v>
      </c>
      <c r="I369" s="13">
        <v>50</v>
      </c>
      <c r="K369" s="12" t="s">
        <v>4022</v>
      </c>
      <c r="L369" s="12" t="s">
        <v>392</v>
      </c>
      <c r="M369" s="15">
        <v>214900</v>
      </c>
      <c r="N369" s="13">
        <v>42</v>
      </c>
    </row>
    <row r="370" ht="15.75" spans="1:14">
      <c r="A370" s="12" t="s">
        <v>4023</v>
      </c>
      <c r="B370" s="12" t="s">
        <v>391</v>
      </c>
      <c r="C370" s="15">
        <v>10134</v>
      </c>
      <c r="D370" s="13">
        <v>50</v>
      </c>
      <c r="F370" s="12" t="s">
        <v>4024</v>
      </c>
      <c r="G370" s="12" t="s">
        <v>391</v>
      </c>
      <c r="H370" s="15">
        <v>16191</v>
      </c>
      <c r="I370" s="13">
        <v>50</v>
      </c>
      <c r="K370" s="12" t="s">
        <v>4025</v>
      </c>
      <c r="L370" s="12" t="s">
        <v>392</v>
      </c>
      <c r="M370" s="15">
        <v>274700</v>
      </c>
      <c r="N370" s="13">
        <v>42</v>
      </c>
    </row>
    <row r="371" ht="15.75" spans="1:14">
      <c r="A371" s="12" t="s">
        <v>4026</v>
      </c>
      <c r="B371" s="12" t="s">
        <v>391</v>
      </c>
      <c r="C371" s="15">
        <v>13838</v>
      </c>
      <c r="D371" s="13">
        <v>50</v>
      </c>
      <c r="F371" s="12" t="s">
        <v>4027</v>
      </c>
      <c r="G371" s="12" t="s">
        <v>391</v>
      </c>
      <c r="H371" s="15">
        <v>22915</v>
      </c>
      <c r="I371" s="13">
        <v>50</v>
      </c>
      <c r="K371" s="12" t="s">
        <v>4028</v>
      </c>
      <c r="L371" s="12" t="s">
        <v>391</v>
      </c>
      <c r="M371" s="15">
        <v>256224</v>
      </c>
      <c r="N371" s="13">
        <v>42</v>
      </c>
    </row>
    <row r="372" ht="15.75" spans="1:14">
      <c r="A372" s="12" t="s">
        <v>4029</v>
      </c>
      <c r="B372" s="12" t="s">
        <v>391</v>
      </c>
      <c r="C372" s="15">
        <v>11331</v>
      </c>
      <c r="D372" s="13">
        <v>50</v>
      </c>
      <c r="F372" s="12" t="s">
        <v>3707</v>
      </c>
      <c r="G372" s="12" t="s">
        <v>391</v>
      </c>
      <c r="H372" s="15">
        <v>12347</v>
      </c>
      <c r="I372" s="13">
        <v>50</v>
      </c>
      <c r="K372" s="12" t="s">
        <v>4030</v>
      </c>
      <c r="L372" s="12" t="s">
        <v>392</v>
      </c>
      <c r="M372" s="15">
        <v>319400</v>
      </c>
      <c r="N372" s="13">
        <v>42</v>
      </c>
    </row>
    <row r="373" ht="15.75" spans="1:14">
      <c r="A373" s="12" t="s">
        <v>4031</v>
      </c>
      <c r="B373" s="12" t="s">
        <v>391</v>
      </c>
      <c r="C373" s="15">
        <v>13466</v>
      </c>
      <c r="D373" s="13">
        <v>50</v>
      </c>
      <c r="F373" s="12" t="s">
        <v>4032</v>
      </c>
      <c r="G373" s="12" t="s">
        <v>391</v>
      </c>
      <c r="H373" s="15">
        <v>11020</v>
      </c>
      <c r="I373" s="13">
        <v>50</v>
      </c>
      <c r="K373" s="12" t="s">
        <v>4033</v>
      </c>
      <c r="L373" s="12" t="s">
        <v>391</v>
      </c>
      <c r="M373" s="15">
        <v>8408364</v>
      </c>
      <c r="N373" s="13">
        <v>42</v>
      </c>
    </row>
    <row r="374" ht="15.75" spans="1:14">
      <c r="A374" s="12" t="s">
        <v>4034</v>
      </c>
      <c r="B374" s="12" t="s">
        <v>391</v>
      </c>
      <c r="C374" s="15">
        <v>28417</v>
      </c>
      <c r="D374" s="13">
        <v>50</v>
      </c>
      <c r="F374" s="12" t="s">
        <v>4035</v>
      </c>
      <c r="G374" s="12" t="s">
        <v>392</v>
      </c>
      <c r="H374" s="15">
        <v>90200</v>
      </c>
      <c r="I374" s="13">
        <v>50</v>
      </c>
      <c r="K374" s="12" t="s">
        <v>3575</v>
      </c>
      <c r="L374" s="12" t="s">
        <v>391</v>
      </c>
      <c r="M374" s="15">
        <v>402891</v>
      </c>
      <c r="N374" s="13">
        <v>42</v>
      </c>
    </row>
    <row r="375" ht="15.75" spans="1:14">
      <c r="A375" s="12" t="s">
        <v>4036</v>
      </c>
      <c r="B375" s="12" t="s">
        <v>391</v>
      </c>
      <c r="C375" s="15">
        <v>16560</v>
      </c>
      <c r="D375" s="13">
        <v>50</v>
      </c>
      <c r="F375" s="12" t="s">
        <v>4037</v>
      </c>
      <c r="G375" s="12" t="s">
        <v>392</v>
      </c>
      <c r="H375" s="15">
        <v>63800</v>
      </c>
      <c r="I375" s="13">
        <v>50</v>
      </c>
      <c r="K375" s="12" t="s">
        <v>4038</v>
      </c>
      <c r="L375" s="12" t="s">
        <v>391</v>
      </c>
      <c r="M375" s="15">
        <v>156226</v>
      </c>
      <c r="N375" s="13">
        <v>42</v>
      </c>
    </row>
    <row r="376" ht="15.75" spans="1:14">
      <c r="A376" s="12" t="s">
        <v>4039</v>
      </c>
      <c r="B376" s="12" t="s">
        <v>391</v>
      </c>
      <c r="C376" s="15">
        <v>17811</v>
      </c>
      <c r="D376" s="13">
        <v>50</v>
      </c>
      <c r="F376" s="12" t="s">
        <v>3709</v>
      </c>
      <c r="G376" s="12" t="s">
        <v>391</v>
      </c>
      <c r="H376" s="15">
        <v>11192</v>
      </c>
      <c r="I376" s="13">
        <v>50</v>
      </c>
      <c r="K376" s="12" t="s">
        <v>4040</v>
      </c>
      <c r="L376" s="12" t="s">
        <v>392</v>
      </c>
      <c r="M376" s="15">
        <v>108000</v>
      </c>
      <c r="N376" s="13">
        <v>42</v>
      </c>
    </row>
    <row r="377" ht="15.75" spans="1:14">
      <c r="A377" s="12" t="s">
        <v>4041</v>
      </c>
      <c r="B377" s="12" t="s">
        <v>391</v>
      </c>
      <c r="C377" s="15">
        <v>15077</v>
      </c>
      <c r="D377" s="13">
        <v>50</v>
      </c>
      <c r="F377" s="12" t="s">
        <v>4042</v>
      </c>
      <c r="G377" s="12" t="s">
        <v>392</v>
      </c>
      <c r="H377" s="15">
        <v>271800</v>
      </c>
      <c r="I377" s="13">
        <v>50</v>
      </c>
      <c r="K377" s="12" t="s">
        <v>4043</v>
      </c>
      <c r="L377" s="12" t="s">
        <v>392</v>
      </c>
      <c r="M377" s="15">
        <v>306200</v>
      </c>
      <c r="N377" s="13">
        <v>42</v>
      </c>
    </row>
    <row r="378" ht="15.75" spans="1:14">
      <c r="A378" s="12" t="s">
        <v>4044</v>
      </c>
      <c r="B378" s="12" t="s">
        <v>391</v>
      </c>
      <c r="C378" s="15">
        <v>16145</v>
      </c>
      <c r="D378" s="13">
        <v>50</v>
      </c>
      <c r="F378" s="12" t="s">
        <v>4045</v>
      </c>
      <c r="G378" s="12" t="s">
        <v>392</v>
      </c>
      <c r="H378" s="15">
        <v>921200</v>
      </c>
      <c r="I378" s="13">
        <v>50</v>
      </c>
      <c r="K378" s="12" t="s">
        <v>4046</v>
      </c>
      <c r="L378" s="12" t="s">
        <v>392</v>
      </c>
      <c r="M378" s="15">
        <v>105200</v>
      </c>
      <c r="N378" s="13">
        <v>42</v>
      </c>
    </row>
    <row r="379" ht="15.75" spans="1:14">
      <c r="A379" s="12" t="s">
        <v>4047</v>
      </c>
      <c r="B379" s="12" t="s">
        <v>391</v>
      </c>
      <c r="C379" s="15">
        <v>19703</v>
      </c>
      <c r="D379" s="13">
        <v>50</v>
      </c>
      <c r="F379" s="12" t="s">
        <v>4048</v>
      </c>
      <c r="G379" s="12" t="s">
        <v>392</v>
      </c>
      <c r="H379" s="15">
        <v>144600</v>
      </c>
      <c r="I379" s="13">
        <v>50</v>
      </c>
      <c r="K379" s="12" t="s">
        <v>4049</v>
      </c>
      <c r="L379" s="12" t="s">
        <v>391</v>
      </c>
      <c r="M379" s="15">
        <v>227371</v>
      </c>
      <c r="N379" s="13">
        <v>42</v>
      </c>
    </row>
    <row r="380" ht="15.75" spans="1:14">
      <c r="A380" s="12" t="s">
        <v>4050</v>
      </c>
      <c r="B380" s="12" t="s">
        <v>391</v>
      </c>
      <c r="C380" s="15">
        <v>19641</v>
      </c>
      <c r="D380" s="13">
        <v>50</v>
      </c>
      <c r="F380" s="12" t="s">
        <v>4051</v>
      </c>
      <c r="G380" s="12" t="s">
        <v>392</v>
      </c>
      <c r="H380" s="15">
        <v>135500</v>
      </c>
      <c r="I380" s="13">
        <v>50</v>
      </c>
      <c r="K380" s="12" t="s">
        <v>4052</v>
      </c>
      <c r="L380" s="12" t="s">
        <v>391</v>
      </c>
      <c r="M380" s="15">
        <v>201027</v>
      </c>
      <c r="N380" s="13">
        <v>42</v>
      </c>
    </row>
    <row r="381" ht="15.75" spans="1:14">
      <c r="A381" s="12" t="s">
        <v>4053</v>
      </c>
      <c r="B381" s="12" t="s">
        <v>391</v>
      </c>
      <c r="C381" s="15">
        <v>14770</v>
      </c>
      <c r="D381" s="13">
        <v>50</v>
      </c>
      <c r="F381" s="12" t="s">
        <v>4054</v>
      </c>
      <c r="G381" s="12" t="s">
        <v>392</v>
      </c>
      <c r="H381" s="15">
        <v>20000</v>
      </c>
      <c r="I381" s="13">
        <v>50</v>
      </c>
      <c r="K381" s="12" t="s">
        <v>4055</v>
      </c>
      <c r="L381" s="12" t="s">
        <v>392</v>
      </c>
      <c r="M381" s="15">
        <v>171400</v>
      </c>
      <c r="N381" s="13">
        <v>42</v>
      </c>
    </row>
    <row r="382" ht="15.75" spans="1:14">
      <c r="A382" s="12" t="s">
        <v>4056</v>
      </c>
      <c r="B382" s="12" t="s">
        <v>391</v>
      </c>
      <c r="C382" s="15">
        <v>12578</v>
      </c>
      <c r="D382" s="13">
        <v>50</v>
      </c>
      <c r="F382" s="12" t="s">
        <v>4057</v>
      </c>
      <c r="G382" s="12" t="s">
        <v>392</v>
      </c>
      <c r="H382" s="15">
        <v>117300</v>
      </c>
      <c r="I382" s="13">
        <v>50</v>
      </c>
      <c r="K382" s="12" t="s">
        <v>3270</v>
      </c>
      <c r="L382" s="12" t="s">
        <v>391</v>
      </c>
      <c r="M382" s="15">
        <v>174816</v>
      </c>
      <c r="N382" s="13">
        <v>41</v>
      </c>
    </row>
    <row r="383" ht="15.75" spans="1:14">
      <c r="A383" s="12" t="s">
        <v>4058</v>
      </c>
      <c r="B383" s="12" t="s">
        <v>391</v>
      </c>
      <c r="C383" s="15">
        <v>14310</v>
      </c>
      <c r="D383" s="13">
        <v>50</v>
      </c>
      <c r="F383" s="12" t="s">
        <v>4059</v>
      </c>
      <c r="G383" s="12" t="s">
        <v>391</v>
      </c>
      <c r="H383" s="15">
        <v>12399</v>
      </c>
      <c r="I383" s="13">
        <v>50</v>
      </c>
      <c r="K383" s="12" t="s">
        <v>4060</v>
      </c>
      <c r="L383" s="12" t="s">
        <v>391</v>
      </c>
      <c r="M383" s="15">
        <v>172679</v>
      </c>
      <c r="N383" s="13">
        <v>41</v>
      </c>
    </row>
    <row r="384" ht="15.75" spans="1:14">
      <c r="A384" s="12" t="s">
        <v>4061</v>
      </c>
      <c r="B384" s="12" t="s">
        <v>391</v>
      </c>
      <c r="C384" s="15">
        <v>29073</v>
      </c>
      <c r="D384" s="13">
        <v>50</v>
      </c>
      <c r="F384" s="12" t="s">
        <v>4062</v>
      </c>
      <c r="G384" s="12" t="s">
        <v>392</v>
      </c>
      <c r="H384" s="15">
        <v>16400</v>
      </c>
      <c r="I384" s="13">
        <v>50</v>
      </c>
      <c r="K384" s="12" t="s">
        <v>4063</v>
      </c>
      <c r="L384" s="12" t="s">
        <v>391</v>
      </c>
      <c r="M384" s="15">
        <v>266557</v>
      </c>
      <c r="N384" s="13">
        <v>41</v>
      </c>
    </row>
    <row r="385" ht="15.75" spans="1:14">
      <c r="A385" s="12" t="s">
        <v>4064</v>
      </c>
      <c r="B385" s="12" t="s">
        <v>391</v>
      </c>
      <c r="C385" s="15">
        <v>19412</v>
      </c>
      <c r="D385" s="13">
        <v>50</v>
      </c>
      <c r="F385" s="12" t="s">
        <v>4065</v>
      </c>
      <c r="G385" s="12" t="s">
        <v>392</v>
      </c>
      <c r="H385" s="15">
        <v>33800</v>
      </c>
      <c r="I385" s="13">
        <v>50</v>
      </c>
      <c r="K385" s="12" t="s">
        <v>4066</v>
      </c>
      <c r="L385" s="12" t="s">
        <v>391</v>
      </c>
      <c r="M385" s="15">
        <v>396605</v>
      </c>
      <c r="N385" s="13">
        <v>41</v>
      </c>
    </row>
    <row r="386" ht="15.75" spans="1:14">
      <c r="A386" s="12" t="s">
        <v>4067</v>
      </c>
      <c r="B386" s="12" t="s">
        <v>391</v>
      </c>
      <c r="C386" s="15">
        <v>14943</v>
      </c>
      <c r="D386" s="13">
        <v>50</v>
      </c>
      <c r="F386" s="12" t="s">
        <v>4068</v>
      </c>
      <c r="G386" s="12" t="s">
        <v>392</v>
      </c>
      <c r="H386" s="15">
        <v>572100</v>
      </c>
      <c r="I386" s="13">
        <v>50</v>
      </c>
      <c r="K386" s="12" t="s">
        <v>3249</v>
      </c>
      <c r="L386" s="12" t="s">
        <v>391</v>
      </c>
      <c r="M386" s="15">
        <v>879015</v>
      </c>
      <c r="N386" s="13">
        <v>41</v>
      </c>
    </row>
    <row r="387" ht="15.75" spans="1:14">
      <c r="A387" s="12" t="s">
        <v>4069</v>
      </c>
      <c r="B387" s="12" t="s">
        <v>391</v>
      </c>
      <c r="C387" s="15">
        <v>30400</v>
      </c>
      <c r="D387" s="13">
        <v>50</v>
      </c>
      <c r="F387" s="12" t="s">
        <v>3711</v>
      </c>
      <c r="G387" s="12" t="s">
        <v>391</v>
      </c>
      <c r="H387" s="15">
        <v>10295</v>
      </c>
      <c r="I387" s="13">
        <v>50</v>
      </c>
      <c r="K387" s="12" t="s">
        <v>4070</v>
      </c>
      <c r="L387" s="12" t="s">
        <v>391</v>
      </c>
      <c r="M387" s="15">
        <v>1983877</v>
      </c>
      <c r="N387" s="13">
        <v>41</v>
      </c>
    </row>
    <row r="388" ht="15.75" spans="1:14">
      <c r="A388" s="12" t="s">
        <v>4071</v>
      </c>
      <c r="B388" s="12" t="s">
        <v>391</v>
      </c>
      <c r="C388" s="15">
        <v>24103</v>
      </c>
      <c r="D388" s="13">
        <v>50</v>
      </c>
      <c r="F388" s="12" t="s">
        <v>4072</v>
      </c>
      <c r="G388" s="12" t="s">
        <v>392</v>
      </c>
      <c r="H388" s="15">
        <v>19400</v>
      </c>
      <c r="I388" s="13">
        <v>50</v>
      </c>
      <c r="K388" s="12" t="s">
        <v>4073</v>
      </c>
      <c r="L388" s="12" t="s">
        <v>391</v>
      </c>
      <c r="M388" s="15">
        <v>327616</v>
      </c>
      <c r="N388" s="13">
        <v>41</v>
      </c>
    </row>
    <row r="389" ht="15.75" spans="1:14">
      <c r="A389" s="12" t="s">
        <v>4074</v>
      </c>
      <c r="B389" s="12" t="s">
        <v>391</v>
      </c>
      <c r="C389" s="15">
        <v>20688</v>
      </c>
      <c r="D389" s="13">
        <v>50</v>
      </c>
      <c r="F389" s="12" t="s">
        <v>4075</v>
      </c>
      <c r="G389" s="12" t="s">
        <v>392</v>
      </c>
      <c r="H389" s="15">
        <v>22200</v>
      </c>
      <c r="I389" s="13">
        <v>50</v>
      </c>
      <c r="K389" s="12" t="s">
        <v>4076</v>
      </c>
      <c r="L389" s="12" t="s">
        <v>391</v>
      </c>
      <c r="M389" s="15">
        <v>272217</v>
      </c>
      <c r="N389" s="13">
        <v>41</v>
      </c>
    </row>
    <row r="390" ht="15.75" spans="1:14">
      <c r="A390" s="12" t="s">
        <v>4077</v>
      </c>
      <c r="B390" s="12" t="s">
        <v>391</v>
      </c>
      <c r="C390" s="15">
        <v>10158</v>
      </c>
      <c r="D390" s="13">
        <v>50</v>
      </c>
      <c r="F390" s="12" t="s">
        <v>4078</v>
      </c>
      <c r="G390" s="12" t="s">
        <v>392</v>
      </c>
      <c r="H390" s="15">
        <v>67500</v>
      </c>
      <c r="I390" s="13">
        <v>50</v>
      </c>
      <c r="K390" s="12" t="s">
        <v>4079</v>
      </c>
      <c r="L390" s="12" t="s">
        <v>391</v>
      </c>
      <c r="M390" s="15">
        <v>200615</v>
      </c>
      <c r="N390" s="13">
        <v>41</v>
      </c>
    </row>
    <row r="391" ht="15.75" spans="1:14">
      <c r="A391" s="12" t="s">
        <v>4080</v>
      </c>
      <c r="B391" s="12" t="s">
        <v>391</v>
      </c>
      <c r="C391" s="15">
        <v>14925</v>
      </c>
      <c r="D391" s="13">
        <v>50</v>
      </c>
      <c r="F391" s="12" t="s">
        <v>4081</v>
      </c>
      <c r="G391" s="12" t="s">
        <v>392</v>
      </c>
      <c r="H391" s="15">
        <v>87100</v>
      </c>
      <c r="I391" s="13">
        <v>50</v>
      </c>
      <c r="K391" s="12" t="s">
        <v>4082</v>
      </c>
      <c r="L391" s="12" t="s">
        <v>391</v>
      </c>
      <c r="M391" s="15">
        <v>209905</v>
      </c>
      <c r="N391" s="13">
        <v>41</v>
      </c>
    </row>
    <row r="392" ht="15.75" spans="1:14">
      <c r="A392" s="12" t="s">
        <v>4083</v>
      </c>
      <c r="B392" s="12" t="s">
        <v>391</v>
      </c>
      <c r="C392" s="15">
        <v>31833</v>
      </c>
      <c r="D392" s="13">
        <v>50</v>
      </c>
      <c r="F392" s="12" t="s">
        <v>4084</v>
      </c>
      <c r="G392" s="12" t="s">
        <v>392</v>
      </c>
      <c r="H392" s="15">
        <v>68000</v>
      </c>
      <c r="I392" s="13">
        <v>50</v>
      </c>
      <c r="K392" s="12" t="s">
        <v>4085</v>
      </c>
      <c r="L392" s="12" t="s">
        <v>391</v>
      </c>
      <c r="M392" s="15">
        <v>192311</v>
      </c>
      <c r="N392" s="13">
        <v>41</v>
      </c>
    </row>
    <row r="393" ht="15.75" spans="1:14">
      <c r="A393" s="12" t="s">
        <v>4086</v>
      </c>
      <c r="B393" s="12" t="s">
        <v>391</v>
      </c>
      <c r="C393" s="15">
        <v>18559</v>
      </c>
      <c r="D393" s="13">
        <v>50</v>
      </c>
      <c r="F393" s="12" t="s">
        <v>3713</v>
      </c>
      <c r="G393" s="12" t="s">
        <v>391</v>
      </c>
      <c r="H393" s="15">
        <v>25550</v>
      </c>
      <c r="I393" s="13">
        <v>50</v>
      </c>
      <c r="K393" s="12" t="s">
        <v>4087</v>
      </c>
      <c r="L393" s="12" t="s">
        <v>391</v>
      </c>
      <c r="M393" s="15">
        <v>2308270</v>
      </c>
      <c r="N393" s="13">
        <v>41</v>
      </c>
    </row>
    <row r="394" ht="15.75" spans="1:14">
      <c r="A394" s="12" t="s">
        <v>4088</v>
      </c>
      <c r="B394" s="12" t="s">
        <v>391</v>
      </c>
      <c r="C394" s="15">
        <v>10663</v>
      </c>
      <c r="D394" s="13">
        <v>50</v>
      </c>
      <c r="F394" s="12" t="s">
        <v>4089</v>
      </c>
      <c r="G394" s="12" t="s">
        <v>392</v>
      </c>
      <c r="H394" s="15">
        <v>12500</v>
      </c>
      <c r="I394" s="13">
        <v>50</v>
      </c>
      <c r="K394" s="12" t="s">
        <v>2448</v>
      </c>
      <c r="L394" s="12" t="s">
        <v>392</v>
      </c>
      <c r="M394" s="15">
        <v>13200000</v>
      </c>
      <c r="N394" s="13">
        <v>41</v>
      </c>
    </row>
    <row r="395" ht="15.75" spans="1:14">
      <c r="A395" s="12" t="s">
        <v>4090</v>
      </c>
      <c r="B395" s="12" t="s">
        <v>391</v>
      </c>
      <c r="C395" s="15">
        <v>31086</v>
      </c>
      <c r="D395" s="13">
        <v>50</v>
      </c>
      <c r="F395" s="12" t="s">
        <v>4091</v>
      </c>
      <c r="G395" s="12" t="s">
        <v>392</v>
      </c>
      <c r="H395" s="15">
        <v>195900</v>
      </c>
      <c r="I395" s="13">
        <v>50</v>
      </c>
      <c r="K395" s="12" t="s">
        <v>4092</v>
      </c>
      <c r="L395" s="12" t="s">
        <v>391</v>
      </c>
      <c r="M395" s="15">
        <v>836024</v>
      </c>
      <c r="N395" s="13">
        <v>41</v>
      </c>
    </row>
    <row r="396" ht="15.75" spans="1:14">
      <c r="A396" s="12" t="s">
        <v>4093</v>
      </c>
      <c r="B396" s="12" t="s">
        <v>391</v>
      </c>
      <c r="C396" s="15">
        <v>10406</v>
      </c>
      <c r="D396" s="13">
        <v>50</v>
      </c>
      <c r="F396" s="12" t="s">
        <v>4094</v>
      </c>
      <c r="G396" s="12" t="s">
        <v>392</v>
      </c>
      <c r="H396" s="15">
        <v>32700</v>
      </c>
      <c r="I396" s="13">
        <v>50</v>
      </c>
      <c r="K396" s="12" t="s">
        <v>4095</v>
      </c>
      <c r="L396" s="12" t="s">
        <v>391</v>
      </c>
      <c r="M396" s="15">
        <v>123942</v>
      </c>
      <c r="N396" s="13">
        <v>41</v>
      </c>
    </row>
    <row r="397" ht="15.75" spans="1:14">
      <c r="A397" s="12" t="s">
        <v>4096</v>
      </c>
      <c r="B397" s="12" t="s">
        <v>391</v>
      </c>
      <c r="C397" s="15">
        <v>12187</v>
      </c>
      <c r="D397" s="13">
        <v>50</v>
      </c>
      <c r="F397" s="12" t="s">
        <v>3715</v>
      </c>
      <c r="G397" s="12" t="s">
        <v>391</v>
      </c>
      <c r="H397" s="15">
        <v>14354</v>
      </c>
      <c r="I397" s="13">
        <v>50</v>
      </c>
      <c r="K397" s="12" t="s">
        <v>4097</v>
      </c>
      <c r="L397" s="12" t="s">
        <v>391</v>
      </c>
      <c r="M397" s="15">
        <v>344256</v>
      </c>
      <c r="N397" s="13">
        <v>41</v>
      </c>
    </row>
    <row r="398" ht="15.75" spans="1:14">
      <c r="A398" s="12" t="s">
        <v>4098</v>
      </c>
      <c r="B398" s="12" t="s">
        <v>391</v>
      </c>
      <c r="C398" s="15">
        <v>29436</v>
      </c>
      <c r="D398" s="13">
        <v>50</v>
      </c>
      <c r="F398" s="12" t="s">
        <v>4099</v>
      </c>
      <c r="G398" s="12" t="s">
        <v>391</v>
      </c>
      <c r="H398" s="15">
        <v>49554</v>
      </c>
      <c r="I398" s="13">
        <v>50</v>
      </c>
      <c r="K398" s="12" t="s">
        <v>4100</v>
      </c>
      <c r="L398" s="12" t="s">
        <v>391</v>
      </c>
      <c r="M398" s="15">
        <v>615866</v>
      </c>
      <c r="N398" s="13">
        <v>41</v>
      </c>
    </row>
    <row r="399" ht="15.75" spans="1:14">
      <c r="A399" s="12" t="s">
        <v>4101</v>
      </c>
      <c r="B399" s="12" t="s">
        <v>391</v>
      </c>
      <c r="C399" s="15">
        <v>11340</v>
      </c>
      <c r="D399" s="13">
        <v>50</v>
      </c>
      <c r="F399" s="12" t="s">
        <v>4102</v>
      </c>
      <c r="G399" s="12" t="s">
        <v>392</v>
      </c>
      <c r="H399" s="15">
        <v>97200</v>
      </c>
      <c r="I399" s="13">
        <v>50</v>
      </c>
      <c r="K399" s="12" t="s">
        <v>4103</v>
      </c>
      <c r="L399" s="12" t="s">
        <v>391</v>
      </c>
      <c r="M399" s="15">
        <v>287963</v>
      </c>
      <c r="N399" s="13">
        <v>41</v>
      </c>
    </row>
    <row r="400" ht="15.75" spans="1:14">
      <c r="A400" s="12" t="s">
        <v>4104</v>
      </c>
      <c r="B400" s="12" t="s">
        <v>391</v>
      </c>
      <c r="C400" s="15">
        <v>22845</v>
      </c>
      <c r="D400" s="13">
        <v>50</v>
      </c>
      <c r="F400" s="12" t="s">
        <v>4105</v>
      </c>
      <c r="G400" s="12" t="s">
        <v>392</v>
      </c>
      <c r="H400" s="15">
        <v>58000</v>
      </c>
      <c r="I400" s="13">
        <v>50</v>
      </c>
      <c r="K400" s="12" t="s">
        <v>4106</v>
      </c>
      <c r="L400" s="12" t="s">
        <v>391</v>
      </c>
      <c r="M400" s="15">
        <v>109555</v>
      </c>
      <c r="N400" s="13">
        <v>41</v>
      </c>
    </row>
    <row r="401" ht="15.75" spans="1:14">
      <c r="A401" s="12" t="s">
        <v>4107</v>
      </c>
      <c r="B401" s="12" t="s">
        <v>391</v>
      </c>
      <c r="C401" s="15">
        <v>12909</v>
      </c>
      <c r="D401" s="13">
        <v>50</v>
      </c>
      <c r="F401" s="12" t="s">
        <v>4108</v>
      </c>
      <c r="G401" s="12" t="s">
        <v>392</v>
      </c>
      <c r="H401" s="15">
        <v>32200</v>
      </c>
      <c r="I401" s="13">
        <v>50</v>
      </c>
      <c r="K401" s="12" t="s">
        <v>4109</v>
      </c>
      <c r="L401" s="12" t="s">
        <v>391</v>
      </c>
      <c r="M401" s="15">
        <v>438045</v>
      </c>
      <c r="N401" s="13">
        <v>41</v>
      </c>
    </row>
    <row r="402" ht="15.75" spans="1:14">
      <c r="A402" s="12" t="s">
        <v>4110</v>
      </c>
      <c r="B402" s="12" t="s">
        <v>391</v>
      </c>
      <c r="C402" s="15">
        <v>31550</v>
      </c>
      <c r="D402" s="13">
        <v>50</v>
      </c>
      <c r="F402" s="12" t="s">
        <v>4111</v>
      </c>
      <c r="G402" s="12" t="s">
        <v>392</v>
      </c>
      <c r="H402" s="15">
        <v>24900</v>
      </c>
      <c r="I402" s="13">
        <v>50</v>
      </c>
      <c r="K402" s="12" t="s">
        <v>4112</v>
      </c>
      <c r="L402" s="12" t="s">
        <v>391</v>
      </c>
      <c r="M402" s="15">
        <v>103144</v>
      </c>
      <c r="N402" s="13">
        <v>41</v>
      </c>
    </row>
    <row r="403" ht="15.75" spans="1:14">
      <c r="A403" s="12" t="s">
        <v>4113</v>
      </c>
      <c r="B403" s="12" t="s">
        <v>391</v>
      </c>
      <c r="C403" s="15">
        <v>12987</v>
      </c>
      <c r="D403" s="13">
        <v>50</v>
      </c>
      <c r="F403" s="12" t="s">
        <v>4114</v>
      </c>
      <c r="G403" s="12" t="s">
        <v>392</v>
      </c>
      <c r="H403" s="15">
        <v>139900</v>
      </c>
      <c r="I403" s="13">
        <v>50</v>
      </c>
      <c r="K403" s="12" t="s">
        <v>4115</v>
      </c>
      <c r="L403" s="12" t="s">
        <v>391</v>
      </c>
      <c r="M403" s="15">
        <v>150328</v>
      </c>
      <c r="N403" s="13">
        <v>41</v>
      </c>
    </row>
    <row r="404" ht="15.75" spans="1:14">
      <c r="A404" s="12" t="s">
        <v>4116</v>
      </c>
      <c r="B404" s="12" t="s">
        <v>391</v>
      </c>
      <c r="C404" s="15">
        <v>22979</v>
      </c>
      <c r="D404" s="13">
        <v>50</v>
      </c>
      <c r="F404" s="12" t="s">
        <v>4117</v>
      </c>
      <c r="G404" s="12" t="s">
        <v>392</v>
      </c>
      <c r="H404" s="15">
        <v>47700</v>
      </c>
      <c r="I404" s="13">
        <v>50</v>
      </c>
      <c r="K404" s="12" t="s">
        <v>4118</v>
      </c>
      <c r="L404" s="12" t="s">
        <v>391</v>
      </c>
      <c r="M404" s="15">
        <v>149966</v>
      </c>
      <c r="N404" s="13">
        <v>41</v>
      </c>
    </row>
    <row r="405" ht="15.75" spans="1:14">
      <c r="A405" s="12" t="s">
        <v>4119</v>
      </c>
      <c r="B405" s="12" t="s">
        <v>391</v>
      </c>
      <c r="C405" s="15">
        <v>10063</v>
      </c>
      <c r="D405" s="13">
        <v>50</v>
      </c>
      <c r="F405" s="12" t="s">
        <v>4120</v>
      </c>
      <c r="G405" s="12" t="s">
        <v>392</v>
      </c>
      <c r="H405" s="15">
        <v>99900</v>
      </c>
      <c r="I405" s="13">
        <v>50</v>
      </c>
      <c r="K405" s="12" t="s">
        <v>4121</v>
      </c>
      <c r="L405" s="12" t="s">
        <v>391</v>
      </c>
      <c r="M405" s="15">
        <v>1737829</v>
      </c>
      <c r="N405" s="13">
        <v>41</v>
      </c>
    </row>
    <row r="406" ht="15.75" spans="1:14">
      <c r="A406" s="12" t="s">
        <v>4122</v>
      </c>
      <c r="B406" s="12" t="s">
        <v>391</v>
      </c>
      <c r="C406" s="15">
        <v>29796</v>
      </c>
      <c r="D406" s="13">
        <v>50</v>
      </c>
      <c r="F406" s="12" t="s">
        <v>4123</v>
      </c>
      <c r="G406" s="12" t="s">
        <v>392</v>
      </c>
      <c r="H406" s="15">
        <v>17900</v>
      </c>
      <c r="I406" s="13">
        <v>50</v>
      </c>
      <c r="K406" s="12" t="s">
        <v>4124</v>
      </c>
      <c r="L406" s="12" t="s">
        <v>391</v>
      </c>
      <c r="M406" s="15">
        <v>7358061</v>
      </c>
      <c r="N406" s="13">
        <v>41</v>
      </c>
    </row>
    <row r="407" ht="15.75" spans="1:14">
      <c r="A407" s="12" t="s">
        <v>4125</v>
      </c>
      <c r="B407" s="12" t="s">
        <v>391</v>
      </c>
      <c r="C407" s="15">
        <v>11884</v>
      </c>
      <c r="D407" s="13">
        <v>50</v>
      </c>
      <c r="F407" s="12" t="s">
        <v>4126</v>
      </c>
      <c r="G407" s="12" t="s">
        <v>392</v>
      </c>
      <c r="H407" s="15">
        <v>18300</v>
      </c>
      <c r="I407" s="13">
        <v>50</v>
      </c>
      <c r="K407" s="12" t="s">
        <v>4127</v>
      </c>
      <c r="L407" s="12" t="s">
        <v>391</v>
      </c>
      <c r="M407" s="15">
        <v>6133691</v>
      </c>
      <c r="N407" s="13">
        <v>41</v>
      </c>
    </row>
    <row r="408" ht="15.75" spans="1:14">
      <c r="A408" s="12" t="s">
        <v>4128</v>
      </c>
      <c r="B408" s="12" t="s">
        <v>391</v>
      </c>
      <c r="C408" s="15">
        <v>16176</v>
      </c>
      <c r="D408" s="13">
        <v>50</v>
      </c>
      <c r="F408" s="12" t="s">
        <v>4129</v>
      </c>
      <c r="G408" s="12" t="s">
        <v>391</v>
      </c>
      <c r="H408" s="15">
        <v>11739</v>
      </c>
      <c r="I408" s="13">
        <v>50</v>
      </c>
      <c r="K408" s="12" t="s">
        <v>4130</v>
      </c>
      <c r="L408" s="12" t="s">
        <v>392</v>
      </c>
      <c r="M408" s="15">
        <v>140000</v>
      </c>
      <c r="N408" s="13">
        <v>40</v>
      </c>
    </row>
    <row r="409" ht="15.75" spans="1:14">
      <c r="A409" s="12" t="s">
        <v>4131</v>
      </c>
      <c r="B409" s="12" t="s">
        <v>391</v>
      </c>
      <c r="C409" s="15">
        <v>12220</v>
      </c>
      <c r="D409" s="13">
        <v>50</v>
      </c>
      <c r="F409" s="12" t="s">
        <v>4132</v>
      </c>
      <c r="G409" s="12" t="s">
        <v>392</v>
      </c>
      <c r="H409" s="15">
        <v>34500</v>
      </c>
      <c r="I409" s="13">
        <v>50</v>
      </c>
      <c r="K409" s="12" t="s">
        <v>3449</v>
      </c>
      <c r="L409" s="12" t="s">
        <v>391</v>
      </c>
      <c r="M409" s="15">
        <v>290065</v>
      </c>
      <c r="N409" s="13">
        <v>40</v>
      </c>
    </row>
    <row r="410" ht="15.75" spans="1:14">
      <c r="A410" s="12" t="s">
        <v>4133</v>
      </c>
      <c r="B410" s="12" t="s">
        <v>391</v>
      </c>
      <c r="C410" s="15">
        <v>10757</v>
      </c>
      <c r="D410" s="13">
        <v>50</v>
      </c>
      <c r="F410" s="12" t="s">
        <v>3717</v>
      </c>
      <c r="G410" s="12" t="s">
        <v>391</v>
      </c>
      <c r="H410" s="15">
        <v>26506</v>
      </c>
      <c r="I410" s="13">
        <v>50</v>
      </c>
      <c r="K410" s="12" t="s">
        <v>3297</v>
      </c>
      <c r="L410" s="12" t="s">
        <v>391</v>
      </c>
      <c r="M410" s="15">
        <v>107893</v>
      </c>
      <c r="N410" s="13">
        <v>40</v>
      </c>
    </row>
    <row r="411" ht="15.75" spans="1:14">
      <c r="A411" s="12" t="s">
        <v>4134</v>
      </c>
      <c r="B411" s="12" t="s">
        <v>391</v>
      </c>
      <c r="C411" s="15">
        <v>21705</v>
      </c>
      <c r="D411" s="13">
        <v>50</v>
      </c>
      <c r="F411" s="12" t="s">
        <v>4135</v>
      </c>
      <c r="G411" s="12" t="s">
        <v>391</v>
      </c>
      <c r="H411" s="15">
        <v>36828</v>
      </c>
      <c r="I411" s="13">
        <v>50</v>
      </c>
      <c r="K411" s="12" t="s">
        <v>4136</v>
      </c>
      <c r="L411" s="12" t="s">
        <v>391</v>
      </c>
      <c r="M411" s="15">
        <v>437793</v>
      </c>
      <c r="N411" s="13">
        <v>40</v>
      </c>
    </row>
    <row r="412" ht="15.75" spans="1:14">
      <c r="A412" s="12" t="s">
        <v>4137</v>
      </c>
      <c r="B412" s="12" t="s">
        <v>391</v>
      </c>
      <c r="C412" s="15">
        <v>10177</v>
      </c>
      <c r="D412" s="13">
        <v>50</v>
      </c>
      <c r="F412" s="12" t="s">
        <v>4138</v>
      </c>
      <c r="G412" s="12" t="s">
        <v>391</v>
      </c>
      <c r="H412" s="15">
        <v>11266</v>
      </c>
      <c r="I412" s="13">
        <v>50</v>
      </c>
      <c r="K412" s="12" t="s">
        <v>4139</v>
      </c>
      <c r="L412" s="12" t="s">
        <v>391</v>
      </c>
      <c r="M412" s="15">
        <v>547844</v>
      </c>
      <c r="N412" s="13">
        <v>40</v>
      </c>
    </row>
    <row r="413" ht="15.75" spans="1:14">
      <c r="A413" s="12" t="s">
        <v>4140</v>
      </c>
      <c r="B413" s="12" t="s">
        <v>391</v>
      </c>
      <c r="C413" s="15">
        <v>14508</v>
      </c>
      <c r="D413" s="13">
        <v>50</v>
      </c>
      <c r="F413" s="12" t="s">
        <v>4141</v>
      </c>
      <c r="G413" s="12" t="s">
        <v>392</v>
      </c>
      <c r="H413" s="15">
        <v>3100000</v>
      </c>
      <c r="I413" s="13">
        <v>50</v>
      </c>
      <c r="K413" s="12" t="s">
        <v>4142</v>
      </c>
      <c r="L413" s="12" t="s">
        <v>391</v>
      </c>
      <c r="M413" s="15">
        <v>212013</v>
      </c>
      <c r="N413" s="13">
        <v>40</v>
      </c>
    </row>
    <row r="414" ht="15.75" spans="1:14">
      <c r="A414" s="12" t="s">
        <v>4143</v>
      </c>
      <c r="B414" s="12" t="s">
        <v>391</v>
      </c>
      <c r="C414" s="15">
        <v>22710</v>
      </c>
      <c r="D414" s="13">
        <v>50</v>
      </c>
      <c r="F414" s="12" t="s">
        <v>4144</v>
      </c>
      <c r="G414" s="12" t="s">
        <v>392</v>
      </c>
      <c r="H414" s="15">
        <v>74800</v>
      </c>
      <c r="I414" s="13">
        <v>50</v>
      </c>
      <c r="K414" s="12" t="s">
        <v>4145</v>
      </c>
      <c r="L414" s="12" t="s">
        <v>391</v>
      </c>
      <c r="M414" s="15">
        <v>102148</v>
      </c>
      <c r="N414" s="13">
        <v>40</v>
      </c>
    </row>
    <row r="415" ht="15.75" spans="1:14">
      <c r="A415" s="12" t="s">
        <v>4146</v>
      </c>
      <c r="B415" s="12" t="s">
        <v>391</v>
      </c>
      <c r="C415" s="15">
        <v>10369</v>
      </c>
      <c r="D415" s="13">
        <v>50</v>
      </c>
      <c r="F415" s="12" t="s">
        <v>4147</v>
      </c>
      <c r="G415" s="12" t="s">
        <v>392</v>
      </c>
      <c r="H415" s="15">
        <v>35400</v>
      </c>
      <c r="I415" s="13">
        <v>50</v>
      </c>
      <c r="K415" s="12" t="s">
        <v>3306</v>
      </c>
      <c r="L415" s="12" t="s">
        <v>391</v>
      </c>
      <c r="M415" s="15">
        <v>140891</v>
      </c>
      <c r="N415" s="13">
        <v>40</v>
      </c>
    </row>
    <row r="416" ht="15.75" spans="1:14">
      <c r="A416" s="12" t="s">
        <v>4148</v>
      </c>
      <c r="B416" s="12" t="s">
        <v>391</v>
      </c>
      <c r="C416" s="15">
        <v>22227</v>
      </c>
      <c r="D416" s="13">
        <v>50</v>
      </c>
      <c r="F416" s="12" t="s">
        <v>4149</v>
      </c>
      <c r="G416" s="12" t="s">
        <v>392</v>
      </c>
      <c r="H416" s="15">
        <v>29500</v>
      </c>
      <c r="I416" s="13">
        <v>50</v>
      </c>
      <c r="K416" s="12" t="s">
        <v>4150</v>
      </c>
      <c r="L416" s="12" t="s">
        <v>391</v>
      </c>
      <c r="M416" s="15">
        <v>1878680</v>
      </c>
      <c r="N416" s="13">
        <v>40</v>
      </c>
    </row>
    <row r="417" ht="15.75" spans="1:14">
      <c r="A417" s="12" t="s">
        <v>4151</v>
      </c>
      <c r="B417" s="12" t="s">
        <v>391</v>
      </c>
      <c r="C417" s="15">
        <v>14552</v>
      </c>
      <c r="D417" s="13">
        <v>50</v>
      </c>
      <c r="F417" s="12" t="s">
        <v>4152</v>
      </c>
      <c r="G417" s="12" t="s">
        <v>392</v>
      </c>
      <c r="H417" s="15">
        <v>23700</v>
      </c>
      <c r="I417" s="13">
        <v>50</v>
      </c>
      <c r="K417" s="12" t="s">
        <v>4153</v>
      </c>
      <c r="L417" s="12" t="s">
        <v>391</v>
      </c>
      <c r="M417" s="15">
        <v>341661</v>
      </c>
      <c r="N417" s="13">
        <v>40</v>
      </c>
    </row>
    <row r="418" ht="15.75" spans="1:14">
      <c r="A418" s="12" t="s">
        <v>4154</v>
      </c>
      <c r="B418" s="12" t="s">
        <v>391</v>
      </c>
      <c r="C418" s="15">
        <v>10763</v>
      </c>
      <c r="D418" s="13">
        <v>50</v>
      </c>
      <c r="F418" s="12" t="s">
        <v>4155</v>
      </c>
      <c r="G418" s="12" t="s">
        <v>392</v>
      </c>
      <c r="H418" s="15">
        <v>20600</v>
      </c>
      <c r="I418" s="13">
        <v>50</v>
      </c>
      <c r="K418" s="12" t="s">
        <v>4156</v>
      </c>
      <c r="L418" s="12" t="s">
        <v>391</v>
      </c>
      <c r="M418" s="15">
        <v>232826</v>
      </c>
      <c r="N418" s="13">
        <v>40</v>
      </c>
    </row>
    <row r="419" ht="15.75" spans="1:14">
      <c r="A419" s="12" t="s">
        <v>4157</v>
      </c>
      <c r="B419" s="12" t="s">
        <v>391</v>
      </c>
      <c r="C419" s="15">
        <v>26567</v>
      </c>
      <c r="D419" s="13">
        <v>50</v>
      </c>
      <c r="F419" s="12" t="s">
        <v>4158</v>
      </c>
      <c r="G419" s="12" t="s">
        <v>391</v>
      </c>
      <c r="H419" s="15">
        <v>72135</v>
      </c>
      <c r="I419" s="13">
        <v>50</v>
      </c>
      <c r="K419" s="12" t="s">
        <v>4159</v>
      </c>
      <c r="L419" s="12" t="s">
        <v>391</v>
      </c>
      <c r="M419" s="15">
        <v>186180</v>
      </c>
      <c r="N419" s="13">
        <v>40</v>
      </c>
    </row>
    <row r="420" ht="15.75" spans="1:14">
      <c r="A420" s="12" t="s">
        <v>4160</v>
      </c>
      <c r="B420" s="12" t="s">
        <v>391</v>
      </c>
      <c r="C420" s="15">
        <v>28959</v>
      </c>
      <c r="D420" s="13">
        <v>50</v>
      </c>
      <c r="F420" s="12" t="s">
        <v>3718</v>
      </c>
      <c r="G420" s="12" t="s">
        <v>391</v>
      </c>
      <c r="H420" s="15">
        <v>11268</v>
      </c>
      <c r="I420" s="13">
        <v>50</v>
      </c>
      <c r="K420" s="12" t="s">
        <v>4161</v>
      </c>
      <c r="L420" s="12" t="s">
        <v>391</v>
      </c>
      <c r="M420" s="15">
        <v>298432</v>
      </c>
      <c r="N420" s="13">
        <v>40</v>
      </c>
    </row>
    <row r="421" ht="15.75" spans="1:14">
      <c r="A421" s="12" t="s">
        <v>4162</v>
      </c>
      <c r="B421" s="12" t="s">
        <v>391</v>
      </c>
      <c r="C421" s="15">
        <v>10100</v>
      </c>
      <c r="D421" s="13">
        <v>50</v>
      </c>
      <c r="F421" s="12" t="s">
        <v>4163</v>
      </c>
      <c r="G421" s="12" t="s">
        <v>392</v>
      </c>
      <c r="H421" s="15">
        <v>53900</v>
      </c>
      <c r="I421" s="13">
        <v>50</v>
      </c>
      <c r="K421" s="12" t="s">
        <v>4164</v>
      </c>
      <c r="L421" s="12" t="s">
        <v>391</v>
      </c>
      <c r="M421" s="15">
        <v>156144</v>
      </c>
      <c r="N421" s="13">
        <v>40</v>
      </c>
    </row>
    <row r="422" ht="15.75" spans="1:14">
      <c r="A422" s="12" t="s">
        <v>4165</v>
      </c>
      <c r="B422" s="12" t="s">
        <v>391</v>
      </c>
      <c r="C422" s="15">
        <v>10956</v>
      </c>
      <c r="D422" s="13">
        <v>50</v>
      </c>
      <c r="F422" s="12" t="s">
        <v>4166</v>
      </c>
      <c r="G422" s="12" t="s">
        <v>392</v>
      </c>
      <c r="H422" s="15">
        <v>46700</v>
      </c>
      <c r="I422" s="13">
        <v>50</v>
      </c>
      <c r="K422" s="12" t="s">
        <v>4167</v>
      </c>
      <c r="L422" s="12" t="s">
        <v>391</v>
      </c>
      <c r="M422" s="15">
        <v>349108</v>
      </c>
      <c r="N422" s="13">
        <v>40</v>
      </c>
    </row>
    <row r="423" ht="15.75" spans="1:14">
      <c r="A423" s="12" t="s">
        <v>4168</v>
      </c>
      <c r="B423" s="12" t="s">
        <v>391</v>
      </c>
      <c r="C423" s="15">
        <v>33146</v>
      </c>
      <c r="D423" s="13">
        <v>50</v>
      </c>
      <c r="F423" s="12" t="s">
        <v>3720</v>
      </c>
      <c r="G423" s="12" t="s">
        <v>391</v>
      </c>
      <c r="H423" s="15">
        <v>30011</v>
      </c>
      <c r="I423" s="13">
        <v>50</v>
      </c>
      <c r="K423" s="12" t="s">
        <v>4169</v>
      </c>
      <c r="L423" s="12" t="s">
        <v>391</v>
      </c>
      <c r="M423" s="15">
        <v>182900</v>
      </c>
      <c r="N423" s="13">
        <v>40</v>
      </c>
    </row>
    <row r="424" ht="15.75" spans="1:14">
      <c r="A424" s="12" t="s">
        <v>4170</v>
      </c>
      <c r="B424" s="12" t="s">
        <v>391</v>
      </c>
      <c r="C424" s="15">
        <v>1124014</v>
      </c>
      <c r="D424" s="13">
        <v>50</v>
      </c>
      <c r="F424" s="12" t="s">
        <v>3722</v>
      </c>
      <c r="G424" s="12" t="s">
        <v>391</v>
      </c>
      <c r="H424" s="15">
        <v>11500</v>
      </c>
      <c r="I424" s="13">
        <v>50</v>
      </c>
      <c r="K424" s="12" t="s">
        <v>4171</v>
      </c>
      <c r="L424" s="12" t="s">
        <v>391</v>
      </c>
      <c r="M424" s="15">
        <v>112733</v>
      </c>
      <c r="N424" s="13">
        <v>40</v>
      </c>
    </row>
    <row r="425" ht="15.75" spans="1:14">
      <c r="A425" s="12" t="s">
        <v>3229</v>
      </c>
      <c r="B425" s="12" t="s">
        <v>391</v>
      </c>
      <c r="C425" s="15">
        <v>729181</v>
      </c>
      <c r="D425" s="13">
        <v>50</v>
      </c>
      <c r="F425" s="12" t="s">
        <v>4172</v>
      </c>
      <c r="G425" s="12" t="s">
        <v>392</v>
      </c>
      <c r="H425" s="15">
        <v>40700</v>
      </c>
      <c r="I425" s="13">
        <v>50</v>
      </c>
      <c r="K425" s="12" t="s">
        <v>3321</v>
      </c>
      <c r="L425" s="12" t="s">
        <v>391</v>
      </c>
      <c r="M425" s="15">
        <v>103627</v>
      </c>
      <c r="N425" s="13">
        <v>40</v>
      </c>
    </row>
    <row r="426" ht="15.75" spans="1:14">
      <c r="A426" s="12" t="s">
        <v>4173</v>
      </c>
      <c r="B426" s="12" t="s">
        <v>391</v>
      </c>
      <c r="C426" s="15">
        <v>11611</v>
      </c>
      <c r="D426" s="13">
        <v>50</v>
      </c>
      <c r="F426" s="12" t="s">
        <v>4174</v>
      </c>
      <c r="G426" s="12" t="s">
        <v>391</v>
      </c>
      <c r="H426" s="15">
        <v>11309</v>
      </c>
      <c r="I426" s="13">
        <v>50</v>
      </c>
      <c r="K426" s="12" t="s">
        <v>2355</v>
      </c>
      <c r="L426" s="12" t="s">
        <v>391</v>
      </c>
      <c r="M426" s="15">
        <v>685896635</v>
      </c>
      <c r="N426" s="13">
        <v>40</v>
      </c>
    </row>
    <row r="427" ht="15.75" spans="1:14">
      <c r="A427" s="12" t="s">
        <v>4175</v>
      </c>
      <c r="B427" s="12" t="s">
        <v>391</v>
      </c>
      <c r="C427" s="15">
        <v>11773</v>
      </c>
      <c r="D427" s="13">
        <v>50</v>
      </c>
      <c r="F427" s="12" t="s">
        <v>4176</v>
      </c>
      <c r="G427" s="12" t="s">
        <v>391</v>
      </c>
      <c r="H427" s="15">
        <v>10091</v>
      </c>
      <c r="I427" s="13">
        <v>50</v>
      </c>
      <c r="K427" s="12" t="s">
        <v>3551</v>
      </c>
      <c r="L427" s="12" t="s">
        <v>391</v>
      </c>
      <c r="M427" s="15">
        <v>392230</v>
      </c>
      <c r="N427" s="13">
        <v>40</v>
      </c>
    </row>
    <row r="428" ht="15.75" spans="1:14">
      <c r="A428" s="12" t="s">
        <v>4177</v>
      </c>
      <c r="B428" s="12" t="s">
        <v>391</v>
      </c>
      <c r="C428" s="15">
        <v>11212</v>
      </c>
      <c r="D428" s="13">
        <v>50</v>
      </c>
      <c r="F428" s="12" t="s">
        <v>4178</v>
      </c>
      <c r="G428" s="12" t="s">
        <v>392</v>
      </c>
      <c r="H428" s="15">
        <v>20500</v>
      </c>
      <c r="I428" s="13">
        <v>50</v>
      </c>
      <c r="K428" s="12" t="s">
        <v>4179</v>
      </c>
      <c r="L428" s="12" t="s">
        <v>391</v>
      </c>
      <c r="M428" s="15">
        <v>102537</v>
      </c>
      <c r="N428" s="13">
        <v>40</v>
      </c>
    </row>
    <row r="429" ht="15.75" spans="1:14">
      <c r="A429" s="12" t="s">
        <v>4180</v>
      </c>
      <c r="B429" s="12" t="s">
        <v>391</v>
      </c>
      <c r="C429" s="15">
        <v>10443</v>
      </c>
      <c r="D429" s="13">
        <v>50</v>
      </c>
      <c r="F429" s="12" t="s">
        <v>4181</v>
      </c>
      <c r="G429" s="12" t="s">
        <v>392</v>
      </c>
      <c r="H429" s="15">
        <v>1523194</v>
      </c>
      <c r="I429" s="13">
        <v>50</v>
      </c>
      <c r="K429" s="12" t="s">
        <v>4182</v>
      </c>
      <c r="L429" s="12" t="s">
        <v>391</v>
      </c>
      <c r="M429" s="15">
        <v>112409</v>
      </c>
      <c r="N429" s="13">
        <v>40</v>
      </c>
    </row>
    <row r="430" ht="15.75" spans="1:14">
      <c r="A430" s="12" t="s">
        <v>4183</v>
      </c>
      <c r="B430" s="12" t="s">
        <v>391</v>
      </c>
      <c r="C430" s="15">
        <v>24050</v>
      </c>
      <c r="D430" s="13">
        <v>50</v>
      </c>
      <c r="F430" s="12" t="s">
        <v>4184</v>
      </c>
      <c r="G430" s="12" t="s">
        <v>392</v>
      </c>
      <c r="H430" s="15">
        <v>16400</v>
      </c>
      <c r="I430" s="13">
        <v>50</v>
      </c>
      <c r="K430" s="12" t="s">
        <v>4185</v>
      </c>
      <c r="L430" s="12" t="s">
        <v>391</v>
      </c>
      <c r="M430" s="15">
        <v>1995254</v>
      </c>
      <c r="N430" s="13">
        <v>40</v>
      </c>
    </row>
    <row r="431" ht="15.75" spans="1:14">
      <c r="A431" s="12" t="s">
        <v>4186</v>
      </c>
      <c r="B431" s="12" t="s">
        <v>391</v>
      </c>
      <c r="C431" s="15">
        <v>15337</v>
      </c>
      <c r="D431" s="13">
        <v>50</v>
      </c>
      <c r="F431" s="12" t="s">
        <v>4187</v>
      </c>
      <c r="G431" s="12" t="s">
        <v>391</v>
      </c>
      <c r="H431" s="15">
        <v>15516</v>
      </c>
      <c r="I431" s="13">
        <v>50</v>
      </c>
      <c r="K431" s="12" t="s">
        <v>4188</v>
      </c>
      <c r="L431" s="12" t="s">
        <v>391</v>
      </c>
      <c r="M431" s="15">
        <v>302022</v>
      </c>
      <c r="N431" s="13">
        <v>40</v>
      </c>
    </row>
    <row r="432" ht="15.75" spans="1:14">
      <c r="A432" s="12" t="s">
        <v>4189</v>
      </c>
      <c r="B432" s="12" t="s">
        <v>391</v>
      </c>
      <c r="C432" s="15">
        <v>16195</v>
      </c>
      <c r="D432" s="13">
        <v>50</v>
      </c>
      <c r="F432" s="12" t="s">
        <v>4190</v>
      </c>
      <c r="G432" s="12" t="s">
        <v>392</v>
      </c>
      <c r="H432" s="15">
        <v>95700</v>
      </c>
      <c r="I432" s="13">
        <v>50</v>
      </c>
      <c r="K432" s="12" t="s">
        <v>4191</v>
      </c>
      <c r="L432" s="12" t="s">
        <v>391</v>
      </c>
      <c r="M432" s="15">
        <v>204995</v>
      </c>
      <c r="N432" s="13">
        <v>40</v>
      </c>
    </row>
    <row r="433" ht="15.75" spans="1:14">
      <c r="A433" s="12" t="s">
        <v>4192</v>
      </c>
      <c r="B433" s="12" t="s">
        <v>391</v>
      </c>
      <c r="C433" s="15">
        <v>10546</v>
      </c>
      <c r="D433" s="13">
        <v>50</v>
      </c>
      <c r="F433" s="12" t="s">
        <v>4193</v>
      </c>
      <c r="G433" s="12" t="s">
        <v>391</v>
      </c>
      <c r="H433" s="15">
        <v>34723</v>
      </c>
      <c r="I433" s="13">
        <v>50</v>
      </c>
      <c r="K433" s="12" t="s">
        <v>3896</v>
      </c>
      <c r="L433" s="12" t="s">
        <v>391</v>
      </c>
      <c r="M433" s="15">
        <v>606698</v>
      </c>
      <c r="N433" s="13">
        <v>40</v>
      </c>
    </row>
    <row r="434" ht="15.75" spans="1:14">
      <c r="A434" s="12" t="s">
        <v>4194</v>
      </c>
      <c r="B434" s="12" t="s">
        <v>391</v>
      </c>
      <c r="C434" s="15">
        <v>19913</v>
      </c>
      <c r="D434" s="13">
        <v>50</v>
      </c>
      <c r="F434" s="12" t="s">
        <v>4195</v>
      </c>
      <c r="G434" s="12" t="s">
        <v>391</v>
      </c>
      <c r="H434" s="15">
        <v>14715</v>
      </c>
      <c r="I434" s="13">
        <v>50</v>
      </c>
      <c r="K434" s="12" t="s">
        <v>3454</v>
      </c>
      <c r="L434" s="12" t="s">
        <v>391</v>
      </c>
      <c r="M434" s="15">
        <v>139014</v>
      </c>
      <c r="N434" s="13">
        <v>40</v>
      </c>
    </row>
    <row r="435" ht="15.75" spans="1:14">
      <c r="A435" s="12" t="s">
        <v>4196</v>
      </c>
      <c r="B435" s="12" t="s">
        <v>391</v>
      </c>
      <c r="C435" s="15">
        <v>11374</v>
      </c>
      <c r="D435" s="13">
        <v>50</v>
      </c>
      <c r="F435" s="12" t="s">
        <v>3726</v>
      </c>
      <c r="G435" s="12" t="s">
        <v>391</v>
      </c>
      <c r="H435" s="15">
        <v>11401</v>
      </c>
      <c r="I435" s="13">
        <v>50</v>
      </c>
      <c r="K435" s="12" t="s">
        <v>4197</v>
      </c>
      <c r="L435" s="12" t="s">
        <v>391</v>
      </c>
      <c r="M435" s="15">
        <v>1129785</v>
      </c>
      <c r="N435" s="13">
        <v>40</v>
      </c>
    </row>
    <row r="436" ht="15.75" spans="1:14">
      <c r="A436" s="12" t="s">
        <v>4198</v>
      </c>
      <c r="B436" s="12" t="s">
        <v>391</v>
      </c>
      <c r="C436" s="15">
        <v>10527</v>
      </c>
      <c r="D436" s="13">
        <v>50</v>
      </c>
      <c r="F436" s="12" t="s">
        <v>4199</v>
      </c>
      <c r="G436" s="12" t="s">
        <v>391</v>
      </c>
      <c r="H436" s="15">
        <v>21477</v>
      </c>
      <c r="I436" s="13">
        <v>50</v>
      </c>
      <c r="K436" s="12" t="s">
        <v>3333</v>
      </c>
      <c r="L436" s="12" t="s">
        <v>391</v>
      </c>
      <c r="M436" s="15">
        <v>125880</v>
      </c>
      <c r="N436" s="13">
        <v>40</v>
      </c>
    </row>
    <row r="437" ht="15.75" spans="1:14">
      <c r="A437" s="12" t="s">
        <v>4200</v>
      </c>
      <c r="B437" s="12" t="s">
        <v>391</v>
      </c>
      <c r="C437" s="15">
        <v>21013</v>
      </c>
      <c r="D437" s="13">
        <v>50</v>
      </c>
      <c r="F437" s="12" t="s">
        <v>4201</v>
      </c>
      <c r="G437" s="12" t="s">
        <v>392</v>
      </c>
      <c r="H437" s="15">
        <v>55800</v>
      </c>
      <c r="I437" s="13">
        <v>50</v>
      </c>
      <c r="K437" s="12" t="s">
        <v>4202</v>
      </c>
      <c r="L437" s="12" t="s">
        <v>391</v>
      </c>
      <c r="M437" s="15">
        <v>116777</v>
      </c>
      <c r="N437" s="13">
        <v>40</v>
      </c>
    </row>
    <row r="438" ht="15.75" spans="1:14">
      <c r="A438" s="12" t="s">
        <v>4203</v>
      </c>
      <c r="B438" s="12" t="s">
        <v>391</v>
      </c>
      <c r="C438" s="15">
        <v>20152</v>
      </c>
      <c r="D438" s="13">
        <v>50</v>
      </c>
      <c r="F438" s="12" t="s">
        <v>4204</v>
      </c>
      <c r="G438" s="12" t="s">
        <v>392</v>
      </c>
      <c r="H438" s="15">
        <v>363800</v>
      </c>
      <c r="I438" s="13">
        <v>50</v>
      </c>
      <c r="K438" s="12" t="s">
        <v>4205</v>
      </c>
      <c r="L438" s="12" t="s">
        <v>391</v>
      </c>
      <c r="M438" s="15">
        <v>103135</v>
      </c>
      <c r="N438" s="13">
        <v>40</v>
      </c>
    </row>
    <row r="439" ht="15.75" spans="1:14">
      <c r="A439" s="12" t="s">
        <v>4206</v>
      </c>
      <c r="B439" s="12" t="s">
        <v>391</v>
      </c>
      <c r="C439" s="15">
        <v>11618</v>
      </c>
      <c r="D439" s="13">
        <v>50</v>
      </c>
      <c r="F439" s="12" t="s">
        <v>4207</v>
      </c>
      <c r="G439" s="12" t="s">
        <v>391</v>
      </c>
      <c r="H439" s="15">
        <v>11774</v>
      </c>
      <c r="I439" s="13">
        <v>50</v>
      </c>
      <c r="K439" s="12" t="s">
        <v>4208</v>
      </c>
      <c r="L439" s="12" t="s">
        <v>391</v>
      </c>
      <c r="M439" s="15">
        <v>128122</v>
      </c>
      <c r="N439" s="13">
        <v>40</v>
      </c>
    </row>
    <row r="440" ht="15.75" spans="1:14">
      <c r="A440" s="12" t="s">
        <v>4209</v>
      </c>
      <c r="B440" s="12" t="s">
        <v>391</v>
      </c>
      <c r="C440" s="15">
        <v>10228</v>
      </c>
      <c r="D440" s="13">
        <v>50</v>
      </c>
      <c r="F440" s="12" t="s">
        <v>4210</v>
      </c>
      <c r="G440" s="12" t="s">
        <v>392</v>
      </c>
      <c r="H440" s="15">
        <v>68300</v>
      </c>
      <c r="I440" s="13">
        <v>50</v>
      </c>
      <c r="K440" s="12" t="s">
        <v>4211</v>
      </c>
      <c r="L440" s="12" t="s">
        <v>391</v>
      </c>
      <c r="M440" s="15">
        <v>254204</v>
      </c>
      <c r="N440" s="13">
        <v>40</v>
      </c>
    </row>
    <row r="441" ht="15.75" spans="1:14">
      <c r="A441" s="12" t="s">
        <v>4212</v>
      </c>
      <c r="B441" s="12" t="s">
        <v>391</v>
      </c>
      <c r="C441" s="15">
        <v>17255</v>
      </c>
      <c r="D441" s="13">
        <v>50</v>
      </c>
      <c r="F441" s="12" t="s">
        <v>4213</v>
      </c>
      <c r="G441" s="12" t="s">
        <v>391</v>
      </c>
      <c r="H441" s="15">
        <v>29989</v>
      </c>
      <c r="I441" s="13">
        <v>50</v>
      </c>
      <c r="K441" s="12" t="s">
        <v>4214</v>
      </c>
      <c r="L441" s="12" t="s">
        <v>391</v>
      </c>
      <c r="M441" s="15">
        <v>327388</v>
      </c>
      <c r="N441" s="13">
        <v>40</v>
      </c>
    </row>
    <row r="442" ht="15.75" spans="1:14">
      <c r="A442" s="12" t="s">
        <v>4215</v>
      </c>
      <c r="B442" s="12" t="s">
        <v>391</v>
      </c>
      <c r="C442" s="15">
        <v>14097</v>
      </c>
      <c r="D442" s="13">
        <v>50</v>
      </c>
      <c r="F442" s="12" t="s">
        <v>3728</v>
      </c>
      <c r="G442" s="12" t="s">
        <v>391</v>
      </c>
      <c r="H442" s="15">
        <v>11967</v>
      </c>
      <c r="I442" s="13">
        <v>50</v>
      </c>
      <c r="K442" s="12" t="s">
        <v>4216</v>
      </c>
      <c r="L442" s="12" t="s">
        <v>391</v>
      </c>
      <c r="M442" s="15">
        <v>101492</v>
      </c>
      <c r="N442" s="13">
        <v>40</v>
      </c>
    </row>
    <row r="443" ht="15.75" spans="1:14">
      <c r="A443" s="12" t="s">
        <v>4217</v>
      </c>
      <c r="B443" s="12" t="s">
        <v>391</v>
      </c>
      <c r="C443" s="15">
        <v>13312</v>
      </c>
      <c r="D443" s="13">
        <v>50</v>
      </c>
      <c r="F443" s="12" t="s">
        <v>4218</v>
      </c>
      <c r="G443" s="12" t="s">
        <v>392</v>
      </c>
      <c r="H443" s="15">
        <v>86200</v>
      </c>
      <c r="I443" s="13">
        <v>50</v>
      </c>
      <c r="K443" s="12" t="s">
        <v>4219</v>
      </c>
      <c r="L443" s="12" t="s">
        <v>391</v>
      </c>
      <c r="M443" s="15">
        <v>241296</v>
      </c>
      <c r="N443" s="13">
        <v>40</v>
      </c>
    </row>
    <row r="444" ht="15.75" spans="1:14">
      <c r="A444" s="12" t="s">
        <v>4220</v>
      </c>
      <c r="B444" s="12" t="s">
        <v>391</v>
      </c>
      <c r="C444" s="15">
        <v>13570</v>
      </c>
      <c r="D444" s="13">
        <v>50</v>
      </c>
      <c r="F444" s="12" t="s">
        <v>4221</v>
      </c>
      <c r="G444" s="12" t="s">
        <v>392</v>
      </c>
      <c r="H444" s="15">
        <v>64000</v>
      </c>
      <c r="I444" s="13">
        <v>50</v>
      </c>
      <c r="K444" s="12" t="s">
        <v>4222</v>
      </c>
      <c r="L444" s="12" t="s">
        <v>391</v>
      </c>
      <c r="M444" s="15">
        <v>130414</v>
      </c>
      <c r="N444" s="13">
        <v>40</v>
      </c>
    </row>
    <row r="445" ht="15.75" spans="1:14">
      <c r="A445" s="12" t="s">
        <v>4223</v>
      </c>
      <c r="B445" s="12" t="s">
        <v>391</v>
      </c>
      <c r="C445" s="15">
        <v>11127</v>
      </c>
      <c r="D445" s="13">
        <v>50</v>
      </c>
      <c r="F445" s="12" t="s">
        <v>4224</v>
      </c>
      <c r="G445" s="12" t="s">
        <v>391</v>
      </c>
      <c r="H445" s="15">
        <v>12229</v>
      </c>
      <c r="I445" s="13">
        <v>50</v>
      </c>
      <c r="K445" s="12" t="s">
        <v>4225</v>
      </c>
      <c r="L445" s="12" t="s">
        <v>391</v>
      </c>
      <c r="M445" s="15">
        <v>1377379</v>
      </c>
      <c r="N445" s="13">
        <v>39</v>
      </c>
    </row>
    <row r="446" ht="15.75" spans="1:14">
      <c r="A446" s="12" t="s">
        <v>4226</v>
      </c>
      <c r="B446" s="12" t="s">
        <v>391</v>
      </c>
      <c r="C446" s="15">
        <v>13009</v>
      </c>
      <c r="D446" s="13">
        <v>50</v>
      </c>
      <c r="F446" s="12" t="s">
        <v>4227</v>
      </c>
      <c r="G446" s="12" t="s">
        <v>392</v>
      </c>
      <c r="H446" s="15">
        <v>12200</v>
      </c>
      <c r="I446" s="13">
        <v>50</v>
      </c>
      <c r="K446" s="12" t="s">
        <v>4228</v>
      </c>
      <c r="L446" s="12" t="s">
        <v>391</v>
      </c>
      <c r="M446" s="15">
        <v>119537</v>
      </c>
      <c r="N446" s="13">
        <v>39</v>
      </c>
    </row>
    <row r="447" ht="15.75" spans="1:14">
      <c r="A447" s="12" t="s">
        <v>4229</v>
      </c>
      <c r="B447" s="12" t="s">
        <v>391</v>
      </c>
      <c r="C447" s="15">
        <v>19985</v>
      </c>
      <c r="D447" s="13">
        <v>50</v>
      </c>
      <c r="F447" s="12" t="s">
        <v>4230</v>
      </c>
      <c r="G447" s="12" t="s">
        <v>392</v>
      </c>
      <c r="H447" s="15">
        <v>16600</v>
      </c>
      <c r="I447" s="13">
        <v>50</v>
      </c>
      <c r="K447" s="12" t="s">
        <v>3204</v>
      </c>
      <c r="L447" s="12" t="s">
        <v>391</v>
      </c>
      <c r="M447" s="15">
        <v>165218</v>
      </c>
      <c r="N447" s="13">
        <v>39</v>
      </c>
    </row>
    <row r="448" ht="15.75" spans="1:14">
      <c r="A448" s="12" t="s">
        <v>4231</v>
      </c>
      <c r="B448" s="12" t="s">
        <v>391</v>
      </c>
      <c r="C448" s="15">
        <v>16282</v>
      </c>
      <c r="D448" s="13">
        <v>50</v>
      </c>
      <c r="F448" s="12" t="s">
        <v>3730</v>
      </c>
      <c r="G448" s="12" t="s">
        <v>391</v>
      </c>
      <c r="H448" s="15">
        <v>12164</v>
      </c>
      <c r="I448" s="13">
        <v>50</v>
      </c>
      <c r="K448" s="12" t="s">
        <v>4232</v>
      </c>
      <c r="L448" s="12" t="s">
        <v>391</v>
      </c>
      <c r="M448" s="15">
        <v>146243</v>
      </c>
      <c r="N448" s="13">
        <v>39</v>
      </c>
    </row>
    <row r="449" ht="15.75" spans="1:14">
      <c r="A449" s="12" t="s">
        <v>4233</v>
      </c>
      <c r="B449" s="12" t="s">
        <v>391</v>
      </c>
      <c r="C449" s="15">
        <v>13954</v>
      </c>
      <c r="D449" s="13">
        <v>50</v>
      </c>
      <c r="F449" s="12" t="s">
        <v>4234</v>
      </c>
      <c r="G449" s="12" t="s">
        <v>392</v>
      </c>
      <c r="H449" s="15">
        <v>301000</v>
      </c>
      <c r="I449" s="13">
        <v>50</v>
      </c>
      <c r="K449" s="12" t="s">
        <v>4235</v>
      </c>
      <c r="L449" s="12" t="s">
        <v>391</v>
      </c>
      <c r="M449" s="15">
        <v>1879833</v>
      </c>
      <c r="N449" s="13">
        <v>39</v>
      </c>
    </row>
    <row r="450" ht="15.75" spans="1:14">
      <c r="A450" s="12" t="s">
        <v>4236</v>
      </c>
      <c r="B450" s="12" t="s">
        <v>391</v>
      </c>
      <c r="C450" s="15">
        <v>29172</v>
      </c>
      <c r="D450" s="13">
        <v>50</v>
      </c>
      <c r="F450" s="12" t="s">
        <v>4237</v>
      </c>
      <c r="G450" s="12" t="s">
        <v>392</v>
      </c>
      <c r="H450" s="15">
        <v>25100</v>
      </c>
      <c r="I450" s="13">
        <v>50</v>
      </c>
      <c r="K450" s="12" t="s">
        <v>4238</v>
      </c>
      <c r="L450" s="12" t="s">
        <v>391</v>
      </c>
      <c r="M450" s="15">
        <v>100159</v>
      </c>
      <c r="N450" s="13">
        <v>39</v>
      </c>
    </row>
    <row r="451" ht="15.75" spans="1:14">
      <c r="A451" s="12" t="s">
        <v>4239</v>
      </c>
      <c r="B451" s="12" t="s">
        <v>391</v>
      </c>
      <c r="C451" s="15">
        <v>10188</v>
      </c>
      <c r="D451" s="13">
        <v>50</v>
      </c>
      <c r="F451" s="12" t="s">
        <v>4240</v>
      </c>
      <c r="G451" s="12" t="s">
        <v>391</v>
      </c>
      <c r="H451" s="15">
        <v>16704</v>
      </c>
      <c r="I451" s="13">
        <v>50</v>
      </c>
      <c r="K451" s="12" t="s">
        <v>4241</v>
      </c>
      <c r="L451" s="12" t="s">
        <v>391</v>
      </c>
      <c r="M451" s="15">
        <v>678397</v>
      </c>
      <c r="N451" s="13">
        <v>39</v>
      </c>
    </row>
    <row r="452" ht="15.75" spans="1:14">
      <c r="A452" s="12" t="s">
        <v>4242</v>
      </c>
      <c r="B452" s="12" t="s">
        <v>391</v>
      </c>
      <c r="C452" s="15">
        <v>29130</v>
      </c>
      <c r="D452" s="13">
        <v>50</v>
      </c>
      <c r="F452" s="12" t="s">
        <v>4243</v>
      </c>
      <c r="G452" s="12" t="s">
        <v>392</v>
      </c>
      <c r="H452" s="15">
        <v>15900</v>
      </c>
      <c r="I452" s="13">
        <v>50</v>
      </c>
      <c r="K452" s="12" t="s">
        <v>4244</v>
      </c>
      <c r="L452" s="12" t="s">
        <v>391</v>
      </c>
      <c r="M452" s="15">
        <v>112095</v>
      </c>
      <c r="N452" s="13">
        <v>39</v>
      </c>
    </row>
    <row r="453" ht="15.75" spans="1:14">
      <c r="A453" s="12" t="s">
        <v>4245</v>
      </c>
      <c r="B453" s="12" t="s">
        <v>391</v>
      </c>
      <c r="C453" s="15">
        <v>15990</v>
      </c>
      <c r="D453" s="13">
        <v>50</v>
      </c>
      <c r="F453" s="12" t="s">
        <v>4246</v>
      </c>
      <c r="G453" s="12" t="s">
        <v>392</v>
      </c>
      <c r="H453" s="15">
        <v>43200</v>
      </c>
      <c r="I453" s="13">
        <v>50</v>
      </c>
      <c r="K453" s="12" t="s">
        <v>3912</v>
      </c>
      <c r="L453" s="12" t="s">
        <v>391</v>
      </c>
      <c r="M453" s="15">
        <v>116585</v>
      </c>
      <c r="N453" s="13">
        <v>39</v>
      </c>
    </row>
    <row r="454" ht="15.75" spans="1:14">
      <c r="A454" s="12" t="s">
        <v>4247</v>
      </c>
      <c r="B454" s="12" t="s">
        <v>391</v>
      </c>
      <c r="C454" s="15">
        <v>12094</v>
      </c>
      <c r="D454" s="13">
        <v>50</v>
      </c>
      <c r="F454" s="12" t="s">
        <v>4248</v>
      </c>
      <c r="G454" s="12" t="s">
        <v>392</v>
      </c>
      <c r="H454" s="15">
        <v>43400</v>
      </c>
      <c r="I454" s="13">
        <v>50</v>
      </c>
      <c r="K454" s="12" t="s">
        <v>4249</v>
      </c>
      <c r="L454" s="12" t="s">
        <v>391</v>
      </c>
      <c r="M454" s="15">
        <v>976998</v>
      </c>
      <c r="N454" s="13">
        <v>39</v>
      </c>
    </row>
    <row r="455" ht="15.75" spans="1:14">
      <c r="A455" s="12" t="s">
        <v>4250</v>
      </c>
      <c r="B455" s="12" t="s">
        <v>391</v>
      </c>
      <c r="C455" s="15">
        <v>10553</v>
      </c>
      <c r="D455" s="13">
        <v>50</v>
      </c>
      <c r="F455" s="12" t="s">
        <v>4251</v>
      </c>
      <c r="G455" s="12" t="s">
        <v>392</v>
      </c>
      <c r="H455" s="15">
        <v>22500</v>
      </c>
      <c r="I455" s="13">
        <v>50</v>
      </c>
      <c r="K455" s="12" t="s">
        <v>4252</v>
      </c>
      <c r="L455" s="12" t="s">
        <v>391</v>
      </c>
      <c r="M455" s="15">
        <v>683308</v>
      </c>
      <c r="N455" s="13">
        <v>39</v>
      </c>
    </row>
    <row r="456" ht="15.75" spans="1:14">
      <c r="A456" s="12" t="s">
        <v>4253</v>
      </c>
      <c r="B456" s="12" t="s">
        <v>391</v>
      </c>
      <c r="C456" s="15">
        <v>10028</v>
      </c>
      <c r="D456" s="13">
        <v>50</v>
      </c>
      <c r="F456" s="12" t="s">
        <v>4254</v>
      </c>
      <c r="G456" s="12" t="s">
        <v>392</v>
      </c>
      <c r="H456" s="15">
        <v>110000</v>
      </c>
      <c r="I456" s="13">
        <v>50</v>
      </c>
      <c r="K456" s="12" t="s">
        <v>4255</v>
      </c>
      <c r="L456" s="12" t="s">
        <v>391</v>
      </c>
      <c r="M456" s="15">
        <v>927378</v>
      </c>
      <c r="N456" s="13">
        <v>39</v>
      </c>
    </row>
    <row r="457" ht="15.75" spans="1:14">
      <c r="A457" s="12" t="s">
        <v>4256</v>
      </c>
      <c r="B457" s="12" t="s">
        <v>391</v>
      </c>
      <c r="C457" s="15">
        <v>26003</v>
      </c>
      <c r="D457" s="13">
        <v>50</v>
      </c>
      <c r="F457" s="12" t="s">
        <v>4257</v>
      </c>
      <c r="G457" s="12" t="s">
        <v>391</v>
      </c>
      <c r="H457" s="15">
        <v>17107</v>
      </c>
      <c r="I457" s="13">
        <v>50</v>
      </c>
      <c r="K457" s="12" t="s">
        <v>4258</v>
      </c>
      <c r="L457" s="12" t="s">
        <v>391</v>
      </c>
      <c r="M457" s="15">
        <v>134879</v>
      </c>
      <c r="N457" s="13">
        <v>39</v>
      </c>
    </row>
    <row r="458" ht="15.75" spans="1:14">
      <c r="A458" s="12" t="s">
        <v>4259</v>
      </c>
      <c r="B458" s="12" t="s">
        <v>391</v>
      </c>
      <c r="C458" s="15">
        <v>14273</v>
      </c>
      <c r="D458" s="13">
        <v>50</v>
      </c>
      <c r="F458" s="12" t="s">
        <v>4260</v>
      </c>
      <c r="G458" s="12" t="s">
        <v>391</v>
      </c>
      <c r="H458" s="15">
        <v>11944</v>
      </c>
      <c r="I458" s="13">
        <v>50</v>
      </c>
      <c r="K458" s="12" t="s">
        <v>4261</v>
      </c>
      <c r="L458" s="12" t="s">
        <v>391</v>
      </c>
      <c r="M458" s="15">
        <v>567527</v>
      </c>
      <c r="N458" s="13">
        <v>39</v>
      </c>
    </row>
    <row r="459" ht="15.75" spans="1:14">
      <c r="A459" s="12" t="s">
        <v>4262</v>
      </c>
      <c r="B459" s="12" t="s">
        <v>391</v>
      </c>
      <c r="C459" s="15">
        <v>23698</v>
      </c>
      <c r="D459" s="13">
        <v>50</v>
      </c>
      <c r="F459" s="12" t="s">
        <v>4263</v>
      </c>
      <c r="G459" s="12" t="s">
        <v>392</v>
      </c>
      <c r="H459" s="15">
        <v>572800</v>
      </c>
      <c r="I459" s="13">
        <v>50</v>
      </c>
      <c r="K459" s="12" t="s">
        <v>4264</v>
      </c>
      <c r="L459" s="12" t="s">
        <v>391</v>
      </c>
      <c r="M459" s="15">
        <v>1878057</v>
      </c>
      <c r="N459" s="13">
        <v>39</v>
      </c>
    </row>
    <row r="460" ht="15.75" spans="1:14">
      <c r="A460" s="12" t="s">
        <v>4265</v>
      </c>
      <c r="B460" s="12" t="s">
        <v>391</v>
      </c>
      <c r="C460" s="15">
        <v>113354</v>
      </c>
      <c r="D460" s="13">
        <v>50</v>
      </c>
      <c r="F460" s="12" t="s">
        <v>4266</v>
      </c>
      <c r="G460" s="12" t="s">
        <v>392</v>
      </c>
      <c r="H460" s="15">
        <v>746000</v>
      </c>
      <c r="I460" s="13">
        <v>50</v>
      </c>
      <c r="K460" s="12" t="s">
        <v>4267</v>
      </c>
      <c r="L460" s="12" t="s">
        <v>391</v>
      </c>
      <c r="M460" s="15">
        <v>327524</v>
      </c>
      <c r="N460" s="13">
        <v>39</v>
      </c>
    </row>
    <row r="461" ht="15.75" spans="1:14">
      <c r="A461" s="12" t="s">
        <v>4268</v>
      </c>
      <c r="B461" s="12" t="s">
        <v>391</v>
      </c>
      <c r="C461" s="15">
        <v>34208</v>
      </c>
      <c r="D461" s="13">
        <v>50</v>
      </c>
      <c r="F461" s="12" t="s">
        <v>4269</v>
      </c>
      <c r="G461" s="12" t="s">
        <v>392</v>
      </c>
      <c r="H461" s="15">
        <v>28100</v>
      </c>
      <c r="I461" s="13">
        <v>50</v>
      </c>
      <c r="K461" s="12" t="s">
        <v>4270</v>
      </c>
      <c r="L461" s="12" t="s">
        <v>391</v>
      </c>
      <c r="M461" s="15">
        <v>178279</v>
      </c>
      <c r="N461" s="13">
        <v>39</v>
      </c>
    </row>
    <row r="462" ht="15.75" spans="1:14">
      <c r="A462" s="12" t="s">
        <v>4271</v>
      </c>
      <c r="B462" s="12" t="s">
        <v>391</v>
      </c>
      <c r="C462" s="15">
        <v>15395</v>
      </c>
      <c r="D462" s="13">
        <v>50</v>
      </c>
      <c r="F462" s="12" t="s">
        <v>4272</v>
      </c>
      <c r="G462" s="12" t="s">
        <v>391</v>
      </c>
      <c r="H462" s="15">
        <v>27755</v>
      </c>
      <c r="I462" s="13">
        <v>50</v>
      </c>
      <c r="K462" s="12" t="s">
        <v>4273</v>
      </c>
      <c r="L462" s="12" t="s">
        <v>391</v>
      </c>
      <c r="M462" s="15">
        <v>286029</v>
      </c>
      <c r="N462" s="13">
        <v>39</v>
      </c>
    </row>
    <row r="463" ht="15.75" spans="1:14">
      <c r="A463" s="12" t="s">
        <v>4274</v>
      </c>
      <c r="B463" s="12" t="s">
        <v>391</v>
      </c>
      <c r="C463" s="15">
        <v>21037</v>
      </c>
      <c r="D463" s="13">
        <v>50</v>
      </c>
      <c r="F463" s="12" t="s">
        <v>4275</v>
      </c>
      <c r="G463" s="12" t="s">
        <v>391</v>
      </c>
      <c r="H463" s="15">
        <v>14185</v>
      </c>
      <c r="I463" s="13">
        <v>50</v>
      </c>
      <c r="K463" s="12" t="s">
        <v>4276</v>
      </c>
      <c r="L463" s="12" t="s">
        <v>391</v>
      </c>
      <c r="M463" s="15">
        <v>106287</v>
      </c>
      <c r="N463" s="13">
        <v>39</v>
      </c>
    </row>
    <row r="464" ht="15.75" spans="1:14">
      <c r="A464" s="12" t="s">
        <v>4277</v>
      </c>
      <c r="B464" s="12" t="s">
        <v>391</v>
      </c>
      <c r="C464" s="15">
        <v>14584</v>
      </c>
      <c r="D464" s="13">
        <v>50</v>
      </c>
      <c r="F464" s="12" t="s">
        <v>4278</v>
      </c>
      <c r="G464" s="12" t="s">
        <v>391</v>
      </c>
      <c r="H464" s="15">
        <v>24133</v>
      </c>
      <c r="I464" s="13">
        <v>50</v>
      </c>
      <c r="K464" s="12" t="s">
        <v>4279</v>
      </c>
      <c r="L464" s="12" t="s">
        <v>391</v>
      </c>
      <c r="M464" s="15">
        <v>271497</v>
      </c>
      <c r="N464" s="13">
        <v>39</v>
      </c>
    </row>
    <row r="465" ht="15.75" spans="1:14">
      <c r="A465" s="12" t="s">
        <v>4280</v>
      </c>
      <c r="B465" s="12" t="s">
        <v>391</v>
      </c>
      <c r="C465" s="15">
        <v>16757</v>
      </c>
      <c r="D465" s="13">
        <v>50</v>
      </c>
      <c r="F465" s="12" t="s">
        <v>4281</v>
      </c>
      <c r="G465" s="12" t="s">
        <v>392</v>
      </c>
      <c r="H465" s="15">
        <v>17800</v>
      </c>
      <c r="I465" s="13">
        <v>50</v>
      </c>
      <c r="K465" s="12" t="s">
        <v>4282</v>
      </c>
      <c r="L465" s="12" t="s">
        <v>391</v>
      </c>
      <c r="M465" s="15">
        <v>1776337</v>
      </c>
      <c r="N465" s="13">
        <v>39</v>
      </c>
    </row>
    <row r="466" ht="15.75" spans="1:14">
      <c r="A466" s="12" t="s">
        <v>4283</v>
      </c>
      <c r="B466" s="12" t="s">
        <v>391</v>
      </c>
      <c r="C466" s="15">
        <v>15992</v>
      </c>
      <c r="D466" s="13">
        <v>50</v>
      </c>
      <c r="F466" s="12" t="s">
        <v>4284</v>
      </c>
      <c r="G466" s="12" t="s">
        <v>392</v>
      </c>
      <c r="H466" s="15">
        <v>19800</v>
      </c>
      <c r="I466" s="13">
        <v>50</v>
      </c>
      <c r="K466" s="12" t="s">
        <v>4285</v>
      </c>
      <c r="L466" s="12" t="s">
        <v>392</v>
      </c>
      <c r="M466" s="15">
        <v>257000</v>
      </c>
      <c r="N466" s="13">
        <v>38</v>
      </c>
    </row>
    <row r="467" ht="15.75" spans="1:14">
      <c r="A467" s="12" t="s">
        <v>4286</v>
      </c>
      <c r="B467" s="12" t="s">
        <v>391</v>
      </c>
      <c r="C467" s="15">
        <v>11269</v>
      </c>
      <c r="D467" s="13">
        <v>50</v>
      </c>
      <c r="F467" s="12" t="s">
        <v>4287</v>
      </c>
      <c r="G467" s="12" t="s">
        <v>391</v>
      </c>
      <c r="H467" s="15">
        <v>16650</v>
      </c>
      <c r="I467" s="13">
        <v>50</v>
      </c>
      <c r="K467" s="12" t="s">
        <v>4288</v>
      </c>
      <c r="L467" s="12" t="s">
        <v>391</v>
      </c>
      <c r="M467" s="15">
        <v>221080</v>
      </c>
      <c r="N467" s="13">
        <v>38</v>
      </c>
    </row>
    <row r="468" ht="15.75" spans="1:14">
      <c r="A468" s="12" t="s">
        <v>4289</v>
      </c>
      <c r="B468" s="12" t="s">
        <v>391</v>
      </c>
      <c r="C468" s="15">
        <v>30554</v>
      </c>
      <c r="D468" s="13">
        <v>50</v>
      </c>
      <c r="F468" s="12" t="s">
        <v>4290</v>
      </c>
      <c r="G468" s="12" t="s">
        <v>392</v>
      </c>
      <c r="H468" s="15">
        <v>93500</v>
      </c>
      <c r="I468" s="13">
        <v>50</v>
      </c>
      <c r="K468" s="12" t="s">
        <v>4291</v>
      </c>
      <c r="L468" s="12" t="s">
        <v>391</v>
      </c>
      <c r="M468" s="15">
        <v>341411</v>
      </c>
      <c r="N468" s="13">
        <v>38</v>
      </c>
    </row>
    <row r="469" ht="15.75" spans="1:14">
      <c r="A469" s="12" t="s">
        <v>4292</v>
      </c>
      <c r="B469" s="12" t="s">
        <v>391</v>
      </c>
      <c r="C469" s="15">
        <v>31795</v>
      </c>
      <c r="D469" s="13">
        <v>50</v>
      </c>
      <c r="F469" s="12" t="s">
        <v>3732</v>
      </c>
      <c r="G469" s="12" t="s">
        <v>391</v>
      </c>
      <c r="H469" s="15">
        <v>16344</v>
      </c>
      <c r="I469" s="13">
        <v>50</v>
      </c>
      <c r="K469" s="12" t="s">
        <v>4293</v>
      </c>
      <c r="L469" s="12" t="s">
        <v>392</v>
      </c>
      <c r="M469" s="15">
        <v>316100</v>
      </c>
      <c r="N469" s="13">
        <v>38</v>
      </c>
    </row>
    <row r="470" ht="15.75" spans="1:14">
      <c r="A470" s="12" t="s">
        <v>4294</v>
      </c>
      <c r="B470" s="12" t="s">
        <v>391</v>
      </c>
      <c r="C470" s="15">
        <v>17690</v>
      </c>
      <c r="D470" s="13">
        <v>50</v>
      </c>
      <c r="F470" s="12" t="s">
        <v>4295</v>
      </c>
      <c r="G470" s="12" t="s">
        <v>391</v>
      </c>
      <c r="H470" s="15">
        <v>12608</v>
      </c>
      <c r="I470" s="13">
        <v>50</v>
      </c>
      <c r="K470" s="12" t="s">
        <v>3668</v>
      </c>
      <c r="L470" s="12" t="s">
        <v>391</v>
      </c>
      <c r="M470" s="15">
        <v>151397</v>
      </c>
      <c r="N470" s="13">
        <v>38</v>
      </c>
    </row>
    <row r="471" ht="15.75" spans="1:14">
      <c r="A471" s="12" t="s">
        <v>4296</v>
      </c>
      <c r="B471" s="12" t="s">
        <v>391</v>
      </c>
      <c r="C471" s="15">
        <v>29871</v>
      </c>
      <c r="D471" s="13">
        <v>50</v>
      </c>
      <c r="F471" s="12" t="s">
        <v>4297</v>
      </c>
      <c r="G471" s="12" t="s">
        <v>391</v>
      </c>
      <c r="H471" s="15">
        <v>11077</v>
      </c>
      <c r="I471" s="13">
        <v>50</v>
      </c>
      <c r="K471" s="12" t="s">
        <v>4298</v>
      </c>
      <c r="L471" s="12" t="s">
        <v>391</v>
      </c>
      <c r="M471" s="15">
        <v>239826</v>
      </c>
      <c r="N471" s="13">
        <v>38</v>
      </c>
    </row>
    <row r="472" ht="15.75" spans="1:14">
      <c r="A472" s="12" t="s">
        <v>4299</v>
      </c>
      <c r="B472" s="12" t="s">
        <v>391</v>
      </c>
      <c r="C472" s="15">
        <v>20058</v>
      </c>
      <c r="D472" s="13">
        <v>50</v>
      </c>
      <c r="F472" s="12" t="s">
        <v>4300</v>
      </c>
      <c r="G472" s="12" t="s">
        <v>392</v>
      </c>
      <c r="H472" s="15">
        <v>439600</v>
      </c>
      <c r="I472" s="13">
        <v>50</v>
      </c>
      <c r="K472" s="12" t="s">
        <v>4301</v>
      </c>
      <c r="L472" s="12" t="s">
        <v>391</v>
      </c>
      <c r="M472" s="15">
        <v>106722</v>
      </c>
      <c r="N472" s="13">
        <v>38</v>
      </c>
    </row>
    <row r="473" ht="15.75" spans="1:14">
      <c r="A473" s="12" t="s">
        <v>4302</v>
      </c>
      <c r="B473" s="12" t="s">
        <v>391</v>
      </c>
      <c r="C473" s="15">
        <v>10120</v>
      </c>
      <c r="D473" s="13">
        <v>50</v>
      </c>
      <c r="F473" s="12" t="s">
        <v>4303</v>
      </c>
      <c r="G473" s="12" t="s">
        <v>392</v>
      </c>
      <c r="H473" s="15">
        <v>1100000</v>
      </c>
      <c r="I473" s="13">
        <v>50</v>
      </c>
      <c r="K473" s="12" t="s">
        <v>4304</v>
      </c>
      <c r="L473" s="12" t="s">
        <v>392</v>
      </c>
      <c r="M473" s="15">
        <v>876600</v>
      </c>
      <c r="N473" s="13">
        <v>38</v>
      </c>
    </row>
    <row r="474" ht="15.75" spans="1:14">
      <c r="A474" s="12" t="s">
        <v>4305</v>
      </c>
      <c r="B474" s="12" t="s">
        <v>391</v>
      </c>
      <c r="C474" s="15">
        <v>22235</v>
      </c>
      <c r="D474" s="13">
        <v>50</v>
      </c>
      <c r="F474" s="12" t="s">
        <v>3734</v>
      </c>
      <c r="G474" s="12" t="s">
        <v>391</v>
      </c>
      <c r="H474" s="15">
        <v>28715</v>
      </c>
      <c r="I474" s="13">
        <v>50</v>
      </c>
      <c r="K474" s="12" t="s">
        <v>4306</v>
      </c>
      <c r="L474" s="12" t="s">
        <v>392</v>
      </c>
      <c r="M474" s="15">
        <v>199200</v>
      </c>
      <c r="N474" s="13">
        <v>38</v>
      </c>
    </row>
    <row r="475" ht="15.75" spans="1:14">
      <c r="A475" s="12" t="s">
        <v>4307</v>
      </c>
      <c r="B475" s="12" t="s">
        <v>391</v>
      </c>
      <c r="C475" s="15">
        <v>30363</v>
      </c>
      <c r="D475" s="13">
        <v>50</v>
      </c>
      <c r="F475" s="12" t="s">
        <v>4308</v>
      </c>
      <c r="G475" s="12" t="s">
        <v>391</v>
      </c>
      <c r="H475" s="15">
        <v>20084</v>
      </c>
      <c r="I475" s="13">
        <v>50</v>
      </c>
      <c r="K475" s="12" t="s">
        <v>4309</v>
      </c>
      <c r="L475" s="12" t="s">
        <v>391</v>
      </c>
      <c r="M475" s="15">
        <v>312384</v>
      </c>
      <c r="N475" s="13">
        <v>38</v>
      </c>
    </row>
    <row r="476" ht="15.75" spans="1:14">
      <c r="A476" s="12" t="s">
        <v>4310</v>
      </c>
      <c r="B476" s="12" t="s">
        <v>391</v>
      </c>
      <c r="C476" s="15">
        <v>31259</v>
      </c>
      <c r="D476" s="13">
        <v>50</v>
      </c>
      <c r="F476" s="12" t="s">
        <v>4311</v>
      </c>
      <c r="G476" s="12" t="s">
        <v>392</v>
      </c>
      <c r="H476" s="15">
        <v>550900</v>
      </c>
      <c r="I476" s="13">
        <v>50</v>
      </c>
      <c r="K476" s="12" t="s">
        <v>4312</v>
      </c>
      <c r="L476" s="12" t="s">
        <v>391</v>
      </c>
      <c r="M476" s="15">
        <v>106920</v>
      </c>
      <c r="N476" s="13">
        <v>38</v>
      </c>
    </row>
    <row r="477" ht="15.75" spans="1:14">
      <c r="A477" s="12" t="s">
        <v>4313</v>
      </c>
      <c r="B477" s="12" t="s">
        <v>391</v>
      </c>
      <c r="C477" s="15">
        <v>34700</v>
      </c>
      <c r="D477" s="13">
        <v>50</v>
      </c>
      <c r="F477" s="12" t="s">
        <v>3736</v>
      </c>
      <c r="G477" s="12" t="s">
        <v>391</v>
      </c>
      <c r="H477" s="15">
        <v>19928</v>
      </c>
      <c r="I477" s="13">
        <v>50</v>
      </c>
      <c r="K477" s="12" t="s">
        <v>4314</v>
      </c>
      <c r="L477" s="12" t="s">
        <v>391</v>
      </c>
      <c r="M477" s="15">
        <v>276007</v>
      </c>
      <c r="N477" s="13">
        <v>38</v>
      </c>
    </row>
    <row r="478" ht="15.75" spans="1:14">
      <c r="A478" s="12" t="s">
        <v>4315</v>
      </c>
      <c r="B478" s="12" t="s">
        <v>391</v>
      </c>
      <c r="C478" s="15">
        <v>10991</v>
      </c>
      <c r="D478" s="13">
        <v>50</v>
      </c>
      <c r="F478" s="12" t="s">
        <v>4316</v>
      </c>
      <c r="G478" s="12" t="s">
        <v>392</v>
      </c>
      <c r="H478" s="15">
        <v>103100</v>
      </c>
      <c r="I478" s="13">
        <v>50</v>
      </c>
      <c r="K478" s="12" t="s">
        <v>4317</v>
      </c>
      <c r="L478" s="12" t="s">
        <v>392</v>
      </c>
      <c r="M478" s="15">
        <v>109300</v>
      </c>
      <c r="N478" s="13">
        <v>38</v>
      </c>
    </row>
    <row r="479" ht="15.75" spans="1:14">
      <c r="A479" s="12" t="s">
        <v>4318</v>
      </c>
      <c r="B479" s="12" t="s">
        <v>391</v>
      </c>
      <c r="C479" s="15">
        <v>16741</v>
      </c>
      <c r="D479" s="13">
        <v>50</v>
      </c>
      <c r="F479" s="12" t="s">
        <v>4319</v>
      </c>
      <c r="G479" s="12" t="s">
        <v>392</v>
      </c>
      <c r="H479" s="15">
        <v>28800</v>
      </c>
      <c r="I479" s="13">
        <v>50</v>
      </c>
      <c r="K479" s="12" t="s">
        <v>4320</v>
      </c>
      <c r="L479" s="12" t="s">
        <v>391</v>
      </c>
      <c r="M479" s="15">
        <v>208046</v>
      </c>
      <c r="N479" s="13">
        <v>38</v>
      </c>
    </row>
    <row r="480" ht="15.75" spans="1:14">
      <c r="A480" s="12" t="s">
        <v>4321</v>
      </c>
      <c r="B480" s="12" t="s">
        <v>391</v>
      </c>
      <c r="C480" s="15">
        <v>10996</v>
      </c>
      <c r="D480" s="13">
        <v>50</v>
      </c>
      <c r="F480" s="12" t="s">
        <v>3739</v>
      </c>
      <c r="G480" s="12" t="s">
        <v>391</v>
      </c>
      <c r="H480" s="15">
        <v>13388</v>
      </c>
      <c r="I480" s="13">
        <v>50</v>
      </c>
      <c r="K480" s="12" t="s">
        <v>4322</v>
      </c>
      <c r="L480" s="12" t="s">
        <v>391</v>
      </c>
      <c r="M480" s="15">
        <v>225500</v>
      </c>
      <c r="N480" s="13">
        <v>38</v>
      </c>
    </row>
    <row r="481" ht="15.75" spans="1:14">
      <c r="A481" s="12" t="s">
        <v>4323</v>
      </c>
      <c r="B481" s="12" t="s">
        <v>391</v>
      </c>
      <c r="C481" s="15">
        <v>11670</v>
      </c>
      <c r="D481" s="13">
        <v>50</v>
      </c>
      <c r="F481" s="12" t="s">
        <v>4324</v>
      </c>
      <c r="G481" s="12" t="s">
        <v>392</v>
      </c>
      <c r="H481" s="15">
        <v>15600</v>
      </c>
      <c r="I481" s="13">
        <v>50</v>
      </c>
      <c r="K481" s="12" t="s">
        <v>4325</v>
      </c>
      <c r="L481" s="12" t="s">
        <v>391</v>
      </c>
      <c r="M481" s="15">
        <v>211019</v>
      </c>
      <c r="N481" s="13">
        <v>38</v>
      </c>
    </row>
    <row r="482" ht="15.75" spans="1:14">
      <c r="A482" s="12" t="s">
        <v>4326</v>
      </c>
      <c r="B482" s="12" t="s">
        <v>391</v>
      </c>
      <c r="C482" s="15">
        <v>20681</v>
      </c>
      <c r="D482" s="13">
        <v>50</v>
      </c>
      <c r="F482" s="12" t="s">
        <v>4327</v>
      </c>
      <c r="G482" s="12" t="s">
        <v>392</v>
      </c>
      <c r="H482" s="15">
        <v>63400</v>
      </c>
      <c r="I482" s="13">
        <v>50</v>
      </c>
      <c r="K482" s="12" t="s">
        <v>4328</v>
      </c>
      <c r="L482" s="12" t="s">
        <v>391</v>
      </c>
      <c r="M482" s="15">
        <v>122155</v>
      </c>
      <c r="N482" s="13">
        <v>38</v>
      </c>
    </row>
    <row r="483" ht="15.75" spans="1:14">
      <c r="A483" s="12" t="s">
        <v>4329</v>
      </c>
      <c r="B483" s="12" t="s">
        <v>391</v>
      </c>
      <c r="C483" s="15">
        <v>11924</v>
      </c>
      <c r="D483" s="13">
        <v>50</v>
      </c>
      <c r="F483" s="12" t="s">
        <v>3741</v>
      </c>
      <c r="G483" s="12" t="s">
        <v>391</v>
      </c>
      <c r="H483" s="15">
        <v>24312</v>
      </c>
      <c r="I483" s="13">
        <v>50</v>
      </c>
      <c r="K483" s="12" t="s">
        <v>4330</v>
      </c>
      <c r="L483" s="12" t="s">
        <v>392</v>
      </c>
      <c r="M483" s="15">
        <v>176100</v>
      </c>
      <c r="N483" s="13">
        <v>38</v>
      </c>
    </row>
    <row r="484" ht="15.75" spans="1:14">
      <c r="A484" s="12" t="s">
        <v>4331</v>
      </c>
      <c r="B484" s="12" t="s">
        <v>391</v>
      </c>
      <c r="C484" s="15">
        <v>15911</v>
      </c>
      <c r="D484" s="13">
        <v>50</v>
      </c>
      <c r="F484" s="12" t="s">
        <v>4332</v>
      </c>
      <c r="G484" s="12" t="s">
        <v>392</v>
      </c>
      <c r="H484" s="15">
        <v>51700</v>
      </c>
      <c r="I484" s="13">
        <v>50</v>
      </c>
      <c r="K484" s="12" t="s">
        <v>4333</v>
      </c>
      <c r="L484" s="12" t="s">
        <v>392</v>
      </c>
      <c r="M484" s="15">
        <v>770000</v>
      </c>
      <c r="N484" s="13">
        <v>38</v>
      </c>
    </row>
    <row r="485" ht="15.75" spans="1:14">
      <c r="A485" s="12" t="s">
        <v>4334</v>
      </c>
      <c r="B485" s="12" t="s">
        <v>391</v>
      </c>
      <c r="C485" s="15">
        <v>30179</v>
      </c>
      <c r="D485" s="13">
        <v>50</v>
      </c>
      <c r="F485" s="12" t="s">
        <v>4335</v>
      </c>
      <c r="G485" s="12" t="s">
        <v>392</v>
      </c>
      <c r="H485" s="15">
        <v>93500</v>
      </c>
      <c r="I485" s="13">
        <v>50</v>
      </c>
      <c r="K485" s="12" t="s">
        <v>4336</v>
      </c>
      <c r="L485" s="12" t="s">
        <v>391</v>
      </c>
      <c r="M485" s="15">
        <v>267982</v>
      </c>
      <c r="N485" s="13">
        <v>38</v>
      </c>
    </row>
    <row r="486" ht="15.75" spans="1:14">
      <c r="A486" s="12" t="s">
        <v>4337</v>
      </c>
      <c r="B486" s="12" t="s">
        <v>391</v>
      </c>
      <c r="C486" s="15">
        <v>11441</v>
      </c>
      <c r="D486" s="13">
        <v>50</v>
      </c>
      <c r="F486" s="12" t="s">
        <v>4338</v>
      </c>
      <c r="G486" s="12" t="s">
        <v>392</v>
      </c>
      <c r="H486" s="15">
        <v>426900</v>
      </c>
      <c r="I486" s="13">
        <v>50</v>
      </c>
      <c r="K486" s="12" t="s">
        <v>4339</v>
      </c>
      <c r="L486" s="12" t="s">
        <v>391</v>
      </c>
      <c r="M486" s="15">
        <v>208540</v>
      </c>
      <c r="N486" s="13">
        <v>38</v>
      </c>
    </row>
    <row r="487" ht="15.75" spans="1:14">
      <c r="A487" s="12" t="s">
        <v>4340</v>
      </c>
      <c r="B487" s="12" t="s">
        <v>391</v>
      </c>
      <c r="C487" s="15">
        <v>13158</v>
      </c>
      <c r="D487" s="13">
        <v>50</v>
      </c>
      <c r="F487" s="12" t="s">
        <v>4341</v>
      </c>
      <c r="G487" s="12" t="s">
        <v>392</v>
      </c>
      <c r="H487" s="15">
        <v>96700</v>
      </c>
      <c r="I487" s="13">
        <v>50</v>
      </c>
      <c r="K487" s="12" t="s">
        <v>4342</v>
      </c>
      <c r="L487" s="12" t="s">
        <v>391</v>
      </c>
      <c r="M487" s="15">
        <v>104408</v>
      </c>
      <c r="N487" s="13">
        <v>38</v>
      </c>
    </row>
    <row r="488" ht="15.75" spans="1:14">
      <c r="A488" s="12" t="s">
        <v>4343</v>
      </c>
      <c r="B488" s="12" t="s">
        <v>391</v>
      </c>
      <c r="C488" s="15">
        <v>11782</v>
      </c>
      <c r="D488" s="13">
        <v>50</v>
      </c>
      <c r="F488" s="12" t="s">
        <v>4344</v>
      </c>
      <c r="G488" s="12" t="s">
        <v>392</v>
      </c>
      <c r="H488" s="15">
        <v>68100</v>
      </c>
      <c r="I488" s="13">
        <v>50</v>
      </c>
      <c r="K488" s="12" t="s">
        <v>4345</v>
      </c>
      <c r="L488" s="12" t="s">
        <v>392</v>
      </c>
      <c r="M488" s="15">
        <v>174200</v>
      </c>
      <c r="N488" s="13">
        <v>37</v>
      </c>
    </row>
    <row r="489" ht="15.75" spans="1:14">
      <c r="A489" s="12" t="s">
        <v>4346</v>
      </c>
      <c r="B489" s="12" t="s">
        <v>391</v>
      </c>
      <c r="C489" s="15">
        <v>10045</v>
      </c>
      <c r="D489" s="13">
        <v>50</v>
      </c>
      <c r="F489" s="12" t="s">
        <v>4347</v>
      </c>
      <c r="G489" s="12" t="s">
        <v>392</v>
      </c>
      <c r="H489" s="15">
        <v>995900</v>
      </c>
      <c r="I489" s="13">
        <v>50</v>
      </c>
      <c r="K489" s="12" t="s">
        <v>4348</v>
      </c>
      <c r="L489" s="12" t="s">
        <v>392</v>
      </c>
      <c r="M489" s="15">
        <v>985900</v>
      </c>
      <c r="N489" s="13">
        <v>37</v>
      </c>
    </row>
    <row r="490" ht="15.75" spans="1:14">
      <c r="A490" s="12" t="s">
        <v>4349</v>
      </c>
      <c r="B490" s="12" t="s">
        <v>391</v>
      </c>
      <c r="C490" s="15">
        <v>20560</v>
      </c>
      <c r="D490" s="13">
        <v>50</v>
      </c>
      <c r="F490" s="12" t="s">
        <v>3743</v>
      </c>
      <c r="G490" s="12" t="s">
        <v>391</v>
      </c>
      <c r="H490" s="15">
        <v>10339</v>
      </c>
      <c r="I490" s="13">
        <v>50</v>
      </c>
      <c r="K490" s="12" t="s">
        <v>4350</v>
      </c>
      <c r="L490" s="12" t="s">
        <v>391</v>
      </c>
      <c r="M490" s="15">
        <v>239094</v>
      </c>
      <c r="N490" s="13">
        <v>37</v>
      </c>
    </row>
    <row r="491" ht="15.75" spans="1:14">
      <c r="A491" s="12" t="s">
        <v>4351</v>
      </c>
      <c r="B491" s="12" t="s">
        <v>391</v>
      </c>
      <c r="C491" s="15">
        <v>12674</v>
      </c>
      <c r="D491" s="13">
        <v>50</v>
      </c>
      <c r="F491" s="12" t="s">
        <v>3744</v>
      </c>
      <c r="G491" s="12" t="s">
        <v>391</v>
      </c>
      <c r="H491" s="15">
        <v>15648</v>
      </c>
      <c r="I491" s="13">
        <v>50</v>
      </c>
      <c r="K491" s="12" t="s">
        <v>4352</v>
      </c>
      <c r="L491" s="12" t="s">
        <v>391</v>
      </c>
      <c r="M491" s="15">
        <v>106287</v>
      </c>
      <c r="N491" s="13">
        <v>37</v>
      </c>
    </row>
    <row r="492" ht="15.75" spans="1:14">
      <c r="A492" s="12" t="s">
        <v>4353</v>
      </c>
      <c r="B492" s="12" t="s">
        <v>391</v>
      </c>
      <c r="C492" s="15">
        <v>26259</v>
      </c>
      <c r="D492" s="13">
        <v>50</v>
      </c>
      <c r="F492" s="12" t="s">
        <v>4354</v>
      </c>
      <c r="G492" s="12" t="s">
        <v>392</v>
      </c>
      <c r="H492" s="15">
        <v>10200</v>
      </c>
      <c r="I492" s="13">
        <v>50</v>
      </c>
      <c r="K492" s="12" t="s">
        <v>4355</v>
      </c>
      <c r="L492" s="12" t="s">
        <v>391</v>
      </c>
      <c r="M492" s="15">
        <v>841376</v>
      </c>
      <c r="N492" s="13">
        <v>37</v>
      </c>
    </row>
    <row r="493" ht="15.75" spans="1:14">
      <c r="A493" s="12" t="s">
        <v>4356</v>
      </c>
      <c r="B493" s="12" t="s">
        <v>391</v>
      </c>
      <c r="C493" s="15">
        <v>17675</v>
      </c>
      <c r="D493" s="13">
        <v>50</v>
      </c>
      <c r="F493" s="12" t="s">
        <v>4357</v>
      </c>
      <c r="G493" s="12" t="s">
        <v>391</v>
      </c>
      <c r="H493" s="15">
        <v>11047</v>
      </c>
      <c r="I493" s="13">
        <v>50</v>
      </c>
      <c r="K493" s="12" t="s">
        <v>4358</v>
      </c>
      <c r="L493" s="12" t="s">
        <v>392</v>
      </c>
      <c r="M493" s="15">
        <v>632200</v>
      </c>
      <c r="N493" s="13">
        <v>37</v>
      </c>
    </row>
    <row r="494" ht="15.75" spans="1:14">
      <c r="A494" s="12" t="s">
        <v>4359</v>
      </c>
      <c r="B494" s="12" t="s">
        <v>391</v>
      </c>
      <c r="C494" s="15">
        <v>17500</v>
      </c>
      <c r="D494" s="13">
        <v>50</v>
      </c>
      <c r="F494" s="12" t="s">
        <v>4360</v>
      </c>
      <c r="G494" s="12" t="s">
        <v>392</v>
      </c>
      <c r="H494" s="15">
        <v>153000</v>
      </c>
      <c r="I494" s="13">
        <v>50</v>
      </c>
      <c r="K494" s="12" t="s">
        <v>2469</v>
      </c>
      <c r="L494" s="12" t="s">
        <v>391</v>
      </c>
      <c r="M494" s="15">
        <v>12292815</v>
      </c>
      <c r="N494" s="13">
        <v>37</v>
      </c>
    </row>
    <row r="495" ht="15.75" spans="1:14">
      <c r="A495" s="12" t="s">
        <v>4361</v>
      </c>
      <c r="B495" s="12" t="s">
        <v>391</v>
      </c>
      <c r="C495" s="15">
        <v>10735</v>
      </c>
      <c r="D495" s="13">
        <v>50</v>
      </c>
      <c r="F495" s="12" t="s">
        <v>4362</v>
      </c>
      <c r="G495" s="12" t="s">
        <v>392</v>
      </c>
      <c r="H495" s="15">
        <v>32800</v>
      </c>
      <c r="I495" s="13">
        <v>50</v>
      </c>
      <c r="K495" s="12" t="s">
        <v>4363</v>
      </c>
      <c r="L495" s="12" t="s">
        <v>391</v>
      </c>
      <c r="M495" s="15">
        <v>140211</v>
      </c>
      <c r="N495" s="13">
        <v>37</v>
      </c>
    </row>
    <row r="496" ht="15.75" spans="1:14">
      <c r="A496" s="12" t="s">
        <v>4364</v>
      </c>
      <c r="B496" s="12" t="s">
        <v>391</v>
      </c>
      <c r="C496" s="15">
        <v>15137</v>
      </c>
      <c r="D496" s="13">
        <v>50</v>
      </c>
      <c r="F496" s="12" t="s">
        <v>4365</v>
      </c>
      <c r="G496" s="12" t="s">
        <v>392</v>
      </c>
      <c r="H496" s="15">
        <v>181100</v>
      </c>
      <c r="I496" s="13">
        <v>50</v>
      </c>
      <c r="K496" s="12" t="s">
        <v>4366</v>
      </c>
      <c r="L496" s="12" t="s">
        <v>391</v>
      </c>
      <c r="M496" s="15">
        <v>3954716</v>
      </c>
      <c r="N496" s="13">
        <v>37</v>
      </c>
    </row>
    <row r="497" ht="15.75" spans="1:14">
      <c r="A497" s="12" t="s">
        <v>4367</v>
      </c>
      <c r="B497" s="12" t="s">
        <v>391</v>
      </c>
      <c r="C497" s="15">
        <v>11385</v>
      </c>
      <c r="D497" s="13">
        <v>50</v>
      </c>
      <c r="F497" s="12" t="s">
        <v>4368</v>
      </c>
      <c r="G497" s="12" t="s">
        <v>392</v>
      </c>
      <c r="H497" s="15">
        <v>89400</v>
      </c>
      <c r="I497" s="13">
        <v>50</v>
      </c>
      <c r="K497" s="12" t="s">
        <v>4369</v>
      </c>
      <c r="L497" s="12" t="s">
        <v>391</v>
      </c>
      <c r="M497" s="15">
        <v>544484</v>
      </c>
      <c r="N497" s="13">
        <v>37</v>
      </c>
    </row>
    <row r="498" ht="15.75" spans="1:14">
      <c r="A498" s="12" t="s">
        <v>4370</v>
      </c>
      <c r="B498" s="12" t="s">
        <v>391</v>
      </c>
      <c r="C498" s="15">
        <v>12174</v>
      </c>
      <c r="D498" s="13">
        <v>50</v>
      </c>
      <c r="F498" s="12" t="s">
        <v>4371</v>
      </c>
      <c r="G498" s="12" t="s">
        <v>392</v>
      </c>
      <c r="H498" s="15">
        <v>229000</v>
      </c>
      <c r="I498" s="13">
        <v>50</v>
      </c>
      <c r="K498" s="12" t="s">
        <v>3656</v>
      </c>
      <c r="L498" s="12" t="s">
        <v>391</v>
      </c>
      <c r="M498" s="15">
        <v>125925</v>
      </c>
      <c r="N498" s="13">
        <v>37</v>
      </c>
    </row>
    <row r="499" ht="15.75" spans="1:14">
      <c r="A499" s="12" t="s">
        <v>4372</v>
      </c>
      <c r="B499" s="12" t="s">
        <v>391</v>
      </c>
      <c r="C499" s="15">
        <v>14288</v>
      </c>
      <c r="D499" s="13">
        <v>50</v>
      </c>
      <c r="F499" s="12" t="s">
        <v>4373</v>
      </c>
      <c r="G499" s="12" t="s">
        <v>391</v>
      </c>
      <c r="H499" s="15">
        <v>19893</v>
      </c>
      <c r="I499" s="13">
        <v>50</v>
      </c>
      <c r="K499" s="12" t="s">
        <v>4374</v>
      </c>
      <c r="L499" s="12" t="s">
        <v>392</v>
      </c>
      <c r="M499" s="15">
        <v>167800</v>
      </c>
      <c r="N499" s="13">
        <v>37</v>
      </c>
    </row>
    <row r="500" ht="15.75" spans="1:14">
      <c r="A500" s="12" t="s">
        <v>4375</v>
      </c>
      <c r="B500" s="12" t="s">
        <v>391</v>
      </c>
      <c r="C500" s="15">
        <v>10977</v>
      </c>
      <c r="D500" s="13">
        <v>50</v>
      </c>
      <c r="F500" s="12" t="s">
        <v>4376</v>
      </c>
      <c r="G500" s="12" t="s">
        <v>391</v>
      </c>
      <c r="H500" s="15">
        <v>10115</v>
      </c>
      <c r="I500" s="13">
        <v>50</v>
      </c>
      <c r="K500" s="12" t="s">
        <v>4377</v>
      </c>
      <c r="L500" s="12" t="s">
        <v>391</v>
      </c>
      <c r="M500" s="15">
        <v>129309</v>
      </c>
      <c r="N500" s="13">
        <v>37</v>
      </c>
    </row>
    <row r="501" ht="15.75" spans="1:14">
      <c r="A501" s="12" t="s">
        <v>4378</v>
      </c>
      <c r="B501" s="12" t="s">
        <v>391</v>
      </c>
      <c r="C501" s="15">
        <v>25400</v>
      </c>
      <c r="D501" s="13">
        <v>50</v>
      </c>
      <c r="F501" s="12" t="s">
        <v>4379</v>
      </c>
      <c r="G501" s="12" t="s">
        <v>391</v>
      </c>
      <c r="H501" s="15">
        <v>18838</v>
      </c>
      <c r="I501" s="13">
        <v>50</v>
      </c>
      <c r="K501" s="12" t="s">
        <v>4380</v>
      </c>
      <c r="L501" s="12" t="s">
        <v>391</v>
      </c>
      <c r="M501" s="15">
        <v>146280</v>
      </c>
      <c r="N501" s="13">
        <v>37</v>
      </c>
    </row>
    <row r="502" ht="15.75" spans="1:14">
      <c r="A502" s="12" t="s">
        <v>4381</v>
      </c>
      <c r="B502" s="12" t="s">
        <v>391</v>
      </c>
      <c r="C502" s="15">
        <v>22126</v>
      </c>
      <c r="D502" s="13">
        <v>50</v>
      </c>
      <c r="F502" s="12" t="s">
        <v>4382</v>
      </c>
      <c r="G502" s="12" t="s">
        <v>392</v>
      </c>
      <c r="H502" s="15">
        <v>11100</v>
      </c>
      <c r="I502" s="13">
        <v>50</v>
      </c>
      <c r="K502" s="12" t="s">
        <v>4383</v>
      </c>
      <c r="L502" s="12" t="s">
        <v>391</v>
      </c>
      <c r="M502" s="15">
        <v>171905</v>
      </c>
      <c r="N502" s="13">
        <v>37</v>
      </c>
    </row>
    <row r="503" ht="15.75" spans="1:14">
      <c r="A503" s="12" t="s">
        <v>4384</v>
      </c>
      <c r="B503" s="12" t="s">
        <v>391</v>
      </c>
      <c r="C503" s="15">
        <v>22193</v>
      </c>
      <c r="D503" s="13">
        <v>50</v>
      </c>
      <c r="F503" s="12" t="s">
        <v>4385</v>
      </c>
      <c r="G503" s="12" t="s">
        <v>392</v>
      </c>
      <c r="H503" s="15">
        <v>56000</v>
      </c>
      <c r="I503" s="13">
        <v>50</v>
      </c>
      <c r="K503" s="12" t="s">
        <v>4386</v>
      </c>
      <c r="L503" s="12" t="s">
        <v>392</v>
      </c>
      <c r="M503" s="15">
        <v>256200</v>
      </c>
      <c r="N503" s="13">
        <v>37</v>
      </c>
    </row>
    <row r="504" ht="15.75" spans="1:14">
      <c r="A504" s="12" t="s">
        <v>3930</v>
      </c>
      <c r="B504" s="12" t="s">
        <v>391</v>
      </c>
      <c r="C504" s="15">
        <v>570281</v>
      </c>
      <c r="D504" s="13">
        <v>50</v>
      </c>
      <c r="F504" s="12" t="s">
        <v>3746</v>
      </c>
      <c r="G504" s="12" t="s">
        <v>391</v>
      </c>
      <c r="H504" s="15">
        <v>11277</v>
      </c>
      <c r="I504" s="13">
        <v>50</v>
      </c>
      <c r="K504" s="12" t="s">
        <v>4387</v>
      </c>
      <c r="L504" s="12" t="s">
        <v>391</v>
      </c>
      <c r="M504" s="15">
        <v>123546</v>
      </c>
      <c r="N504" s="13">
        <v>37</v>
      </c>
    </row>
    <row r="505" ht="15.75" spans="1:14">
      <c r="A505" s="12" t="s">
        <v>4388</v>
      </c>
      <c r="B505" s="12" t="s">
        <v>391</v>
      </c>
      <c r="C505" s="15">
        <v>11766</v>
      </c>
      <c r="D505" s="13">
        <v>50</v>
      </c>
      <c r="F505" s="12" t="s">
        <v>4389</v>
      </c>
      <c r="G505" s="12" t="s">
        <v>392</v>
      </c>
      <c r="H505" s="15">
        <v>161100</v>
      </c>
      <c r="I505" s="13">
        <v>50</v>
      </c>
      <c r="K505" s="12" t="s">
        <v>4390</v>
      </c>
      <c r="L505" s="12" t="s">
        <v>391</v>
      </c>
      <c r="M505" s="15">
        <v>103674</v>
      </c>
      <c r="N505" s="13">
        <v>37</v>
      </c>
    </row>
    <row r="506" ht="15.75" spans="1:14">
      <c r="A506" s="12" t="s">
        <v>4391</v>
      </c>
      <c r="B506" s="12" t="s">
        <v>391</v>
      </c>
      <c r="C506" s="15">
        <v>24442</v>
      </c>
      <c r="D506" s="13">
        <v>50</v>
      </c>
      <c r="F506" s="12" t="s">
        <v>4392</v>
      </c>
      <c r="G506" s="12" t="s">
        <v>392</v>
      </c>
      <c r="H506" s="15">
        <v>1245939</v>
      </c>
      <c r="I506" s="13">
        <v>50</v>
      </c>
      <c r="K506" s="12" t="s">
        <v>4393</v>
      </c>
      <c r="L506" s="12" t="s">
        <v>392</v>
      </c>
      <c r="M506" s="15">
        <v>279800</v>
      </c>
      <c r="N506" s="13">
        <v>37</v>
      </c>
    </row>
    <row r="507" ht="15.75" spans="1:14">
      <c r="A507" s="12" t="s">
        <v>4394</v>
      </c>
      <c r="B507" s="12" t="s">
        <v>391</v>
      </c>
      <c r="C507" s="15">
        <v>11556</v>
      </c>
      <c r="D507" s="13">
        <v>50</v>
      </c>
      <c r="F507" s="12" t="s">
        <v>4395</v>
      </c>
      <c r="G507" s="12" t="s">
        <v>392</v>
      </c>
      <c r="H507" s="15">
        <v>11000</v>
      </c>
      <c r="I507" s="13">
        <v>50</v>
      </c>
      <c r="K507" s="12" t="s">
        <v>4396</v>
      </c>
      <c r="L507" s="12" t="s">
        <v>391</v>
      </c>
      <c r="M507" s="15">
        <v>221708</v>
      </c>
      <c r="N507" s="13">
        <v>37</v>
      </c>
    </row>
    <row r="508" ht="15.75" spans="1:14">
      <c r="A508" s="12" t="s">
        <v>4397</v>
      </c>
      <c r="B508" s="12" t="s">
        <v>391</v>
      </c>
      <c r="C508" s="15">
        <v>11636</v>
      </c>
      <c r="D508" s="13">
        <v>50</v>
      </c>
      <c r="F508" s="12" t="s">
        <v>4398</v>
      </c>
      <c r="G508" s="12" t="s">
        <v>392</v>
      </c>
      <c r="H508" s="15">
        <v>61500</v>
      </c>
      <c r="I508" s="13">
        <v>50</v>
      </c>
      <c r="K508" s="12" t="s">
        <v>4399</v>
      </c>
      <c r="L508" s="12" t="s">
        <v>391</v>
      </c>
      <c r="M508" s="15">
        <v>182982</v>
      </c>
      <c r="N508" s="13">
        <v>37</v>
      </c>
    </row>
    <row r="509" ht="15.75" spans="1:14">
      <c r="A509" s="12" t="s">
        <v>4400</v>
      </c>
      <c r="B509" s="12" t="s">
        <v>391</v>
      </c>
      <c r="C509" s="15">
        <v>20698</v>
      </c>
      <c r="D509" s="13">
        <v>50</v>
      </c>
      <c r="F509" s="12" t="s">
        <v>4401</v>
      </c>
      <c r="G509" s="12" t="s">
        <v>391</v>
      </c>
      <c r="H509" s="15">
        <v>15274</v>
      </c>
      <c r="I509" s="13">
        <v>50</v>
      </c>
      <c r="K509" s="12" t="s">
        <v>4402</v>
      </c>
      <c r="L509" s="12" t="s">
        <v>392</v>
      </c>
      <c r="M509" s="15">
        <v>2600000</v>
      </c>
      <c r="N509" s="13">
        <v>37</v>
      </c>
    </row>
    <row r="510" ht="15.75" spans="1:14">
      <c r="A510" s="12" t="s">
        <v>4403</v>
      </c>
      <c r="B510" s="12" t="s">
        <v>391</v>
      </c>
      <c r="C510" s="15">
        <v>14990</v>
      </c>
      <c r="D510" s="13">
        <v>50</v>
      </c>
      <c r="F510" s="12" t="s">
        <v>4404</v>
      </c>
      <c r="G510" s="12" t="s">
        <v>391</v>
      </c>
      <c r="H510" s="15">
        <v>11177</v>
      </c>
      <c r="I510" s="13">
        <v>50</v>
      </c>
      <c r="K510" s="12" t="s">
        <v>4405</v>
      </c>
      <c r="L510" s="12" t="s">
        <v>392</v>
      </c>
      <c r="M510" s="15">
        <v>113600</v>
      </c>
      <c r="N510" s="13">
        <v>36</v>
      </c>
    </row>
    <row r="511" ht="15.75" spans="1:14">
      <c r="A511" s="12" t="s">
        <v>4406</v>
      </c>
      <c r="B511" s="12" t="s">
        <v>391</v>
      </c>
      <c r="C511" s="15">
        <v>11687</v>
      </c>
      <c r="D511" s="13">
        <v>50</v>
      </c>
      <c r="F511" s="12" t="s">
        <v>4407</v>
      </c>
      <c r="G511" s="12" t="s">
        <v>391</v>
      </c>
      <c r="H511" s="15">
        <v>30894</v>
      </c>
      <c r="I511" s="13">
        <v>50</v>
      </c>
      <c r="K511" s="12" t="s">
        <v>4408</v>
      </c>
      <c r="L511" s="12" t="s">
        <v>392</v>
      </c>
      <c r="M511" s="15">
        <v>123000</v>
      </c>
      <c r="N511" s="13">
        <v>36</v>
      </c>
    </row>
    <row r="512" ht="15.75" spans="1:14">
      <c r="A512" s="12" t="s">
        <v>4409</v>
      </c>
      <c r="B512" s="12" t="s">
        <v>391</v>
      </c>
      <c r="C512" s="15">
        <v>20655</v>
      </c>
      <c r="D512" s="13">
        <v>50</v>
      </c>
      <c r="F512" s="12" t="s">
        <v>4410</v>
      </c>
      <c r="G512" s="12" t="s">
        <v>392</v>
      </c>
      <c r="H512" s="15">
        <v>13000</v>
      </c>
      <c r="I512" s="13">
        <v>50</v>
      </c>
      <c r="K512" s="12" t="s">
        <v>4411</v>
      </c>
      <c r="L512" s="12" t="s">
        <v>391</v>
      </c>
      <c r="M512" s="15">
        <v>187339</v>
      </c>
      <c r="N512" s="13">
        <v>36</v>
      </c>
    </row>
    <row r="513" ht="15.75" spans="1:14">
      <c r="A513" s="12" t="s">
        <v>4412</v>
      </c>
      <c r="B513" s="12" t="s">
        <v>391</v>
      </c>
      <c r="C513" s="15">
        <v>32719</v>
      </c>
      <c r="D513" s="13">
        <v>50</v>
      </c>
      <c r="F513" s="12" t="s">
        <v>4413</v>
      </c>
      <c r="G513" s="12" t="s">
        <v>392</v>
      </c>
      <c r="H513" s="15">
        <v>41700</v>
      </c>
      <c r="I513" s="13">
        <v>50</v>
      </c>
      <c r="K513" s="12" t="s">
        <v>4414</v>
      </c>
      <c r="L513" s="12" t="s">
        <v>391</v>
      </c>
      <c r="M513" s="15">
        <v>107091</v>
      </c>
      <c r="N513" s="13">
        <v>36</v>
      </c>
    </row>
    <row r="514" ht="15.75" spans="1:14">
      <c r="A514" s="12" t="s">
        <v>4415</v>
      </c>
      <c r="B514" s="12" t="s">
        <v>391</v>
      </c>
      <c r="C514" s="15">
        <v>29465</v>
      </c>
      <c r="D514" s="13">
        <v>50</v>
      </c>
      <c r="F514" s="12" t="s">
        <v>4416</v>
      </c>
      <c r="G514" s="12" t="s">
        <v>392</v>
      </c>
      <c r="H514" s="15">
        <v>11400</v>
      </c>
      <c r="I514" s="13">
        <v>50</v>
      </c>
      <c r="K514" s="12" t="s">
        <v>4417</v>
      </c>
      <c r="L514" s="12" t="s">
        <v>391</v>
      </c>
      <c r="M514" s="15">
        <v>128765</v>
      </c>
      <c r="N514" s="13">
        <v>36</v>
      </c>
    </row>
    <row r="515" ht="15.75" spans="1:14">
      <c r="A515" s="12" t="s">
        <v>4418</v>
      </c>
      <c r="B515" s="12" t="s">
        <v>391</v>
      </c>
      <c r="C515" s="15">
        <v>17676</v>
      </c>
      <c r="D515" s="13">
        <v>50</v>
      </c>
      <c r="F515" s="12" t="s">
        <v>4419</v>
      </c>
      <c r="G515" s="12" t="s">
        <v>391</v>
      </c>
      <c r="H515" s="15">
        <v>20486</v>
      </c>
      <c r="I515" s="13">
        <v>50</v>
      </c>
      <c r="K515" s="12" t="s">
        <v>4420</v>
      </c>
      <c r="L515" s="12" t="s">
        <v>391</v>
      </c>
      <c r="M515" s="15">
        <v>100180</v>
      </c>
      <c r="N515" s="13">
        <v>36</v>
      </c>
    </row>
    <row r="516" ht="15.75" spans="1:14">
      <c r="A516" s="12" t="s">
        <v>4421</v>
      </c>
      <c r="B516" s="12" t="s">
        <v>391</v>
      </c>
      <c r="C516" s="15">
        <v>11461</v>
      </c>
      <c r="D516" s="13">
        <v>50</v>
      </c>
      <c r="F516" s="12" t="s">
        <v>4422</v>
      </c>
      <c r="G516" s="12" t="s">
        <v>391</v>
      </c>
      <c r="H516" s="15">
        <v>35076</v>
      </c>
      <c r="I516" s="13">
        <v>50</v>
      </c>
      <c r="K516" s="12" t="s">
        <v>4423</v>
      </c>
      <c r="L516" s="12" t="s">
        <v>392</v>
      </c>
      <c r="M516" s="15">
        <v>320500</v>
      </c>
      <c r="N516" s="13">
        <v>36</v>
      </c>
    </row>
    <row r="517" ht="15.75" spans="1:14">
      <c r="A517" s="12" t="s">
        <v>4424</v>
      </c>
      <c r="B517" s="12" t="s">
        <v>391</v>
      </c>
      <c r="C517" s="15">
        <v>10884</v>
      </c>
      <c r="D517" s="13">
        <v>50</v>
      </c>
      <c r="F517" s="12" t="s">
        <v>4425</v>
      </c>
      <c r="G517" s="12" t="s">
        <v>392</v>
      </c>
      <c r="H517" s="15">
        <v>44000</v>
      </c>
      <c r="I517" s="13">
        <v>50</v>
      </c>
      <c r="K517" s="12" t="s">
        <v>4426</v>
      </c>
      <c r="L517" s="12" t="s">
        <v>391</v>
      </c>
      <c r="M517" s="15">
        <v>875827</v>
      </c>
      <c r="N517" s="13">
        <v>36</v>
      </c>
    </row>
    <row r="518" ht="15.75" spans="1:14">
      <c r="A518" s="12" t="s">
        <v>4427</v>
      </c>
      <c r="B518" s="12" t="s">
        <v>391</v>
      </c>
      <c r="C518" s="15">
        <v>15286</v>
      </c>
      <c r="D518" s="13">
        <v>50</v>
      </c>
      <c r="F518" s="12" t="s">
        <v>4428</v>
      </c>
      <c r="G518" s="12" t="s">
        <v>392</v>
      </c>
      <c r="H518" s="15">
        <v>13600</v>
      </c>
      <c r="I518" s="13">
        <v>50</v>
      </c>
      <c r="K518" s="12" t="s">
        <v>4429</v>
      </c>
      <c r="L518" s="12" t="s">
        <v>392</v>
      </c>
      <c r="M518" s="15">
        <v>248100</v>
      </c>
      <c r="N518" s="13">
        <v>36</v>
      </c>
    </row>
    <row r="519" ht="15.75" spans="1:14">
      <c r="A519" s="12" t="s">
        <v>4430</v>
      </c>
      <c r="B519" s="12" t="s">
        <v>391</v>
      </c>
      <c r="C519" s="15">
        <v>19698</v>
      </c>
      <c r="D519" s="13">
        <v>50</v>
      </c>
      <c r="F519" s="12" t="s">
        <v>4431</v>
      </c>
      <c r="G519" s="12" t="s">
        <v>392</v>
      </c>
      <c r="H519" s="15">
        <v>18600</v>
      </c>
      <c r="I519" s="13">
        <v>50</v>
      </c>
      <c r="K519" s="12" t="s">
        <v>4432</v>
      </c>
      <c r="L519" s="12" t="s">
        <v>392</v>
      </c>
      <c r="M519" s="15">
        <v>295000</v>
      </c>
      <c r="N519" s="13">
        <v>36</v>
      </c>
    </row>
    <row r="520" ht="15.75" spans="1:14">
      <c r="A520" s="12" t="s">
        <v>4433</v>
      </c>
      <c r="B520" s="12" t="s">
        <v>391</v>
      </c>
      <c r="C520" s="15">
        <v>19219</v>
      </c>
      <c r="D520" s="13">
        <v>50</v>
      </c>
      <c r="F520" s="12" t="s">
        <v>4434</v>
      </c>
      <c r="G520" s="12" t="s">
        <v>392</v>
      </c>
      <c r="H520" s="15">
        <v>277300</v>
      </c>
      <c r="I520" s="13">
        <v>50</v>
      </c>
      <c r="K520" s="12" t="s">
        <v>4435</v>
      </c>
      <c r="L520" s="12" t="s">
        <v>392</v>
      </c>
      <c r="M520" s="15">
        <v>208500</v>
      </c>
      <c r="N520" s="13">
        <v>36</v>
      </c>
    </row>
    <row r="521" ht="15.75" spans="1:14">
      <c r="A521" s="12" t="s">
        <v>4436</v>
      </c>
      <c r="B521" s="12" t="s">
        <v>391</v>
      </c>
      <c r="C521" s="15">
        <v>11876</v>
      </c>
      <c r="D521" s="13">
        <v>50</v>
      </c>
      <c r="F521" s="12" t="s">
        <v>4437</v>
      </c>
      <c r="G521" s="12" t="s">
        <v>391</v>
      </c>
      <c r="H521" s="15">
        <v>12153</v>
      </c>
      <c r="I521" s="13">
        <v>50</v>
      </c>
      <c r="K521" s="12" t="s">
        <v>4438</v>
      </c>
      <c r="L521" s="12" t="s">
        <v>391</v>
      </c>
      <c r="M521" s="15">
        <v>282886</v>
      </c>
      <c r="N521" s="13">
        <v>36</v>
      </c>
    </row>
    <row r="522" ht="15.75" spans="1:14">
      <c r="A522" s="12" t="s">
        <v>4439</v>
      </c>
      <c r="B522" s="12" t="s">
        <v>391</v>
      </c>
      <c r="C522" s="15">
        <v>15429</v>
      </c>
      <c r="D522" s="13">
        <v>50</v>
      </c>
      <c r="F522" s="12" t="s">
        <v>4440</v>
      </c>
      <c r="G522" s="12" t="s">
        <v>391</v>
      </c>
      <c r="H522" s="15">
        <v>12842</v>
      </c>
      <c r="I522" s="13">
        <v>50</v>
      </c>
      <c r="K522" s="12" t="s">
        <v>4441</v>
      </c>
      <c r="L522" s="12" t="s">
        <v>391</v>
      </c>
      <c r="M522" s="15">
        <v>118979</v>
      </c>
      <c r="N522" s="13">
        <v>36</v>
      </c>
    </row>
    <row r="523" ht="15.75" spans="1:14">
      <c r="A523" s="12" t="s">
        <v>4442</v>
      </c>
      <c r="B523" s="12" t="s">
        <v>391</v>
      </c>
      <c r="C523" s="15">
        <v>29396</v>
      </c>
      <c r="D523" s="13">
        <v>50</v>
      </c>
      <c r="F523" s="12" t="s">
        <v>4443</v>
      </c>
      <c r="G523" s="12" t="s">
        <v>391</v>
      </c>
      <c r="H523" s="15">
        <v>34629</v>
      </c>
      <c r="I523" s="13">
        <v>50</v>
      </c>
      <c r="K523" s="12" t="s">
        <v>4444</v>
      </c>
      <c r="L523" s="12" t="s">
        <v>391</v>
      </c>
      <c r="M523" s="15">
        <v>105340</v>
      </c>
      <c r="N523" s="13">
        <v>36</v>
      </c>
    </row>
    <row r="524" ht="15.75" spans="1:14">
      <c r="A524" s="12" t="s">
        <v>4445</v>
      </c>
      <c r="B524" s="12" t="s">
        <v>391</v>
      </c>
      <c r="C524" s="15">
        <v>11664</v>
      </c>
      <c r="D524" s="13">
        <v>50</v>
      </c>
      <c r="F524" s="12" t="s">
        <v>3215</v>
      </c>
      <c r="G524" s="12" t="s">
        <v>391</v>
      </c>
      <c r="H524" s="15">
        <v>102609</v>
      </c>
      <c r="I524" s="13">
        <v>50</v>
      </c>
      <c r="K524" s="12" t="s">
        <v>4446</v>
      </c>
      <c r="L524" s="12" t="s">
        <v>392</v>
      </c>
      <c r="M524" s="15">
        <v>705400</v>
      </c>
      <c r="N524" s="13">
        <v>36</v>
      </c>
    </row>
    <row r="525" ht="15.75" spans="1:14">
      <c r="A525" s="12" t="s">
        <v>4447</v>
      </c>
      <c r="B525" s="12" t="s">
        <v>391</v>
      </c>
      <c r="C525" s="15">
        <v>22777</v>
      </c>
      <c r="D525" s="13">
        <v>50</v>
      </c>
      <c r="F525" s="12" t="s">
        <v>4448</v>
      </c>
      <c r="G525" s="12" t="s">
        <v>392</v>
      </c>
      <c r="H525" s="15">
        <v>70900</v>
      </c>
      <c r="I525" s="13">
        <v>50</v>
      </c>
      <c r="K525" s="12" t="s">
        <v>4449</v>
      </c>
      <c r="L525" s="12" t="s">
        <v>391</v>
      </c>
      <c r="M525" s="15">
        <v>100458</v>
      </c>
      <c r="N525" s="13">
        <v>36</v>
      </c>
    </row>
    <row r="526" ht="15.75" spans="1:14">
      <c r="A526" s="12" t="s">
        <v>4450</v>
      </c>
      <c r="B526" s="12" t="s">
        <v>391</v>
      </c>
      <c r="C526" s="15">
        <v>19464</v>
      </c>
      <c r="D526" s="13">
        <v>50</v>
      </c>
      <c r="F526" s="12" t="s">
        <v>4451</v>
      </c>
      <c r="G526" s="12" t="s">
        <v>391</v>
      </c>
      <c r="H526" s="15">
        <v>34171</v>
      </c>
      <c r="I526" s="13">
        <v>50</v>
      </c>
      <c r="K526" s="12" t="s">
        <v>4452</v>
      </c>
      <c r="L526" s="12" t="s">
        <v>391</v>
      </c>
      <c r="M526" s="15">
        <v>106535</v>
      </c>
      <c r="N526" s="13">
        <v>36</v>
      </c>
    </row>
    <row r="527" ht="15.75" spans="1:14">
      <c r="A527" s="12" t="s">
        <v>4453</v>
      </c>
      <c r="B527" s="12" t="s">
        <v>391</v>
      </c>
      <c r="C527" s="15">
        <v>10759</v>
      </c>
      <c r="D527" s="13">
        <v>50</v>
      </c>
      <c r="F527" s="12" t="s">
        <v>3747</v>
      </c>
      <c r="G527" s="12" t="s">
        <v>391</v>
      </c>
      <c r="H527" s="15">
        <v>23672</v>
      </c>
      <c r="I527" s="13">
        <v>50</v>
      </c>
      <c r="K527" s="12" t="s">
        <v>4454</v>
      </c>
      <c r="L527" s="12" t="s">
        <v>392</v>
      </c>
      <c r="M527" s="15">
        <v>297300</v>
      </c>
      <c r="N527" s="13">
        <v>36</v>
      </c>
    </row>
    <row r="528" ht="15.75" spans="1:14">
      <c r="A528" s="12" t="s">
        <v>4455</v>
      </c>
      <c r="B528" s="12" t="s">
        <v>391</v>
      </c>
      <c r="C528" s="15">
        <v>34302</v>
      </c>
      <c r="D528" s="13">
        <v>50</v>
      </c>
      <c r="F528" s="12" t="s">
        <v>4456</v>
      </c>
      <c r="G528" s="12" t="s">
        <v>392</v>
      </c>
      <c r="H528" s="15">
        <v>73200</v>
      </c>
      <c r="I528" s="13">
        <v>50</v>
      </c>
      <c r="K528" s="12" t="s">
        <v>4457</v>
      </c>
      <c r="L528" s="12" t="s">
        <v>392</v>
      </c>
      <c r="M528" s="15">
        <v>197200</v>
      </c>
      <c r="N528" s="13">
        <v>36</v>
      </c>
    </row>
    <row r="529" ht="15.75" spans="1:14">
      <c r="A529" s="12" t="s">
        <v>4458</v>
      </c>
      <c r="B529" s="12" t="s">
        <v>391</v>
      </c>
      <c r="C529" s="15">
        <v>40287</v>
      </c>
      <c r="D529" s="13">
        <v>50</v>
      </c>
      <c r="F529" s="12" t="s">
        <v>4459</v>
      </c>
      <c r="G529" s="12" t="s">
        <v>392</v>
      </c>
      <c r="H529" s="15">
        <v>378400</v>
      </c>
      <c r="I529" s="13">
        <v>50</v>
      </c>
      <c r="K529" s="12" t="s">
        <v>4460</v>
      </c>
      <c r="L529" s="12" t="s">
        <v>392</v>
      </c>
      <c r="M529" s="15">
        <v>668700</v>
      </c>
      <c r="N529" s="13">
        <v>35</v>
      </c>
    </row>
    <row r="530" ht="15.75" spans="1:14">
      <c r="A530" s="12" t="s">
        <v>4461</v>
      </c>
      <c r="B530" s="12" t="s">
        <v>391</v>
      </c>
      <c r="C530" s="15">
        <v>11803</v>
      </c>
      <c r="D530" s="13">
        <v>50</v>
      </c>
      <c r="F530" s="12" t="s">
        <v>3749</v>
      </c>
      <c r="G530" s="12" t="s">
        <v>391</v>
      </c>
      <c r="H530" s="15">
        <v>15941</v>
      </c>
      <c r="I530" s="13">
        <v>50</v>
      </c>
      <c r="K530" s="12" t="s">
        <v>4462</v>
      </c>
      <c r="L530" s="12" t="s">
        <v>391</v>
      </c>
      <c r="M530" s="15">
        <v>129124</v>
      </c>
      <c r="N530" s="13">
        <v>35</v>
      </c>
    </row>
    <row r="531" ht="15.75" spans="1:14">
      <c r="A531" s="12" t="s">
        <v>4463</v>
      </c>
      <c r="B531" s="12" t="s">
        <v>391</v>
      </c>
      <c r="C531" s="15">
        <v>15003</v>
      </c>
      <c r="D531" s="13">
        <v>50</v>
      </c>
      <c r="F531" s="12" t="s">
        <v>3751</v>
      </c>
      <c r="G531" s="12" t="s">
        <v>391</v>
      </c>
      <c r="H531" s="15">
        <v>15056</v>
      </c>
      <c r="I531" s="13">
        <v>50</v>
      </c>
      <c r="K531" s="12" t="s">
        <v>4464</v>
      </c>
      <c r="L531" s="12" t="s">
        <v>392</v>
      </c>
      <c r="M531" s="15">
        <v>144800</v>
      </c>
      <c r="N531" s="13">
        <v>35</v>
      </c>
    </row>
    <row r="532" ht="15.75" spans="1:14">
      <c r="A532" s="12" t="s">
        <v>4465</v>
      </c>
      <c r="B532" s="12" t="s">
        <v>391</v>
      </c>
      <c r="C532" s="15">
        <v>11040</v>
      </c>
      <c r="D532" s="13">
        <v>50</v>
      </c>
      <c r="F532" s="12" t="s">
        <v>3753</v>
      </c>
      <c r="G532" s="12" t="s">
        <v>391</v>
      </c>
      <c r="H532" s="15">
        <v>11758</v>
      </c>
      <c r="I532" s="13">
        <v>50</v>
      </c>
      <c r="K532" s="12" t="s">
        <v>4466</v>
      </c>
      <c r="L532" s="12" t="s">
        <v>391</v>
      </c>
      <c r="M532" s="15">
        <v>114412</v>
      </c>
      <c r="N532" s="13">
        <v>35</v>
      </c>
    </row>
    <row r="533" ht="15.75" spans="1:14">
      <c r="A533" s="12" t="s">
        <v>4467</v>
      </c>
      <c r="B533" s="12" t="s">
        <v>391</v>
      </c>
      <c r="C533" s="15">
        <v>27842</v>
      </c>
      <c r="D533" s="13">
        <v>50</v>
      </c>
      <c r="F533" s="12" t="s">
        <v>4468</v>
      </c>
      <c r="G533" s="12" t="s">
        <v>391</v>
      </c>
      <c r="H533" s="15">
        <v>36427</v>
      </c>
      <c r="I533" s="13">
        <v>50</v>
      </c>
      <c r="K533" s="12" t="s">
        <v>4469</v>
      </c>
      <c r="L533" s="12" t="s">
        <v>392</v>
      </c>
      <c r="M533" s="15">
        <v>159900</v>
      </c>
      <c r="N533" s="13">
        <v>35</v>
      </c>
    </row>
    <row r="534" ht="15.75" spans="1:14">
      <c r="A534" s="12" t="s">
        <v>4470</v>
      </c>
      <c r="B534" s="12" t="s">
        <v>391</v>
      </c>
      <c r="C534" s="15">
        <v>11018</v>
      </c>
      <c r="D534" s="13">
        <v>50</v>
      </c>
      <c r="F534" s="12" t="s">
        <v>4471</v>
      </c>
      <c r="G534" s="12" t="s">
        <v>391</v>
      </c>
      <c r="H534" s="15">
        <v>23526</v>
      </c>
      <c r="I534" s="13">
        <v>50</v>
      </c>
      <c r="K534" s="12" t="s">
        <v>4472</v>
      </c>
      <c r="L534" s="12" t="s">
        <v>392</v>
      </c>
      <c r="M534" s="15">
        <v>417900</v>
      </c>
      <c r="N534" s="13">
        <v>35</v>
      </c>
    </row>
    <row r="535" ht="15.75" spans="1:14">
      <c r="A535" s="12" t="s">
        <v>4473</v>
      </c>
      <c r="B535" s="12" t="s">
        <v>391</v>
      </c>
      <c r="C535" s="15">
        <v>12683</v>
      </c>
      <c r="D535" s="13">
        <v>50</v>
      </c>
      <c r="F535" s="12" t="s">
        <v>4474</v>
      </c>
      <c r="G535" s="12" t="s">
        <v>391</v>
      </c>
      <c r="H535" s="15">
        <v>20483</v>
      </c>
      <c r="I535" s="13">
        <v>50</v>
      </c>
      <c r="K535" s="12" t="s">
        <v>4475</v>
      </c>
      <c r="L535" s="12" t="s">
        <v>391</v>
      </c>
      <c r="M535" s="15">
        <v>144478</v>
      </c>
      <c r="N535" s="13">
        <v>35</v>
      </c>
    </row>
    <row r="536" ht="15.75" spans="1:14">
      <c r="A536" s="12" t="s">
        <v>4476</v>
      </c>
      <c r="B536" s="12" t="s">
        <v>391</v>
      </c>
      <c r="C536" s="15">
        <v>41145</v>
      </c>
      <c r="D536" s="13">
        <v>50</v>
      </c>
      <c r="F536" s="12" t="s">
        <v>4477</v>
      </c>
      <c r="G536" s="12" t="s">
        <v>392</v>
      </c>
      <c r="H536" s="15">
        <v>10600</v>
      </c>
      <c r="I536" s="13">
        <v>50</v>
      </c>
      <c r="K536" s="12" t="s">
        <v>4478</v>
      </c>
      <c r="L536" s="12" t="s">
        <v>391</v>
      </c>
      <c r="M536" s="15">
        <v>273852</v>
      </c>
      <c r="N536" s="13">
        <v>35</v>
      </c>
    </row>
    <row r="537" ht="15.75" spans="1:14">
      <c r="A537" s="12" t="s">
        <v>4479</v>
      </c>
      <c r="B537" s="12" t="s">
        <v>391</v>
      </c>
      <c r="C537" s="15">
        <v>27576</v>
      </c>
      <c r="D537" s="13">
        <v>50</v>
      </c>
      <c r="F537" s="12" t="s">
        <v>4480</v>
      </c>
      <c r="G537" s="12" t="s">
        <v>392</v>
      </c>
      <c r="H537" s="15">
        <v>401500</v>
      </c>
      <c r="I537" s="13">
        <v>50</v>
      </c>
      <c r="K537" s="12" t="s">
        <v>4481</v>
      </c>
      <c r="L537" s="12" t="s">
        <v>391</v>
      </c>
      <c r="M537" s="15">
        <v>154596</v>
      </c>
      <c r="N537" s="13">
        <v>35</v>
      </c>
    </row>
    <row r="538" ht="15.75" spans="1:14">
      <c r="A538" s="12" t="s">
        <v>4482</v>
      </c>
      <c r="B538" s="12" t="s">
        <v>391</v>
      </c>
      <c r="C538" s="15">
        <v>20518</v>
      </c>
      <c r="D538" s="13">
        <v>50</v>
      </c>
      <c r="F538" s="12" t="s">
        <v>4483</v>
      </c>
      <c r="G538" s="12" t="s">
        <v>392</v>
      </c>
      <c r="H538" s="15">
        <v>254200</v>
      </c>
      <c r="I538" s="13">
        <v>50</v>
      </c>
      <c r="K538" s="12" t="s">
        <v>4484</v>
      </c>
      <c r="L538" s="12" t="s">
        <v>392</v>
      </c>
      <c r="M538" s="15">
        <v>250700</v>
      </c>
      <c r="N538" s="13">
        <v>35</v>
      </c>
    </row>
    <row r="539" ht="15.75" spans="1:14">
      <c r="A539" s="12" t="s">
        <v>4485</v>
      </c>
      <c r="B539" s="12" t="s">
        <v>391</v>
      </c>
      <c r="C539" s="15">
        <v>19799</v>
      </c>
      <c r="D539" s="13">
        <v>50</v>
      </c>
      <c r="F539" s="12" t="s">
        <v>4486</v>
      </c>
      <c r="G539" s="12" t="s">
        <v>391</v>
      </c>
      <c r="H539" s="15">
        <v>27257</v>
      </c>
      <c r="I539" s="13">
        <v>50</v>
      </c>
      <c r="K539" s="12" t="s">
        <v>4487</v>
      </c>
      <c r="L539" s="12" t="s">
        <v>391</v>
      </c>
      <c r="M539" s="15">
        <v>101319</v>
      </c>
      <c r="N539" s="13">
        <v>35</v>
      </c>
    </row>
    <row r="540" ht="15.75" spans="1:14">
      <c r="A540" s="12" t="s">
        <v>4488</v>
      </c>
      <c r="B540" s="12" t="s">
        <v>391</v>
      </c>
      <c r="C540" s="15">
        <v>10630</v>
      </c>
      <c r="D540" s="13">
        <v>50</v>
      </c>
      <c r="F540" s="12" t="s">
        <v>4489</v>
      </c>
      <c r="G540" s="12" t="s">
        <v>392</v>
      </c>
      <c r="H540" s="15">
        <v>805400</v>
      </c>
      <c r="I540" s="13">
        <v>50</v>
      </c>
      <c r="K540" s="12" t="s">
        <v>4490</v>
      </c>
      <c r="L540" s="12" t="s">
        <v>391</v>
      </c>
      <c r="M540" s="15">
        <v>194674</v>
      </c>
      <c r="N540" s="13">
        <v>35</v>
      </c>
    </row>
    <row r="541" ht="15.75" spans="1:14">
      <c r="A541" s="12" t="s">
        <v>4491</v>
      </c>
      <c r="B541" s="12" t="s">
        <v>391</v>
      </c>
      <c r="C541" s="15">
        <v>10667</v>
      </c>
      <c r="D541" s="13">
        <v>50</v>
      </c>
      <c r="F541" s="12" t="s">
        <v>3755</v>
      </c>
      <c r="G541" s="12" t="s">
        <v>391</v>
      </c>
      <c r="H541" s="15">
        <v>11925</v>
      </c>
      <c r="I541" s="13">
        <v>50</v>
      </c>
      <c r="K541" s="12" t="s">
        <v>4492</v>
      </c>
      <c r="L541" s="12" t="s">
        <v>391</v>
      </c>
      <c r="M541" s="15">
        <v>104405</v>
      </c>
      <c r="N541" s="13">
        <v>35</v>
      </c>
    </row>
    <row r="542" ht="15.75" spans="1:14">
      <c r="A542" s="12" t="s">
        <v>4493</v>
      </c>
      <c r="B542" s="12" t="s">
        <v>391</v>
      </c>
      <c r="C542" s="15">
        <v>20005</v>
      </c>
      <c r="D542" s="13">
        <v>50</v>
      </c>
      <c r="F542" s="12" t="s">
        <v>3757</v>
      </c>
      <c r="G542" s="12" t="s">
        <v>391</v>
      </c>
      <c r="H542" s="15">
        <v>14490</v>
      </c>
      <c r="I542" s="13">
        <v>50</v>
      </c>
      <c r="K542" s="12" t="s">
        <v>4494</v>
      </c>
      <c r="L542" s="12" t="s">
        <v>391</v>
      </c>
      <c r="M542" s="15">
        <v>276292</v>
      </c>
      <c r="N542" s="13">
        <v>35</v>
      </c>
    </row>
    <row r="543" ht="15.75" spans="1:14">
      <c r="A543" s="12" t="s">
        <v>4495</v>
      </c>
      <c r="B543" s="12" t="s">
        <v>391</v>
      </c>
      <c r="C543" s="15">
        <v>28995</v>
      </c>
      <c r="D543" s="13">
        <v>50</v>
      </c>
      <c r="F543" s="12" t="s">
        <v>4496</v>
      </c>
      <c r="G543" s="12" t="s">
        <v>391</v>
      </c>
      <c r="H543" s="15">
        <v>34276</v>
      </c>
      <c r="I543" s="13">
        <v>50</v>
      </c>
      <c r="K543" s="12" t="s">
        <v>4497</v>
      </c>
      <c r="L543" s="12" t="s">
        <v>391</v>
      </c>
      <c r="M543" s="15">
        <v>126673</v>
      </c>
      <c r="N543" s="13">
        <v>35</v>
      </c>
    </row>
    <row r="544" ht="15.75" spans="1:14">
      <c r="A544" s="12" t="s">
        <v>4498</v>
      </c>
      <c r="B544" s="12" t="s">
        <v>391</v>
      </c>
      <c r="C544" s="15">
        <v>11068</v>
      </c>
      <c r="D544" s="13">
        <v>50</v>
      </c>
      <c r="F544" s="12" t="s">
        <v>3759</v>
      </c>
      <c r="G544" s="12" t="s">
        <v>391</v>
      </c>
      <c r="H544" s="15">
        <v>10190</v>
      </c>
      <c r="I544" s="13">
        <v>50</v>
      </c>
      <c r="K544" s="12" t="s">
        <v>4499</v>
      </c>
      <c r="L544" s="12" t="s">
        <v>392</v>
      </c>
      <c r="M544" s="15">
        <v>432800</v>
      </c>
      <c r="N544" s="13">
        <v>35</v>
      </c>
    </row>
    <row r="545" ht="15.75" spans="1:14">
      <c r="A545" s="12" t="s">
        <v>4500</v>
      </c>
      <c r="B545" s="12" t="s">
        <v>391</v>
      </c>
      <c r="C545" s="15">
        <v>14524</v>
      </c>
      <c r="D545" s="13">
        <v>50</v>
      </c>
      <c r="F545" s="12" t="s">
        <v>4501</v>
      </c>
      <c r="G545" s="12" t="s">
        <v>392</v>
      </c>
      <c r="H545" s="15">
        <v>22100</v>
      </c>
      <c r="I545" s="13">
        <v>50</v>
      </c>
      <c r="K545" s="12" t="s">
        <v>4502</v>
      </c>
      <c r="L545" s="12" t="s">
        <v>392</v>
      </c>
      <c r="M545" s="15">
        <v>675300</v>
      </c>
      <c r="N545" s="13">
        <v>35</v>
      </c>
    </row>
    <row r="546" ht="15.75" spans="1:14">
      <c r="A546" s="12" t="s">
        <v>4503</v>
      </c>
      <c r="B546" s="12" t="s">
        <v>391</v>
      </c>
      <c r="C546" s="15">
        <v>29196</v>
      </c>
      <c r="D546" s="13">
        <v>50</v>
      </c>
      <c r="F546" s="12" t="s">
        <v>4504</v>
      </c>
      <c r="G546" s="12" t="s">
        <v>391</v>
      </c>
      <c r="H546" s="15">
        <v>19131</v>
      </c>
      <c r="I546" s="13">
        <v>50</v>
      </c>
      <c r="K546" s="12" t="s">
        <v>4505</v>
      </c>
      <c r="L546" s="12" t="s">
        <v>392</v>
      </c>
      <c r="M546" s="15">
        <v>158400</v>
      </c>
      <c r="N546" s="13">
        <v>35</v>
      </c>
    </row>
    <row r="547" ht="15.75" spans="1:14">
      <c r="A547" s="12" t="s">
        <v>4506</v>
      </c>
      <c r="B547" s="12" t="s">
        <v>391</v>
      </c>
      <c r="C547" s="15">
        <v>25215</v>
      </c>
      <c r="D547" s="13">
        <v>50</v>
      </c>
      <c r="F547" s="12" t="s">
        <v>4507</v>
      </c>
      <c r="G547" s="12" t="s">
        <v>391</v>
      </c>
      <c r="H547" s="15">
        <v>58491</v>
      </c>
      <c r="I547" s="13">
        <v>50</v>
      </c>
      <c r="K547" s="12" t="s">
        <v>4508</v>
      </c>
      <c r="L547" s="12" t="s">
        <v>392</v>
      </c>
      <c r="M547" s="15">
        <v>167600</v>
      </c>
      <c r="N547" s="13">
        <v>35</v>
      </c>
    </row>
    <row r="548" ht="15.75" spans="1:14">
      <c r="A548" s="12" t="s">
        <v>4509</v>
      </c>
      <c r="B548" s="12" t="s">
        <v>391</v>
      </c>
      <c r="C548" s="15">
        <v>26012</v>
      </c>
      <c r="D548" s="13">
        <v>50</v>
      </c>
      <c r="F548" s="12" t="s">
        <v>4510</v>
      </c>
      <c r="G548" s="12" t="s">
        <v>392</v>
      </c>
      <c r="H548" s="15">
        <v>11900</v>
      </c>
      <c r="I548" s="13">
        <v>50</v>
      </c>
      <c r="K548" s="12" t="s">
        <v>4511</v>
      </c>
      <c r="L548" s="12" t="s">
        <v>392</v>
      </c>
      <c r="M548" s="15">
        <v>111000</v>
      </c>
      <c r="N548" s="13">
        <v>35</v>
      </c>
    </row>
    <row r="549" ht="15.75" spans="1:14">
      <c r="A549" s="12" t="s">
        <v>4512</v>
      </c>
      <c r="B549" s="12" t="s">
        <v>391</v>
      </c>
      <c r="C549" s="15">
        <v>30957</v>
      </c>
      <c r="D549" s="13">
        <v>50</v>
      </c>
      <c r="F549" s="12" t="s">
        <v>4513</v>
      </c>
      <c r="G549" s="12" t="s">
        <v>392</v>
      </c>
      <c r="H549" s="15">
        <v>18100</v>
      </c>
      <c r="I549" s="13">
        <v>50</v>
      </c>
      <c r="K549" s="12" t="s">
        <v>4514</v>
      </c>
      <c r="L549" s="12" t="s">
        <v>392</v>
      </c>
      <c r="M549" s="15">
        <v>128500</v>
      </c>
      <c r="N549" s="13">
        <v>35</v>
      </c>
    </row>
    <row r="550" ht="15.75" spans="1:14">
      <c r="A550" s="12" t="s">
        <v>4515</v>
      </c>
      <c r="B550" s="12" t="s">
        <v>391</v>
      </c>
      <c r="C550" s="15">
        <v>23179</v>
      </c>
      <c r="D550" s="13">
        <v>50</v>
      </c>
      <c r="F550" s="12" t="s">
        <v>3762</v>
      </c>
      <c r="G550" s="12" t="s">
        <v>391</v>
      </c>
      <c r="H550" s="15">
        <v>11871</v>
      </c>
      <c r="I550" s="13">
        <v>50</v>
      </c>
      <c r="K550" s="12" t="s">
        <v>4516</v>
      </c>
      <c r="L550" s="12" t="s">
        <v>391</v>
      </c>
      <c r="M550" s="15">
        <v>100034</v>
      </c>
      <c r="N550" s="13">
        <v>35</v>
      </c>
    </row>
    <row r="551" ht="15.75" spans="1:14">
      <c r="A551" s="12" t="s">
        <v>4517</v>
      </c>
      <c r="B551" s="12" t="s">
        <v>391</v>
      </c>
      <c r="C551" s="15">
        <v>28598</v>
      </c>
      <c r="D551" s="13">
        <v>50</v>
      </c>
      <c r="F551" s="12" t="s">
        <v>4518</v>
      </c>
      <c r="G551" s="12" t="s">
        <v>392</v>
      </c>
      <c r="H551" s="15">
        <v>34300</v>
      </c>
      <c r="I551" s="13">
        <v>50</v>
      </c>
      <c r="K551" s="12" t="s">
        <v>4519</v>
      </c>
      <c r="L551" s="12" t="s">
        <v>391</v>
      </c>
      <c r="M551" s="15">
        <v>317931</v>
      </c>
      <c r="N551" s="13">
        <v>34</v>
      </c>
    </row>
    <row r="552" ht="15.75" spans="1:14">
      <c r="A552" s="12" t="s">
        <v>4520</v>
      </c>
      <c r="B552" s="12" t="s">
        <v>391</v>
      </c>
      <c r="C552" s="15">
        <v>11350</v>
      </c>
      <c r="D552" s="13">
        <v>50</v>
      </c>
      <c r="F552" s="12" t="s">
        <v>3764</v>
      </c>
      <c r="G552" s="12" t="s">
        <v>391</v>
      </c>
      <c r="H552" s="15">
        <v>20944</v>
      </c>
      <c r="I552" s="13">
        <v>50</v>
      </c>
      <c r="K552" s="12" t="s">
        <v>4521</v>
      </c>
      <c r="L552" s="12" t="s">
        <v>391</v>
      </c>
      <c r="M552" s="15">
        <v>116789</v>
      </c>
      <c r="N552" s="13">
        <v>34</v>
      </c>
    </row>
    <row r="553" ht="15.75" spans="1:14">
      <c r="A553" s="12" t="s">
        <v>4522</v>
      </c>
      <c r="B553" s="12" t="s">
        <v>391</v>
      </c>
      <c r="C553" s="15">
        <v>12125</v>
      </c>
      <c r="D553" s="13">
        <v>50</v>
      </c>
      <c r="F553" s="12" t="s">
        <v>4523</v>
      </c>
      <c r="G553" s="12" t="s">
        <v>391</v>
      </c>
      <c r="H553" s="15">
        <v>30957</v>
      </c>
      <c r="I553" s="13">
        <v>50</v>
      </c>
      <c r="K553" s="12" t="s">
        <v>4524</v>
      </c>
      <c r="L553" s="12" t="s">
        <v>391</v>
      </c>
      <c r="M553" s="15">
        <v>102308</v>
      </c>
      <c r="N553" s="13">
        <v>34</v>
      </c>
    </row>
    <row r="554" ht="15.75" spans="1:14">
      <c r="A554" s="12" t="s">
        <v>4525</v>
      </c>
      <c r="B554" s="12" t="s">
        <v>391</v>
      </c>
      <c r="C554" s="15">
        <v>10962</v>
      </c>
      <c r="D554" s="13">
        <v>50</v>
      </c>
      <c r="F554" s="12" t="s">
        <v>4526</v>
      </c>
      <c r="G554" s="12" t="s">
        <v>391</v>
      </c>
      <c r="H554" s="15">
        <v>29525</v>
      </c>
      <c r="I554" s="13">
        <v>50</v>
      </c>
      <c r="K554" s="12" t="s">
        <v>4527</v>
      </c>
      <c r="L554" s="12" t="s">
        <v>392</v>
      </c>
      <c r="M554" s="15">
        <v>237300</v>
      </c>
      <c r="N554" s="13">
        <v>34</v>
      </c>
    </row>
    <row r="555" ht="15.75" spans="1:14">
      <c r="A555" s="12" t="s">
        <v>4528</v>
      </c>
      <c r="B555" s="12" t="s">
        <v>391</v>
      </c>
      <c r="C555" s="15">
        <v>10990</v>
      </c>
      <c r="D555" s="13">
        <v>50</v>
      </c>
      <c r="F555" s="12" t="s">
        <v>4529</v>
      </c>
      <c r="G555" s="12" t="s">
        <v>392</v>
      </c>
      <c r="H555" s="15">
        <v>221300</v>
      </c>
      <c r="I555" s="13">
        <v>50</v>
      </c>
      <c r="K555" s="12" t="s">
        <v>4530</v>
      </c>
      <c r="L555" s="12" t="s">
        <v>391</v>
      </c>
      <c r="M555" s="15">
        <v>194054</v>
      </c>
      <c r="N555" s="13">
        <v>34</v>
      </c>
    </row>
    <row r="556" ht="15.75" spans="1:14">
      <c r="A556" s="12" t="s">
        <v>4531</v>
      </c>
      <c r="B556" s="12" t="s">
        <v>391</v>
      </c>
      <c r="C556" s="15">
        <v>16455</v>
      </c>
      <c r="D556" s="13">
        <v>50</v>
      </c>
      <c r="F556" s="12" t="s">
        <v>3766</v>
      </c>
      <c r="G556" s="12" t="s">
        <v>391</v>
      </c>
      <c r="H556" s="15">
        <v>20036</v>
      </c>
      <c r="I556" s="13">
        <v>50</v>
      </c>
      <c r="K556" s="12" t="s">
        <v>4532</v>
      </c>
      <c r="L556" s="12" t="s">
        <v>391</v>
      </c>
      <c r="M556" s="15">
        <v>153922</v>
      </c>
      <c r="N556" s="13">
        <v>34</v>
      </c>
    </row>
    <row r="557" ht="15.75" spans="1:14">
      <c r="A557" s="12" t="s">
        <v>4533</v>
      </c>
      <c r="B557" s="12" t="s">
        <v>391</v>
      </c>
      <c r="C557" s="15">
        <v>11441</v>
      </c>
      <c r="D557" s="13">
        <v>50</v>
      </c>
      <c r="F557" s="12" t="s">
        <v>4534</v>
      </c>
      <c r="G557" s="12" t="s">
        <v>392</v>
      </c>
      <c r="H557" s="15">
        <v>11600</v>
      </c>
      <c r="I557" s="13">
        <v>50</v>
      </c>
      <c r="K557" s="12" t="s">
        <v>4535</v>
      </c>
      <c r="L557" s="12" t="s">
        <v>391</v>
      </c>
      <c r="M557" s="15">
        <v>117030</v>
      </c>
      <c r="N557" s="13">
        <v>34</v>
      </c>
    </row>
    <row r="558" ht="15.75" spans="1:14">
      <c r="A558" s="12" t="s">
        <v>4536</v>
      </c>
      <c r="B558" s="12" t="s">
        <v>391</v>
      </c>
      <c r="C558" s="15">
        <v>13058</v>
      </c>
      <c r="D558" s="13">
        <v>50</v>
      </c>
      <c r="F558" s="12" t="s">
        <v>3769</v>
      </c>
      <c r="G558" s="12" t="s">
        <v>391</v>
      </c>
      <c r="H558" s="15">
        <v>34574</v>
      </c>
      <c r="I558" s="13">
        <v>50</v>
      </c>
      <c r="K558" s="12" t="s">
        <v>3968</v>
      </c>
      <c r="L558" s="12" t="s">
        <v>391</v>
      </c>
      <c r="M558" s="15">
        <v>117637</v>
      </c>
      <c r="N558" s="13">
        <v>34</v>
      </c>
    </row>
    <row r="559" ht="15.75" spans="1:14">
      <c r="A559" s="12" t="s">
        <v>4537</v>
      </c>
      <c r="B559" s="12" t="s">
        <v>391</v>
      </c>
      <c r="C559" s="15">
        <v>21254</v>
      </c>
      <c r="D559" s="13">
        <v>50</v>
      </c>
      <c r="F559" s="12" t="s">
        <v>4538</v>
      </c>
      <c r="G559" s="12" t="s">
        <v>392</v>
      </c>
      <c r="H559" s="15">
        <v>63000</v>
      </c>
      <c r="I559" s="13">
        <v>50</v>
      </c>
      <c r="K559" s="12" t="s">
        <v>3616</v>
      </c>
      <c r="L559" s="12" t="s">
        <v>391</v>
      </c>
      <c r="M559" s="15">
        <v>162215</v>
      </c>
      <c r="N559" s="13">
        <v>34</v>
      </c>
    </row>
    <row r="560" ht="15.75" spans="1:14">
      <c r="A560" s="12" t="s">
        <v>4539</v>
      </c>
      <c r="B560" s="12" t="s">
        <v>391</v>
      </c>
      <c r="C560" s="15">
        <v>11261</v>
      </c>
      <c r="D560" s="13">
        <v>50</v>
      </c>
      <c r="F560" s="12" t="s">
        <v>4540</v>
      </c>
      <c r="G560" s="12" t="s">
        <v>392</v>
      </c>
      <c r="H560" s="15">
        <v>117600</v>
      </c>
      <c r="I560" s="13">
        <v>50</v>
      </c>
      <c r="K560" s="12" t="s">
        <v>4541</v>
      </c>
      <c r="L560" s="12" t="s">
        <v>391</v>
      </c>
      <c r="M560" s="15">
        <v>143830</v>
      </c>
      <c r="N560" s="13">
        <v>34</v>
      </c>
    </row>
    <row r="561" ht="15.75" spans="1:14">
      <c r="A561" s="12" t="s">
        <v>4542</v>
      </c>
      <c r="B561" s="12" t="s">
        <v>391</v>
      </c>
      <c r="C561" s="15">
        <v>17627</v>
      </c>
      <c r="D561" s="13">
        <v>50</v>
      </c>
      <c r="F561" s="12" t="s">
        <v>4543</v>
      </c>
      <c r="G561" s="12" t="s">
        <v>392</v>
      </c>
      <c r="H561" s="15">
        <v>16600</v>
      </c>
      <c r="I561" s="13">
        <v>50</v>
      </c>
      <c r="K561" s="12" t="s">
        <v>4544</v>
      </c>
      <c r="L561" s="12" t="s">
        <v>391</v>
      </c>
      <c r="M561" s="15">
        <v>158353</v>
      </c>
      <c r="N561" s="13">
        <v>34</v>
      </c>
    </row>
    <row r="562" ht="15.75" spans="1:14">
      <c r="A562" s="12" t="s">
        <v>4545</v>
      </c>
      <c r="B562" s="12" t="s">
        <v>391</v>
      </c>
      <c r="C562" s="15">
        <v>10113</v>
      </c>
      <c r="D562" s="13">
        <v>50</v>
      </c>
      <c r="F562" s="12" t="s">
        <v>3771</v>
      </c>
      <c r="G562" s="12" t="s">
        <v>391</v>
      </c>
      <c r="H562" s="15">
        <v>10786</v>
      </c>
      <c r="I562" s="13">
        <v>50</v>
      </c>
      <c r="K562" s="12" t="s">
        <v>4546</v>
      </c>
      <c r="L562" s="12" t="s">
        <v>391</v>
      </c>
      <c r="M562" s="15">
        <v>21800065</v>
      </c>
      <c r="N562" s="13">
        <v>34</v>
      </c>
    </row>
    <row r="563" ht="15.75" spans="1:14">
      <c r="A563" s="12" t="s">
        <v>4547</v>
      </c>
      <c r="B563" s="12" t="s">
        <v>391</v>
      </c>
      <c r="C563" s="15">
        <v>28371</v>
      </c>
      <c r="D563" s="13">
        <v>50</v>
      </c>
      <c r="F563" s="12" t="s">
        <v>4548</v>
      </c>
      <c r="G563" s="12" t="s">
        <v>392</v>
      </c>
      <c r="H563" s="15">
        <v>20800</v>
      </c>
      <c r="I563" s="13">
        <v>50</v>
      </c>
      <c r="K563" s="12" t="s">
        <v>4549</v>
      </c>
      <c r="L563" s="12" t="s">
        <v>391</v>
      </c>
      <c r="M563" s="15">
        <v>140906</v>
      </c>
      <c r="N563" s="13">
        <v>34</v>
      </c>
    </row>
    <row r="564" ht="15.75" spans="1:14">
      <c r="A564" s="12" t="s">
        <v>4550</v>
      </c>
      <c r="B564" s="12" t="s">
        <v>391</v>
      </c>
      <c r="C564" s="15">
        <v>22459</v>
      </c>
      <c r="D564" s="13">
        <v>50</v>
      </c>
      <c r="F564" s="12" t="s">
        <v>4551</v>
      </c>
      <c r="G564" s="12" t="s">
        <v>391</v>
      </c>
      <c r="H564" s="15">
        <v>10466</v>
      </c>
      <c r="I564" s="13">
        <v>50</v>
      </c>
      <c r="K564" s="12" t="s">
        <v>4552</v>
      </c>
      <c r="L564" s="12" t="s">
        <v>391</v>
      </c>
      <c r="M564" s="15">
        <v>356088</v>
      </c>
      <c r="N564" s="13">
        <v>34</v>
      </c>
    </row>
    <row r="565" ht="15.75" spans="1:14">
      <c r="A565" s="12" t="s">
        <v>4553</v>
      </c>
      <c r="B565" s="12" t="s">
        <v>391</v>
      </c>
      <c r="C565" s="15">
        <v>15375</v>
      </c>
      <c r="D565" s="13">
        <v>50</v>
      </c>
      <c r="F565" s="12" t="s">
        <v>4554</v>
      </c>
      <c r="G565" s="12" t="s">
        <v>392</v>
      </c>
      <c r="H565" s="15">
        <v>10700</v>
      </c>
      <c r="I565" s="13">
        <v>50</v>
      </c>
      <c r="K565" s="12" t="s">
        <v>4555</v>
      </c>
      <c r="L565" s="12" t="s">
        <v>391</v>
      </c>
      <c r="M565" s="15">
        <v>101960</v>
      </c>
      <c r="N565" s="13">
        <v>34</v>
      </c>
    </row>
    <row r="566" ht="15.75" spans="1:14">
      <c r="A566" s="12" t="s">
        <v>4556</v>
      </c>
      <c r="B566" s="12" t="s">
        <v>391</v>
      </c>
      <c r="C566" s="15">
        <v>21038</v>
      </c>
      <c r="D566" s="13">
        <v>50</v>
      </c>
      <c r="F566" s="12" t="s">
        <v>4557</v>
      </c>
      <c r="G566" s="12" t="s">
        <v>392</v>
      </c>
      <c r="H566" s="15">
        <v>30000</v>
      </c>
      <c r="I566" s="13">
        <v>50</v>
      </c>
      <c r="K566" s="12" t="s">
        <v>3627</v>
      </c>
      <c r="L566" s="12" t="s">
        <v>391</v>
      </c>
      <c r="M566" s="15">
        <v>158500</v>
      </c>
      <c r="N566" s="13">
        <v>34</v>
      </c>
    </row>
    <row r="567" ht="15.75" spans="1:14">
      <c r="A567" s="12" t="s">
        <v>4558</v>
      </c>
      <c r="B567" s="12" t="s">
        <v>391</v>
      </c>
      <c r="C567" s="15">
        <v>13026</v>
      </c>
      <c r="D567" s="13">
        <v>50</v>
      </c>
      <c r="F567" s="12" t="s">
        <v>4559</v>
      </c>
      <c r="G567" s="12" t="s">
        <v>391</v>
      </c>
      <c r="H567" s="15">
        <v>14190</v>
      </c>
      <c r="I567" s="13">
        <v>50</v>
      </c>
      <c r="K567" s="12" t="s">
        <v>3995</v>
      </c>
      <c r="L567" s="12" t="s">
        <v>391</v>
      </c>
      <c r="M567" s="15">
        <v>113846</v>
      </c>
      <c r="N567" s="13">
        <v>34</v>
      </c>
    </row>
    <row r="568" ht="15.75" spans="1:14">
      <c r="A568" s="12" t="s">
        <v>4560</v>
      </c>
      <c r="B568" s="12" t="s">
        <v>391</v>
      </c>
      <c r="C568" s="15">
        <v>11755</v>
      </c>
      <c r="D568" s="13">
        <v>50</v>
      </c>
      <c r="F568" s="12" t="s">
        <v>4561</v>
      </c>
      <c r="G568" s="12" t="s">
        <v>392</v>
      </c>
      <c r="H568" s="15">
        <v>11500</v>
      </c>
      <c r="I568" s="13">
        <v>50</v>
      </c>
      <c r="K568" s="12" t="s">
        <v>4562</v>
      </c>
      <c r="L568" s="12" t="s">
        <v>391</v>
      </c>
      <c r="M568" s="15">
        <v>541741</v>
      </c>
      <c r="N568" s="13">
        <v>34</v>
      </c>
    </row>
    <row r="569" ht="15.75" spans="1:14">
      <c r="A569" s="12" t="s">
        <v>4563</v>
      </c>
      <c r="B569" s="12" t="s">
        <v>391</v>
      </c>
      <c r="C569" s="15">
        <v>14100</v>
      </c>
      <c r="D569" s="13">
        <v>50</v>
      </c>
      <c r="F569" s="12" t="s">
        <v>4564</v>
      </c>
      <c r="G569" s="12" t="s">
        <v>392</v>
      </c>
      <c r="H569" s="15">
        <v>33300</v>
      </c>
      <c r="I569" s="13">
        <v>50</v>
      </c>
      <c r="K569" s="12" t="s">
        <v>4565</v>
      </c>
      <c r="L569" s="12" t="s">
        <v>391</v>
      </c>
      <c r="M569" s="15">
        <v>131541</v>
      </c>
      <c r="N569" s="13">
        <v>34</v>
      </c>
    </row>
    <row r="570" ht="15.75" spans="1:14">
      <c r="A570" s="12" t="s">
        <v>4566</v>
      </c>
      <c r="B570" s="12" t="s">
        <v>391</v>
      </c>
      <c r="C570" s="15">
        <v>16812</v>
      </c>
      <c r="D570" s="13">
        <v>50</v>
      </c>
      <c r="F570" s="12" t="s">
        <v>4567</v>
      </c>
      <c r="G570" s="12" t="s">
        <v>391</v>
      </c>
      <c r="H570" s="15">
        <v>21997</v>
      </c>
      <c r="I570" s="13">
        <v>50</v>
      </c>
      <c r="K570" s="12" t="s">
        <v>4568</v>
      </c>
      <c r="L570" s="12" t="s">
        <v>392</v>
      </c>
      <c r="M570" s="15">
        <v>1200000</v>
      </c>
      <c r="N570" s="13">
        <v>33</v>
      </c>
    </row>
    <row r="571" ht="15.75" spans="1:14">
      <c r="A571" s="12" t="s">
        <v>4569</v>
      </c>
      <c r="B571" s="12" t="s">
        <v>391</v>
      </c>
      <c r="C571" s="15">
        <v>24709</v>
      </c>
      <c r="D571" s="13">
        <v>50</v>
      </c>
      <c r="F571" s="12" t="s">
        <v>3773</v>
      </c>
      <c r="G571" s="12" t="s">
        <v>391</v>
      </c>
      <c r="H571" s="15">
        <v>12286</v>
      </c>
      <c r="I571" s="13">
        <v>50</v>
      </c>
      <c r="K571" s="12" t="s">
        <v>4570</v>
      </c>
      <c r="L571" s="12" t="s">
        <v>391</v>
      </c>
      <c r="M571" s="15">
        <v>192986</v>
      </c>
      <c r="N571" s="13">
        <v>33</v>
      </c>
    </row>
    <row r="572" ht="15.75" spans="1:14">
      <c r="A572" s="12" t="s">
        <v>4571</v>
      </c>
      <c r="B572" s="12" t="s">
        <v>391</v>
      </c>
      <c r="C572" s="15">
        <v>11459</v>
      </c>
      <c r="D572" s="13">
        <v>50</v>
      </c>
      <c r="F572" s="12" t="s">
        <v>4572</v>
      </c>
      <c r="G572" s="12" t="s">
        <v>392</v>
      </c>
      <c r="H572" s="15">
        <v>11900</v>
      </c>
      <c r="I572" s="13">
        <v>50</v>
      </c>
      <c r="K572" s="12" t="s">
        <v>4573</v>
      </c>
      <c r="L572" s="12" t="s">
        <v>392</v>
      </c>
      <c r="M572" s="15">
        <v>558800</v>
      </c>
      <c r="N572" s="13">
        <v>33</v>
      </c>
    </row>
    <row r="573" ht="15.75" spans="1:14">
      <c r="A573" s="12" t="s">
        <v>4574</v>
      </c>
      <c r="B573" s="12" t="s">
        <v>391</v>
      </c>
      <c r="C573" s="15">
        <v>32535</v>
      </c>
      <c r="D573" s="13">
        <v>50</v>
      </c>
      <c r="F573" s="12" t="s">
        <v>4575</v>
      </c>
      <c r="G573" s="12" t="s">
        <v>391</v>
      </c>
      <c r="H573" s="15">
        <v>34572</v>
      </c>
      <c r="I573" s="13">
        <v>50</v>
      </c>
      <c r="K573" s="12" t="s">
        <v>4576</v>
      </c>
      <c r="L573" s="12" t="s">
        <v>392</v>
      </c>
      <c r="M573" s="15">
        <v>110100</v>
      </c>
      <c r="N573" s="13">
        <v>33</v>
      </c>
    </row>
    <row r="574" ht="15.75" spans="1:14">
      <c r="A574" s="12" t="s">
        <v>4577</v>
      </c>
      <c r="B574" s="12" t="s">
        <v>391</v>
      </c>
      <c r="C574" s="15">
        <v>17438</v>
      </c>
      <c r="D574" s="13">
        <v>50</v>
      </c>
      <c r="F574" s="12" t="s">
        <v>4578</v>
      </c>
      <c r="G574" s="12" t="s">
        <v>391</v>
      </c>
      <c r="H574" s="15">
        <v>18974</v>
      </c>
      <c r="I574" s="13">
        <v>50</v>
      </c>
      <c r="K574" s="12" t="s">
        <v>4579</v>
      </c>
      <c r="L574" s="12" t="s">
        <v>391</v>
      </c>
      <c r="M574" s="15">
        <v>145130</v>
      </c>
      <c r="N574" s="13">
        <v>33</v>
      </c>
    </row>
    <row r="575" ht="15.75" spans="1:14">
      <c r="A575" s="12" t="s">
        <v>4580</v>
      </c>
      <c r="B575" s="12" t="s">
        <v>391</v>
      </c>
      <c r="C575" s="15">
        <v>26228</v>
      </c>
      <c r="D575" s="13">
        <v>50</v>
      </c>
      <c r="F575" s="12" t="s">
        <v>4581</v>
      </c>
      <c r="G575" s="12" t="s">
        <v>392</v>
      </c>
      <c r="H575" s="15">
        <v>15200</v>
      </c>
      <c r="I575" s="13">
        <v>50</v>
      </c>
      <c r="K575" s="12" t="s">
        <v>4582</v>
      </c>
      <c r="L575" s="12" t="s">
        <v>391</v>
      </c>
      <c r="M575" s="15">
        <v>123936</v>
      </c>
      <c r="N575" s="13">
        <v>33</v>
      </c>
    </row>
    <row r="576" ht="15.75" spans="1:14">
      <c r="A576" s="12" t="s">
        <v>4583</v>
      </c>
      <c r="B576" s="12" t="s">
        <v>391</v>
      </c>
      <c r="C576" s="15">
        <v>10908</v>
      </c>
      <c r="D576" s="13">
        <v>50</v>
      </c>
      <c r="F576" s="12" t="s">
        <v>4584</v>
      </c>
      <c r="G576" s="12" t="s">
        <v>392</v>
      </c>
      <c r="H576" s="15">
        <v>62200</v>
      </c>
      <c r="I576" s="13">
        <v>50</v>
      </c>
      <c r="K576" s="12" t="s">
        <v>4585</v>
      </c>
      <c r="L576" s="12" t="s">
        <v>391</v>
      </c>
      <c r="M576" s="15">
        <v>110812</v>
      </c>
      <c r="N576" s="13">
        <v>33</v>
      </c>
    </row>
    <row r="577" ht="15.75" spans="1:14">
      <c r="A577" s="12" t="s">
        <v>4586</v>
      </c>
      <c r="B577" s="12" t="s">
        <v>391</v>
      </c>
      <c r="C577" s="15">
        <v>31536</v>
      </c>
      <c r="D577" s="13">
        <v>50</v>
      </c>
      <c r="F577" s="12" t="s">
        <v>4587</v>
      </c>
      <c r="G577" s="12" t="s">
        <v>392</v>
      </c>
      <c r="H577" s="15">
        <v>4640767</v>
      </c>
      <c r="I577" s="13">
        <v>50</v>
      </c>
      <c r="K577" s="12" t="s">
        <v>4588</v>
      </c>
      <c r="L577" s="12" t="s">
        <v>392</v>
      </c>
      <c r="M577" s="15">
        <v>283300</v>
      </c>
      <c r="N577" s="13">
        <v>33</v>
      </c>
    </row>
    <row r="578" ht="15.75" spans="1:14">
      <c r="A578" s="12" t="s">
        <v>4589</v>
      </c>
      <c r="B578" s="12" t="s">
        <v>391</v>
      </c>
      <c r="C578" s="15">
        <v>22448</v>
      </c>
      <c r="D578" s="13">
        <v>50</v>
      </c>
      <c r="F578" s="12" t="s">
        <v>4590</v>
      </c>
      <c r="G578" s="12" t="s">
        <v>392</v>
      </c>
      <c r="H578" s="15">
        <v>21900</v>
      </c>
      <c r="I578" s="13">
        <v>50</v>
      </c>
      <c r="K578" s="12" t="s">
        <v>3915</v>
      </c>
      <c r="L578" s="12" t="s">
        <v>391</v>
      </c>
      <c r="M578" s="15">
        <v>382923</v>
      </c>
      <c r="N578" s="13">
        <v>33</v>
      </c>
    </row>
    <row r="579" ht="15.75" spans="1:14">
      <c r="A579" s="12" t="s">
        <v>4591</v>
      </c>
      <c r="B579" s="12" t="s">
        <v>391</v>
      </c>
      <c r="C579" s="15">
        <v>25289</v>
      </c>
      <c r="D579" s="13">
        <v>50</v>
      </c>
      <c r="F579" s="12" t="s">
        <v>4592</v>
      </c>
      <c r="G579" s="12" t="s">
        <v>392</v>
      </c>
      <c r="H579" s="15">
        <v>19000</v>
      </c>
      <c r="I579" s="13">
        <v>50</v>
      </c>
      <c r="K579" s="12" t="s">
        <v>3921</v>
      </c>
      <c r="L579" s="12" t="s">
        <v>392</v>
      </c>
      <c r="M579" s="15">
        <v>148500</v>
      </c>
      <c r="N579" s="13">
        <v>33</v>
      </c>
    </row>
    <row r="580" ht="15.75" spans="1:14">
      <c r="A580" s="12" t="s">
        <v>4593</v>
      </c>
      <c r="B580" s="12" t="s">
        <v>391</v>
      </c>
      <c r="C580" s="15">
        <v>18741</v>
      </c>
      <c r="D580" s="13">
        <v>50</v>
      </c>
      <c r="F580" s="12" t="s">
        <v>4594</v>
      </c>
      <c r="G580" s="12" t="s">
        <v>392</v>
      </c>
      <c r="H580" s="15">
        <v>20000</v>
      </c>
      <c r="I580" s="13">
        <v>50</v>
      </c>
      <c r="K580" s="12" t="s">
        <v>4595</v>
      </c>
      <c r="L580" s="12" t="s">
        <v>392</v>
      </c>
      <c r="M580" s="15">
        <v>253400</v>
      </c>
      <c r="N580" s="13">
        <v>33</v>
      </c>
    </row>
    <row r="581" ht="15.75" spans="1:14">
      <c r="A581" s="12" t="s">
        <v>4596</v>
      </c>
      <c r="B581" s="12" t="s">
        <v>391</v>
      </c>
      <c r="C581" s="15">
        <v>18219</v>
      </c>
      <c r="D581" s="13">
        <v>50</v>
      </c>
      <c r="F581" s="12" t="s">
        <v>4597</v>
      </c>
      <c r="G581" s="12" t="s">
        <v>392</v>
      </c>
      <c r="H581" s="15">
        <v>98000</v>
      </c>
      <c r="I581" s="13">
        <v>50</v>
      </c>
      <c r="K581" s="12" t="s">
        <v>4598</v>
      </c>
      <c r="L581" s="12" t="s">
        <v>391</v>
      </c>
      <c r="M581" s="15">
        <v>159585</v>
      </c>
      <c r="N581" s="13">
        <v>33</v>
      </c>
    </row>
    <row r="582" ht="15.75" spans="1:14">
      <c r="A582" s="12" t="s">
        <v>4599</v>
      </c>
      <c r="B582" s="12" t="s">
        <v>391</v>
      </c>
      <c r="C582" s="15">
        <v>10884</v>
      </c>
      <c r="D582" s="13">
        <v>50</v>
      </c>
      <c r="F582" s="12" t="s">
        <v>4600</v>
      </c>
      <c r="G582" s="12" t="s">
        <v>391</v>
      </c>
      <c r="H582" s="15">
        <v>11705</v>
      </c>
      <c r="I582" s="13">
        <v>50</v>
      </c>
      <c r="K582" s="12" t="s">
        <v>4601</v>
      </c>
      <c r="L582" s="12" t="s">
        <v>391</v>
      </c>
      <c r="M582" s="15">
        <v>100930</v>
      </c>
      <c r="N582" s="13">
        <v>33</v>
      </c>
    </row>
    <row r="583" ht="15.75" spans="1:14">
      <c r="A583" s="12" t="s">
        <v>4602</v>
      </c>
      <c r="B583" s="12" t="s">
        <v>391</v>
      </c>
      <c r="C583" s="15">
        <v>15896</v>
      </c>
      <c r="D583" s="13">
        <v>50</v>
      </c>
      <c r="F583" s="12" t="s">
        <v>4603</v>
      </c>
      <c r="G583" s="12" t="s">
        <v>392</v>
      </c>
      <c r="H583" s="15">
        <v>14600</v>
      </c>
      <c r="I583" s="13">
        <v>50</v>
      </c>
      <c r="K583" s="12" t="s">
        <v>4604</v>
      </c>
      <c r="L583" s="12" t="s">
        <v>391</v>
      </c>
      <c r="M583" s="15">
        <v>197399</v>
      </c>
      <c r="N583" s="13">
        <v>33</v>
      </c>
    </row>
    <row r="584" ht="15.75" spans="1:14">
      <c r="A584" s="12" t="s">
        <v>4605</v>
      </c>
      <c r="B584" s="12" t="s">
        <v>391</v>
      </c>
      <c r="C584" s="15">
        <v>16666</v>
      </c>
      <c r="D584" s="13">
        <v>50</v>
      </c>
      <c r="F584" s="12" t="s">
        <v>4606</v>
      </c>
      <c r="G584" s="12" t="s">
        <v>392</v>
      </c>
      <c r="H584" s="15">
        <v>349000</v>
      </c>
      <c r="I584" s="13">
        <v>50</v>
      </c>
      <c r="K584" s="12" t="s">
        <v>3645</v>
      </c>
      <c r="L584" s="12" t="s">
        <v>391</v>
      </c>
      <c r="M584" s="15">
        <v>420042</v>
      </c>
      <c r="N584" s="13">
        <v>33</v>
      </c>
    </row>
    <row r="585" ht="15.75" spans="1:14">
      <c r="A585" s="12" t="s">
        <v>4607</v>
      </c>
      <c r="B585" s="12" t="s">
        <v>391</v>
      </c>
      <c r="C585" s="15">
        <v>10029</v>
      </c>
      <c r="D585" s="13">
        <v>50</v>
      </c>
      <c r="F585" s="12" t="s">
        <v>4608</v>
      </c>
      <c r="G585" s="12" t="s">
        <v>392</v>
      </c>
      <c r="H585" s="15">
        <v>74700</v>
      </c>
      <c r="I585" s="13">
        <v>50</v>
      </c>
      <c r="K585" s="12" t="s">
        <v>3646</v>
      </c>
      <c r="L585" s="12" t="s">
        <v>391</v>
      </c>
      <c r="M585" s="15">
        <v>269064</v>
      </c>
      <c r="N585" s="13">
        <v>33</v>
      </c>
    </row>
    <row r="586" ht="15.75" spans="1:14">
      <c r="A586" s="12" t="s">
        <v>4609</v>
      </c>
      <c r="B586" s="12" t="s">
        <v>391</v>
      </c>
      <c r="C586" s="15">
        <v>10246</v>
      </c>
      <c r="D586" s="13">
        <v>50</v>
      </c>
      <c r="F586" s="12" t="s">
        <v>4610</v>
      </c>
      <c r="G586" s="12" t="s">
        <v>392</v>
      </c>
      <c r="H586" s="15">
        <v>1300000</v>
      </c>
      <c r="I586" s="13">
        <v>50</v>
      </c>
      <c r="K586" s="12" t="s">
        <v>4611</v>
      </c>
      <c r="L586" s="12" t="s">
        <v>391</v>
      </c>
      <c r="M586" s="15">
        <v>102498</v>
      </c>
      <c r="N586" s="13">
        <v>33</v>
      </c>
    </row>
    <row r="587" ht="15.75" spans="1:14">
      <c r="A587" s="12" t="s">
        <v>4612</v>
      </c>
      <c r="B587" s="12" t="s">
        <v>391</v>
      </c>
      <c r="C587" s="15">
        <v>21658</v>
      </c>
      <c r="D587" s="13">
        <v>50</v>
      </c>
      <c r="F587" s="12" t="s">
        <v>3775</v>
      </c>
      <c r="G587" s="12" t="s">
        <v>391</v>
      </c>
      <c r="H587" s="15">
        <v>10501</v>
      </c>
      <c r="I587" s="13">
        <v>50</v>
      </c>
      <c r="K587" s="12" t="s">
        <v>4613</v>
      </c>
      <c r="L587" s="12" t="s">
        <v>391</v>
      </c>
      <c r="M587" s="15">
        <v>264379</v>
      </c>
      <c r="N587" s="13">
        <v>33</v>
      </c>
    </row>
    <row r="588" ht="15.75" spans="1:14">
      <c r="A588" s="12" t="s">
        <v>4614</v>
      </c>
      <c r="B588" s="12" t="s">
        <v>391</v>
      </c>
      <c r="C588" s="15">
        <v>26344</v>
      </c>
      <c r="D588" s="13">
        <v>50</v>
      </c>
      <c r="F588" s="12" t="s">
        <v>4615</v>
      </c>
      <c r="G588" s="12" t="s">
        <v>391</v>
      </c>
      <c r="H588" s="15">
        <v>31354</v>
      </c>
      <c r="I588" s="13">
        <v>50</v>
      </c>
      <c r="K588" s="12" t="s">
        <v>4616</v>
      </c>
      <c r="L588" s="12" t="s">
        <v>391</v>
      </c>
      <c r="M588" s="15">
        <v>121272</v>
      </c>
      <c r="N588" s="13">
        <v>33</v>
      </c>
    </row>
    <row r="589" ht="15.75" spans="1:14">
      <c r="A589" s="12" t="s">
        <v>4617</v>
      </c>
      <c r="B589" s="12" t="s">
        <v>391</v>
      </c>
      <c r="C589" s="15">
        <v>32212</v>
      </c>
      <c r="D589" s="13">
        <v>50</v>
      </c>
      <c r="F589" s="12" t="s">
        <v>4618</v>
      </c>
      <c r="G589" s="12" t="s">
        <v>391</v>
      </c>
      <c r="H589" s="15">
        <v>22766</v>
      </c>
      <c r="I589" s="13">
        <v>50</v>
      </c>
      <c r="K589" s="12" t="s">
        <v>4619</v>
      </c>
      <c r="L589" s="12" t="s">
        <v>392</v>
      </c>
      <c r="M589" s="15">
        <v>103700</v>
      </c>
      <c r="N589" s="13">
        <v>33</v>
      </c>
    </row>
    <row r="590" ht="15.75" spans="1:14">
      <c r="A590" s="12" t="s">
        <v>4620</v>
      </c>
      <c r="B590" s="12" t="s">
        <v>391</v>
      </c>
      <c r="C590" s="15">
        <v>13147</v>
      </c>
      <c r="D590" s="13">
        <v>50</v>
      </c>
      <c r="F590" s="12" t="s">
        <v>4621</v>
      </c>
      <c r="G590" s="12" t="s">
        <v>392</v>
      </c>
      <c r="H590" s="15">
        <v>19400</v>
      </c>
      <c r="I590" s="13">
        <v>50</v>
      </c>
      <c r="K590" s="12" t="s">
        <v>3626</v>
      </c>
      <c r="L590" s="12" t="s">
        <v>391</v>
      </c>
      <c r="M590" s="15">
        <v>109311</v>
      </c>
      <c r="N590" s="13">
        <v>33</v>
      </c>
    </row>
    <row r="591" ht="15.75" spans="1:14">
      <c r="A591" s="12" t="s">
        <v>4622</v>
      </c>
      <c r="B591" s="12" t="s">
        <v>391</v>
      </c>
      <c r="C591" s="15">
        <v>34714</v>
      </c>
      <c r="D591" s="13">
        <v>50</v>
      </c>
      <c r="F591" s="12" t="s">
        <v>4623</v>
      </c>
      <c r="G591" s="12" t="s">
        <v>392</v>
      </c>
      <c r="H591" s="15">
        <v>258600</v>
      </c>
      <c r="I591" s="13">
        <v>50</v>
      </c>
      <c r="K591" s="12" t="s">
        <v>4624</v>
      </c>
      <c r="L591" s="12" t="s">
        <v>391</v>
      </c>
      <c r="M591" s="15">
        <v>204433</v>
      </c>
      <c r="N591" s="13">
        <v>33</v>
      </c>
    </row>
    <row r="592" ht="15.75" spans="1:14">
      <c r="A592" s="12" t="s">
        <v>4625</v>
      </c>
      <c r="B592" s="12" t="s">
        <v>391</v>
      </c>
      <c r="C592" s="15">
        <v>21998</v>
      </c>
      <c r="D592" s="13">
        <v>50</v>
      </c>
      <c r="F592" s="12" t="s">
        <v>4626</v>
      </c>
      <c r="G592" s="12" t="s">
        <v>391</v>
      </c>
      <c r="H592" s="15">
        <v>14142</v>
      </c>
      <c r="I592" s="13">
        <v>50</v>
      </c>
      <c r="K592" s="12" t="s">
        <v>4627</v>
      </c>
      <c r="L592" s="12" t="s">
        <v>391</v>
      </c>
      <c r="M592" s="15">
        <v>100675</v>
      </c>
      <c r="N592" s="13">
        <v>33</v>
      </c>
    </row>
    <row r="593" ht="15.75" spans="1:14">
      <c r="A593" s="12" t="s">
        <v>4628</v>
      </c>
      <c r="B593" s="12" t="s">
        <v>391</v>
      </c>
      <c r="C593" s="15">
        <v>27078</v>
      </c>
      <c r="D593" s="13">
        <v>50</v>
      </c>
      <c r="F593" s="12" t="s">
        <v>4629</v>
      </c>
      <c r="G593" s="12" t="s">
        <v>392</v>
      </c>
      <c r="H593" s="15">
        <v>30600</v>
      </c>
      <c r="I593" s="13">
        <v>50</v>
      </c>
      <c r="K593" s="12" t="s">
        <v>4630</v>
      </c>
      <c r="L593" s="12" t="s">
        <v>391</v>
      </c>
      <c r="M593" s="15">
        <v>704942</v>
      </c>
      <c r="N593" s="13">
        <v>33</v>
      </c>
    </row>
    <row r="594" ht="15.75" spans="1:14">
      <c r="A594" s="12" t="s">
        <v>4631</v>
      </c>
      <c r="B594" s="12" t="s">
        <v>391</v>
      </c>
      <c r="C594" s="15">
        <v>10761</v>
      </c>
      <c r="D594" s="13">
        <v>50</v>
      </c>
      <c r="F594" s="12" t="s">
        <v>4632</v>
      </c>
      <c r="G594" s="12" t="s">
        <v>392</v>
      </c>
      <c r="H594" s="15">
        <v>47400</v>
      </c>
      <c r="I594" s="13">
        <v>50</v>
      </c>
      <c r="K594" s="12" t="s">
        <v>4633</v>
      </c>
      <c r="L594" s="12" t="s">
        <v>391</v>
      </c>
      <c r="M594" s="15">
        <v>107102</v>
      </c>
      <c r="N594" s="13">
        <v>32</v>
      </c>
    </row>
    <row r="595" ht="15.75" spans="1:14">
      <c r="A595" s="12" t="s">
        <v>4634</v>
      </c>
      <c r="B595" s="12" t="s">
        <v>391</v>
      </c>
      <c r="C595" s="15">
        <v>10739</v>
      </c>
      <c r="D595" s="13">
        <v>50</v>
      </c>
      <c r="F595" s="12" t="s">
        <v>3777</v>
      </c>
      <c r="G595" s="12" t="s">
        <v>391</v>
      </c>
      <c r="H595" s="15">
        <v>23183</v>
      </c>
      <c r="I595" s="13">
        <v>50</v>
      </c>
      <c r="K595" s="12" t="s">
        <v>4635</v>
      </c>
      <c r="L595" s="12" t="s">
        <v>391</v>
      </c>
      <c r="M595" s="15">
        <v>188292</v>
      </c>
      <c r="N595" s="13">
        <v>32</v>
      </c>
    </row>
    <row r="596" ht="15.75" spans="1:14">
      <c r="A596" s="12" t="s">
        <v>4636</v>
      </c>
      <c r="B596" s="12" t="s">
        <v>391</v>
      </c>
      <c r="C596" s="15">
        <v>20835</v>
      </c>
      <c r="D596" s="13">
        <v>50</v>
      </c>
      <c r="F596" s="12" t="s">
        <v>4637</v>
      </c>
      <c r="G596" s="12" t="s">
        <v>391</v>
      </c>
      <c r="H596" s="15">
        <v>20074</v>
      </c>
      <c r="I596" s="13">
        <v>50</v>
      </c>
      <c r="K596" s="12" t="s">
        <v>4638</v>
      </c>
      <c r="L596" s="12" t="s">
        <v>391</v>
      </c>
      <c r="M596" s="15">
        <v>110261</v>
      </c>
      <c r="N596" s="13">
        <v>32</v>
      </c>
    </row>
    <row r="597" ht="15.75" spans="1:14">
      <c r="A597" s="12" t="s">
        <v>4639</v>
      </c>
      <c r="B597" s="12" t="s">
        <v>391</v>
      </c>
      <c r="C597" s="15">
        <v>42145</v>
      </c>
      <c r="D597" s="13">
        <v>50</v>
      </c>
      <c r="F597" s="12" t="s">
        <v>4640</v>
      </c>
      <c r="G597" s="12" t="s">
        <v>392</v>
      </c>
      <c r="H597" s="15">
        <v>41500</v>
      </c>
      <c r="I597" s="13">
        <v>50</v>
      </c>
      <c r="K597" s="12" t="s">
        <v>4641</v>
      </c>
      <c r="L597" s="12" t="s">
        <v>391</v>
      </c>
      <c r="M597" s="15">
        <v>163563</v>
      </c>
      <c r="N597" s="13">
        <v>32</v>
      </c>
    </row>
    <row r="598" ht="15.75" spans="1:14">
      <c r="A598" s="12" t="s">
        <v>4642</v>
      </c>
      <c r="B598" s="12" t="s">
        <v>391</v>
      </c>
      <c r="C598" s="15">
        <v>14650</v>
      </c>
      <c r="D598" s="13">
        <v>50</v>
      </c>
      <c r="F598" s="12" t="s">
        <v>4643</v>
      </c>
      <c r="G598" s="12" t="s">
        <v>391</v>
      </c>
      <c r="H598" s="15">
        <v>12101</v>
      </c>
      <c r="I598" s="13">
        <v>50</v>
      </c>
      <c r="K598" s="12" t="s">
        <v>4644</v>
      </c>
      <c r="L598" s="12" t="s">
        <v>391</v>
      </c>
      <c r="M598" s="15">
        <v>107820</v>
      </c>
      <c r="N598" s="13">
        <v>32</v>
      </c>
    </row>
    <row r="599" ht="15.75" spans="1:14">
      <c r="A599" s="12" t="s">
        <v>4645</v>
      </c>
      <c r="B599" s="12" t="s">
        <v>391</v>
      </c>
      <c r="C599" s="15">
        <v>10851</v>
      </c>
      <c r="D599" s="13">
        <v>50</v>
      </c>
      <c r="F599" s="12" t="s">
        <v>3779</v>
      </c>
      <c r="G599" s="12" t="s">
        <v>391</v>
      </c>
      <c r="H599" s="15">
        <v>20628</v>
      </c>
      <c r="I599" s="13">
        <v>50</v>
      </c>
      <c r="K599" s="12" t="s">
        <v>4646</v>
      </c>
      <c r="L599" s="12" t="s">
        <v>391</v>
      </c>
      <c r="M599" s="15">
        <v>934301</v>
      </c>
      <c r="N599" s="13">
        <v>32</v>
      </c>
    </row>
    <row r="600" ht="15.75" spans="1:14">
      <c r="A600" s="12" t="s">
        <v>4647</v>
      </c>
      <c r="B600" s="12" t="s">
        <v>391</v>
      </c>
      <c r="C600" s="15">
        <v>11733</v>
      </c>
      <c r="D600" s="13">
        <v>50</v>
      </c>
      <c r="F600" s="12" t="s">
        <v>4648</v>
      </c>
      <c r="G600" s="12" t="s">
        <v>392</v>
      </c>
      <c r="H600" s="15">
        <v>15900</v>
      </c>
      <c r="I600" s="13">
        <v>50</v>
      </c>
      <c r="K600" s="12" t="s">
        <v>4649</v>
      </c>
      <c r="L600" s="12" t="s">
        <v>391</v>
      </c>
      <c r="M600" s="15">
        <v>191044</v>
      </c>
      <c r="N600" s="13">
        <v>32</v>
      </c>
    </row>
    <row r="601" ht="15.75" spans="1:14">
      <c r="A601" s="12" t="s">
        <v>4650</v>
      </c>
      <c r="B601" s="12" t="s">
        <v>391</v>
      </c>
      <c r="C601" s="15">
        <v>14195</v>
      </c>
      <c r="D601" s="13">
        <v>50</v>
      </c>
      <c r="F601" s="12" t="s">
        <v>4651</v>
      </c>
      <c r="G601" s="12" t="s">
        <v>392</v>
      </c>
      <c r="H601" s="15">
        <v>66400</v>
      </c>
      <c r="I601" s="13">
        <v>50</v>
      </c>
      <c r="K601" s="12" t="s">
        <v>4652</v>
      </c>
      <c r="L601" s="12" t="s">
        <v>392</v>
      </c>
      <c r="M601" s="15">
        <v>1300000</v>
      </c>
      <c r="N601" s="13">
        <v>32</v>
      </c>
    </row>
    <row r="602" ht="15.75" spans="1:14">
      <c r="A602" s="12" t="s">
        <v>4653</v>
      </c>
      <c r="B602" s="12" t="s">
        <v>391</v>
      </c>
      <c r="C602" s="15">
        <v>17352</v>
      </c>
      <c r="D602" s="13">
        <v>50</v>
      </c>
      <c r="F602" s="12" t="s">
        <v>3781</v>
      </c>
      <c r="G602" s="12" t="s">
        <v>391</v>
      </c>
      <c r="H602" s="15">
        <v>11774</v>
      </c>
      <c r="I602" s="13">
        <v>50</v>
      </c>
      <c r="K602" s="12" t="s">
        <v>4654</v>
      </c>
      <c r="L602" s="12" t="s">
        <v>391</v>
      </c>
      <c r="M602" s="15">
        <v>103861</v>
      </c>
      <c r="N602" s="13">
        <v>32</v>
      </c>
    </row>
    <row r="603" ht="15.75" spans="1:14">
      <c r="A603" s="12" t="s">
        <v>4655</v>
      </c>
      <c r="B603" s="12" t="s">
        <v>391</v>
      </c>
      <c r="C603" s="15">
        <v>14173</v>
      </c>
      <c r="D603" s="13">
        <v>50</v>
      </c>
      <c r="F603" s="12" t="s">
        <v>4656</v>
      </c>
      <c r="G603" s="12" t="s">
        <v>391</v>
      </c>
      <c r="H603" s="15">
        <v>21924</v>
      </c>
      <c r="I603" s="13">
        <v>50</v>
      </c>
      <c r="K603" s="12" t="s">
        <v>4657</v>
      </c>
      <c r="L603" s="12" t="s">
        <v>391</v>
      </c>
      <c r="M603" s="15">
        <v>155628</v>
      </c>
      <c r="N603" s="13">
        <v>32</v>
      </c>
    </row>
    <row r="604" ht="15.75" spans="1:14">
      <c r="A604" s="12" t="s">
        <v>4658</v>
      </c>
      <c r="B604" s="12" t="s">
        <v>391</v>
      </c>
      <c r="C604" s="15">
        <v>16358</v>
      </c>
      <c r="D604" s="13">
        <v>50</v>
      </c>
      <c r="F604" s="12" t="s">
        <v>4659</v>
      </c>
      <c r="G604" s="12" t="s">
        <v>391</v>
      </c>
      <c r="H604" s="15">
        <v>11216</v>
      </c>
      <c r="I604" s="13">
        <v>50</v>
      </c>
      <c r="K604" s="12" t="s">
        <v>3685</v>
      </c>
      <c r="L604" s="12" t="s">
        <v>391</v>
      </c>
      <c r="M604" s="15">
        <v>205371</v>
      </c>
      <c r="N604" s="13">
        <v>32</v>
      </c>
    </row>
    <row r="605" ht="15.75" spans="1:14">
      <c r="A605" s="12" t="s">
        <v>4660</v>
      </c>
      <c r="B605" s="12" t="s">
        <v>391</v>
      </c>
      <c r="C605" s="15">
        <v>15380</v>
      </c>
      <c r="D605" s="13">
        <v>50</v>
      </c>
      <c r="F605" s="12" t="s">
        <v>4661</v>
      </c>
      <c r="G605" s="12" t="s">
        <v>391</v>
      </c>
      <c r="H605" s="15">
        <v>28008</v>
      </c>
      <c r="I605" s="13">
        <v>50</v>
      </c>
      <c r="K605" s="12" t="s">
        <v>4662</v>
      </c>
      <c r="L605" s="12" t="s">
        <v>392</v>
      </c>
      <c r="M605" s="15">
        <v>144600</v>
      </c>
      <c r="N605" s="13">
        <v>32</v>
      </c>
    </row>
    <row r="606" ht="15.75" spans="1:14">
      <c r="A606" s="12" t="s">
        <v>4663</v>
      </c>
      <c r="B606" s="12" t="s">
        <v>391</v>
      </c>
      <c r="C606" s="15">
        <v>22044</v>
      </c>
      <c r="D606" s="13">
        <v>50</v>
      </c>
      <c r="F606" s="12" t="s">
        <v>4664</v>
      </c>
      <c r="G606" s="12" t="s">
        <v>391</v>
      </c>
      <c r="H606" s="15">
        <v>18287</v>
      </c>
      <c r="I606" s="13">
        <v>50</v>
      </c>
      <c r="K606" s="12" t="s">
        <v>3693</v>
      </c>
      <c r="L606" s="12" t="s">
        <v>391</v>
      </c>
      <c r="M606" s="15">
        <v>113909</v>
      </c>
      <c r="N606" s="13">
        <v>32</v>
      </c>
    </row>
    <row r="607" ht="15.75" spans="1:14">
      <c r="A607" s="12" t="s">
        <v>4665</v>
      </c>
      <c r="B607" s="12" t="s">
        <v>391</v>
      </c>
      <c r="C607" s="15">
        <v>16982</v>
      </c>
      <c r="D607" s="13">
        <v>50</v>
      </c>
      <c r="F607" s="12" t="s">
        <v>4666</v>
      </c>
      <c r="G607" s="12" t="s">
        <v>392</v>
      </c>
      <c r="H607" s="15">
        <v>61700</v>
      </c>
      <c r="I607" s="13">
        <v>50</v>
      </c>
      <c r="K607" s="12" t="s">
        <v>4667</v>
      </c>
      <c r="L607" s="12" t="s">
        <v>391</v>
      </c>
      <c r="M607" s="15">
        <v>100283</v>
      </c>
      <c r="N607" s="13">
        <v>32</v>
      </c>
    </row>
    <row r="608" ht="15.75" spans="1:14">
      <c r="A608" s="12" t="s">
        <v>4668</v>
      </c>
      <c r="B608" s="12" t="s">
        <v>391</v>
      </c>
      <c r="C608" s="15">
        <v>15505</v>
      </c>
      <c r="D608" s="13">
        <v>50</v>
      </c>
      <c r="F608" s="12" t="s">
        <v>4669</v>
      </c>
      <c r="G608" s="12" t="s">
        <v>392</v>
      </c>
      <c r="H608" s="15">
        <v>305600</v>
      </c>
      <c r="I608" s="13">
        <v>50</v>
      </c>
      <c r="K608" s="12" t="s">
        <v>3990</v>
      </c>
      <c r="L608" s="12" t="s">
        <v>391</v>
      </c>
      <c r="M608" s="15">
        <v>121604</v>
      </c>
      <c r="N608" s="13">
        <v>32</v>
      </c>
    </row>
    <row r="609" ht="15.75" spans="1:14">
      <c r="A609" s="12" t="s">
        <v>4670</v>
      </c>
      <c r="B609" s="12" t="s">
        <v>391</v>
      </c>
      <c r="C609" s="15">
        <v>18808</v>
      </c>
      <c r="D609" s="13">
        <v>50</v>
      </c>
      <c r="F609" s="12" t="s">
        <v>4671</v>
      </c>
      <c r="G609" s="12" t="s">
        <v>391</v>
      </c>
      <c r="H609" s="15">
        <v>22690</v>
      </c>
      <c r="I609" s="13">
        <v>50</v>
      </c>
      <c r="K609" s="12" t="s">
        <v>4672</v>
      </c>
      <c r="L609" s="12" t="s">
        <v>391</v>
      </c>
      <c r="M609" s="15">
        <v>142167</v>
      </c>
      <c r="N609" s="13">
        <v>32</v>
      </c>
    </row>
    <row r="610" ht="15.75" spans="1:14">
      <c r="A610" s="12" t="s">
        <v>4673</v>
      </c>
      <c r="B610" s="12" t="s">
        <v>391</v>
      </c>
      <c r="C610" s="15">
        <v>13232</v>
      </c>
      <c r="D610" s="13">
        <v>50</v>
      </c>
      <c r="F610" s="12" t="s">
        <v>4674</v>
      </c>
      <c r="G610" s="12" t="s">
        <v>392</v>
      </c>
      <c r="H610" s="15">
        <v>38300</v>
      </c>
      <c r="I610" s="13">
        <v>50</v>
      </c>
      <c r="K610" s="12" t="s">
        <v>4675</v>
      </c>
      <c r="L610" s="12" t="s">
        <v>391</v>
      </c>
      <c r="M610" s="15">
        <v>136150</v>
      </c>
      <c r="N610" s="13">
        <v>32</v>
      </c>
    </row>
    <row r="611" ht="15.75" spans="1:14">
      <c r="A611" s="12" t="s">
        <v>4676</v>
      </c>
      <c r="B611" s="12" t="s">
        <v>391</v>
      </c>
      <c r="C611" s="15">
        <v>18430</v>
      </c>
      <c r="D611" s="13">
        <v>50</v>
      </c>
      <c r="F611" s="12" t="s">
        <v>4677</v>
      </c>
      <c r="G611" s="12" t="s">
        <v>391</v>
      </c>
      <c r="H611" s="15">
        <v>10107</v>
      </c>
      <c r="I611" s="13">
        <v>50</v>
      </c>
      <c r="K611" s="12" t="s">
        <v>4678</v>
      </c>
      <c r="L611" s="12" t="s">
        <v>391</v>
      </c>
      <c r="M611" s="15">
        <v>107204</v>
      </c>
      <c r="N611" s="13">
        <v>32</v>
      </c>
    </row>
    <row r="612" ht="15.75" spans="1:14">
      <c r="A612" s="12" t="s">
        <v>4679</v>
      </c>
      <c r="B612" s="12" t="s">
        <v>391</v>
      </c>
      <c r="C612" s="15">
        <v>14078</v>
      </c>
      <c r="D612" s="13">
        <v>50</v>
      </c>
      <c r="F612" s="12" t="s">
        <v>3783</v>
      </c>
      <c r="G612" s="12" t="s">
        <v>391</v>
      </c>
      <c r="H612" s="15">
        <v>25175</v>
      </c>
      <c r="I612" s="13">
        <v>50</v>
      </c>
      <c r="K612" s="12" t="s">
        <v>4680</v>
      </c>
      <c r="L612" s="12" t="s">
        <v>392</v>
      </c>
      <c r="M612" s="15">
        <v>613500</v>
      </c>
      <c r="N612" s="13">
        <v>31</v>
      </c>
    </row>
    <row r="613" ht="15.75" spans="1:14">
      <c r="A613" s="12" t="s">
        <v>4681</v>
      </c>
      <c r="B613" s="12" t="s">
        <v>391</v>
      </c>
      <c r="C613" s="15">
        <v>20970</v>
      </c>
      <c r="D613" s="13">
        <v>50</v>
      </c>
      <c r="F613" s="12" t="s">
        <v>4682</v>
      </c>
      <c r="G613" s="12" t="s">
        <v>392</v>
      </c>
      <c r="H613" s="15">
        <v>245300</v>
      </c>
      <c r="I613" s="13">
        <v>50</v>
      </c>
      <c r="K613" s="12" t="s">
        <v>4683</v>
      </c>
      <c r="L613" s="12" t="s">
        <v>391</v>
      </c>
      <c r="M613" s="15">
        <v>105143</v>
      </c>
      <c r="N613" s="13">
        <v>31</v>
      </c>
    </row>
    <row r="614" ht="15.75" spans="1:14">
      <c r="A614" s="12" t="s">
        <v>4684</v>
      </c>
      <c r="B614" s="12" t="s">
        <v>391</v>
      </c>
      <c r="C614" s="15">
        <v>17056</v>
      </c>
      <c r="D614" s="13">
        <v>50</v>
      </c>
      <c r="F614" s="12" t="s">
        <v>4685</v>
      </c>
      <c r="G614" s="12" t="s">
        <v>392</v>
      </c>
      <c r="H614" s="15">
        <v>16000</v>
      </c>
      <c r="I614" s="13">
        <v>50</v>
      </c>
      <c r="K614" s="12" t="s">
        <v>4686</v>
      </c>
      <c r="L614" s="12" t="s">
        <v>391</v>
      </c>
      <c r="M614" s="15">
        <v>206887</v>
      </c>
      <c r="N614" s="13">
        <v>31</v>
      </c>
    </row>
    <row r="615" ht="15.75" spans="1:14">
      <c r="A615" s="12" t="s">
        <v>4687</v>
      </c>
      <c r="B615" s="12" t="s">
        <v>391</v>
      </c>
      <c r="C615" s="15">
        <v>10422</v>
      </c>
      <c r="D615" s="13">
        <v>50</v>
      </c>
      <c r="F615" s="12" t="s">
        <v>3785</v>
      </c>
      <c r="G615" s="12" t="s">
        <v>391</v>
      </c>
      <c r="H615" s="15">
        <v>19694</v>
      </c>
      <c r="I615" s="13">
        <v>50</v>
      </c>
      <c r="K615" s="12" t="s">
        <v>4688</v>
      </c>
      <c r="L615" s="12" t="s">
        <v>392</v>
      </c>
      <c r="M615" s="15">
        <v>314300</v>
      </c>
      <c r="N615" s="13">
        <v>31</v>
      </c>
    </row>
    <row r="616" ht="15.75" spans="1:14">
      <c r="A616" s="12" t="s">
        <v>4689</v>
      </c>
      <c r="B616" s="12" t="s">
        <v>391</v>
      </c>
      <c r="C616" s="15">
        <v>11323</v>
      </c>
      <c r="D616" s="13">
        <v>50</v>
      </c>
      <c r="F616" s="12" t="s">
        <v>3787</v>
      </c>
      <c r="G616" s="12" t="s">
        <v>391</v>
      </c>
      <c r="H616" s="15">
        <v>14527</v>
      </c>
      <c r="I616" s="13">
        <v>50</v>
      </c>
      <c r="K616" s="12" t="s">
        <v>4690</v>
      </c>
      <c r="L616" s="12" t="s">
        <v>391</v>
      </c>
      <c r="M616" s="15">
        <v>285213</v>
      </c>
      <c r="N616" s="13">
        <v>31</v>
      </c>
    </row>
    <row r="617" ht="15.75" spans="1:14">
      <c r="A617" s="12" t="s">
        <v>4691</v>
      </c>
      <c r="B617" s="12" t="s">
        <v>391</v>
      </c>
      <c r="C617" s="15">
        <v>11740</v>
      </c>
      <c r="D617" s="13">
        <v>50</v>
      </c>
      <c r="F617" s="12" t="s">
        <v>4692</v>
      </c>
      <c r="G617" s="12" t="s">
        <v>392</v>
      </c>
      <c r="H617" s="15">
        <v>17900</v>
      </c>
      <c r="I617" s="13">
        <v>50</v>
      </c>
      <c r="K617" s="12" t="s">
        <v>4693</v>
      </c>
      <c r="L617" s="12" t="s">
        <v>391</v>
      </c>
      <c r="M617" s="15">
        <v>104393</v>
      </c>
      <c r="N617" s="13">
        <v>31</v>
      </c>
    </row>
    <row r="618" ht="15.75" spans="1:14">
      <c r="A618" s="12" t="s">
        <v>4694</v>
      </c>
      <c r="B618" s="12" t="s">
        <v>391</v>
      </c>
      <c r="C618" s="15">
        <v>13895</v>
      </c>
      <c r="D618" s="13">
        <v>50</v>
      </c>
      <c r="F618" s="12" t="s">
        <v>3788</v>
      </c>
      <c r="G618" s="12" t="s">
        <v>391</v>
      </c>
      <c r="H618" s="15">
        <v>19061</v>
      </c>
      <c r="I618" s="13">
        <v>50</v>
      </c>
      <c r="K618" s="12" t="s">
        <v>4695</v>
      </c>
      <c r="L618" s="12" t="s">
        <v>392</v>
      </c>
      <c r="M618" s="15">
        <v>149100</v>
      </c>
      <c r="N618" s="13">
        <v>31</v>
      </c>
    </row>
    <row r="619" ht="15.75" spans="1:14">
      <c r="A619" s="12" t="s">
        <v>4696</v>
      </c>
      <c r="B619" s="12" t="s">
        <v>391</v>
      </c>
      <c r="C619" s="15">
        <v>30048</v>
      </c>
      <c r="D619" s="13">
        <v>50</v>
      </c>
      <c r="F619" s="12" t="s">
        <v>4697</v>
      </c>
      <c r="G619" s="12" t="s">
        <v>391</v>
      </c>
      <c r="H619" s="15">
        <v>10969</v>
      </c>
      <c r="I619" s="13">
        <v>50</v>
      </c>
      <c r="K619" s="12" t="s">
        <v>4698</v>
      </c>
      <c r="L619" s="12" t="s">
        <v>391</v>
      </c>
      <c r="M619" s="15">
        <v>119838</v>
      </c>
      <c r="N619" s="13">
        <v>31</v>
      </c>
    </row>
    <row r="620" ht="15.75" spans="1:14">
      <c r="A620" s="12" t="s">
        <v>4699</v>
      </c>
      <c r="B620" s="12" t="s">
        <v>391</v>
      </c>
      <c r="C620" s="15">
        <v>22435</v>
      </c>
      <c r="D620" s="13">
        <v>50</v>
      </c>
      <c r="F620" s="12" t="s">
        <v>4700</v>
      </c>
      <c r="G620" s="12" t="s">
        <v>391</v>
      </c>
      <c r="H620" s="15">
        <v>19404</v>
      </c>
      <c r="I620" s="13">
        <v>50</v>
      </c>
      <c r="K620" s="12" t="s">
        <v>4701</v>
      </c>
      <c r="L620" s="12" t="s">
        <v>391</v>
      </c>
      <c r="M620" s="15">
        <v>105931</v>
      </c>
      <c r="N620" s="13">
        <v>31</v>
      </c>
    </row>
    <row r="621" ht="15.75" spans="1:14">
      <c r="A621" s="12" t="s">
        <v>4702</v>
      </c>
      <c r="B621" s="12" t="s">
        <v>391</v>
      </c>
      <c r="C621" s="15">
        <v>22946</v>
      </c>
      <c r="D621" s="13">
        <v>50</v>
      </c>
      <c r="F621" s="12" t="s">
        <v>3789</v>
      </c>
      <c r="G621" s="12" t="s">
        <v>391</v>
      </c>
      <c r="H621" s="15">
        <v>13879</v>
      </c>
      <c r="I621" s="13">
        <v>50</v>
      </c>
      <c r="K621" s="12" t="s">
        <v>4703</v>
      </c>
      <c r="L621" s="12" t="s">
        <v>391</v>
      </c>
      <c r="M621" s="15">
        <v>125452</v>
      </c>
      <c r="N621" s="13">
        <v>31</v>
      </c>
    </row>
    <row r="622" ht="15.75" spans="1:14">
      <c r="A622" s="12" t="s">
        <v>4704</v>
      </c>
      <c r="B622" s="12" t="s">
        <v>391</v>
      </c>
      <c r="C622" s="15">
        <v>11587</v>
      </c>
      <c r="D622" s="13">
        <v>50</v>
      </c>
      <c r="F622" s="12" t="s">
        <v>4705</v>
      </c>
      <c r="G622" s="12" t="s">
        <v>392</v>
      </c>
      <c r="H622" s="15">
        <v>11100</v>
      </c>
      <c r="I622" s="13">
        <v>50</v>
      </c>
      <c r="K622" s="12" t="s">
        <v>4706</v>
      </c>
      <c r="L622" s="12" t="s">
        <v>391</v>
      </c>
      <c r="M622" s="15">
        <v>161152</v>
      </c>
      <c r="N622" s="13">
        <v>31</v>
      </c>
    </row>
    <row r="623" ht="15.75" spans="1:14">
      <c r="A623" s="12" t="s">
        <v>4707</v>
      </c>
      <c r="B623" s="12" t="s">
        <v>391</v>
      </c>
      <c r="C623" s="15">
        <v>11713</v>
      </c>
      <c r="D623" s="13">
        <v>50</v>
      </c>
      <c r="F623" s="12" t="s">
        <v>4708</v>
      </c>
      <c r="G623" s="12" t="s">
        <v>391</v>
      </c>
      <c r="H623" s="15">
        <v>12578</v>
      </c>
      <c r="I623" s="13">
        <v>50</v>
      </c>
      <c r="K623" s="12" t="s">
        <v>4709</v>
      </c>
      <c r="L623" s="12" t="s">
        <v>391</v>
      </c>
      <c r="M623" s="15">
        <v>921004</v>
      </c>
      <c r="N623" s="13">
        <v>31</v>
      </c>
    </row>
    <row r="624" ht="15.75" spans="1:14">
      <c r="A624" s="12" t="s">
        <v>4710</v>
      </c>
      <c r="B624" s="12" t="s">
        <v>391</v>
      </c>
      <c r="C624" s="15">
        <v>12791</v>
      </c>
      <c r="D624" s="13">
        <v>50</v>
      </c>
      <c r="F624" s="12" t="s">
        <v>3791</v>
      </c>
      <c r="G624" s="12" t="s">
        <v>391</v>
      </c>
      <c r="H624" s="15">
        <v>28651</v>
      </c>
      <c r="I624" s="13">
        <v>50</v>
      </c>
      <c r="K624" s="12" t="s">
        <v>4711</v>
      </c>
      <c r="L624" s="12" t="s">
        <v>391</v>
      </c>
      <c r="M624" s="15">
        <v>221064</v>
      </c>
      <c r="N624" s="13">
        <v>31</v>
      </c>
    </row>
    <row r="625" ht="15.75" spans="1:14">
      <c r="A625" s="12" t="s">
        <v>4712</v>
      </c>
      <c r="B625" s="12" t="s">
        <v>391</v>
      </c>
      <c r="C625" s="15">
        <v>15093</v>
      </c>
      <c r="D625" s="13">
        <v>50</v>
      </c>
      <c r="F625" s="12" t="s">
        <v>4713</v>
      </c>
      <c r="G625" s="12" t="s">
        <v>392</v>
      </c>
      <c r="H625" s="15">
        <v>10800</v>
      </c>
      <c r="I625" s="13">
        <v>50</v>
      </c>
      <c r="K625" s="12" t="s">
        <v>4714</v>
      </c>
      <c r="L625" s="12" t="s">
        <v>391</v>
      </c>
      <c r="M625" s="15">
        <v>1458035</v>
      </c>
      <c r="N625" s="13">
        <v>31</v>
      </c>
    </row>
    <row r="626" ht="15.75" spans="1:14">
      <c r="A626" s="12" t="s">
        <v>4715</v>
      </c>
      <c r="B626" s="12" t="s">
        <v>391</v>
      </c>
      <c r="C626" s="15">
        <v>11318</v>
      </c>
      <c r="D626" s="13">
        <v>50</v>
      </c>
      <c r="F626" s="12" t="s">
        <v>4716</v>
      </c>
      <c r="G626" s="12" t="s">
        <v>392</v>
      </c>
      <c r="H626" s="15">
        <v>1200000</v>
      </c>
      <c r="I626" s="13">
        <v>50</v>
      </c>
      <c r="K626" s="12" t="s">
        <v>4717</v>
      </c>
      <c r="L626" s="12" t="s">
        <v>392</v>
      </c>
      <c r="M626" s="15">
        <v>178000</v>
      </c>
      <c r="N626" s="13">
        <v>31</v>
      </c>
    </row>
    <row r="627" ht="15.75" spans="1:14">
      <c r="A627" s="12" t="s">
        <v>4718</v>
      </c>
      <c r="B627" s="12" t="s">
        <v>391</v>
      </c>
      <c r="C627" s="15">
        <v>32463</v>
      </c>
      <c r="D627" s="13">
        <v>50</v>
      </c>
      <c r="F627" s="12" t="s">
        <v>4719</v>
      </c>
      <c r="G627" s="12" t="s">
        <v>391</v>
      </c>
      <c r="H627" s="15">
        <v>10908</v>
      </c>
      <c r="I627" s="13">
        <v>50</v>
      </c>
      <c r="K627" s="12" t="s">
        <v>4720</v>
      </c>
      <c r="L627" s="12" t="s">
        <v>391</v>
      </c>
      <c r="M627" s="15">
        <v>150200</v>
      </c>
      <c r="N627" s="13">
        <v>31</v>
      </c>
    </row>
    <row r="628" ht="15.75" spans="1:14">
      <c r="A628" s="12" t="s">
        <v>4721</v>
      </c>
      <c r="B628" s="12" t="s">
        <v>391</v>
      </c>
      <c r="C628" s="15">
        <v>34608</v>
      </c>
      <c r="D628" s="13">
        <v>50</v>
      </c>
      <c r="F628" s="12" t="s">
        <v>4722</v>
      </c>
      <c r="G628" s="12" t="s">
        <v>392</v>
      </c>
      <c r="H628" s="15">
        <v>30400</v>
      </c>
      <c r="I628" s="13">
        <v>50</v>
      </c>
      <c r="K628" s="12" t="s">
        <v>4723</v>
      </c>
      <c r="L628" s="12" t="s">
        <v>391</v>
      </c>
      <c r="M628" s="15">
        <v>751499</v>
      </c>
      <c r="N628" s="13">
        <v>31</v>
      </c>
    </row>
    <row r="629" ht="15.75" spans="1:14">
      <c r="A629" s="12" t="s">
        <v>4724</v>
      </c>
      <c r="B629" s="12" t="s">
        <v>391</v>
      </c>
      <c r="C629" s="15">
        <v>10729</v>
      </c>
      <c r="D629" s="13">
        <v>50</v>
      </c>
      <c r="F629" s="12" t="s">
        <v>4725</v>
      </c>
      <c r="G629" s="12" t="s">
        <v>392</v>
      </c>
      <c r="H629" s="15">
        <v>2253392</v>
      </c>
      <c r="I629" s="13">
        <v>50</v>
      </c>
      <c r="K629" s="12" t="s">
        <v>4726</v>
      </c>
      <c r="L629" s="12" t="s">
        <v>391</v>
      </c>
      <c r="M629" s="15">
        <v>493059</v>
      </c>
      <c r="N629" s="13">
        <v>31</v>
      </c>
    </row>
    <row r="630" ht="15.75" spans="1:14">
      <c r="A630" s="12" t="s">
        <v>4727</v>
      </c>
      <c r="B630" s="12" t="s">
        <v>391</v>
      </c>
      <c r="C630" s="15">
        <v>10207</v>
      </c>
      <c r="D630" s="13">
        <v>50</v>
      </c>
      <c r="F630" s="12" t="s">
        <v>4728</v>
      </c>
      <c r="G630" s="12" t="s">
        <v>392</v>
      </c>
      <c r="H630" s="15">
        <v>26700</v>
      </c>
      <c r="I630" s="13">
        <v>50</v>
      </c>
      <c r="K630" s="12" t="s">
        <v>4729</v>
      </c>
      <c r="L630" s="12" t="s">
        <v>391</v>
      </c>
      <c r="M630" s="15">
        <v>213217</v>
      </c>
      <c r="N630" s="13">
        <v>31</v>
      </c>
    </row>
    <row r="631" ht="15.75" spans="1:14">
      <c r="A631" s="12" t="s">
        <v>4730</v>
      </c>
      <c r="B631" s="12" t="s">
        <v>391</v>
      </c>
      <c r="C631" s="15">
        <v>29811</v>
      </c>
      <c r="D631" s="13">
        <v>50</v>
      </c>
      <c r="F631" s="12" t="s">
        <v>4731</v>
      </c>
      <c r="G631" s="12" t="s">
        <v>392</v>
      </c>
      <c r="H631" s="15">
        <v>19300</v>
      </c>
      <c r="I631" s="13">
        <v>50</v>
      </c>
      <c r="K631" s="12" t="s">
        <v>4732</v>
      </c>
      <c r="L631" s="12" t="s">
        <v>391</v>
      </c>
      <c r="M631" s="15">
        <v>338321</v>
      </c>
      <c r="N631" s="13">
        <v>31</v>
      </c>
    </row>
    <row r="632" ht="15.75" spans="1:14">
      <c r="A632" s="12" t="s">
        <v>4733</v>
      </c>
      <c r="B632" s="12" t="s">
        <v>391</v>
      </c>
      <c r="C632" s="15">
        <v>26779</v>
      </c>
      <c r="D632" s="13">
        <v>50</v>
      </c>
      <c r="F632" s="12" t="s">
        <v>4734</v>
      </c>
      <c r="G632" s="12" t="s">
        <v>392</v>
      </c>
      <c r="H632" s="15">
        <v>26600</v>
      </c>
      <c r="I632" s="13">
        <v>50</v>
      </c>
      <c r="K632" s="12" t="s">
        <v>4735</v>
      </c>
      <c r="L632" s="12" t="s">
        <v>392</v>
      </c>
      <c r="M632" s="15">
        <v>173400</v>
      </c>
      <c r="N632" s="13">
        <v>31</v>
      </c>
    </row>
    <row r="633" ht="15.75" spans="1:14">
      <c r="A633" s="12" t="s">
        <v>4736</v>
      </c>
      <c r="B633" s="12" t="s">
        <v>391</v>
      </c>
      <c r="C633" s="15">
        <v>10806</v>
      </c>
      <c r="D633" s="13">
        <v>50</v>
      </c>
      <c r="F633" s="12" t="s">
        <v>4737</v>
      </c>
      <c r="G633" s="12" t="s">
        <v>392</v>
      </c>
      <c r="H633" s="15">
        <v>24200</v>
      </c>
      <c r="I633" s="13">
        <v>50</v>
      </c>
      <c r="K633" s="12" t="s">
        <v>4738</v>
      </c>
      <c r="L633" s="12" t="s">
        <v>391</v>
      </c>
      <c r="M633" s="15">
        <v>152840</v>
      </c>
      <c r="N633" s="13">
        <v>31</v>
      </c>
    </row>
    <row r="634" ht="15.75" spans="1:14">
      <c r="A634" s="12" t="s">
        <v>4739</v>
      </c>
      <c r="B634" s="12" t="s">
        <v>391</v>
      </c>
      <c r="C634" s="15">
        <v>30072</v>
      </c>
      <c r="D634" s="13">
        <v>50</v>
      </c>
      <c r="F634" s="12" t="s">
        <v>3792</v>
      </c>
      <c r="G634" s="12" t="s">
        <v>391</v>
      </c>
      <c r="H634" s="15">
        <v>19225</v>
      </c>
      <c r="I634" s="13">
        <v>50</v>
      </c>
      <c r="K634" s="12" t="s">
        <v>4740</v>
      </c>
      <c r="L634" s="12" t="s">
        <v>391</v>
      </c>
      <c r="M634" s="15">
        <v>103787</v>
      </c>
      <c r="N634" s="13">
        <v>31</v>
      </c>
    </row>
    <row r="635" ht="15.75" spans="1:14">
      <c r="A635" s="12" t="s">
        <v>3955</v>
      </c>
      <c r="B635" s="12" t="s">
        <v>391</v>
      </c>
      <c r="C635" s="15">
        <v>137899</v>
      </c>
      <c r="D635" s="13">
        <v>49</v>
      </c>
      <c r="F635" s="12" t="s">
        <v>4741</v>
      </c>
      <c r="G635" s="12" t="s">
        <v>392</v>
      </c>
      <c r="H635" s="15">
        <v>12000</v>
      </c>
      <c r="I635" s="13">
        <v>50</v>
      </c>
      <c r="K635" s="12" t="s">
        <v>4742</v>
      </c>
      <c r="L635" s="12" t="s">
        <v>391</v>
      </c>
      <c r="M635" s="15">
        <v>117870</v>
      </c>
      <c r="N635" s="13">
        <v>31</v>
      </c>
    </row>
    <row r="636" ht="15.75" spans="1:14">
      <c r="A636" s="12" t="s">
        <v>4743</v>
      </c>
      <c r="B636" s="12" t="s">
        <v>391</v>
      </c>
      <c r="C636" s="15">
        <v>34656</v>
      </c>
      <c r="D636" s="13">
        <v>49</v>
      </c>
      <c r="F636" s="12" t="s">
        <v>4744</v>
      </c>
      <c r="G636" s="12" t="s">
        <v>392</v>
      </c>
      <c r="H636" s="15">
        <v>33200</v>
      </c>
      <c r="I636" s="13">
        <v>50</v>
      </c>
      <c r="K636" s="12" t="s">
        <v>4745</v>
      </c>
      <c r="L636" s="12" t="s">
        <v>391</v>
      </c>
      <c r="M636" s="15">
        <v>151177</v>
      </c>
      <c r="N636" s="13">
        <v>31</v>
      </c>
    </row>
    <row r="637" ht="15.75" spans="1:14">
      <c r="A637" s="12" t="s">
        <v>4746</v>
      </c>
      <c r="B637" s="12" t="s">
        <v>391</v>
      </c>
      <c r="C637" s="15">
        <v>15219</v>
      </c>
      <c r="D637" s="13">
        <v>49</v>
      </c>
      <c r="F637" s="12" t="s">
        <v>3794</v>
      </c>
      <c r="G637" s="12" t="s">
        <v>391</v>
      </c>
      <c r="H637" s="15">
        <v>13809</v>
      </c>
      <c r="I637" s="13">
        <v>50</v>
      </c>
      <c r="K637" s="12" t="s">
        <v>4747</v>
      </c>
      <c r="L637" s="12" t="s">
        <v>391</v>
      </c>
      <c r="M637" s="15">
        <v>184974</v>
      </c>
      <c r="N637" s="13">
        <v>31</v>
      </c>
    </row>
    <row r="638" ht="15.75" spans="1:14">
      <c r="A638" s="12" t="s">
        <v>3978</v>
      </c>
      <c r="B638" s="12" t="s">
        <v>391</v>
      </c>
      <c r="C638" s="15">
        <v>107155</v>
      </c>
      <c r="D638" s="13">
        <v>49</v>
      </c>
      <c r="F638" s="12" t="s">
        <v>4748</v>
      </c>
      <c r="G638" s="12" t="s">
        <v>392</v>
      </c>
      <c r="H638" s="15">
        <v>10200</v>
      </c>
      <c r="I638" s="13">
        <v>50</v>
      </c>
      <c r="K638" s="12" t="s">
        <v>4749</v>
      </c>
      <c r="L638" s="12" t="s">
        <v>391</v>
      </c>
      <c r="M638" s="15">
        <v>227585</v>
      </c>
      <c r="N638" s="13">
        <v>31</v>
      </c>
    </row>
    <row r="639" ht="15.75" spans="1:14">
      <c r="A639" s="12" t="s">
        <v>4750</v>
      </c>
      <c r="B639" s="12" t="s">
        <v>391</v>
      </c>
      <c r="C639" s="15">
        <v>18257</v>
      </c>
      <c r="D639" s="13">
        <v>49</v>
      </c>
      <c r="F639" s="12" t="s">
        <v>4751</v>
      </c>
      <c r="G639" s="12" t="s">
        <v>392</v>
      </c>
      <c r="H639" s="15">
        <v>10700</v>
      </c>
      <c r="I639" s="13">
        <v>50</v>
      </c>
      <c r="K639" s="12" t="s">
        <v>4752</v>
      </c>
      <c r="L639" s="12" t="s">
        <v>391</v>
      </c>
      <c r="M639" s="15">
        <v>242808</v>
      </c>
      <c r="N639" s="13">
        <v>31</v>
      </c>
    </row>
    <row r="640" ht="15.75" spans="1:14">
      <c r="A640" s="12" t="s">
        <v>3998</v>
      </c>
      <c r="B640" s="12" t="s">
        <v>391</v>
      </c>
      <c r="C640" s="15">
        <v>980645</v>
      </c>
      <c r="D640" s="13">
        <v>49</v>
      </c>
      <c r="F640" s="12" t="s">
        <v>3795</v>
      </c>
      <c r="G640" s="12" t="s">
        <v>391</v>
      </c>
      <c r="H640" s="15">
        <v>15963</v>
      </c>
      <c r="I640" s="13">
        <v>50</v>
      </c>
      <c r="K640" s="12" t="s">
        <v>4753</v>
      </c>
      <c r="L640" s="12" t="s">
        <v>391</v>
      </c>
      <c r="M640" s="15">
        <v>1842326</v>
      </c>
      <c r="N640" s="13">
        <v>31</v>
      </c>
    </row>
    <row r="641" ht="15.75" spans="1:14">
      <c r="A641" s="12" t="s">
        <v>4754</v>
      </c>
      <c r="B641" s="12" t="s">
        <v>391</v>
      </c>
      <c r="C641" s="15">
        <v>12439</v>
      </c>
      <c r="D641" s="13">
        <v>49</v>
      </c>
      <c r="F641" s="12" t="s">
        <v>4755</v>
      </c>
      <c r="G641" s="12" t="s">
        <v>391</v>
      </c>
      <c r="H641" s="15">
        <v>19628</v>
      </c>
      <c r="I641" s="13">
        <v>50</v>
      </c>
      <c r="K641" s="12" t="s">
        <v>4756</v>
      </c>
      <c r="L641" s="12" t="s">
        <v>391</v>
      </c>
      <c r="M641" s="15">
        <v>121896</v>
      </c>
      <c r="N641" s="13">
        <v>31</v>
      </c>
    </row>
    <row r="642" ht="15.75" spans="1:14">
      <c r="A642" s="12" t="s">
        <v>3971</v>
      </c>
      <c r="B642" s="12" t="s">
        <v>391</v>
      </c>
      <c r="C642" s="15">
        <v>132461</v>
      </c>
      <c r="D642" s="13">
        <v>49</v>
      </c>
      <c r="F642" s="12" t="s">
        <v>4757</v>
      </c>
      <c r="G642" s="12" t="s">
        <v>392</v>
      </c>
      <c r="H642" s="15">
        <v>10000</v>
      </c>
      <c r="I642" s="13">
        <v>50</v>
      </c>
      <c r="K642" s="12" t="s">
        <v>4758</v>
      </c>
      <c r="L642" s="12" t="s">
        <v>391</v>
      </c>
      <c r="M642" s="15">
        <v>279648</v>
      </c>
      <c r="N642" s="13">
        <v>31</v>
      </c>
    </row>
    <row r="643" ht="15.75" spans="1:14">
      <c r="A643" s="12" t="s">
        <v>4759</v>
      </c>
      <c r="B643" s="12" t="s">
        <v>391</v>
      </c>
      <c r="C643" s="15">
        <v>93474</v>
      </c>
      <c r="D643" s="13">
        <v>49</v>
      </c>
      <c r="F643" s="12" t="s">
        <v>3797</v>
      </c>
      <c r="G643" s="12" t="s">
        <v>391</v>
      </c>
      <c r="H643" s="15">
        <v>31911</v>
      </c>
      <c r="I643" s="13">
        <v>50</v>
      </c>
      <c r="K643" s="12" t="s">
        <v>4760</v>
      </c>
      <c r="L643" s="12" t="s">
        <v>392</v>
      </c>
      <c r="M643" s="15">
        <v>177900</v>
      </c>
      <c r="N643" s="13">
        <v>31</v>
      </c>
    </row>
    <row r="644" ht="15.75" spans="1:14">
      <c r="A644" s="12" t="s">
        <v>4761</v>
      </c>
      <c r="B644" s="12" t="s">
        <v>391</v>
      </c>
      <c r="C644" s="15">
        <v>31388</v>
      </c>
      <c r="D644" s="13">
        <v>49</v>
      </c>
      <c r="F644" s="12" t="s">
        <v>4762</v>
      </c>
      <c r="G644" s="12" t="s">
        <v>392</v>
      </c>
      <c r="H644" s="15">
        <v>252600</v>
      </c>
      <c r="I644" s="13">
        <v>50</v>
      </c>
      <c r="K644" s="12" t="s">
        <v>4763</v>
      </c>
      <c r="L644" s="12" t="s">
        <v>392</v>
      </c>
      <c r="M644" s="15">
        <v>115300</v>
      </c>
      <c r="N644" s="13">
        <v>30</v>
      </c>
    </row>
    <row r="645" ht="15.75" spans="1:14">
      <c r="A645" s="12" t="s">
        <v>4764</v>
      </c>
      <c r="B645" s="12" t="s">
        <v>391</v>
      </c>
      <c r="C645" s="15">
        <v>37564</v>
      </c>
      <c r="D645" s="13">
        <v>49</v>
      </c>
      <c r="F645" s="12" t="s">
        <v>4765</v>
      </c>
      <c r="G645" s="12" t="s">
        <v>391</v>
      </c>
      <c r="H645" s="15">
        <v>11359</v>
      </c>
      <c r="I645" s="13">
        <v>50</v>
      </c>
      <c r="K645" s="12" t="s">
        <v>4766</v>
      </c>
      <c r="L645" s="12" t="s">
        <v>391</v>
      </c>
      <c r="M645" s="15">
        <v>104536</v>
      </c>
      <c r="N645" s="13">
        <v>30</v>
      </c>
    </row>
    <row r="646" ht="15.75" spans="1:14">
      <c r="A646" s="12" t="s">
        <v>4060</v>
      </c>
      <c r="B646" s="12" t="s">
        <v>391</v>
      </c>
      <c r="C646" s="15">
        <v>172679</v>
      </c>
      <c r="D646" s="13">
        <v>48</v>
      </c>
      <c r="F646" s="12" t="s">
        <v>4767</v>
      </c>
      <c r="G646" s="12" t="s">
        <v>392</v>
      </c>
      <c r="H646" s="15">
        <v>46100</v>
      </c>
      <c r="I646" s="13">
        <v>50</v>
      </c>
      <c r="K646" s="12" t="s">
        <v>4768</v>
      </c>
      <c r="L646" s="12" t="s">
        <v>391</v>
      </c>
      <c r="M646" s="15">
        <v>162058</v>
      </c>
      <c r="N646" s="13">
        <v>30</v>
      </c>
    </row>
    <row r="647" ht="15.75" spans="1:14">
      <c r="A647" s="12" t="s">
        <v>4063</v>
      </c>
      <c r="B647" s="12" t="s">
        <v>391</v>
      </c>
      <c r="C647" s="15">
        <v>266557</v>
      </c>
      <c r="D647" s="13">
        <v>48</v>
      </c>
      <c r="F647" s="12" t="s">
        <v>3798</v>
      </c>
      <c r="G647" s="12" t="s">
        <v>391</v>
      </c>
      <c r="H647" s="15">
        <v>17183</v>
      </c>
      <c r="I647" s="13">
        <v>50</v>
      </c>
      <c r="K647" s="12" t="s">
        <v>4769</v>
      </c>
      <c r="L647" s="12" t="s">
        <v>391</v>
      </c>
      <c r="M647" s="15">
        <v>5511969</v>
      </c>
      <c r="N647" s="13">
        <v>30</v>
      </c>
    </row>
    <row r="648" ht="15.75" spans="1:14">
      <c r="A648" s="12" t="s">
        <v>4519</v>
      </c>
      <c r="B648" s="12" t="s">
        <v>391</v>
      </c>
      <c r="C648" s="15">
        <v>317931</v>
      </c>
      <c r="D648" s="13">
        <v>48</v>
      </c>
      <c r="F648" s="12" t="s">
        <v>4770</v>
      </c>
      <c r="G648" s="12" t="s">
        <v>392</v>
      </c>
      <c r="H648" s="15">
        <v>48800</v>
      </c>
      <c r="I648" s="13">
        <v>50</v>
      </c>
      <c r="K648" s="12" t="s">
        <v>4771</v>
      </c>
      <c r="L648" s="12" t="s">
        <v>391</v>
      </c>
      <c r="M648" s="15">
        <v>640007</v>
      </c>
      <c r="N648" s="13">
        <v>30</v>
      </c>
    </row>
    <row r="649" ht="15.75" spans="1:14">
      <c r="A649" s="12" t="s">
        <v>4772</v>
      </c>
      <c r="B649" s="12" t="s">
        <v>391</v>
      </c>
      <c r="C649" s="15">
        <v>44146</v>
      </c>
      <c r="D649" s="13">
        <v>48</v>
      </c>
      <c r="F649" s="12" t="s">
        <v>4773</v>
      </c>
      <c r="G649" s="12" t="s">
        <v>392</v>
      </c>
      <c r="H649" s="15">
        <v>24200</v>
      </c>
      <c r="I649" s="13">
        <v>50</v>
      </c>
      <c r="K649" s="12" t="s">
        <v>4774</v>
      </c>
      <c r="L649" s="12" t="s">
        <v>392</v>
      </c>
      <c r="M649" s="15">
        <v>341600</v>
      </c>
      <c r="N649" s="13">
        <v>30</v>
      </c>
    </row>
    <row r="650" ht="15.75" spans="1:14">
      <c r="A650" s="12" t="s">
        <v>4478</v>
      </c>
      <c r="B650" s="12" t="s">
        <v>391</v>
      </c>
      <c r="C650" s="15">
        <v>273852</v>
      </c>
      <c r="D650" s="13">
        <v>48</v>
      </c>
      <c r="F650" s="12" t="s">
        <v>4775</v>
      </c>
      <c r="G650" s="12" t="s">
        <v>391</v>
      </c>
      <c r="H650" s="15">
        <v>18150</v>
      </c>
      <c r="I650" s="13">
        <v>50</v>
      </c>
      <c r="K650" s="12" t="s">
        <v>4776</v>
      </c>
      <c r="L650" s="12" t="s">
        <v>391</v>
      </c>
      <c r="M650" s="15">
        <v>108832</v>
      </c>
      <c r="N650" s="13">
        <v>30</v>
      </c>
    </row>
    <row r="651" ht="15.75" spans="1:14">
      <c r="A651" s="12" t="s">
        <v>2419</v>
      </c>
      <c r="B651" s="12" t="s">
        <v>391</v>
      </c>
      <c r="C651" s="15">
        <v>17452714</v>
      </c>
      <c r="D651" s="13">
        <v>48</v>
      </c>
      <c r="F651" s="12" t="s">
        <v>4777</v>
      </c>
      <c r="G651" s="12" t="s">
        <v>392</v>
      </c>
      <c r="H651" s="15">
        <v>50000</v>
      </c>
      <c r="I651" s="13">
        <v>50</v>
      </c>
      <c r="K651" s="12" t="s">
        <v>4778</v>
      </c>
      <c r="L651" s="12" t="s">
        <v>392</v>
      </c>
      <c r="M651" s="15">
        <v>125900</v>
      </c>
      <c r="N651" s="13">
        <v>30</v>
      </c>
    </row>
    <row r="652" ht="15.75" spans="1:14">
      <c r="A652" s="12" t="s">
        <v>4779</v>
      </c>
      <c r="B652" s="12" t="s">
        <v>391</v>
      </c>
      <c r="C652" s="15">
        <v>155989</v>
      </c>
      <c r="D652" s="13">
        <v>48</v>
      </c>
      <c r="F652" s="12" t="s">
        <v>4780</v>
      </c>
      <c r="G652" s="12" t="s">
        <v>392</v>
      </c>
      <c r="H652" s="15">
        <v>26700</v>
      </c>
      <c r="I652" s="13">
        <v>50</v>
      </c>
      <c r="K652" s="12" t="s">
        <v>4781</v>
      </c>
      <c r="L652" s="12" t="s">
        <v>391</v>
      </c>
      <c r="M652" s="15">
        <v>117390</v>
      </c>
      <c r="N652" s="13">
        <v>30</v>
      </c>
    </row>
    <row r="653" ht="15.75" spans="1:14">
      <c r="A653" s="12" t="s">
        <v>4782</v>
      </c>
      <c r="B653" s="12" t="s">
        <v>391</v>
      </c>
      <c r="C653" s="15">
        <v>40203</v>
      </c>
      <c r="D653" s="13">
        <v>48</v>
      </c>
      <c r="F653" s="12" t="s">
        <v>4783</v>
      </c>
      <c r="G653" s="12" t="s">
        <v>392</v>
      </c>
      <c r="H653" s="15">
        <v>3300000</v>
      </c>
      <c r="I653" s="13">
        <v>50</v>
      </c>
      <c r="K653" s="12" t="s">
        <v>4784</v>
      </c>
      <c r="L653" s="12" t="s">
        <v>392</v>
      </c>
      <c r="M653" s="15">
        <v>108900</v>
      </c>
      <c r="N653" s="13">
        <v>30</v>
      </c>
    </row>
    <row r="654" ht="15.75" spans="1:14">
      <c r="A654" s="12" t="s">
        <v>4115</v>
      </c>
      <c r="B654" s="12" t="s">
        <v>391</v>
      </c>
      <c r="C654" s="15">
        <v>150328</v>
      </c>
      <c r="D654" s="13">
        <v>48</v>
      </c>
      <c r="F654" s="12" t="s">
        <v>3800</v>
      </c>
      <c r="G654" s="12" t="s">
        <v>391</v>
      </c>
      <c r="H654" s="15">
        <v>17280</v>
      </c>
      <c r="I654" s="13">
        <v>50</v>
      </c>
      <c r="K654" s="12" t="s">
        <v>4785</v>
      </c>
      <c r="L654" s="12" t="s">
        <v>392</v>
      </c>
      <c r="M654" s="15">
        <v>209200</v>
      </c>
      <c r="N654" s="13">
        <v>30</v>
      </c>
    </row>
    <row r="655" ht="15.75" spans="1:14">
      <c r="A655" s="12" t="s">
        <v>4786</v>
      </c>
      <c r="B655" s="12" t="s">
        <v>391</v>
      </c>
      <c r="C655" s="15">
        <v>88568</v>
      </c>
      <c r="D655" s="13">
        <v>47</v>
      </c>
      <c r="F655" s="12" t="s">
        <v>3801</v>
      </c>
      <c r="G655" s="12" t="s">
        <v>391</v>
      </c>
      <c r="H655" s="15">
        <v>23880</v>
      </c>
      <c r="I655" s="13">
        <v>50</v>
      </c>
      <c r="K655" s="12" t="s">
        <v>4787</v>
      </c>
      <c r="L655" s="12" t="s">
        <v>391</v>
      </c>
      <c r="M655" s="15">
        <v>177048</v>
      </c>
      <c r="N655" s="13">
        <v>30</v>
      </c>
    </row>
    <row r="656" ht="15.75" spans="1:14">
      <c r="A656" s="12" t="s">
        <v>4142</v>
      </c>
      <c r="B656" s="12" t="s">
        <v>391</v>
      </c>
      <c r="C656" s="15">
        <v>212013</v>
      </c>
      <c r="D656" s="13">
        <v>47</v>
      </c>
      <c r="F656" s="12" t="s">
        <v>4788</v>
      </c>
      <c r="G656" s="12" t="s">
        <v>392</v>
      </c>
      <c r="H656" s="15">
        <v>5750570</v>
      </c>
      <c r="I656" s="13">
        <v>50</v>
      </c>
      <c r="K656" s="12" t="s">
        <v>4789</v>
      </c>
      <c r="L656" s="12" t="s">
        <v>392</v>
      </c>
      <c r="M656" s="15">
        <v>340000</v>
      </c>
      <c r="N656" s="13">
        <v>30</v>
      </c>
    </row>
    <row r="657" ht="15.75" spans="1:14">
      <c r="A657" s="12" t="s">
        <v>4145</v>
      </c>
      <c r="B657" s="12" t="s">
        <v>391</v>
      </c>
      <c r="C657" s="15">
        <v>102148</v>
      </c>
      <c r="D657" s="13">
        <v>47</v>
      </c>
      <c r="F657" s="12" t="s">
        <v>3803</v>
      </c>
      <c r="G657" s="12" t="s">
        <v>391</v>
      </c>
      <c r="H657" s="15">
        <v>12155</v>
      </c>
      <c r="I657" s="13">
        <v>50</v>
      </c>
      <c r="K657" s="12" t="s">
        <v>4790</v>
      </c>
      <c r="L657" s="12" t="s">
        <v>391</v>
      </c>
      <c r="M657" s="15">
        <v>1270890</v>
      </c>
      <c r="N657" s="13">
        <v>30</v>
      </c>
    </row>
    <row r="658" ht="15.75" spans="1:14">
      <c r="A658" s="12" t="s">
        <v>4791</v>
      </c>
      <c r="B658" s="12" t="s">
        <v>391</v>
      </c>
      <c r="C658" s="15">
        <v>204747</v>
      </c>
      <c r="D658" s="13">
        <v>47</v>
      </c>
      <c r="F658" s="12" t="s">
        <v>4792</v>
      </c>
      <c r="G658" s="12" t="s">
        <v>392</v>
      </c>
      <c r="H658" s="15">
        <v>58300</v>
      </c>
      <c r="I658" s="13">
        <v>50</v>
      </c>
      <c r="K658" s="12" t="s">
        <v>4793</v>
      </c>
      <c r="L658" s="12" t="s">
        <v>391</v>
      </c>
      <c r="M658" s="15">
        <v>102033</v>
      </c>
      <c r="N658" s="13">
        <v>30</v>
      </c>
    </row>
    <row r="659" ht="15.75" spans="1:14">
      <c r="A659" s="12" t="s">
        <v>4794</v>
      </c>
      <c r="B659" s="12" t="s">
        <v>391</v>
      </c>
      <c r="C659" s="15">
        <v>68387</v>
      </c>
      <c r="D659" s="13">
        <v>47</v>
      </c>
      <c r="F659" s="12" t="s">
        <v>4795</v>
      </c>
      <c r="G659" s="12" t="s">
        <v>391</v>
      </c>
      <c r="H659" s="15">
        <v>135926</v>
      </c>
      <c r="I659" s="13">
        <v>50</v>
      </c>
      <c r="K659" s="12" t="s">
        <v>4796</v>
      </c>
      <c r="L659" s="12" t="s">
        <v>391</v>
      </c>
      <c r="M659" s="15">
        <v>2244644</v>
      </c>
      <c r="N659" s="13">
        <v>29</v>
      </c>
    </row>
    <row r="660" ht="15.75" spans="1:14">
      <c r="A660" s="12" t="s">
        <v>4797</v>
      </c>
      <c r="B660" s="12" t="s">
        <v>391</v>
      </c>
      <c r="C660" s="15">
        <v>50524</v>
      </c>
      <c r="D660" s="13">
        <v>47</v>
      </c>
      <c r="F660" s="12" t="s">
        <v>4798</v>
      </c>
      <c r="G660" s="12" t="s">
        <v>392</v>
      </c>
      <c r="H660" s="15">
        <v>578312</v>
      </c>
      <c r="I660" s="13">
        <v>50</v>
      </c>
      <c r="K660" s="12" t="s">
        <v>4799</v>
      </c>
      <c r="L660" s="12" t="s">
        <v>391</v>
      </c>
      <c r="M660" s="15">
        <v>103202</v>
      </c>
      <c r="N660" s="13">
        <v>29</v>
      </c>
    </row>
    <row r="661" ht="15.75" spans="1:14">
      <c r="A661" s="12" t="s">
        <v>3661</v>
      </c>
      <c r="B661" s="12" t="s">
        <v>391</v>
      </c>
      <c r="C661" s="15">
        <v>1175193</v>
      </c>
      <c r="D661" s="13">
        <v>47</v>
      </c>
      <c r="F661" s="12" t="s">
        <v>3805</v>
      </c>
      <c r="G661" s="12" t="s">
        <v>391</v>
      </c>
      <c r="H661" s="15">
        <v>16098</v>
      </c>
      <c r="I661" s="13">
        <v>50</v>
      </c>
      <c r="K661" s="12" t="s">
        <v>4800</v>
      </c>
      <c r="L661" s="12" t="s">
        <v>391</v>
      </c>
      <c r="M661" s="15">
        <v>112800</v>
      </c>
      <c r="N661" s="13">
        <v>29</v>
      </c>
    </row>
    <row r="662" ht="15.75" spans="1:14">
      <c r="A662" s="12" t="s">
        <v>4801</v>
      </c>
      <c r="B662" s="12" t="s">
        <v>391</v>
      </c>
      <c r="C662" s="15">
        <v>68736</v>
      </c>
      <c r="D662" s="13">
        <v>47</v>
      </c>
      <c r="F662" s="12" t="s">
        <v>4802</v>
      </c>
      <c r="G662" s="12" t="s">
        <v>392</v>
      </c>
      <c r="H662" s="15">
        <v>14500</v>
      </c>
      <c r="I662" s="13">
        <v>50</v>
      </c>
      <c r="K662" s="12" t="s">
        <v>4779</v>
      </c>
      <c r="L662" s="12" t="s">
        <v>391</v>
      </c>
      <c r="M662" s="15">
        <v>155989</v>
      </c>
      <c r="N662" s="13">
        <v>29</v>
      </c>
    </row>
    <row r="663" ht="15.75" spans="1:14">
      <c r="A663" s="12" t="s">
        <v>4803</v>
      </c>
      <c r="B663" s="12" t="s">
        <v>391</v>
      </c>
      <c r="C663" s="15">
        <v>14361</v>
      </c>
      <c r="D663" s="13">
        <v>47</v>
      </c>
      <c r="F663" s="12" t="s">
        <v>4804</v>
      </c>
      <c r="G663" s="12" t="s">
        <v>392</v>
      </c>
      <c r="H663" s="15">
        <v>227600</v>
      </c>
      <c r="I663" s="13">
        <v>50</v>
      </c>
      <c r="K663" s="12" t="s">
        <v>4805</v>
      </c>
      <c r="L663" s="12" t="s">
        <v>391</v>
      </c>
      <c r="M663" s="15">
        <v>143150</v>
      </c>
      <c r="N663" s="13">
        <v>29</v>
      </c>
    </row>
    <row r="664" ht="15.75" spans="1:14">
      <c r="A664" s="12" t="s">
        <v>2355</v>
      </c>
      <c r="B664" s="12" t="s">
        <v>391</v>
      </c>
      <c r="C664" s="15">
        <v>685896635</v>
      </c>
      <c r="D664" s="13">
        <v>47</v>
      </c>
      <c r="F664" s="12" t="s">
        <v>4806</v>
      </c>
      <c r="G664" s="12" t="s">
        <v>392</v>
      </c>
      <c r="H664" s="15">
        <v>165680</v>
      </c>
      <c r="I664" s="13">
        <v>50</v>
      </c>
      <c r="K664" s="12" t="s">
        <v>4791</v>
      </c>
      <c r="L664" s="12" t="s">
        <v>391</v>
      </c>
      <c r="M664" s="15">
        <v>204747</v>
      </c>
      <c r="N664" s="13">
        <v>28</v>
      </c>
    </row>
    <row r="665" ht="15.75" spans="1:14">
      <c r="A665" s="12" t="s">
        <v>4182</v>
      </c>
      <c r="B665" s="12" t="s">
        <v>391</v>
      </c>
      <c r="C665" s="15">
        <v>112409</v>
      </c>
      <c r="D665" s="13">
        <v>47</v>
      </c>
      <c r="F665" s="12" t="s">
        <v>4807</v>
      </c>
      <c r="G665" s="12" t="s">
        <v>391</v>
      </c>
      <c r="H665" s="15">
        <v>25068</v>
      </c>
      <c r="I665" s="13">
        <v>50</v>
      </c>
      <c r="K665" s="12" t="s">
        <v>4808</v>
      </c>
      <c r="L665" s="12" t="s">
        <v>391</v>
      </c>
      <c r="M665" s="15">
        <v>200688</v>
      </c>
      <c r="N665" s="13">
        <v>28</v>
      </c>
    </row>
    <row r="666" ht="15.75" spans="1:14">
      <c r="A666" s="12" t="s">
        <v>4188</v>
      </c>
      <c r="B666" s="12" t="s">
        <v>391</v>
      </c>
      <c r="C666" s="15">
        <v>302022</v>
      </c>
      <c r="D666" s="13">
        <v>47</v>
      </c>
      <c r="F666" s="12" t="s">
        <v>4809</v>
      </c>
      <c r="G666" s="12" t="s">
        <v>392</v>
      </c>
      <c r="H666" s="15">
        <v>2400000</v>
      </c>
      <c r="I666" s="13">
        <v>50</v>
      </c>
      <c r="K666" s="12" t="s">
        <v>4810</v>
      </c>
      <c r="L666" s="12" t="s">
        <v>391</v>
      </c>
      <c r="M666" s="15">
        <v>102492</v>
      </c>
      <c r="N666" s="13">
        <v>28</v>
      </c>
    </row>
    <row r="667" ht="15.75" spans="1:14">
      <c r="A667" s="12" t="s">
        <v>4811</v>
      </c>
      <c r="B667" s="12" t="s">
        <v>391</v>
      </c>
      <c r="C667" s="15">
        <v>48028</v>
      </c>
      <c r="D667" s="13">
        <v>47</v>
      </c>
      <c r="F667" s="12" t="s">
        <v>4812</v>
      </c>
      <c r="G667" s="12" t="s">
        <v>392</v>
      </c>
      <c r="H667" s="15">
        <v>26300</v>
      </c>
      <c r="I667" s="13">
        <v>50</v>
      </c>
      <c r="K667" s="12" t="s">
        <v>4813</v>
      </c>
      <c r="L667" s="12" t="s">
        <v>391</v>
      </c>
      <c r="M667" s="15">
        <v>291117</v>
      </c>
      <c r="N667" s="13">
        <v>28</v>
      </c>
    </row>
    <row r="668" ht="15.75" spans="1:14">
      <c r="A668" s="12" t="s">
        <v>4028</v>
      </c>
      <c r="B668" s="12" t="s">
        <v>391</v>
      </c>
      <c r="C668" s="15">
        <v>256224</v>
      </c>
      <c r="D668" s="13">
        <v>47</v>
      </c>
      <c r="F668" s="12" t="s">
        <v>4814</v>
      </c>
      <c r="G668" s="12" t="s">
        <v>392</v>
      </c>
      <c r="H668" s="15">
        <v>78200</v>
      </c>
      <c r="I668" s="13">
        <v>50</v>
      </c>
      <c r="K668" s="12" t="s">
        <v>4815</v>
      </c>
      <c r="L668" s="12" t="s">
        <v>391</v>
      </c>
      <c r="M668" s="15">
        <v>259551</v>
      </c>
      <c r="N668" s="13">
        <v>28</v>
      </c>
    </row>
    <row r="669" ht="15.75" spans="1:14">
      <c r="A669" s="12" t="s">
        <v>4816</v>
      </c>
      <c r="B669" s="12" t="s">
        <v>391</v>
      </c>
      <c r="C669" s="15">
        <v>50427</v>
      </c>
      <c r="D669" s="13">
        <v>47</v>
      </c>
      <c r="F669" s="12" t="s">
        <v>4817</v>
      </c>
      <c r="G669" s="12" t="s">
        <v>392</v>
      </c>
      <c r="H669" s="15">
        <v>70600</v>
      </c>
      <c r="I669" s="13">
        <v>50</v>
      </c>
      <c r="K669" s="12" t="s">
        <v>4818</v>
      </c>
      <c r="L669" s="12" t="s">
        <v>391</v>
      </c>
      <c r="M669" s="15">
        <v>120903</v>
      </c>
      <c r="N669" s="13">
        <v>28</v>
      </c>
    </row>
    <row r="670" ht="15.75" spans="1:14">
      <c r="A670" s="12" t="s">
        <v>4202</v>
      </c>
      <c r="B670" s="12" t="s">
        <v>391</v>
      </c>
      <c r="C670" s="15">
        <v>116777</v>
      </c>
      <c r="D670" s="13">
        <v>47</v>
      </c>
      <c r="F670" s="12" t="s">
        <v>3807</v>
      </c>
      <c r="G670" s="12" t="s">
        <v>391</v>
      </c>
      <c r="H670" s="15">
        <v>12368</v>
      </c>
      <c r="I670" s="13">
        <v>50</v>
      </c>
      <c r="K670" s="12" t="s">
        <v>4819</v>
      </c>
      <c r="L670" s="12" t="s">
        <v>391</v>
      </c>
      <c r="M670" s="15">
        <v>167976</v>
      </c>
      <c r="N670" s="13">
        <v>28</v>
      </c>
    </row>
    <row r="671" ht="15.75" spans="1:14">
      <c r="A671" s="12" t="s">
        <v>4205</v>
      </c>
      <c r="B671" s="12" t="s">
        <v>391</v>
      </c>
      <c r="C671" s="15">
        <v>103135</v>
      </c>
      <c r="D671" s="13">
        <v>47</v>
      </c>
      <c r="F671" s="12" t="s">
        <v>4820</v>
      </c>
      <c r="G671" s="12" t="s">
        <v>392</v>
      </c>
      <c r="H671" s="15">
        <v>459900</v>
      </c>
      <c r="I671" s="13">
        <v>50</v>
      </c>
      <c r="K671" s="12" t="s">
        <v>3205</v>
      </c>
      <c r="L671" s="12" t="s">
        <v>392</v>
      </c>
      <c r="M671" s="15">
        <v>9900000</v>
      </c>
      <c r="N671" s="13">
        <v>28</v>
      </c>
    </row>
    <row r="672" ht="15.75" spans="1:14">
      <c r="A672" s="12" t="s">
        <v>4216</v>
      </c>
      <c r="B672" s="12" t="s">
        <v>391</v>
      </c>
      <c r="C672" s="15">
        <v>101492</v>
      </c>
      <c r="D672" s="13">
        <v>47</v>
      </c>
      <c r="F672" s="12" t="s">
        <v>4821</v>
      </c>
      <c r="G672" s="12" t="s">
        <v>392</v>
      </c>
      <c r="H672" s="15">
        <v>72400</v>
      </c>
      <c r="I672" s="13">
        <v>50</v>
      </c>
      <c r="K672" s="12" t="s">
        <v>4822</v>
      </c>
      <c r="L672" s="12" t="s">
        <v>391</v>
      </c>
      <c r="M672" s="15">
        <v>115511</v>
      </c>
      <c r="N672" s="13">
        <v>27</v>
      </c>
    </row>
    <row r="673" ht="15.75" spans="1:14">
      <c r="A673" s="12" t="s">
        <v>4823</v>
      </c>
      <c r="B673" s="12" t="s">
        <v>391</v>
      </c>
      <c r="C673" s="15">
        <v>63295</v>
      </c>
      <c r="D673" s="13">
        <v>47</v>
      </c>
      <c r="F673" s="12" t="s">
        <v>4824</v>
      </c>
      <c r="G673" s="12" t="s">
        <v>392</v>
      </c>
      <c r="H673" s="15">
        <v>24700</v>
      </c>
      <c r="I673" s="13">
        <v>50</v>
      </c>
      <c r="K673" s="12" t="s">
        <v>4825</v>
      </c>
      <c r="L673" s="12" t="s">
        <v>391</v>
      </c>
      <c r="M673" s="15">
        <v>153444</v>
      </c>
      <c r="N673" s="13">
        <v>27</v>
      </c>
    </row>
    <row r="674" ht="15.75" spans="1:14">
      <c r="A674" s="12" t="s">
        <v>4219</v>
      </c>
      <c r="B674" s="12" t="s">
        <v>391</v>
      </c>
      <c r="C674" s="15">
        <v>241296</v>
      </c>
      <c r="D674" s="13">
        <v>47</v>
      </c>
      <c r="F674" s="12" t="s">
        <v>4826</v>
      </c>
      <c r="G674" s="12" t="s">
        <v>392</v>
      </c>
      <c r="H674" s="15">
        <v>963200</v>
      </c>
      <c r="I674" s="13">
        <v>50</v>
      </c>
      <c r="K674" s="12" t="s">
        <v>4827</v>
      </c>
      <c r="L674" s="12" t="s">
        <v>391</v>
      </c>
      <c r="M674" s="15">
        <v>9199821</v>
      </c>
      <c r="N674" s="13">
        <v>27</v>
      </c>
    </row>
    <row r="675" ht="15.75" spans="1:14">
      <c r="A675" s="12" t="s">
        <v>4828</v>
      </c>
      <c r="B675" s="12" t="s">
        <v>391</v>
      </c>
      <c r="C675" s="15">
        <v>88636</v>
      </c>
      <c r="D675" s="13">
        <v>46</v>
      </c>
      <c r="F675" s="12" t="s">
        <v>4829</v>
      </c>
      <c r="G675" s="12" t="s">
        <v>391</v>
      </c>
      <c r="H675" s="15">
        <v>23206</v>
      </c>
      <c r="I675" s="13">
        <v>50</v>
      </c>
      <c r="K675" s="12" t="s">
        <v>4830</v>
      </c>
      <c r="L675" s="12" t="s">
        <v>391</v>
      </c>
      <c r="M675" s="15">
        <v>313217</v>
      </c>
      <c r="N675" s="13">
        <v>27</v>
      </c>
    </row>
    <row r="676" ht="15.75" spans="1:14">
      <c r="A676" s="12" t="s">
        <v>4228</v>
      </c>
      <c r="B676" s="12" t="s">
        <v>391</v>
      </c>
      <c r="C676" s="15">
        <v>119537</v>
      </c>
      <c r="D676" s="13">
        <v>46</v>
      </c>
      <c r="F676" s="12" t="s">
        <v>4831</v>
      </c>
      <c r="G676" s="12" t="s">
        <v>392</v>
      </c>
      <c r="H676" s="15">
        <v>21200</v>
      </c>
      <c r="I676" s="13">
        <v>50</v>
      </c>
      <c r="K676" s="12" t="s">
        <v>4832</v>
      </c>
      <c r="L676" s="12" t="s">
        <v>391</v>
      </c>
      <c r="M676" s="15">
        <v>216962</v>
      </c>
      <c r="N676" s="13">
        <v>27</v>
      </c>
    </row>
    <row r="677" ht="15.75" spans="1:14">
      <c r="A677" s="12" t="s">
        <v>4833</v>
      </c>
      <c r="B677" s="12" t="s">
        <v>391</v>
      </c>
      <c r="C677" s="15">
        <v>68600</v>
      </c>
      <c r="D677" s="13">
        <v>46</v>
      </c>
      <c r="F677" s="12" t="s">
        <v>3809</v>
      </c>
      <c r="G677" s="12" t="s">
        <v>391</v>
      </c>
      <c r="H677" s="15">
        <v>18616</v>
      </c>
      <c r="I677" s="13">
        <v>50</v>
      </c>
      <c r="K677" s="12" t="s">
        <v>4834</v>
      </c>
      <c r="L677" s="12" t="s">
        <v>391</v>
      </c>
      <c r="M677" s="15">
        <v>116072</v>
      </c>
      <c r="N677" s="13">
        <v>26</v>
      </c>
    </row>
    <row r="678" ht="15.75" spans="1:14">
      <c r="A678" s="12" t="s">
        <v>4232</v>
      </c>
      <c r="B678" s="12" t="s">
        <v>391</v>
      </c>
      <c r="C678" s="15">
        <v>146243</v>
      </c>
      <c r="D678" s="13">
        <v>46</v>
      </c>
      <c r="F678" s="12" t="s">
        <v>4835</v>
      </c>
      <c r="G678" s="12" t="s">
        <v>392</v>
      </c>
      <c r="H678" s="15">
        <v>13700</v>
      </c>
      <c r="I678" s="13">
        <v>50</v>
      </c>
      <c r="K678" s="12" t="s">
        <v>4836</v>
      </c>
      <c r="L678" s="12" t="s">
        <v>391</v>
      </c>
      <c r="M678" s="15">
        <v>697233</v>
      </c>
      <c r="N678" s="13">
        <v>26</v>
      </c>
    </row>
    <row r="679" ht="15.75" spans="1:14">
      <c r="A679" s="12" t="s">
        <v>4837</v>
      </c>
      <c r="B679" s="12" t="s">
        <v>391</v>
      </c>
      <c r="C679" s="15">
        <v>247764</v>
      </c>
      <c r="D679" s="13">
        <v>46</v>
      </c>
      <c r="F679" s="12" t="s">
        <v>4838</v>
      </c>
      <c r="G679" s="12" t="s">
        <v>392</v>
      </c>
      <c r="H679" s="15">
        <v>30600</v>
      </c>
      <c r="I679" s="13">
        <v>50</v>
      </c>
      <c r="K679" s="12" t="s">
        <v>4839</v>
      </c>
      <c r="L679" s="12" t="s">
        <v>391</v>
      </c>
      <c r="M679" s="15">
        <v>126871</v>
      </c>
      <c r="N679" s="13">
        <v>26</v>
      </c>
    </row>
    <row r="680" ht="15.75" spans="1:14">
      <c r="A680" s="12" t="s">
        <v>4840</v>
      </c>
      <c r="B680" s="12" t="s">
        <v>391</v>
      </c>
      <c r="C680" s="15">
        <v>14018</v>
      </c>
      <c r="D680" s="13">
        <v>46</v>
      </c>
      <c r="F680" s="12" t="s">
        <v>4841</v>
      </c>
      <c r="G680" s="12" t="s">
        <v>392</v>
      </c>
      <c r="H680" s="15">
        <v>205700</v>
      </c>
      <c r="I680" s="13">
        <v>50</v>
      </c>
      <c r="K680" s="12" t="s">
        <v>4842</v>
      </c>
      <c r="L680" s="12" t="s">
        <v>391</v>
      </c>
      <c r="M680" s="15">
        <v>208798</v>
      </c>
      <c r="N680" s="13">
        <v>26</v>
      </c>
    </row>
    <row r="681" ht="15.75" spans="1:14">
      <c r="A681" s="12" t="s">
        <v>4241</v>
      </c>
      <c r="B681" s="12" t="s">
        <v>391</v>
      </c>
      <c r="C681" s="15">
        <v>678397</v>
      </c>
      <c r="D681" s="13">
        <v>46</v>
      </c>
      <c r="F681" s="12" t="s">
        <v>4843</v>
      </c>
      <c r="G681" s="12" t="s">
        <v>392</v>
      </c>
      <c r="H681" s="15">
        <v>20200</v>
      </c>
      <c r="I681" s="13">
        <v>50</v>
      </c>
      <c r="K681" s="12" t="s">
        <v>3265</v>
      </c>
      <c r="L681" s="12" t="s">
        <v>391</v>
      </c>
      <c r="M681" s="15">
        <v>5042266</v>
      </c>
      <c r="N681" s="13">
        <v>26</v>
      </c>
    </row>
    <row r="682" ht="15.75" spans="1:14">
      <c r="A682" s="12" t="s">
        <v>3776</v>
      </c>
      <c r="B682" s="12" t="s">
        <v>391</v>
      </c>
      <c r="C682" s="15">
        <v>150437</v>
      </c>
      <c r="D682" s="13">
        <v>46</v>
      </c>
      <c r="F682" s="12" t="s">
        <v>4844</v>
      </c>
      <c r="G682" s="12" t="s">
        <v>391</v>
      </c>
      <c r="H682" s="15">
        <v>47884</v>
      </c>
      <c r="I682" s="13">
        <v>50</v>
      </c>
      <c r="K682" s="12" t="s">
        <v>4845</v>
      </c>
      <c r="L682" s="12" t="s">
        <v>391</v>
      </c>
      <c r="M682" s="15">
        <v>108222</v>
      </c>
      <c r="N682" s="13">
        <v>25</v>
      </c>
    </row>
    <row r="683" ht="15.75" spans="1:14">
      <c r="A683" s="12" t="s">
        <v>4601</v>
      </c>
      <c r="B683" s="12" t="s">
        <v>391</v>
      </c>
      <c r="C683" s="15">
        <v>100930</v>
      </c>
      <c r="D683" s="13">
        <v>46</v>
      </c>
      <c r="F683" s="12" t="s">
        <v>4846</v>
      </c>
      <c r="G683" s="12" t="s">
        <v>392</v>
      </c>
      <c r="H683" s="15">
        <v>59800</v>
      </c>
      <c r="I683" s="13">
        <v>50</v>
      </c>
      <c r="K683" s="12" t="s">
        <v>4847</v>
      </c>
      <c r="L683" s="12" t="s">
        <v>391</v>
      </c>
      <c r="M683" s="15">
        <v>525410</v>
      </c>
      <c r="N683" s="13">
        <v>24</v>
      </c>
    </row>
    <row r="684" ht="15.75" spans="1:14">
      <c r="A684" s="12" t="s">
        <v>4276</v>
      </c>
      <c r="B684" s="12" t="s">
        <v>391</v>
      </c>
      <c r="C684" s="15">
        <v>106287</v>
      </c>
      <c r="D684" s="13">
        <v>46</v>
      </c>
      <c r="F684" s="12" t="s">
        <v>4848</v>
      </c>
      <c r="G684" s="12" t="s">
        <v>392</v>
      </c>
      <c r="H684" s="15">
        <v>324300</v>
      </c>
      <c r="I684" s="13">
        <v>50</v>
      </c>
      <c r="K684" s="12" t="s">
        <v>4849</v>
      </c>
      <c r="L684" s="12" t="s">
        <v>391</v>
      </c>
      <c r="M684" s="15">
        <v>105892</v>
      </c>
      <c r="N684" s="13">
        <v>24</v>
      </c>
    </row>
    <row r="685" ht="15.75" spans="1:14">
      <c r="A685" s="12" t="s">
        <v>4279</v>
      </c>
      <c r="B685" s="12" t="s">
        <v>391</v>
      </c>
      <c r="C685" s="15">
        <v>271497</v>
      </c>
      <c r="D685" s="13">
        <v>46</v>
      </c>
      <c r="F685" s="12" t="s">
        <v>3520</v>
      </c>
      <c r="G685" s="12" t="s">
        <v>392</v>
      </c>
      <c r="H685" s="15">
        <v>1200000</v>
      </c>
      <c r="I685" s="13">
        <v>50</v>
      </c>
      <c r="K685" s="12" t="s">
        <v>4850</v>
      </c>
      <c r="L685" s="12" t="s">
        <v>391</v>
      </c>
      <c r="M685" s="15">
        <v>219189</v>
      </c>
      <c r="N685" s="13">
        <v>24</v>
      </c>
    </row>
    <row r="686" ht="15.75" spans="1:14">
      <c r="A686" s="12" t="s">
        <v>4851</v>
      </c>
      <c r="B686" s="12" t="s">
        <v>391</v>
      </c>
      <c r="C686" s="15">
        <v>51284</v>
      </c>
      <c r="D686" s="13">
        <v>45</v>
      </c>
      <c r="F686" s="12" t="s">
        <v>4852</v>
      </c>
      <c r="G686" s="12" t="s">
        <v>392</v>
      </c>
      <c r="H686" s="15">
        <v>16900</v>
      </c>
      <c r="I686" s="13">
        <v>50</v>
      </c>
      <c r="K686" s="12" t="s">
        <v>4853</v>
      </c>
      <c r="L686" s="12" t="s">
        <v>391</v>
      </c>
      <c r="M686" s="15">
        <v>122358</v>
      </c>
      <c r="N686" s="13">
        <v>24</v>
      </c>
    </row>
    <row r="687" ht="15.75" spans="1:14">
      <c r="A687" s="12" t="s">
        <v>4854</v>
      </c>
      <c r="B687" s="12" t="s">
        <v>391</v>
      </c>
      <c r="C687" s="15">
        <v>65861</v>
      </c>
      <c r="D687" s="13">
        <v>45</v>
      </c>
      <c r="F687" s="12" t="s">
        <v>4855</v>
      </c>
      <c r="G687" s="12" t="s">
        <v>392</v>
      </c>
      <c r="H687" s="15">
        <v>48500</v>
      </c>
      <c r="I687" s="13">
        <v>50</v>
      </c>
      <c r="K687" s="12" t="s">
        <v>4856</v>
      </c>
      <c r="L687" s="12" t="s">
        <v>391</v>
      </c>
      <c r="M687" s="15">
        <v>119903</v>
      </c>
      <c r="N687" s="13">
        <v>24</v>
      </c>
    </row>
    <row r="688" ht="15.75" spans="1:14">
      <c r="A688" s="12" t="s">
        <v>4857</v>
      </c>
      <c r="B688" s="12" t="s">
        <v>391</v>
      </c>
      <c r="C688" s="15">
        <v>48240</v>
      </c>
      <c r="D688" s="13">
        <v>45</v>
      </c>
      <c r="F688" s="12" t="s">
        <v>4858</v>
      </c>
      <c r="G688" s="12" t="s">
        <v>392</v>
      </c>
      <c r="H688" s="15">
        <v>31100</v>
      </c>
      <c r="I688" s="13">
        <v>50</v>
      </c>
      <c r="K688" s="12" t="s">
        <v>4859</v>
      </c>
      <c r="L688" s="12" t="s">
        <v>391</v>
      </c>
      <c r="M688" s="15">
        <v>191383</v>
      </c>
      <c r="N688" s="13">
        <v>23</v>
      </c>
    </row>
    <row r="689" ht="15.75" spans="1:14">
      <c r="A689" s="12" t="s">
        <v>4291</v>
      </c>
      <c r="B689" s="12" t="s">
        <v>391</v>
      </c>
      <c r="C689" s="15">
        <v>341411</v>
      </c>
      <c r="D689" s="13">
        <v>45</v>
      </c>
      <c r="F689" s="12" t="s">
        <v>4860</v>
      </c>
      <c r="G689" s="12" t="s">
        <v>391</v>
      </c>
      <c r="H689" s="15">
        <v>10166</v>
      </c>
      <c r="I689" s="13">
        <v>50</v>
      </c>
      <c r="K689" s="12" t="s">
        <v>4861</v>
      </c>
      <c r="L689" s="12" t="s">
        <v>391</v>
      </c>
      <c r="M689" s="15">
        <v>907809</v>
      </c>
      <c r="N689" s="13">
        <v>23</v>
      </c>
    </row>
    <row r="690" ht="15.75" spans="1:14">
      <c r="A690" s="12" t="s">
        <v>4164</v>
      </c>
      <c r="B690" s="12" t="s">
        <v>391</v>
      </c>
      <c r="C690" s="15">
        <v>156144</v>
      </c>
      <c r="D690" s="13">
        <v>45</v>
      </c>
      <c r="F690" s="12" t="s">
        <v>4862</v>
      </c>
      <c r="G690" s="12" t="s">
        <v>392</v>
      </c>
      <c r="H690" s="15">
        <v>43700</v>
      </c>
      <c r="I690" s="13">
        <v>50</v>
      </c>
      <c r="K690" s="12" t="s">
        <v>4863</v>
      </c>
      <c r="L690" s="12" t="s">
        <v>391</v>
      </c>
      <c r="M690" s="15">
        <v>112810</v>
      </c>
      <c r="N690" s="13">
        <v>20</v>
      </c>
    </row>
    <row r="691" ht="15.75" spans="1:14">
      <c r="A691" s="12" t="s">
        <v>4864</v>
      </c>
      <c r="B691" s="12" t="s">
        <v>391</v>
      </c>
      <c r="C691" s="15">
        <v>43548</v>
      </c>
      <c r="D691" s="13">
        <v>45</v>
      </c>
      <c r="F691" s="12" t="s">
        <v>4865</v>
      </c>
      <c r="G691" s="12" t="s">
        <v>392</v>
      </c>
      <c r="H691" s="15">
        <v>24800</v>
      </c>
      <c r="I691" s="13">
        <v>50</v>
      </c>
      <c r="K691" s="12" t="s">
        <v>4866</v>
      </c>
      <c r="L691" s="12" t="s">
        <v>391</v>
      </c>
      <c r="M691" s="15">
        <v>336823</v>
      </c>
      <c r="N691" s="13">
        <v>20</v>
      </c>
    </row>
    <row r="692" ht="15.75" spans="1:14">
      <c r="A692" s="12" t="s">
        <v>4301</v>
      </c>
      <c r="B692" s="12" t="s">
        <v>391</v>
      </c>
      <c r="C692" s="15">
        <v>106722</v>
      </c>
      <c r="D692" s="13">
        <v>45</v>
      </c>
      <c r="F692" s="12" t="s">
        <v>4867</v>
      </c>
      <c r="G692" s="12" t="s">
        <v>392</v>
      </c>
      <c r="H692" s="15">
        <v>11100</v>
      </c>
      <c r="I692" s="13">
        <v>50</v>
      </c>
      <c r="K692" s="12" t="s">
        <v>3638</v>
      </c>
      <c r="L692" s="12" t="s">
        <v>391</v>
      </c>
      <c r="M692" s="15">
        <v>101429</v>
      </c>
      <c r="N692" s="13">
        <v>18</v>
      </c>
    </row>
    <row r="693" ht="15.75" spans="1:14">
      <c r="A693" s="12" t="s">
        <v>4309</v>
      </c>
      <c r="B693" s="12" t="s">
        <v>391</v>
      </c>
      <c r="C693" s="15">
        <v>312384</v>
      </c>
      <c r="D693" s="13">
        <v>45</v>
      </c>
      <c r="F693" s="12" t="s">
        <v>4868</v>
      </c>
      <c r="G693" s="12" t="s">
        <v>392</v>
      </c>
      <c r="H693" s="15">
        <v>10800</v>
      </c>
      <c r="I693" s="13">
        <v>50</v>
      </c>
    </row>
    <row r="694" ht="15.75" spans="1:14">
      <c r="A694" s="12" t="s">
        <v>3263</v>
      </c>
      <c r="B694" s="12" t="s">
        <v>391</v>
      </c>
      <c r="C694" s="15">
        <v>983917</v>
      </c>
      <c r="D694" s="13">
        <v>45</v>
      </c>
      <c r="F694" s="12" t="s">
        <v>4869</v>
      </c>
      <c r="G694" s="12" t="s">
        <v>391</v>
      </c>
      <c r="H694" s="15">
        <v>21243</v>
      </c>
      <c r="I694" s="13">
        <v>50</v>
      </c>
    </row>
    <row r="695" ht="15.75" spans="1:14">
      <c r="A695" s="12" t="s">
        <v>4870</v>
      </c>
      <c r="B695" s="12" t="s">
        <v>391</v>
      </c>
      <c r="C695" s="15">
        <v>55947</v>
      </c>
      <c r="D695" s="13">
        <v>45</v>
      </c>
      <c r="F695" s="12" t="s">
        <v>4871</v>
      </c>
      <c r="G695" s="12" t="s">
        <v>392</v>
      </c>
      <c r="H695" s="15">
        <v>367400</v>
      </c>
      <c r="I695" s="13">
        <v>50</v>
      </c>
    </row>
    <row r="696" ht="15.75" spans="1:14">
      <c r="A696" s="12" t="s">
        <v>4322</v>
      </c>
      <c r="B696" s="12" t="s">
        <v>391</v>
      </c>
      <c r="C696" s="15">
        <v>225500</v>
      </c>
      <c r="D696" s="13">
        <v>45</v>
      </c>
      <c r="F696" s="12" t="s">
        <v>4872</v>
      </c>
      <c r="G696" s="12" t="s">
        <v>392</v>
      </c>
      <c r="H696" s="15">
        <v>23600</v>
      </c>
      <c r="I696" s="13">
        <v>50</v>
      </c>
    </row>
    <row r="697" ht="15.75" spans="1:14">
      <c r="A697" s="12" t="s">
        <v>4325</v>
      </c>
      <c r="B697" s="12" t="s">
        <v>391</v>
      </c>
      <c r="C697" s="15">
        <v>211019</v>
      </c>
      <c r="D697" s="13">
        <v>45</v>
      </c>
      <c r="F697" s="12" t="s">
        <v>4873</v>
      </c>
      <c r="G697" s="12" t="s">
        <v>392</v>
      </c>
      <c r="H697" s="15">
        <v>1500000</v>
      </c>
      <c r="I697" s="13">
        <v>50</v>
      </c>
    </row>
    <row r="698" ht="15.75" spans="1:14">
      <c r="A698" s="12" t="s">
        <v>4336</v>
      </c>
      <c r="B698" s="12" t="s">
        <v>391</v>
      </c>
      <c r="C698" s="15">
        <v>267982</v>
      </c>
      <c r="D698" s="13">
        <v>45</v>
      </c>
      <c r="F698" s="12" t="s">
        <v>4874</v>
      </c>
      <c r="G698" s="12" t="s">
        <v>392</v>
      </c>
      <c r="H698" s="15">
        <v>70100</v>
      </c>
      <c r="I698" s="13">
        <v>50</v>
      </c>
    </row>
    <row r="699" ht="15.75" spans="1:14">
      <c r="A699" s="12" t="s">
        <v>4339</v>
      </c>
      <c r="B699" s="12" t="s">
        <v>391</v>
      </c>
      <c r="C699" s="15">
        <v>208540</v>
      </c>
      <c r="D699" s="13">
        <v>45</v>
      </c>
      <c r="F699" s="12" t="s">
        <v>4875</v>
      </c>
      <c r="G699" s="12" t="s">
        <v>391</v>
      </c>
      <c r="H699" s="15">
        <v>10663</v>
      </c>
      <c r="I699" s="13">
        <v>50</v>
      </c>
    </row>
    <row r="700" ht="15.75" spans="1:14">
      <c r="A700" s="12" t="s">
        <v>4876</v>
      </c>
      <c r="B700" s="12" t="s">
        <v>391</v>
      </c>
      <c r="C700" s="15">
        <v>97713</v>
      </c>
      <c r="D700" s="13">
        <v>45</v>
      </c>
      <c r="F700" s="12" t="s">
        <v>4877</v>
      </c>
      <c r="G700" s="12" t="s">
        <v>392</v>
      </c>
      <c r="H700" s="15">
        <v>95500</v>
      </c>
      <c r="I700" s="13">
        <v>50</v>
      </c>
    </row>
    <row r="701" ht="15.75" spans="1:14">
      <c r="A701" s="12" t="s">
        <v>4878</v>
      </c>
      <c r="B701" s="12" t="s">
        <v>391</v>
      </c>
      <c r="C701" s="15">
        <v>14768</v>
      </c>
      <c r="D701" s="13">
        <v>44</v>
      </c>
      <c r="F701" s="12" t="s">
        <v>4879</v>
      </c>
      <c r="G701" s="12" t="s">
        <v>392</v>
      </c>
      <c r="H701" s="15">
        <v>107400</v>
      </c>
      <c r="I701" s="13">
        <v>50</v>
      </c>
    </row>
    <row r="702" ht="15.75" spans="1:14">
      <c r="A702" s="12" t="s">
        <v>4880</v>
      </c>
      <c r="B702" s="12" t="s">
        <v>391</v>
      </c>
      <c r="C702" s="15">
        <v>10594</v>
      </c>
      <c r="D702" s="13">
        <v>44</v>
      </c>
      <c r="F702" s="12" t="s">
        <v>4881</v>
      </c>
      <c r="G702" s="12" t="s">
        <v>391</v>
      </c>
      <c r="H702" s="15">
        <v>23077</v>
      </c>
      <c r="I702" s="13">
        <v>50</v>
      </c>
    </row>
    <row r="703" ht="15.75" spans="1:14">
      <c r="A703" s="12" t="s">
        <v>4882</v>
      </c>
      <c r="B703" s="12" t="s">
        <v>391</v>
      </c>
      <c r="C703" s="15">
        <v>13640</v>
      </c>
      <c r="D703" s="13">
        <v>44</v>
      </c>
      <c r="F703" s="12" t="s">
        <v>4688</v>
      </c>
      <c r="G703" s="12" t="s">
        <v>392</v>
      </c>
      <c r="H703" s="15">
        <v>314300</v>
      </c>
      <c r="I703" s="13">
        <v>50</v>
      </c>
    </row>
    <row r="704" ht="15.75" spans="1:14">
      <c r="A704" s="12" t="s">
        <v>4883</v>
      </c>
      <c r="B704" s="12" t="s">
        <v>391</v>
      </c>
      <c r="C704" s="15">
        <v>31349</v>
      </c>
      <c r="D704" s="13">
        <v>44</v>
      </c>
      <c r="F704" s="12" t="s">
        <v>4884</v>
      </c>
      <c r="G704" s="12" t="s">
        <v>392</v>
      </c>
      <c r="H704" s="15">
        <v>31200</v>
      </c>
      <c r="I704" s="13">
        <v>50</v>
      </c>
    </row>
    <row r="705" ht="15.75" spans="1:9">
      <c r="A705" s="12" t="s">
        <v>4885</v>
      </c>
      <c r="B705" s="12" t="s">
        <v>391</v>
      </c>
      <c r="C705" s="15">
        <v>11585</v>
      </c>
      <c r="D705" s="13">
        <v>44</v>
      </c>
      <c r="F705" s="12" t="s">
        <v>4886</v>
      </c>
      <c r="G705" s="12" t="s">
        <v>392</v>
      </c>
      <c r="H705" s="15">
        <v>26600</v>
      </c>
      <c r="I705" s="13">
        <v>50</v>
      </c>
    </row>
    <row r="706" ht="15.75" spans="1:9">
      <c r="A706" s="12" t="s">
        <v>4887</v>
      </c>
      <c r="B706" s="12" t="s">
        <v>391</v>
      </c>
      <c r="C706" s="15">
        <v>20284</v>
      </c>
      <c r="D706" s="13">
        <v>44</v>
      </c>
      <c r="F706" s="12" t="s">
        <v>4888</v>
      </c>
      <c r="G706" s="12" t="s">
        <v>392</v>
      </c>
      <c r="H706" s="15">
        <v>11300</v>
      </c>
      <c r="I706" s="13">
        <v>50</v>
      </c>
    </row>
    <row r="707" ht="15.75" spans="1:9">
      <c r="A707" s="12" t="s">
        <v>4889</v>
      </c>
      <c r="B707" s="12" t="s">
        <v>391</v>
      </c>
      <c r="C707" s="15">
        <v>10900</v>
      </c>
      <c r="D707" s="13">
        <v>44</v>
      </c>
      <c r="F707" s="12" t="s">
        <v>4890</v>
      </c>
      <c r="G707" s="12" t="s">
        <v>392</v>
      </c>
      <c r="H707" s="15">
        <v>262100</v>
      </c>
      <c r="I707" s="13">
        <v>50</v>
      </c>
    </row>
    <row r="708" ht="15.75" spans="1:9">
      <c r="A708" s="12" t="s">
        <v>4891</v>
      </c>
      <c r="B708" s="12" t="s">
        <v>391</v>
      </c>
      <c r="C708" s="15">
        <v>12046</v>
      </c>
      <c r="D708" s="13">
        <v>44</v>
      </c>
      <c r="F708" s="12" t="s">
        <v>4892</v>
      </c>
      <c r="G708" s="12" t="s">
        <v>391</v>
      </c>
      <c r="H708" s="15">
        <v>22232</v>
      </c>
      <c r="I708" s="13">
        <v>50</v>
      </c>
    </row>
    <row r="709" ht="15.75" spans="1:9">
      <c r="A709" s="12" t="s">
        <v>4893</v>
      </c>
      <c r="B709" s="12" t="s">
        <v>391</v>
      </c>
      <c r="C709" s="15">
        <v>10941</v>
      </c>
      <c r="D709" s="13">
        <v>44</v>
      </c>
      <c r="F709" s="12" t="s">
        <v>4894</v>
      </c>
      <c r="G709" s="12" t="s">
        <v>392</v>
      </c>
      <c r="H709" s="15">
        <v>72300</v>
      </c>
      <c r="I709" s="13">
        <v>50</v>
      </c>
    </row>
    <row r="710" ht="15.75" spans="1:9">
      <c r="A710" s="12" t="s">
        <v>4895</v>
      </c>
      <c r="B710" s="12" t="s">
        <v>391</v>
      </c>
      <c r="C710" s="15">
        <v>20185</v>
      </c>
      <c r="D710" s="13">
        <v>44</v>
      </c>
      <c r="F710" s="12" t="s">
        <v>4896</v>
      </c>
      <c r="G710" s="12" t="s">
        <v>392</v>
      </c>
      <c r="H710" s="15">
        <v>220400</v>
      </c>
      <c r="I710" s="13">
        <v>50</v>
      </c>
    </row>
    <row r="711" ht="15.75" spans="1:9">
      <c r="A711" s="12" t="s">
        <v>4897</v>
      </c>
      <c r="B711" s="12" t="s">
        <v>391</v>
      </c>
      <c r="C711" s="15">
        <v>12055</v>
      </c>
      <c r="D711" s="13">
        <v>44</v>
      </c>
      <c r="F711" s="12" t="s">
        <v>4898</v>
      </c>
      <c r="G711" s="12" t="s">
        <v>392</v>
      </c>
      <c r="H711" s="15">
        <v>23600</v>
      </c>
      <c r="I711" s="13">
        <v>50</v>
      </c>
    </row>
    <row r="712" ht="15.75" spans="1:9">
      <c r="A712" s="12" t="s">
        <v>4899</v>
      </c>
      <c r="B712" s="12" t="s">
        <v>391</v>
      </c>
      <c r="C712" s="15">
        <v>19609</v>
      </c>
      <c r="D712" s="13">
        <v>44</v>
      </c>
      <c r="F712" s="12" t="s">
        <v>4900</v>
      </c>
      <c r="G712" s="12" t="s">
        <v>392</v>
      </c>
      <c r="H712" s="15">
        <v>6200000</v>
      </c>
      <c r="I712" s="13">
        <v>50</v>
      </c>
    </row>
    <row r="713" ht="15.75" spans="1:9">
      <c r="A713" s="12" t="s">
        <v>4901</v>
      </c>
      <c r="B713" s="12" t="s">
        <v>391</v>
      </c>
      <c r="C713" s="15">
        <v>19566</v>
      </c>
      <c r="D713" s="13">
        <v>44</v>
      </c>
      <c r="F713" s="12" t="s">
        <v>4902</v>
      </c>
      <c r="G713" s="12" t="s">
        <v>392</v>
      </c>
      <c r="H713" s="15">
        <v>21700</v>
      </c>
      <c r="I713" s="13">
        <v>50</v>
      </c>
    </row>
    <row r="714" ht="15.75" spans="1:9">
      <c r="A714" s="12" t="s">
        <v>4903</v>
      </c>
      <c r="B714" s="12" t="s">
        <v>391</v>
      </c>
      <c r="C714" s="15">
        <v>10623</v>
      </c>
      <c r="D714" s="13">
        <v>44</v>
      </c>
      <c r="F714" s="12" t="s">
        <v>4904</v>
      </c>
      <c r="G714" s="12" t="s">
        <v>392</v>
      </c>
      <c r="H714" s="15">
        <v>460000</v>
      </c>
      <c r="I714" s="13">
        <v>50</v>
      </c>
    </row>
    <row r="715" ht="15.75" spans="1:9">
      <c r="A715" s="12" t="s">
        <v>4905</v>
      </c>
      <c r="B715" s="12" t="s">
        <v>391</v>
      </c>
      <c r="C715" s="15">
        <v>27520</v>
      </c>
      <c r="D715" s="13">
        <v>44</v>
      </c>
      <c r="F715" s="12" t="s">
        <v>3810</v>
      </c>
      <c r="G715" s="12" t="s">
        <v>391</v>
      </c>
      <c r="H715" s="15">
        <v>98163</v>
      </c>
      <c r="I715" s="13">
        <v>50</v>
      </c>
    </row>
    <row r="716" ht="15.75" spans="1:9">
      <c r="A716" s="12" t="s">
        <v>4906</v>
      </c>
      <c r="B716" s="12" t="s">
        <v>391</v>
      </c>
      <c r="C716" s="15">
        <v>16977</v>
      </c>
      <c r="D716" s="13">
        <v>44</v>
      </c>
      <c r="F716" s="12" t="s">
        <v>4907</v>
      </c>
      <c r="G716" s="12" t="s">
        <v>391</v>
      </c>
      <c r="H716" s="15">
        <v>20379</v>
      </c>
      <c r="I716" s="13">
        <v>50</v>
      </c>
    </row>
    <row r="717" ht="15.75" spans="1:9">
      <c r="A717" s="12" t="s">
        <v>4908</v>
      </c>
      <c r="B717" s="12" t="s">
        <v>391</v>
      </c>
      <c r="C717" s="15">
        <v>14296</v>
      </c>
      <c r="D717" s="13">
        <v>44</v>
      </c>
      <c r="F717" s="12" t="s">
        <v>4909</v>
      </c>
      <c r="G717" s="12" t="s">
        <v>392</v>
      </c>
      <c r="H717" s="15">
        <v>22200</v>
      </c>
      <c r="I717" s="13">
        <v>50</v>
      </c>
    </row>
    <row r="718" ht="15.75" spans="1:9">
      <c r="A718" s="12" t="s">
        <v>4910</v>
      </c>
      <c r="B718" s="12" t="s">
        <v>391</v>
      </c>
      <c r="C718" s="15">
        <v>25065</v>
      </c>
      <c r="D718" s="13">
        <v>44</v>
      </c>
      <c r="F718" s="12" t="s">
        <v>4911</v>
      </c>
      <c r="G718" s="12" t="s">
        <v>392</v>
      </c>
      <c r="H718" s="15">
        <v>14400</v>
      </c>
      <c r="I718" s="13">
        <v>50</v>
      </c>
    </row>
    <row r="719" ht="15.75" spans="1:9">
      <c r="A719" s="12" t="s">
        <v>4912</v>
      </c>
      <c r="B719" s="12" t="s">
        <v>391</v>
      </c>
      <c r="C719" s="15">
        <v>33573</v>
      </c>
      <c r="D719" s="13">
        <v>44</v>
      </c>
      <c r="F719" s="12" t="s">
        <v>4913</v>
      </c>
      <c r="G719" s="12" t="s">
        <v>392</v>
      </c>
      <c r="H719" s="15">
        <v>12100</v>
      </c>
      <c r="I719" s="13">
        <v>50</v>
      </c>
    </row>
    <row r="720" ht="15.75" spans="1:9">
      <c r="A720" s="12" t="s">
        <v>4914</v>
      </c>
      <c r="B720" s="12" t="s">
        <v>391</v>
      </c>
      <c r="C720" s="15">
        <v>29231</v>
      </c>
      <c r="D720" s="13">
        <v>44</v>
      </c>
      <c r="F720" s="12" t="s">
        <v>4915</v>
      </c>
      <c r="G720" s="12" t="s">
        <v>392</v>
      </c>
      <c r="H720" s="15">
        <v>152200</v>
      </c>
      <c r="I720" s="13">
        <v>50</v>
      </c>
    </row>
    <row r="721" ht="15.75" spans="1:9">
      <c r="A721" s="12" t="s">
        <v>4916</v>
      </c>
      <c r="B721" s="12" t="s">
        <v>391</v>
      </c>
      <c r="C721" s="15">
        <v>19399</v>
      </c>
      <c r="D721" s="13">
        <v>44</v>
      </c>
      <c r="F721" s="12" t="s">
        <v>4917</v>
      </c>
      <c r="G721" s="12" t="s">
        <v>392</v>
      </c>
      <c r="H721" s="15">
        <v>239100</v>
      </c>
      <c r="I721" s="13">
        <v>50</v>
      </c>
    </row>
    <row r="722" ht="15.75" spans="1:9">
      <c r="A722" s="12" t="s">
        <v>4918</v>
      </c>
      <c r="B722" s="12" t="s">
        <v>391</v>
      </c>
      <c r="C722" s="15">
        <v>20209</v>
      </c>
      <c r="D722" s="13">
        <v>44</v>
      </c>
      <c r="F722" s="12" t="s">
        <v>4919</v>
      </c>
      <c r="G722" s="12" t="s">
        <v>392</v>
      </c>
      <c r="H722" s="15">
        <v>10800</v>
      </c>
      <c r="I722" s="13">
        <v>50</v>
      </c>
    </row>
    <row r="723" ht="15.75" spans="1:9">
      <c r="A723" s="12" t="s">
        <v>4920</v>
      </c>
      <c r="B723" s="12" t="s">
        <v>391</v>
      </c>
      <c r="C723" s="15">
        <v>61532</v>
      </c>
      <c r="D723" s="13">
        <v>44</v>
      </c>
      <c r="F723" s="12" t="s">
        <v>3811</v>
      </c>
      <c r="G723" s="12" t="s">
        <v>391</v>
      </c>
      <c r="H723" s="15">
        <v>19533</v>
      </c>
      <c r="I723" s="13">
        <v>50</v>
      </c>
    </row>
    <row r="724" ht="15.75" spans="1:9">
      <c r="A724" s="12" t="s">
        <v>4921</v>
      </c>
      <c r="B724" s="12" t="s">
        <v>391</v>
      </c>
      <c r="C724" s="15">
        <v>19471</v>
      </c>
      <c r="D724" s="13">
        <v>44</v>
      </c>
      <c r="F724" s="12" t="s">
        <v>4922</v>
      </c>
      <c r="G724" s="12" t="s">
        <v>392</v>
      </c>
      <c r="H724" s="15">
        <v>10400</v>
      </c>
      <c r="I724" s="13">
        <v>50</v>
      </c>
    </row>
    <row r="725" ht="15.75" spans="1:9">
      <c r="A725" s="12" t="s">
        <v>4923</v>
      </c>
      <c r="B725" s="12" t="s">
        <v>391</v>
      </c>
      <c r="C725" s="15">
        <v>12824</v>
      </c>
      <c r="D725" s="13">
        <v>44</v>
      </c>
      <c r="F725" s="12" t="s">
        <v>3813</v>
      </c>
      <c r="G725" s="12" t="s">
        <v>391</v>
      </c>
      <c r="H725" s="15">
        <v>12028</v>
      </c>
      <c r="I725" s="13">
        <v>50</v>
      </c>
    </row>
    <row r="726" ht="15.75" spans="1:9">
      <c r="A726" s="12" t="s">
        <v>4924</v>
      </c>
      <c r="B726" s="12" t="s">
        <v>391</v>
      </c>
      <c r="C726" s="15">
        <v>11198</v>
      </c>
      <c r="D726" s="13">
        <v>44</v>
      </c>
      <c r="F726" s="12" t="s">
        <v>4925</v>
      </c>
      <c r="G726" s="12" t="s">
        <v>392</v>
      </c>
      <c r="H726" s="15">
        <v>11800</v>
      </c>
      <c r="I726" s="13">
        <v>50</v>
      </c>
    </row>
    <row r="727" ht="15.75" spans="1:9">
      <c r="A727" s="12" t="s">
        <v>4926</v>
      </c>
      <c r="B727" s="12" t="s">
        <v>391</v>
      </c>
      <c r="C727" s="15">
        <v>10862</v>
      </c>
      <c r="D727" s="13">
        <v>44</v>
      </c>
      <c r="F727" s="12" t="s">
        <v>4927</v>
      </c>
      <c r="G727" s="12" t="s">
        <v>392</v>
      </c>
      <c r="H727" s="15">
        <v>11900</v>
      </c>
      <c r="I727" s="13">
        <v>50</v>
      </c>
    </row>
    <row r="728" ht="15.75" spans="1:9">
      <c r="A728" s="12" t="s">
        <v>4928</v>
      </c>
      <c r="B728" s="12" t="s">
        <v>391</v>
      </c>
      <c r="C728" s="15">
        <v>15491</v>
      </c>
      <c r="D728" s="13">
        <v>44</v>
      </c>
      <c r="F728" s="12" t="s">
        <v>4929</v>
      </c>
      <c r="G728" s="12" t="s">
        <v>392</v>
      </c>
      <c r="H728" s="15">
        <v>69500</v>
      </c>
      <c r="I728" s="13">
        <v>50</v>
      </c>
    </row>
    <row r="729" ht="15.75" spans="1:9">
      <c r="A729" s="12" t="s">
        <v>4930</v>
      </c>
      <c r="B729" s="12" t="s">
        <v>391</v>
      </c>
      <c r="C729" s="15">
        <v>22629</v>
      </c>
      <c r="D729" s="13">
        <v>44</v>
      </c>
      <c r="F729" s="12" t="s">
        <v>4931</v>
      </c>
      <c r="G729" s="12" t="s">
        <v>392</v>
      </c>
      <c r="H729" s="15">
        <v>100300</v>
      </c>
      <c r="I729" s="13">
        <v>50</v>
      </c>
    </row>
    <row r="730" ht="15.75" spans="1:9">
      <c r="A730" s="12" t="s">
        <v>4932</v>
      </c>
      <c r="B730" s="12" t="s">
        <v>391</v>
      </c>
      <c r="C730" s="15">
        <v>81665</v>
      </c>
      <c r="D730" s="13">
        <v>44</v>
      </c>
      <c r="F730" s="12" t="s">
        <v>4933</v>
      </c>
      <c r="G730" s="12" t="s">
        <v>392</v>
      </c>
      <c r="H730" s="15">
        <v>207500</v>
      </c>
      <c r="I730" s="13">
        <v>50</v>
      </c>
    </row>
    <row r="731" ht="15.75" spans="1:9">
      <c r="A731" s="12" t="s">
        <v>4934</v>
      </c>
      <c r="B731" s="12" t="s">
        <v>391</v>
      </c>
      <c r="C731" s="15">
        <v>13842</v>
      </c>
      <c r="D731" s="13">
        <v>44</v>
      </c>
      <c r="F731" s="12" t="s">
        <v>4935</v>
      </c>
      <c r="G731" s="12" t="s">
        <v>392</v>
      </c>
      <c r="H731" s="15">
        <v>21500</v>
      </c>
      <c r="I731" s="13">
        <v>50</v>
      </c>
    </row>
    <row r="732" ht="15.75" spans="1:9">
      <c r="A732" s="12" t="s">
        <v>4936</v>
      </c>
      <c r="B732" s="12" t="s">
        <v>391</v>
      </c>
      <c r="C732" s="15">
        <v>11938</v>
      </c>
      <c r="D732" s="13">
        <v>44</v>
      </c>
      <c r="F732" s="12" t="s">
        <v>4937</v>
      </c>
      <c r="G732" s="12" t="s">
        <v>391</v>
      </c>
      <c r="H732" s="15">
        <v>22454</v>
      </c>
      <c r="I732" s="13">
        <v>50</v>
      </c>
    </row>
    <row r="733" ht="15.75" spans="1:9">
      <c r="A733" s="12" t="s">
        <v>4938</v>
      </c>
      <c r="B733" s="12" t="s">
        <v>391</v>
      </c>
      <c r="C733" s="15">
        <v>31699</v>
      </c>
      <c r="D733" s="13">
        <v>44</v>
      </c>
      <c r="F733" s="12" t="s">
        <v>4939</v>
      </c>
      <c r="G733" s="12" t="s">
        <v>392</v>
      </c>
      <c r="H733" s="15">
        <v>195700</v>
      </c>
      <c r="I733" s="13">
        <v>50</v>
      </c>
    </row>
    <row r="734" ht="15.75" spans="1:9">
      <c r="A734" s="12" t="s">
        <v>4940</v>
      </c>
      <c r="B734" s="12" t="s">
        <v>391</v>
      </c>
      <c r="C734" s="15">
        <v>10350</v>
      </c>
      <c r="D734" s="13">
        <v>44</v>
      </c>
      <c r="F734" s="12" t="s">
        <v>3814</v>
      </c>
      <c r="G734" s="12" t="s">
        <v>391</v>
      </c>
      <c r="H734" s="15">
        <v>14866</v>
      </c>
      <c r="I734" s="13">
        <v>50</v>
      </c>
    </row>
    <row r="735" ht="15.75" spans="1:9">
      <c r="A735" s="12" t="s">
        <v>4941</v>
      </c>
      <c r="B735" s="12" t="s">
        <v>391</v>
      </c>
      <c r="C735" s="15">
        <v>12281</v>
      </c>
      <c r="D735" s="13">
        <v>44</v>
      </c>
      <c r="F735" s="12" t="s">
        <v>4942</v>
      </c>
      <c r="G735" s="12" t="s">
        <v>392</v>
      </c>
      <c r="H735" s="15">
        <v>132700</v>
      </c>
      <c r="I735" s="13">
        <v>50</v>
      </c>
    </row>
    <row r="736" ht="15.75" spans="1:9">
      <c r="A736" s="12" t="s">
        <v>4943</v>
      </c>
      <c r="B736" s="12" t="s">
        <v>391</v>
      </c>
      <c r="C736" s="15">
        <v>12007</v>
      </c>
      <c r="D736" s="13">
        <v>44</v>
      </c>
      <c r="F736" s="12" t="s">
        <v>4944</v>
      </c>
      <c r="G736" s="12" t="s">
        <v>391</v>
      </c>
      <c r="H736" s="15">
        <v>25348</v>
      </c>
      <c r="I736" s="13">
        <v>50</v>
      </c>
    </row>
    <row r="737" ht="15.75" spans="1:9">
      <c r="A737" s="12" t="s">
        <v>4945</v>
      </c>
      <c r="B737" s="12" t="s">
        <v>391</v>
      </c>
      <c r="C737" s="15">
        <v>14532</v>
      </c>
      <c r="D737" s="13">
        <v>44</v>
      </c>
      <c r="F737" s="12" t="s">
        <v>3816</v>
      </c>
      <c r="G737" s="12" t="s">
        <v>391</v>
      </c>
      <c r="H737" s="15">
        <v>13292</v>
      </c>
      <c r="I737" s="13">
        <v>50</v>
      </c>
    </row>
    <row r="738" ht="15.75" spans="1:9">
      <c r="A738" s="12" t="s">
        <v>4946</v>
      </c>
      <c r="B738" s="12" t="s">
        <v>391</v>
      </c>
      <c r="C738" s="15">
        <v>16690</v>
      </c>
      <c r="D738" s="13">
        <v>44</v>
      </c>
      <c r="F738" s="12" t="s">
        <v>4947</v>
      </c>
      <c r="G738" s="12" t="s">
        <v>391</v>
      </c>
      <c r="H738" s="15">
        <v>12267</v>
      </c>
      <c r="I738" s="13">
        <v>50</v>
      </c>
    </row>
    <row r="739" ht="15.75" spans="1:9">
      <c r="A739" s="12" t="s">
        <v>4948</v>
      </c>
      <c r="B739" s="12" t="s">
        <v>391</v>
      </c>
      <c r="C739" s="15">
        <v>12714</v>
      </c>
      <c r="D739" s="13">
        <v>44</v>
      </c>
      <c r="F739" s="12" t="s">
        <v>4949</v>
      </c>
      <c r="G739" s="12" t="s">
        <v>392</v>
      </c>
      <c r="H739" s="15">
        <v>325800</v>
      </c>
      <c r="I739" s="13">
        <v>50</v>
      </c>
    </row>
    <row r="740" ht="15.75" spans="1:9">
      <c r="A740" s="12" t="s">
        <v>4950</v>
      </c>
      <c r="B740" s="12" t="s">
        <v>391</v>
      </c>
      <c r="C740" s="15">
        <v>10441</v>
      </c>
      <c r="D740" s="13">
        <v>44</v>
      </c>
      <c r="F740" s="12" t="s">
        <v>4951</v>
      </c>
      <c r="G740" s="12" t="s">
        <v>392</v>
      </c>
      <c r="H740" s="15">
        <v>77200</v>
      </c>
      <c r="I740" s="13">
        <v>50</v>
      </c>
    </row>
    <row r="741" ht="15.75" spans="1:9">
      <c r="A741" s="12" t="s">
        <v>2496</v>
      </c>
      <c r="B741" s="12" t="s">
        <v>391</v>
      </c>
      <c r="C741" s="15">
        <v>11208273</v>
      </c>
      <c r="D741" s="13">
        <v>44</v>
      </c>
      <c r="F741" s="12" t="s">
        <v>4952</v>
      </c>
      <c r="G741" s="12" t="s">
        <v>391</v>
      </c>
      <c r="H741" s="15">
        <v>31143</v>
      </c>
      <c r="I741" s="13">
        <v>50</v>
      </c>
    </row>
    <row r="742" ht="15.75" spans="1:9">
      <c r="A742" s="12" t="s">
        <v>4953</v>
      </c>
      <c r="B742" s="12" t="s">
        <v>391</v>
      </c>
      <c r="C742" s="15">
        <v>11710</v>
      </c>
      <c r="D742" s="13">
        <v>44</v>
      </c>
      <c r="F742" s="12" t="s">
        <v>4954</v>
      </c>
      <c r="G742" s="12" t="s">
        <v>391</v>
      </c>
      <c r="H742" s="15">
        <v>12668</v>
      </c>
      <c r="I742" s="13">
        <v>50</v>
      </c>
    </row>
    <row r="743" ht="15.75" spans="1:9">
      <c r="A743" s="12" t="s">
        <v>4955</v>
      </c>
      <c r="B743" s="12" t="s">
        <v>391</v>
      </c>
      <c r="C743" s="15">
        <v>32279</v>
      </c>
      <c r="D743" s="13">
        <v>44</v>
      </c>
      <c r="F743" s="12" t="s">
        <v>3817</v>
      </c>
      <c r="G743" s="12" t="s">
        <v>391</v>
      </c>
      <c r="H743" s="15">
        <v>15817</v>
      </c>
      <c r="I743" s="13">
        <v>50</v>
      </c>
    </row>
    <row r="744" ht="15.75" spans="1:9">
      <c r="A744" s="12" t="s">
        <v>4956</v>
      </c>
      <c r="B744" s="12" t="s">
        <v>391</v>
      </c>
      <c r="C744" s="15">
        <v>24969</v>
      </c>
      <c r="D744" s="13">
        <v>44</v>
      </c>
      <c r="F744" s="12" t="s">
        <v>4957</v>
      </c>
      <c r="G744" s="12" t="s">
        <v>392</v>
      </c>
      <c r="H744" s="15">
        <v>39100</v>
      </c>
      <c r="I744" s="13">
        <v>50</v>
      </c>
    </row>
    <row r="745" ht="15.75" spans="1:9">
      <c r="A745" s="12" t="s">
        <v>4958</v>
      </c>
      <c r="B745" s="12" t="s">
        <v>391</v>
      </c>
      <c r="C745" s="15">
        <v>27655</v>
      </c>
      <c r="D745" s="13">
        <v>44</v>
      </c>
      <c r="F745" s="12" t="s">
        <v>4959</v>
      </c>
      <c r="G745" s="12" t="s">
        <v>391</v>
      </c>
      <c r="H745" s="15">
        <v>11756</v>
      </c>
      <c r="I745" s="13">
        <v>50</v>
      </c>
    </row>
    <row r="746" ht="15.75" spans="1:9">
      <c r="A746" s="12" t="s">
        <v>4960</v>
      </c>
      <c r="B746" s="12" t="s">
        <v>391</v>
      </c>
      <c r="C746" s="15">
        <v>13969</v>
      </c>
      <c r="D746" s="13">
        <v>44</v>
      </c>
      <c r="F746" s="12" t="s">
        <v>4961</v>
      </c>
      <c r="G746" s="12" t="s">
        <v>391</v>
      </c>
      <c r="H746" s="15">
        <v>13049</v>
      </c>
      <c r="I746" s="13">
        <v>50</v>
      </c>
    </row>
    <row r="747" ht="15.75" spans="1:9">
      <c r="A747" s="12" t="s">
        <v>4962</v>
      </c>
      <c r="B747" s="12" t="s">
        <v>391</v>
      </c>
      <c r="C747" s="15">
        <v>13348</v>
      </c>
      <c r="D747" s="13">
        <v>44</v>
      </c>
      <c r="F747" s="12" t="s">
        <v>3218</v>
      </c>
      <c r="G747" s="12" t="s">
        <v>391</v>
      </c>
      <c r="H747" s="15">
        <v>98222</v>
      </c>
      <c r="I747" s="13">
        <v>50</v>
      </c>
    </row>
    <row r="748" ht="15.75" spans="1:9">
      <c r="A748" s="12" t="s">
        <v>4963</v>
      </c>
      <c r="B748" s="12" t="s">
        <v>391</v>
      </c>
      <c r="C748" s="15">
        <v>10049</v>
      </c>
      <c r="D748" s="13">
        <v>44</v>
      </c>
      <c r="F748" s="12" t="s">
        <v>4964</v>
      </c>
      <c r="G748" s="12" t="s">
        <v>392</v>
      </c>
      <c r="H748" s="15">
        <v>10600</v>
      </c>
      <c r="I748" s="13">
        <v>50</v>
      </c>
    </row>
    <row r="749" ht="15.75" spans="1:9">
      <c r="A749" s="12" t="s">
        <v>4965</v>
      </c>
      <c r="B749" s="12" t="s">
        <v>391</v>
      </c>
      <c r="C749" s="15">
        <v>32582</v>
      </c>
      <c r="D749" s="13">
        <v>44</v>
      </c>
      <c r="F749" s="12" t="s">
        <v>3819</v>
      </c>
      <c r="G749" s="12" t="s">
        <v>391</v>
      </c>
      <c r="H749" s="15">
        <v>20271</v>
      </c>
      <c r="I749" s="13">
        <v>50</v>
      </c>
    </row>
    <row r="750" ht="15.75" spans="1:9">
      <c r="A750" s="12" t="s">
        <v>4966</v>
      </c>
      <c r="B750" s="12" t="s">
        <v>391</v>
      </c>
      <c r="C750" s="15">
        <v>21666</v>
      </c>
      <c r="D750" s="13">
        <v>44</v>
      </c>
      <c r="F750" s="12" t="s">
        <v>4967</v>
      </c>
      <c r="G750" s="12" t="s">
        <v>392</v>
      </c>
      <c r="H750" s="15">
        <v>12300</v>
      </c>
      <c r="I750" s="13">
        <v>50</v>
      </c>
    </row>
    <row r="751" ht="15.75" spans="1:9">
      <c r="A751" s="12" t="s">
        <v>4968</v>
      </c>
      <c r="B751" s="12" t="s">
        <v>391</v>
      </c>
      <c r="C751" s="15">
        <v>13004</v>
      </c>
      <c r="D751" s="13">
        <v>44</v>
      </c>
      <c r="F751" s="12" t="s">
        <v>4969</v>
      </c>
      <c r="G751" s="12" t="s">
        <v>392</v>
      </c>
      <c r="H751" s="15">
        <v>103500</v>
      </c>
      <c r="I751" s="13">
        <v>50</v>
      </c>
    </row>
    <row r="752" ht="15.75" spans="1:9">
      <c r="A752" s="12" t="s">
        <v>4970</v>
      </c>
      <c r="B752" s="12" t="s">
        <v>391</v>
      </c>
      <c r="C752" s="15">
        <v>10434</v>
      </c>
      <c r="D752" s="13">
        <v>44</v>
      </c>
      <c r="F752" s="12" t="s">
        <v>4971</v>
      </c>
      <c r="G752" s="12" t="s">
        <v>391</v>
      </c>
      <c r="H752" s="15">
        <v>34182</v>
      </c>
      <c r="I752" s="13">
        <v>50</v>
      </c>
    </row>
    <row r="753" ht="15.75" spans="1:9">
      <c r="A753" s="12" t="s">
        <v>4972</v>
      </c>
      <c r="B753" s="12" t="s">
        <v>391</v>
      </c>
      <c r="C753" s="15">
        <v>25369</v>
      </c>
      <c r="D753" s="13">
        <v>44</v>
      </c>
      <c r="F753" s="12" t="s">
        <v>4973</v>
      </c>
      <c r="G753" s="12" t="s">
        <v>392</v>
      </c>
      <c r="H753" s="15">
        <v>11800</v>
      </c>
      <c r="I753" s="13">
        <v>50</v>
      </c>
    </row>
    <row r="754" ht="15.75" spans="1:9">
      <c r="A754" s="12" t="s">
        <v>4974</v>
      </c>
      <c r="B754" s="12" t="s">
        <v>391</v>
      </c>
      <c r="C754" s="15">
        <v>16508</v>
      </c>
      <c r="D754" s="13">
        <v>44</v>
      </c>
      <c r="F754" s="12" t="s">
        <v>4975</v>
      </c>
      <c r="G754" s="12" t="s">
        <v>392</v>
      </c>
      <c r="H754" s="15">
        <v>12700</v>
      </c>
      <c r="I754" s="13">
        <v>50</v>
      </c>
    </row>
    <row r="755" ht="15.75" spans="1:9">
      <c r="A755" s="12" t="s">
        <v>4976</v>
      </c>
      <c r="B755" s="12" t="s">
        <v>391</v>
      </c>
      <c r="C755" s="15">
        <v>10156</v>
      </c>
      <c r="D755" s="13">
        <v>44</v>
      </c>
      <c r="F755" s="12" t="s">
        <v>4977</v>
      </c>
      <c r="G755" s="12" t="s">
        <v>391</v>
      </c>
      <c r="H755" s="15">
        <v>17255</v>
      </c>
      <c r="I755" s="13">
        <v>50</v>
      </c>
    </row>
    <row r="756" ht="15.75" spans="1:9">
      <c r="A756" s="12" t="s">
        <v>4978</v>
      </c>
      <c r="B756" s="12" t="s">
        <v>391</v>
      </c>
      <c r="C756" s="15">
        <v>11450</v>
      </c>
      <c r="D756" s="13">
        <v>44</v>
      </c>
      <c r="F756" s="12" t="s">
        <v>4979</v>
      </c>
      <c r="G756" s="12" t="s">
        <v>392</v>
      </c>
      <c r="H756" s="15">
        <v>37800</v>
      </c>
      <c r="I756" s="13">
        <v>50</v>
      </c>
    </row>
    <row r="757" ht="15.75" spans="1:9">
      <c r="A757" s="12" t="s">
        <v>4980</v>
      </c>
      <c r="B757" s="12" t="s">
        <v>391</v>
      </c>
      <c r="C757" s="15">
        <v>12115</v>
      </c>
      <c r="D757" s="13">
        <v>44</v>
      </c>
      <c r="F757" s="12" t="s">
        <v>4981</v>
      </c>
      <c r="G757" s="12" t="s">
        <v>392</v>
      </c>
      <c r="H757" s="15">
        <v>381900</v>
      </c>
      <c r="I757" s="13">
        <v>50</v>
      </c>
    </row>
    <row r="758" ht="15.75" spans="1:9">
      <c r="A758" s="12" t="s">
        <v>4982</v>
      </c>
      <c r="B758" s="12" t="s">
        <v>391</v>
      </c>
      <c r="C758" s="15">
        <v>10098</v>
      </c>
      <c r="D758" s="13">
        <v>44</v>
      </c>
      <c r="F758" s="12" t="s">
        <v>4983</v>
      </c>
      <c r="G758" s="12" t="s">
        <v>391</v>
      </c>
      <c r="H758" s="15">
        <v>26055</v>
      </c>
      <c r="I758" s="13">
        <v>50</v>
      </c>
    </row>
    <row r="759" ht="15.75" spans="1:9">
      <c r="A759" s="12" t="s">
        <v>4350</v>
      </c>
      <c r="B759" s="12" t="s">
        <v>391</v>
      </c>
      <c r="C759" s="15">
        <v>239094</v>
      </c>
      <c r="D759" s="13">
        <v>44</v>
      </c>
      <c r="F759" s="12" t="s">
        <v>4984</v>
      </c>
      <c r="G759" s="12" t="s">
        <v>392</v>
      </c>
      <c r="H759" s="15">
        <v>253900</v>
      </c>
      <c r="I759" s="13">
        <v>50</v>
      </c>
    </row>
    <row r="760" ht="15.75" spans="1:9">
      <c r="A760" s="12" t="s">
        <v>4985</v>
      </c>
      <c r="B760" s="12" t="s">
        <v>391</v>
      </c>
      <c r="C760" s="15">
        <v>12291</v>
      </c>
      <c r="D760" s="13">
        <v>44</v>
      </c>
      <c r="F760" s="12" t="s">
        <v>4986</v>
      </c>
      <c r="G760" s="12" t="s">
        <v>392</v>
      </c>
      <c r="H760" s="15">
        <v>31700</v>
      </c>
      <c r="I760" s="13">
        <v>50</v>
      </c>
    </row>
    <row r="761" ht="15.75" spans="1:9">
      <c r="A761" s="12" t="s">
        <v>4987</v>
      </c>
      <c r="B761" s="12" t="s">
        <v>391</v>
      </c>
      <c r="C761" s="15">
        <v>34589</v>
      </c>
      <c r="D761" s="13">
        <v>44</v>
      </c>
      <c r="F761" s="12" t="s">
        <v>3821</v>
      </c>
      <c r="G761" s="12" t="s">
        <v>391</v>
      </c>
      <c r="H761" s="15">
        <v>11247</v>
      </c>
      <c r="I761" s="13">
        <v>50</v>
      </c>
    </row>
    <row r="762" ht="15.75" spans="1:9">
      <c r="A762" s="12" t="s">
        <v>4988</v>
      </c>
      <c r="B762" s="12" t="s">
        <v>391</v>
      </c>
      <c r="C762" s="15">
        <v>12992</v>
      </c>
      <c r="D762" s="13">
        <v>44</v>
      </c>
      <c r="F762" s="12" t="s">
        <v>3823</v>
      </c>
      <c r="G762" s="12" t="s">
        <v>391</v>
      </c>
      <c r="H762" s="15">
        <v>10738</v>
      </c>
      <c r="I762" s="13">
        <v>50</v>
      </c>
    </row>
    <row r="763" ht="15.75" spans="1:9">
      <c r="A763" s="12" t="s">
        <v>4989</v>
      </c>
      <c r="B763" s="12" t="s">
        <v>391</v>
      </c>
      <c r="C763" s="15">
        <v>21036</v>
      </c>
      <c r="D763" s="13">
        <v>44</v>
      </c>
      <c r="F763" s="12" t="s">
        <v>4990</v>
      </c>
      <c r="G763" s="12" t="s">
        <v>391</v>
      </c>
      <c r="H763" s="15">
        <v>27081</v>
      </c>
      <c r="I763" s="13">
        <v>50</v>
      </c>
    </row>
    <row r="764" ht="15.75" spans="1:9">
      <c r="A764" s="12" t="s">
        <v>4991</v>
      </c>
      <c r="B764" s="12" t="s">
        <v>391</v>
      </c>
      <c r="C764" s="15">
        <v>11188</v>
      </c>
      <c r="D764" s="13">
        <v>44</v>
      </c>
      <c r="F764" s="12" t="s">
        <v>4992</v>
      </c>
      <c r="G764" s="12" t="s">
        <v>392</v>
      </c>
      <c r="H764" s="15">
        <v>13847</v>
      </c>
      <c r="I764" s="13">
        <v>50</v>
      </c>
    </row>
    <row r="765" ht="15.75" spans="1:9">
      <c r="A765" s="12" t="s">
        <v>4993</v>
      </c>
      <c r="B765" s="12" t="s">
        <v>391</v>
      </c>
      <c r="C765" s="15">
        <v>11666</v>
      </c>
      <c r="D765" s="13">
        <v>44</v>
      </c>
      <c r="F765" s="12" t="s">
        <v>3825</v>
      </c>
      <c r="G765" s="12" t="s">
        <v>391</v>
      </c>
      <c r="H765" s="15">
        <v>14958</v>
      </c>
      <c r="I765" s="13">
        <v>50</v>
      </c>
    </row>
    <row r="766" ht="15.75" spans="1:9">
      <c r="A766" s="12" t="s">
        <v>4994</v>
      </c>
      <c r="B766" s="12" t="s">
        <v>391</v>
      </c>
      <c r="C766" s="15">
        <v>19019</v>
      </c>
      <c r="D766" s="13">
        <v>44</v>
      </c>
      <c r="F766" s="12" t="s">
        <v>4995</v>
      </c>
      <c r="G766" s="12" t="s">
        <v>391</v>
      </c>
      <c r="H766" s="15">
        <v>13377</v>
      </c>
      <c r="I766" s="13">
        <v>50</v>
      </c>
    </row>
    <row r="767" ht="15.75" spans="1:9">
      <c r="A767" s="12" t="s">
        <v>4996</v>
      </c>
      <c r="B767" s="12" t="s">
        <v>391</v>
      </c>
      <c r="C767" s="15">
        <v>35244</v>
      </c>
      <c r="D767" s="13">
        <v>44</v>
      </c>
      <c r="F767" s="12" t="s">
        <v>4997</v>
      </c>
      <c r="G767" s="12" t="s">
        <v>391</v>
      </c>
      <c r="H767" s="15">
        <v>10236</v>
      </c>
      <c r="I767" s="13">
        <v>50</v>
      </c>
    </row>
    <row r="768" ht="15.75" spans="1:9">
      <c r="A768" s="12" t="s">
        <v>4998</v>
      </c>
      <c r="B768" s="12" t="s">
        <v>391</v>
      </c>
      <c r="C768" s="15">
        <v>746448</v>
      </c>
      <c r="D768" s="13">
        <v>44</v>
      </c>
      <c r="F768" s="12" t="s">
        <v>4999</v>
      </c>
      <c r="G768" s="12" t="s">
        <v>392</v>
      </c>
      <c r="H768" s="15">
        <v>42900</v>
      </c>
      <c r="I768" s="13">
        <v>50</v>
      </c>
    </row>
    <row r="769" ht="15.75" spans="1:9">
      <c r="A769" s="12" t="s">
        <v>5000</v>
      </c>
      <c r="B769" s="12" t="s">
        <v>391</v>
      </c>
      <c r="C769" s="15">
        <v>10377</v>
      </c>
      <c r="D769" s="13">
        <v>44</v>
      </c>
      <c r="F769" s="12" t="s">
        <v>5001</v>
      </c>
      <c r="G769" s="12" t="s">
        <v>392</v>
      </c>
      <c r="H769" s="15">
        <v>1834797</v>
      </c>
      <c r="I769" s="13">
        <v>50</v>
      </c>
    </row>
    <row r="770" ht="15.75" spans="1:9">
      <c r="A770" s="12" t="s">
        <v>5002</v>
      </c>
      <c r="B770" s="12" t="s">
        <v>391</v>
      </c>
      <c r="C770" s="15">
        <v>14544</v>
      </c>
      <c r="D770" s="13">
        <v>44</v>
      </c>
      <c r="F770" s="12" t="s">
        <v>3826</v>
      </c>
      <c r="G770" s="12" t="s">
        <v>391</v>
      </c>
      <c r="H770" s="15">
        <v>10586</v>
      </c>
      <c r="I770" s="13">
        <v>50</v>
      </c>
    </row>
    <row r="771" ht="15.75" spans="1:9">
      <c r="A771" s="12" t="s">
        <v>5003</v>
      </c>
      <c r="B771" s="12" t="s">
        <v>391</v>
      </c>
      <c r="C771" s="15">
        <v>15815</v>
      </c>
      <c r="D771" s="13">
        <v>44</v>
      </c>
      <c r="F771" s="12" t="s">
        <v>5004</v>
      </c>
      <c r="G771" s="12" t="s">
        <v>392</v>
      </c>
      <c r="H771" s="15">
        <v>23500</v>
      </c>
      <c r="I771" s="13">
        <v>50</v>
      </c>
    </row>
    <row r="772" ht="15.75" spans="1:9">
      <c r="A772" s="12" t="s">
        <v>5005</v>
      </c>
      <c r="B772" s="12" t="s">
        <v>391</v>
      </c>
      <c r="C772" s="15">
        <v>12312</v>
      </c>
      <c r="D772" s="13">
        <v>44</v>
      </c>
      <c r="F772" s="12" t="s">
        <v>5006</v>
      </c>
      <c r="G772" s="12" t="s">
        <v>392</v>
      </c>
      <c r="H772" s="15">
        <v>11200</v>
      </c>
      <c r="I772" s="13">
        <v>50</v>
      </c>
    </row>
    <row r="773" ht="15.75" spans="1:9">
      <c r="A773" s="12" t="s">
        <v>5007</v>
      </c>
      <c r="B773" s="12" t="s">
        <v>391</v>
      </c>
      <c r="C773" s="15">
        <v>12062</v>
      </c>
      <c r="D773" s="13">
        <v>44</v>
      </c>
      <c r="F773" s="12" t="s">
        <v>5008</v>
      </c>
      <c r="G773" s="12" t="s">
        <v>391</v>
      </c>
      <c r="H773" s="15">
        <v>20891</v>
      </c>
      <c r="I773" s="13">
        <v>50</v>
      </c>
    </row>
    <row r="774" ht="15.75" spans="1:9">
      <c r="A774" s="12" t="s">
        <v>5009</v>
      </c>
      <c r="B774" s="12" t="s">
        <v>391</v>
      </c>
      <c r="C774" s="15">
        <v>24530</v>
      </c>
      <c r="D774" s="13">
        <v>44</v>
      </c>
      <c r="F774" s="12" t="s">
        <v>5010</v>
      </c>
      <c r="G774" s="12" t="s">
        <v>392</v>
      </c>
      <c r="H774" s="15">
        <v>45300</v>
      </c>
      <c r="I774" s="13">
        <v>50</v>
      </c>
    </row>
    <row r="775" ht="15.75" spans="1:9">
      <c r="A775" s="12" t="s">
        <v>5011</v>
      </c>
      <c r="B775" s="12" t="s">
        <v>391</v>
      </c>
      <c r="C775" s="15">
        <v>16150</v>
      </c>
      <c r="D775" s="13">
        <v>44</v>
      </c>
      <c r="F775" s="12" t="s">
        <v>5012</v>
      </c>
      <c r="G775" s="12" t="s">
        <v>392</v>
      </c>
      <c r="H775" s="15">
        <v>11100</v>
      </c>
      <c r="I775" s="13">
        <v>50</v>
      </c>
    </row>
    <row r="776" ht="15.75" spans="1:9">
      <c r="A776" s="12" t="s">
        <v>5013</v>
      </c>
      <c r="B776" s="12" t="s">
        <v>391</v>
      </c>
      <c r="C776" s="15">
        <v>25521</v>
      </c>
      <c r="D776" s="13">
        <v>44</v>
      </c>
      <c r="F776" s="12" t="s">
        <v>5014</v>
      </c>
      <c r="G776" s="12" t="s">
        <v>391</v>
      </c>
      <c r="H776" s="15">
        <v>23421</v>
      </c>
      <c r="I776" s="13">
        <v>50</v>
      </c>
    </row>
    <row r="777" ht="15.75" spans="1:9">
      <c r="A777" s="12" t="s">
        <v>5015</v>
      </c>
      <c r="B777" s="12" t="s">
        <v>391</v>
      </c>
      <c r="C777" s="15">
        <v>21643</v>
      </c>
      <c r="D777" s="13">
        <v>44</v>
      </c>
      <c r="F777" s="12" t="s">
        <v>5016</v>
      </c>
      <c r="G777" s="12" t="s">
        <v>391</v>
      </c>
      <c r="H777" s="15">
        <v>11900</v>
      </c>
      <c r="I777" s="13">
        <v>50</v>
      </c>
    </row>
    <row r="778" ht="15.75" spans="1:9">
      <c r="A778" s="12" t="s">
        <v>5017</v>
      </c>
      <c r="B778" s="12" t="s">
        <v>391</v>
      </c>
      <c r="C778" s="15">
        <v>12600</v>
      </c>
      <c r="D778" s="13">
        <v>44</v>
      </c>
      <c r="F778" s="12" t="s">
        <v>5018</v>
      </c>
      <c r="G778" s="12" t="s">
        <v>392</v>
      </c>
      <c r="H778" s="15">
        <v>17500</v>
      </c>
      <c r="I778" s="13">
        <v>50</v>
      </c>
    </row>
    <row r="779" ht="15.75" spans="1:9">
      <c r="A779" s="12" t="s">
        <v>5019</v>
      </c>
      <c r="B779" s="12" t="s">
        <v>391</v>
      </c>
      <c r="C779" s="15">
        <v>13350</v>
      </c>
      <c r="D779" s="13">
        <v>44</v>
      </c>
      <c r="F779" s="12" t="s">
        <v>5020</v>
      </c>
      <c r="G779" s="12" t="s">
        <v>392</v>
      </c>
      <c r="H779" s="15">
        <v>16200</v>
      </c>
      <c r="I779" s="13">
        <v>50</v>
      </c>
    </row>
    <row r="780" ht="15.75" spans="1:9">
      <c r="A780" s="12" t="s">
        <v>5021</v>
      </c>
      <c r="B780" s="12" t="s">
        <v>391</v>
      </c>
      <c r="C780" s="15">
        <v>20622</v>
      </c>
      <c r="D780" s="13">
        <v>44</v>
      </c>
      <c r="F780" s="12" t="s">
        <v>5022</v>
      </c>
      <c r="G780" s="12" t="s">
        <v>392</v>
      </c>
      <c r="H780" s="15">
        <v>165600</v>
      </c>
      <c r="I780" s="13">
        <v>50</v>
      </c>
    </row>
    <row r="781" ht="15.75" spans="1:9">
      <c r="A781" s="12" t="s">
        <v>5023</v>
      </c>
      <c r="B781" s="12" t="s">
        <v>391</v>
      </c>
      <c r="C781" s="15">
        <v>22121</v>
      </c>
      <c r="D781" s="13">
        <v>44</v>
      </c>
      <c r="F781" s="12" t="s">
        <v>5024</v>
      </c>
      <c r="G781" s="12" t="s">
        <v>391</v>
      </c>
      <c r="H781" s="15">
        <v>31082</v>
      </c>
      <c r="I781" s="13">
        <v>50</v>
      </c>
    </row>
    <row r="782" ht="15.75" spans="1:9">
      <c r="A782" s="12" t="s">
        <v>5025</v>
      </c>
      <c r="B782" s="12" t="s">
        <v>391</v>
      </c>
      <c r="C782" s="15">
        <v>17737</v>
      </c>
      <c r="D782" s="13">
        <v>44</v>
      </c>
      <c r="F782" s="12" t="s">
        <v>3828</v>
      </c>
      <c r="G782" s="12" t="s">
        <v>391</v>
      </c>
      <c r="H782" s="15">
        <v>22899</v>
      </c>
      <c r="I782" s="13">
        <v>50</v>
      </c>
    </row>
    <row r="783" ht="15.75" spans="1:9">
      <c r="A783" s="12" t="s">
        <v>5026</v>
      </c>
      <c r="B783" s="12" t="s">
        <v>391</v>
      </c>
      <c r="C783" s="15">
        <v>21155</v>
      </c>
      <c r="D783" s="13">
        <v>44</v>
      </c>
      <c r="F783" s="12" t="s">
        <v>5027</v>
      </c>
      <c r="G783" s="12" t="s">
        <v>392</v>
      </c>
      <c r="H783" s="15">
        <v>16200</v>
      </c>
      <c r="I783" s="13">
        <v>50</v>
      </c>
    </row>
    <row r="784" ht="15.75" spans="1:9">
      <c r="A784" s="12" t="s">
        <v>5028</v>
      </c>
      <c r="B784" s="12" t="s">
        <v>391</v>
      </c>
      <c r="C784" s="15">
        <v>15496</v>
      </c>
      <c r="D784" s="13">
        <v>44</v>
      </c>
      <c r="F784" s="12" t="s">
        <v>5029</v>
      </c>
      <c r="G784" s="12" t="s">
        <v>391</v>
      </c>
      <c r="H784" s="15">
        <v>10167</v>
      </c>
      <c r="I784" s="13">
        <v>50</v>
      </c>
    </row>
    <row r="785" ht="15.75" spans="1:9">
      <c r="A785" s="12" t="s">
        <v>5030</v>
      </c>
      <c r="B785" s="12" t="s">
        <v>391</v>
      </c>
      <c r="C785" s="15">
        <v>18851</v>
      </c>
      <c r="D785" s="13">
        <v>44</v>
      </c>
      <c r="F785" s="12" t="s">
        <v>5031</v>
      </c>
      <c r="G785" s="12" t="s">
        <v>392</v>
      </c>
      <c r="H785" s="15">
        <v>22600</v>
      </c>
      <c r="I785" s="13">
        <v>50</v>
      </c>
    </row>
    <row r="786" ht="15.75" spans="1:9">
      <c r="A786" s="12" t="s">
        <v>5032</v>
      </c>
      <c r="B786" s="12" t="s">
        <v>391</v>
      </c>
      <c r="C786" s="15">
        <v>24970</v>
      </c>
      <c r="D786" s="13">
        <v>44</v>
      </c>
      <c r="F786" s="12" t="s">
        <v>3221</v>
      </c>
      <c r="G786" s="12" t="s">
        <v>391</v>
      </c>
      <c r="H786" s="15">
        <v>740575</v>
      </c>
      <c r="I786" s="13">
        <v>50</v>
      </c>
    </row>
    <row r="787" ht="15.75" spans="1:9">
      <c r="A787" s="12" t="s">
        <v>4244</v>
      </c>
      <c r="B787" s="12" t="s">
        <v>391</v>
      </c>
      <c r="C787" s="15">
        <v>112095</v>
      </c>
      <c r="D787" s="13">
        <v>44</v>
      </c>
      <c r="F787" s="12" t="s">
        <v>5033</v>
      </c>
      <c r="G787" s="12" t="s">
        <v>391</v>
      </c>
      <c r="H787" s="15">
        <v>25029</v>
      </c>
      <c r="I787" s="13">
        <v>50</v>
      </c>
    </row>
    <row r="788" ht="15.75" spans="1:9">
      <c r="A788" s="12" t="s">
        <v>5034</v>
      </c>
      <c r="B788" s="12" t="s">
        <v>391</v>
      </c>
      <c r="C788" s="15">
        <v>20942</v>
      </c>
      <c r="D788" s="13">
        <v>44</v>
      </c>
      <c r="F788" s="12" t="s">
        <v>5035</v>
      </c>
      <c r="G788" s="12" t="s">
        <v>392</v>
      </c>
      <c r="H788" s="15">
        <v>97100</v>
      </c>
      <c r="I788" s="13">
        <v>50</v>
      </c>
    </row>
    <row r="789" ht="15.75" spans="1:9">
      <c r="A789" s="12" t="s">
        <v>5036</v>
      </c>
      <c r="B789" s="12" t="s">
        <v>391</v>
      </c>
      <c r="C789" s="15">
        <v>78429</v>
      </c>
      <c r="D789" s="13">
        <v>44</v>
      </c>
      <c r="F789" s="12" t="s">
        <v>5037</v>
      </c>
      <c r="G789" s="12" t="s">
        <v>391</v>
      </c>
      <c r="H789" s="15">
        <v>21585</v>
      </c>
      <c r="I789" s="13">
        <v>50</v>
      </c>
    </row>
    <row r="790" ht="15.75" spans="1:9">
      <c r="A790" s="12" t="s">
        <v>5038</v>
      </c>
      <c r="B790" s="12" t="s">
        <v>391</v>
      </c>
      <c r="C790" s="15">
        <v>10198</v>
      </c>
      <c r="D790" s="13">
        <v>44</v>
      </c>
      <c r="F790" s="12" t="s">
        <v>3830</v>
      </c>
      <c r="G790" s="12" t="s">
        <v>391</v>
      </c>
      <c r="H790" s="15">
        <v>24965</v>
      </c>
      <c r="I790" s="13">
        <v>50</v>
      </c>
    </row>
    <row r="791" ht="15.75" spans="1:9">
      <c r="A791" s="12" t="s">
        <v>5039</v>
      </c>
      <c r="B791" s="12" t="s">
        <v>391</v>
      </c>
      <c r="C791" s="15">
        <v>11291</v>
      </c>
      <c r="D791" s="13">
        <v>44</v>
      </c>
      <c r="F791" s="12" t="s">
        <v>5040</v>
      </c>
      <c r="G791" s="12" t="s">
        <v>391</v>
      </c>
      <c r="H791" s="15">
        <v>12544</v>
      </c>
      <c r="I791" s="13">
        <v>50</v>
      </c>
    </row>
    <row r="792" ht="15.75" spans="1:9">
      <c r="A792" s="12" t="s">
        <v>5041</v>
      </c>
      <c r="B792" s="12" t="s">
        <v>391</v>
      </c>
      <c r="C792" s="15">
        <v>27064</v>
      </c>
      <c r="D792" s="13">
        <v>44</v>
      </c>
      <c r="F792" s="12" t="s">
        <v>5042</v>
      </c>
      <c r="G792" s="12" t="s">
        <v>392</v>
      </c>
      <c r="H792" s="15">
        <v>332500</v>
      </c>
      <c r="I792" s="13">
        <v>50</v>
      </c>
    </row>
    <row r="793" ht="15.75" spans="1:9">
      <c r="A793" s="12" t="s">
        <v>5043</v>
      </c>
      <c r="B793" s="12" t="s">
        <v>391</v>
      </c>
      <c r="C793" s="15">
        <v>20310</v>
      </c>
      <c r="D793" s="13">
        <v>44</v>
      </c>
      <c r="F793" s="12" t="s">
        <v>5044</v>
      </c>
      <c r="G793" s="12" t="s">
        <v>392</v>
      </c>
      <c r="H793" s="15">
        <v>10400</v>
      </c>
      <c r="I793" s="13">
        <v>50</v>
      </c>
    </row>
    <row r="794" ht="15.75" spans="1:9">
      <c r="A794" s="12" t="s">
        <v>5045</v>
      </c>
      <c r="B794" s="12" t="s">
        <v>391</v>
      </c>
      <c r="C794" s="15">
        <v>11261</v>
      </c>
      <c r="D794" s="13">
        <v>44</v>
      </c>
      <c r="F794" s="12" t="s">
        <v>5046</v>
      </c>
      <c r="G794" s="12" t="s">
        <v>391</v>
      </c>
      <c r="H794" s="15">
        <v>25357</v>
      </c>
      <c r="I794" s="13">
        <v>50</v>
      </c>
    </row>
    <row r="795" ht="15.75" spans="1:9">
      <c r="A795" s="12" t="s">
        <v>5047</v>
      </c>
      <c r="B795" s="12" t="s">
        <v>391</v>
      </c>
      <c r="C795" s="15">
        <v>15885</v>
      </c>
      <c r="D795" s="13">
        <v>44</v>
      </c>
      <c r="F795" s="12" t="s">
        <v>5048</v>
      </c>
      <c r="G795" s="12" t="s">
        <v>392</v>
      </c>
      <c r="H795" s="15">
        <v>330700</v>
      </c>
      <c r="I795" s="13">
        <v>50</v>
      </c>
    </row>
    <row r="796" ht="15.75" spans="1:9">
      <c r="A796" s="12" t="s">
        <v>5049</v>
      </c>
      <c r="B796" s="12" t="s">
        <v>391</v>
      </c>
      <c r="C796" s="15">
        <v>14154</v>
      </c>
      <c r="D796" s="13">
        <v>44</v>
      </c>
      <c r="F796" s="12" t="s">
        <v>3833</v>
      </c>
      <c r="G796" s="12" t="s">
        <v>391</v>
      </c>
      <c r="H796" s="15">
        <v>25700</v>
      </c>
      <c r="I796" s="13">
        <v>50</v>
      </c>
    </row>
    <row r="797" ht="15.75" spans="1:9">
      <c r="A797" s="12" t="s">
        <v>5050</v>
      </c>
      <c r="B797" s="12" t="s">
        <v>391</v>
      </c>
      <c r="C797" s="15">
        <v>11803</v>
      </c>
      <c r="D797" s="13">
        <v>44</v>
      </c>
      <c r="F797" s="12" t="s">
        <v>5051</v>
      </c>
      <c r="G797" s="12" t="s">
        <v>392</v>
      </c>
      <c r="H797" s="15">
        <v>11600</v>
      </c>
      <c r="I797" s="13">
        <v>50</v>
      </c>
    </row>
    <row r="798" ht="15.75" spans="1:9">
      <c r="A798" s="12" t="s">
        <v>5052</v>
      </c>
      <c r="B798" s="12" t="s">
        <v>391</v>
      </c>
      <c r="C798" s="15">
        <v>15371</v>
      </c>
      <c r="D798" s="13">
        <v>44</v>
      </c>
      <c r="F798" s="12" t="s">
        <v>5053</v>
      </c>
      <c r="G798" s="12" t="s">
        <v>392</v>
      </c>
      <c r="H798" s="15">
        <v>66100</v>
      </c>
      <c r="I798" s="13">
        <v>50</v>
      </c>
    </row>
    <row r="799" ht="15.75" spans="1:9">
      <c r="A799" s="12" t="s">
        <v>5054</v>
      </c>
      <c r="B799" s="12" t="s">
        <v>391</v>
      </c>
      <c r="C799" s="15">
        <v>14628</v>
      </c>
      <c r="D799" s="13">
        <v>44</v>
      </c>
      <c r="F799" s="12" t="s">
        <v>5055</v>
      </c>
      <c r="G799" s="12" t="s">
        <v>392</v>
      </c>
      <c r="H799" s="15">
        <v>24600</v>
      </c>
      <c r="I799" s="13">
        <v>50</v>
      </c>
    </row>
    <row r="800" ht="15.75" spans="1:9">
      <c r="A800" s="12" t="s">
        <v>5056</v>
      </c>
      <c r="B800" s="12" t="s">
        <v>391</v>
      </c>
      <c r="C800" s="15">
        <v>23782</v>
      </c>
      <c r="D800" s="13">
        <v>44</v>
      </c>
      <c r="F800" s="12" t="s">
        <v>5057</v>
      </c>
      <c r="G800" s="12" t="s">
        <v>392</v>
      </c>
      <c r="H800" s="15">
        <v>56500</v>
      </c>
      <c r="I800" s="13">
        <v>50</v>
      </c>
    </row>
    <row r="801" ht="15.75" spans="1:9">
      <c r="A801" s="12" t="s">
        <v>4352</v>
      </c>
      <c r="B801" s="12" t="s">
        <v>391</v>
      </c>
      <c r="C801" s="15">
        <v>106287</v>
      </c>
      <c r="D801" s="13">
        <v>44</v>
      </c>
      <c r="F801" s="12" t="s">
        <v>5058</v>
      </c>
      <c r="G801" s="12" t="s">
        <v>392</v>
      </c>
      <c r="H801" s="15">
        <v>32000</v>
      </c>
      <c r="I801" s="13">
        <v>50</v>
      </c>
    </row>
    <row r="802" ht="15.75" spans="1:9">
      <c r="A802" s="12" t="s">
        <v>5059</v>
      </c>
      <c r="B802" s="12" t="s">
        <v>391</v>
      </c>
      <c r="C802" s="15">
        <v>11560</v>
      </c>
      <c r="D802" s="13">
        <v>44</v>
      </c>
      <c r="F802" s="12" t="s">
        <v>3835</v>
      </c>
      <c r="G802" s="12" t="s">
        <v>391</v>
      </c>
      <c r="H802" s="15">
        <v>10785</v>
      </c>
      <c r="I802" s="13">
        <v>50</v>
      </c>
    </row>
    <row r="803" ht="15.75" spans="1:9">
      <c r="A803" s="12" t="s">
        <v>5060</v>
      </c>
      <c r="B803" s="12" t="s">
        <v>391</v>
      </c>
      <c r="C803" s="15">
        <v>27731</v>
      </c>
      <c r="D803" s="13">
        <v>44</v>
      </c>
      <c r="F803" s="12" t="s">
        <v>5061</v>
      </c>
      <c r="G803" s="12" t="s">
        <v>392</v>
      </c>
      <c r="H803" s="15">
        <v>77800</v>
      </c>
      <c r="I803" s="13">
        <v>50</v>
      </c>
    </row>
    <row r="804" ht="15.75" spans="1:9">
      <c r="A804" s="12" t="s">
        <v>5062</v>
      </c>
      <c r="B804" s="12" t="s">
        <v>391</v>
      </c>
      <c r="C804" s="15">
        <v>12923</v>
      </c>
      <c r="D804" s="13">
        <v>44</v>
      </c>
      <c r="F804" s="12" t="s">
        <v>5063</v>
      </c>
      <c r="G804" s="12" t="s">
        <v>391</v>
      </c>
      <c r="H804" s="15">
        <v>10936</v>
      </c>
      <c r="I804" s="13">
        <v>50</v>
      </c>
    </row>
    <row r="805" ht="15.75" spans="1:9">
      <c r="A805" s="12" t="s">
        <v>5064</v>
      </c>
      <c r="B805" s="12" t="s">
        <v>391</v>
      </c>
      <c r="C805" s="15">
        <v>24147</v>
      </c>
      <c r="D805" s="13">
        <v>44</v>
      </c>
      <c r="F805" s="12" t="s">
        <v>3837</v>
      </c>
      <c r="G805" s="12" t="s">
        <v>391</v>
      </c>
      <c r="H805" s="15">
        <v>30343</v>
      </c>
      <c r="I805" s="13">
        <v>50</v>
      </c>
    </row>
    <row r="806" ht="15.75" spans="1:9">
      <c r="A806" s="12" t="s">
        <v>5065</v>
      </c>
      <c r="B806" s="12" t="s">
        <v>391</v>
      </c>
      <c r="C806" s="15">
        <v>20023</v>
      </c>
      <c r="D806" s="13">
        <v>44</v>
      </c>
      <c r="F806" s="12" t="s">
        <v>5066</v>
      </c>
      <c r="G806" s="12" t="s">
        <v>392</v>
      </c>
      <c r="H806" s="15">
        <v>1000000</v>
      </c>
      <c r="I806" s="13">
        <v>50</v>
      </c>
    </row>
    <row r="807" ht="15.75" spans="1:9">
      <c r="A807" s="12" t="s">
        <v>4355</v>
      </c>
      <c r="B807" s="12" t="s">
        <v>391</v>
      </c>
      <c r="C807" s="15">
        <v>841376</v>
      </c>
      <c r="D807" s="13">
        <v>44</v>
      </c>
      <c r="F807" s="12" t="s">
        <v>5067</v>
      </c>
      <c r="G807" s="12" t="s">
        <v>392</v>
      </c>
      <c r="H807" s="15">
        <v>45400</v>
      </c>
      <c r="I807" s="13">
        <v>50</v>
      </c>
    </row>
    <row r="808" ht="15.75" spans="1:9">
      <c r="A808" s="12" t="s">
        <v>5068</v>
      </c>
      <c r="B808" s="12" t="s">
        <v>391</v>
      </c>
      <c r="C808" s="15">
        <v>10673</v>
      </c>
      <c r="D808" s="13">
        <v>44</v>
      </c>
      <c r="F808" s="12" t="s">
        <v>5069</v>
      </c>
      <c r="G808" s="12" t="s">
        <v>392</v>
      </c>
      <c r="H808" s="15">
        <v>85400</v>
      </c>
      <c r="I808" s="13">
        <v>50</v>
      </c>
    </row>
    <row r="809" ht="15.75" spans="1:9">
      <c r="A809" s="12" t="s">
        <v>5070</v>
      </c>
      <c r="B809" s="12" t="s">
        <v>391</v>
      </c>
      <c r="C809" s="15">
        <v>18514</v>
      </c>
      <c r="D809" s="13">
        <v>44</v>
      </c>
      <c r="F809" s="12" t="s">
        <v>5071</v>
      </c>
      <c r="G809" s="12" t="s">
        <v>392</v>
      </c>
      <c r="H809" s="15">
        <v>2500000</v>
      </c>
      <c r="I809" s="13">
        <v>50</v>
      </c>
    </row>
    <row r="810" ht="15.75" spans="1:9">
      <c r="A810" s="12" t="s">
        <v>5072</v>
      </c>
      <c r="B810" s="12" t="s">
        <v>391</v>
      </c>
      <c r="C810" s="15">
        <v>14591</v>
      </c>
      <c r="D810" s="13">
        <v>44</v>
      </c>
      <c r="F810" s="12" t="s">
        <v>5073</v>
      </c>
      <c r="G810" s="12" t="s">
        <v>392</v>
      </c>
      <c r="H810" s="15">
        <v>64700</v>
      </c>
      <c r="I810" s="13">
        <v>50</v>
      </c>
    </row>
    <row r="811" ht="15.75" spans="1:9">
      <c r="A811" s="12" t="s">
        <v>5074</v>
      </c>
      <c r="B811" s="12" t="s">
        <v>391</v>
      </c>
      <c r="C811" s="15">
        <v>16122</v>
      </c>
      <c r="D811" s="13">
        <v>44</v>
      </c>
      <c r="F811" s="12" t="s">
        <v>5075</v>
      </c>
      <c r="G811" s="12" t="s">
        <v>392</v>
      </c>
      <c r="H811" s="15">
        <v>268400</v>
      </c>
      <c r="I811" s="13">
        <v>50</v>
      </c>
    </row>
    <row r="812" ht="15.75" spans="1:9">
      <c r="A812" s="12" t="s">
        <v>5076</v>
      </c>
      <c r="B812" s="12" t="s">
        <v>391</v>
      </c>
      <c r="C812" s="15">
        <v>27683</v>
      </c>
      <c r="D812" s="13">
        <v>44</v>
      </c>
      <c r="F812" s="12" t="s">
        <v>5077</v>
      </c>
      <c r="G812" s="12" t="s">
        <v>392</v>
      </c>
      <c r="H812" s="15">
        <v>32200</v>
      </c>
      <c r="I812" s="13">
        <v>50</v>
      </c>
    </row>
    <row r="813" ht="15.75" spans="1:9">
      <c r="A813" s="12" t="s">
        <v>5078</v>
      </c>
      <c r="B813" s="12" t="s">
        <v>391</v>
      </c>
      <c r="C813" s="15">
        <v>10988</v>
      </c>
      <c r="D813" s="13">
        <v>44</v>
      </c>
      <c r="F813" s="12" t="s">
        <v>3840</v>
      </c>
      <c r="G813" s="12" t="s">
        <v>391</v>
      </c>
      <c r="H813" s="15">
        <v>17369</v>
      </c>
      <c r="I813" s="13">
        <v>50</v>
      </c>
    </row>
    <row r="814" ht="15.75" spans="1:9">
      <c r="A814" s="12" t="s">
        <v>5079</v>
      </c>
      <c r="B814" s="12" t="s">
        <v>391</v>
      </c>
      <c r="C814" s="15">
        <v>26589</v>
      </c>
      <c r="D814" s="13">
        <v>44</v>
      </c>
      <c r="F814" s="12" t="s">
        <v>5080</v>
      </c>
      <c r="G814" s="12" t="s">
        <v>391</v>
      </c>
      <c r="H814" s="15">
        <v>10277</v>
      </c>
      <c r="I814" s="13">
        <v>50</v>
      </c>
    </row>
    <row r="815" ht="15.75" spans="1:9">
      <c r="A815" s="12" t="s">
        <v>5081</v>
      </c>
      <c r="B815" s="12" t="s">
        <v>391</v>
      </c>
      <c r="C815" s="15">
        <v>17113</v>
      </c>
      <c r="D815" s="13">
        <v>44</v>
      </c>
      <c r="F815" s="12" t="s">
        <v>5082</v>
      </c>
      <c r="G815" s="12" t="s">
        <v>392</v>
      </c>
      <c r="H815" s="15">
        <v>17700</v>
      </c>
      <c r="I815" s="13">
        <v>50</v>
      </c>
    </row>
    <row r="816" ht="15.75" spans="1:9">
      <c r="A816" s="12" t="s">
        <v>5083</v>
      </c>
      <c r="B816" s="12" t="s">
        <v>391</v>
      </c>
      <c r="C816" s="15">
        <v>22040</v>
      </c>
      <c r="D816" s="13">
        <v>44</v>
      </c>
      <c r="F816" s="12" t="s">
        <v>3843</v>
      </c>
      <c r="G816" s="12" t="s">
        <v>391</v>
      </c>
      <c r="H816" s="15">
        <v>17612</v>
      </c>
      <c r="I816" s="13">
        <v>50</v>
      </c>
    </row>
    <row r="817" ht="15.75" spans="1:9">
      <c r="A817" s="12" t="s">
        <v>5084</v>
      </c>
      <c r="B817" s="12" t="s">
        <v>391</v>
      </c>
      <c r="C817" s="15">
        <v>11170</v>
      </c>
      <c r="D817" s="13">
        <v>44</v>
      </c>
      <c r="F817" s="12" t="s">
        <v>5085</v>
      </c>
      <c r="G817" s="12" t="s">
        <v>392</v>
      </c>
      <c r="H817" s="15">
        <v>35400</v>
      </c>
      <c r="I817" s="13">
        <v>50</v>
      </c>
    </row>
    <row r="818" ht="15.75" spans="1:9">
      <c r="A818" s="12" t="s">
        <v>5086</v>
      </c>
      <c r="B818" s="12" t="s">
        <v>391</v>
      </c>
      <c r="C818" s="15">
        <v>22229</v>
      </c>
      <c r="D818" s="13">
        <v>44</v>
      </c>
      <c r="F818" s="12" t="s">
        <v>5087</v>
      </c>
      <c r="G818" s="12" t="s">
        <v>392</v>
      </c>
      <c r="H818" s="15">
        <v>207300</v>
      </c>
      <c r="I818" s="13">
        <v>50</v>
      </c>
    </row>
    <row r="819" ht="15.75" spans="1:9">
      <c r="A819" s="12" t="s">
        <v>5088</v>
      </c>
      <c r="B819" s="12" t="s">
        <v>391</v>
      </c>
      <c r="C819" s="15">
        <v>11242</v>
      </c>
      <c r="D819" s="13">
        <v>44</v>
      </c>
      <c r="F819" s="12" t="s">
        <v>5089</v>
      </c>
      <c r="G819" s="12" t="s">
        <v>392</v>
      </c>
      <c r="H819" s="15">
        <v>10500</v>
      </c>
      <c r="I819" s="13">
        <v>50</v>
      </c>
    </row>
    <row r="820" ht="15.75" spans="1:9">
      <c r="A820" s="12" t="s">
        <v>5090</v>
      </c>
      <c r="B820" s="12" t="s">
        <v>391</v>
      </c>
      <c r="C820" s="15">
        <v>11122</v>
      </c>
      <c r="D820" s="13">
        <v>44</v>
      </c>
      <c r="F820" s="12" t="s">
        <v>5091</v>
      </c>
      <c r="G820" s="12" t="s">
        <v>392</v>
      </c>
      <c r="H820" s="15">
        <v>77500</v>
      </c>
      <c r="I820" s="13">
        <v>50</v>
      </c>
    </row>
    <row r="821" ht="15.75" spans="1:9">
      <c r="A821" s="12" t="s">
        <v>5092</v>
      </c>
      <c r="B821" s="12" t="s">
        <v>391</v>
      </c>
      <c r="C821" s="15">
        <v>11764</v>
      </c>
      <c r="D821" s="13">
        <v>44</v>
      </c>
      <c r="F821" s="12" t="s">
        <v>5093</v>
      </c>
      <c r="G821" s="12" t="s">
        <v>392</v>
      </c>
      <c r="H821" s="15">
        <v>131800</v>
      </c>
      <c r="I821" s="13">
        <v>50</v>
      </c>
    </row>
    <row r="822" ht="15.75" spans="1:9">
      <c r="A822" s="12" t="s">
        <v>5094</v>
      </c>
      <c r="B822" s="12" t="s">
        <v>391</v>
      </c>
      <c r="C822" s="15">
        <v>25099</v>
      </c>
      <c r="D822" s="13">
        <v>44</v>
      </c>
      <c r="F822" s="12" t="s">
        <v>5095</v>
      </c>
      <c r="G822" s="12" t="s">
        <v>392</v>
      </c>
      <c r="H822" s="15">
        <v>10700</v>
      </c>
      <c r="I822" s="13">
        <v>50</v>
      </c>
    </row>
    <row r="823" ht="15.75" spans="1:9">
      <c r="A823" s="12" t="s">
        <v>5096</v>
      </c>
      <c r="B823" s="12" t="s">
        <v>391</v>
      </c>
      <c r="C823" s="15">
        <v>17041</v>
      </c>
      <c r="D823" s="13">
        <v>44</v>
      </c>
      <c r="F823" s="12" t="s">
        <v>5097</v>
      </c>
      <c r="G823" s="12" t="s">
        <v>392</v>
      </c>
      <c r="H823" s="15">
        <v>375400</v>
      </c>
      <c r="I823" s="13">
        <v>50</v>
      </c>
    </row>
    <row r="824" ht="15.75" spans="1:9">
      <c r="A824" s="12" t="s">
        <v>5098</v>
      </c>
      <c r="B824" s="12" t="s">
        <v>391</v>
      </c>
      <c r="C824" s="15">
        <v>11717</v>
      </c>
      <c r="D824" s="13">
        <v>44</v>
      </c>
      <c r="F824" s="12" t="s">
        <v>5099</v>
      </c>
      <c r="G824" s="12" t="s">
        <v>391</v>
      </c>
      <c r="H824" s="15">
        <v>14712</v>
      </c>
      <c r="I824" s="13">
        <v>50</v>
      </c>
    </row>
    <row r="825" ht="15.75" spans="1:9">
      <c r="A825" s="12" t="s">
        <v>5100</v>
      </c>
      <c r="B825" s="12" t="s">
        <v>391</v>
      </c>
      <c r="C825" s="15">
        <v>20993</v>
      </c>
      <c r="D825" s="13">
        <v>44</v>
      </c>
      <c r="F825" s="12" t="s">
        <v>5101</v>
      </c>
      <c r="G825" s="12" t="s">
        <v>391</v>
      </c>
      <c r="H825" s="15">
        <v>11570</v>
      </c>
      <c r="I825" s="13">
        <v>50</v>
      </c>
    </row>
    <row r="826" ht="15.75" spans="1:9">
      <c r="A826" s="12" t="s">
        <v>5102</v>
      </c>
      <c r="B826" s="12" t="s">
        <v>391</v>
      </c>
      <c r="C826" s="15">
        <v>23714</v>
      </c>
      <c r="D826" s="13">
        <v>44</v>
      </c>
      <c r="F826" s="12" t="s">
        <v>5103</v>
      </c>
      <c r="G826" s="12" t="s">
        <v>391</v>
      </c>
      <c r="H826" s="15">
        <v>31937</v>
      </c>
      <c r="I826" s="13">
        <v>50</v>
      </c>
    </row>
    <row r="827" ht="15.75" spans="1:9">
      <c r="A827" s="12" t="s">
        <v>5104</v>
      </c>
      <c r="B827" s="12" t="s">
        <v>391</v>
      </c>
      <c r="C827" s="15">
        <v>15023</v>
      </c>
      <c r="D827" s="13">
        <v>44</v>
      </c>
      <c r="F827" s="12" t="s">
        <v>5105</v>
      </c>
      <c r="G827" s="12" t="s">
        <v>392</v>
      </c>
      <c r="H827" s="15">
        <v>11100</v>
      </c>
      <c r="I827" s="13">
        <v>50</v>
      </c>
    </row>
    <row r="828" ht="15.75" spans="1:9">
      <c r="A828" s="12" t="s">
        <v>5106</v>
      </c>
      <c r="B828" s="12" t="s">
        <v>391</v>
      </c>
      <c r="C828" s="15">
        <v>14099</v>
      </c>
      <c r="D828" s="13">
        <v>44</v>
      </c>
      <c r="F828" s="12" t="s">
        <v>5107</v>
      </c>
      <c r="G828" s="12" t="s">
        <v>392</v>
      </c>
      <c r="H828" s="15">
        <v>465100</v>
      </c>
      <c r="I828" s="13">
        <v>50</v>
      </c>
    </row>
    <row r="829" ht="15.75" spans="1:9">
      <c r="A829" s="12" t="s">
        <v>5108</v>
      </c>
      <c r="B829" s="12" t="s">
        <v>391</v>
      </c>
      <c r="C829" s="15">
        <v>12485</v>
      </c>
      <c r="D829" s="13">
        <v>44</v>
      </c>
      <c r="F829" s="12" t="s">
        <v>3845</v>
      </c>
      <c r="G829" s="12" t="s">
        <v>391</v>
      </c>
      <c r="H829" s="15">
        <v>33702</v>
      </c>
      <c r="I829" s="13">
        <v>50</v>
      </c>
    </row>
    <row r="830" ht="15.75" spans="1:9">
      <c r="A830" s="12" t="s">
        <v>5109</v>
      </c>
      <c r="B830" s="12" t="s">
        <v>391</v>
      </c>
      <c r="C830" s="15">
        <v>16030</v>
      </c>
      <c r="D830" s="13">
        <v>44</v>
      </c>
      <c r="F830" s="12" t="s">
        <v>5110</v>
      </c>
      <c r="G830" s="12" t="s">
        <v>392</v>
      </c>
      <c r="H830" s="15">
        <v>16700</v>
      </c>
      <c r="I830" s="13">
        <v>50</v>
      </c>
    </row>
    <row r="831" ht="15.75" spans="1:9">
      <c r="A831" s="12" t="s">
        <v>5111</v>
      </c>
      <c r="B831" s="12" t="s">
        <v>391</v>
      </c>
      <c r="C831" s="15">
        <v>18772</v>
      </c>
      <c r="D831" s="13">
        <v>44</v>
      </c>
      <c r="F831" s="12" t="s">
        <v>5112</v>
      </c>
      <c r="G831" s="12" t="s">
        <v>392</v>
      </c>
      <c r="H831" s="15">
        <v>86300</v>
      </c>
      <c r="I831" s="13">
        <v>50</v>
      </c>
    </row>
    <row r="832" ht="15.75" spans="1:9">
      <c r="A832" s="12" t="s">
        <v>5113</v>
      </c>
      <c r="B832" s="12" t="s">
        <v>391</v>
      </c>
      <c r="C832" s="15">
        <v>12837</v>
      </c>
      <c r="D832" s="13">
        <v>44</v>
      </c>
      <c r="F832" s="12" t="s">
        <v>3848</v>
      </c>
      <c r="G832" s="12" t="s">
        <v>391</v>
      </c>
      <c r="H832" s="15">
        <v>22471</v>
      </c>
      <c r="I832" s="13">
        <v>50</v>
      </c>
    </row>
    <row r="833" ht="15.75" spans="1:9">
      <c r="A833" s="12" t="s">
        <v>5114</v>
      </c>
      <c r="B833" s="12" t="s">
        <v>391</v>
      </c>
      <c r="C833" s="15">
        <v>12160</v>
      </c>
      <c r="D833" s="13">
        <v>44</v>
      </c>
      <c r="F833" s="12" t="s">
        <v>5115</v>
      </c>
      <c r="G833" s="12" t="s">
        <v>392</v>
      </c>
      <c r="H833" s="15">
        <v>157000</v>
      </c>
      <c r="I833" s="13">
        <v>50</v>
      </c>
    </row>
    <row r="834" ht="15.75" spans="1:9">
      <c r="A834" s="12" t="s">
        <v>5116</v>
      </c>
      <c r="B834" s="12" t="s">
        <v>391</v>
      </c>
      <c r="C834" s="15">
        <v>12904</v>
      </c>
      <c r="D834" s="13">
        <v>44</v>
      </c>
      <c r="F834" s="12" t="s">
        <v>5117</v>
      </c>
      <c r="G834" s="12" t="s">
        <v>392</v>
      </c>
      <c r="H834" s="15">
        <v>323600</v>
      </c>
      <c r="I834" s="13">
        <v>50</v>
      </c>
    </row>
    <row r="835" ht="15.75" spans="1:9">
      <c r="A835" s="12" t="s">
        <v>5118</v>
      </c>
      <c r="B835" s="12" t="s">
        <v>391</v>
      </c>
      <c r="C835" s="15">
        <v>11241</v>
      </c>
      <c r="D835" s="13">
        <v>44</v>
      </c>
      <c r="F835" s="12" t="s">
        <v>3851</v>
      </c>
      <c r="G835" s="12" t="s">
        <v>391</v>
      </c>
      <c r="H835" s="15">
        <v>22138</v>
      </c>
      <c r="I835" s="13">
        <v>50</v>
      </c>
    </row>
    <row r="836" ht="15.75" spans="1:9">
      <c r="A836" s="12" t="s">
        <v>5119</v>
      </c>
      <c r="B836" s="12" t="s">
        <v>391</v>
      </c>
      <c r="C836" s="15">
        <v>21306</v>
      </c>
      <c r="D836" s="13">
        <v>44</v>
      </c>
      <c r="F836" s="12" t="s">
        <v>5120</v>
      </c>
      <c r="G836" s="12" t="s">
        <v>392</v>
      </c>
      <c r="H836" s="15">
        <v>10300</v>
      </c>
      <c r="I836" s="13">
        <v>50</v>
      </c>
    </row>
    <row r="837" ht="15.75" spans="1:9">
      <c r="A837" s="12" t="s">
        <v>5121</v>
      </c>
      <c r="B837" s="12" t="s">
        <v>391</v>
      </c>
      <c r="C837" s="15">
        <v>25432</v>
      </c>
      <c r="D837" s="13">
        <v>44</v>
      </c>
      <c r="F837" s="12" t="s">
        <v>5122</v>
      </c>
      <c r="G837" s="12" t="s">
        <v>391</v>
      </c>
      <c r="H837" s="15">
        <v>12804</v>
      </c>
      <c r="I837" s="13">
        <v>50</v>
      </c>
    </row>
    <row r="838" ht="15.75" spans="1:9">
      <c r="A838" s="12" t="s">
        <v>5123</v>
      </c>
      <c r="B838" s="12" t="s">
        <v>391</v>
      </c>
      <c r="C838" s="15">
        <v>27710</v>
      </c>
      <c r="D838" s="13">
        <v>44</v>
      </c>
      <c r="F838" s="12" t="s">
        <v>5124</v>
      </c>
      <c r="G838" s="12" t="s">
        <v>392</v>
      </c>
      <c r="H838" s="15">
        <v>91200</v>
      </c>
      <c r="I838" s="13">
        <v>50</v>
      </c>
    </row>
    <row r="839" ht="15.75" spans="1:9">
      <c r="A839" s="12" t="s">
        <v>5125</v>
      </c>
      <c r="B839" s="12" t="s">
        <v>391</v>
      </c>
      <c r="C839" s="15">
        <v>10918</v>
      </c>
      <c r="D839" s="13">
        <v>44</v>
      </c>
      <c r="F839" s="12" t="s">
        <v>5126</v>
      </c>
      <c r="G839" s="12" t="s">
        <v>392</v>
      </c>
      <c r="H839" s="15">
        <v>60000</v>
      </c>
      <c r="I839" s="13">
        <v>50</v>
      </c>
    </row>
    <row r="840" ht="15.75" spans="1:9">
      <c r="A840" s="12" t="s">
        <v>5127</v>
      </c>
      <c r="B840" s="12" t="s">
        <v>391</v>
      </c>
      <c r="C840" s="15">
        <v>17229</v>
      </c>
      <c r="D840" s="13">
        <v>44</v>
      </c>
      <c r="F840" s="12" t="s">
        <v>5128</v>
      </c>
      <c r="G840" s="12" t="s">
        <v>392</v>
      </c>
      <c r="H840" s="15">
        <v>28300</v>
      </c>
      <c r="I840" s="13">
        <v>50</v>
      </c>
    </row>
    <row r="841" ht="15.75" spans="1:9">
      <c r="A841" s="12" t="s">
        <v>5129</v>
      </c>
      <c r="B841" s="12" t="s">
        <v>391</v>
      </c>
      <c r="C841" s="15">
        <v>11859</v>
      </c>
      <c r="D841" s="13">
        <v>44</v>
      </c>
      <c r="F841" s="12" t="s">
        <v>5130</v>
      </c>
      <c r="G841" s="12" t="s">
        <v>392</v>
      </c>
      <c r="H841" s="15">
        <v>127600</v>
      </c>
      <c r="I841" s="13">
        <v>50</v>
      </c>
    </row>
    <row r="842" ht="15.75" spans="1:9">
      <c r="A842" s="12" t="s">
        <v>5131</v>
      </c>
      <c r="B842" s="12" t="s">
        <v>391</v>
      </c>
      <c r="C842" s="15">
        <v>13357</v>
      </c>
      <c r="D842" s="13">
        <v>44</v>
      </c>
      <c r="F842" s="12" t="s">
        <v>5132</v>
      </c>
      <c r="G842" s="12" t="s">
        <v>392</v>
      </c>
      <c r="H842" s="15">
        <v>52500</v>
      </c>
      <c r="I842" s="13">
        <v>50</v>
      </c>
    </row>
    <row r="843" ht="15.75" spans="1:9">
      <c r="A843" s="12" t="s">
        <v>5133</v>
      </c>
      <c r="B843" s="12" t="s">
        <v>391</v>
      </c>
      <c r="C843" s="15">
        <v>17594</v>
      </c>
      <c r="D843" s="13">
        <v>44</v>
      </c>
      <c r="F843" s="12" t="s">
        <v>5134</v>
      </c>
      <c r="G843" s="12" t="s">
        <v>392</v>
      </c>
      <c r="H843" s="15">
        <v>13300</v>
      </c>
      <c r="I843" s="13">
        <v>50</v>
      </c>
    </row>
    <row r="844" ht="15.75" spans="1:9">
      <c r="A844" s="12" t="s">
        <v>5135</v>
      </c>
      <c r="B844" s="12" t="s">
        <v>391</v>
      </c>
      <c r="C844" s="15">
        <v>25717</v>
      </c>
      <c r="D844" s="13">
        <v>44</v>
      </c>
      <c r="F844" s="12" t="s">
        <v>5136</v>
      </c>
      <c r="G844" s="12" t="s">
        <v>392</v>
      </c>
      <c r="H844" s="15">
        <v>71800</v>
      </c>
      <c r="I844" s="13">
        <v>50</v>
      </c>
    </row>
    <row r="845" ht="15.75" spans="1:9">
      <c r="A845" s="12" t="s">
        <v>5137</v>
      </c>
      <c r="B845" s="12" t="s">
        <v>391</v>
      </c>
      <c r="C845" s="15">
        <v>25688</v>
      </c>
      <c r="D845" s="13">
        <v>44</v>
      </c>
      <c r="F845" s="12" t="s">
        <v>5138</v>
      </c>
      <c r="G845" s="12" t="s">
        <v>391</v>
      </c>
      <c r="H845" s="15">
        <v>23158</v>
      </c>
      <c r="I845" s="13">
        <v>50</v>
      </c>
    </row>
    <row r="846" ht="15.75" spans="1:9">
      <c r="A846" s="12" t="s">
        <v>4369</v>
      </c>
      <c r="B846" s="12" t="s">
        <v>391</v>
      </c>
      <c r="C846" s="15">
        <v>544484</v>
      </c>
      <c r="D846" s="13">
        <v>44</v>
      </c>
      <c r="F846" s="12" t="s">
        <v>5139</v>
      </c>
      <c r="G846" s="12" t="s">
        <v>392</v>
      </c>
      <c r="H846" s="15">
        <v>168800</v>
      </c>
      <c r="I846" s="13">
        <v>50</v>
      </c>
    </row>
    <row r="847" ht="15.75" spans="1:9">
      <c r="A847" s="12" t="s">
        <v>5140</v>
      </c>
      <c r="B847" s="12" t="s">
        <v>391</v>
      </c>
      <c r="C847" s="15">
        <v>20306</v>
      </c>
      <c r="D847" s="13">
        <v>44</v>
      </c>
      <c r="F847" s="12" t="s">
        <v>5141</v>
      </c>
      <c r="G847" s="12" t="s">
        <v>391</v>
      </c>
      <c r="H847" s="15">
        <v>14062</v>
      </c>
      <c r="I847" s="13">
        <v>50</v>
      </c>
    </row>
    <row r="848" ht="15.75" spans="1:9">
      <c r="A848" s="12" t="s">
        <v>5142</v>
      </c>
      <c r="B848" s="12" t="s">
        <v>391</v>
      </c>
      <c r="C848" s="15">
        <v>22476</v>
      </c>
      <c r="D848" s="13">
        <v>44</v>
      </c>
      <c r="F848" s="12" t="s">
        <v>5143</v>
      </c>
      <c r="G848" s="12" t="s">
        <v>392</v>
      </c>
      <c r="H848" s="15">
        <v>12500</v>
      </c>
      <c r="I848" s="13">
        <v>50</v>
      </c>
    </row>
    <row r="849" ht="15.75" spans="1:9">
      <c r="A849" s="12" t="s">
        <v>5144</v>
      </c>
      <c r="B849" s="12" t="s">
        <v>391</v>
      </c>
      <c r="C849" s="15">
        <v>20714</v>
      </c>
      <c r="D849" s="13">
        <v>44</v>
      </c>
      <c r="F849" s="12" t="s">
        <v>5145</v>
      </c>
      <c r="G849" s="12" t="s">
        <v>391</v>
      </c>
      <c r="H849" s="15">
        <v>12040</v>
      </c>
      <c r="I849" s="13">
        <v>50</v>
      </c>
    </row>
    <row r="850" ht="15.75" spans="1:9">
      <c r="A850" s="12" t="s">
        <v>5146</v>
      </c>
      <c r="B850" s="12" t="s">
        <v>391</v>
      </c>
      <c r="C850" s="15">
        <v>29001</v>
      </c>
      <c r="D850" s="13">
        <v>44</v>
      </c>
      <c r="F850" s="12" t="s">
        <v>5147</v>
      </c>
      <c r="G850" s="12" t="s">
        <v>392</v>
      </c>
      <c r="H850" s="15">
        <v>12000</v>
      </c>
      <c r="I850" s="13">
        <v>50</v>
      </c>
    </row>
    <row r="851" ht="15.75" spans="1:9">
      <c r="A851" s="12" t="s">
        <v>5148</v>
      </c>
      <c r="B851" s="12" t="s">
        <v>391</v>
      </c>
      <c r="C851" s="15">
        <v>11730</v>
      </c>
      <c r="D851" s="13">
        <v>44</v>
      </c>
      <c r="F851" s="12" t="s">
        <v>3855</v>
      </c>
      <c r="G851" s="12" t="s">
        <v>391</v>
      </c>
      <c r="H851" s="15">
        <v>28399</v>
      </c>
      <c r="I851" s="13">
        <v>50</v>
      </c>
    </row>
    <row r="852" ht="15.75" spans="1:9">
      <c r="A852" s="12" t="s">
        <v>5149</v>
      </c>
      <c r="B852" s="12" t="s">
        <v>391</v>
      </c>
      <c r="C852" s="15">
        <v>11080</v>
      </c>
      <c r="D852" s="13">
        <v>44</v>
      </c>
      <c r="F852" s="12" t="s">
        <v>5150</v>
      </c>
      <c r="G852" s="12" t="s">
        <v>392</v>
      </c>
      <c r="H852" s="15">
        <v>636100</v>
      </c>
      <c r="I852" s="13">
        <v>50</v>
      </c>
    </row>
    <row r="853" ht="15.75" spans="1:9">
      <c r="A853" s="12" t="s">
        <v>5151</v>
      </c>
      <c r="B853" s="12" t="s">
        <v>391</v>
      </c>
      <c r="C853" s="15">
        <v>14159</v>
      </c>
      <c r="D853" s="13">
        <v>44</v>
      </c>
      <c r="F853" s="12" t="s">
        <v>5152</v>
      </c>
      <c r="G853" s="12" t="s">
        <v>392</v>
      </c>
      <c r="H853" s="15">
        <v>22200</v>
      </c>
      <c r="I853" s="13">
        <v>50</v>
      </c>
    </row>
    <row r="854" ht="15.75" spans="1:9">
      <c r="A854" s="12" t="s">
        <v>5153</v>
      </c>
      <c r="B854" s="12" t="s">
        <v>391</v>
      </c>
      <c r="C854" s="15">
        <v>28424</v>
      </c>
      <c r="D854" s="13">
        <v>44</v>
      </c>
      <c r="F854" s="12" t="s">
        <v>5154</v>
      </c>
      <c r="G854" s="12" t="s">
        <v>391</v>
      </c>
      <c r="H854" s="15">
        <v>11926</v>
      </c>
      <c r="I854" s="13">
        <v>50</v>
      </c>
    </row>
    <row r="855" ht="15.75" spans="1:9">
      <c r="A855" s="12" t="s">
        <v>5155</v>
      </c>
      <c r="B855" s="12" t="s">
        <v>391</v>
      </c>
      <c r="C855" s="15">
        <v>32500</v>
      </c>
      <c r="D855" s="13">
        <v>44</v>
      </c>
      <c r="F855" s="12" t="s">
        <v>3857</v>
      </c>
      <c r="G855" s="12" t="s">
        <v>391</v>
      </c>
      <c r="H855" s="15">
        <v>20165</v>
      </c>
      <c r="I855" s="13">
        <v>50</v>
      </c>
    </row>
    <row r="856" ht="15.75" spans="1:9">
      <c r="A856" s="12" t="s">
        <v>5156</v>
      </c>
      <c r="B856" s="12" t="s">
        <v>391</v>
      </c>
      <c r="C856" s="15">
        <v>21853</v>
      </c>
      <c r="D856" s="13">
        <v>44</v>
      </c>
      <c r="F856" s="12" t="s">
        <v>5157</v>
      </c>
      <c r="G856" s="12" t="s">
        <v>392</v>
      </c>
      <c r="H856" s="15">
        <v>31200</v>
      </c>
      <c r="I856" s="13">
        <v>50</v>
      </c>
    </row>
    <row r="857" ht="15.75" spans="1:9">
      <c r="A857" s="12" t="s">
        <v>5158</v>
      </c>
      <c r="B857" s="12" t="s">
        <v>391</v>
      </c>
      <c r="C857" s="15">
        <v>11625</v>
      </c>
      <c r="D857" s="13">
        <v>44</v>
      </c>
      <c r="F857" s="12" t="s">
        <v>5159</v>
      </c>
      <c r="G857" s="12" t="s">
        <v>392</v>
      </c>
      <c r="H857" s="15">
        <v>10800</v>
      </c>
      <c r="I857" s="13">
        <v>50</v>
      </c>
    </row>
    <row r="858" ht="15.75" spans="1:9">
      <c r="A858" s="12" t="s">
        <v>5160</v>
      </c>
      <c r="B858" s="12" t="s">
        <v>391</v>
      </c>
      <c r="C858" s="15">
        <v>24404</v>
      </c>
      <c r="D858" s="13">
        <v>44</v>
      </c>
      <c r="F858" s="12" t="s">
        <v>5161</v>
      </c>
      <c r="G858" s="12" t="s">
        <v>392</v>
      </c>
      <c r="H858" s="15">
        <v>45400</v>
      </c>
      <c r="I858" s="13">
        <v>50</v>
      </c>
    </row>
    <row r="859" ht="15.75" spans="1:9">
      <c r="A859" s="12" t="s">
        <v>5162</v>
      </c>
      <c r="B859" s="12" t="s">
        <v>391</v>
      </c>
      <c r="C859" s="15">
        <v>21948</v>
      </c>
      <c r="D859" s="13">
        <v>44</v>
      </c>
      <c r="F859" s="12" t="s">
        <v>5163</v>
      </c>
      <c r="G859" s="12" t="s">
        <v>392</v>
      </c>
      <c r="H859" s="15">
        <v>13900</v>
      </c>
      <c r="I859" s="13">
        <v>50</v>
      </c>
    </row>
    <row r="860" ht="15.75" spans="1:9">
      <c r="A860" s="12" t="s">
        <v>5164</v>
      </c>
      <c r="B860" s="12" t="s">
        <v>391</v>
      </c>
      <c r="C860" s="15">
        <v>10038</v>
      </c>
      <c r="D860" s="13">
        <v>44</v>
      </c>
      <c r="F860" s="12" t="s">
        <v>5165</v>
      </c>
      <c r="G860" s="12" t="s">
        <v>392</v>
      </c>
      <c r="H860" s="15">
        <v>68800</v>
      </c>
      <c r="I860" s="13">
        <v>50</v>
      </c>
    </row>
    <row r="861" ht="15.75" spans="1:9">
      <c r="A861" s="12" t="s">
        <v>5166</v>
      </c>
      <c r="B861" s="12" t="s">
        <v>391</v>
      </c>
      <c r="C861" s="15">
        <v>27765</v>
      </c>
      <c r="D861" s="13">
        <v>44</v>
      </c>
      <c r="F861" s="12" t="s">
        <v>5167</v>
      </c>
      <c r="G861" s="12" t="s">
        <v>391</v>
      </c>
      <c r="H861" s="15">
        <v>16126</v>
      </c>
      <c r="I861" s="13">
        <v>50</v>
      </c>
    </row>
    <row r="862" ht="15.75" spans="1:9">
      <c r="A862" s="12" t="s">
        <v>5168</v>
      </c>
      <c r="B862" s="12" t="s">
        <v>391</v>
      </c>
      <c r="C862" s="15">
        <v>12202</v>
      </c>
      <c r="D862" s="13">
        <v>44</v>
      </c>
      <c r="F862" s="12" t="s">
        <v>5169</v>
      </c>
      <c r="G862" s="12" t="s">
        <v>392</v>
      </c>
      <c r="H862" s="15">
        <v>278400</v>
      </c>
      <c r="I862" s="13">
        <v>50</v>
      </c>
    </row>
    <row r="863" ht="15.75" spans="1:9">
      <c r="A863" s="12" t="s">
        <v>5170</v>
      </c>
      <c r="B863" s="12" t="s">
        <v>391</v>
      </c>
      <c r="C863" s="15">
        <v>21653</v>
      </c>
      <c r="D863" s="13">
        <v>44</v>
      </c>
      <c r="F863" s="12" t="s">
        <v>5171</v>
      </c>
      <c r="G863" s="12" t="s">
        <v>391</v>
      </c>
      <c r="H863" s="15">
        <v>107342</v>
      </c>
      <c r="I863" s="13">
        <v>50</v>
      </c>
    </row>
    <row r="864" ht="15.75" spans="1:9">
      <c r="A864" s="12" t="s">
        <v>5172</v>
      </c>
      <c r="B864" s="12" t="s">
        <v>391</v>
      </c>
      <c r="C864" s="15">
        <v>16044</v>
      </c>
      <c r="D864" s="13">
        <v>44</v>
      </c>
      <c r="F864" s="12" t="s">
        <v>5173</v>
      </c>
      <c r="G864" s="12" t="s">
        <v>392</v>
      </c>
      <c r="H864" s="15">
        <v>23640</v>
      </c>
      <c r="I864" s="13">
        <v>50</v>
      </c>
    </row>
    <row r="865" ht="15.75" spans="1:9">
      <c r="A865" s="12" t="s">
        <v>5174</v>
      </c>
      <c r="B865" s="12" t="s">
        <v>391</v>
      </c>
      <c r="C865" s="15">
        <v>14386</v>
      </c>
      <c r="D865" s="13">
        <v>44</v>
      </c>
      <c r="F865" s="12" t="s">
        <v>5175</v>
      </c>
      <c r="G865" s="12" t="s">
        <v>391</v>
      </c>
      <c r="H865" s="15">
        <v>24375</v>
      </c>
      <c r="I865" s="13">
        <v>50</v>
      </c>
    </row>
    <row r="866" ht="15.75" spans="1:9">
      <c r="A866" s="12" t="s">
        <v>5176</v>
      </c>
      <c r="B866" s="12" t="s">
        <v>391</v>
      </c>
      <c r="C866" s="15">
        <v>10282</v>
      </c>
      <c r="D866" s="13">
        <v>44</v>
      </c>
      <c r="F866" s="12" t="s">
        <v>5177</v>
      </c>
      <c r="G866" s="12" t="s">
        <v>391</v>
      </c>
      <c r="H866" s="15">
        <v>12368</v>
      </c>
      <c r="I866" s="13">
        <v>50</v>
      </c>
    </row>
    <row r="867" ht="15.75" spans="1:9">
      <c r="A867" s="12" t="s">
        <v>5178</v>
      </c>
      <c r="B867" s="12" t="s">
        <v>391</v>
      </c>
      <c r="C867" s="15">
        <v>11076</v>
      </c>
      <c r="D867" s="13">
        <v>44</v>
      </c>
      <c r="F867" s="12" t="s">
        <v>5179</v>
      </c>
      <c r="G867" s="12" t="s">
        <v>392</v>
      </c>
      <c r="H867" s="15">
        <v>12000</v>
      </c>
      <c r="I867" s="13">
        <v>50</v>
      </c>
    </row>
    <row r="868" ht="15.75" spans="1:9">
      <c r="A868" s="12" t="s">
        <v>5180</v>
      </c>
      <c r="B868" s="12" t="s">
        <v>391</v>
      </c>
      <c r="C868" s="15">
        <v>21706</v>
      </c>
      <c r="D868" s="13">
        <v>44</v>
      </c>
      <c r="F868" s="12" t="s">
        <v>5181</v>
      </c>
      <c r="G868" s="12" t="s">
        <v>392</v>
      </c>
      <c r="H868" s="15">
        <v>54600</v>
      </c>
      <c r="I868" s="13">
        <v>50</v>
      </c>
    </row>
    <row r="869" ht="15.75" spans="1:9">
      <c r="A869" s="12" t="s">
        <v>5182</v>
      </c>
      <c r="B869" s="12" t="s">
        <v>391</v>
      </c>
      <c r="C869" s="15">
        <v>15095</v>
      </c>
      <c r="D869" s="13">
        <v>44</v>
      </c>
      <c r="F869" s="12" t="s">
        <v>5183</v>
      </c>
      <c r="G869" s="12" t="s">
        <v>391</v>
      </c>
      <c r="H869" s="15">
        <v>14085</v>
      </c>
      <c r="I869" s="13">
        <v>50</v>
      </c>
    </row>
    <row r="870" ht="15.75" spans="1:9">
      <c r="A870" s="12" t="s">
        <v>5184</v>
      </c>
      <c r="B870" s="12" t="s">
        <v>391</v>
      </c>
      <c r="C870" s="15">
        <v>10160</v>
      </c>
      <c r="D870" s="13">
        <v>44</v>
      </c>
      <c r="F870" s="12" t="s">
        <v>3858</v>
      </c>
      <c r="G870" s="12" t="s">
        <v>391</v>
      </c>
      <c r="H870" s="15">
        <v>13609</v>
      </c>
      <c r="I870" s="13">
        <v>50</v>
      </c>
    </row>
    <row r="871" ht="15.75" spans="1:9">
      <c r="A871" s="12" t="s">
        <v>5185</v>
      </c>
      <c r="B871" s="12" t="s">
        <v>391</v>
      </c>
      <c r="C871" s="15">
        <v>28763</v>
      </c>
      <c r="D871" s="13">
        <v>44</v>
      </c>
      <c r="F871" s="12" t="s">
        <v>3860</v>
      </c>
      <c r="G871" s="12" t="s">
        <v>391</v>
      </c>
      <c r="H871" s="15">
        <v>15118</v>
      </c>
      <c r="I871" s="13">
        <v>50</v>
      </c>
    </row>
    <row r="872" ht="15.75" spans="1:9">
      <c r="A872" s="12" t="s">
        <v>5186</v>
      </c>
      <c r="B872" s="12" t="s">
        <v>391</v>
      </c>
      <c r="C872" s="15">
        <v>12638</v>
      </c>
      <c r="D872" s="13">
        <v>44</v>
      </c>
      <c r="F872" s="12" t="s">
        <v>5187</v>
      </c>
      <c r="G872" s="12" t="s">
        <v>392</v>
      </c>
      <c r="H872" s="15">
        <v>13800</v>
      </c>
      <c r="I872" s="13">
        <v>50</v>
      </c>
    </row>
    <row r="873" ht="15.75" spans="1:9">
      <c r="A873" s="12" t="s">
        <v>5188</v>
      </c>
      <c r="B873" s="12" t="s">
        <v>391</v>
      </c>
      <c r="C873" s="15">
        <v>12682</v>
      </c>
      <c r="D873" s="13">
        <v>44</v>
      </c>
      <c r="F873" s="12" t="s">
        <v>3863</v>
      </c>
      <c r="G873" s="12" t="s">
        <v>391</v>
      </c>
      <c r="H873" s="15">
        <v>21811</v>
      </c>
      <c r="I873" s="13">
        <v>50</v>
      </c>
    </row>
    <row r="874" ht="15.75" spans="1:9">
      <c r="A874" s="12" t="s">
        <v>5189</v>
      </c>
      <c r="B874" s="12" t="s">
        <v>391</v>
      </c>
      <c r="C874" s="15">
        <v>12198</v>
      </c>
      <c r="D874" s="13">
        <v>44</v>
      </c>
      <c r="F874" s="12" t="s">
        <v>5190</v>
      </c>
      <c r="G874" s="12" t="s">
        <v>392</v>
      </c>
      <c r="H874" s="15">
        <v>11700</v>
      </c>
      <c r="I874" s="13">
        <v>50</v>
      </c>
    </row>
    <row r="875" ht="15.75" spans="1:9">
      <c r="A875" s="12" t="s">
        <v>5191</v>
      </c>
      <c r="B875" s="12" t="s">
        <v>391</v>
      </c>
      <c r="C875" s="15">
        <v>12945</v>
      </c>
      <c r="D875" s="13">
        <v>44</v>
      </c>
      <c r="F875" s="12" t="s">
        <v>5192</v>
      </c>
      <c r="G875" s="12" t="s">
        <v>392</v>
      </c>
      <c r="H875" s="15">
        <v>98500</v>
      </c>
      <c r="I875" s="13">
        <v>50</v>
      </c>
    </row>
    <row r="876" ht="15.75" spans="1:9">
      <c r="A876" s="12" t="s">
        <v>5193</v>
      </c>
      <c r="B876" s="12" t="s">
        <v>391</v>
      </c>
      <c r="C876" s="15">
        <v>12490</v>
      </c>
      <c r="D876" s="13">
        <v>44</v>
      </c>
      <c r="F876" s="12" t="s">
        <v>5194</v>
      </c>
      <c r="G876" s="12" t="s">
        <v>392</v>
      </c>
      <c r="H876" s="15">
        <v>43500</v>
      </c>
      <c r="I876" s="13">
        <v>50</v>
      </c>
    </row>
    <row r="877" ht="15.75" spans="1:9">
      <c r="A877" s="12" t="s">
        <v>5195</v>
      </c>
      <c r="B877" s="12" t="s">
        <v>391</v>
      </c>
      <c r="C877" s="15">
        <v>16507</v>
      </c>
      <c r="D877" s="13">
        <v>44</v>
      </c>
      <c r="F877" s="12" t="s">
        <v>5196</v>
      </c>
      <c r="G877" s="12" t="s">
        <v>392</v>
      </c>
      <c r="H877" s="15">
        <v>672600</v>
      </c>
      <c r="I877" s="13">
        <v>50</v>
      </c>
    </row>
    <row r="878" ht="15.75" spans="1:9">
      <c r="A878" s="12" t="s">
        <v>5197</v>
      </c>
      <c r="B878" s="12" t="s">
        <v>391</v>
      </c>
      <c r="C878" s="15">
        <v>12199</v>
      </c>
      <c r="D878" s="13">
        <v>44</v>
      </c>
      <c r="F878" s="12" t="s">
        <v>3866</v>
      </c>
      <c r="G878" s="12" t="s">
        <v>391</v>
      </c>
      <c r="H878" s="15">
        <v>20116</v>
      </c>
      <c r="I878" s="13">
        <v>50</v>
      </c>
    </row>
    <row r="879" ht="15.75" spans="1:9">
      <c r="A879" s="12" t="s">
        <v>5198</v>
      </c>
      <c r="B879" s="12" t="s">
        <v>391</v>
      </c>
      <c r="C879" s="15">
        <v>23989</v>
      </c>
      <c r="D879" s="13">
        <v>44</v>
      </c>
      <c r="F879" s="12" t="s">
        <v>5199</v>
      </c>
      <c r="G879" s="12" t="s">
        <v>392</v>
      </c>
      <c r="H879" s="15">
        <v>153500</v>
      </c>
      <c r="I879" s="13">
        <v>50</v>
      </c>
    </row>
    <row r="880" ht="15.75" spans="1:9">
      <c r="A880" s="12" t="s">
        <v>5200</v>
      </c>
      <c r="B880" s="12" t="s">
        <v>391</v>
      </c>
      <c r="C880" s="15">
        <v>29585</v>
      </c>
      <c r="D880" s="13">
        <v>44</v>
      </c>
      <c r="F880" s="12" t="s">
        <v>5201</v>
      </c>
      <c r="G880" s="12" t="s">
        <v>392</v>
      </c>
      <c r="H880" s="15">
        <v>18000</v>
      </c>
      <c r="I880" s="13">
        <v>50</v>
      </c>
    </row>
    <row r="881" ht="15.75" spans="1:9">
      <c r="A881" s="12" t="s">
        <v>5202</v>
      </c>
      <c r="B881" s="12" t="s">
        <v>391</v>
      </c>
      <c r="C881" s="15">
        <v>13347</v>
      </c>
      <c r="D881" s="13">
        <v>44</v>
      </c>
      <c r="F881" s="12" t="s">
        <v>5203</v>
      </c>
      <c r="G881" s="12" t="s">
        <v>391</v>
      </c>
      <c r="H881" s="15">
        <v>10836</v>
      </c>
      <c r="I881" s="13">
        <v>50</v>
      </c>
    </row>
    <row r="882" ht="15.75" spans="1:9">
      <c r="A882" s="12" t="s">
        <v>5204</v>
      </c>
      <c r="B882" s="12" t="s">
        <v>391</v>
      </c>
      <c r="C882" s="15">
        <v>30110</v>
      </c>
      <c r="D882" s="13">
        <v>44</v>
      </c>
      <c r="F882" s="12" t="s">
        <v>5205</v>
      </c>
      <c r="G882" s="12" t="s">
        <v>392</v>
      </c>
      <c r="H882" s="15">
        <v>93200</v>
      </c>
      <c r="I882" s="13">
        <v>50</v>
      </c>
    </row>
    <row r="883" ht="15.75" spans="1:9">
      <c r="A883" s="12" t="s">
        <v>5206</v>
      </c>
      <c r="B883" s="12" t="s">
        <v>391</v>
      </c>
      <c r="C883" s="15">
        <v>23999</v>
      </c>
      <c r="D883" s="13">
        <v>44</v>
      </c>
      <c r="F883" s="12" t="s">
        <v>5207</v>
      </c>
      <c r="G883" s="12" t="s">
        <v>391</v>
      </c>
      <c r="H883" s="15">
        <v>25140</v>
      </c>
      <c r="I883" s="13">
        <v>50</v>
      </c>
    </row>
    <row r="884" ht="15.75" spans="1:9">
      <c r="A884" s="12" t="s">
        <v>5208</v>
      </c>
      <c r="B884" s="12" t="s">
        <v>391</v>
      </c>
      <c r="C884" s="15">
        <v>31994</v>
      </c>
      <c r="D884" s="13">
        <v>44</v>
      </c>
      <c r="F884" s="12" t="s">
        <v>3868</v>
      </c>
      <c r="G884" s="12" t="s">
        <v>391</v>
      </c>
      <c r="H884" s="15">
        <v>19150</v>
      </c>
      <c r="I884" s="13">
        <v>50</v>
      </c>
    </row>
    <row r="885" ht="15.75" spans="1:9">
      <c r="A885" s="12" t="s">
        <v>5209</v>
      </c>
      <c r="B885" s="12" t="s">
        <v>391</v>
      </c>
      <c r="C885" s="15">
        <v>24927</v>
      </c>
      <c r="D885" s="13">
        <v>44</v>
      </c>
      <c r="F885" s="12" t="s">
        <v>5210</v>
      </c>
      <c r="G885" s="12" t="s">
        <v>391</v>
      </c>
      <c r="H885" s="15">
        <v>23050</v>
      </c>
      <c r="I885" s="13">
        <v>50</v>
      </c>
    </row>
    <row r="886" ht="15.75" spans="1:9">
      <c r="A886" s="12" t="s">
        <v>5211</v>
      </c>
      <c r="B886" s="12" t="s">
        <v>391</v>
      </c>
      <c r="C886" s="15">
        <v>18223</v>
      </c>
      <c r="D886" s="13">
        <v>44</v>
      </c>
      <c r="F886" s="12" t="s">
        <v>5212</v>
      </c>
      <c r="G886" s="12" t="s">
        <v>391</v>
      </c>
      <c r="H886" s="15">
        <v>25967</v>
      </c>
      <c r="I886" s="13">
        <v>50</v>
      </c>
    </row>
    <row r="887" ht="15.75" spans="1:9">
      <c r="A887" s="12" t="s">
        <v>5213</v>
      </c>
      <c r="B887" s="12" t="s">
        <v>391</v>
      </c>
      <c r="C887" s="15">
        <v>30045</v>
      </c>
      <c r="D887" s="13">
        <v>44</v>
      </c>
      <c r="F887" s="12" t="s">
        <v>3870</v>
      </c>
      <c r="G887" s="12" t="s">
        <v>391</v>
      </c>
      <c r="H887" s="15">
        <v>17951</v>
      </c>
      <c r="I887" s="13">
        <v>50</v>
      </c>
    </row>
    <row r="888" ht="15.75" spans="1:9">
      <c r="A888" s="12" t="s">
        <v>5214</v>
      </c>
      <c r="B888" s="12" t="s">
        <v>391</v>
      </c>
      <c r="C888" s="15">
        <v>14851</v>
      </c>
      <c r="D888" s="13">
        <v>44</v>
      </c>
      <c r="F888" s="12" t="s">
        <v>5215</v>
      </c>
      <c r="G888" s="12" t="s">
        <v>391</v>
      </c>
      <c r="H888" s="15">
        <v>31619</v>
      </c>
      <c r="I888" s="13">
        <v>50</v>
      </c>
    </row>
    <row r="889" ht="15.75" spans="1:9">
      <c r="A889" s="12" t="s">
        <v>5216</v>
      </c>
      <c r="B889" s="12" t="s">
        <v>391</v>
      </c>
      <c r="C889" s="15">
        <v>20647</v>
      </c>
      <c r="D889" s="13">
        <v>44</v>
      </c>
      <c r="F889" s="12" t="s">
        <v>3872</v>
      </c>
      <c r="G889" s="12" t="s">
        <v>391</v>
      </c>
      <c r="H889" s="15">
        <v>11617</v>
      </c>
      <c r="I889" s="13">
        <v>50</v>
      </c>
    </row>
    <row r="890" ht="15.75" spans="1:9">
      <c r="A890" s="12" t="s">
        <v>5217</v>
      </c>
      <c r="B890" s="12" t="s">
        <v>391</v>
      </c>
      <c r="C890" s="15">
        <v>29303</v>
      </c>
      <c r="D890" s="13">
        <v>44</v>
      </c>
      <c r="F890" s="12" t="s">
        <v>3874</v>
      </c>
      <c r="G890" s="12" t="s">
        <v>391</v>
      </c>
      <c r="H890" s="15">
        <v>31550</v>
      </c>
      <c r="I890" s="13">
        <v>50</v>
      </c>
    </row>
    <row r="891" ht="15.75" spans="1:9">
      <c r="A891" s="12" t="s">
        <v>4377</v>
      </c>
      <c r="B891" s="12" t="s">
        <v>391</v>
      </c>
      <c r="C891" s="15">
        <v>129309</v>
      </c>
      <c r="D891" s="13">
        <v>44</v>
      </c>
      <c r="F891" s="12" t="s">
        <v>5218</v>
      </c>
      <c r="G891" s="12" t="s">
        <v>392</v>
      </c>
      <c r="H891" s="15">
        <v>27100</v>
      </c>
      <c r="I891" s="13">
        <v>50</v>
      </c>
    </row>
    <row r="892" ht="15.75" spans="1:9">
      <c r="A892" s="12" t="s">
        <v>5219</v>
      </c>
      <c r="B892" s="12" t="s">
        <v>391</v>
      </c>
      <c r="C892" s="15">
        <v>16594</v>
      </c>
      <c r="D892" s="13">
        <v>44</v>
      </c>
      <c r="F892" s="12" t="s">
        <v>3876</v>
      </c>
      <c r="G892" s="12" t="s">
        <v>391</v>
      </c>
      <c r="H892" s="15">
        <v>11043</v>
      </c>
      <c r="I892" s="13">
        <v>50</v>
      </c>
    </row>
    <row r="893" ht="15.75" spans="1:9">
      <c r="A893" s="12" t="s">
        <v>5220</v>
      </c>
      <c r="B893" s="12" t="s">
        <v>391</v>
      </c>
      <c r="C893" s="15">
        <v>31783</v>
      </c>
      <c r="D893" s="13">
        <v>44</v>
      </c>
      <c r="F893" s="12" t="s">
        <v>3879</v>
      </c>
      <c r="G893" s="12" t="s">
        <v>391</v>
      </c>
      <c r="H893" s="15">
        <v>11311</v>
      </c>
      <c r="I893" s="13">
        <v>50</v>
      </c>
    </row>
    <row r="894" ht="15.75" spans="1:9">
      <c r="A894" s="12" t="s">
        <v>5221</v>
      </c>
      <c r="B894" s="12" t="s">
        <v>391</v>
      </c>
      <c r="C894" s="15">
        <v>18718</v>
      </c>
      <c r="D894" s="13">
        <v>44</v>
      </c>
      <c r="F894" s="12" t="s">
        <v>5222</v>
      </c>
      <c r="G894" s="12" t="s">
        <v>392</v>
      </c>
      <c r="H894" s="15">
        <v>75700</v>
      </c>
      <c r="I894" s="13">
        <v>50</v>
      </c>
    </row>
    <row r="895" ht="15.75" spans="1:9">
      <c r="A895" s="12" t="s">
        <v>5223</v>
      </c>
      <c r="B895" s="12" t="s">
        <v>391</v>
      </c>
      <c r="C895" s="15">
        <v>29992</v>
      </c>
      <c r="D895" s="13">
        <v>44</v>
      </c>
      <c r="F895" s="12" t="s">
        <v>3880</v>
      </c>
      <c r="G895" s="12" t="s">
        <v>391</v>
      </c>
      <c r="H895" s="15">
        <v>13091</v>
      </c>
      <c r="I895" s="13">
        <v>50</v>
      </c>
    </row>
    <row r="896" ht="15.75" spans="1:9">
      <c r="A896" s="12" t="s">
        <v>5224</v>
      </c>
      <c r="B896" s="12" t="s">
        <v>391</v>
      </c>
      <c r="C896" s="15">
        <v>26143</v>
      </c>
      <c r="D896" s="13">
        <v>44</v>
      </c>
      <c r="F896" s="12" t="s">
        <v>5225</v>
      </c>
      <c r="G896" s="12" t="s">
        <v>391</v>
      </c>
      <c r="H896" s="15">
        <v>16779</v>
      </c>
      <c r="I896" s="13">
        <v>50</v>
      </c>
    </row>
    <row r="897" ht="15.75" spans="1:9">
      <c r="A897" s="12" t="s">
        <v>5226</v>
      </c>
      <c r="B897" s="12" t="s">
        <v>391</v>
      </c>
      <c r="C897" s="15">
        <v>25002</v>
      </c>
      <c r="D897" s="13">
        <v>44</v>
      </c>
      <c r="F897" s="12" t="s">
        <v>5227</v>
      </c>
      <c r="G897" s="12" t="s">
        <v>392</v>
      </c>
      <c r="H897" s="15">
        <v>179300</v>
      </c>
      <c r="I897" s="13">
        <v>50</v>
      </c>
    </row>
    <row r="898" ht="15.75" spans="1:9">
      <c r="A898" s="12" t="s">
        <v>5228</v>
      </c>
      <c r="B898" s="12" t="s">
        <v>391</v>
      </c>
      <c r="C898" s="15">
        <v>20154</v>
      </c>
      <c r="D898" s="13">
        <v>44</v>
      </c>
      <c r="F898" s="12" t="s">
        <v>5229</v>
      </c>
      <c r="G898" s="12" t="s">
        <v>392</v>
      </c>
      <c r="H898" s="15">
        <v>198200</v>
      </c>
      <c r="I898" s="13">
        <v>50</v>
      </c>
    </row>
    <row r="899" ht="15.75" spans="1:9">
      <c r="A899" s="12" t="s">
        <v>5230</v>
      </c>
      <c r="B899" s="12" t="s">
        <v>391</v>
      </c>
      <c r="C899" s="15">
        <v>23572</v>
      </c>
      <c r="D899" s="13">
        <v>44</v>
      </c>
      <c r="F899" s="12" t="s">
        <v>5231</v>
      </c>
      <c r="G899" s="12" t="s">
        <v>391</v>
      </c>
      <c r="H899" s="15">
        <v>33885</v>
      </c>
      <c r="I899" s="13">
        <v>50</v>
      </c>
    </row>
    <row r="900" ht="15.75" spans="1:9">
      <c r="A900" s="12" t="s">
        <v>5232</v>
      </c>
      <c r="B900" s="12" t="s">
        <v>391</v>
      </c>
      <c r="C900" s="15">
        <v>13750</v>
      </c>
      <c r="D900" s="13">
        <v>44</v>
      </c>
      <c r="F900" s="12" t="s">
        <v>5233</v>
      </c>
      <c r="G900" s="12" t="s">
        <v>392</v>
      </c>
      <c r="H900" s="15">
        <v>26300</v>
      </c>
      <c r="I900" s="13">
        <v>50</v>
      </c>
    </row>
    <row r="901" ht="15.75" spans="1:9">
      <c r="A901" s="12" t="s">
        <v>5234</v>
      </c>
      <c r="B901" s="12" t="s">
        <v>391</v>
      </c>
      <c r="C901" s="15">
        <v>22479</v>
      </c>
      <c r="D901" s="13">
        <v>44</v>
      </c>
      <c r="F901" s="12" t="s">
        <v>5235</v>
      </c>
      <c r="G901" s="12" t="s">
        <v>392</v>
      </c>
      <c r="H901" s="15">
        <v>278000</v>
      </c>
      <c r="I901" s="13">
        <v>50</v>
      </c>
    </row>
    <row r="902" ht="15.75" spans="1:9">
      <c r="A902" s="12" t="s">
        <v>5236</v>
      </c>
      <c r="B902" s="12" t="s">
        <v>391</v>
      </c>
      <c r="C902" s="15">
        <v>37943</v>
      </c>
      <c r="D902" s="13">
        <v>44</v>
      </c>
      <c r="F902" s="12" t="s">
        <v>3883</v>
      </c>
      <c r="G902" s="12" t="s">
        <v>391</v>
      </c>
      <c r="H902" s="15">
        <v>11548</v>
      </c>
      <c r="I902" s="13">
        <v>50</v>
      </c>
    </row>
    <row r="903" ht="15.75" spans="1:9">
      <c r="A903" s="12" t="s">
        <v>5237</v>
      </c>
      <c r="B903" s="12" t="s">
        <v>391</v>
      </c>
      <c r="C903" s="15">
        <v>14056</v>
      </c>
      <c r="D903" s="13">
        <v>44</v>
      </c>
      <c r="F903" s="12" t="s">
        <v>3885</v>
      </c>
      <c r="G903" s="12" t="s">
        <v>391</v>
      </c>
      <c r="H903" s="15">
        <v>24751</v>
      </c>
      <c r="I903" s="13">
        <v>50</v>
      </c>
    </row>
    <row r="904" ht="15.75" spans="1:9">
      <c r="A904" s="12" t="s">
        <v>5238</v>
      </c>
      <c r="B904" s="12" t="s">
        <v>391</v>
      </c>
      <c r="C904" s="15">
        <v>11165</v>
      </c>
      <c r="D904" s="13">
        <v>44</v>
      </c>
      <c r="F904" s="12" t="s">
        <v>5239</v>
      </c>
      <c r="G904" s="12" t="s">
        <v>391</v>
      </c>
      <c r="H904" s="15">
        <v>13368</v>
      </c>
      <c r="I904" s="13">
        <v>50</v>
      </c>
    </row>
    <row r="905" ht="15.75" spans="1:9">
      <c r="A905" s="12" t="s">
        <v>5240</v>
      </c>
      <c r="B905" s="12" t="s">
        <v>391</v>
      </c>
      <c r="C905" s="15">
        <v>23138</v>
      </c>
      <c r="D905" s="13">
        <v>44</v>
      </c>
      <c r="F905" s="12" t="s">
        <v>3887</v>
      </c>
      <c r="G905" s="12" t="s">
        <v>391</v>
      </c>
      <c r="H905" s="15">
        <v>22750</v>
      </c>
      <c r="I905" s="13">
        <v>50</v>
      </c>
    </row>
    <row r="906" ht="15.75" spans="1:9">
      <c r="A906" s="12" t="s">
        <v>5241</v>
      </c>
      <c r="B906" s="12" t="s">
        <v>391</v>
      </c>
      <c r="C906" s="15">
        <v>15962</v>
      </c>
      <c r="D906" s="13">
        <v>44</v>
      </c>
      <c r="F906" s="12" t="s">
        <v>5242</v>
      </c>
      <c r="G906" s="12" t="s">
        <v>392</v>
      </c>
      <c r="H906" s="15">
        <v>23400</v>
      </c>
      <c r="I906" s="13">
        <v>50</v>
      </c>
    </row>
    <row r="907" ht="15.75" spans="1:9">
      <c r="A907" s="12" t="s">
        <v>5243</v>
      </c>
      <c r="B907" s="12" t="s">
        <v>391</v>
      </c>
      <c r="C907" s="15">
        <v>23248</v>
      </c>
      <c r="D907" s="13">
        <v>44</v>
      </c>
      <c r="F907" s="12" t="s">
        <v>5244</v>
      </c>
      <c r="G907" s="12" t="s">
        <v>391</v>
      </c>
      <c r="H907" s="15">
        <v>23164</v>
      </c>
      <c r="I907" s="13">
        <v>50</v>
      </c>
    </row>
    <row r="908" ht="15.75" spans="1:9">
      <c r="A908" s="12" t="s">
        <v>5245</v>
      </c>
      <c r="B908" s="12" t="s">
        <v>391</v>
      </c>
      <c r="C908" s="15">
        <v>22995</v>
      </c>
      <c r="D908" s="13">
        <v>44</v>
      </c>
      <c r="F908" s="12" t="s">
        <v>3889</v>
      </c>
      <c r="G908" s="12" t="s">
        <v>391</v>
      </c>
      <c r="H908" s="15">
        <v>10424</v>
      </c>
      <c r="I908" s="13">
        <v>50</v>
      </c>
    </row>
    <row r="909" ht="15.75" spans="1:9">
      <c r="A909" s="12" t="s">
        <v>5246</v>
      </c>
      <c r="B909" s="12" t="s">
        <v>391</v>
      </c>
      <c r="C909" s="15">
        <v>97210</v>
      </c>
      <c r="D909" s="13">
        <v>44</v>
      </c>
      <c r="F909" s="12" t="s">
        <v>5247</v>
      </c>
      <c r="G909" s="12" t="s">
        <v>392</v>
      </c>
      <c r="H909" s="15">
        <v>15900</v>
      </c>
      <c r="I909" s="13">
        <v>50</v>
      </c>
    </row>
    <row r="910" ht="15.75" spans="1:9">
      <c r="A910" s="12" t="s">
        <v>5248</v>
      </c>
      <c r="B910" s="12" t="s">
        <v>391</v>
      </c>
      <c r="C910" s="15">
        <v>12800</v>
      </c>
      <c r="D910" s="13">
        <v>44</v>
      </c>
      <c r="F910" s="12" t="s">
        <v>5249</v>
      </c>
      <c r="G910" s="12" t="s">
        <v>391</v>
      </c>
      <c r="H910" s="15">
        <v>12377</v>
      </c>
      <c r="I910" s="13">
        <v>50</v>
      </c>
    </row>
    <row r="911" ht="15.75" spans="1:9">
      <c r="A911" s="12" t="s">
        <v>5250</v>
      </c>
      <c r="B911" s="12" t="s">
        <v>391</v>
      </c>
      <c r="C911" s="15">
        <v>18343</v>
      </c>
      <c r="D911" s="13">
        <v>44</v>
      </c>
      <c r="F911" s="12" t="s">
        <v>3891</v>
      </c>
      <c r="G911" s="12" t="s">
        <v>391</v>
      </c>
      <c r="H911" s="15">
        <v>21687</v>
      </c>
      <c r="I911" s="13">
        <v>50</v>
      </c>
    </row>
    <row r="912" ht="15.75" spans="1:9">
      <c r="A912" s="12" t="s">
        <v>5251</v>
      </c>
      <c r="B912" s="12" t="s">
        <v>391</v>
      </c>
      <c r="C912" s="15">
        <v>30068</v>
      </c>
      <c r="D912" s="13">
        <v>44</v>
      </c>
      <c r="F912" s="12" t="s">
        <v>5252</v>
      </c>
      <c r="G912" s="12" t="s">
        <v>392</v>
      </c>
      <c r="H912" s="15">
        <v>54900</v>
      </c>
      <c r="I912" s="13">
        <v>50</v>
      </c>
    </row>
    <row r="913" ht="15.75" spans="1:9">
      <c r="A913" s="12" t="s">
        <v>5253</v>
      </c>
      <c r="B913" s="12" t="s">
        <v>391</v>
      </c>
      <c r="C913" s="15">
        <v>11778</v>
      </c>
      <c r="D913" s="13">
        <v>44</v>
      </c>
      <c r="F913" s="12" t="s">
        <v>5254</v>
      </c>
      <c r="G913" s="12" t="s">
        <v>391</v>
      </c>
      <c r="H913" s="15">
        <v>223738</v>
      </c>
      <c r="I913" s="13">
        <v>50</v>
      </c>
    </row>
    <row r="914" ht="15.75" spans="1:9">
      <c r="A914" s="12" t="s">
        <v>5255</v>
      </c>
      <c r="B914" s="12" t="s">
        <v>391</v>
      </c>
      <c r="C914" s="15">
        <v>18777</v>
      </c>
      <c r="D914" s="13">
        <v>44</v>
      </c>
      <c r="F914" s="12" t="s">
        <v>5256</v>
      </c>
      <c r="G914" s="12" t="s">
        <v>392</v>
      </c>
      <c r="H914" s="15">
        <v>10500</v>
      </c>
      <c r="I914" s="13">
        <v>50</v>
      </c>
    </row>
    <row r="915" ht="15.75" spans="1:9">
      <c r="A915" s="12" t="s">
        <v>5257</v>
      </c>
      <c r="B915" s="12" t="s">
        <v>391</v>
      </c>
      <c r="C915" s="15">
        <v>25333</v>
      </c>
      <c r="D915" s="13">
        <v>44</v>
      </c>
      <c r="F915" s="12" t="s">
        <v>5258</v>
      </c>
      <c r="G915" s="12" t="s">
        <v>392</v>
      </c>
      <c r="H915" s="15">
        <v>24700</v>
      </c>
      <c r="I915" s="13">
        <v>50</v>
      </c>
    </row>
    <row r="916" ht="15.75" spans="1:9">
      <c r="A916" s="12" t="s">
        <v>5259</v>
      </c>
      <c r="B916" s="12" t="s">
        <v>391</v>
      </c>
      <c r="C916" s="15">
        <v>11436</v>
      </c>
      <c r="D916" s="13">
        <v>44</v>
      </c>
      <c r="F916" s="12" t="s">
        <v>5260</v>
      </c>
      <c r="G916" s="12" t="s">
        <v>391</v>
      </c>
      <c r="H916" s="15">
        <v>20492</v>
      </c>
      <c r="I916" s="13">
        <v>50</v>
      </c>
    </row>
    <row r="917" ht="15.75" spans="1:9">
      <c r="A917" s="12" t="s">
        <v>5261</v>
      </c>
      <c r="B917" s="12" t="s">
        <v>391</v>
      </c>
      <c r="C917" s="15">
        <v>16540</v>
      </c>
      <c r="D917" s="13">
        <v>44</v>
      </c>
      <c r="F917" s="12" t="s">
        <v>3893</v>
      </c>
      <c r="G917" s="12" t="s">
        <v>391</v>
      </c>
      <c r="H917" s="15">
        <v>13934</v>
      </c>
      <c r="I917" s="13">
        <v>50</v>
      </c>
    </row>
    <row r="918" ht="15.75" spans="1:9">
      <c r="A918" s="12" t="s">
        <v>5262</v>
      </c>
      <c r="B918" s="12" t="s">
        <v>391</v>
      </c>
      <c r="C918" s="15">
        <v>24146</v>
      </c>
      <c r="D918" s="13">
        <v>44</v>
      </c>
      <c r="F918" s="12" t="s">
        <v>3895</v>
      </c>
      <c r="G918" s="12" t="s">
        <v>391</v>
      </c>
      <c r="H918" s="15">
        <v>47592</v>
      </c>
      <c r="I918" s="13">
        <v>50</v>
      </c>
    </row>
    <row r="919" ht="15.75" spans="1:9">
      <c r="A919" s="12" t="s">
        <v>5263</v>
      </c>
      <c r="B919" s="12" t="s">
        <v>391</v>
      </c>
      <c r="C919" s="15">
        <v>20780</v>
      </c>
      <c r="D919" s="13">
        <v>44</v>
      </c>
      <c r="F919" s="12" t="s">
        <v>5264</v>
      </c>
      <c r="G919" s="12" t="s">
        <v>392</v>
      </c>
      <c r="H919" s="15">
        <v>36100</v>
      </c>
      <c r="I919" s="13">
        <v>50</v>
      </c>
    </row>
    <row r="920" ht="15.75" spans="1:9">
      <c r="A920" s="12" t="s">
        <v>5265</v>
      </c>
      <c r="B920" s="12" t="s">
        <v>391</v>
      </c>
      <c r="C920" s="15">
        <v>11217</v>
      </c>
      <c r="D920" s="13">
        <v>44</v>
      </c>
      <c r="F920" s="12" t="s">
        <v>5266</v>
      </c>
      <c r="G920" s="12" t="s">
        <v>392</v>
      </c>
      <c r="H920" s="15">
        <v>12100</v>
      </c>
      <c r="I920" s="13">
        <v>50</v>
      </c>
    </row>
    <row r="921" ht="15.75" spans="1:9">
      <c r="A921" s="12" t="s">
        <v>5267</v>
      </c>
      <c r="B921" s="12" t="s">
        <v>391</v>
      </c>
      <c r="C921" s="15">
        <v>20338</v>
      </c>
      <c r="D921" s="13">
        <v>44</v>
      </c>
      <c r="F921" s="12" t="s">
        <v>5268</v>
      </c>
      <c r="G921" s="12" t="s">
        <v>391</v>
      </c>
      <c r="H921" s="15">
        <v>11981</v>
      </c>
      <c r="I921" s="13">
        <v>50</v>
      </c>
    </row>
    <row r="922" ht="15.75" spans="1:9">
      <c r="A922" s="12" t="s">
        <v>5269</v>
      </c>
      <c r="B922" s="12" t="s">
        <v>391</v>
      </c>
      <c r="C922" s="15">
        <v>10882</v>
      </c>
      <c r="D922" s="13">
        <v>44</v>
      </c>
      <c r="F922" s="12" t="s">
        <v>5270</v>
      </c>
      <c r="G922" s="12" t="s">
        <v>392</v>
      </c>
      <c r="H922" s="15">
        <v>96900</v>
      </c>
      <c r="I922" s="13">
        <v>50</v>
      </c>
    </row>
    <row r="923" ht="15.75" spans="1:9">
      <c r="A923" s="12" t="s">
        <v>5271</v>
      </c>
      <c r="B923" s="12" t="s">
        <v>391</v>
      </c>
      <c r="C923" s="15">
        <v>12734</v>
      </c>
      <c r="D923" s="13">
        <v>44</v>
      </c>
      <c r="F923" s="12" t="s">
        <v>5272</v>
      </c>
      <c r="G923" s="12" t="s">
        <v>392</v>
      </c>
      <c r="H923" s="15">
        <v>30350</v>
      </c>
      <c r="I923" s="13">
        <v>50</v>
      </c>
    </row>
    <row r="924" ht="15.75" spans="1:9">
      <c r="A924" s="12" t="s">
        <v>5273</v>
      </c>
      <c r="B924" s="12" t="s">
        <v>391</v>
      </c>
      <c r="C924" s="15">
        <v>10746</v>
      </c>
      <c r="D924" s="13">
        <v>44</v>
      </c>
      <c r="F924" s="12" t="s">
        <v>5274</v>
      </c>
      <c r="G924" s="12" t="s">
        <v>392</v>
      </c>
      <c r="H924" s="15">
        <v>302500</v>
      </c>
      <c r="I924" s="13">
        <v>50</v>
      </c>
    </row>
    <row r="925" ht="15.75" spans="1:9">
      <c r="A925" s="12" t="s">
        <v>5275</v>
      </c>
      <c r="B925" s="12" t="s">
        <v>391</v>
      </c>
      <c r="C925" s="15">
        <v>20549</v>
      </c>
      <c r="D925" s="13">
        <v>44</v>
      </c>
      <c r="F925" s="12" t="s">
        <v>5276</v>
      </c>
      <c r="G925" s="12" t="s">
        <v>392</v>
      </c>
      <c r="H925" s="15">
        <v>76500</v>
      </c>
      <c r="I925" s="13">
        <v>50</v>
      </c>
    </row>
    <row r="926" ht="15.75" spans="1:9">
      <c r="A926" s="12" t="s">
        <v>5277</v>
      </c>
      <c r="B926" s="12" t="s">
        <v>391</v>
      </c>
      <c r="C926" s="15">
        <v>23159</v>
      </c>
      <c r="D926" s="13">
        <v>44</v>
      </c>
      <c r="F926" s="12" t="s">
        <v>5278</v>
      </c>
      <c r="G926" s="12" t="s">
        <v>391</v>
      </c>
      <c r="H926" s="15">
        <v>15523</v>
      </c>
      <c r="I926" s="13">
        <v>50</v>
      </c>
    </row>
    <row r="927" ht="15.75" spans="1:9">
      <c r="A927" s="12" t="s">
        <v>5279</v>
      </c>
      <c r="B927" s="12" t="s">
        <v>391</v>
      </c>
      <c r="C927" s="15">
        <v>20229</v>
      </c>
      <c r="D927" s="13">
        <v>44</v>
      </c>
      <c r="F927" s="12" t="s">
        <v>3898</v>
      </c>
      <c r="G927" s="12" t="s">
        <v>391</v>
      </c>
      <c r="H927" s="15">
        <v>35329</v>
      </c>
      <c r="I927" s="13">
        <v>50</v>
      </c>
    </row>
    <row r="928" ht="15.75" spans="1:9">
      <c r="A928" s="12" t="s">
        <v>5280</v>
      </c>
      <c r="B928" s="12" t="s">
        <v>391</v>
      </c>
      <c r="C928" s="15">
        <v>12049</v>
      </c>
      <c r="D928" s="13">
        <v>44</v>
      </c>
      <c r="F928" s="12" t="s">
        <v>3900</v>
      </c>
      <c r="G928" s="12" t="s">
        <v>391</v>
      </c>
      <c r="H928" s="15">
        <v>21019</v>
      </c>
      <c r="I928" s="13">
        <v>50</v>
      </c>
    </row>
    <row r="929" ht="15.75" spans="1:9">
      <c r="A929" s="12" t="s">
        <v>5281</v>
      </c>
      <c r="B929" s="12" t="s">
        <v>391</v>
      </c>
      <c r="C929" s="15">
        <v>11967</v>
      </c>
      <c r="D929" s="13">
        <v>44</v>
      </c>
      <c r="F929" s="12" t="s">
        <v>5282</v>
      </c>
      <c r="G929" s="12" t="s">
        <v>392</v>
      </c>
      <c r="H929" s="15">
        <v>50800</v>
      </c>
      <c r="I929" s="13">
        <v>50</v>
      </c>
    </row>
    <row r="930" ht="15.75" spans="1:9">
      <c r="A930" s="12" t="s">
        <v>5283</v>
      </c>
      <c r="B930" s="12" t="s">
        <v>391</v>
      </c>
      <c r="C930" s="15">
        <v>18193</v>
      </c>
      <c r="D930" s="13">
        <v>44</v>
      </c>
      <c r="F930" s="12" t="s">
        <v>5284</v>
      </c>
      <c r="G930" s="12" t="s">
        <v>392</v>
      </c>
      <c r="H930" s="15">
        <v>70100</v>
      </c>
      <c r="I930" s="13">
        <v>50</v>
      </c>
    </row>
    <row r="931" ht="15.75" spans="1:9">
      <c r="A931" s="12" t="s">
        <v>5285</v>
      </c>
      <c r="B931" s="12" t="s">
        <v>391</v>
      </c>
      <c r="C931" s="15">
        <v>11292</v>
      </c>
      <c r="D931" s="13">
        <v>44</v>
      </c>
      <c r="F931" s="12" t="s">
        <v>5286</v>
      </c>
      <c r="G931" s="12" t="s">
        <v>392</v>
      </c>
      <c r="H931" s="15">
        <v>10100</v>
      </c>
      <c r="I931" s="13">
        <v>50</v>
      </c>
    </row>
    <row r="932" ht="15.75" spans="1:9">
      <c r="A932" s="12" t="s">
        <v>5287</v>
      </c>
      <c r="B932" s="12" t="s">
        <v>391</v>
      </c>
      <c r="C932" s="15">
        <v>12489</v>
      </c>
      <c r="D932" s="13">
        <v>44</v>
      </c>
      <c r="F932" s="12" t="s">
        <v>5288</v>
      </c>
      <c r="G932" s="12" t="s">
        <v>391</v>
      </c>
      <c r="H932" s="15">
        <v>10687</v>
      </c>
      <c r="I932" s="13">
        <v>50</v>
      </c>
    </row>
    <row r="933" ht="15.75" spans="1:9">
      <c r="A933" s="12" t="s">
        <v>5289</v>
      </c>
      <c r="B933" s="12" t="s">
        <v>391</v>
      </c>
      <c r="C933" s="15">
        <v>16940</v>
      </c>
      <c r="D933" s="13">
        <v>44</v>
      </c>
      <c r="F933" s="12" t="s">
        <v>5290</v>
      </c>
      <c r="G933" s="12" t="s">
        <v>392</v>
      </c>
      <c r="H933" s="15">
        <v>1700000</v>
      </c>
      <c r="I933" s="13">
        <v>50</v>
      </c>
    </row>
    <row r="934" ht="15.75" spans="1:9">
      <c r="A934" s="12" t="s">
        <v>5291</v>
      </c>
      <c r="B934" s="12" t="s">
        <v>391</v>
      </c>
      <c r="C934" s="15">
        <v>12113</v>
      </c>
      <c r="D934" s="13">
        <v>44</v>
      </c>
      <c r="F934" s="12" t="s">
        <v>5292</v>
      </c>
      <c r="G934" s="12" t="s">
        <v>391</v>
      </c>
      <c r="H934" s="15">
        <v>28235</v>
      </c>
      <c r="I934" s="13">
        <v>50</v>
      </c>
    </row>
    <row r="935" ht="15.75" spans="1:9">
      <c r="A935" s="12" t="s">
        <v>5293</v>
      </c>
      <c r="B935" s="12" t="s">
        <v>391</v>
      </c>
      <c r="C935" s="15">
        <v>20194</v>
      </c>
      <c r="D935" s="13">
        <v>44</v>
      </c>
      <c r="F935" s="12" t="s">
        <v>5294</v>
      </c>
      <c r="G935" s="12" t="s">
        <v>391</v>
      </c>
      <c r="H935" s="15">
        <v>23493</v>
      </c>
      <c r="I935" s="13">
        <v>50</v>
      </c>
    </row>
    <row r="936" ht="15.75" spans="1:9">
      <c r="A936" s="12" t="s">
        <v>5295</v>
      </c>
      <c r="B936" s="12" t="s">
        <v>391</v>
      </c>
      <c r="C936" s="15">
        <v>10009</v>
      </c>
      <c r="D936" s="13">
        <v>44</v>
      </c>
      <c r="F936" s="12" t="s">
        <v>5296</v>
      </c>
      <c r="G936" s="12" t="s">
        <v>392</v>
      </c>
      <c r="H936" s="15">
        <v>103200</v>
      </c>
      <c r="I936" s="13">
        <v>50</v>
      </c>
    </row>
    <row r="937" ht="15.75" spans="1:9">
      <c r="A937" s="12" t="s">
        <v>5297</v>
      </c>
      <c r="B937" s="12" t="s">
        <v>391</v>
      </c>
      <c r="C937" s="15">
        <v>27004</v>
      </c>
      <c r="D937" s="13">
        <v>44</v>
      </c>
      <c r="F937" s="12" t="s">
        <v>5298</v>
      </c>
      <c r="G937" s="12" t="s">
        <v>392</v>
      </c>
      <c r="H937" s="15">
        <v>38900</v>
      </c>
      <c r="I937" s="13">
        <v>50</v>
      </c>
    </row>
    <row r="938" ht="15.75" spans="1:9">
      <c r="A938" s="12" t="s">
        <v>5299</v>
      </c>
      <c r="B938" s="12" t="s">
        <v>391</v>
      </c>
      <c r="C938" s="15">
        <v>17838</v>
      </c>
      <c r="D938" s="13">
        <v>44</v>
      </c>
      <c r="F938" s="12" t="s">
        <v>3902</v>
      </c>
      <c r="G938" s="12" t="s">
        <v>391</v>
      </c>
      <c r="H938" s="15">
        <v>24289</v>
      </c>
      <c r="I938" s="13">
        <v>50</v>
      </c>
    </row>
    <row r="939" ht="15.75" spans="1:9">
      <c r="A939" s="12" t="s">
        <v>5300</v>
      </c>
      <c r="B939" s="12" t="s">
        <v>391</v>
      </c>
      <c r="C939" s="15">
        <v>13603</v>
      </c>
      <c r="D939" s="13">
        <v>44</v>
      </c>
      <c r="F939" s="12" t="s">
        <v>3903</v>
      </c>
      <c r="G939" s="12" t="s">
        <v>391</v>
      </c>
      <c r="H939" s="15">
        <v>14341</v>
      </c>
      <c r="I939" s="13">
        <v>50</v>
      </c>
    </row>
    <row r="940" ht="15.75" spans="1:9">
      <c r="A940" s="12" t="s">
        <v>5301</v>
      </c>
      <c r="B940" s="12" t="s">
        <v>391</v>
      </c>
      <c r="C940" s="15">
        <v>20638</v>
      </c>
      <c r="D940" s="13">
        <v>44</v>
      </c>
      <c r="F940" s="12" t="s">
        <v>5302</v>
      </c>
      <c r="G940" s="12" t="s">
        <v>392</v>
      </c>
      <c r="H940" s="15">
        <v>333100</v>
      </c>
      <c r="I940" s="13">
        <v>50</v>
      </c>
    </row>
    <row r="941" ht="15.75" spans="1:9">
      <c r="A941" s="12" t="s">
        <v>5303</v>
      </c>
      <c r="B941" s="12" t="s">
        <v>391</v>
      </c>
      <c r="C941" s="15">
        <v>62706</v>
      </c>
      <c r="D941" s="13">
        <v>44</v>
      </c>
      <c r="F941" s="12" t="s">
        <v>5304</v>
      </c>
      <c r="G941" s="12" t="s">
        <v>391</v>
      </c>
      <c r="H941" s="15">
        <v>20018</v>
      </c>
      <c r="I941" s="13">
        <v>50</v>
      </c>
    </row>
    <row r="942" ht="15.75" spans="1:9">
      <c r="A942" s="12" t="s">
        <v>5305</v>
      </c>
      <c r="B942" s="12" t="s">
        <v>391</v>
      </c>
      <c r="C942" s="15">
        <v>27150</v>
      </c>
      <c r="D942" s="13">
        <v>44</v>
      </c>
      <c r="F942" s="12" t="s">
        <v>3905</v>
      </c>
      <c r="G942" s="12" t="s">
        <v>391</v>
      </c>
      <c r="H942" s="15">
        <v>11667</v>
      </c>
      <c r="I942" s="13">
        <v>50</v>
      </c>
    </row>
    <row r="943" ht="15.75" spans="1:9">
      <c r="A943" s="12" t="s">
        <v>5306</v>
      </c>
      <c r="B943" s="12" t="s">
        <v>391</v>
      </c>
      <c r="C943" s="15">
        <v>20111</v>
      </c>
      <c r="D943" s="13">
        <v>44</v>
      </c>
      <c r="F943" s="12" t="s">
        <v>5307</v>
      </c>
      <c r="G943" s="12" t="s">
        <v>392</v>
      </c>
      <c r="H943" s="15">
        <v>520500</v>
      </c>
      <c r="I943" s="13">
        <v>50</v>
      </c>
    </row>
    <row r="944" ht="15.75" spans="1:9">
      <c r="A944" s="12" t="s">
        <v>5308</v>
      </c>
      <c r="B944" s="12" t="s">
        <v>391</v>
      </c>
      <c r="C944" s="15">
        <v>16029</v>
      </c>
      <c r="D944" s="13">
        <v>44</v>
      </c>
      <c r="F944" s="12" t="s">
        <v>5309</v>
      </c>
      <c r="G944" s="12" t="s">
        <v>392</v>
      </c>
      <c r="H944" s="15">
        <v>13600</v>
      </c>
      <c r="I944" s="13">
        <v>50</v>
      </c>
    </row>
    <row r="945" ht="15.75" spans="1:9">
      <c r="A945" s="12" t="s">
        <v>5310</v>
      </c>
      <c r="B945" s="12" t="s">
        <v>391</v>
      </c>
      <c r="C945" s="15">
        <v>22000</v>
      </c>
      <c r="D945" s="13">
        <v>44</v>
      </c>
      <c r="F945" s="12" t="s">
        <v>5311</v>
      </c>
      <c r="G945" s="12" t="s">
        <v>392</v>
      </c>
      <c r="H945" s="15">
        <v>16000</v>
      </c>
      <c r="I945" s="13">
        <v>50</v>
      </c>
    </row>
    <row r="946" ht="15.75" spans="1:9">
      <c r="A946" s="12" t="s">
        <v>5312</v>
      </c>
      <c r="B946" s="12" t="s">
        <v>391</v>
      </c>
      <c r="C946" s="15">
        <v>11780</v>
      </c>
      <c r="D946" s="13">
        <v>44</v>
      </c>
      <c r="F946" s="12" t="s">
        <v>5313</v>
      </c>
      <c r="G946" s="12" t="s">
        <v>392</v>
      </c>
      <c r="H946" s="15">
        <v>56100</v>
      </c>
      <c r="I946" s="13">
        <v>50</v>
      </c>
    </row>
    <row r="947" ht="15.75" spans="1:9">
      <c r="A947" s="12" t="s">
        <v>5314</v>
      </c>
      <c r="B947" s="12" t="s">
        <v>391</v>
      </c>
      <c r="C947" s="15">
        <v>13675</v>
      </c>
      <c r="D947" s="13">
        <v>44</v>
      </c>
      <c r="F947" s="12" t="s">
        <v>5315</v>
      </c>
      <c r="G947" s="12" t="s">
        <v>391</v>
      </c>
      <c r="H947" s="15">
        <v>10082</v>
      </c>
      <c r="I947" s="13">
        <v>50</v>
      </c>
    </row>
    <row r="948" ht="15.75" spans="1:9">
      <c r="A948" s="12" t="s">
        <v>5316</v>
      </c>
      <c r="B948" s="12" t="s">
        <v>391</v>
      </c>
      <c r="C948" s="15">
        <v>16857</v>
      </c>
      <c r="D948" s="13">
        <v>44</v>
      </c>
      <c r="F948" s="12" t="s">
        <v>3907</v>
      </c>
      <c r="G948" s="12" t="s">
        <v>391</v>
      </c>
      <c r="H948" s="15">
        <v>21404</v>
      </c>
      <c r="I948" s="13">
        <v>50</v>
      </c>
    </row>
    <row r="949" ht="15.75" spans="1:9">
      <c r="A949" s="12" t="s">
        <v>5317</v>
      </c>
      <c r="B949" s="12" t="s">
        <v>391</v>
      </c>
      <c r="C949" s="15">
        <v>14444</v>
      </c>
      <c r="D949" s="13">
        <v>44</v>
      </c>
      <c r="F949" s="12" t="s">
        <v>5318</v>
      </c>
      <c r="G949" s="12" t="s">
        <v>392</v>
      </c>
      <c r="H949" s="15">
        <v>25300</v>
      </c>
      <c r="I949" s="13">
        <v>50</v>
      </c>
    </row>
    <row r="950" ht="15.75" spans="1:9">
      <c r="A950" s="12" t="s">
        <v>5319</v>
      </c>
      <c r="B950" s="12" t="s">
        <v>391</v>
      </c>
      <c r="C950" s="15">
        <v>19757</v>
      </c>
      <c r="D950" s="13">
        <v>44</v>
      </c>
      <c r="F950" s="12" t="s">
        <v>3909</v>
      </c>
      <c r="G950" s="12" t="s">
        <v>391</v>
      </c>
      <c r="H950" s="15">
        <v>14648</v>
      </c>
      <c r="I950" s="13">
        <v>50</v>
      </c>
    </row>
    <row r="951" ht="15.75" spans="1:9">
      <c r="A951" s="12" t="s">
        <v>5320</v>
      </c>
      <c r="B951" s="12" t="s">
        <v>391</v>
      </c>
      <c r="C951" s="15">
        <v>15929</v>
      </c>
      <c r="D951" s="13">
        <v>44</v>
      </c>
      <c r="F951" s="12" t="s">
        <v>5321</v>
      </c>
      <c r="G951" s="12" t="s">
        <v>392</v>
      </c>
      <c r="H951" s="15">
        <v>43800</v>
      </c>
      <c r="I951" s="13">
        <v>50</v>
      </c>
    </row>
    <row r="952" ht="15.75" spans="1:9">
      <c r="A952" s="12" t="s">
        <v>5322</v>
      </c>
      <c r="B952" s="12" t="s">
        <v>391</v>
      </c>
      <c r="C952" s="15">
        <v>12051</v>
      </c>
      <c r="D952" s="13">
        <v>44</v>
      </c>
      <c r="F952" s="12" t="s">
        <v>5323</v>
      </c>
      <c r="G952" s="12" t="s">
        <v>391</v>
      </c>
      <c r="H952" s="15">
        <v>12162</v>
      </c>
      <c r="I952" s="13">
        <v>50</v>
      </c>
    </row>
    <row r="953" ht="15.75" spans="1:9">
      <c r="A953" s="12" t="s">
        <v>5324</v>
      </c>
      <c r="B953" s="12" t="s">
        <v>391</v>
      </c>
      <c r="C953" s="15">
        <v>10458</v>
      </c>
      <c r="D953" s="13">
        <v>44</v>
      </c>
      <c r="F953" s="12" t="s">
        <v>5325</v>
      </c>
      <c r="G953" s="12" t="s">
        <v>392</v>
      </c>
      <c r="H953" s="15">
        <v>11200</v>
      </c>
      <c r="I953" s="13">
        <v>50</v>
      </c>
    </row>
    <row r="954" ht="15.75" spans="1:9">
      <c r="A954" s="12" t="s">
        <v>5326</v>
      </c>
      <c r="B954" s="12" t="s">
        <v>391</v>
      </c>
      <c r="C954" s="15">
        <v>15323</v>
      </c>
      <c r="D954" s="13">
        <v>44</v>
      </c>
      <c r="F954" s="12" t="s">
        <v>5327</v>
      </c>
      <c r="G954" s="12" t="s">
        <v>392</v>
      </c>
      <c r="H954" s="15">
        <v>10700</v>
      </c>
      <c r="I954" s="13">
        <v>50</v>
      </c>
    </row>
    <row r="955" ht="15.75" spans="1:9">
      <c r="A955" s="12" t="s">
        <v>5328</v>
      </c>
      <c r="B955" s="12" t="s">
        <v>391</v>
      </c>
      <c r="C955" s="15">
        <v>10083</v>
      </c>
      <c r="D955" s="13">
        <v>44</v>
      </c>
      <c r="F955" s="12" t="s">
        <v>5329</v>
      </c>
      <c r="G955" s="12" t="s">
        <v>391</v>
      </c>
      <c r="H955" s="15">
        <v>20461</v>
      </c>
      <c r="I955" s="13">
        <v>50</v>
      </c>
    </row>
    <row r="956" ht="15.75" spans="1:9">
      <c r="A956" s="12" t="s">
        <v>5330</v>
      </c>
      <c r="B956" s="12" t="s">
        <v>391</v>
      </c>
      <c r="C956" s="15">
        <v>29121</v>
      </c>
      <c r="D956" s="13">
        <v>44</v>
      </c>
      <c r="F956" s="12" t="s">
        <v>5331</v>
      </c>
      <c r="G956" s="12" t="s">
        <v>391</v>
      </c>
      <c r="H956" s="15">
        <v>13203</v>
      </c>
      <c r="I956" s="13">
        <v>50</v>
      </c>
    </row>
    <row r="957" ht="15.75" spans="1:9">
      <c r="A957" s="12" t="s">
        <v>5332</v>
      </c>
      <c r="B957" s="12" t="s">
        <v>391</v>
      </c>
      <c r="C957" s="15">
        <v>33673</v>
      </c>
      <c r="D957" s="13">
        <v>44</v>
      </c>
      <c r="F957" s="12" t="s">
        <v>5333</v>
      </c>
      <c r="G957" s="12" t="s">
        <v>392</v>
      </c>
      <c r="H957" s="15">
        <v>53900</v>
      </c>
      <c r="I957" s="13">
        <v>50</v>
      </c>
    </row>
    <row r="958" ht="15.75" spans="1:9">
      <c r="A958" s="12" t="s">
        <v>5334</v>
      </c>
      <c r="B958" s="12" t="s">
        <v>391</v>
      </c>
      <c r="C958" s="15">
        <v>19348</v>
      </c>
      <c r="D958" s="13">
        <v>44</v>
      </c>
      <c r="F958" s="12" t="s">
        <v>5335</v>
      </c>
      <c r="G958" s="12" t="s">
        <v>392</v>
      </c>
      <c r="H958" s="15">
        <v>88100</v>
      </c>
      <c r="I958" s="13">
        <v>50</v>
      </c>
    </row>
    <row r="959" ht="15.75" spans="1:9">
      <c r="A959" s="12" t="s">
        <v>5336</v>
      </c>
      <c r="B959" s="12" t="s">
        <v>391</v>
      </c>
      <c r="C959" s="15">
        <v>25166</v>
      </c>
      <c r="D959" s="13">
        <v>44</v>
      </c>
      <c r="F959" s="12" t="s">
        <v>3911</v>
      </c>
      <c r="G959" s="12" t="s">
        <v>391</v>
      </c>
      <c r="H959" s="15">
        <v>24494</v>
      </c>
      <c r="I959" s="13">
        <v>50</v>
      </c>
    </row>
    <row r="960" ht="15.75" spans="1:9">
      <c r="A960" s="12" t="s">
        <v>5337</v>
      </c>
      <c r="B960" s="12" t="s">
        <v>391</v>
      </c>
      <c r="C960" s="15">
        <v>19143</v>
      </c>
      <c r="D960" s="13">
        <v>44</v>
      </c>
      <c r="F960" s="12" t="s">
        <v>5338</v>
      </c>
      <c r="G960" s="12" t="s">
        <v>392</v>
      </c>
      <c r="H960" s="15">
        <v>76400</v>
      </c>
      <c r="I960" s="13">
        <v>50</v>
      </c>
    </row>
    <row r="961" ht="15.75" spans="1:9">
      <c r="A961" s="12" t="s">
        <v>5339</v>
      </c>
      <c r="B961" s="12" t="s">
        <v>391</v>
      </c>
      <c r="C961" s="15">
        <v>10262</v>
      </c>
      <c r="D961" s="13">
        <v>44</v>
      </c>
      <c r="F961" s="12" t="s">
        <v>5340</v>
      </c>
      <c r="G961" s="12" t="s">
        <v>392</v>
      </c>
      <c r="H961" s="15">
        <v>43500</v>
      </c>
      <c r="I961" s="13">
        <v>50</v>
      </c>
    </row>
    <row r="962" ht="15.75" spans="1:9">
      <c r="A962" s="12" t="s">
        <v>5341</v>
      </c>
      <c r="B962" s="12" t="s">
        <v>391</v>
      </c>
      <c r="C962" s="15">
        <v>12334</v>
      </c>
      <c r="D962" s="13">
        <v>44</v>
      </c>
      <c r="F962" s="12" t="s">
        <v>5342</v>
      </c>
      <c r="G962" s="12" t="s">
        <v>392</v>
      </c>
      <c r="H962" s="15">
        <v>18200</v>
      </c>
      <c r="I962" s="13">
        <v>50</v>
      </c>
    </row>
    <row r="963" ht="15.75" spans="1:9">
      <c r="A963" s="12" t="s">
        <v>5343</v>
      </c>
      <c r="B963" s="12" t="s">
        <v>391</v>
      </c>
      <c r="C963" s="15">
        <v>25101</v>
      </c>
      <c r="D963" s="13">
        <v>44</v>
      </c>
      <c r="F963" s="12" t="s">
        <v>5344</v>
      </c>
      <c r="G963" s="12" t="s">
        <v>392</v>
      </c>
      <c r="H963" s="15">
        <v>1100000</v>
      </c>
      <c r="I963" s="13">
        <v>50</v>
      </c>
    </row>
    <row r="964" ht="15.75" spans="1:9">
      <c r="A964" s="12" t="s">
        <v>5345</v>
      </c>
      <c r="B964" s="12" t="s">
        <v>391</v>
      </c>
      <c r="C964" s="15">
        <v>10419</v>
      </c>
      <c r="D964" s="13">
        <v>44</v>
      </c>
      <c r="F964" s="12" t="s">
        <v>5346</v>
      </c>
      <c r="G964" s="12" t="s">
        <v>392</v>
      </c>
      <c r="H964" s="15">
        <v>17900</v>
      </c>
      <c r="I964" s="13">
        <v>50</v>
      </c>
    </row>
    <row r="965" ht="15.75" spans="1:9">
      <c r="A965" s="12" t="s">
        <v>5347</v>
      </c>
      <c r="B965" s="12" t="s">
        <v>391</v>
      </c>
      <c r="C965" s="15">
        <v>12558</v>
      </c>
      <c r="D965" s="13">
        <v>44</v>
      </c>
      <c r="F965" s="12" t="s">
        <v>3914</v>
      </c>
      <c r="G965" s="12" t="s">
        <v>391</v>
      </c>
      <c r="H965" s="15">
        <v>12282</v>
      </c>
      <c r="I965" s="13">
        <v>50</v>
      </c>
    </row>
    <row r="966" ht="15.75" spans="1:9">
      <c r="A966" s="12" t="s">
        <v>5348</v>
      </c>
      <c r="B966" s="12" t="s">
        <v>391</v>
      </c>
      <c r="C966" s="15">
        <v>20219</v>
      </c>
      <c r="D966" s="13">
        <v>44</v>
      </c>
      <c r="F966" s="12" t="s">
        <v>5349</v>
      </c>
      <c r="G966" s="12" t="s">
        <v>392</v>
      </c>
      <c r="H966" s="15">
        <v>18500</v>
      </c>
      <c r="I966" s="13">
        <v>50</v>
      </c>
    </row>
    <row r="967" ht="15.75" spans="1:9">
      <c r="A967" s="12" t="s">
        <v>5350</v>
      </c>
      <c r="B967" s="12" t="s">
        <v>391</v>
      </c>
      <c r="C967" s="15">
        <v>16009</v>
      </c>
      <c r="D967" s="13">
        <v>44</v>
      </c>
      <c r="F967" s="12" t="s">
        <v>5351</v>
      </c>
      <c r="G967" s="12" t="s">
        <v>391</v>
      </c>
      <c r="H967" s="15">
        <v>10492</v>
      </c>
      <c r="I967" s="13">
        <v>50</v>
      </c>
    </row>
    <row r="968" ht="15.75" spans="1:9">
      <c r="A968" s="12" t="s">
        <v>5352</v>
      </c>
      <c r="B968" s="12" t="s">
        <v>391</v>
      </c>
      <c r="C968" s="15">
        <v>10050</v>
      </c>
      <c r="D968" s="13">
        <v>44</v>
      </c>
      <c r="F968" s="12" t="s">
        <v>5353</v>
      </c>
      <c r="G968" s="12" t="s">
        <v>392</v>
      </c>
      <c r="H968" s="15">
        <v>18100</v>
      </c>
      <c r="I968" s="13">
        <v>50</v>
      </c>
    </row>
    <row r="969" ht="15.75" spans="1:9">
      <c r="A969" s="12" t="s">
        <v>5354</v>
      </c>
      <c r="B969" s="12" t="s">
        <v>391</v>
      </c>
      <c r="C969" s="15">
        <v>12010</v>
      </c>
      <c r="D969" s="13">
        <v>44</v>
      </c>
      <c r="F969" s="12" t="s">
        <v>3917</v>
      </c>
      <c r="G969" s="12" t="s">
        <v>391</v>
      </c>
      <c r="H969" s="15">
        <v>10351</v>
      </c>
      <c r="I969" s="13">
        <v>50</v>
      </c>
    </row>
    <row r="970" ht="15.75" spans="1:9">
      <c r="A970" s="12" t="s">
        <v>5355</v>
      </c>
      <c r="B970" s="12" t="s">
        <v>391</v>
      </c>
      <c r="C970" s="15">
        <v>12097</v>
      </c>
      <c r="D970" s="13">
        <v>44</v>
      </c>
      <c r="F970" s="12" t="s">
        <v>5356</v>
      </c>
      <c r="G970" s="12" t="s">
        <v>392</v>
      </c>
      <c r="H970" s="15">
        <v>449700</v>
      </c>
      <c r="I970" s="13">
        <v>50</v>
      </c>
    </row>
    <row r="971" ht="15.75" spans="1:9">
      <c r="A971" s="12" t="s">
        <v>5357</v>
      </c>
      <c r="B971" s="12" t="s">
        <v>391</v>
      </c>
      <c r="C971" s="15">
        <v>11396</v>
      </c>
      <c r="D971" s="13">
        <v>44</v>
      </c>
      <c r="F971" s="12" t="s">
        <v>5358</v>
      </c>
      <c r="G971" s="12" t="s">
        <v>391</v>
      </c>
      <c r="H971" s="15">
        <v>12772</v>
      </c>
      <c r="I971" s="13">
        <v>50</v>
      </c>
    </row>
    <row r="972" ht="15.75" spans="1:9">
      <c r="A972" s="12" t="s">
        <v>5359</v>
      </c>
      <c r="B972" s="12" t="s">
        <v>391</v>
      </c>
      <c r="C972" s="15">
        <v>18923</v>
      </c>
      <c r="D972" s="13">
        <v>44</v>
      </c>
      <c r="F972" s="12" t="s">
        <v>5360</v>
      </c>
      <c r="G972" s="12" t="s">
        <v>391</v>
      </c>
      <c r="H972" s="15">
        <v>13425</v>
      </c>
      <c r="I972" s="13">
        <v>50</v>
      </c>
    </row>
    <row r="973" ht="15.75" spans="1:9">
      <c r="A973" s="12" t="s">
        <v>5361</v>
      </c>
      <c r="B973" s="12" t="s">
        <v>391</v>
      </c>
      <c r="C973" s="15">
        <v>11977</v>
      </c>
      <c r="D973" s="13">
        <v>44</v>
      </c>
      <c r="F973" s="12" t="s">
        <v>5362</v>
      </c>
      <c r="G973" s="12" t="s">
        <v>392</v>
      </c>
      <c r="H973" s="15">
        <v>237100</v>
      </c>
      <c r="I973" s="13">
        <v>50</v>
      </c>
    </row>
    <row r="974" ht="15.75" spans="1:9">
      <c r="A974" s="12" t="s">
        <v>5363</v>
      </c>
      <c r="B974" s="12" t="s">
        <v>391</v>
      </c>
      <c r="C974" s="15">
        <v>13834</v>
      </c>
      <c r="D974" s="13">
        <v>44</v>
      </c>
      <c r="F974" s="12" t="s">
        <v>5364</v>
      </c>
      <c r="G974" s="12" t="s">
        <v>391</v>
      </c>
      <c r="H974" s="15">
        <v>17737</v>
      </c>
      <c r="I974" s="13">
        <v>50</v>
      </c>
    </row>
    <row r="975" ht="15.75" spans="1:9">
      <c r="A975" s="12" t="s">
        <v>5365</v>
      </c>
      <c r="B975" s="12" t="s">
        <v>391</v>
      </c>
      <c r="C975" s="15">
        <v>10686</v>
      </c>
      <c r="D975" s="13">
        <v>44</v>
      </c>
      <c r="F975" s="12" t="s">
        <v>5366</v>
      </c>
      <c r="G975" s="12" t="s">
        <v>392</v>
      </c>
      <c r="H975" s="15">
        <v>45600</v>
      </c>
      <c r="I975" s="13">
        <v>50</v>
      </c>
    </row>
    <row r="976" ht="15.75" spans="1:9">
      <c r="A976" s="12" t="s">
        <v>5367</v>
      </c>
      <c r="B976" s="12" t="s">
        <v>391</v>
      </c>
      <c r="C976" s="15">
        <v>99412</v>
      </c>
      <c r="D976" s="13">
        <v>44</v>
      </c>
      <c r="F976" s="12" t="s">
        <v>3918</v>
      </c>
      <c r="G976" s="12" t="s">
        <v>391</v>
      </c>
      <c r="H976" s="15">
        <v>11406</v>
      </c>
      <c r="I976" s="13">
        <v>50</v>
      </c>
    </row>
    <row r="977" ht="15.75" spans="1:9">
      <c r="A977" s="12" t="s">
        <v>5368</v>
      </c>
      <c r="B977" s="12" t="s">
        <v>391</v>
      </c>
      <c r="C977" s="15">
        <v>28179</v>
      </c>
      <c r="D977" s="13">
        <v>44</v>
      </c>
      <c r="F977" s="12" t="s">
        <v>5369</v>
      </c>
      <c r="G977" s="12" t="s">
        <v>392</v>
      </c>
      <c r="H977" s="15">
        <v>22000</v>
      </c>
      <c r="I977" s="13">
        <v>50</v>
      </c>
    </row>
    <row r="978" ht="15.75" spans="1:9">
      <c r="A978" s="12" t="s">
        <v>5370</v>
      </c>
      <c r="B978" s="12" t="s">
        <v>391</v>
      </c>
      <c r="C978" s="15">
        <v>24549</v>
      </c>
      <c r="D978" s="13">
        <v>44</v>
      </c>
      <c r="F978" s="12" t="s">
        <v>3920</v>
      </c>
      <c r="G978" s="12" t="s">
        <v>391</v>
      </c>
      <c r="H978" s="15">
        <v>10367</v>
      </c>
      <c r="I978" s="13">
        <v>50</v>
      </c>
    </row>
    <row r="979" ht="15.75" spans="1:9">
      <c r="A979" s="12" t="s">
        <v>5371</v>
      </c>
      <c r="B979" s="12" t="s">
        <v>391</v>
      </c>
      <c r="C979" s="15">
        <v>20538</v>
      </c>
      <c r="D979" s="13">
        <v>44</v>
      </c>
      <c r="F979" s="12" t="s">
        <v>5372</v>
      </c>
      <c r="G979" s="12" t="s">
        <v>392</v>
      </c>
      <c r="H979" s="15">
        <v>40700</v>
      </c>
      <c r="I979" s="13">
        <v>50</v>
      </c>
    </row>
    <row r="980" ht="15.75" spans="1:9">
      <c r="A980" s="12" t="s">
        <v>5373</v>
      </c>
      <c r="B980" s="12" t="s">
        <v>391</v>
      </c>
      <c r="C980" s="15">
        <v>12558</v>
      </c>
      <c r="D980" s="13">
        <v>44</v>
      </c>
      <c r="F980" s="12" t="s">
        <v>5374</v>
      </c>
      <c r="G980" s="12" t="s">
        <v>391</v>
      </c>
      <c r="H980" s="15">
        <v>10363</v>
      </c>
      <c r="I980" s="13">
        <v>50</v>
      </c>
    </row>
    <row r="981" ht="15.75" spans="1:9">
      <c r="A981" s="12" t="s">
        <v>5375</v>
      </c>
      <c r="B981" s="12" t="s">
        <v>391</v>
      </c>
      <c r="C981" s="15">
        <v>29041</v>
      </c>
      <c r="D981" s="13">
        <v>44</v>
      </c>
      <c r="F981" s="12" t="s">
        <v>5376</v>
      </c>
      <c r="G981" s="12" t="s">
        <v>392</v>
      </c>
      <c r="H981" s="15">
        <v>102800</v>
      </c>
      <c r="I981" s="13">
        <v>50</v>
      </c>
    </row>
    <row r="982" ht="15.75" spans="1:9">
      <c r="A982" s="12" t="s">
        <v>5377</v>
      </c>
      <c r="B982" s="12" t="s">
        <v>391</v>
      </c>
      <c r="C982" s="15">
        <v>11816</v>
      </c>
      <c r="D982" s="13">
        <v>44</v>
      </c>
      <c r="F982" s="12" t="s">
        <v>5378</v>
      </c>
      <c r="G982" s="12" t="s">
        <v>392</v>
      </c>
      <c r="H982" s="15">
        <v>65700</v>
      </c>
      <c r="I982" s="13">
        <v>50</v>
      </c>
    </row>
    <row r="983" ht="15.75" spans="1:9">
      <c r="A983" s="12" t="s">
        <v>5379</v>
      </c>
      <c r="B983" s="12" t="s">
        <v>391</v>
      </c>
      <c r="C983" s="15">
        <v>29406</v>
      </c>
      <c r="D983" s="13">
        <v>44</v>
      </c>
      <c r="F983" s="12" t="s">
        <v>5380</v>
      </c>
      <c r="G983" s="12" t="s">
        <v>392</v>
      </c>
      <c r="H983" s="15">
        <v>134000</v>
      </c>
      <c r="I983" s="13">
        <v>50</v>
      </c>
    </row>
    <row r="984" ht="15.75" spans="1:9">
      <c r="A984" s="12" t="s">
        <v>5381</v>
      </c>
      <c r="B984" s="12" t="s">
        <v>391</v>
      </c>
      <c r="C984" s="15">
        <v>11693</v>
      </c>
      <c r="D984" s="13">
        <v>44</v>
      </c>
      <c r="F984" s="12" t="s">
        <v>5382</v>
      </c>
      <c r="G984" s="12" t="s">
        <v>392</v>
      </c>
      <c r="H984" s="15">
        <v>12100</v>
      </c>
      <c r="I984" s="13">
        <v>50</v>
      </c>
    </row>
    <row r="985" ht="15.75" spans="1:9">
      <c r="A985" s="12" t="s">
        <v>5383</v>
      </c>
      <c r="B985" s="12" t="s">
        <v>391</v>
      </c>
      <c r="C985" s="15">
        <v>67761</v>
      </c>
      <c r="D985" s="13">
        <v>44</v>
      </c>
      <c r="F985" s="12" t="s">
        <v>5384</v>
      </c>
      <c r="G985" s="12" t="s">
        <v>392</v>
      </c>
      <c r="H985" s="15">
        <v>1200000</v>
      </c>
      <c r="I985" s="13">
        <v>50</v>
      </c>
    </row>
    <row r="986" ht="15.75" spans="1:9">
      <c r="A986" s="12" t="s">
        <v>5385</v>
      </c>
      <c r="B986" s="12" t="s">
        <v>391</v>
      </c>
      <c r="C986" s="15">
        <v>44957</v>
      </c>
      <c r="D986" s="13">
        <v>44</v>
      </c>
      <c r="F986" s="12" t="s">
        <v>3923</v>
      </c>
      <c r="G986" s="12" t="s">
        <v>391</v>
      </c>
      <c r="H986" s="15">
        <v>32717</v>
      </c>
      <c r="I986" s="13">
        <v>50</v>
      </c>
    </row>
    <row r="987" ht="15.75" spans="1:9">
      <c r="A987" s="12" t="s">
        <v>5386</v>
      </c>
      <c r="B987" s="12" t="s">
        <v>391</v>
      </c>
      <c r="C987" s="15">
        <v>12606</v>
      </c>
      <c r="D987" s="13">
        <v>44</v>
      </c>
      <c r="F987" s="12" t="s">
        <v>5387</v>
      </c>
      <c r="G987" s="12" t="s">
        <v>392</v>
      </c>
      <c r="H987" s="15">
        <v>59200</v>
      </c>
      <c r="I987" s="13">
        <v>50</v>
      </c>
    </row>
    <row r="988" ht="15.75" spans="1:9">
      <c r="A988" s="12" t="s">
        <v>5388</v>
      </c>
      <c r="B988" s="12" t="s">
        <v>391</v>
      </c>
      <c r="C988" s="15">
        <v>21969</v>
      </c>
      <c r="D988" s="13">
        <v>44</v>
      </c>
      <c r="F988" s="12" t="s">
        <v>3925</v>
      </c>
      <c r="G988" s="12" t="s">
        <v>391</v>
      </c>
      <c r="H988" s="15">
        <v>19370</v>
      </c>
      <c r="I988" s="13">
        <v>50</v>
      </c>
    </row>
    <row r="989" ht="15.75" spans="1:9">
      <c r="A989" s="12" t="s">
        <v>5389</v>
      </c>
      <c r="B989" s="12" t="s">
        <v>391</v>
      </c>
      <c r="C989" s="15">
        <v>14711</v>
      </c>
      <c r="D989" s="13">
        <v>44</v>
      </c>
      <c r="F989" s="12" t="s">
        <v>3927</v>
      </c>
      <c r="G989" s="12" t="s">
        <v>391</v>
      </c>
      <c r="H989" s="15">
        <v>11360</v>
      </c>
      <c r="I989" s="13">
        <v>50</v>
      </c>
    </row>
    <row r="990" ht="15.75" spans="1:9">
      <c r="A990" s="12" t="s">
        <v>5390</v>
      </c>
      <c r="B990" s="12" t="s">
        <v>391</v>
      </c>
      <c r="C990" s="15">
        <v>11159</v>
      </c>
      <c r="D990" s="13">
        <v>44</v>
      </c>
      <c r="F990" s="12" t="s">
        <v>5391</v>
      </c>
      <c r="G990" s="12" t="s">
        <v>392</v>
      </c>
      <c r="H990" s="15">
        <v>18500</v>
      </c>
      <c r="I990" s="13">
        <v>50</v>
      </c>
    </row>
    <row r="991" ht="15.75" spans="1:9">
      <c r="A991" s="12" t="s">
        <v>5392</v>
      </c>
      <c r="B991" s="12" t="s">
        <v>391</v>
      </c>
      <c r="C991" s="15">
        <v>11098</v>
      </c>
      <c r="D991" s="13">
        <v>44</v>
      </c>
      <c r="F991" s="12" t="s">
        <v>3929</v>
      </c>
      <c r="G991" s="12" t="s">
        <v>391</v>
      </c>
      <c r="H991" s="15">
        <v>16301</v>
      </c>
      <c r="I991" s="13">
        <v>50</v>
      </c>
    </row>
    <row r="992" ht="15.75" spans="1:9">
      <c r="A992" s="12" t="s">
        <v>5393</v>
      </c>
      <c r="B992" s="12" t="s">
        <v>391</v>
      </c>
      <c r="C992" s="15">
        <v>27676</v>
      </c>
      <c r="D992" s="13">
        <v>44</v>
      </c>
      <c r="F992" s="12" t="s">
        <v>5394</v>
      </c>
      <c r="G992" s="12" t="s">
        <v>392</v>
      </c>
      <c r="H992" s="15">
        <v>440100</v>
      </c>
      <c r="I992" s="13">
        <v>50</v>
      </c>
    </row>
    <row r="993" ht="15.75" spans="1:9">
      <c r="A993" s="12" t="s">
        <v>5395</v>
      </c>
      <c r="B993" s="12" t="s">
        <v>391</v>
      </c>
      <c r="C993" s="15">
        <v>11739</v>
      </c>
      <c r="D993" s="13">
        <v>44</v>
      </c>
      <c r="F993" s="12" t="s">
        <v>5396</v>
      </c>
      <c r="G993" s="12" t="s">
        <v>391</v>
      </c>
      <c r="H993" s="15">
        <v>12185</v>
      </c>
      <c r="I993" s="13">
        <v>50</v>
      </c>
    </row>
    <row r="994" ht="15.75" spans="1:9">
      <c r="A994" s="12" t="s">
        <v>5397</v>
      </c>
      <c r="B994" s="12" t="s">
        <v>391</v>
      </c>
      <c r="C994" s="15">
        <v>18177</v>
      </c>
      <c r="D994" s="13">
        <v>44</v>
      </c>
      <c r="F994" s="12" t="s">
        <v>5398</v>
      </c>
      <c r="G994" s="12" t="s">
        <v>392</v>
      </c>
      <c r="H994" s="15">
        <v>14500</v>
      </c>
      <c r="I994" s="13">
        <v>50</v>
      </c>
    </row>
    <row r="995" ht="15.75" spans="1:9">
      <c r="A995" s="12" t="s">
        <v>5399</v>
      </c>
      <c r="B995" s="12" t="s">
        <v>391</v>
      </c>
      <c r="C995" s="15">
        <v>27403</v>
      </c>
      <c r="D995" s="13">
        <v>44</v>
      </c>
      <c r="F995" s="12" t="s">
        <v>5400</v>
      </c>
      <c r="G995" s="12" t="s">
        <v>391</v>
      </c>
      <c r="H995" s="15">
        <v>11082</v>
      </c>
      <c r="I995" s="13">
        <v>50</v>
      </c>
    </row>
    <row r="996" ht="15.75" spans="1:9">
      <c r="A996" s="12" t="s">
        <v>5401</v>
      </c>
      <c r="B996" s="12" t="s">
        <v>391</v>
      </c>
      <c r="C996" s="15">
        <v>34043</v>
      </c>
      <c r="D996" s="13">
        <v>43</v>
      </c>
      <c r="F996" s="12" t="s">
        <v>5402</v>
      </c>
      <c r="G996" s="12" t="s">
        <v>391</v>
      </c>
      <c r="H996" s="15">
        <v>21906</v>
      </c>
      <c r="I996" s="13">
        <v>50</v>
      </c>
    </row>
    <row r="997" ht="15.75" spans="1:9">
      <c r="A997" s="12" t="s">
        <v>5403</v>
      </c>
      <c r="B997" s="12" t="s">
        <v>391</v>
      </c>
      <c r="C997" s="15">
        <v>14193</v>
      </c>
      <c r="D997" s="13">
        <v>43</v>
      </c>
      <c r="F997" s="12" t="s">
        <v>5404</v>
      </c>
      <c r="G997" s="12" t="s">
        <v>391</v>
      </c>
      <c r="H997" s="15">
        <v>12210</v>
      </c>
      <c r="I997" s="13">
        <v>50</v>
      </c>
    </row>
    <row r="998" ht="15.75" spans="1:9">
      <c r="A998" s="12" t="s">
        <v>3249</v>
      </c>
      <c r="B998" s="12" t="s">
        <v>391</v>
      </c>
      <c r="C998" s="15">
        <v>879015</v>
      </c>
      <c r="D998" s="13">
        <v>43</v>
      </c>
      <c r="F998" s="12" t="s">
        <v>5405</v>
      </c>
      <c r="G998" s="12" t="s">
        <v>391</v>
      </c>
      <c r="H998" s="15">
        <v>21626</v>
      </c>
      <c r="I998" s="13">
        <v>50</v>
      </c>
    </row>
    <row r="999" ht="15.75" spans="1:9">
      <c r="A999" s="12" t="s">
        <v>5406</v>
      </c>
      <c r="B999" s="12" t="s">
        <v>391</v>
      </c>
      <c r="C999" s="15">
        <v>32124</v>
      </c>
      <c r="D999" s="13">
        <v>43</v>
      </c>
      <c r="F999" s="12" t="s">
        <v>3931</v>
      </c>
      <c r="G999" s="12" t="s">
        <v>391</v>
      </c>
      <c r="H999" s="15">
        <v>21942</v>
      </c>
      <c r="I999" s="13">
        <v>50</v>
      </c>
    </row>
    <row r="1000" ht="15.75" spans="1:9">
      <c r="A1000" s="12" t="s">
        <v>5407</v>
      </c>
      <c r="B1000" s="12" t="s">
        <v>391</v>
      </c>
      <c r="C1000" s="15">
        <v>10579</v>
      </c>
      <c r="D1000" s="13">
        <v>43</v>
      </c>
      <c r="F1000" s="12" t="s">
        <v>3933</v>
      </c>
      <c r="G1000" s="12" t="s">
        <v>391</v>
      </c>
      <c r="H1000" s="15">
        <v>32114</v>
      </c>
      <c r="I1000" s="13">
        <v>50</v>
      </c>
    </row>
    <row r="1001" ht="15.75" spans="1:9">
      <c r="A1001" s="12" t="s">
        <v>5408</v>
      </c>
      <c r="B1001" s="12" t="s">
        <v>391</v>
      </c>
      <c r="C1001" s="15">
        <v>29749</v>
      </c>
      <c r="D1001" s="13">
        <v>43</v>
      </c>
      <c r="F1001" s="12" t="s">
        <v>5409</v>
      </c>
      <c r="G1001" s="12" t="s">
        <v>392</v>
      </c>
      <c r="H1001" s="15">
        <v>20100</v>
      </c>
      <c r="I1001" s="13">
        <v>50</v>
      </c>
    </row>
    <row r="1002" ht="15.75" spans="1:9">
      <c r="A1002" s="12" t="s">
        <v>5410</v>
      </c>
      <c r="B1002" s="12" t="s">
        <v>391</v>
      </c>
      <c r="C1002" s="15">
        <v>20557</v>
      </c>
      <c r="D1002" s="13">
        <v>43</v>
      </c>
      <c r="F1002" s="12" t="s">
        <v>5411</v>
      </c>
      <c r="G1002" s="12" t="s">
        <v>392</v>
      </c>
      <c r="H1002" s="15">
        <v>919330</v>
      </c>
      <c r="I1002" s="13">
        <v>50</v>
      </c>
    </row>
    <row r="1003" ht="15.75" spans="1:9">
      <c r="A1003" s="12" t="s">
        <v>5412</v>
      </c>
      <c r="B1003" s="12" t="s">
        <v>391</v>
      </c>
      <c r="C1003" s="15">
        <v>22174</v>
      </c>
      <c r="D1003" s="13">
        <v>43</v>
      </c>
      <c r="F1003" s="12" t="s">
        <v>5413</v>
      </c>
      <c r="G1003" s="12" t="s">
        <v>391</v>
      </c>
      <c r="H1003" s="15">
        <v>12878</v>
      </c>
      <c r="I1003" s="13">
        <v>50</v>
      </c>
    </row>
    <row r="1004" ht="15.75" spans="1:9">
      <c r="A1004" s="12" t="s">
        <v>5414</v>
      </c>
      <c r="B1004" s="12" t="s">
        <v>391</v>
      </c>
      <c r="C1004" s="15">
        <v>57592</v>
      </c>
      <c r="D1004" s="13">
        <v>43</v>
      </c>
      <c r="F1004" s="12" t="s">
        <v>5415</v>
      </c>
      <c r="G1004" s="12" t="s">
        <v>391</v>
      </c>
      <c r="H1004" s="15">
        <v>25336</v>
      </c>
      <c r="I1004" s="13">
        <v>50</v>
      </c>
    </row>
    <row r="1005" ht="15.75" spans="1:9">
      <c r="A1005" s="12" t="s">
        <v>5416</v>
      </c>
      <c r="B1005" s="12" t="s">
        <v>391</v>
      </c>
      <c r="C1005" s="15">
        <v>37032</v>
      </c>
      <c r="D1005" s="13">
        <v>43</v>
      </c>
      <c r="F1005" s="12" t="s">
        <v>5417</v>
      </c>
      <c r="G1005" s="12" t="s">
        <v>391</v>
      </c>
      <c r="H1005" s="15">
        <v>20648</v>
      </c>
      <c r="I1005" s="13">
        <v>50</v>
      </c>
    </row>
    <row r="1006" ht="15.75" spans="1:9">
      <c r="A1006" s="12" t="s">
        <v>5418</v>
      </c>
      <c r="B1006" s="12" t="s">
        <v>391</v>
      </c>
      <c r="C1006" s="15">
        <v>17765</v>
      </c>
      <c r="D1006" s="13">
        <v>43</v>
      </c>
      <c r="F1006" s="12" t="s">
        <v>3935</v>
      </c>
      <c r="G1006" s="12" t="s">
        <v>391</v>
      </c>
      <c r="H1006" s="15">
        <v>19971</v>
      </c>
      <c r="I1006" s="13">
        <v>50</v>
      </c>
    </row>
    <row r="1007" ht="15.75" spans="1:9">
      <c r="A1007" s="12" t="s">
        <v>5419</v>
      </c>
      <c r="B1007" s="12" t="s">
        <v>391</v>
      </c>
      <c r="C1007" s="15">
        <v>43795</v>
      </c>
      <c r="D1007" s="13">
        <v>43</v>
      </c>
      <c r="F1007" s="12" t="s">
        <v>5420</v>
      </c>
      <c r="G1007" s="12" t="s">
        <v>392</v>
      </c>
      <c r="H1007" s="15">
        <v>65000</v>
      </c>
      <c r="I1007" s="13">
        <v>50</v>
      </c>
    </row>
    <row r="1008" ht="15.75" spans="1:9">
      <c r="A1008" s="12" t="s">
        <v>5421</v>
      </c>
      <c r="B1008" s="12" t="s">
        <v>391</v>
      </c>
      <c r="C1008" s="15">
        <v>11709</v>
      </c>
      <c r="D1008" s="13">
        <v>43</v>
      </c>
      <c r="F1008" s="12" t="s">
        <v>3938</v>
      </c>
      <c r="G1008" s="12" t="s">
        <v>391</v>
      </c>
      <c r="H1008" s="15">
        <v>11388</v>
      </c>
      <c r="I1008" s="13">
        <v>50</v>
      </c>
    </row>
    <row r="1009" ht="15.75" spans="1:9">
      <c r="A1009" s="12" t="s">
        <v>5422</v>
      </c>
      <c r="B1009" s="12" t="s">
        <v>391</v>
      </c>
      <c r="C1009" s="15">
        <v>87504</v>
      </c>
      <c r="D1009" s="13">
        <v>43</v>
      </c>
      <c r="F1009" s="12" t="s">
        <v>5423</v>
      </c>
      <c r="G1009" s="12" t="s">
        <v>392</v>
      </c>
      <c r="H1009" s="15">
        <v>102700</v>
      </c>
      <c r="I1009" s="13">
        <v>50</v>
      </c>
    </row>
    <row r="1010" ht="15.75" spans="1:9">
      <c r="A1010" s="12" t="s">
        <v>5424</v>
      </c>
      <c r="B1010" s="12" t="s">
        <v>391</v>
      </c>
      <c r="C1010" s="15">
        <v>58613</v>
      </c>
      <c r="D1010" s="13">
        <v>43</v>
      </c>
      <c r="F1010" s="12" t="s">
        <v>5425</v>
      </c>
      <c r="G1010" s="12" t="s">
        <v>392</v>
      </c>
      <c r="H1010" s="15">
        <v>22000</v>
      </c>
      <c r="I1010" s="13">
        <v>50</v>
      </c>
    </row>
    <row r="1011" ht="15.75" spans="1:9">
      <c r="A1011" s="12" t="s">
        <v>2474</v>
      </c>
      <c r="B1011" s="12" t="s">
        <v>391</v>
      </c>
      <c r="C1011" s="15">
        <v>12163586</v>
      </c>
      <c r="D1011" s="13">
        <v>43</v>
      </c>
      <c r="F1011" s="12" t="s">
        <v>5426</v>
      </c>
      <c r="G1011" s="12" t="s">
        <v>392</v>
      </c>
      <c r="H1011" s="15">
        <v>105200</v>
      </c>
      <c r="I1011" s="13">
        <v>50</v>
      </c>
    </row>
    <row r="1012" ht="15.75" spans="1:9">
      <c r="A1012" s="12" t="s">
        <v>4441</v>
      </c>
      <c r="B1012" s="12" t="s">
        <v>391</v>
      </c>
      <c r="C1012" s="15">
        <v>118979</v>
      </c>
      <c r="D1012" s="13">
        <v>43</v>
      </c>
      <c r="F1012" s="12" t="s">
        <v>5427</v>
      </c>
      <c r="G1012" s="12" t="s">
        <v>392</v>
      </c>
      <c r="H1012" s="15">
        <v>14600</v>
      </c>
      <c r="I1012" s="13">
        <v>50</v>
      </c>
    </row>
    <row r="1013" ht="15.75" spans="1:9">
      <c r="A1013" s="12" t="s">
        <v>4444</v>
      </c>
      <c r="B1013" s="12" t="s">
        <v>391</v>
      </c>
      <c r="C1013" s="15">
        <v>105340</v>
      </c>
      <c r="D1013" s="13">
        <v>43</v>
      </c>
      <c r="F1013" s="12" t="s">
        <v>5428</v>
      </c>
      <c r="G1013" s="12" t="s">
        <v>391</v>
      </c>
      <c r="H1013" s="15">
        <v>42593</v>
      </c>
      <c r="I1013" s="13">
        <v>50</v>
      </c>
    </row>
    <row r="1014" ht="15.75" spans="1:9">
      <c r="A1014" s="12" t="s">
        <v>5429</v>
      </c>
      <c r="B1014" s="12" t="s">
        <v>391</v>
      </c>
      <c r="C1014" s="15">
        <v>33164</v>
      </c>
      <c r="D1014" s="13">
        <v>43</v>
      </c>
      <c r="F1014" s="12" t="s">
        <v>5430</v>
      </c>
      <c r="G1014" s="12" t="s">
        <v>391</v>
      </c>
      <c r="H1014" s="15">
        <v>14277</v>
      </c>
      <c r="I1014" s="13">
        <v>50</v>
      </c>
    </row>
    <row r="1015" ht="15.75" spans="1:9">
      <c r="A1015" s="12" t="s">
        <v>5431</v>
      </c>
      <c r="B1015" s="12" t="s">
        <v>391</v>
      </c>
      <c r="C1015" s="15">
        <v>29462</v>
      </c>
      <c r="D1015" s="13">
        <v>43</v>
      </c>
      <c r="F1015" s="12" t="s">
        <v>5432</v>
      </c>
      <c r="G1015" s="12" t="s">
        <v>392</v>
      </c>
      <c r="H1015" s="15">
        <v>131700</v>
      </c>
      <c r="I1015" s="13">
        <v>50</v>
      </c>
    </row>
    <row r="1016" ht="15.75" spans="1:9">
      <c r="A1016" s="12" t="s">
        <v>5433</v>
      </c>
      <c r="B1016" s="12" t="s">
        <v>391</v>
      </c>
      <c r="C1016" s="15">
        <v>15515</v>
      </c>
      <c r="D1016" s="13">
        <v>43</v>
      </c>
      <c r="F1016" s="12" t="s">
        <v>5434</v>
      </c>
      <c r="G1016" s="12" t="s">
        <v>392</v>
      </c>
      <c r="H1016" s="15">
        <v>936700</v>
      </c>
      <c r="I1016" s="13">
        <v>50</v>
      </c>
    </row>
    <row r="1017" ht="15.75" spans="1:9">
      <c r="A1017" s="12" t="s">
        <v>5435</v>
      </c>
      <c r="B1017" s="12" t="s">
        <v>391</v>
      </c>
      <c r="C1017" s="15">
        <v>12138</v>
      </c>
      <c r="D1017" s="13">
        <v>43</v>
      </c>
      <c r="F1017" s="12" t="s">
        <v>5436</v>
      </c>
      <c r="G1017" s="12" t="s">
        <v>392</v>
      </c>
      <c r="H1017" s="15">
        <v>71000</v>
      </c>
      <c r="I1017" s="13">
        <v>50</v>
      </c>
    </row>
    <row r="1018" ht="15.75" spans="1:9">
      <c r="A1018" s="12" t="s">
        <v>5437</v>
      </c>
      <c r="B1018" s="12" t="s">
        <v>391</v>
      </c>
      <c r="C1018" s="15">
        <v>54704</v>
      </c>
      <c r="D1018" s="13">
        <v>43</v>
      </c>
      <c r="F1018" s="12" t="s">
        <v>3908</v>
      </c>
      <c r="G1018" s="12" t="s">
        <v>391</v>
      </c>
      <c r="H1018" s="15">
        <v>116979</v>
      </c>
      <c r="I1018" s="13">
        <v>50</v>
      </c>
    </row>
    <row r="1019" ht="15.75" spans="1:9">
      <c r="A1019" s="12" t="s">
        <v>5438</v>
      </c>
      <c r="B1019" s="12" t="s">
        <v>391</v>
      </c>
      <c r="C1019" s="15">
        <v>19160</v>
      </c>
      <c r="D1019" s="13">
        <v>43</v>
      </c>
      <c r="F1019" s="12" t="s">
        <v>5439</v>
      </c>
      <c r="G1019" s="12" t="s">
        <v>391</v>
      </c>
      <c r="H1019" s="15">
        <v>41639</v>
      </c>
      <c r="I1019" s="13">
        <v>50</v>
      </c>
    </row>
    <row r="1020" ht="15.75" spans="1:9">
      <c r="A1020" s="12" t="s">
        <v>5440</v>
      </c>
      <c r="B1020" s="12" t="s">
        <v>391</v>
      </c>
      <c r="C1020" s="15">
        <v>25379</v>
      </c>
      <c r="D1020" s="13">
        <v>43</v>
      </c>
      <c r="F1020" s="12" t="s">
        <v>5441</v>
      </c>
      <c r="G1020" s="12" t="s">
        <v>392</v>
      </c>
      <c r="H1020" s="15">
        <v>12600</v>
      </c>
      <c r="I1020" s="13">
        <v>50</v>
      </c>
    </row>
    <row r="1021" ht="15.75" spans="1:9">
      <c r="A1021" s="12" t="s">
        <v>4449</v>
      </c>
      <c r="B1021" s="12" t="s">
        <v>391</v>
      </c>
      <c r="C1021" s="15">
        <v>100458</v>
      </c>
      <c r="D1021" s="13">
        <v>43</v>
      </c>
      <c r="F1021" s="12" t="s">
        <v>5442</v>
      </c>
      <c r="G1021" s="12" t="s">
        <v>391</v>
      </c>
      <c r="H1021" s="15">
        <v>15991</v>
      </c>
      <c r="I1021" s="13">
        <v>50</v>
      </c>
    </row>
    <row r="1022" ht="15.75" spans="1:9">
      <c r="A1022" s="12" t="s">
        <v>4853</v>
      </c>
      <c r="B1022" s="12" t="s">
        <v>391</v>
      </c>
      <c r="C1022" s="15">
        <v>122358</v>
      </c>
      <c r="D1022" s="13">
        <v>43</v>
      </c>
      <c r="F1022" s="12" t="s">
        <v>3941</v>
      </c>
      <c r="G1022" s="12" t="s">
        <v>391</v>
      </c>
      <c r="H1022" s="15">
        <v>15832</v>
      </c>
      <c r="I1022" s="13">
        <v>50</v>
      </c>
    </row>
    <row r="1023" ht="15.75" spans="1:9">
      <c r="A1023" s="12" t="s">
        <v>5443</v>
      </c>
      <c r="B1023" s="12" t="s">
        <v>391</v>
      </c>
      <c r="C1023" s="15">
        <v>12443</v>
      </c>
      <c r="D1023" s="13">
        <v>43</v>
      </c>
      <c r="F1023" s="12" t="s">
        <v>5444</v>
      </c>
      <c r="G1023" s="12" t="s">
        <v>392</v>
      </c>
      <c r="H1023" s="15">
        <v>593500</v>
      </c>
      <c r="I1023" s="13">
        <v>50</v>
      </c>
    </row>
    <row r="1024" ht="15.75" spans="1:9">
      <c r="A1024" s="12" t="s">
        <v>5445</v>
      </c>
      <c r="B1024" s="12" t="s">
        <v>391</v>
      </c>
      <c r="C1024" s="15">
        <v>87245</v>
      </c>
      <c r="D1024" s="13">
        <v>43</v>
      </c>
      <c r="F1024" s="12" t="s">
        <v>3944</v>
      </c>
      <c r="G1024" s="12" t="s">
        <v>391</v>
      </c>
      <c r="H1024" s="15">
        <v>10006</v>
      </c>
      <c r="I1024" s="13">
        <v>50</v>
      </c>
    </row>
    <row r="1025" ht="15.75" spans="1:9">
      <c r="A1025" s="12" t="s">
        <v>4856</v>
      </c>
      <c r="B1025" s="12" t="s">
        <v>391</v>
      </c>
      <c r="C1025" s="15">
        <v>119903</v>
      </c>
      <c r="D1025" s="13">
        <v>43</v>
      </c>
      <c r="F1025" s="12" t="s">
        <v>5446</v>
      </c>
      <c r="G1025" s="12" t="s">
        <v>392</v>
      </c>
      <c r="H1025" s="15">
        <v>150400</v>
      </c>
      <c r="I1025" s="13">
        <v>50</v>
      </c>
    </row>
    <row r="1026" ht="15.75" spans="1:9">
      <c r="A1026" s="12" t="s">
        <v>4790</v>
      </c>
      <c r="B1026" s="12" t="s">
        <v>391</v>
      </c>
      <c r="C1026" s="15">
        <v>1270890</v>
      </c>
      <c r="D1026" s="13">
        <v>43</v>
      </c>
      <c r="F1026" s="12" t="s">
        <v>3946</v>
      </c>
      <c r="G1026" s="12" t="s">
        <v>391</v>
      </c>
      <c r="H1026" s="15">
        <v>26045</v>
      </c>
      <c r="I1026" s="13">
        <v>50</v>
      </c>
    </row>
    <row r="1027" ht="15.75" spans="1:9">
      <c r="A1027" s="12" t="s">
        <v>5447</v>
      </c>
      <c r="B1027" s="12" t="s">
        <v>391</v>
      </c>
      <c r="C1027" s="15">
        <v>32198</v>
      </c>
      <c r="D1027" s="13">
        <v>43</v>
      </c>
      <c r="F1027" s="12" t="s">
        <v>5448</v>
      </c>
      <c r="G1027" s="12" t="s">
        <v>392</v>
      </c>
      <c r="H1027" s="15">
        <v>11800</v>
      </c>
      <c r="I1027" s="13">
        <v>50</v>
      </c>
    </row>
    <row r="1028" ht="15.75" spans="1:9">
      <c r="A1028" s="12" t="s">
        <v>5449</v>
      </c>
      <c r="B1028" s="12" t="s">
        <v>391</v>
      </c>
      <c r="C1028" s="15">
        <v>30310</v>
      </c>
      <c r="D1028" s="13">
        <v>43</v>
      </c>
      <c r="F1028" s="12" t="s">
        <v>5450</v>
      </c>
      <c r="G1028" s="12" t="s">
        <v>391</v>
      </c>
      <c r="H1028" s="15">
        <v>18930</v>
      </c>
      <c r="I1028" s="13">
        <v>50</v>
      </c>
    </row>
    <row r="1029" ht="15.75" spans="1:9">
      <c r="A1029" s="12" t="s">
        <v>3449</v>
      </c>
      <c r="B1029" s="12" t="s">
        <v>391</v>
      </c>
      <c r="C1029" s="15">
        <v>290065</v>
      </c>
      <c r="D1029" s="13">
        <v>42</v>
      </c>
      <c r="F1029" s="12" t="s">
        <v>3948</v>
      </c>
      <c r="G1029" s="12" t="s">
        <v>391</v>
      </c>
      <c r="H1029" s="15">
        <v>18098</v>
      </c>
      <c r="I1029" s="13">
        <v>50</v>
      </c>
    </row>
    <row r="1030" ht="15.75" spans="1:9">
      <c r="A1030" s="12" t="s">
        <v>5451</v>
      </c>
      <c r="B1030" s="12" t="s">
        <v>391</v>
      </c>
      <c r="C1030" s="15">
        <v>30463</v>
      </c>
      <c r="D1030" s="13">
        <v>42</v>
      </c>
      <c r="F1030" s="12" t="s">
        <v>5452</v>
      </c>
      <c r="G1030" s="12" t="s">
        <v>392</v>
      </c>
      <c r="H1030" s="15">
        <v>12634</v>
      </c>
      <c r="I1030" s="13">
        <v>50</v>
      </c>
    </row>
    <row r="1031" ht="15.75" spans="1:9">
      <c r="A1031" s="12" t="s">
        <v>5453</v>
      </c>
      <c r="B1031" s="12" t="s">
        <v>391</v>
      </c>
      <c r="C1031" s="15">
        <v>11227</v>
      </c>
      <c r="D1031" s="13">
        <v>42</v>
      </c>
      <c r="F1031" s="12" t="s">
        <v>5454</v>
      </c>
      <c r="G1031" s="12" t="s">
        <v>392</v>
      </c>
      <c r="H1031" s="15">
        <v>15300</v>
      </c>
      <c r="I1031" s="13">
        <v>50</v>
      </c>
    </row>
    <row r="1032" ht="15.75" spans="1:9">
      <c r="A1032" s="12" t="s">
        <v>5455</v>
      </c>
      <c r="B1032" s="12" t="s">
        <v>391</v>
      </c>
      <c r="C1032" s="15">
        <v>22498</v>
      </c>
      <c r="D1032" s="13">
        <v>42</v>
      </c>
      <c r="F1032" s="12" t="s">
        <v>3950</v>
      </c>
      <c r="G1032" s="12" t="s">
        <v>391</v>
      </c>
      <c r="H1032" s="15">
        <v>18075</v>
      </c>
      <c r="I1032" s="13">
        <v>50</v>
      </c>
    </row>
    <row r="1033" ht="15.75" spans="1:9">
      <c r="A1033" s="12" t="s">
        <v>5456</v>
      </c>
      <c r="B1033" s="12" t="s">
        <v>391</v>
      </c>
      <c r="C1033" s="15">
        <v>11345</v>
      </c>
      <c r="D1033" s="13">
        <v>42</v>
      </c>
      <c r="F1033" s="12" t="s">
        <v>3952</v>
      </c>
      <c r="G1033" s="12" t="s">
        <v>391</v>
      </c>
      <c r="H1033" s="15">
        <v>12218</v>
      </c>
      <c r="I1033" s="13">
        <v>50</v>
      </c>
    </row>
    <row r="1034" ht="15.75" spans="1:9">
      <c r="A1034" s="12" t="s">
        <v>5457</v>
      </c>
      <c r="B1034" s="12" t="s">
        <v>391</v>
      </c>
      <c r="C1034" s="15">
        <v>112397</v>
      </c>
      <c r="D1034" s="13">
        <v>42</v>
      </c>
      <c r="F1034" s="12" t="s">
        <v>5458</v>
      </c>
      <c r="G1034" s="12" t="s">
        <v>392</v>
      </c>
      <c r="H1034" s="15">
        <v>10500</v>
      </c>
      <c r="I1034" s="13">
        <v>50</v>
      </c>
    </row>
    <row r="1035" ht="15.75" spans="1:9">
      <c r="A1035" s="12" t="s">
        <v>5459</v>
      </c>
      <c r="B1035" s="12" t="s">
        <v>391</v>
      </c>
      <c r="C1035" s="15">
        <v>21807</v>
      </c>
      <c r="D1035" s="13">
        <v>42</v>
      </c>
      <c r="F1035" s="12" t="s">
        <v>5460</v>
      </c>
      <c r="G1035" s="12" t="s">
        <v>391</v>
      </c>
      <c r="H1035" s="15">
        <v>13653</v>
      </c>
      <c r="I1035" s="13">
        <v>50</v>
      </c>
    </row>
    <row r="1036" ht="15.75" spans="1:9">
      <c r="A1036" s="12" t="s">
        <v>5461</v>
      </c>
      <c r="B1036" s="12" t="s">
        <v>391</v>
      </c>
      <c r="C1036" s="15">
        <v>20287</v>
      </c>
      <c r="D1036" s="13">
        <v>42</v>
      </c>
      <c r="F1036" s="12" t="s">
        <v>5462</v>
      </c>
      <c r="G1036" s="12" t="s">
        <v>392</v>
      </c>
      <c r="H1036" s="15">
        <v>12500</v>
      </c>
      <c r="I1036" s="13">
        <v>50</v>
      </c>
    </row>
    <row r="1037" ht="15.75" spans="1:9">
      <c r="A1037" s="12" t="s">
        <v>5463</v>
      </c>
      <c r="B1037" s="12" t="s">
        <v>391</v>
      </c>
      <c r="C1037" s="15">
        <v>15499</v>
      </c>
      <c r="D1037" s="13">
        <v>42</v>
      </c>
      <c r="F1037" s="12" t="s">
        <v>3954</v>
      </c>
      <c r="G1037" s="12" t="s">
        <v>391</v>
      </c>
      <c r="H1037" s="15">
        <v>10051</v>
      </c>
      <c r="I1037" s="13">
        <v>50</v>
      </c>
    </row>
    <row r="1038" ht="15.75" spans="1:9">
      <c r="A1038" s="12" t="s">
        <v>5464</v>
      </c>
      <c r="B1038" s="12" t="s">
        <v>391</v>
      </c>
      <c r="C1038" s="15">
        <v>11051</v>
      </c>
      <c r="D1038" s="13">
        <v>42</v>
      </c>
      <c r="F1038" s="12" t="s">
        <v>5465</v>
      </c>
      <c r="G1038" s="12" t="s">
        <v>391</v>
      </c>
      <c r="H1038" s="15">
        <v>11400</v>
      </c>
      <c r="I1038" s="13">
        <v>50</v>
      </c>
    </row>
    <row r="1039" ht="15.75" spans="1:9">
      <c r="A1039" s="12" t="s">
        <v>5466</v>
      </c>
      <c r="B1039" s="12" t="s">
        <v>391</v>
      </c>
      <c r="C1039" s="15">
        <v>13049</v>
      </c>
      <c r="D1039" s="13">
        <v>42</v>
      </c>
      <c r="F1039" s="12" t="s">
        <v>5467</v>
      </c>
      <c r="G1039" s="12" t="s">
        <v>391</v>
      </c>
      <c r="H1039" s="15">
        <v>10827</v>
      </c>
      <c r="I1039" s="13">
        <v>50</v>
      </c>
    </row>
    <row r="1040" ht="15.75" spans="1:9">
      <c r="A1040" s="12" t="s">
        <v>5468</v>
      </c>
      <c r="B1040" s="12" t="s">
        <v>391</v>
      </c>
      <c r="C1040" s="15">
        <v>54235</v>
      </c>
      <c r="D1040" s="13">
        <v>42</v>
      </c>
      <c r="F1040" s="12" t="s">
        <v>5469</v>
      </c>
      <c r="G1040" s="12" t="s">
        <v>391</v>
      </c>
      <c r="H1040" s="15">
        <v>13163</v>
      </c>
      <c r="I1040" s="13">
        <v>50</v>
      </c>
    </row>
    <row r="1041" ht="15.75" spans="1:9">
      <c r="A1041" s="12" t="s">
        <v>5470</v>
      </c>
      <c r="B1041" s="12" t="s">
        <v>391</v>
      </c>
      <c r="C1041" s="15">
        <v>10425</v>
      </c>
      <c r="D1041" s="13">
        <v>42</v>
      </c>
      <c r="F1041" s="12" t="s">
        <v>3956</v>
      </c>
      <c r="G1041" s="12" t="s">
        <v>391</v>
      </c>
      <c r="H1041" s="15">
        <v>16917</v>
      </c>
      <c r="I1041" s="13">
        <v>50</v>
      </c>
    </row>
    <row r="1042" ht="15.75" spans="1:9">
      <c r="A1042" s="12" t="s">
        <v>4769</v>
      </c>
      <c r="B1042" s="12" t="s">
        <v>391</v>
      </c>
      <c r="C1042" s="15">
        <v>5511969</v>
      </c>
      <c r="D1042" s="13">
        <v>42</v>
      </c>
      <c r="F1042" s="12" t="s">
        <v>5471</v>
      </c>
      <c r="G1042" s="12" t="s">
        <v>392</v>
      </c>
      <c r="H1042" s="15">
        <v>3100000</v>
      </c>
      <c r="I1042" s="13">
        <v>50</v>
      </c>
    </row>
    <row r="1043" ht="15.75" spans="1:9">
      <c r="A1043" s="12" t="s">
        <v>3984</v>
      </c>
      <c r="B1043" s="12" t="s">
        <v>391</v>
      </c>
      <c r="C1043" s="15">
        <v>332216</v>
      </c>
      <c r="D1043" s="13">
        <v>42</v>
      </c>
      <c r="F1043" s="12" t="s">
        <v>5472</v>
      </c>
      <c r="G1043" s="12" t="s">
        <v>392</v>
      </c>
      <c r="H1043" s="15">
        <v>35000</v>
      </c>
      <c r="I1043" s="13">
        <v>50</v>
      </c>
    </row>
    <row r="1044" ht="15.75" spans="1:9">
      <c r="A1044" s="12" t="s">
        <v>5473</v>
      </c>
      <c r="B1044" s="12" t="s">
        <v>391</v>
      </c>
      <c r="C1044" s="15">
        <v>12317</v>
      </c>
      <c r="D1044" s="13">
        <v>42</v>
      </c>
      <c r="F1044" s="12" t="s">
        <v>5474</v>
      </c>
      <c r="G1044" s="12" t="s">
        <v>391</v>
      </c>
      <c r="H1044" s="15">
        <v>11863</v>
      </c>
      <c r="I1044" s="13">
        <v>50</v>
      </c>
    </row>
    <row r="1045" ht="15.75" spans="1:9">
      <c r="A1045" s="12" t="s">
        <v>4312</v>
      </c>
      <c r="B1045" s="12" t="s">
        <v>391</v>
      </c>
      <c r="C1045" s="15">
        <v>106920</v>
      </c>
      <c r="D1045" s="13">
        <v>42</v>
      </c>
      <c r="F1045" s="12" t="s">
        <v>5475</v>
      </c>
      <c r="G1045" s="12" t="s">
        <v>391</v>
      </c>
      <c r="H1045" s="15">
        <v>65331</v>
      </c>
      <c r="I1045" s="13">
        <v>50</v>
      </c>
    </row>
    <row r="1046" ht="15.75" spans="1:9">
      <c r="A1046" s="12" t="s">
        <v>5476</v>
      </c>
      <c r="B1046" s="12" t="s">
        <v>391</v>
      </c>
      <c r="C1046" s="15">
        <v>20899</v>
      </c>
      <c r="D1046" s="13">
        <v>42</v>
      </c>
      <c r="F1046" s="12" t="s">
        <v>5477</v>
      </c>
      <c r="G1046" s="12" t="s">
        <v>392</v>
      </c>
      <c r="H1046" s="15">
        <v>13000</v>
      </c>
      <c r="I1046" s="13">
        <v>50</v>
      </c>
    </row>
    <row r="1047" ht="15.75" spans="1:9">
      <c r="A1047" s="12" t="s">
        <v>3247</v>
      </c>
      <c r="B1047" s="12" t="s">
        <v>391</v>
      </c>
      <c r="C1047" s="15">
        <v>36773</v>
      </c>
      <c r="D1047" s="13">
        <v>42</v>
      </c>
      <c r="F1047" s="12" t="s">
        <v>5478</v>
      </c>
      <c r="G1047" s="12" t="s">
        <v>391</v>
      </c>
      <c r="H1047" s="15">
        <v>27567</v>
      </c>
      <c r="I1047" s="13">
        <v>50</v>
      </c>
    </row>
    <row r="1048" ht="15.75" spans="1:9">
      <c r="A1048" s="12" t="s">
        <v>5479</v>
      </c>
      <c r="B1048" s="12" t="s">
        <v>391</v>
      </c>
      <c r="C1048" s="15">
        <v>10910</v>
      </c>
      <c r="D1048" s="13">
        <v>42</v>
      </c>
      <c r="F1048" s="12" t="s">
        <v>5480</v>
      </c>
      <c r="G1048" s="12" t="s">
        <v>391</v>
      </c>
      <c r="H1048" s="15">
        <v>34528</v>
      </c>
      <c r="I1048" s="13">
        <v>50</v>
      </c>
    </row>
    <row r="1049" ht="15.75" spans="1:9">
      <c r="A1049" s="12" t="s">
        <v>5481</v>
      </c>
      <c r="B1049" s="12" t="s">
        <v>391</v>
      </c>
      <c r="C1049" s="15">
        <v>35322</v>
      </c>
      <c r="D1049" s="13">
        <v>42</v>
      </c>
      <c r="F1049" s="12" t="s">
        <v>5482</v>
      </c>
      <c r="G1049" s="12" t="s">
        <v>391</v>
      </c>
      <c r="H1049" s="15">
        <v>12909</v>
      </c>
      <c r="I1049" s="13">
        <v>50</v>
      </c>
    </row>
    <row r="1050" ht="15.75" spans="1:9">
      <c r="A1050" s="12" t="s">
        <v>3454</v>
      </c>
      <c r="B1050" s="12" t="s">
        <v>391</v>
      </c>
      <c r="C1050" s="15">
        <v>139014</v>
      </c>
      <c r="D1050" s="13">
        <v>42</v>
      </c>
      <c r="F1050" s="12" t="s">
        <v>3958</v>
      </c>
      <c r="G1050" s="12" t="s">
        <v>391</v>
      </c>
      <c r="H1050" s="15">
        <v>27137</v>
      </c>
      <c r="I1050" s="13">
        <v>50</v>
      </c>
    </row>
    <row r="1051" ht="15.75" spans="1:9">
      <c r="A1051" s="12" t="s">
        <v>5483</v>
      </c>
      <c r="B1051" s="12" t="s">
        <v>391</v>
      </c>
      <c r="C1051" s="15">
        <v>12596</v>
      </c>
      <c r="D1051" s="13">
        <v>42</v>
      </c>
      <c r="F1051" s="12" t="s">
        <v>3960</v>
      </c>
      <c r="G1051" s="12" t="s">
        <v>391</v>
      </c>
      <c r="H1051" s="15">
        <v>10583</v>
      </c>
      <c r="I1051" s="13">
        <v>50</v>
      </c>
    </row>
    <row r="1052" ht="15.75" spans="1:9">
      <c r="A1052" s="12" t="s">
        <v>5484</v>
      </c>
      <c r="B1052" s="12" t="s">
        <v>391</v>
      </c>
      <c r="C1052" s="15">
        <v>18036</v>
      </c>
      <c r="D1052" s="13">
        <v>42</v>
      </c>
      <c r="F1052" s="12" t="s">
        <v>5485</v>
      </c>
      <c r="G1052" s="12" t="s">
        <v>391</v>
      </c>
      <c r="H1052" s="15">
        <v>20786</v>
      </c>
      <c r="I1052" s="13">
        <v>50</v>
      </c>
    </row>
    <row r="1053" ht="15.75" spans="1:9">
      <c r="A1053" s="12" t="s">
        <v>5486</v>
      </c>
      <c r="B1053" s="12" t="s">
        <v>391</v>
      </c>
      <c r="C1053" s="15">
        <v>16733</v>
      </c>
      <c r="D1053" s="13">
        <v>42</v>
      </c>
      <c r="F1053" s="12" t="s">
        <v>3962</v>
      </c>
      <c r="G1053" s="12" t="s">
        <v>391</v>
      </c>
      <c r="H1053" s="15">
        <v>12290</v>
      </c>
      <c r="I1053" s="13">
        <v>50</v>
      </c>
    </row>
    <row r="1054" ht="15.75" spans="1:9">
      <c r="A1054" s="12" t="s">
        <v>5487</v>
      </c>
      <c r="B1054" s="12" t="s">
        <v>391</v>
      </c>
      <c r="C1054" s="15">
        <v>58629</v>
      </c>
      <c r="D1054" s="13">
        <v>42</v>
      </c>
      <c r="F1054" s="12" t="s">
        <v>5488</v>
      </c>
      <c r="G1054" s="12" t="s">
        <v>392</v>
      </c>
      <c r="H1054" s="15">
        <v>10700</v>
      </c>
      <c r="I1054" s="13">
        <v>50</v>
      </c>
    </row>
    <row r="1055" ht="15.75" spans="1:9">
      <c r="A1055" s="12" t="s">
        <v>5489</v>
      </c>
      <c r="B1055" s="12" t="s">
        <v>391</v>
      </c>
      <c r="C1055" s="15">
        <v>14190</v>
      </c>
      <c r="D1055" s="13">
        <v>42</v>
      </c>
      <c r="F1055" s="12" t="s">
        <v>5490</v>
      </c>
      <c r="G1055" s="12" t="s">
        <v>391</v>
      </c>
      <c r="H1055" s="15">
        <v>17919</v>
      </c>
      <c r="I1055" s="13">
        <v>50</v>
      </c>
    </row>
    <row r="1056" ht="15.75" spans="1:9">
      <c r="A1056" s="12" t="s">
        <v>4396</v>
      </c>
      <c r="B1056" s="12" t="s">
        <v>391</v>
      </c>
      <c r="C1056" s="15">
        <v>221708</v>
      </c>
      <c r="D1056" s="13">
        <v>42</v>
      </c>
      <c r="F1056" s="12" t="s">
        <v>5491</v>
      </c>
      <c r="G1056" s="12" t="s">
        <v>392</v>
      </c>
      <c r="H1056" s="15">
        <v>12200</v>
      </c>
      <c r="I1056" s="13">
        <v>50</v>
      </c>
    </row>
    <row r="1057" ht="15.75" spans="1:9">
      <c r="A1057" s="12" t="s">
        <v>5492</v>
      </c>
      <c r="B1057" s="12" t="s">
        <v>391</v>
      </c>
      <c r="C1057" s="15">
        <v>21219</v>
      </c>
      <c r="D1057" s="13">
        <v>42</v>
      </c>
      <c r="F1057" s="12" t="s">
        <v>5493</v>
      </c>
      <c r="G1057" s="12" t="s">
        <v>392</v>
      </c>
      <c r="H1057" s="15">
        <v>11200</v>
      </c>
      <c r="I1057" s="13">
        <v>50</v>
      </c>
    </row>
    <row r="1058" ht="15.75" spans="1:9">
      <c r="A1058" s="12" t="s">
        <v>5494</v>
      </c>
      <c r="B1058" s="12" t="s">
        <v>391</v>
      </c>
      <c r="C1058" s="15">
        <v>77146</v>
      </c>
      <c r="D1058" s="13">
        <v>42</v>
      </c>
      <c r="F1058" s="12" t="s">
        <v>5495</v>
      </c>
      <c r="G1058" s="12" t="s">
        <v>392</v>
      </c>
      <c r="H1058" s="15">
        <v>18000</v>
      </c>
      <c r="I1058" s="13">
        <v>50</v>
      </c>
    </row>
    <row r="1059" ht="15.75" spans="1:9">
      <c r="A1059" s="12" t="s">
        <v>5496</v>
      </c>
      <c r="B1059" s="12" t="s">
        <v>391</v>
      </c>
      <c r="C1059" s="15">
        <v>32352</v>
      </c>
      <c r="D1059" s="13">
        <v>42</v>
      </c>
      <c r="F1059" s="12" t="s">
        <v>5497</v>
      </c>
      <c r="G1059" s="12" t="s">
        <v>392</v>
      </c>
      <c r="H1059" s="15">
        <v>121200</v>
      </c>
      <c r="I1059" s="13">
        <v>50</v>
      </c>
    </row>
    <row r="1060" ht="15.75" spans="1:9">
      <c r="A1060" s="12" t="s">
        <v>4516</v>
      </c>
      <c r="B1060" s="12" t="s">
        <v>391</v>
      </c>
      <c r="C1060" s="15">
        <v>100034</v>
      </c>
      <c r="D1060" s="13">
        <v>42</v>
      </c>
      <c r="F1060" s="12" t="s">
        <v>5498</v>
      </c>
      <c r="G1060" s="12" t="s">
        <v>392</v>
      </c>
      <c r="H1060" s="15">
        <v>18200</v>
      </c>
      <c r="I1060" s="13">
        <v>50</v>
      </c>
    </row>
    <row r="1061" ht="15.75" spans="1:9">
      <c r="A1061" s="12" t="s">
        <v>5499</v>
      </c>
      <c r="B1061" s="12" t="s">
        <v>391</v>
      </c>
      <c r="C1061" s="15">
        <v>52863</v>
      </c>
      <c r="D1061" s="13">
        <v>41</v>
      </c>
      <c r="F1061" s="12" t="s">
        <v>5500</v>
      </c>
      <c r="G1061" s="12" t="s">
        <v>392</v>
      </c>
      <c r="H1061" s="15">
        <v>37600</v>
      </c>
      <c r="I1061" s="13">
        <v>50</v>
      </c>
    </row>
    <row r="1062" ht="15.75" spans="1:9">
      <c r="A1062" s="12" t="s">
        <v>5501</v>
      </c>
      <c r="B1062" s="12" t="s">
        <v>391</v>
      </c>
      <c r="C1062" s="15">
        <v>47636</v>
      </c>
      <c r="D1062" s="13">
        <v>41</v>
      </c>
      <c r="F1062" s="12" t="s">
        <v>5502</v>
      </c>
      <c r="G1062" s="12" t="s">
        <v>391</v>
      </c>
      <c r="H1062" s="15">
        <v>32518</v>
      </c>
      <c r="I1062" s="13">
        <v>50</v>
      </c>
    </row>
    <row r="1063" ht="15.75" spans="1:9">
      <c r="A1063" s="12" t="s">
        <v>4524</v>
      </c>
      <c r="B1063" s="12" t="s">
        <v>391</v>
      </c>
      <c r="C1063" s="15">
        <v>102308</v>
      </c>
      <c r="D1063" s="13">
        <v>41</v>
      </c>
      <c r="F1063" s="12" t="s">
        <v>5503</v>
      </c>
      <c r="G1063" s="12" t="s">
        <v>391</v>
      </c>
      <c r="H1063" s="15">
        <v>20451</v>
      </c>
      <c r="I1063" s="13">
        <v>50</v>
      </c>
    </row>
    <row r="1064" ht="15.75" spans="1:9">
      <c r="A1064" s="12" t="s">
        <v>5504</v>
      </c>
      <c r="B1064" s="12" t="s">
        <v>391</v>
      </c>
      <c r="C1064" s="15">
        <v>12601</v>
      </c>
      <c r="D1064" s="13">
        <v>41</v>
      </c>
      <c r="F1064" s="12" t="s">
        <v>3965</v>
      </c>
      <c r="G1064" s="12" t="s">
        <v>391</v>
      </c>
      <c r="H1064" s="15">
        <v>13111</v>
      </c>
      <c r="I1064" s="13">
        <v>50</v>
      </c>
    </row>
    <row r="1065" ht="15.75" spans="1:9">
      <c r="A1065" s="12" t="s">
        <v>5505</v>
      </c>
      <c r="B1065" s="12" t="s">
        <v>391</v>
      </c>
      <c r="C1065" s="15">
        <v>13887</v>
      </c>
      <c r="D1065" s="13">
        <v>41</v>
      </c>
      <c r="F1065" s="12" t="s">
        <v>5506</v>
      </c>
      <c r="G1065" s="12" t="s">
        <v>392</v>
      </c>
      <c r="H1065" s="15">
        <v>98100</v>
      </c>
      <c r="I1065" s="13">
        <v>50</v>
      </c>
    </row>
    <row r="1066" ht="15.75" spans="1:9">
      <c r="A1066" s="12" t="s">
        <v>5507</v>
      </c>
      <c r="B1066" s="12" t="s">
        <v>391</v>
      </c>
      <c r="C1066" s="15">
        <v>20424</v>
      </c>
      <c r="D1066" s="13">
        <v>41</v>
      </c>
      <c r="F1066" s="12" t="s">
        <v>5508</v>
      </c>
      <c r="G1066" s="12" t="s">
        <v>392</v>
      </c>
      <c r="H1066" s="15">
        <v>858700</v>
      </c>
      <c r="I1066" s="13">
        <v>50</v>
      </c>
    </row>
    <row r="1067" ht="15.75" spans="1:9">
      <c r="A1067" s="12" t="s">
        <v>5509</v>
      </c>
      <c r="B1067" s="12" t="s">
        <v>391</v>
      </c>
      <c r="C1067" s="15">
        <v>57994</v>
      </c>
      <c r="D1067" s="13">
        <v>41</v>
      </c>
      <c r="F1067" s="12" t="s">
        <v>5510</v>
      </c>
      <c r="G1067" s="12" t="s">
        <v>391</v>
      </c>
      <c r="H1067" s="15">
        <v>15719</v>
      </c>
      <c r="I1067" s="13">
        <v>50</v>
      </c>
    </row>
    <row r="1068" ht="15.75" spans="1:9">
      <c r="A1068" s="12" t="s">
        <v>5511</v>
      </c>
      <c r="B1068" s="12" t="s">
        <v>391</v>
      </c>
      <c r="C1068" s="15">
        <v>32020</v>
      </c>
      <c r="D1068" s="13">
        <v>41</v>
      </c>
      <c r="F1068" s="12" t="s">
        <v>5512</v>
      </c>
      <c r="G1068" s="12" t="s">
        <v>391</v>
      </c>
      <c r="H1068" s="15">
        <v>21715</v>
      </c>
      <c r="I1068" s="13">
        <v>50</v>
      </c>
    </row>
    <row r="1069" ht="15.75" spans="1:9">
      <c r="A1069" s="12" t="s">
        <v>5513</v>
      </c>
      <c r="B1069" s="12" t="s">
        <v>391</v>
      </c>
      <c r="C1069" s="15">
        <v>27826</v>
      </c>
      <c r="D1069" s="13">
        <v>41</v>
      </c>
      <c r="F1069" s="12" t="s">
        <v>5514</v>
      </c>
      <c r="G1069" s="12" t="s">
        <v>392</v>
      </c>
      <c r="H1069" s="15">
        <v>130800</v>
      </c>
      <c r="I1069" s="13">
        <v>50</v>
      </c>
    </row>
    <row r="1070" ht="15.75" spans="1:9">
      <c r="A1070" s="12" t="s">
        <v>5515</v>
      </c>
      <c r="B1070" s="12" t="s">
        <v>391</v>
      </c>
      <c r="C1070" s="15">
        <v>12918</v>
      </c>
      <c r="D1070" s="13">
        <v>41</v>
      </c>
      <c r="F1070" s="12" t="s">
        <v>3967</v>
      </c>
      <c r="G1070" s="12" t="s">
        <v>391</v>
      </c>
      <c r="H1070" s="15">
        <v>31327</v>
      </c>
      <c r="I1070" s="13">
        <v>50</v>
      </c>
    </row>
    <row r="1071" ht="15.75" spans="1:9">
      <c r="A1071" s="12" t="s">
        <v>4555</v>
      </c>
      <c r="B1071" s="12" t="s">
        <v>391</v>
      </c>
      <c r="C1071" s="15">
        <v>101960</v>
      </c>
      <c r="D1071" s="13">
        <v>41</v>
      </c>
      <c r="F1071" s="12" t="s">
        <v>5516</v>
      </c>
      <c r="G1071" s="12" t="s">
        <v>392</v>
      </c>
      <c r="H1071" s="15">
        <v>56700</v>
      </c>
      <c r="I1071" s="13">
        <v>50</v>
      </c>
    </row>
    <row r="1072" ht="15.75" spans="1:9">
      <c r="A1072" s="12" t="s">
        <v>5517</v>
      </c>
      <c r="B1072" s="12" t="s">
        <v>391</v>
      </c>
      <c r="C1072" s="15">
        <v>24912</v>
      </c>
      <c r="D1072" s="13">
        <v>41</v>
      </c>
      <c r="F1072" s="12" t="s">
        <v>5518</v>
      </c>
      <c r="G1072" s="12" t="s">
        <v>391</v>
      </c>
      <c r="H1072" s="15">
        <v>30791</v>
      </c>
      <c r="I1072" s="13">
        <v>50</v>
      </c>
    </row>
    <row r="1073" ht="15.75" spans="1:9">
      <c r="A1073" s="12" t="s">
        <v>4121</v>
      </c>
      <c r="B1073" s="12" t="s">
        <v>391</v>
      </c>
      <c r="C1073" s="15">
        <v>1737829</v>
      </c>
      <c r="D1073" s="13">
        <v>41</v>
      </c>
      <c r="F1073" s="12" t="s">
        <v>5519</v>
      </c>
      <c r="G1073" s="12" t="s">
        <v>392</v>
      </c>
      <c r="H1073" s="15">
        <v>26100</v>
      </c>
      <c r="I1073" s="13">
        <v>50</v>
      </c>
    </row>
    <row r="1074" ht="15.75" spans="1:9">
      <c r="A1074" s="12" t="s">
        <v>3626</v>
      </c>
      <c r="B1074" s="12" t="s">
        <v>391</v>
      </c>
      <c r="C1074" s="15">
        <v>109311</v>
      </c>
      <c r="D1074" s="13">
        <v>41</v>
      </c>
      <c r="F1074" s="12" t="s">
        <v>5520</v>
      </c>
      <c r="G1074" s="12" t="s">
        <v>391</v>
      </c>
      <c r="H1074" s="15">
        <v>21766</v>
      </c>
      <c r="I1074" s="13">
        <v>50</v>
      </c>
    </row>
    <row r="1075" ht="15.75" spans="1:9">
      <c r="A1075" s="12" t="s">
        <v>4399</v>
      </c>
      <c r="B1075" s="12" t="s">
        <v>391</v>
      </c>
      <c r="C1075" s="15">
        <v>182982</v>
      </c>
      <c r="D1075" s="13">
        <v>41</v>
      </c>
      <c r="F1075" s="12" t="s">
        <v>5521</v>
      </c>
      <c r="G1075" s="12" t="s">
        <v>392</v>
      </c>
      <c r="H1075" s="15">
        <v>56500</v>
      </c>
      <c r="I1075" s="13">
        <v>50</v>
      </c>
    </row>
    <row r="1076" ht="15.75" spans="1:9">
      <c r="A1076" s="12" t="s">
        <v>5522</v>
      </c>
      <c r="B1076" s="12" t="s">
        <v>391</v>
      </c>
      <c r="C1076" s="15">
        <v>43999</v>
      </c>
      <c r="D1076" s="13">
        <v>41</v>
      </c>
      <c r="F1076" s="12" t="s">
        <v>5523</v>
      </c>
      <c r="G1076" s="12" t="s">
        <v>391</v>
      </c>
      <c r="H1076" s="15">
        <v>10365</v>
      </c>
      <c r="I1076" s="13">
        <v>50</v>
      </c>
    </row>
    <row r="1077" ht="15.75" spans="1:9">
      <c r="A1077" s="12" t="s">
        <v>5524</v>
      </c>
      <c r="B1077" s="12" t="s">
        <v>391</v>
      </c>
      <c r="C1077" s="15">
        <v>37926</v>
      </c>
      <c r="D1077" s="13">
        <v>40</v>
      </c>
      <c r="F1077" s="12" t="s">
        <v>3970</v>
      </c>
      <c r="G1077" s="12" t="s">
        <v>391</v>
      </c>
      <c r="H1077" s="15">
        <v>12623</v>
      </c>
      <c r="I1077" s="13">
        <v>50</v>
      </c>
    </row>
    <row r="1078" ht="15.75" spans="1:9">
      <c r="A1078" s="12" t="s">
        <v>5525</v>
      </c>
      <c r="B1078" s="12" t="s">
        <v>391</v>
      </c>
      <c r="C1078" s="15">
        <v>51512</v>
      </c>
      <c r="D1078" s="13">
        <v>40</v>
      </c>
      <c r="F1078" s="12" t="s">
        <v>5526</v>
      </c>
      <c r="G1078" s="12" t="s">
        <v>391</v>
      </c>
      <c r="H1078" s="15">
        <v>19087</v>
      </c>
      <c r="I1078" s="13">
        <v>50</v>
      </c>
    </row>
    <row r="1079" ht="15.75" spans="1:9">
      <c r="A1079" s="12" t="s">
        <v>5527</v>
      </c>
      <c r="B1079" s="12" t="s">
        <v>391</v>
      </c>
      <c r="C1079" s="15">
        <v>69341</v>
      </c>
      <c r="D1079" s="13">
        <v>40</v>
      </c>
      <c r="F1079" s="12" t="s">
        <v>5528</v>
      </c>
      <c r="G1079" s="12" t="s">
        <v>391</v>
      </c>
      <c r="H1079" s="15">
        <v>31516</v>
      </c>
      <c r="I1079" s="13">
        <v>50</v>
      </c>
    </row>
    <row r="1080" ht="15.75" spans="1:9">
      <c r="A1080" s="12" t="s">
        <v>3656</v>
      </c>
      <c r="B1080" s="12" t="s">
        <v>391</v>
      </c>
      <c r="C1080" s="15">
        <v>125925</v>
      </c>
      <c r="D1080" s="13">
        <v>40</v>
      </c>
      <c r="F1080" s="12" t="s">
        <v>5529</v>
      </c>
      <c r="G1080" s="12" t="s">
        <v>391</v>
      </c>
      <c r="H1080" s="15">
        <v>11944</v>
      </c>
      <c r="I1080" s="13">
        <v>50</v>
      </c>
    </row>
    <row r="1081" ht="15.75" spans="1:9">
      <c r="A1081" s="12" t="s">
        <v>5530</v>
      </c>
      <c r="B1081" s="12" t="s">
        <v>391</v>
      </c>
      <c r="C1081" s="15">
        <v>47482</v>
      </c>
      <c r="D1081" s="13">
        <v>40</v>
      </c>
      <c r="F1081" s="12" t="s">
        <v>5531</v>
      </c>
      <c r="G1081" s="12" t="s">
        <v>392</v>
      </c>
      <c r="H1081" s="15">
        <v>496300</v>
      </c>
      <c r="I1081" s="13">
        <v>50</v>
      </c>
    </row>
    <row r="1082" ht="15.75" spans="1:9">
      <c r="A1082" s="12" t="s">
        <v>5532</v>
      </c>
      <c r="B1082" s="12" t="s">
        <v>391</v>
      </c>
      <c r="C1082" s="15">
        <v>45147</v>
      </c>
      <c r="D1082" s="13">
        <v>40</v>
      </c>
      <c r="F1082" s="12" t="s">
        <v>5533</v>
      </c>
      <c r="G1082" s="12" t="s">
        <v>391</v>
      </c>
      <c r="H1082" s="15">
        <v>11031</v>
      </c>
      <c r="I1082" s="13">
        <v>50</v>
      </c>
    </row>
    <row r="1083" ht="15.75" spans="1:9">
      <c r="A1083" s="12" t="s">
        <v>5534</v>
      </c>
      <c r="B1083" s="12" t="s">
        <v>391</v>
      </c>
      <c r="C1083" s="15">
        <v>47673</v>
      </c>
      <c r="D1083" s="13">
        <v>40</v>
      </c>
      <c r="F1083" s="12" t="s">
        <v>3973</v>
      </c>
      <c r="G1083" s="12" t="s">
        <v>391</v>
      </c>
      <c r="H1083" s="15">
        <v>13851</v>
      </c>
      <c r="I1083" s="13">
        <v>50</v>
      </c>
    </row>
    <row r="1084" ht="15.75" spans="1:9">
      <c r="A1084" s="12" t="s">
        <v>5535</v>
      </c>
      <c r="B1084" s="12" t="s">
        <v>391</v>
      </c>
      <c r="C1084" s="15">
        <v>33215</v>
      </c>
      <c r="D1084" s="13">
        <v>40</v>
      </c>
      <c r="F1084" s="12" t="s">
        <v>5536</v>
      </c>
      <c r="G1084" s="12" t="s">
        <v>391</v>
      </c>
      <c r="H1084" s="15">
        <v>13507</v>
      </c>
      <c r="I1084" s="13">
        <v>50</v>
      </c>
    </row>
    <row r="1085" ht="15.75" spans="1:9">
      <c r="A1085" s="12" t="s">
        <v>4497</v>
      </c>
      <c r="B1085" s="12" t="s">
        <v>391</v>
      </c>
      <c r="C1085" s="15">
        <v>126673</v>
      </c>
      <c r="D1085" s="13">
        <v>40</v>
      </c>
      <c r="F1085" s="12" t="s">
        <v>3975</v>
      </c>
      <c r="G1085" s="12" t="s">
        <v>391</v>
      </c>
      <c r="H1085" s="15">
        <v>11717</v>
      </c>
      <c r="I1085" s="13">
        <v>50</v>
      </c>
    </row>
    <row r="1086" ht="15.75" spans="1:9">
      <c r="A1086" s="12" t="s">
        <v>5537</v>
      </c>
      <c r="B1086" s="12" t="s">
        <v>391</v>
      </c>
      <c r="C1086" s="15">
        <v>36497</v>
      </c>
      <c r="D1086" s="13">
        <v>40</v>
      </c>
      <c r="F1086" s="12" t="s">
        <v>5538</v>
      </c>
      <c r="G1086" s="12" t="s">
        <v>392</v>
      </c>
      <c r="H1086" s="15">
        <v>72800</v>
      </c>
      <c r="I1086" s="13">
        <v>50</v>
      </c>
    </row>
    <row r="1087" ht="15.75" spans="1:9">
      <c r="A1087" s="12" t="s">
        <v>5539</v>
      </c>
      <c r="B1087" s="12" t="s">
        <v>391</v>
      </c>
      <c r="C1087" s="15">
        <v>53202</v>
      </c>
      <c r="D1087" s="13">
        <v>40</v>
      </c>
      <c r="F1087" s="12" t="s">
        <v>5540</v>
      </c>
      <c r="G1087" s="12" t="s">
        <v>391</v>
      </c>
      <c r="H1087" s="15">
        <v>12836</v>
      </c>
      <c r="I1087" s="13">
        <v>50</v>
      </c>
    </row>
    <row r="1088" ht="15.75" spans="1:9">
      <c r="A1088" s="12" t="s">
        <v>4611</v>
      </c>
      <c r="B1088" s="12" t="s">
        <v>391</v>
      </c>
      <c r="C1088" s="15">
        <v>102498</v>
      </c>
      <c r="D1088" s="13">
        <v>40</v>
      </c>
      <c r="F1088" s="12" t="s">
        <v>3977</v>
      </c>
      <c r="G1088" s="12" t="s">
        <v>391</v>
      </c>
      <c r="H1088" s="15">
        <v>37764</v>
      </c>
      <c r="I1088" s="13">
        <v>50</v>
      </c>
    </row>
    <row r="1089" ht="15.75" spans="1:9">
      <c r="A1089" s="12" t="s">
        <v>4222</v>
      </c>
      <c r="B1089" s="12" t="s">
        <v>391</v>
      </c>
      <c r="C1089" s="15">
        <v>130414</v>
      </c>
      <c r="D1089" s="13">
        <v>40</v>
      </c>
      <c r="F1089" s="12" t="s">
        <v>3979</v>
      </c>
      <c r="G1089" s="12" t="s">
        <v>391</v>
      </c>
      <c r="H1089" s="15">
        <v>24986</v>
      </c>
      <c r="I1089" s="13">
        <v>50</v>
      </c>
    </row>
    <row r="1090" ht="15.75" spans="1:9">
      <c r="A1090" s="12" t="s">
        <v>5541</v>
      </c>
      <c r="B1090" s="12" t="s">
        <v>391</v>
      </c>
      <c r="C1090" s="15">
        <v>81654</v>
      </c>
      <c r="D1090" s="13">
        <v>39</v>
      </c>
      <c r="F1090" s="12" t="s">
        <v>5542</v>
      </c>
      <c r="G1090" s="12" t="s">
        <v>391</v>
      </c>
      <c r="H1090" s="15">
        <v>24163</v>
      </c>
      <c r="I1090" s="13">
        <v>50</v>
      </c>
    </row>
    <row r="1091" ht="15.75" spans="1:9">
      <c r="A1091" s="12" t="s">
        <v>5543</v>
      </c>
      <c r="B1091" s="12" t="s">
        <v>391</v>
      </c>
      <c r="C1091" s="15">
        <v>56880</v>
      </c>
      <c r="D1091" s="13">
        <v>39</v>
      </c>
      <c r="F1091" s="12" t="s">
        <v>5544</v>
      </c>
      <c r="G1091" s="12" t="s">
        <v>392</v>
      </c>
      <c r="H1091" s="15">
        <v>35200</v>
      </c>
      <c r="I1091" s="13">
        <v>50</v>
      </c>
    </row>
    <row r="1092" ht="15.75" spans="1:9">
      <c r="A1092" s="12" t="s">
        <v>5545</v>
      </c>
      <c r="B1092" s="12" t="s">
        <v>391</v>
      </c>
      <c r="C1092" s="15">
        <v>69111</v>
      </c>
      <c r="D1092" s="13">
        <v>39</v>
      </c>
      <c r="F1092" s="12" t="s">
        <v>5546</v>
      </c>
      <c r="G1092" s="12" t="s">
        <v>392</v>
      </c>
      <c r="H1092" s="15">
        <v>18300</v>
      </c>
      <c r="I1092" s="13">
        <v>50</v>
      </c>
    </row>
    <row r="1093" ht="15.75" spans="1:9">
      <c r="A1093" s="12" t="s">
        <v>4532</v>
      </c>
      <c r="B1093" s="12" t="s">
        <v>391</v>
      </c>
      <c r="C1093" s="15">
        <v>153922</v>
      </c>
      <c r="D1093" s="13">
        <v>39</v>
      </c>
      <c r="F1093" s="12" t="s">
        <v>5547</v>
      </c>
      <c r="G1093" s="12" t="s">
        <v>392</v>
      </c>
      <c r="H1093" s="15">
        <v>23400</v>
      </c>
      <c r="I1093" s="13">
        <v>50</v>
      </c>
    </row>
    <row r="1094" ht="15.75" spans="1:9">
      <c r="A1094" s="12" t="s">
        <v>4644</v>
      </c>
      <c r="B1094" s="12" t="s">
        <v>391</v>
      </c>
      <c r="C1094" s="15">
        <v>107820</v>
      </c>
      <c r="D1094" s="13">
        <v>39</v>
      </c>
      <c r="F1094" s="12" t="s">
        <v>5548</v>
      </c>
      <c r="G1094" s="12" t="s">
        <v>391</v>
      </c>
      <c r="H1094" s="15">
        <v>16603</v>
      </c>
      <c r="I1094" s="13">
        <v>50</v>
      </c>
    </row>
    <row r="1095" ht="15.75" spans="1:9">
      <c r="A1095" s="12" t="s">
        <v>5549</v>
      </c>
      <c r="B1095" s="12" t="s">
        <v>391</v>
      </c>
      <c r="C1095" s="15">
        <v>49143</v>
      </c>
      <c r="D1095" s="13">
        <v>39</v>
      </c>
      <c r="F1095" s="12" t="s">
        <v>3980</v>
      </c>
      <c r="G1095" s="12" t="s">
        <v>391</v>
      </c>
      <c r="H1095" s="15">
        <v>18538</v>
      </c>
      <c r="I1095" s="13">
        <v>50</v>
      </c>
    </row>
    <row r="1096" ht="15.75" spans="1:9">
      <c r="A1096" s="12" t="s">
        <v>5550</v>
      </c>
      <c r="B1096" s="12" t="s">
        <v>391</v>
      </c>
      <c r="C1096" s="15">
        <v>95947</v>
      </c>
      <c r="D1096" s="13">
        <v>39</v>
      </c>
      <c r="F1096" s="12" t="s">
        <v>5551</v>
      </c>
      <c r="G1096" s="12" t="s">
        <v>392</v>
      </c>
      <c r="H1096" s="15">
        <v>24300</v>
      </c>
      <c r="I1096" s="13">
        <v>50</v>
      </c>
    </row>
    <row r="1097" ht="15.75" spans="1:9">
      <c r="A1097" s="12" t="s">
        <v>5552</v>
      </c>
      <c r="B1097" s="12" t="s">
        <v>391</v>
      </c>
      <c r="C1097" s="15">
        <v>16946</v>
      </c>
      <c r="D1097" s="13">
        <v>39</v>
      </c>
      <c r="F1097" s="12" t="s">
        <v>5553</v>
      </c>
      <c r="G1097" s="12" t="s">
        <v>391</v>
      </c>
      <c r="H1097" s="15">
        <v>23717</v>
      </c>
      <c r="I1097" s="13">
        <v>50</v>
      </c>
    </row>
    <row r="1098" ht="15.75" spans="1:9">
      <c r="A1098" s="12" t="s">
        <v>5554</v>
      </c>
      <c r="B1098" s="12" t="s">
        <v>391</v>
      </c>
      <c r="C1098" s="15">
        <v>76519</v>
      </c>
      <c r="D1098" s="13">
        <v>39</v>
      </c>
      <c r="F1098" s="12" t="s">
        <v>3982</v>
      </c>
      <c r="G1098" s="12" t="s">
        <v>391</v>
      </c>
      <c r="H1098" s="15">
        <v>14259</v>
      </c>
      <c r="I1098" s="13">
        <v>50</v>
      </c>
    </row>
    <row r="1099" ht="15.75" spans="1:9">
      <c r="A1099" s="12" t="s">
        <v>5555</v>
      </c>
      <c r="B1099" s="12" t="s">
        <v>391</v>
      </c>
      <c r="C1099" s="15">
        <v>21692</v>
      </c>
      <c r="D1099" s="13">
        <v>39</v>
      </c>
      <c r="F1099" s="12" t="s">
        <v>5556</v>
      </c>
      <c r="G1099" s="12" t="s">
        <v>391</v>
      </c>
      <c r="H1099" s="15">
        <v>10001</v>
      </c>
      <c r="I1099" s="13">
        <v>50</v>
      </c>
    </row>
    <row r="1100" ht="15.75" spans="1:9">
      <c r="A1100" s="12" t="s">
        <v>5557</v>
      </c>
      <c r="B1100" s="12" t="s">
        <v>391</v>
      </c>
      <c r="C1100" s="15">
        <v>22743</v>
      </c>
      <c r="D1100" s="13">
        <v>39</v>
      </c>
      <c r="F1100" s="12" t="s">
        <v>5558</v>
      </c>
      <c r="G1100" s="12" t="s">
        <v>392</v>
      </c>
      <c r="H1100" s="15">
        <v>53800</v>
      </c>
      <c r="I1100" s="13">
        <v>50</v>
      </c>
    </row>
    <row r="1101" ht="15.75" spans="1:9">
      <c r="A1101" s="12" t="s">
        <v>5559</v>
      </c>
      <c r="B1101" s="12" t="s">
        <v>391</v>
      </c>
      <c r="C1101" s="15">
        <v>12126</v>
      </c>
      <c r="D1101" s="13">
        <v>39</v>
      </c>
      <c r="F1101" s="12" t="s">
        <v>3985</v>
      </c>
      <c r="G1101" s="12" t="s">
        <v>391</v>
      </c>
      <c r="H1101" s="15">
        <v>239426</v>
      </c>
      <c r="I1101" s="13">
        <v>50</v>
      </c>
    </row>
    <row r="1102" ht="15.75" spans="1:9">
      <c r="A1102" s="12" t="s">
        <v>5560</v>
      </c>
      <c r="B1102" s="12" t="s">
        <v>391</v>
      </c>
      <c r="C1102" s="15">
        <v>10203</v>
      </c>
      <c r="D1102" s="13">
        <v>39</v>
      </c>
      <c r="F1102" s="12" t="s">
        <v>5561</v>
      </c>
      <c r="G1102" s="12" t="s">
        <v>392</v>
      </c>
      <c r="H1102" s="15">
        <v>40200</v>
      </c>
      <c r="I1102" s="13">
        <v>50</v>
      </c>
    </row>
    <row r="1103" ht="15.75" spans="1:9">
      <c r="A1103" s="12" t="s">
        <v>4667</v>
      </c>
      <c r="B1103" s="12" t="s">
        <v>391</v>
      </c>
      <c r="C1103" s="15">
        <v>100283</v>
      </c>
      <c r="D1103" s="13">
        <v>39</v>
      </c>
      <c r="F1103" s="12" t="s">
        <v>5562</v>
      </c>
      <c r="G1103" s="12" t="s">
        <v>392</v>
      </c>
      <c r="H1103" s="15">
        <v>188900</v>
      </c>
      <c r="I1103" s="13">
        <v>50</v>
      </c>
    </row>
    <row r="1104" ht="15.75" spans="1:9">
      <c r="A1104" s="12" t="s">
        <v>4565</v>
      </c>
      <c r="B1104" s="12" t="s">
        <v>391</v>
      </c>
      <c r="C1104" s="15">
        <v>131541</v>
      </c>
      <c r="D1104" s="13">
        <v>39</v>
      </c>
      <c r="F1104" s="12" t="s">
        <v>3987</v>
      </c>
      <c r="G1104" s="12" t="s">
        <v>391</v>
      </c>
      <c r="H1104" s="15">
        <v>12603</v>
      </c>
      <c r="I1104" s="13">
        <v>50</v>
      </c>
    </row>
    <row r="1105" ht="15.75" spans="1:9">
      <c r="A1105" s="12" t="s">
        <v>5563</v>
      </c>
      <c r="B1105" s="12" t="s">
        <v>391</v>
      </c>
      <c r="C1105" s="15">
        <v>24189</v>
      </c>
      <c r="D1105" s="13">
        <v>39</v>
      </c>
      <c r="F1105" s="12" t="s">
        <v>5564</v>
      </c>
      <c r="G1105" s="12" t="s">
        <v>392</v>
      </c>
      <c r="H1105" s="15">
        <v>83000</v>
      </c>
      <c r="I1105" s="13">
        <v>50</v>
      </c>
    </row>
    <row r="1106" ht="15.75" spans="1:9">
      <c r="A1106" s="12" t="s">
        <v>4678</v>
      </c>
      <c r="B1106" s="12" t="s">
        <v>391</v>
      </c>
      <c r="C1106" s="15">
        <v>107204</v>
      </c>
      <c r="D1106" s="13">
        <v>39</v>
      </c>
      <c r="F1106" s="12" t="s">
        <v>5565</v>
      </c>
      <c r="G1106" s="12" t="s">
        <v>391</v>
      </c>
      <c r="H1106" s="15">
        <v>17973</v>
      </c>
      <c r="I1106" s="13">
        <v>50</v>
      </c>
    </row>
    <row r="1107" ht="15.75" spans="1:9">
      <c r="A1107" s="12" t="s">
        <v>5566</v>
      </c>
      <c r="B1107" s="12" t="s">
        <v>391</v>
      </c>
      <c r="C1107" s="15">
        <v>10212</v>
      </c>
      <c r="D1107" s="13">
        <v>38</v>
      </c>
      <c r="F1107" s="12" t="s">
        <v>5567</v>
      </c>
      <c r="G1107" s="12" t="s">
        <v>392</v>
      </c>
      <c r="H1107" s="15">
        <v>11000</v>
      </c>
      <c r="I1107" s="13">
        <v>50</v>
      </c>
    </row>
    <row r="1108" ht="15.75" spans="1:9">
      <c r="A1108" s="12" t="s">
        <v>5568</v>
      </c>
      <c r="B1108" s="12" t="s">
        <v>391</v>
      </c>
      <c r="C1108" s="15">
        <v>10513</v>
      </c>
      <c r="D1108" s="13">
        <v>38</v>
      </c>
      <c r="F1108" s="12" t="s">
        <v>5569</v>
      </c>
      <c r="G1108" s="12" t="s">
        <v>392</v>
      </c>
      <c r="H1108" s="15">
        <v>231400</v>
      </c>
      <c r="I1108" s="13">
        <v>50</v>
      </c>
    </row>
    <row r="1109" ht="15.75" spans="1:9">
      <c r="A1109" s="12" t="s">
        <v>5570</v>
      </c>
      <c r="B1109" s="12" t="s">
        <v>391</v>
      </c>
      <c r="C1109" s="15">
        <v>63859</v>
      </c>
      <c r="D1109" s="13">
        <v>38</v>
      </c>
      <c r="F1109" s="12" t="s">
        <v>3989</v>
      </c>
      <c r="G1109" s="12" t="s">
        <v>391</v>
      </c>
      <c r="H1109" s="15">
        <v>20178</v>
      </c>
      <c r="I1109" s="13">
        <v>50</v>
      </c>
    </row>
    <row r="1110" ht="15.75" spans="1:9">
      <c r="A1110" s="12" t="s">
        <v>5571</v>
      </c>
      <c r="B1110" s="12" t="s">
        <v>391</v>
      </c>
      <c r="C1110" s="15">
        <v>15645</v>
      </c>
      <c r="D1110" s="13">
        <v>38</v>
      </c>
      <c r="F1110" s="12" t="s">
        <v>5572</v>
      </c>
      <c r="G1110" s="12" t="s">
        <v>391</v>
      </c>
      <c r="H1110" s="15">
        <v>16412</v>
      </c>
      <c r="I1110" s="13">
        <v>50</v>
      </c>
    </row>
    <row r="1111" ht="15.75" spans="1:9">
      <c r="A1111" s="12" t="s">
        <v>4683</v>
      </c>
      <c r="B1111" s="12" t="s">
        <v>391</v>
      </c>
      <c r="C1111" s="15">
        <v>105143</v>
      </c>
      <c r="D1111" s="13">
        <v>38</v>
      </c>
      <c r="F1111" s="12" t="s">
        <v>5573</v>
      </c>
      <c r="G1111" s="12" t="s">
        <v>391</v>
      </c>
      <c r="H1111" s="15">
        <v>11195</v>
      </c>
      <c r="I1111" s="13">
        <v>50</v>
      </c>
    </row>
    <row r="1112" ht="15.75" spans="1:9">
      <c r="A1112" s="12" t="s">
        <v>3465</v>
      </c>
      <c r="B1112" s="12" t="s">
        <v>391</v>
      </c>
      <c r="C1112" s="15">
        <v>31400</v>
      </c>
      <c r="D1112" s="13">
        <v>38</v>
      </c>
      <c r="F1112" s="12" t="s">
        <v>5574</v>
      </c>
      <c r="G1112" s="12" t="s">
        <v>391</v>
      </c>
      <c r="H1112" s="15">
        <v>12164</v>
      </c>
      <c r="I1112" s="13">
        <v>50</v>
      </c>
    </row>
    <row r="1113" ht="15.75" spans="1:9">
      <c r="A1113" s="12" t="s">
        <v>3473</v>
      </c>
      <c r="B1113" s="12" t="s">
        <v>391</v>
      </c>
      <c r="C1113" s="15">
        <v>21379</v>
      </c>
      <c r="D1113" s="13">
        <v>38</v>
      </c>
      <c r="F1113" s="12" t="s">
        <v>5575</v>
      </c>
      <c r="G1113" s="12" t="s">
        <v>391</v>
      </c>
      <c r="H1113" s="15">
        <v>14977</v>
      </c>
      <c r="I1113" s="13">
        <v>50</v>
      </c>
    </row>
    <row r="1114" ht="15.75" spans="1:9">
      <c r="A1114" s="12" t="s">
        <v>5576</v>
      </c>
      <c r="B1114" s="12" t="s">
        <v>391</v>
      </c>
      <c r="C1114" s="15">
        <v>20912</v>
      </c>
      <c r="D1114" s="13">
        <v>38</v>
      </c>
      <c r="F1114" s="12" t="s">
        <v>5577</v>
      </c>
      <c r="G1114" s="12" t="s">
        <v>392</v>
      </c>
      <c r="H1114" s="15">
        <v>14200</v>
      </c>
      <c r="I1114" s="13">
        <v>50</v>
      </c>
    </row>
    <row r="1115" ht="15.75" spans="1:9">
      <c r="A1115" s="12" t="s">
        <v>3498</v>
      </c>
      <c r="B1115" s="12" t="s">
        <v>391</v>
      </c>
      <c r="C1115" s="15">
        <v>21151</v>
      </c>
      <c r="D1115" s="13">
        <v>38</v>
      </c>
      <c r="F1115" s="12" t="s">
        <v>3992</v>
      </c>
      <c r="G1115" s="12" t="s">
        <v>391</v>
      </c>
      <c r="H1115" s="15">
        <v>10421</v>
      </c>
      <c r="I1115" s="13">
        <v>50</v>
      </c>
    </row>
    <row r="1116" ht="15.75" spans="1:9">
      <c r="A1116" s="12" t="s">
        <v>4701</v>
      </c>
      <c r="B1116" s="12" t="s">
        <v>391</v>
      </c>
      <c r="C1116" s="15">
        <v>105931</v>
      </c>
      <c r="D1116" s="13">
        <v>38</v>
      </c>
      <c r="F1116" s="12" t="s">
        <v>5578</v>
      </c>
      <c r="G1116" s="12" t="s">
        <v>391</v>
      </c>
      <c r="H1116" s="15">
        <v>20306</v>
      </c>
      <c r="I1116" s="13">
        <v>50</v>
      </c>
    </row>
    <row r="1117" ht="15.75" spans="1:9">
      <c r="A1117" s="12" t="s">
        <v>5579</v>
      </c>
      <c r="B1117" s="12" t="s">
        <v>391</v>
      </c>
      <c r="C1117" s="15">
        <v>18855</v>
      </c>
      <c r="D1117" s="13">
        <v>38</v>
      </c>
      <c r="F1117" s="12" t="s">
        <v>5580</v>
      </c>
      <c r="G1117" s="12" t="s">
        <v>392</v>
      </c>
      <c r="H1117" s="15">
        <v>35500</v>
      </c>
      <c r="I1117" s="13">
        <v>50</v>
      </c>
    </row>
    <row r="1118" ht="15.75" spans="1:9">
      <c r="A1118" s="12" t="s">
        <v>3502</v>
      </c>
      <c r="B1118" s="12" t="s">
        <v>391</v>
      </c>
      <c r="C1118" s="15">
        <v>15662</v>
      </c>
      <c r="D1118" s="13">
        <v>38</v>
      </c>
      <c r="F1118" s="12" t="s">
        <v>5581</v>
      </c>
      <c r="G1118" s="12" t="s">
        <v>392</v>
      </c>
      <c r="H1118" s="15">
        <v>21300</v>
      </c>
      <c r="I1118" s="13">
        <v>50</v>
      </c>
    </row>
    <row r="1119" ht="15.75" spans="1:9">
      <c r="A1119" s="12" t="s">
        <v>5582</v>
      </c>
      <c r="B1119" s="12" t="s">
        <v>391</v>
      </c>
      <c r="C1119" s="15">
        <v>14140</v>
      </c>
      <c r="D1119" s="13">
        <v>38</v>
      </c>
      <c r="F1119" s="12" t="s">
        <v>3994</v>
      </c>
      <c r="G1119" s="12" t="s">
        <v>391</v>
      </c>
      <c r="H1119" s="15">
        <v>14213</v>
      </c>
      <c r="I1119" s="13">
        <v>50</v>
      </c>
    </row>
    <row r="1120" ht="15.75" spans="1:9">
      <c r="A1120" s="12" t="s">
        <v>5583</v>
      </c>
      <c r="B1120" s="12" t="s">
        <v>391</v>
      </c>
      <c r="C1120" s="15">
        <v>51909</v>
      </c>
      <c r="D1120" s="13">
        <v>38</v>
      </c>
      <c r="F1120" s="12" t="s">
        <v>5584</v>
      </c>
      <c r="G1120" s="12" t="s">
        <v>391</v>
      </c>
      <c r="H1120" s="15">
        <v>16359</v>
      </c>
      <c r="I1120" s="13">
        <v>50</v>
      </c>
    </row>
    <row r="1121" ht="15.75" spans="1:9">
      <c r="A1121" s="12" t="s">
        <v>5585</v>
      </c>
      <c r="B1121" s="12" t="s">
        <v>391</v>
      </c>
      <c r="C1121" s="15">
        <v>64684</v>
      </c>
      <c r="D1121" s="13">
        <v>38</v>
      </c>
      <c r="F1121" s="12" t="s">
        <v>3997</v>
      </c>
      <c r="G1121" s="12" t="s">
        <v>391</v>
      </c>
      <c r="H1121" s="15">
        <v>10107</v>
      </c>
      <c r="I1121" s="13">
        <v>50</v>
      </c>
    </row>
    <row r="1122" ht="15.75" spans="1:9">
      <c r="A1122" s="12" t="s">
        <v>5586</v>
      </c>
      <c r="B1122" s="12" t="s">
        <v>391</v>
      </c>
      <c r="C1122" s="15">
        <v>50427</v>
      </c>
      <c r="D1122" s="13">
        <v>38</v>
      </c>
      <c r="F1122" s="12" t="s">
        <v>5587</v>
      </c>
      <c r="G1122" s="12" t="s">
        <v>392</v>
      </c>
      <c r="H1122" s="15">
        <v>31000</v>
      </c>
      <c r="I1122" s="13">
        <v>50</v>
      </c>
    </row>
    <row r="1123" ht="15.75" spans="1:9">
      <c r="A1123" s="12" t="s">
        <v>5588</v>
      </c>
      <c r="B1123" s="12" t="s">
        <v>391</v>
      </c>
      <c r="C1123" s="15">
        <v>11474</v>
      </c>
      <c r="D1123" s="13">
        <v>38</v>
      </c>
      <c r="F1123" s="12" t="s">
        <v>5589</v>
      </c>
      <c r="G1123" s="12" t="s">
        <v>391</v>
      </c>
      <c r="H1123" s="15">
        <v>12500</v>
      </c>
      <c r="I1123" s="13">
        <v>50</v>
      </c>
    </row>
    <row r="1124" ht="15.75" spans="1:9">
      <c r="A1124" s="12" t="s">
        <v>3524</v>
      </c>
      <c r="B1124" s="12" t="s">
        <v>391</v>
      </c>
      <c r="C1124" s="15">
        <v>17622</v>
      </c>
      <c r="D1124" s="13">
        <v>38</v>
      </c>
      <c r="F1124" s="12" t="s">
        <v>5590</v>
      </c>
      <c r="G1124" s="12" t="s">
        <v>391</v>
      </c>
      <c r="H1124" s="15">
        <v>10007</v>
      </c>
      <c r="I1124" s="13">
        <v>50</v>
      </c>
    </row>
    <row r="1125" ht="15.75" spans="1:9">
      <c r="A1125" s="12" t="s">
        <v>5591</v>
      </c>
      <c r="B1125" s="12" t="s">
        <v>391</v>
      </c>
      <c r="C1125" s="15">
        <v>35947</v>
      </c>
      <c r="D1125" s="13">
        <v>38</v>
      </c>
      <c r="F1125" s="12" t="s">
        <v>5592</v>
      </c>
      <c r="G1125" s="12" t="s">
        <v>392</v>
      </c>
      <c r="H1125" s="15">
        <v>63500</v>
      </c>
      <c r="I1125" s="13">
        <v>50</v>
      </c>
    </row>
    <row r="1126" ht="15.75" spans="1:9">
      <c r="A1126" s="12" t="s">
        <v>5593</v>
      </c>
      <c r="B1126" s="12" t="s">
        <v>391</v>
      </c>
      <c r="C1126" s="15">
        <v>19132</v>
      </c>
      <c r="D1126" s="13">
        <v>38</v>
      </c>
      <c r="F1126" s="12" t="s">
        <v>5594</v>
      </c>
      <c r="G1126" s="12" t="s">
        <v>392</v>
      </c>
      <c r="H1126" s="15">
        <v>1100000</v>
      </c>
      <c r="I1126" s="13">
        <v>50</v>
      </c>
    </row>
    <row r="1127" ht="15.75" spans="1:9">
      <c r="A1127" s="12" t="s">
        <v>5595</v>
      </c>
      <c r="B1127" s="12" t="s">
        <v>391</v>
      </c>
      <c r="C1127" s="15">
        <v>13493</v>
      </c>
      <c r="D1127" s="13">
        <v>38</v>
      </c>
      <c r="F1127" s="12" t="s">
        <v>5596</v>
      </c>
      <c r="G1127" s="12" t="s">
        <v>391</v>
      </c>
      <c r="H1127" s="15">
        <v>16010</v>
      </c>
      <c r="I1127" s="13">
        <v>50</v>
      </c>
    </row>
    <row r="1128" ht="15.75" spans="1:9">
      <c r="A1128" s="12" t="s">
        <v>5597</v>
      </c>
      <c r="B1128" s="12" t="s">
        <v>391</v>
      </c>
      <c r="C1128" s="15">
        <v>71099</v>
      </c>
      <c r="D1128" s="13">
        <v>38</v>
      </c>
      <c r="F1128" s="12" t="s">
        <v>5598</v>
      </c>
      <c r="G1128" s="12" t="s">
        <v>392</v>
      </c>
      <c r="H1128" s="15">
        <v>75900</v>
      </c>
      <c r="I1128" s="13">
        <v>50</v>
      </c>
    </row>
    <row r="1129" ht="15.75" spans="1:9">
      <c r="A1129" s="12" t="s">
        <v>4738</v>
      </c>
      <c r="B1129" s="12" t="s">
        <v>391</v>
      </c>
      <c r="C1129" s="15">
        <v>152840</v>
      </c>
      <c r="D1129" s="13">
        <v>38</v>
      </c>
      <c r="F1129" s="12" t="s">
        <v>5599</v>
      </c>
      <c r="G1129" s="12" t="s">
        <v>392</v>
      </c>
      <c r="H1129" s="15">
        <v>21680</v>
      </c>
      <c r="I1129" s="13">
        <v>50</v>
      </c>
    </row>
    <row r="1130" ht="15.75" spans="1:9">
      <c r="A1130" s="12" t="s">
        <v>5600</v>
      </c>
      <c r="B1130" s="12" t="s">
        <v>391</v>
      </c>
      <c r="C1130" s="15">
        <v>47652</v>
      </c>
      <c r="D1130" s="13">
        <v>38</v>
      </c>
      <c r="F1130" s="12" t="s">
        <v>5601</v>
      </c>
      <c r="G1130" s="12" t="s">
        <v>392</v>
      </c>
      <c r="H1130" s="15">
        <v>15500</v>
      </c>
      <c r="I1130" s="13">
        <v>50</v>
      </c>
    </row>
    <row r="1131" ht="15.75" spans="1:9">
      <c r="A1131" s="12" t="s">
        <v>5602</v>
      </c>
      <c r="B1131" s="12" t="s">
        <v>391</v>
      </c>
      <c r="C1131" s="15">
        <v>67131</v>
      </c>
      <c r="D1131" s="13">
        <v>38</v>
      </c>
      <c r="F1131" s="12" t="s">
        <v>5603</v>
      </c>
      <c r="G1131" s="12" t="s">
        <v>391</v>
      </c>
      <c r="H1131" s="15">
        <v>19395</v>
      </c>
      <c r="I1131" s="13">
        <v>50</v>
      </c>
    </row>
    <row r="1132" ht="15.75" spans="1:9">
      <c r="A1132" s="12" t="s">
        <v>5604</v>
      </c>
      <c r="B1132" s="12" t="s">
        <v>391</v>
      </c>
      <c r="C1132" s="15">
        <v>57260</v>
      </c>
      <c r="D1132" s="13">
        <v>38</v>
      </c>
      <c r="F1132" s="12" t="s">
        <v>5605</v>
      </c>
      <c r="G1132" s="12" t="s">
        <v>392</v>
      </c>
      <c r="H1132" s="15">
        <v>67400</v>
      </c>
      <c r="I1132" s="13">
        <v>50</v>
      </c>
    </row>
    <row r="1133" ht="15.75" spans="1:9">
      <c r="A1133" s="12" t="s">
        <v>4747</v>
      </c>
      <c r="B1133" s="12" t="s">
        <v>391</v>
      </c>
      <c r="C1133" s="15">
        <v>184974</v>
      </c>
      <c r="D1133" s="13">
        <v>38</v>
      </c>
      <c r="F1133" s="12" t="s">
        <v>5606</v>
      </c>
      <c r="G1133" s="12" t="s">
        <v>392</v>
      </c>
      <c r="H1133" s="15">
        <v>14800</v>
      </c>
      <c r="I1133" s="13">
        <v>50</v>
      </c>
    </row>
    <row r="1134" ht="15.75" spans="1:9">
      <c r="A1134" s="12" t="s">
        <v>5607</v>
      </c>
      <c r="B1134" s="12" t="s">
        <v>391</v>
      </c>
      <c r="C1134" s="15">
        <v>10294</v>
      </c>
      <c r="D1134" s="13">
        <v>38</v>
      </c>
      <c r="F1134" s="12" t="s">
        <v>5608</v>
      </c>
      <c r="G1134" s="12" t="s">
        <v>392</v>
      </c>
      <c r="H1134" s="15">
        <v>31400</v>
      </c>
      <c r="I1134" s="13">
        <v>50</v>
      </c>
    </row>
    <row r="1135" ht="15.75" spans="1:9">
      <c r="A1135" s="12" t="s">
        <v>5609</v>
      </c>
      <c r="B1135" s="12" t="s">
        <v>391</v>
      </c>
      <c r="C1135" s="15">
        <v>13237</v>
      </c>
      <c r="D1135" s="13">
        <v>38</v>
      </c>
      <c r="F1135" s="12" t="s">
        <v>5610</v>
      </c>
      <c r="G1135" s="12" t="s">
        <v>392</v>
      </c>
      <c r="H1135" s="15">
        <v>122200</v>
      </c>
      <c r="I1135" s="13">
        <v>50</v>
      </c>
    </row>
    <row r="1136" ht="15.75" spans="1:9">
      <c r="A1136" s="12" t="s">
        <v>5611</v>
      </c>
      <c r="B1136" s="12" t="s">
        <v>391</v>
      </c>
      <c r="C1136" s="15">
        <v>38031</v>
      </c>
      <c r="D1136" s="13">
        <v>38</v>
      </c>
      <c r="F1136" s="12" t="s">
        <v>5612</v>
      </c>
      <c r="G1136" s="12" t="s">
        <v>392</v>
      </c>
      <c r="H1136" s="15">
        <v>25500</v>
      </c>
      <c r="I1136" s="13">
        <v>50</v>
      </c>
    </row>
    <row r="1137" ht="15.75" spans="1:9">
      <c r="A1137" s="12" t="s">
        <v>5613</v>
      </c>
      <c r="B1137" s="12" t="s">
        <v>391</v>
      </c>
      <c r="C1137" s="15">
        <v>38415</v>
      </c>
      <c r="D1137" s="13">
        <v>38</v>
      </c>
      <c r="F1137" s="12" t="s">
        <v>5614</v>
      </c>
      <c r="G1137" s="12" t="s">
        <v>392</v>
      </c>
      <c r="H1137" s="15">
        <v>10300</v>
      </c>
      <c r="I1137" s="13">
        <v>50</v>
      </c>
    </row>
    <row r="1138" ht="15.75" spans="1:9">
      <c r="A1138" s="12" t="s">
        <v>3623</v>
      </c>
      <c r="B1138" s="12" t="s">
        <v>391</v>
      </c>
      <c r="C1138" s="15">
        <v>25965</v>
      </c>
      <c r="D1138" s="13">
        <v>38</v>
      </c>
      <c r="F1138" s="12" t="s">
        <v>3999</v>
      </c>
      <c r="G1138" s="12" t="s">
        <v>391</v>
      </c>
      <c r="H1138" s="15">
        <v>12001</v>
      </c>
      <c r="I1138" s="13">
        <v>50</v>
      </c>
    </row>
    <row r="1139" ht="15.75" spans="1:9">
      <c r="A1139" s="12" t="s">
        <v>5615</v>
      </c>
      <c r="B1139" s="12" t="s">
        <v>391</v>
      </c>
      <c r="C1139" s="15">
        <v>10302</v>
      </c>
      <c r="D1139" s="13">
        <v>38</v>
      </c>
      <c r="F1139" s="12" t="s">
        <v>5616</v>
      </c>
      <c r="G1139" s="12" t="s">
        <v>392</v>
      </c>
      <c r="H1139" s="15">
        <v>107700</v>
      </c>
      <c r="I1139" s="13">
        <v>50</v>
      </c>
    </row>
    <row r="1140" ht="15.75" spans="1:9">
      <c r="A1140" s="12" t="s">
        <v>4753</v>
      </c>
      <c r="B1140" s="12" t="s">
        <v>391</v>
      </c>
      <c r="C1140" s="15">
        <v>1842326</v>
      </c>
      <c r="D1140" s="13">
        <v>38</v>
      </c>
      <c r="F1140" s="12" t="s">
        <v>4002</v>
      </c>
      <c r="G1140" s="12" t="s">
        <v>391</v>
      </c>
      <c r="H1140" s="15">
        <v>10023</v>
      </c>
      <c r="I1140" s="13">
        <v>50</v>
      </c>
    </row>
    <row r="1141" ht="15.75" spans="1:9">
      <c r="A1141" s="12" t="s">
        <v>5617</v>
      </c>
      <c r="B1141" s="12" t="s">
        <v>391</v>
      </c>
      <c r="C1141" s="15">
        <v>55808</v>
      </c>
      <c r="D1141" s="13">
        <v>38</v>
      </c>
      <c r="F1141" s="12" t="s">
        <v>5618</v>
      </c>
      <c r="G1141" s="12" t="s">
        <v>392</v>
      </c>
      <c r="H1141" s="15">
        <v>13500</v>
      </c>
      <c r="I1141" s="13">
        <v>50</v>
      </c>
    </row>
    <row r="1142" ht="15.75" spans="1:9">
      <c r="A1142" s="12" t="s">
        <v>4756</v>
      </c>
      <c r="B1142" s="12" t="s">
        <v>391</v>
      </c>
      <c r="C1142" s="15">
        <v>121896</v>
      </c>
      <c r="D1142" s="13">
        <v>38</v>
      </c>
      <c r="F1142" s="12" t="s">
        <v>4006</v>
      </c>
      <c r="G1142" s="12" t="s">
        <v>391</v>
      </c>
      <c r="H1142" s="15">
        <v>31199</v>
      </c>
      <c r="I1142" s="13">
        <v>50</v>
      </c>
    </row>
    <row r="1143" ht="15.75" spans="1:9">
      <c r="A1143" s="12" t="s">
        <v>5619</v>
      </c>
      <c r="B1143" s="12" t="s">
        <v>391</v>
      </c>
      <c r="C1143" s="15">
        <v>12429</v>
      </c>
      <c r="D1143" s="13">
        <v>38</v>
      </c>
      <c r="F1143" s="12" t="s">
        <v>5620</v>
      </c>
      <c r="G1143" s="12" t="s">
        <v>391</v>
      </c>
      <c r="H1143" s="15">
        <v>21121</v>
      </c>
      <c r="I1143" s="13">
        <v>50</v>
      </c>
    </row>
    <row r="1144" ht="15.75" spans="1:9">
      <c r="A1144" s="12" t="s">
        <v>5621</v>
      </c>
      <c r="B1144" s="12" t="s">
        <v>391</v>
      </c>
      <c r="C1144" s="15">
        <v>26047</v>
      </c>
      <c r="D1144" s="13">
        <v>37</v>
      </c>
      <c r="F1144" s="12" t="s">
        <v>5622</v>
      </c>
      <c r="G1144" s="12" t="s">
        <v>392</v>
      </c>
      <c r="H1144" s="15">
        <v>123100</v>
      </c>
      <c r="I1144" s="13">
        <v>50</v>
      </c>
    </row>
    <row r="1145" ht="15.75" spans="1:9">
      <c r="A1145" s="12" t="s">
        <v>5623</v>
      </c>
      <c r="B1145" s="12" t="s">
        <v>391</v>
      </c>
      <c r="C1145" s="15">
        <v>33686</v>
      </c>
      <c r="D1145" s="13">
        <v>37</v>
      </c>
      <c r="F1145" s="12" t="s">
        <v>5624</v>
      </c>
      <c r="G1145" s="12" t="s">
        <v>392</v>
      </c>
      <c r="H1145" s="15">
        <v>161100</v>
      </c>
      <c r="I1145" s="13">
        <v>50</v>
      </c>
    </row>
    <row r="1146" ht="15.75" spans="1:9">
      <c r="A1146" s="12" t="s">
        <v>5625</v>
      </c>
      <c r="B1146" s="12" t="s">
        <v>391</v>
      </c>
      <c r="C1146" s="15">
        <v>63881</v>
      </c>
      <c r="D1146" s="13">
        <v>37</v>
      </c>
      <c r="F1146" s="12" t="s">
        <v>5626</v>
      </c>
      <c r="G1146" s="12" t="s">
        <v>392</v>
      </c>
      <c r="H1146" s="15">
        <v>23200</v>
      </c>
      <c r="I1146" s="13">
        <v>50</v>
      </c>
    </row>
    <row r="1147" ht="15.75" spans="1:9">
      <c r="A1147" s="12" t="s">
        <v>5627</v>
      </c>
      <c r="B1147" s="12" t="s">
        <v>391</v>
      </c>
      <c r="C1147" s="15">
        <v>10408</v>
      </c>
      <c r="D1147" s="13">
        <v>37</v>
      </c>
      <c r="F1147" s="12" t="s">
        <v>5628</v>
      </c>
      <c r="G1147" s="12" t="s">
        <v>392</v>
      </c>
      <c r="H1147" s="15">
        <v>290600</v>
      </c>
      <c r="I1147" s="13">
        <v>50</v>
      </c>
    </row>
    <row r="1148" ht="15.75" spans="1:9">
      <c r="A1148" s="12" t="s">
        <v>5629</v>
      </c>
      <c r="B1148" s="12" t="s">
        <v>391</v>
      </c>
      <c r="C1148" s="15">
        <v>10064</v>
      </c>
      <c r="D1148" s="13">
        <v>37</v>
      </c>
      <c r="F1148" s="12" t="s">
        <v>5630</v>
      </c>
      <c r="G1148" s="12" t="s">
        <v>392</v>
      </c>
      <c r="H1148" s="15">
        <v>131100</v>
      </c>
      <c r="I1148" s="13">
        <v>50</v>
      </c>
    </row>
    <row r="1149" ht="15.75" spans="1:9">
      <c r="A1149" s="12" t="s">
        <v>5631</v>
      </c>
      <c r="B1149" s="12" t="s">
        <v>391</v>
      </c>
      <c r="C1149" s="15">
        <v>41005</v>
      </c>
      <c r="D1149" s="13">
        <v>37</v>
      </c>
      <c r="F1149" s="12" t="s">
        <v>5632</v>
      </c>
      <c r="G1149" s="12" t="s">
        <v>392</v>
      </c>
      <c r="H1149" s="15">
        <v>39100</v>
      </c>
      <c r="I1149" s="13">
        <v>50</v>
      </c>
    </row>
    <row r="1150" ht="15.75" spans="1:9">
      <c r="A1150" s="12" t="s">
        <v>5633</v>
      </c>
      <c r="B1150" s="12" t="s">
        <v>391</v>
      </c>
      <c r="C1150" s="15">
        <v>61962</v>
      </c>
      <c r="D1150" s="13">
        <v>37</v>
      </c>
      <c r="F1150" s="12" t="s">
        <v>5634</v>
      </c>
      <c r="G1150" s="12" t="s">
        <v>392</v>
      </c>
      <c r="H1150" s="15">
        <v>507700</v>
      </c>
      <c r="I1150" s="13">
        <v>50</v>
      </c>
    </row>
    <row r="1151" ht="15.75" spans="1:9">
      <c r="A1151" s="12" t="s">
        <v>5635</v>
      </c>
      <c r="B1151" s="12" t="s">
        <v>391</v>
      </c>
      <c r="C1151" s="15">
        <v>35952</v>
      </c>
      <c r="D1151" s="13">
        <v>37</v>
      </c>
      <c r="F1151" s="12" t="s">
        <v>5636</v>
      </c>
      <c r="G1151" s="12" t="s">
        <v>392</v>
      </c>
      <c r="H1151" s="15">
        <v>111200</v>
      </c>
      <c r="I1151" s="13">
        <v>50</v>
      </c>
    </row>
    <row r="1152" ht="15.75" spans="1:9">
      <c r="A1152" s="12" t="s">
        <v>5637</v>
      </c>
      <c r="B1152" s="12" t="s">
        <v>391</v>
      </c>
      <c r="C1152" s="15">
        <v>47481</v>
      </c>
      <c r="D1152" s="13">
        <v>37</v>
      </c>
      <c r="F1152" s="12" t="s">
        <v>5638</v>
      </c>
      <c r="G1152" s="12" t="s">
        <v>392</v>
      </c>
      <c r="H1152" s="15">
        <v>4195063</v>
      </c>
      <c r="I1152" s="13">
        <v>50</v>
      </c>
    </row>
    <row r="1153" ht="15.75" spans="1:9">
      <c r="A1153" s="12" t="s">
        <v>4766</v>
      </c>
      <c r="B1153" s="12" t="s">
        <v>391</v>
      </c>
      <c r="C1153" s="15">
        <v>104536</v>
      </c>
      <c r="D1153" s="13">
        <v>37</v>
      </c>
      <c r="F1153" s="12" t="s">
        <v>5639</v>
      </c>
      <c r="G1153" s="12" t="s">
        <v>392</v>
      </c>
      <c r="H1153" s="15">
        <v>10800</v>
      </c>
      <c r="I1153" s="13">
        <v>50</v>
      </c>
    </row>
    <row r="1154" ht="15.75" spans="1:9">
      <c r="A1154" s="12" t="s">
        <v>2469</v>
      </c>
      <c r="B1154" s="12" t="s">
        <v>391</v>
      </c>
      <c r="C1154" s="15">
        <v>12292815</v>
      </c>
      <c r="D1154" s="13">
        <v>37</v>
      </c>
      <c r="F1154" s="12" t="s">
        <v>5640</v>
      </c>
      <c r="G1154" s="12" t="s">
        <v>392</v>
      </c>
      <c r="H1154" s="15">
        <v>72000</v>
      </c>
      <c r="I1154" s="13">
        <v>50</v>
      </c>
    </row>
    <row r="1155" ht="15.75" spans="1:9">
      <c r="A1155" s="12" t="s">
        <v>4776</v>
      </c>
      <c r="B1155" s="12" t="s">
        <v>391</v>
      </c>
      <c r="C1155" s="15">
        <v>108832</v>
      </c>
      <c r="D1155" s="13">
        <v>37</v>
      </c>
      <c r="F1155" s="12" t="s">
        <v>5641</v>
      </c>
      <c r="G1155" s="12" t="s">
        <v>392</v>
      </c>
      <c r="H1155" s="15">
        <v>198700</v>
      </c>
      <c r="I1155" s="13">
        <v>50</v>
      </c>
    </row>
    <row r="1156" ht="15.75" spans="1:9">
      <c r="A1156" s="12" t="s">
        <v>5642</v>
      </c>
      <c r="B1156" s="12" t="s">
        <v>391</v>
      </c>
      <c r="C1156" s="15">
        <v>52455</v>
      </c>
      <c r="D1156" s="13">
        <v>37</v>
      </c>
      <c r="F1156" s="12" t="s">
        <v>5643</v>
      </c>
      <c r="G1156" s="12" t="s">
        <v>392</v>
      </c>
      <c r="H1156" s="15">
        <v>82400</v>
      </c>
      <c r="I1156" s="13">
        <v>50</v>
      </c>
    </row>
    <row r="1157" ht="15.75" spans="1:9">
      <c r="A1157" s="12" t="s">
        <v>5644</v>
      </c>
      <c r="B1157" s="12" t="s">
        <v>391</v>
      </c>
      <c r="C1157" s="15">
        <v>30579</v>
      </c>
      <c r="D1157" s="13">
        <v>37</v>
      </c>
      <c r="F1157" s="12" t="s">
        <v>5645</v>
      </c>
      <c r="G1157" s="12" t="s">
        <v>391</v>
      </c>
      <c r="H1157" s="15">
        <v>10151</v>
      </c>
      <c r="I1157" s="13">
        <v>50</v>
      </c>
    </row>
    <row r="1158" ht="15.75" spans="1:9">
      <c r="A1158" s="12" t="s">
        <v>5646</v>
      </c>
      <c r="B1158" s="12" t="s">
        <v>391</v>
      </c>
      <c r="C1158" s="15">
        <v>16843</v>
      </c>
      <c r="D1158" s="13">
        <v>37</v>
      </c>
      <c r="F1158" s="12" t="s">
        <v>5647</v>
      </c>
      <c r="G1158" s="12" t="s">
        <v>392</v>
      </c>
      <c r="H1158" s="15">
        <v>138000</v>
      </c>
      <c r="I1158" s="13">
        <v>50</v>
      </c>
    </row>
    <row r="1159" ht="15.75" spans="1:9">
      <c r="A1159" s="12" t="s">
        <v>4781</v>
      </c>
      <c r="B1159" s="12" t="s">
        <v>391</v>
      </c>
      <c r="C1159" s="15">
        <v>117390</v>
      </c>
      <c r="D1159" s="13">
        <v>37</v>
      </c>
      <c r="F1159" s="12" t="s">
        <v>5648</v>
      </c>
      <c r="G1159" s="12" t="s">
        <v>391</v>
      </c>
      <c r="H1159" s="15">
        <v>25122</v>
      </c>
      <c r="I1159" s="13">
        <v>50</v>
      </c>
    </row>
    <row r="1160" ht="15.75" spans="1:9">
      <c r="A1160" s="12" t="s">
        <v>5649</v>
      </c>
      <c r="B1160" s="12" t="s">
        <v>391</v>
      </c>
      <c r="C1160" s="15">
        <v>79968</v>
      </c>
      <c r="D1160" s="13">
        <v>37</v>
      </c>
      <c r="F1160" s="12" t="s">
        <v>4009</v>
      </c>
      <c r="G1160" s="12" t="s">
        <v>391</v>
      </c>
      <c r="H1160" s="15">
        <v>12792</v>
      </c>
      <c r="I1160" s="13">
        <v>50</v>
      </c>
    </row>
    <row r="1161" ht="15.75" spans="1:9">
      <c r="A1161" s="12" t="s">
        <v>5650</v>
      </c>
      <c r="B1161" s="12" t="s">
        <v>391</v>
      </c>
      <c r="C1161" s="15">
        <v>11701</v>
      </c>
      <c r="D1161" s="13">
        <v>37</v>
      </c>
      <c r="F1161" s="12" t="s">
        <v>5651</v>
      </c>
      <c r="G1161" s="12" t="s">
        <v>392</v>
      </c>
      <c r="H1161" s="15">
        <v>13200</v>
      </c>
      <c r="I1161" s="13">
        <v>50</v>
      </c>
    </row>
    <row r="1162" ht="15.75" spans="1:9">
      <c r="A1162" s="12" t="s">
        <v>5652</v>
      </c>
      <c r="B1162" s="12" t="s">
        <v>391</v>
      </c>
      <c r="C1162" s="15">
        <v>13451</v>
      </c>
      <c r="D1162" s="13">
        <v>37</v>
      </c>
      <c r="F1162" s="12" t="s">
        <v>5653</v>
      </c>
      <c r="G1162" s="12" t="s">
        <v>392</v>
      </c>
      <c r="H1162" s="15">
        <v>3000000</v>
      </c>
      <c r="I1162" s="13">
        <v>50</v>
      </c>
    </row>
    <row r="1163" ht="15.75" spans="1:9">
      <c r="A1163" s="12" t="s">
        <v>5654</v>
      </c>
      <c r="B1163" s="12" t="s">
        <v>391</v>
      </c>
      <c r="C1163" s="15">
        <v>81674</v>
      </c>
      <c r="D1163" s="13">
        <v>37</v>
      </c>
      <c r="F1163" s="12" t="s">
        <v>5655</v>
      </c>
      <c r="G1163" s="12" t="s">
        <v>392</v>
      </c>
      <c r="H1163" s="15">
        <v>435400</v>
      </c>
      <c r="I1163" s="13">
        <v>50</v>
      </c>
    </row>
    <row r="1164" ht="15.75" spans="1:9">
      <c r="A1164" s="12" t="s">
        <v>5656</v>
      </c>
      <c r="B1164" s="12" t="s">
        <v>391</v>
      </c>
      <c r="C1164" s="15">
        <v>16161</v>
      </c>
      <c r="D1164" s="13">
        <v>37</v>
      </c>
      <c r="F1164" s="12" t="s">
        <v>5657</v>
      </c>
      <c r="G1164" s="12" t="s">
        <v>391</v>
      </c>
      <c r="H1164" s="15">
        <v>22249</v>
      </c>
      <c r="I1164" s="13">
        <v>50</v>
      </c>
    </row>
    <row r="1165" ht="15.75" spans="1:9">
      <c r="A1165" s="12" t="s">
        <v>5658</v>
      </c>
      <c r="B1165" s="12" t="s">
        <v>391</v>
      </c>
      <c r="C1165" s="15">
        <v>77809</v>
      </c>
      <c r="D1165" s="13">
        <v>37</v>
      </c>
      <c r="F1165" s="12" t="s">
        <v>5659</v>
      </c>
      <c r="G1165" s="12" t="s">
        <v>392</v>
      </c>
      <c r="H1165" s="15">
        <v>36493</v>
      </c>
      <c r="I1165" s="13">
        <v>50</v>
      </c>
    </row>
    <row r="1166" ht="15.75" spans="1:9">
      <c r="A1166" s="12" t="s">
        <v>4793</v>
      </c>
      <c r="B1166" s="12" t="s">
        <v>391</v>
      </c>
      <c r="C1166" s="15">
        <v>102033</v>
      </c>
      <c r="D1166" s="13">
        <v>37</v>
      </c>
      <c r="F1166" s="12" t="s">
        <v>5660</v>
      </c>
      <c r="G1166" s="12" t="s">
        <v>391</v>
      </c>
      <c r="H1166" s="15">
        <v>33749</v>
      </c>
      <c r="I1166" s="13">
        <v>50</v>
      </c>
    </row>
    <row r="1167" ht="15.75" spans="1:9">
      <c r="A1167" s="12" t="s">
        <v>5661</v>
      </c>
      <c r="B1167" s="12" t="s">
        <v>391</v>
      </c>
      <c r="C1167" s="15">
        <v>49003</v>
      </c>
      <c r="D1167" s="13">
        <v>36</v>
      </c>
      <c r="F1167" s="12" t="s">
        <v>5662</v>
      </c>
      <c r="G1167" s="12" t="s">
        <v>391</v>
      </c>
      <c r="H1167" s="15">
        <v>10043</v>
      </c>
      <c r="I1167" s="13">
        <v>50</v>
      </c>
    </row>
    <row r="1168" ht="15.75" spans="1:9">
      <c r="A1168" s="12" t="s">
        <v>5663</v>
      </c>
      <c r="B1168" s="12" t="s">
        <v>391</v>
      </c>
      <c r="C1168" s="15">
        <v>47276</v>
      </c>
      <c r="D1168" s="13">
        <v>36</v>
      </c>
      <c r="F1168" s="12" t="s">
        <v>4012</v>
      </c>
      <c r="G1168" s="12" t="s">
        <v>391</v>
      </c>
      <c r="H1168" s="15">
        <v>21366</v>
      </c>
      <c r="I1168" s="13">
        <v>50</v>
      </c>
    </row>
    <row r="1169" ht="15.75" spans="1:9">
      <c r="A1169" s="12" t="s">
        <v>5664</v>
      </c>
      <c r="B1169" s="12" t="s">
        <v>391</v>
      </c>
      <c r="C1169" s="15">
        <v>43810</v>
      </c>
      <c r="D1169" s="13">
        <v>36</v>
      </c>
      <c r="F1169" s="12" t="s">
        <v>5665</v>
      </c>
      <c r="G1169" s="12" t="s">
        <v>392</v>
      </c>
      <c r="H1169" s="15">
        <v>359900</v>
      </c>
      <c r="I1169" s="13">
        <v>50</v>
      </c>
    </row>
    <row r="1170" ht="15.75" spans="1:9">
      <c r="A1170" s="12" t="s">
        <v>2365</v>
      </c>
      <c r="B1170" s="12" t="s">
        <v>391</v>
      </c>
      <c r="C1170" s="15">
        <v>679264838</v>
      </c>
      <c r="D1170" s="13">
        <v>36</v>
      </c>
      <c r="F1170" s="12" t="s">
        <v>5666</v>
      </c>
      <c r="G1170" s="12" t="s">
        <v>391</v>
      </c>
      <c r="H1170" s="15">
        <v>13602</v>
      </c>
      <c r="I1170" s="13">
        <v>50</v>
      </c>
    </row>
    <row r="1171" ht="15.75" spans="1:9">
      <c r="A1171" s="12" t="s">
        <v>5667</v>
      </c>
      <c r="B1171" s="12" t="s">
        <v>391</v>
      </c>
      <c r="C1171" s="15">
        <v>44088</v>
      </c>
      <c r="D1171" s="13">
        <v>36</v>
      </c>
      <c r="F1171" s="12" t="s">
        <v>5668</v>
      </c>
      <c r="G1171" s="12" t="s">
        <v>391</v>
      </c>
      <c r="H1171" s="15">
        <v>14064</v>
      </c>
      <c r="I1171" s="13">
        <v>50</v>
      </c>
    </row>
    <row r="1172" ht="15.75" spans="1:9">
      <c r="A1172" s="12" t="s">
        <v>4800</v>
      </c>
      <c r="B1172" s="12" t="s">
        <v>391</v>
      </c>
      <c r="C1172" s="15">
        <v>112800</v>
      </c>
      <c r="D1172" s="13">
        <v>36</v>
      </c>
      <c r="F1172" s="12" t="s">
        <v>5669</v>
      </c>
      <c r="G1172" s="12" t="s">
        <v>391</v>
      </c>
      <c r="H1172" s="15">
        <v>17019</v>
      </c>
      <c r="I1172" s="13">
        <v>50</v>
      </c>
    </row>
    <row r="1173" ht="15.75" spans="1:9">
      <c r="A1173" s="12" t="s">
        <v>5670</v>
      </c>
      <c r="B1173" s="12" t="s">
        <v>391</v>
      </c>
      <c r="C1173" s="15">
        <v>36299</v>
      </c>
      <c r="D1173" s="13">
        <v>36</v>
      </c>
      <c r="F1173" s="12" t="s">
        <v>5671</v>
      </c>
      <c r="G1173" s="12" t="s">
        <v>391</v>
      </c>
      <c r="H1173" s="15">
        <v>12235</v>
      </c>
      <c r="I1173" s="13">
        <v>50</v>
      </c>
    </row>
    <row r="1174" ht="15.75" spans="1:9">
      <c r="A1174" s="12" t="s">
        <v>5672</v>
      </c>
      <c r="B1174" s="12" t="s">
        <v>391</v>
      </c>
      <c r="C1174" s="15">
        <v>53803</v>
      </c>
      <c r="D1174" s="13">
        <v>36</v>
      </c>
      <c r="F1174" s="12" t="s">
        <v>4015</v>
      </c>
      <c r="G1174" s="12" t="s">
        <v>391</v>
      </c>
      <c r="H1174" s="15">
        <v>30260</v>
      </c>
      <c r="I1174" s="13">
        <v>50</v>
      </c>
    </row>
    <row r="1175" ht="15.75" spans="1:9">
      <c r="A1175" s="12" t="s">
        <v>3915</v>
      </c>
      <c r="B1175" s="12" t="s">
        <v>391</v>
      </c>
      <c r="C1175" s="15">
        <v>382923</v>
      </c>
      <c r="D1175" s="13">
        <v>36</v>
      </c>
      <c r="F1175" s="12" t="s">
        <v>5673</v>
      </c>
      <c r="G1175" s="12" t="s">
        <v>391</v>
      </c>
      <c r="H1175" s="15">
        <v>31484</v>
      </c>
      <c r="I1175" s="13">
        <v>50</v>
      </c>
    </row>
    <row r="1176" ht="15.75" spans="1:9">
      <c r="A1176" s="12" t="s">
        <v>5674</v>
      </c>
      <c r="B1176" s="12" t="s">
        <v>391</v>
      </c>
      <c r="C1176" s="15">
        <v>98899</v>
      </c>
      <c r="D1176" s="13">
        <v>36</v>
      </c>
      <c r="F1176" s="12" t="s">
        <v>5675</v>
      </c>
      <c r="G1176" s="12" t="s">
        <v>392</v>
      </c>
      <c r="H1176" s="15">
        <v>38700</v>
      </c>
      <c r="I1176" s="13">
        <v>50</v>
      </c>
    </row>
    <row r="1177" ht="15.75" spans="1:9">
      <c r="A1177" s="12" t="s">
        <v>5676</v>
      </c>
      <c r="B1177" s="12" t="s">
        <v>391</v>
      </c>
      <c r="C1177" s="15">
        <v>48245</v>
      </c>
      <c r="D1177" s="13">
        <v>36</v>
      </c>
      <c r="F1177" s="12" t="s">
        <v>5677</v>
      </c>
      <c r="G1177" s="12" t="s">
        <v>392</v>
      </c>
      <c r="H1177" s="15">
        <v>16200</v>
      </c>
      <c r="I1177" s="13">
        <v>50</v>
      </c>
    </row>
    <row r="1178" ht="15.75" spans="1:9">
      <c r="A1178" s="12" t="s">
        <v>5678</v>
      </c>
      <c r="B1178" s="12" t="s">
        <v>391</v>
      </c>
      <c r="C1178" s="15">
        <v>50437</v>
      </c>
      <c r="D1178" s="13">
        <v>36</v>
      </c>
      <c r="F1178" s="12" t="s">
        <v>5679</v>
      </c>
      <c r="G1178" s="12" t="s">
        <v>392</v>
      </c>
      <c r="H1178" s="15">
        <v>16900</v>
      </c>
      <c r="I1178" s="13">
        <v>50</v>
      </c>
    </row>
    <row r="1179" ht="15.75" spans="1:9">
      <c r="A1179" s="12" t="s">
        <v>5680</v>
      </c>
      <c r="B1179" s="12" t="s">
        <v>391</v>
      </c>
      <c r="C1179" s="15">
        <v>75227</v>
      </c>
      <c r="D1179" s="13">
        <v>36</v>
      </c>
      <c r="F1179" s="12" t="s">
        <v>5681</v>
      </c>
      <c r="G1179" s="12" t="s">
        <v>391</v>
      </c>
      <c r="H1179" s="15">
        <v>23120</v>
      </c>
      <c r="I1179" s="13">
        <v>50</v>
      </c>
    </row>
    <row r="1180" ht="15.75" spans="1:9">
      <c r="A1180" s="12" t="s">
        <v>5682</v>
      </c>
      <c r="B1180" s="12" t="s">
        <v>391</v>
      </c>
      <c r="C1180" s="15">
        <v>52304</v>
      </c>
      <c r="D1180" s="13">
        <v>36</v>
      </c>
      <c r="F1180" s="12" t="s">
        <v>5683</v>
      </c>
      <c r="G1180" s="12" t="s">
        <v>392</v>
      </c>
      <c r="H1180" s="15">
        <v>10900</v>
      </c>
      <c r="I1180" s="13">
        <v>50</v>
      </c>
    </row>
    <row r="1181" ht="15.75" spans="1:9">
      <c r="A1181" s="12" t="s">
        <v>5684</v>
      </c>
      <c r="B1181" s="12" t="s">
        <v>391</v>
      </c>
      <c r="C1181" s="15">
        <v>47782</v>
      </c>
      <c r="D1181" s="13">
        <v>36</v>
      </c>
      <c r="F1181" s="12" t="s">
        <v>5685</v>
      </c>
      <c r="G1181" s="12" t="s">
        <v>391</v>
      </c>
      <c r="H1181" s="15">
        <v>17649</v>
      </c>
      <c r="I1181" s="13">
        <v>50</v>
      </c>
    </row>
    <row r="1182" ht="15.75" spans="1:9">
      <c r="A1182" s="12" t="s">
        <v>5686</v>
      </c>
      <c r="B1182" s="12" t="s">
        <v>391</v>
      </c>
      <c r="C1182" s="15">
        <v>27901</v>
      </c>
      <c r="D1182" s="13">
        <v>36</v>
      </c>
      <c r="F1182" s="12" t="s">
        <v>5687</v>
      </c>
      <c r="G1182" s="12" t="s">
        <v>392</v>
      </c>
      <c r="H1182" s="15">
        <v>27100</v>
      </c>
      <c r="I1182" s="13">
        <v>50</v>
      </c>
    </row>
    <row r="1183" ht="15.75" spans="1:9">
      <c r="A1183" s="12" t="s">
        <v>5688</v>
      </c>
      <c r="B1183" s="12" t="s">
        <v>391</v>
      </c>
      <c r="C1183" s="15">
        <v>42342</v>
      </c>
      <c r="D1183" s="13">
        <v>36</v>
      </c>
      <c r="F1183" s="12" t="s">
        <v>5689</v>
      </c>
      <c r="G1183" s="12" t="s">
        <v>392</v>
      </c>
      <c r="H1183" s="15">
        <v>393600</v>
      </c>
      <c r="I1183" s="13">
        <v>50</v>
      </c>
    </row>
    <row r="1184" ht="15.75" spans="1:9">
      <c r="A1184" s="12" t="s">
        <v>5690</v>
      </c>
      <c r="B1184" s="12" t="s">
        <v>391</v>
      </c>
      <c r="C1184" s="15">
        <v>36998</v>
      </c>
      <c r="D1184" s="13">
        <v>36</v>
      </c>
      <c r="F1184" s="12" t="s">
        <v>5691</v>
      </c>
      <c r="G1184" s="12" t="s">
        <v>392</v>
      </c>
      <c r="H1184" s="15">
        <v>25500</v>
      </c>
      <c r="I1184" s="13">
        <v>50</v>
      </c>
    </row>
    <row r="1185" ht="15.75" spans="1:9">
      <c r="A1185" s="12" t="s">
        <v>5692</v>
      </c>
      <c r="B1185" s="12" t="s">
        <v>391</v>
      </c>
      <c r="C1185" s="15">
        <v>51636</v>
      </c>
      <c r="D1185" s="13">
        <v>36</v>
      </c>
      <c r="F1185" s="12" t="s">
        <v>5693</v>
      </c>
      <c r="G1185" s="12" t="s">
        <v>391</v>
      </c>
      <c r="H1185" s="15">
        <v>27497</v>
      </c>
      <c r="I1185" s="13">
        <v>50</v>
      </c>
    </row>
    <row r="1186" ht="15.75" spans="1:9">
      <c r="A1186" s="12" t="s">
        <v>5694</v>
      </c>
      <c r="B1186" s="12" t="s">
        <v>391</v>
      </c>
      <c r="C1186" s="15">
        <v>89267</v>
      </c>
      <c r="D1186" s="13">
        <v>36</v>
      </c>
      <c r="F1186" s="12" t="s">
        <v>5695</v>
      </c>
      <c r="G1186" s="12" t="s">
        <v>391</v>
      </c>
      <c r="H1186" s="15">
        <v>15423</v>
      </c>
      <c r="I1186" s="13">
        <v>50</v>
      </c>
    </row>
    <row r="1187" ht="15.75" spans="1:9">
      <c r="A1187" s="12" t="s">
        <v>5696</v>
      </c>
      <c r="B1187" s="12" t="s">
        <v>391</v>
      </c>
      <c r="C1187" s="15">
        <v>83488</v>
      </c>
      <c r="D1187" s="13">
        <v>36</v>
      </c>
      <c r="F1187" s="12" t="s">
        <v>5697</v>
      </c>
      <c r="G1187" s="12" t="s">
        <v>391</v>
      </c>
      <c r="H1187" s="15">
        <v>12998</v>
      </c>
      <c r="I1187" s="13">
        <v>50</v>
      </c>
    </row>
    <row r="1188" ht="15.75" spans="1:9">
      <c r="A1188" s="12" t="s">
        <v>5698</v>
      </c>
      <c r="B1188" s="12" t="s">
        <v>391</v>
      </c>
      <c r="C1188" s="15">
        <v>35806</v>
      </c>
      <c r="D1188" s="13">
        <v>35</v>
      </c>
      <c r="F1188" s="12" t="s">
        <v>5699</v>
      </c>
      <c r="G1188" s="12" t="s">
        <v>392</v>
      </c>
      <c r="H1188" s="15">
        <v>192300</v>
      </c>
      <c r="I1188" s="13">
        <v>50</v>
      </c>
    </row>
    <row r="1189" ht="15.75" spans="1:9">
      <c r="A1189" s="12" t="s">
        <v>3942</v>
      </c>
      <c r="B1189" s="12" t="s">
        <v>391</v>
      </c>
      <c r="C1189" s="15">
        <v>19119</v>
      </c>
      <c r="D1189" s="13">
        <v>35</v>
      </c>
      <c r="F1189" s="12" t="s">
        <v>5700</v>
      </c>
      <c r="G1189" s="12" t="s">
        <v>392</v>
      </c>
      <c r="H1189" s="15">
        <v>12000</v>
      </c>
      <c r="I1189" s="13">
        <v>50</v>
      </c>
    </row>
    <row r="1190" ht="15.75" spans="1:9">
      <c r="A1190" s="12" t="s">
        <v>5701</v>
      </c>
      <c r="B1190" s="12" t="s">
        <v>391</v>
      </c>
      <c r="C1190" s="15">
        <v>49576</v>
      </c>
      <c r="D1190" s="13">
        <v>35</v>
      </c>
      <c r="F1190" s="12" t="s">
        <v>4017</v>
      </c>
      <c r="G1190" s="12" t="s">
        <v>391</v>
      </c>
      <c r="H1190" s="15">
        <v>14225</v>
      </c>
      <c r="I1190" s="13">
        <v>50</v>
      </c>
    </row>
    <row r="1191" ht="15.75" spans="1:9">
      <c r="A1191" s="12" t="s">
        <v>5702</v>
      </c>
      <c r="B1191" s="12" t="s">
        <v>391</v>
      </c>
      <c r="C1191" s="15">
        <v>59672</v>
      </c>
      <c r="D1191" s="13">
        <v>35</v>
      </c>
      <c r="F1191" s="12" t="s">
        <v>5703</v>
      </c>
      <c r="G1191" s="12" t="s">
        <v>392</v>
      </c>
      <c r="H1191" s="15">
        <v>191000</v>
      </c>
      <c r="I1191" s="13">
        <v>50</v>
      </c>
    </row>
    <row r="1192" ht="15.75" spans="1:9">
      <c r="A1192" s="12" t="s">
        <v>5704</v>
      </c>
      <c r="B1192" s="12" t="s">
        <v>391</v>
      </c>
      <c r="C1192" s="15">
        <v>40290</v>
      </c>
      <c r="D1192" s="13">
        <v>35</v>
      </c>
      <c r="F1192" s="12" t="s">
        <v>5705</v>
      </c>
      <c r="G1192" s="12" t="s">
        <v>392</v>
      </c>
      <c r="H1192" s="15">
        <v>836100</v>
      </c>
      <c r="I1192" s="13">
        <v>50</v>
      </c>
    </row>
    <row r="1193" ht="15.75" spans="1:9">
      <c r="A1193" s="12" t="s">
        <v>4808</v>
      </c>
      <c r="B1193" s="12" t="s">
        <v>391</v>
      </c>
      <c r="C1193" s="15">
        <v>200688</v>
      </c>
      <c r="D1193" s="13">
        <v>35</v>
      </c>
      <c r="F1193" s="12" t="s">
        <v>5706</v>
      </c>
      <c r="G1193" s="12" t="s">
        <v>392</v>
      </c>
      <c r="H1193" s="15">
        <v>55201</v>
      </c>
      <c r="I1193" s="13">
        <v>50</v>
      </c>
    </row>
    <row r="1194" ht="15.75" spans="1:9">
      <c r="A1194" s="12" t="s">
        <v>5707</v>
      </c>
      <c r="B1194" s="12" t="s">
        <v>391</v>
      </c>
      <c r="C1194" s="15">
        <v>43865</v>
      </c>
      <c r="D1194" s="13">
        <v>35</v>
      </c>
      <c r="F1194" s="12" t="s">
        <v>4020</v>
      </c>
      <c r="G1194" s="12" t="s">
        <v>391</v>
      </c>
      <c r="H1194" s="15">
        <v>15776</v>
      </c>
      <c r="I1194" s="13">
        <v>50</v>
      </c>
    </row>
    <row r="1195" ht="15.75" spans="1:9">
      <c r="A1195" s="12" t="s">
        <v>5708</v>
      </c>
      <c r="B1195" s="12" t="s">
        <v>391</v>
      </c>
      <c r="C1195" s="15">
        <v>44798</v>
      </c>
      <c r="D1195" s="13">
        <v>35</v>
      </c>
      <c r="F1195" s="12" t="s">
        <v>5709</v>
      </c>
      <c r="G1195" s="12" t="s">
        <v>392</v>
      </c>
      <c r="H1195" s="15">
        <v>58900</v>
      </c>
      <c r="I1195" s="13">
        <v>50</v>
      </c>
    </row>
    <row r="1196" ht="15.75" spans="1:9">
      <c r="A1196" s="12" t="s">
        <v>5710</v>
      </c>
      <c r="B1196" s="12" t="s">
        <v>391</v>
      </c>
      <c r="C1196" s="15">
        <v>49207</v>
      </c>
      <c r="D1196" s="13">
        <v>35</v>
      </c>
      <c r="F1196" s="12" t="s">
        <v>4023</v>
      </c>
      <c r="G1196" s="12" t="s">
        <v>391</v>
      </c>
      <c r="H1196" s="15">
        <v>10134</v>
      </c>
      <c r="I1196" s="13">
        <v>50</v>
      </c>
    </row>
    <row r="1197" ht="15.75" spans="1:9">
      <c r="A1197" s="12" t="s">
        <v>5711</v>
      </c>
      <c r="B1197" s="12" t="s">
        <v>391</v>
      </c>
      <c r="C1197" s="15">
        <v>52303</v>
      </c>
      <c r="D1197" s="13">
        <v>35</v>
      </c>
      <c r="F1197" s="12" t="s">
        <v>5712</v>
      </c>
      <c r="G1197" s="12" t="s">
        <v>392</v>
      </c>
      <c r="H1197" s="15">
        <v>19473</v>
      </c>
      <c r="I1197" s="13">
        <v>50</v>
      </c>
    </row>
    <row r="1198" ht="15.75" spans="1:9">
      <c r="A1198" s="12" t="s">
        <v>5713</v>
      </c>
      <c r="B1198" s="12" t="s">
        <v>391</v>
      </c>
      <c r="C1198" s="15">
        <v>37588</v>
      </c>
      <c r="D1198" s="13">
        <v>35</v>
      </c>
      <c r="F1198" s="12" t="s">
        <v>5714</v>
      </c>
      <c r="G1198" s="12" t="s">
        <v>392</v>
      </c>
      <c r="H1198" s="15">
        <v>22600</v>
      </c>
      <c r="I1198" s="13">
        <v>50</v>
      </c>
    </row>
    <row r="1199" ht="15.75" spans="1:9">
      <c r="A1199" s="12" t="s">
        <v>2372</v>
      </c>
      <c r="B1199" s="12" t="s">
        <v>391</v>
      </c>
      <c r="C1199" s="15">
        <v>516185245</v>
      </c>
      <c r="D1199" s="13">
        <v>35</v>
      </c>
      <c r="F1199" s="12" t="s">
        <v>5715</v>
      </c>
      <c r="G1199" s="12" t="s">
        <v>391</v>
      </c>
      <c r="H1199" s="15">
        <v>30292</v>
      </c>
      <c r="I1199" s="13">
        <v>50</v>
      </c>
    </row>
    <row r="1200" ht="15.75" spans="1:9">
      <c r="A1200" s="12" t="s">
        <v>4813</v>
      </c>
      <c r="B1200" s="12" t="s">
        <v>391</v>
      </c>
      <c r="C1200" s="15">
        <v>291117</v>
      </c>
      <c r="D1200" s="13">
        <v>35</v>
      </c>
      <c r="F1200" s="12" t="s">
        <v>5716</v>
      </c>
      <c r="G1200" s="12" t="s">
        <v>391</v>
      </c>
      <c r="H1200" s="15">
        <v>10316</v>
      </c>
      <c r="I1200" s="13">
        <v>50</v>
      </c>
    </row>
    <row r="1201" ht="15.75" spans="1:9">
      <c r="A1201" s="12" t="s">
        <v>5717</v>
      </c>
      <c r="B1201" s="12" t="s">
        <v>391</v>
      </c>
      <c r="C1201" s="15">
        <v>68536</v>
      </c>
      <c r="D1201" s="13">
        <v>35</v>
      </c>
      <c r="F1201" s="12" t="s">
        <v>5718</v>
      </c>
      <c r="G1201" s="12" t="s">
        <v>392</v>
      </c>
      <c r="H1201" s="15">
        <v>32600</v>
      </c>
      <c r="I1201" s="13">
        <v>50</v>
      </c>
    </row>
    <row r="1202" ht="15.75" spans="1:9">
      <c r="A1202" s="12" t="s">
        <v>5719</v>
      </c>
      <c r="B1202" s="12" t="s">
        <v>391</v>
      </c>
      <c r="C1202" s="15">
        <v>74427</v>
      </c>
      <c r="D1202" s="13">
        <v>35</v>
      </c>
      <c r="F1202" s="12" t="s">
        <v>5720</v>
      </c>
      <c r="G1202" s="12" t="s">
        <v>392</v>
      </c>
      <c r="H1202" s="15">
        <v>43400</v>
      </c>
      <c r="I1202" s="13">
        <v>50</v>
      </c>
    </row>
    <row r="1203" ht="15.75" spans="1:9">
      <c r="A1203" s="12" t="s">
        <v>4818</v>
      </c>
      <c r="B1203" s="12" t="s">
        <v>391</v>
      </c>
      <c r="C1203" s="15">
        <v>120903</v>
      </c>
      <c r="D1203" s="13">
        <v>35</v>
      </c>
      <c r="F1203" s="12" t="s">
        <v>5721</v>
      </c>
      <c r="G1203" s="12" t="s">
        <v>392</v>
      </c>
      <c r="H1203" s="15">
        <v>116700</v>
      </c>
      <c r="I1203" s="13">
        <v>50</v>
      </c>
    </row>
    <row r="1204" ht="15.75" spans="1:9">
      <c r="A1204" s="12" t="s">
        <v>5722</v>
      </c>
      <c r="B1204" s="12" t="s">
        <v>391</v>
      </c>
      <c r="C1204" s="15">
        <v>69666</v>
      </c>
      <c r="D1204" s="13">
        <v>35</v>
      </c>
      <c r="F1204" s="12" t="s">
        <v>4026</v>
      </c>
      <c r="G1204" s="12" t="s">
        <v>391</v>
      </c>
      <c r="H1204" s="15">
        <v>13838</v>
      </c>
      <c r="I1204" s="13">
        <v>50</v>
      </c>
    </row>
    <row r="1205" ht="15.75" spans="1:9">
      <c r="A1205" s="12" t="s">
        <v>5723</v>
      </c>
      <c r="B1205" s="12" t="s">
        <v>391</v>
      </c>
      <c r="C1205" s="15">
        <v>46898</v>
      </c>
      <c r="D1205" s="13">
        <v>35</v>
      </c>
      <c r="F1205" s="12" t="s">
        <v>5724</v>
      </c>
      <c r="G1205" s="12" t="s">
        <v>392</v>
      </c>
      <c r="H1205" s="15">
        <v>48000</v>
      </c>
      <c r="I1205" s="13">
        <v>50</v>
      </c>
    </row>
    <row r="1206" ht="15.75" spans="1:9">
      <c r="A1206" s="12" t="s">
        <v>5725</v>
      </c>
      <c r="B1206" s="12" t="s">
        <v>391</v>
      </c>
      <c r="C1206" s="15">
        <v>34503</v>
      </c>
      <c r="D1206" s="13">
        <v>35</v>
      </c>
      <c r="F1206" s="12" t="s">
        <v>5726</v>
      </c>
      <c r="G1206" s="12" t="s">
        <v>392</v>
      </c>
      <c r="H1206" s="15">
        <v>17800</v>
      </c>
      <c r="I1206" s="13">
        <v>50</v>
      </c>
    </row>
    <row r="1207" ht="15.75" spans="1:9">
      <c r="A1207" s="12" t="s">
        <v>5727</v>
      </c>
      <c r="B1207" s="12" t="s">
        <v>391</v>
      </c>
      <c r="C1207" s="15">
        <v>64217</v>
      </c>
      <c r="D1207" s="13">
        <v>35</v>
      </c>
      <c r="F1207" s="12" t="s">
        <v>5728</v>
      </c>
      <c r="G1207" s="12" t="s">
        <v>391</v>
      </c>
      <c r="H1207" s="15">
        <v>13116</v>
      </c>
      <c r="I1207" s="13">
        <v>50</v>
      </c>
    </row>
    <row r="1208" ht="15.75" spans="1:9">
      <c r="A1208" s="12" t="s">
        <v>5729</v>
      </c>
      <c r="B1208" s="12" t="s">
        <v>391</v>
      </c>
      <c r="C1208" s="15">
        <v>36032</v>
      </c>
      <c r="D1208" s="13">
        <v>35</v>
      </c>
      <c r="F1208" s="12" t="s">
        <v>5730</v>
      </c>
      <c r="G1208" s="12" t="s">
        <v>392</v>
      </c>
      <c r="H1208" s="15">
        <v>196300</v>
      </c>
      <c r="I1208" s="13">
        <v>50</v>
      </c>
    </row>
    <row r="1209" ht="15.75" spans="1:9">
      <c r="A1209" s="12" t="s">
        <v>5731</v>
      </c>
      <c r="B1209" s="12" t="s">
        <v>391</v>
      </c>
      <c r="C1209" s="15">
        <v>52465</v>
      </c>
      <c r="D1209" s="13">
        <v>35</v>
      </c>
      <c r="F1209" s="12" t="s">
        <v>5732</v>
      </c>
      <c r="G1209" s="12" t="s">
        <v>391</v>
      </c>
      <c r="H1209" s="15">
        <v>16977</v>
      </c>
      <c r="I1209" s="13">
        <v>50</v>
      </c>
    </row>
    <row r="1210" ht="15.75" spans="1:9">
      <c r="A1210" s="12" t="s">
        <v>5733</v>
      </c>
      <c r="B1210" s="12" t="s">
        <v>391</v>
      </c>
      <c r="C1210" s="15">
        <v>75709</v>
      </c>
      <c r="D1210" s="13">
        <v>34</v>
      </c>
      <c r="F1210" s="12" t="s">
        <v>5734</v>
      </c>
      <c r="G1210" s="12" t="s">
        <v>392</v>
      </c>
      <c r="H1210" s="15">
        <v>10200</v>
      </c>
      <c r="I1210" s="13">
        <v>50</v>
      </c>
    </row>
    <row r="1211" ht="15.75" spans="1:9">
      <c r="A1211" s="12" t="s">
        <v>4825</v>
      </c>
      <c r="B1211" s="12" t="s">
        <v>391</v>
      </c>
      <c r="C1211" s="15">
        <v>153444</v>
      </c>
      <c r="D1211" s="13">
        <v>34</v>
      </c>
      <c r="F1211" s="12" t="s">
        <v>5735</v>
      </c>
      <c r="G1211" s="12" t="s">
        <v>391</v>
      </c>
      <c r="H1211" s="15">
        <v>18403</v>
      </c>
      <c r="I1211" s="13">
        <v>50</v>
      </c>
    </row>
    <row r="1212" ht="15.75" spans="1:9">
      <c r="A1212" s="12" t="s">
        <v>5736</v>
      </c>
      <c r="B1212" s="12" t="s">
        <v>391</v>
      </c>
      <c r="C1212" s="15">
        <v>46743</v>
      </c>
      <c r="D1212" s="13">
        <v>34</v>
      </c>
      <c r="F1212" s="12" t="s">
        <v>5737</v>
      </c>
      <c r="G1212" s="12" t="s">
        <v>392</v>
      </c>
      <c r="H1212" s="15">
        <v>35600</v>
      </c>
      <c r="I1212" s="13">
        <v>50</v>
      </c>
    </row>
    <row r="1213" ht="15.75" spans="1:9">
      <c r="A1213" s="12" t="s">
        <v>4845</v>
      </c>
      <c r="B1213" s="12" t="s">
        <v>391</v>
      </c>
      <c r="C1213" s="15">
        <v>108222</v>
      </c>
      <c r="D1213" s="13">
        <v>34</v>
      </c>
      <c r="F1213" s="12" t="s">
        <v>5738</v>
      </c>
      <c r="G1213" s="12" t="s">
        <v>392</v>
      </c>
      <c r="H1213" s="15">
        <v>159200</v>
      </c>
      <c r="I1213" s="13">
        <v>50</v>
      </c>
    </row>
    <row r="1214" ht="15.75" spans="1:9">
      <c r="A1214" s="12" t="s">
        <v>5739</v>
      </c>
      <c r="B1214" s="12" t="s">
        <v>391</v>
      </c>
      <c r="C1214" s="15">
        <v>34144</v>
      </c>
      <c r="D1214" s="13">
        <v>34</v>
      </c>
      <c r="F1214" s="12" t="s">
        <v>5740</v>
      </c>
      <c r="G1214" s="12" t="s">
        <v>392</v>
      </c>
      <c r="H1214" s="15">
        <v>10200</v>
      </c>
      <c r="I1214" s="13">
        <v>50</v>
      </c>
    </row>
    <row r="1215" ht="15.75" spans="1:9">
      <c r="A1215" s="12" t="s">
        <v>5741</v>
      </c>
      <c r="B1215" s="12" t="s">
        <v>391</v>
      </c>
      <c r="C1215" s="15">
        <v>53101</v>
      </c>
      <c r="D1215" s="13">
        <v>34</v>
      </c>
      <c r="F1215" s="12" t="s">
        <v>5742</v>
      </c>
      <c r="G1215" s="12" t="s">
        <v>392</v>
      </c>
      <c r="H1215" s="15">
        <v>2300000</v>
      </c>
      <c r="I1215" s="13">
        <v>50</v>
      </c>
    </row>
    <row r="1216" ht="15.75" spans="1:9">
      <c r="A1216" s="12" t="s">
        <v>5743</v>
      </c>
      <c r="B1216" s="12" t="s">
        <v>391</v>
      </c>
      <c r="C1216" s="15">
        <v>40648</v>
      </c>
      <c r="D1216" s="13">
        <v>34</v>
      </c>
      <c r="F1216" s="12" t="s">
        <v>5744</v>
      </c>
      <c r="G1216" s="12" t="s">
        <v>392</v>
      </c>
      <c r="H1216" s="15">
        <v>151800</v>
      </c>
      <c r="I1216" s="13">
        <v>50</v>
      </c>
    </row>
    <row r="1217" ht="15.75" spans="1:9">
      <c r="A1217" s="12" t="s">
        <v>4549</v>
      </c>
      <c r="B1217" s="12" t="s">
        <v>391</v>
      </c>
      <c r="C1217" s="15">
        <v>140906</v>
      </c>
      <c r="D1217" s="13">
        <v>34</v>
      </c>
      <c r="F1217" s="12" t="s">
        <v>4029</v>
      </c>
      <c r="G1217" s="12" t="s">
        <v>391</v>
      </c>
      <c r="H1217" s="15">
        <v>11331</v>
      </c>
      <c r="I1217" s="13">
        <v>50</v>
      </c>
    </row>
    <row r="1218" ht="15.75" spans="1:9">
      <c r="A1218" s="12" t="s">
        <v>5745</v>
      </c>
      <c r="B1218" s="12" t="s">
        <v>391</v>
      </c>
      <c r="C1218" s="15">
        <v>56863</v>
      </c>
      <c r="D1218" s="13">
        <v>34</v>
      </c>
      <c r="F1218" s="12" t="s">
        <v>5746</v>
      </c>
      <c r="G1218" s="12" t="s">
        <v>391</v>
      </c>
      <c r="H1218" s="15">
        <v>15240</v>
      </c>
      <c r="I1218" s="13">
        <v>50</v>
      </c>
    </row>
    <row r="1219" ht="15.75" spans="1:9">
      <c r="A1219" s="12" t="s">
        <v>3983</v>
      </c>
      <c r="B1219" s="12" t="s">
        <v>391</v>
      </c>
      <c r="C1219" s="15">
        <v>28997</v>
      </c>
      <c r="D1219" s="13">
        <v>34</v>
      </c>
      <c r="F1219" s="12" t="s">
        <v>4031</v>
      </c>
      <c r="G1219" s="12" t="s">
        <v>391</v>
      </c>
      <c r="H1219" s="15">
        <v>13466</v>
      </c>
      <c r="I1219" s="13">
        <v>50</v>
      </c>
    </row>
    <row r="1220" ht="15.75" spans="1:9">
      <c r="A1220" s="12" t="s">
        <v>3990</v>
      </c>
      <c r="B1220" s="12" t="s">
        <v>391</v>
      </c>
      <c r="C1220" s="15">
        <v>121604</v>
      </c>
      <c r="D1220" s="13">
        <v>34</v>
      </c>
      <c r="F1220" s="12" t="s">
        <v>5747</v>
      </c>
      <c r="G1220" s="12" t="s">
        <v>392</v>
      </c>
      <c r="H1220" s="15">
        <v>10800</v>
      </c>
      <c r="I1220" s="13">
        <v>50</v>
      </c>
    </row>
    <row r="1221" ht="15.75" spans="1:9">
      <c r="A1221" s="12" t="s">
        <v>5748</v>
      </c>
      <c r="B1221" s="12" t="s">
        <v>391</v>
      </c>
      <c r="C1221" s="15">
        <v>49651</v>
      </c>
      <c r="D1221" s="13">
        <v>33</v>
      </c>
      <c r="F1221" s="12" t="s">
        <v>5749</v>
      </c>
      <c r="G1221" s="12" t="s">
        <v>391</v>
      </c>
      <c r="H1221" s="15">
        <v>11077</v>
      </c>
      <c r="I1221" s="13">
        <v>50</v>
      </c>
    </row>
    <row r="1222" ht="15.75" spans="1:9">
      <c r="A1222" s="12" t="s">
        <v>4839</v>
      </c>
      <c r="B1222" s="12" t="s">
        <v>391</v>
      </c>
      <c r="C1222" s="15">
        <v>126871</v>
      </c>
      <c r="D1222" s="13">
        <v>33</v>
      </c>
      <c r="F1222" s="12" t="s">
        <v>5750</v>
      </c>
      <c r="G1222" s="12" t="s">
        <v>392</v>
      </c>
      <c r="H1222" s="15">
        <v>85700</v>
      </c>
      <c r="I1222" s="13">
        <v>50</v>
      </c>
    </row>
    <row r="1223" ht="15.75" spans="1:9">
      <c r="A1223" s="12" t="s">
        <v>5751</v>
      </c>
      <c r="B1223" s="12" t="s">
        <v>391</v>
      </c>
      <c r="C1223" s="15">
        <v>86480</v>
      </c>
      <c r="D1223" s="13">
        <v>33</v>
      </c>
      <c r="F1223" s="12" t="s">
        <v>5752</v>
      </c>
      <c r="G1223" s="12" t="s">
        <v>392</v>
      </c>
      <c r="H1223" s="15">
        <v>13900</v>
      </c>
      <c r="I1223" s="13">
        <v>50</v>
      </c>
    </row>
    <row r="1224" ht="15.75" spans="1:9">
      <c r="A1224" s="12" t="s">
        <v>5753</v>
      </c>
      <c r="B1224" s="12" t="s">
        <v>391</v>
      </c>
      <c r="C1224" s="15">
        <v>62476</v>
      </c>
      <c r="D1224" s="13">
        <v>33</v>
      </c>
      <c r="F1224" s="12" t="s">
        <v>5754</v>
      </c>
      <c r="G1224" s="12" t="s">
        <v>392</v>
      </c>
      <c r="H1224" s="15">
        <v>11000</v>
      </c>
      <c r="I1224" s="13">
        <v>50</v>
      </c>
    </row>
    <row r="1225" ht="15.75" spans="1:9">
      <c r="A1225" s="12" t="s">
        <v>5755</v>
      </c>
      <c r="B1225" s="12" t="s">
        <v>391</v>
      </c>
      <c r="C1225" s="15">
        <v>69656</v>
      </c>
      <c r="D1225" s="13">
        <v>33</v>
      </c>
      <c r="F1225" s="12" t="s">
        <v>5756</v>
      </c>
      <c r="G1225" s="12" t="s">
        <v>392</v>
      </c>
      <c r="H1225" s="15">
        <v>12599</v>
      </c>
      <c r="I1225" s="13">
        <v>50</v>
      </c>
    </row>
    <row r="1226" ht="15.75" spans="1:9">
      <c r="A1226" s="12" t="s">
        <v>4000</v>
      </c>
      <c r="B1226" s="12" t="s">
        <v>391</v>
      </c>
      <c r="C1226" s="15">
        <v>32174</v>
      </c>
      <c r="D1226" s="13">
        <v>33</v>
      </c>
      <c r="F1226" s="12" t="s">
        <v>4034</v>
      </c>
      <c r="G1226" s="12" t="s">
        <v>391</v>
      </c>
      <c r="H1226" s="15">
        <v>28417</v>
      </c>
      <c r="I1226" s="13">
        <v>50</v>
      </c>
    </row>
    <row r="1227" ht="15.75" spans="1:9">
      <c r="A1227" s="12" t="s">
        <v>4822</v>
      </c>
      <c r="B1227" s="12" t="s">
        <v>391</v>
      </c>
      <c r="C1227" s="15">
        <v>115511</v>
      </c>
      <c r="D1227" s="13">
        <v>32</v>
      </c>
      <c r="F1227" s="12" t="s">
        <v>5757</v>
      </c>
      <c r="G1227" s="12" t="s">
        <v>391</v>
      </c>
      <c r="H1227" s="15">
        <v>12967</v>
      </c>
      <c r="I1227" s="13">
        <v>50</v>
      </c>
    </row>
    <row r="1228" ht="15.75" spans="1:9">
      <c r="A1228" s="12" t="s">
        <v>4810</v>
      </c>
      <c r="B1228" s="12" t="s">
        <v>391</v>
      </c>
      <c r="C1228" s="15">
        <v>102492</v>
      </c>
      <c r="D1228" s="13">
        <v>32</v>
      </c>
      <c r="F1228" s="12" t="s">
        <v>5758</v>
      </c>
      <c r="G1228" s="12" t="s">
        <v>391</v>
      </c>
      <c r="H1228" s="15">
        <v>17664</v>
      </c>
      <c r="I1228" s="13">
        <v>50</v>
      </c>
    </row>
    <row r="1229" ht="15.75" spans="1:9">
      <c r="A1229" s="12" t="s">
        <v>5759</v>
      </c>
      <c r="B1229" s="12" t="s">
        <v>391</v>
      </c>
      <c r="C1229" s="15">
        <v>49781</v>
      </c>
      <c r="D1229" s="13">
        <v>32</v>
      </c>
      <c r="F1229" s="12" t="s">
        <v>5760</v>
      </c>
      <c r="G1229" s="12" t="s">
        <v>392</v>
      </c>
      <c r="H1229" s="15">
        <v>567900</v>
      </c>
      <c r="I1229" s="13">
        <v>50</v>
      </c>
    </row>
    <row r="1230" ht="15.75" spans="1:9">
      <c r="A1230" s="12" t="s">
        <v>5761</v>
      </c>
      <c r="B1230" s="12" t="s">
        <v>391</v>
      </c>
      <c r="C1230" s="15">
        <v>75558</v>
      </c>
      <c r="D1230" s="13">
        <v>32</v>
      </c>
      <c r="F1230" s="12" t="s">
        <v>5762</v>
      </c>
      <c r="G1230" s="12" t="s">
        <v>391</v>
      </c>
      <c r="H1230" s="15">
        <v>27432</v>
      </c>
      <c r="I1230" s="13">
        <v>50</v>
      </c>
    </row>
    <row r="1231" ht="15.75" spans="1:9">
      <c r="A1231" s="12" t="s">
        <v>4646</v>
      </c>
      <c r="B1231" s="12" t="s">
        <v>391</v>
      </c>
      <c r="C1231" s="15">
        <v>934301</v>
      </c>
      <c r="D1231" s="13">
        <v>32</v>
      </c>
      <c r="F1231" s="12" t="s">
        <v>5763</v>
      </c>
      <c r="G1231" s="12" t="s">
        <v>391</v>
      </c>
      <c r="H1231" s="15">
        <v>11860</v>
      </c>
      <c r="I1231" s="13">
        <v>50</v>
      </c>
    </row>
    <row r="1232" ht="15.75" spans="1:9">
      <c r="A1232" s="12" t="s">
        <v>5764</v>
      </c>
      <c r="B1232" s="12" t="s">
        <v>391</v>
      </c>
      <c r="C1232" s="15">
        <v>79928</v>
      </c>
      <c r="D1232" s="13">
        <v>32</v>
      </c>
      <c r="F1232" s="12" t="s">
        <v>5765</v>
      </c>
      <c r="G1232" s="12" t="s">
        <v>392</v>
      </c>
      <c r="H1232" s="15">
        <v>316400</v>
      </c>
      <c r="I1232" s="13">
        <v>50</v>
      </c>
    </row>
    <row r="1233" ht="15.75" spans="1:9">
      <c r="A1233" s="12" t="s">
        <v>3936</v>
      </c>
      <c r="B1233" s="12" t="s">
        <v>391</v>
      </c>
      <c r="C1233" s="15">
        <v>118392</v>
      </c>
      <c r="D1233" s="13">
        <v>31</v>
      </c>
      <c r="F1233" s="12" t="s">
        <v>5766</v>
      </c>
      <c r="G1233" s="12" t="s">
        <v>392</v>
      </c>
      <c r="H1233" s="15">
        <v>95900</v>
      </c>
      <c r="I1233" s="13">
        <v>50</v>
      </c>
    </row>
    <row r="1234" ht="15.75" spans="1:9">
      <c r="A1234" s="12" t="s">
        <v>5767</v>
      </c>
      <c r="B1234" s="12" t="s">
        <v>391</v>
      </c>
      <c r="C1234" s="15">
        <v>53345</v>
      </c>
      <c r="D1234" s="13">
        <v>31</v>
      </c>
      <c r="F1234" s="12" t="s">
        <v>5768</v>
      </c>
      <c r="G1234" s="12" t="s">
        <v>392</v>
      </c>
      <c r="H1234" s="15">
        <v>14000</v>
      </c>
      <c r="I1234" s="13">
        <v>50</v>
      </c>
    </row>
    <row r="1235" ht="15.75" spans="1:9">
      <c r="A1235" s="12" t="s">
        <v>5769</v>
      </c>
      <c r="B1235" s="12" t="s">
        <v>391</v>
      </c>
      <c r="C1235" s="15">
        <v>93466</v>
      </c>
      <c r="D1235" s="13">
        <v>31</v>
      </c>
      <c r="F1235" s="12" t="s">
        <v>5770</v>
      </c>
      <c r="G1235" s="12" t="s">
        <v>392</v>
      </c>
      <c r="H1235" s="15">
        <v>13500</v>
      </c>
      <c r="I1235" s="13">
        <v>50</v>
      </c>
    </row>
    <row r="1236" ht="15.75" spans="1:9">
      <c r="A1236" s="12" t="s">
        <v>5771</v>
      </c>
      <c r="B1236" s="12" t="s">
        <v>391</v>
      </c>
      <c r="C1236" s="15">
        <v>69588</v>
      </c>
      <c r="D1236" s="13">
        <v>31</v>
      </c>
      <c r="F1236" s="12" t="s">
        <v>5772</v>
      </c>
      <c r="G1236" s="12" t="s">
        <v>391</v>
      </c>
      <c r="H1236" s="15">
        <v>11860</v>
      </c>
      <c r="I1236" s="13">
        <v>50</v>
      </c>
    </row>
    <row r="1237" ht="15.75" spans="1:9">
      <c r="A1237" s="12" t="s">
        <v>4849</v>
      </c>
      <c r="B1237" s="12" t="s">
        <v>391</v>
      </c>
      <c r="C1237" s="15">
        <v>105892</v>
      </c>
      <c r="D1237" s="13">
        <v>31</v>
      </c>
      <c r="F1237" s="12" t="s">
        <v>5773</v>
      </c>
      <c r="G1237" s="12" t="s">
        <v>392</v>
      </c>
      <c r="H1237" s="15">
        <v>13300</v>
      </c>
      <c r="I1237" s="13">
        <v>50</v>
      </c>
    </row>
    <row r="1238" ht="15.75" spans="1:9">
      <c r="A1238" s="12" t="s">
        <v>5774</v>
      </c>
      <c r="B1238" s="12" t="s">
        <v>391</v>
      </c>
      <c r="C1238" s="15">
        <v>32390</v>
      </c>
      <c r="D1238" s="13">
        <v>31</v>
      </c>
      <c r="F1238" s="12" t="s">
        <v>4036</v>
      </c>
      <c r="G1238" s="12" t="s">
        <v>391</v>
      </c>
      <c r="H1238" s="15">
        <v>16560</v>
      </c>
      <c r="I1238" s="13">
        <v>50</v>
      </c>
    </row>
    <row r="1239" ht="15.75" spans="1:9">
      <c r="A1239" s="12" t="s">
        <v>5775</v>
      </c>
      <c r="B1239" s="12" t="s">
        <v>391</v>
      </c>
      <c r="C1239" s="15">
        <v>82507</v>
      </c>
      <c r="D1239" s="13">
        <v>31</v>
      </c>
      <c r="F1239" s="12" t="s">
        <v>5776</v>
      </c>
      <c r="G1239" s="12" t="s">
        <v>392</v>
      </c>
      <c r="H1239" s="15">
        <v>32800</v>
      </c>
      <c r="I1239" s="13">
        <v>50</v>
      </c>
    </row>
    <row r="1240" ht="15.75" spans="1:9">
      <c r="A1240" s="12" t="s">
        <v>5777</v>
      </c>
      <c r="B1240" s="12" t="s">
        <v>391</v>
      </c>
      <c r="C1240" s="15">
        <v>37684</v>
      </c>
      <c r="D1240" s="13">
        <v>30</v>
      </c>
      <c r="F1240" s="12" t="s">
        <v>5778</v>
      </c>
      <c r="G1240" s="12" t="s">
        <v>392</v>
      </c>
      <c r="H1240" s="15">
        <v>658400</v>
      </c>
      <c r="I1240" s="13">
        <v>50</v>
      </c>
    </row>
    <row r="1241" ht="15.75" spans="1:9">
      <c r="A1241" s="12" t="s">
        <v>4863</v>
      </c>
      <c r="B1241" s="12" t="s">
        <v>391</v>
      </c>
      <c r="C1241" s="15">
        <v>112810</v>
      </c>
      <c r="D1241" s="13">
        <v>30</v>
      </c>
      <c r="F1241" s="12" t="s">
        <v>5779</v>
      </c>
      <c r="G1241" s="12" t="s">
        <v>392</v>
      </c>
      <c r="H1241" s="15">
        <v>28400</v>
      </c>
      <c r="I1241" s="13">
        <v>50</v>
      </c>
    </row>
    <row r="1242" ht="15.75" spans="1:9">
      <c r="A1242" s="12" t="s">
        <v>5780</v>
      </c>
      <c r="B1242" s="12" t="s">
        <v>391</v>
      </c>
      <c r="C1242" s="15">
        <v>43485</v>
      </c>
      <c r="D1242" s="13">
        <v>30</v>
      </c>
      <c r="F1242" s="12" t="s">
        <v>5781</v>
      </c>
      <c r="G1242" s="12" t="s">
        <v>392</v>
      </c>
      <c r="H1242" s="15">
        <v>89326</v>
      </c>
      <c r="I1242" s="13">
        <v>50</v>
      </c>
    </row>
    <row r="1243" ht="15.75" spans="1:9">
      <c r="A1243" s="12" t="s">
        <v>5782</v>
      </c>
      <c r="B1243" s="12" t="s">
        <v>391</v>
      </c>
      <c r="C1243" s="15">
        <v>85611</v>
      </c>
      <c r="D1243" s="13">
        <v>30</v>
      </c>
      <c r="F1243" s="12" t="s">
        <v>5783</v>
      </c>
      <c r="G1243" s="12" t="s">
        <v>392</v>
      </c>
      <c r="H1243" s="15">
        <v>462800</v>
      </c>
      <c r="I1243" s="13">
        <v>50</v>
      </c>
    </row>
    <row r="1244" ht="15.75" spans="1:9">
      <c r="A1244" s="12" t="s">
        <v>5784</v>
      </c>
      <c r="B1244" s="12" t="s">
        <v>391</v>
      </c>
      <c r="C1244" s="15">
        <v>77374</v>
      </c>
      <c r="D1244" s="13">
        <v>29</v>
      </c>
      <c r="F1244" s="12" t="s">
        <v>5785</v>
      </c>
      <c r="G1244" s="12" t="s">
        <v>391</v>
      </c>
      <c r="H1244" s="15">
        <v>13989</v>
      </c>
      <c r="I1244" s="13">
        <v>50</v>
      </c>
    </row>
    <row r="1245" ht="15.75" spans="1:9">
      <c r="A1245" s="12" t="s">
        <v>4847</v>
      </c>
      <c r="B1245" s="12" t="s">
        <v>391</v>
      </c>
      <c r="C1245" s="15">
        <v>525410</v>
      </c>
      <c r="D1245" s="13">
        <v>26</v>
      </c>
      <c r="F1245" s="12" t="s">
        <v>4039</v>
      </c>
      <c r="G1245" s="12" t="s">
        <v>391</v>
      </c>
      <c r="H1245" s="15">
        <v>17811</v>
      </c>
      <c r="I1245" s="13">
        <v>50</v>
      </c>
    </row>
    <row r="1246" ht="15.75" spans="1:9">
      <c r="A1246" s="12" t="s">
        <v>4859</v>
      </c>
      <c r="B1246" s="12" t="s">
        <v>391</v>
      </c>
      <c r="C1246" s="15">
        <v>191383</v>
      </c>
      <c r="D1246" s="13">
        <v>26</v>
      </c>
      <c r="F1246" s="12" t="s">
        <v>5786</v>
      </c>
      <c r="G1246" s="12" t="s">
        <v>391</v>
      </c>
      <c r="H1246" s="15">
        <v>11800</v>
      </c>
      <c r="I1246" s="13">
        <v>50</v>
      </c>
    </row>
    <row r="1247" ht="15.75" spans="1:9">
      <c r="A1247" s="12" t="s">
        <v>4850</v>
      </c>
      <c r="B1247" s="12" t="s">
        <v>391</v>
      </c>
      <c r="C1247" s="15">
        <v>219189</v>
      </c>
      <c r="D1247" s="13">
        <v>26</v>
      </c>
      <c r="F1247" s="12" t="s">
        <v>5787</v>
      </c>
      <c r="G1247" s="12" t="s">
        <v>391</v>
      </c>
      <c r="H1247" s="15">
        <v>33386</v>
      </c>
      <c r="I1247" s="13">
        <v>50</v>
      </c>
    </row>
    <row r="1248" ht="15.75" spans="1:9">
      <c r="A1248" s="12" t="s">
        <v>4861</v>
      </c>
      <c r="B1248" s="12" t="s">
        <v>391</v>
      </c>
      <c r="C1248" s="15">
        <v>907809</v>
      </c>
      <c r="D1248" s="13">
        <v>25</v>
      </c>
      <c r="F1248" s="12" t="s">
        <v>4041</v>
      </c>
      <c r="G1248" s="12" t="s">
        <v>391</v>
      </c>
      <c r="H1248" s="15">
        <v>15077</v>
      </c>
      <c r="I1248" s="13">
        <v>50</v>
      </c>
    </row>
    <row r="1249" ht="15.75" spans="6:9">
      <c r="F1249" s="12" t="s">
        <v>5788</v>
      </c>
      <c r="G1249" s="12" t="s">
        <v>392</v>
      </c>
      <c r="H1249" s="15">
        <v>10100</v>
      </c>
      <c r="I1249" s="13">
        <v>50</v>
      </c>
    </row>
    <row r="1250" ht="15.75" spans="6:9">
      <c r="F1250" s="12" t="s">
        <v>5789</v>
      </c>
      <c r="G1250" s="12" t="s">
        <v>392</v>
      </c>
      <c r="H1250" s="15">
        <v>17400</v>
      </c>
      <c r="I1250" s="13">
        <v>50</v>
      </c>
    </row>
    <row r="1251" ht="15.75" spans="6:9">
      <c r="F1251" s="12" t="s">
        <v>5790</v>
      </c>
      <c r="G1251" s="12" t="s">
        <v>392</v>
      </c>
      <c r="H1251" s="15">
        <v>20200</v>
      </c>
      <c r="I1251" s="13">
        <v>50</v>
      </c>
    </row>
    <row r="1252" ht="15.75" spans="6:9">
      <c r="F1252" s="12" t="s">
        <v>5791</v>
      </c>
      <c r="G1252" s="12" t="s">
        <v>392</v>
      </c>
      <c r="H1252" s="15">
        <v>19800</v>
      </c>
      <c r="I1252" s="13">
        <v>50</v>
      </c>
    </row>
    <row r="1253" ht="15.75" spans="6:9">
      <c r="F1253" s="12" t="s">
        <v>5792</v>
      </c>
      <c r="G1253" s="12" t="s">
        <v>392</v>
      </c>
      <c r="H1253" s="15">
        <v>91800</v>
      </c>
      <c r="I1253" s="13">
        <v>50</v>
      </c>
    </row>
    <row r="1254" ht="15.75" spans="6:9">
      <c r="F1254" s="12" t="s">
        <v>5793</v>
      </c>
      <c r="G1254" s="12" t="s">
        <v>392</v>
      </c>
      <c r="H1254" s="15">
        <v>21500</v>
      </c>
      <c r="I1254" s="13">
        <v>50</v>
      </c>
    </row>
    <row r="1255" ht="15.75" spans="6:9">
      <c r="F1255" s="12" t="s">
        <v>5794</v>
      </c>
      <c r="G1255" s="12" t="s">
        <v>392</v>
      </c>
      <c r="H1255" s="15">
        <v>1100000</v>
      </c>
      <c r="I1255" s="13">
        <v>50</v>
      </c>
    </row>
    <row r="1256" ht="15.75" spans="6:9">
      <c r="F1256" s="12" t="s">
        <v>5795</v>
      </c>
      <c r="G1256" s="12" t="s">
        <v>392</v>
      </c>
      <c r="H1256" s="15">
        <v>26600</v>
      </c>
      <c r="I1256" s="13">
        <v>50</v>
      </c>
    </row>
    <row r="1257" ht="15.75" spans="6:9">
      <c r="F1257" s="12" t="s">
        <v>5796</v>
      </c>
      <c r="G1257" s="12" t="s">
        <v>392</v>
      </c>
      <c r="H1257" s="15">
        <v>306100</v>
      </c>
      <c r="I1257" s="13">
        <v>50</v>
      </c>
    </row>
    <row r="1258" ht="15.75" spans="6:9">
      <c r="F1258" s="12" t="s">
        <v>5797</v>
      </c>
      <c r="G1258" s="12" t="s">
        <v>392</v>
      </c>
      <c r="H1258" s="15">
        <v>13900</v>
      </c>
      <c r="I1258" s="13">
        <v>50</v>
      </c>
    </row>
    <row r="1259" ht="15.75" spans="6:9">
      <c r="F1259" s="12" t="s">
        <v>5798</v>
      </c>
      <c r="G1259" s="12" t="s">
        <v>391</v>
      </c>
      <c r="H1259" s="15">
        <v>22951</v>
      </c>
      <c r="I1259" s="13">
        <v>50</v>
      </c>
    </row>
    <row r="1260" ht="15.75" spans="6:9">
      <c r="F1260" s="12" t="s">
        <v>5799</v>
      </c>
      <c r="G1260" s="12" t="s">
        <v>392</v>
      </c>
      <c r="H1260" s="15">
        <v>28300</v>
      </c>
      <c r="I1260" s="13">
        <v>50</v>
      </c>
    </row>
    <row r="1261" ht="15.75" spans="6:9">
      <c r="F1261" s="12" t="s">
        <v>5800</v>
      </c>
      <c r="G1261" s="12" t="s">
        <v>391</v>
      </c>
      <c r="H1261" s="15">
        <v>26175</v>
      </c>
      <c r="I1261" s="13">
        <v>50</v>
      </c>
    </row>
    <row r="1262" ht="15.75" spans="6:9">
      <c r="F1262" s="12" t="s">
        <v>5801</v>
      </c>
      <c r="G1262" s="12" t="s">
        <v>392</v>
      </c>
      <c r="H1262" s="15">
        <v>60100</v>
      </c>
      <c r="I1262" s="13">
        <v>50</v>
      </c>
    </row>
    <row r="1263" ht="15.75" spans="6:9">
      <c r="F1263" s="12" t="s">
        <v>5802</v>
      </c>
      <c r="G1263" s="12" t="s">
        <v>391</v>
      </c>
      <c r="H1263" s="15">
        <v>13507</v>
      </c>
      <c r="I1263" s="13">
        <v>50</v>
      </c>
    </row>
    <row r="1264" ht="15.75" spans="6:9">
      <c r="F1264" s="12" t="s">
        <v>5803</v>
      </c>
      <c r="G1264" s="12" t="s">
        <v>392</v>
      </c>
      <c r="H1264" s="15">
        <v>2900000</v>
      </c>
      <c r="I1264" s="13">
        <v>50</v>
      </c>
    </row>
    <row r="1265" ht="15.75" spans="6:9">
      <c r="F1265" s="12" t="s">
        <v>4044</v>
      </c>
      <c r="G1265" s="12" t="s">
        <v>391</v>
      </c>
      <c r="H1265" s="15">
        <v>16145</v>
      </c>
      <c r="I1265" s="13">
        <v>50</v>
      </c>
    </row>
    <row r="1266" ht="15.75" spans="6:9">
      <c r="F1266" s="12" t="s">
        <v>5804</v>
      </c>
      <c r="G1266" s="12" t="s">
        <v>391</v>
      </c>
      <c r="H1266" s="15">
        <v>11239</v>
      </c>
      <c r="I1266" s="13">
        <v>50</v>
      </c>
    </row>
    <row r="1267" ht="15.75" spans="6:9">
      <c r="F1267" s="12" t="s">
        <v>5805</v>
      </c>
      <c r="G1267" s="12" t="s">
        <v>391</v>
      </c>
      <c r="H1267" s="15">
        <v>21486</v>
      </c>
      <c r="I1267" s="13">
        <v>50</v>
      </c>
    </row>
    <row r="1268" ht="15.75" spans="6:9">
      <c r="F1268" s="12" t="s">
        <v>5806</v>
      </c>
      <c r="G1268" s="12" t="s">
        <v>392</v>
      </c>
      <c r="H1268" s="15">
        <v>39000</v>
      </c>
      <c r="I1268" s="13">
        <v>50</v>
      </c>
    </row>
    <row r="1269" ht="15.75" spans="6:9">
      <c r="F1269" s="12" t="s">
        <v>5807</v>
      </c>
      <c r="G1269" s="12" t="s">
        <v>392</v>
      </c>
      <c r="H1269" s="15">
        <v>104200</v>
      </c>
      <c r="I1269" s="13">
        <v>50</v>
      </c>
    </row>
    <row r="1270" ht="15.75" spans="6:9">
      <c r="F1270" s="12" t="s">
        <v>5808</v>
      </c>
      <c r="G1270" s="12" t="s">
        <v>392</v>
      </c>
      <c r="H1270" s="15">
        <v>43600</v>
      </c>
      <c r="I1270" s="13">
        <v>50</v>
      </c>
    </row>
    <row r="1271" ht="15.75" spans="6:9">
      <c r="F1271" s="12" t="s">
        <v>5809</v>
      </c>
      <c r="G1271" s="12" t="s">
        <v>392</v>
      </c>
      <c r="H1271" s="15">
        <v>15300</v>
      </c>
      <c r="I1271" s="13">
        <v>50</v>
      </c>
    </row>
    <row r="1272" ht="15.75" spans="6:9">
      <c r="F1272" s="12" t="s">
        <v>5810</v>
      </c>
      <c r="G1272" s="12" t="s">
        <v>392</v>
      </c>
      <c r="H1272" s="15">
        <v>588900</v>
      </c>
      <c r="I1272" s="13">
        <v>50</v>
      </c>
    </row>
    <row r="1273" ht="15.75" spans="6:9">
      <c r="F1273" s="12" t="s">
        <v>5811</v>
      </c>
      <c r="G1273" s="12" t="s">
        <v>392</v>
      </c>
      <c r="H1273" s="15">
        <v>576954</v>
      </c>
      <c r="I1273" s="13">
        <v>50</v>
      </c>
    </row>
    <row r="1274" ht="15.75" spans="6:9">
      <c r="F1274" s="12" t="s">
        <v>4047</v>
      </c>
      <c r="G1274" s="12" t="s">
        <v>391</v>
      </c>
      <c r="H1274" s="15">
        <v>19703</v>
      </c>
      <c r="I1274" s="13">
        <v>50</v>
      </c>
    </row>
    <row r="1275" ht="15.75" spans="6:9">
      <c r="F1275" s="12" t="s">
        <v>5812</v>
      </c>
      <c r="G1275" s="12" t="s">
        <v>392</v>
      </c>
      <c r="H1275" s="15">
        <v>11400</v>
      </c>
      <c r="I1275" s="13">
        <v>50</v>
      </c>
    </row>
    <row r="1276" ht="15.75" spans="6:9">
      <c r="F1276" s="12" t="s">
        <v>4050</v>
      </c>
      <c r="G1276" s="12" t="s">
        <v>391</v>
      </c>
      <c r="H1276" s="15">
        <v>19641</v>
      </c>
      <c r="I1276" s="13">
        <v>50</v>
      </c>
    </row>
    <row r="1277" ht="15.75" spans="6:9">
      <c r="F1277" s="12" t="s">
        <v>4053</v>
      </c>
      <c r="G1277" s="12" t="s">
        <v>391</v>
      </c>
      <c r="H1277" s="15">
        <v>14770</v>
      </c>
      <c r="I1277" s="13">
        <v>50</v>
      </c>
    </row>
    <row r="1278" ht="15.75" spans="6:9">
      <c r="F1278" s="12" t="s">
        <v>4056</v>
      </c>
      <c r="G1278" s="12" t="s">
        <v>391</v>
      </c>
      <c r="H1278" s="15">
        <v>12578</v>
      </c>
      <c r="I1278" s="13">
        <v>50</v>
      </c>
    </row>
    <row r="1279" ht="15.75" spans="6:9">
      <c r="F1279" s="12" t="s">
        <v>5813</v>
      </c>
      <c r="G1279" s="12" t="s">
        <v>391</v>
      </c>
      <c r="H1279" s="15">
        <v>13540</v>
      </c>
      <c r="I1279" s="13">
        <v>50</v>
      </c>
    </row>
    <row r="1280" ht="15.75" spans="6:9">
      <c r="F1280" s="12" t="s">
        <v>5814</v>
      </c>
      <c r="G1280" s="12" t="s">
        <v>391</v>
      </c>
      <c r="H1280" s="15">
        <v>33540</v>
      </c>
      <c r="I1280" s="13">
        <v>50</v>
      </c>
    </row>
    <row r="1281" ht="15.75" spans="6:9">
      <c r="F1281" s="12" t="s">
        <v>5815</v>
      </c>
      <c r="G1281" s="12" t="s">
        <v>392</v>
      </c>
      <c r="H1281" s="15">
        <v>17500</v>
      </c>
      <c r="I1281" s="13">
        <v>50</v>
      </c>
    </row>
    <row r="1282" ht="15.75" spans="6:9">
      <c r="F1282" s="12" t="s">
        <v>5816</v>
      </c>
      <c r="G1282" s="12" t="s">
        <v>392</v>
      </c>
      <c r="H1282" s="15">
        <v>29200</v>
      </c>
      <c r="I1282" s="13">
        <v>50</v>
      </c>
    </row>
    <row r="1283" ht="15.75" spans="6:9">
      <c r="F1283" s="12" t="s">
        <v>5817</v>
      </c>
      <c r="G1283" s="12" t="s">
        <v>391</v>
      </c>
      <c r="H1283" s="15">
        <v>27448</v>
      </c>
      <c r="I1283" s="13">
        <v>50</v>
      </c>
    </row>
    <row r="1284" ht="15.75" spans="6:9">
      <c r="F1284" s="12" t="s">
        <v>4058</v>
      </c>
      <c r="G1284" s="12" t="s">
        <v>391</v>
      </c>
      <c r="H1284" s="15">
        <v>14310</v>
      </c>
      <c r="I1284" s="13">
        <v>50</v>
      </c>
    </row>
    <row r="1285" ht="15.75" spans="6:9">
      <c r="F1285" s="12" t="s">
        <v>4061</v>
      </c>
      <c r="G1285" s="12" t="s">
        <v>391</v>
      </c>
      <c r="H1285" s="15">
        <v>29073</v>
      </c>
      <c r="I1285" s="13">
        <v>50</v>
      </c>
    </row>
    <row r="1286" ht="15.75" spans="6:9">
      <c r="F1286" s="12" t="s">
        <v>5818</v>
      </c>
      <c r="G1286" s="12" t="s">
        <v>392</v>
      </c>
      <c r="H1286" s="15">
        <v>42300</v>
      </c>
      <c r="I1286" s="13">
        <v>50</v>
      </c>
    </row>
    <row r="1287" ht="15.75" spans="6:9">
      <c r="F1287" s="12" t="s">
        <v>4064</v>
      </c>
      <c r="G1287" s="12" t="s">
        <v>391</v>
      </c>
      <c r="H1287" s="15">
        <v>19412</v>
      </c>
      <c r="I1287" s="13">
        <v>50</v>
      </c>
    </row>
    <row r="1288" ht="15.75" spans="6:9">
      <c r="F1288" s="12" t="s">
        <v>5819</v>
      </c>
      <c r="G1288" s="12" t="s">
        <v>391</v>
      </c>
      <c r="H1288" s="15">
        <v>13320</v>
      </c>
      <c r="I1288" s="13">
        <v>50</v>
      </c>
    </row>
    <row r="1289" ht="15.75" spans="6:9">
      <c r="F1289" s="12" t="s">
        <v>5820</v>
      </c>
      <c r="G1289" s="12" t="s">
        <v>392</v>
      </c>
      <c r="H1289" s="15">
        <v>11400</v>
      </c>
      <c r="I1289" s="13">
        <v>50</v>
      </c>
    </row>
    <row r="1290" ht="15.75" spans="6:9">
      <c r="F1290" s="12" t="s">
        <v>4067</v>
      </c>
      <c r="G1290" s="12" t="s">
        <v>391</v>
      </c>
      <c r="H1290" s="15">
        <v>14943</v>
      </c>
      <c r="I1290" s="13">
        <v>50</v>
      </c>
    </row>
    <row r="1291" ht="15.75" spans="6:9">
      <c r="F1291" s="12" t="s">
        <v>5821</v>
      </c>
      <c r="G1291" s="12" t="s">
        <v>392</v>
      </c>
      <c r="H1291" s="15">
        <v>24700</v>
      </c>
      <c r="I1291" s="13">
        <v>50</v>
      </c>
    </row>
    <row r="1292" ht="15.75" spans="6:9">
      <c r="F1292" s="12" t="s">
        <v>5822</v>
      </c>
      <c r="G1292" s="12" t="s">
        <v>391</v>
      </c>
      <c r="H1292" s="15">
        <v>10582</v>
      </c>
      <c r="I1292" s="13">
        <v>50</v>
      </c>
    </row>
    <row r="1293" ht="15.75" spans="6:9">
      <c r="F1293" s="12" t="s">
        <v>5823</v>
      </c>
      <c r="G1293" s="12" t="s">
        <v>392</v>
      </c>
      <c r="H1293" s="15">
        <v>11100</v>
      </c>
      <c r="I1293" s="13">
        <v>50</v>
      </c>
    </row>
    <row r="1294" ht="15.75" spans="6:9">
      <c r="F1294" s="12" t="s">
        <v>5824</v>
      </c>
      <c r="G1294" s="12" t="s">
        <v>391</v>
      </c>
      <c r="H1294" s="15">
        <v>10744</v>
      </c>
      <c r="I1294" s="13">
        <v>50</v>
      </c>
    </row>
    <row r="1295" ht="15.75" spans="6:9">
      <c r="F1295" s="12" t="s">
        <v>5825</v>
      </c>
      <c r="G1295" s="12" t="s">
        <v>392</v>
      </c>
      <c r="H1295" s="15">
        <v>11900</v>
      </c>
      <c r="I1295" s="13">
        <v>50</v>
      </c>
    </row>
    <row r="1296" ht="15.75" spans="6:9">
      <c r="F1296" s="12" t="s">
        <v>5826</v>
      </c>
      <c r="G1296" s="12" t="s">
        <v>391</v>
      </c>
      <c r="H1296" s="15">
        <v>20468</v>
      </c>
      <c r="I1296" s="13">
        <v>50</v>
      </c>
    </row>
    <row r="1297" ht="15.75" spans="6:9">
      <c r="F1297" s="12" t="s">
        <v>4071</v>
      </c>
      <c r="G1297" s="12" t="s">
        <v>391</v>
      </c>
      <c r="H1297" s="15">
        <v>24103</v>
      </c>
      <c r="I1297" s="13">
        <v>50</v>
      </c>
    </row>
    <row r="1298" ht="15.75" spans="6:9">
      <c r="F1298" s="12" t="s">
        <v>5827</v>
      </c>
      <c r="G1298" s="12" t="s">
        <v>392</v>
      </c>
      <c r="H1298" s="15">
        <v>25300</v>
      </c>
      <c r="I1298" s="13">
        <v>50</v>
      </c>
    </row>
    <row r="1299" ht="15.75" spans="6:9">
      <c r="F1299" s="12" t="s">
        <v>5828</v>
      </c>
      <c r="G1299" s="12" t="s">
        <v>391</v>
      </c>
      <c r="H1299" s="15">
        <v>11640</v>
      </c>
      <c r="I1299" s="13">
        <v>50</v>
      </c>
    </row>
    <row r="1300" ht="15.75" spans="6:9">
      <c r="F1300" s="12" t="s">
        <v>5829</v>
      </c>
      <c r="G1300" s="12" t="s">
        <v>392</v>
      </c>
      <c r="H1300" s="15">
        <v>91385</v>
      </c>
      <c r="I1300" s="13">
        <v>50</v>
      </c>
    </row>
    <row r="1301" ht="15.75" spans="6:9">
      <c r="F1301" s="12" t="s">
        <v>4074</v>
      </c>
      <c r="G1301" s="12" t="s">
        <v>391</v>
      </c>
      <c r="H1301" s="15">
        <v>20688</v>
      </c>
      <c r="I1301" s="13">
        <v>50</v>
      </c>
    </row>
    <row r="1302" ht="15.75" spans="6:9">
      <c r="F1302" s="12" t="s">
        <v>4077</v>
      </c>
      <c r="G1302" s="12" t="s">
        <v>391</v>
      </c>
      <c r="H1302" s="15">
        <v>10158</v>
      </c>
      <c r="I1302" s="13">
        <v>50</v>
      </c>
    </row>
    <row r="1303" ht="15.75" spans="6:9">
      <c r="F1303" s="12" t="s">
        <v>4080</v>
      </c>
      <c r="G1303" s="12" t="s">
        <v>391</v>
      </c>
      <c r="H1303" s="15">
        <v>14925</v>
      </c>
      <c r="I1303" s="13">
        <v>50</v>
      </c>
    </row>
    <row r="1304" ht="15.75" spans="6:9">
      <c r="F1304" s="12" t="s">
        <v>5830</v>
      </c>
      <c r="G1304" s="12" t="s">
        <v>392</v>
      </c>
      <c r="H1304" s="15">
        <v>20300</v>
      </c>
      <c r="I1304" s="13">
        <v>50</v>
      </c>
    </row>
    <row r="1305" ht="15.75" spans="6:9">
      <c r="F1305" s="12" t="s">
        <v>5831</v>
      </c>
      <c r="G1305" s="12" t="s">
        <v>392</v>
      </c>
      <c r="H1305" s="15">
        <v>138100</v>
      </c>
      <c r="I1305" s="13">
        <v>50</v>
      </c>
    </row>
    <row r="1306" ht="15.75" spans="6:9">
      <c r="F1306" s="12" t="s">
        <v>5832</v>
      </c>
      <c r="G1306" s="12" t="s">
        <v>391</v>
      </c>
      <c r="H1306" s="15">
        <v>19645</v>
      </c>
      <c r="I1306" s="13">
        <v>50</v>
      </c>
    </row>
    <row r="1307" ht="15.75" spans="6:9">
      <c r="F1307" s="12" t="s">
        <v>5833</v>
      </c>
      <c r="G1307" s="12" t="s">
        <v>391</v>
      </c>
      <c r="H1307" s="15">
        <v>10558</v>
      </c>
      <c r="I1307" s="13">
        <v>50</v>
      </c>
    </row>
    <row r="1308" ht="15.75" spans="6:9">
      <c r="F1308" s="12" t="s">
        <v>5834</v>
      </c>
      <c r="G1308" s="12" t="s">
        <v>391</v>
      </c>
      <c r="H1308" s="15">
        <v>13031</v>
      </c>
      <c r="I1308" s="13">
        <v>50</v>
      </c>
    </row>
    <row r="1309" ht="15.75" spans="6:9">
      <c r="F1309" s="12" t="s">
        <v>5835</v>
      </c>
      <c r="G1309" s="12" t="s">
        <v>391</v>
      </c>
      <c r="H1309" s="15">
        <v>12458</v>
      </c>
      <c r="I1309" s="13">
        <v>50</v>
      </c>
    </row>
    <row r="1310" ht="15.75" spans="6:9">
      <c r="F1310" s="12" t="s">
        <v>5836</v>
      </c>
      <c r="G1310" s="12" t="s">
        <v>391</v>
      </c>
      <c r="H1310" s="15">
        <v>15719</v>
      </c>
      <c r="I1310" s="13">
        <v>50</v>
      </c>
    </row>
    <row r="1311" ht="15.75" spans="6:9">
      <c r="F1311" s="12" t="s">
        <v>5837</v>
      </c>
      <c r="G1311" s="12" t="s">
        <v>391</v>
      </c>
      <c r="H1311" s="15">
        <v>16826</v>
      </c>
      <c r="I1311" s="13">
        <v>50</v>
      </c>
    </row>
    <row r="1312" ht="15.75" spans="6:9">
      <c r="F1312" s="12" t="s">
        <v>5838</v>
      </c>
      <c r="G1312" s="12" t="s">
        <v>392</v>
      </c>
      <c r="H1312" s="15">
        <v>65600</v>
      </c>
      <c r="I1312" s="13">
        <v>50</v>
      </c>
    </row>
    <row r="1313" ht="15.75" spans="6:9">
      <c r="F1313" s="12" t="s">
        <v>4083</v>
      </c>
      <c r="G1313" s="12" t="s">
        <v>391</v>
      </c>
      <c r="H1313" s="15">
        <v>31833</v>
      </c>
      <c r="I1313" s="13">
        <v>50</v>
      </c>
    </row>
    <row r="1314" ht="15.75" spans="6:9">
      <c r="F1314" s="12" t="s">
        <v>5839</v>
      </c>
      <c r="G1314" s="12" t="s">
        <v>392</v>
      </c>
      <c r="H1314" s="15">
        <v>121900</v>
      </c>
      <c r="I1314" s="13">
        <v>50</v>
      </c>
    </row>
    <row r="1315" ht="15.75" spans="6:9">
      <c r="F1315" s="12" t="s">
        <v>5840</v>
      </c>
      <c r="G1315" s="12" t="s">
        <v>391</v>
      </c>
      <c r="H1315" s="15">
        <v>19478</v>
      </c>
      <c r="I1315" s="13">
        <v>50</v>
      </c>
    </row>
    <row r="1316" ht="15.75" spans="6:9">
      <c r="F1316" s="12" t="s">
        <v>5841</v>
      </c>
      <c r="G1316" s="12" t="s">
        <v>391</v>
      </c>
      <c r="H1316" s="15">
        <v>13300</v>
      </c>
      <c r="I1316" s="13">
        <v>50</v>
      </c>
    </row>
    <row r="1317" ht="15.75" spans="6:9">
      <c r="F1317" s="12" t="s">
        <v>4086</v>
      </c>
      <c r="G1317" s="12" t="s">
        <v>391</v>
      </c>
      <c r="H1317" s="15">
        <v>18559</v>
      </c>
      <c r="I1317" s="13">
        <v>50</v>
      </c>
    </row>
    <row r="1318" ht="15.75" spans="6:9">
      <c r="F1318" s="12" t="s">
        <v>4088</v>
      </c>
      <c r="G1318" s="12" t="s">
        <v>391</v>
      </c>
      <c r="H1318" s="15">
        <v>10663</v>
      </c>
      <c r="I1318" s="13">
        <v>50</v>
      </c>
    </row>
    <row r="1319" ht="15.75" spans="6:9">
      <c r="F1319" s="12" t="s">
        <v>5842</v>
      </c>
      <c r="G1319" s="12" t="s">
        <v>392</v>
      </c>
      <c r="H1319" s="15">
        <v>61800</v>
      </c>
      <c r="I1319" s="13">
        <v>50</v>
      </c>
    </row>
    <row r="1320" ht="15.75" spans="6:9">
      <c r="F1320" s="12" t="s">
        <v>5843</v>
      </c>
      <c r="G1320" s="12" t="s">
        <v>391</v>
      </c>
      <c r="H1320" s="15">
        <v>14958</v>
      </c>
      <c r="I1320" s="13">
        <v>50</v>
      </c>
    </row>
    <row r="1321" ht="15.75" spans="6:9">
      <c r="F1321" s="12" t="s">
        <v>5844</v>
      </c>
      <c r="G1321" s="12" t="s">
        <v>391</v>
      </c>
      <c r="H1321" s="15">
        <v>24954</v>
      </c>
      <c r="I1321" s="13">
        <v>50</v>
      </c>
    </row>
    <row r="1322" ht="15.75" spans="6:9">
      <c r="F1322" s="12" t="s">
        <v>5845</v>
      </c>
      <c r="G1322" s="12" t="s">
        <v>392</v>
      </c>
      <c r="H1322" s="15">
        <v>48300</v>
      </c>
      <c r="I1322" s="13">
        <v>50</v>
      </c>
    </row>
    <row r="1323" ht="15.75" spans="6:9">
      <c r="F1323" s="12" t="s">
        <v>5846</v>
      </c>
      <c r="G1323" s="12" t="s">
        <v>392</v>
      </c>
      <c r="H1323" s="15">
        <v>29700</v>
      </c>
      <c r="I1323" s="13">
        <v>50</v>
      </c>
    </row>
    <row r="1324" ht="15.75" spans="6:9">
      <c r="F1324" s="12" t="s">
        <v>4090</v>
      </c>
      <c r="G1324" s="12" t="s">
        <v>391</v>
      </c>
      <c r="H1324" s="15">
        <v>31086</v>
      </c>
      <c r="I1324" s="13">
        <v>50</v>
      </c>
    </row>
    <row r="1325" ht="15.75" spans="6:9">
      <c r="F1325" s="12" t="s">
        <v>5847</v>
      </c>
      <c r="G1325" s="12" t="s">
        <v>392</v>
      </c>
      <c r="H1325" s="15">
        <v>101100</v>
      </c>
      <c r="I1325" s="13">
        <v>50</v>
      </c>
    </row>
    <row r="1326" ht="15.75" spans="6:9">
      <c r="F1326" s="12" t="s">
        <v>4093</v>
      </c>
      <c r="G1326" s="12" t="s">
        <v>391</v>
      </c>
      <c r="H1326" s="15">
        <v>10406</v>
      </c>
      <c r="I1326" s="13">
        <v>50</v>
      </c>
    </row>
    <row r="1327" ht="15.75" spans="6:9">
      <c r="F1327" s="12" t="s">
        <v>5848</v>
      </c>
      <c r="G1327" s="12" t="s">
        <v>392</v>
      </c>
      <c r="H1327" s="15">
        <v>142200</v>
      </c>
      <c r="I1327" s="13">
        <v>50</v>
      </c>
    </row>
    <row r="1328" ht="15.75" spans="6:9">
      <c r="F1328" s="12" t="s">
        <v>5849</v>
      </c>
      <c r="G1328" s="12" t="s">
        <v>392</v>
      </c>
      <c r="H1328" s="15">
        <v>33000</v>
      </c>
      <c r="I1328" s="13">
        <v>50</v>
      </c>
    </row>
    <row r="1329" ht="15.75" spans="6:9">
      <c r="F1329" s="12" t="s">
        <v>5850</v>
      </c>
      <c r="G1329" s="12" t="s">
        <v>392</v>
      </c>
      <c r="H1329" s="15">
        <v>43800</v>
      </c>
      <c r="I1329" s="13">
        <v>50</v>
      </c>
    </row>
    <row r="1330" ht="15.75" spans="6:9">
      <c r="F1330" s="12" t="s">
        <v>5851</v>
      </c>
      <c r="G1330" s="12" t="s">
        <v>391</v>
      </c>
      <c r="H1330" s="15">
        <v>22656</v>
      </c>
      <c r="I1330" s="13">
        <v>50</v>
      </c>
    </row>
    <row r="1331" ht="15.75" spans="6:9">
      <c r="F1331" s="12" t="s">
        <v>5852</v>
      </c>
      <c r="G1331" s="12" t="s">
        <v>392</v>
      </c>
      <c r="H1331" s="15">
        <v>2800000</v>
      </c>
      <c r="I1331" s="13">
        <v>50</v>
      </c>
    </row>
    <row r="1332" ht="15.75" spans="6:9">
      <c r="F1332" s="12" t="s">
        <v>4096</v>
      </c>
      <c r="G1332" s="12" t="s">
        <v>391</v>
      </c>
      <c r="H1332" s="15">
        <v>12187</v>
      </c>
      <c r="I1332" s="13">
        <v>50</v>
      </c>
    </row>
    <row r="1333" ht="15.75" spans="6:9">
      <c r="F1333" s="12" t="s">
        <v>5853</v>
      </c>
      <c r="G1333" s="12" t="s">
        <v>391</v>
      </c>
      <c r="H1333" s="15">
        <v>26087</v>
      </c>
      <c r="I1333" s="13">
        <v>50</v>
      </c>
    </row>
    <row r="1334" ht="15.75" spans="6:9">
      <c r="F1334" s="12" t="s">
        <v>5854</v>
      </c>
      <c r="G1334" s="12" t="s">
        <v>392</v>
      </c>
      <c r="H1334" s="15">
        <v>268100</v>
      </c>
      <c r="I1334" s="13">
        <v>50</v>
      </c>
    </row>
    <row r="1335" ht="15.75" spans="6:9">
      <c r="F1335" s="12" t="s">
        <v>5855</v>
      </c>
      <c r="G1335" s="12" t="s">
        <v>391</v>
      </c>
      <c r="H1335" s="15">
        <v>11039</v>
      </c>
      <c r="I1335" s="13">
        <v>50</v>
      </c>
    </row>
    <row r="1336" ht="15.75" spans="6:9">
      <c r="F1336" s="12" t="s">
        <v>5856</v>
      </c>
      <c r="G1336" s="12" t="s">
        <v>392</v>
      </c>
      <c r="H1336" s="15">
        <v>12500</v>
      </c>
      <c r="I1336" s="13">
        <v>50</v>
      </c>
    </row>
    <row r="1337" ht="15.75" spans="6:9">
      <c r="F1337" s="12" t="s">
        <v>4098</v>
      </c>
      <c r="G1337" s="12" t="s">
        <v>391</v>
      </c>
      <c r="H1337" s="15">
        <v>29436</v>
      </c>
      <c r="I1337" s="13">
        <v>50</v>
      </c>
    </row>
    <row r="1338" ht="15.75" spans="6:9">
      <c r="F1338" s="12" t="s">
        <v>4101</v>
      </c>
      <c r="G1338" s="12" t="s">
        <v>391</v>
      </c>
      <c r="H1338" s="15">
        <v>11340</v>
      </c>
      <c r="I1338" s="13">
        <v>50</v>
      </c>
    </row>
    <row r="1339" ht="15.75" spans="6:9">
      <c r="F1339" s="12" t="s">
        <v>5857</v>
      </c>
      <c r="G1339" s="12" t="s">
        <v>392</v>
      </c>
      <c r="H1339" s="15">
        <v>13800</v>
      </c>
      <c r="I1339" s="13">
        <v>50</v>
      </c>
    </row>
    <row r="1340" ht="15.75" spans="6:9">
      <c r="F1340" s="12" t="s">
        <v>5858</v>
      </c>
      <c r="G1340" s="12" t="s">
        <v>392</v>
      </c>
      <c r="H1340" s="15">
        <v>88000</v>
      </c>
      <c r="I1340" s="13">
        <v>50</v>
      </c>
    </row>
    <row r="1341" ht="15.75" spans="6:9">
      <c r="F1341" s="12" t="s">
        <v>4104</v>
      </c>
      <c r="G1341" s="12" t="s">
        <v>391</v>
      </c>
      <c r="H1341" s="15">
        <v>22845</v>
      </c>
      <c r="I1341" s="13">
        <v>50</v>
      </c>
    </row>
    <row r="1342" ht="15.75" spans="6:9">
      <c r="F1342" s="12" t="s">
        <v>5859</v>
      </c>
      <c r="G1342" s="12" t="s">
        <v>392</v>
      </c>
      <c r="H1342" s="15">
        <v>49600</v>
      </c>
      <c r="I1342" s="13">
        <v>50</v>
      </c>
    </row>
    <row r="1343" ht="15.75" spans="6:9">
      <c r="F1343" s="12" t="s">
        <v>5860</v>
      </c>
      <c r="G1343" s="12" t="s">
        <v>392</v>
      </c>
      <c r="H1343" s="15">
        <v>16500</v>
      </c>
      <c r="I1343" s="13">
        <v>50</v>
      </c>
    </row>
    <row r="1344" ht="15.75" spans="6:9">
      <c r="F1344" s="12" t="s">
        <v>5861</v>
      </c>
      <c r="G1344" s="12" t="s">
        <v>392</v>
      </c>
      <c r="H1344" s="15">
        <v>58600</v>
      </c>
      <c r="I1344" s="13">
        <v>50</v>
      </c>
    </row>
    <row r="1345" ht="15.75" spans="6:9">
      <c r="F1345" s="12" t="s">
        <v>5862</v>
      </c>
      <c r="G1345" s="12" t="s">
        <v>391</v>
      </c>
      <c r="H1345" s="15">
        <v>30951</v>
      </c>
      <c r="I1345" s="13">
        <v>50</v>
      </c>
    </row>
    <row r="1346" ht="15.75" spans="6:9">
      <c r="F1346" s="12" t="s">
        <v>5863</v>
      </c>
      <c r="G1346" s="12" t="s">
        <v>392</v>
      </c>
      <c r="H1346" s="15">
        <v>27600</v>
      </c>
      <c r="I1346" s="13">
        <v>50</v>
      </c>
    </row>
    <row r="1347" ht="15.75" spans="6:9">
      <c r="F1347" s="12" t="s">
        <v>4107</v>
      </c>
      <c r="G1347" s="12" t="s">
        <v>391</v>
      </c>
      <c r="H1347" s="15">
        <v>12909</v>
      </c>
      <c r="I1347" s="13">
        <v>50</v>
      </c>
    </row>
    <row r="1348" ht="15.75" spans="6:9">
      <c r="F1348" s="12" t="s">
        <v>4110</v>
      </c>
      <c r="G1348" s="12" t="s">
        <v>391</v>
      </c>
      <c r="H1348" s="15">
        <v>31550</v>
      </c>
      <c r="I1348" s="13">
        <v>50</v>
      </c>
    </row>
    <row r="1349" ht="15.75" spans="6:9">
      <c r="F1349" s="12" t="s">
        <v>5864</v>
      </c>
      <c r="G1349" s="12" t="s">
        <v>391</v>
      </c>
      <c r="H1349" s="15">
        <v>67392</v>
      </c>
      <c r="I1349" s="13">
        <v>50</v>
      </c>
    </row>
    <row r="1350" ht="15.75" spans="6:9">
      <c r="F1350" s="12" t="s">
        <v>5865</v>
      </c>
      <c r="G1350" s="12" t="s">
        <v>391</v>
      </c>
      <c r="H1350" s="15">
        <v>15069</v>
      </c>
      <c r="I1350" s="13">
        <v>50</v>
      </c>
    </row>
    <row r="1351" ht="15.75" spans="6:9">
      <c r="F1351" s="12" t="s">
        <v>5866</v>
      </c>
      <c r="G1351" s="12" t="s">
        <v>392</v>
      </c>
      <c r="H1351" s="15">
        <v>13800</v>
      </c>
      <c r="I1351" s="13">
        <v>50</v>
      </c>
    </row>
    <row r="1352" ht="15.75" spans="6:9">
      <c r="F1352" s="12" t="s">
        <v>5867</v>
      </c>
      <c r="G1352" s="12" t="s">
        <v>391</v>
      </c>
      <c r="H1352" s="15">
        <v>51750</v>
      </c>
      <c r="I1352" s="13">
        <v>50</v>
      </c>
    </row>
    <row r="1353" ht="15.75" spans="6:9">
      <c r="F1353" s="12" t="s">
        <v>5868</v>
      </c>
      <c r="G1353" s="12" t="s">
        <v>392</v>
      </c>
      <c r="H1353" s="15">
        <v>1060206</v>
      </c>
      <c r="I1353" s="13">
        <v>50</v>
      </c>
    </row>
    <row r="1354" ht="15.75" spans="6:9">
      <c r="F1354" s="12" t="s">
        <v>5869</v>
      </c>
      <c r="G1354" s="12" t="s">
        <v>392</v>
      </c>
      <c r="H1354" s="15">
        <v>72100</v>
      </c>
      <c r="I1354" s="13">
        <v>50</v>
      </c>
    </row>
    <row r="1355" ht="15.75" spans="6:9">
      <c r="F1355" s="12" t="s">
        <v>5870</v>
      </c>
      <c r="G1355" s="12" t="s">
        <v>392</v>
      </c>
      <c r="H1355" s="15">
        <v>73000</v>
      </c>
      <c r="I1355" s="13">
        <v>50</v>
      </c>
    </row>
    <row r="1356" ht="15.75" spans="6:9">
      <c r="F1356" s="12" t="s">
        <v>5871</v>
      </c>
      <c r="G1356" s="12" t="s">
        <v>391</v>
      </c>
      <c r="H1356" s="15">
        <v>11367</v>
      </c>
      <c r="I1356" s="13">
        <v>50</v>
      </c>
    </row>
    <row r="1357" ht="15.75" spans="6:9">
      <c r="F1357" s="12" t="s">
        <v>4113</v>
      </c>
      <c r="G1357" s="12" t="s">
        <v>391</v>
      </c>
      <c r="H1357" s="15">
        <v>12987</v>
      </c>
      <c r="I1357" s="13">
        <v>50</v>
      </c>
    </row>
    <row r="1358" ht="15.75" spans="6:9">
      <c r="F1358" s="12" t="s">
        <v>5872</v>
      </c>
      <c r="G1358" s="12" t="s">
        <v>392</v>
      </c>
      <c r="H1358" s="15">
        <v>49200</v>
      </c>
      <c r="I1358" s="13">
        <v>50</v>
      </c>
    </row>
    <row r="1359" ht="15.75" spans="6:9">
      <c r="F1359" s="12" t="s">
        <v>5873</v>
      </c>
      <c r="G1359" s="12" t="s">
        <v>391</v>
      </c>
      <c r="H1359" s="15">
        <v>24104</v>
      </c>
      <c r="I1359" s="13">
        <v>50</v>
      </c>
    </row>
    <row r="1360" ht="15.75" spans="6:9">
      <c r="F1360" s="12" t="s">
        <v>5874</v>
      </c>
      <c r="G1360" s="12" t="s">
        <v>391</v>
      </c>
      <c r="H1360" s="15">
        <v>19809</v>
      </c>
      <c r="I1360" s="13">
        <v>50</v>
      </c>
    </row>
    <row r="1361" ht="15.75" spans="6:9">
      <c r="F1361" s="12" t="s">
        <v>5875</v>
      </c>
      <c r="G1361" s="12" t="s">
        <v>391</v>
      </c>
      <c r="H1361" s="15">
        <v>16036</v>
      </c>
      <c r="I1361" s="13">
        <v>50</v>
      </c>
    </row>
    <row r="1362" ht="15.75" spans="6:9">
      <c r="F1362" s="12" t="s">
        <v>5876</v>
      </c>
      <c r="G1362" s="12" t="s">
        <v>392</v>
      </c>
      <c r="H1362" s="15">
        <v>13700</v>
      </c>
      <c r="I1362" s="13">
        <v>50</v>
      </c>
    </row>
    <row r="1363" ht="15.75" spans="6:9">
      <c r="F1363" s="12" t="s">
        <v>4116</v>
      </c>
      <c r="G1363" s="12" t="s">
        <v>391</v>
      </c>
      <c r="H1363" s="15">
        <v>22979</v>
      </c>
      <c r="I1363" s="13">
        <v>50</v>
      </c>
    </row>
    <row r="1364" ht="15.75" spans="6:9">
      <c r="F1364" s="12" t="s">
        <v>5877</v>
      </c>
      <c r="G1364" s="12" t="s">
        <v>392</v>
      </c>
      <c r="H1364" s="15">
        <v>22500</v>
      </c>
      <c r="I1364" s="13">
        <v>50</v>
      </c>
    </row>
    <row r="1365" ht="15.75" spans="6:9">
      <c r="F1365" s="12" t="s">
        <v>4119</v>
      </c>
      <c r="G1365" s="12" t="s">
        <v>391</v>
      </c>
      <c r="H1365" s="15">
        <v>10063</v>
      </c>
      <c r="I1365" s="13">
        <v>50</v>
      </c>
    </row>
    <row r="1366" ht="15.75" spans="6:9">
      <c r="F1366" s="12" t="s">
        <v>4122</v>
      </c>
      <c r="G1366" s="12" t="s">
        <v>391</v>
      </c>
      <c r="H1366" s="15">
        <v>29796</v>
      </c>
      <c r="I1366" s="13">
        <v>50</v>
      </c>
    </row>
    <row r="1367" ht="15.75" spans="6:9">
      <c r="F1367" s="12" t="s">
        <v>4125</v>
      </c>
      <c r="G1367" s="12" t="s">
        <v>391</v>
      </c>
      <c r="H1367" s="15">
        <v>11884</v>
      </c>
      <c r="I1367" s="13">
        <v>50</v>
      </c>
    </row>
    <row r="1368" ht="15.75" spans="6:9">
      <c r="F1368" s="12" t="s">
        <v>5878</v>
      </c>
      <c r="G1368" s="12" t="s">
        <v>392</v>
      </c>
      <c r="H1368" s="15">
        <v>85700</v>
      </c>
      <c r="I1368" s="13">
        <v>50</v>
      </c>
    </row>
    <row r="1369" ht="15.75" spans="6:9">
      <c r="F1369" s="12" t="s">
        <v>5879</v>
      </c>
      <c r="G1369" s="12" t="s">
        <v>392</v>
      </c>
      <c r="H1369" s="15">
        <v>76000</v>
      </c>
      <c r="I1369" s="13">
        <v>50</v>
      </c>
    </row>
    <row r="1370" ht="15.75" spans="6:9">
      <c r="F1370" s="12" t="s">
        <v>5880</v>
      </c>
      <c r="G1370" s="12" t="s">
        <v>392</v>
      </c>
      <c r="H1370" s="15">
        <v>212400</v>
      </c>
      <c r="I1370" s="13">
        <v>50</v>
      </c>
    </row>
    <row r="1371" ht="15.75" spans="6:9">
      <c r="F1371" s="12" t="s">
        <v>5881</v>
      </c>
      <c r="G1371" s="12" t="s">
        <v>392</v>
      </c>
      <c r="H1371" s="15">
        <v>37300</v>
      </c>
      <c r="I1371" s="13">
        <v>50</v>
      </c>
    </row>
    <row r="1372" ht="15.75" spans="6:9">
      <c r="F1372" s="12" t="s">
        <v>5882</v>
      </c>
      <c r="G1372" s="12" t="s">
        <v>391</v>
      </c>
      <c r="H1372" s="15">
        <v>29787</v>
      </c>
      <c r="I1372" s="13">
        <v>50</v>
      </c>
    </row>
    <row r="1373" ht="15.75" spans="6:9">
      <c r="F1373" s="12" t="s">
        <v>4128</v>
      </c>
      <c r="G1373" s="12" t="s">
        <v>391</v>
      </c>
      <c r="H1373" s="15">
        <v>16176</v>
      </c>
      <c r="I1373" s="13">
        <v>50</v>
      </c>
    </row>
    <row r="1374" ht="15.75" spans="6:9">
      <c r="F1374" s="12" t="s">
        <v>5883</v>
      </c>
      <c r="G1374" s="12" t="s">
        <v>392</v>
      </c>
      <c r="H1374" s="15">
        <v>27200</v>
      </c>
      <c r="I1374" s="13">
        <v>50</v>
      </c>
    </row>
    <row r="1375" ht="15.75" spans="6:9">
      <c r="F1375" s="12" t="s">
        <v>5884</v>
      </c>
      <c r="G1375" s="12" t="s">
        <v>392</v>
      </c>
      <c r="H1375" s="15">
        <v>4700000</v>
      </c>
      <c r="I1375" s="13">
        <v>50</v>
      </c>
    </row>
    <row r="1376" ht="15.75" spans="6:9">
      <c r="F1376" s="12" t="s">
        <v>4131</v>
      </c>
      <c r="G1376" s="12" t="s">
        <v>391</v>
      </c>
      <c r="H1376" s="15">
        <v>12220</v>
      </c>
      <c r="I1376" s="13">
        <v>50</v>
      </c>
    </row>
    <row r="1377" ht="15.75" spans="6:9">
      <c r="F1377" s="12" t="s">
        <v>5885</v>
      </c>
      <c r="G1377" s="12" t="s">
        <v>392</v>
      </c>
      <c r="H1377" s="15">
        <v>600513</v>
      </c>
      <c r="I1377" s="13">
        <v>50</v>
      </c>
    </row>
    <row r="1378" ht="15.75" spans="6:9">
      <c r="F1378" s="12" t="s">
        <v>5886</v>
      </c>
      <c r="G1378" s="12" t="s">
        <v>391</v>
      </c>
      <c r="H1378" s="15">
        <v>25443</v>
      </c>
      <c r="I1378" s="13">
        <v>50</v>
      </c>
    </row>
    <row r="1379" ht="15.75" spans="6:9">
      <c r="F1379" s="12" t="s">
        <v>5887</v>
      </c>
      <c r="G1379" s="12" t="s">
        <v>391</v>
      </c>
      <c r="H1379" s="15">
        <v>117131</v>
      </c>
      <c r="I1379" s="13">
        <v>50</v>
      </c>
    </row>
    <row r="1380" ht="15.75" spans="6:9">
      <c r="F1380" s="12" t="s">
        <v>5888</v>
      </c>
      <c r="G1380" s="12" t="s">
        <v>392</v>
      </c>
      <c r="H1380" s="15">
        <v>692700</v>
      </c>
      <c r="I1380" s="13">
        <v>50</v>
      </c>
    </row>
    <row r="1381" ht="15.75" spans="6:9">
      <c r="F1381" s="12" t="s">
        <v>4133</v>
      </c>
      <c r="G1381" s="12" t="s">
        <v>391</v>
      </c>
      <c r="H1381" s="15">
        <v>10757</v>
      </c>
      <c r="I1381" s="13">
        <v>50</v>
      </c>
    </row>
    <row r="1382" ht="15.75" spans="6:9">
      <c r="F1382" s="12" t="s">
        <v>5889</v>
      </c>
      <c r="G1382" s="12" t="s">
        <v>391</v>
      </c>
      <c r="H1382" s="15">
        <v>13278</v>
      </c>
      <c r="I1382" s="13">
        <v>50</v>
      </c>
    </row>
    <row r="1383" ht="15.75" spans="6:9">
      <c r="F1383" s="12" t="s">
        <v>4134</v>
      </c>
      <c r="G1383" s="12" t="s">
        <v>391</v>
      </c>
      <c r="H1383" s="15">
        <v>21705</v>
      </c>
      <c r="I1383" s="13">
        <v>50</v>
      </c>
    </row>
    <row r="1384" ht="15.75" spans="6:9">
      <c r="F1384" s="12" t="s">
        <v>4137</v>
      </c>
      <c r="G1384" s="12" t="s">
        <v>391</v>
      </c>
      <c r="H1384" s="15">
        <v>10177</v>
      </c>
      <c r="I1384" s="13">
        <v>50</v>
      </c>
    </row>
    <row r="1385" ht="15.75" spans="6:9">
      <c r="F1385" s="12" t="s">
        <v>5890</v>
      </c>
      <c r="G1385" s="12" t="s">
        <v>391</v>
      </c>
      <c r="H1385" s="15">
        <v>23278</v>
      </c>
      <c r="I1385" s="13">
        <v>50</v>
      </c>
    </row>
    <row r="1386" ht="15.75" spans="6:9">
      <c r="F1386" s="12" t="s">
        <v>5891</v>
      </c>
      <c r="G1386" s="12" t="s">
        <v>392</v>
      </c>
      <c r="H1386" s="15">
        <v>57900</v>
      </c>
      <c r="I1386" s="13">
        <v>50</v>
      </c>
    </row>
    <row r="1387" ht="15.75" spans="6:9">
      <c r="F1387" s="12" t="s">
        <v>5892</v>
      </c>
      <c r="G1387" s="12" t="s">
        <v>392</v>
      </c>
      <c r="H1387" s="15">
        <v>58300</v>
      </c>
      <c r="I1387" s="13">
        <v>50</v>
      </c>
    </row>
    <row r="1388" ht="15.75" spans="6:9">
      <c r="F1388" s="12" t="s">
        <v>5893</v>
      </c>
      <c r="G1388" s="12" t="s">
        <v>392</v>
      </c>
      <c r="H1388" s="15">
        <v>12400</v>
      </c>
      <c r="I1388" s="13">
        <v>50</v>
      </c>
    </row>
    <row r="1389" ht="15.75" spans="6:9">
      <c r="F1389" s="12" t="s">
        <v>5894</v>
      </c>
      <c r="G1389" s="12" t="s">
        <v>392</v>
      </c>
      <c r="H1389" s="15">
        <v>14600</v>
      </c>
      <c r="I1389" s="13">
        <v>50</v>
      </c>
    </row>
    <row r="1390" ht="15.75" spans="6:9">
      <c r="F1390" s="12" t="s">
        <v>5895</v>
      </c>
      <c r="G1390" s="12" t="s">
        <v>392</v>
      </c>
      <c r="H1390" s="15">
        <v>1200000</v>
      </c>
      <c r="I1390" s="13">
        <v>50</v>
      </c>
    </row>
    <row r="1391" ht="15.75" spans="6:9">
      <c r="F1391" s="12" t="s">
        <v>5896</v>
      </c>
      <c r="G1391" s="12" t="s">
        <v>391</v>
      </c>
      <c r="H1391" s="15">
        <v>3026573</v>
      </c>
      <c r="I1391" s="13">
        <v>50</v>
      </c>
    </row>
    <row r="1392" ht="15.75" spans="6:9">
      <c r="F1392" s="12" t="s">
        <v>5897</v>
      </c>
      <c r="G1392" s="12" t="s">
        <v>391</v>
      </c>
      <c r="H1392" s="15">
        <v>120964</v>
      </c>
      <c r="I1392" s="13">
        <v>50</v>
      </c>
    </row>
    <row r="1393" ht="15.75" spans="6:9">
      <c r="F1393" s="12" t="s">
        <v>5898</v>
      </c>
      <c r="G1393" s="12" t="s">
        <v>391</v>
      </c>
      <c r="H1393" s="15">
        <v>16579</v>
      </c>
      <c r="I1393" s="13">
        <v>50</v>
      </c>
    </row>
    <row r="1394" ht="15.75" spans="6:9">
      <c r="F1394" s="12" t="s">
        <v>5899</v>
      </c>
      <c r="G1394" s="12" t="s">
        <v>391</v>
      </c>
      <c r="H1394" s="15">
        <v>10993</v>
      </c>
      <c r="I1394" s="13">
        <v>50</v>
      </c>
    </row>
    <row r="1395" ht="15.75" spans="6:9">
      <c r="F1395" s="12" t="s">
        <v>5900</v>
      </c>
      <c r="G1395" s="12" t="s">
        <v>392</v>
      </c>
      <c r="H1395" s="15">
        <v>14000</v>
      </c>
      <c r="I1395" s="13">
        <v>50</v>
      </c>
    </row>
    <row r="1396" ht="15.75" spans="6:9">
      <c r="F1396" s="12" t="s">
        <v>5901</v>
      </c>
      <c r="G1396" s="12" t="s">
        <v>392</v>
      </c>
      <c r="H1396" s="15">
        <v>12000</v>
      </c>
      <c r="I1396" s="13">
        <v>50</v>
      </c>
    </row>
    <row r="1397" ht="15.75" spans="6:9">
      <c r="F1397" s="12" t="s">
        <v>5902</v>
      </c>
      <c r="G1397" s="12" t="s">
        <v>392</v>
      </c>
      <c r="H1397" s="15">
        <v>573300</v>
      </c>
      <c r="I1397" s="13">
        <v>50</v>
      </c>
    </row>
    <row r="1398" ht="15.75" spans="6:9">
      <c r="F1398" s="12" t="s">
        <v>5903</v>
      </c>
      <c r="G1398" s="12" t="s">
        <v>392</v>
      </c>
      <c r="H1398" s="15">
        <v>62200</v>
      </c>
      <c r="I1398" s="13">
        <v>50</v>
      </c>
    </row>
    <row r="1399" ht="15.75" spans="6:9">
      <c r="F1399" s="12" t="s">
        <v>5904</v>
      </c>
      <c r="G1399" s="12" t="s">
        <v>392</v>
      </c>
      <c r="H1399" s="15">
        <v>15400</v>
      </c>
      <c r="I1399" s="13">
        <v>50</v>
      </c>
    </row>
    <row r="1400" ht="15.75" spans="6:9">
      <c r="F1400" s="12" t="s">
        <v>5905</v>
      </c>
      <c r="G1400" s="12" t="s">
        <v>392</v>
      </c>
      <c r="H1400" s="15">
        <v>414800</v>
      </c>
      <c r="I1400" s="13">
        <v>50</v>
      </c>
    </row>
    <row r="1401" ht="15.75" spans="6:9">
      <c r="F1401" s="12" t="s">
        <v>5906</v>
      </c>
      <c r="G1401" s="12" t="s">
        <v>392</v>
      </c>
      <c r="H1401" s="15">
        <v>16700</v>
      </c>
      <c r="I1401" s="13">
        <v>50</v>
      </c>
    </row>
    <row r="1402" ht="15.75" spans="6:9">
      <c r="F1402" s="12" t="s">
        <v>5907</v>
      </c>
      <c r="G1402" s="12" t="s">
        <v>392</v>
      </c>
      <c r="H1402" s="15">
        <v>10500</v>
      </c>
      <c r="I1402" s="13">
        <v>50</v>
      </c>
    </row>
    <row r="1403" ht="15.75" spans="6:9">
      <c r="F1403" s="12" t="s">
        <v>5908</v>
      </c>
      <c r="G1403" s="12" t="s">
        <v>392</v>
      </c>
      <c r="H1403" s="15">
        <v>1400000</v>
      </c>
      <c r="I1403" s="13">
        <v>50</v>
      </c>
    </row>
    <row r="1404" ht="15.75" spans="6:9">
      <c r="F1404" s="12" t="s">
        <v>5909</v>
      </c>
      <c r="G1404" s="12" t="s">
        <v>392</v>
      </c>
      <c r="H1404" s="15">
        <v>201747</v>
      </c>
      <c r="I1404" s="13">
        <v>50</v>
      </c>
    </row>
    <row r="1405" ht="15.75" spans="6:9">
      <c r="F1405" s="12" t="s">
        <v>5910</v>
      </c>
      <c r="G1405" s="12" t="s">
        <v>391</v>
      </c>
      <c r="H1405" s="15">
        <v>11654</v>
      </c>
      <c r="I1405" s="13">
        <v>50</v>
      </c>
    </row>
    <row r="1406" ht="15.75" spans="6:9">
      <c r="F1406" s="12" t="s">
        <v>5911</v>
      </c>
      <c r="G1406" s="12" t="s">
        <v>392</v>
      </c>
      <c r="H1406" s="15">
        <v>18700</v>
      </c>
      <c r="I1406" s="13">
        <v>50</v>
      </c>
    </row>
    <row r="1407" ht="15.75" spans="6:9">
      <c r="F1407" s="12" t="s">
        <v>5912</v>
      </c>
      <c r="G1407" s="12" t="s">
        <v>392</v>
      </c>
      <c r="H1407" s="15">
        <v>11600</v>
      </c>
      <c r="I1407" s="13">
        <v>50</v>
      </c>
    </row>
    <row r="1408" ht="15.75" spans="6:9">
      <c r="F1408" s="12" t="s">
        <v>5913</v>
      </c>
      <c r="G1408" s="12" t="s">
        <v>392</v>
      </c>
      <c r="H1408" s="15">
        <v>384300</v>
      </c>
      <c r="I1408" s="13">
        <v>50</v>
      </c>
    </row>
    <row r="1409" ht="15.75" spans="6:9">
      <c r="F1409" s="12" t="s">
        <v>5914</v>
      </c>
      <c r="G1409" s="12" t="s">
        <v>392</v>
      </c>
      <c r="H1409" s="15">
        <v>4400000</v>
      </c>
      <c r="I1409" s="13">
        <v>50</v>
      </c>
    </row>
    <row r="1410" ht="15.75" spans="6:9">
      <c r="F1410" s="12" t="s">
        <v>5915</v>
      </c>
      <c r="G1410" s="12" t="s">
        <v>392</v>
      </c>
      <c r="H1410" s="15">
        <v>33800</v>
      </c>
      <c r="I1410" s="13">
        <v>50</v>
      </c>
    </row>
    <row r="1411" ht="15.75" spans="6:9">
      <c r="F1411" s="12" t="s">
        <v>5916</v>
      </c>
      <c r="G1411" s="12" t="s">
        <v>392</v>
      </c>
      <c r="H1411" s="15">
        <v>15300</v>
      </c>
      <c r="I1411" s="13">
        <v>50</v>
      </c>
    </row>
    <row r="1412" ht="15.75" spans="6:9">
      <c r="F1412" s="12" t="s">
        <v>5917</v>
      </c>
      <c r="G1412" s="12" t="s">
        <v>392</v>
      </c>
      <c r="H1412" s="15">
        <v>2500000</v>
      </c>
      <c r="I1412" s="13">
        <v>50</v>
      </c>
    </row>
    <row r="1413" ht="15.75" spans="6:9">
      <c r="F1413" s="12" t="s">
        <v>5918</v>
      </c>
      <c r="G1413" s="12" t="s">
        <v>392</v>
      </c>
      <c r="H1413" s="15">
        <v>25900</v>
      </c>
      <c r="I1413" s="13">
        <v>50</v>
      </c>
    </row>
    <row r="1414" ht="15.75" spans="6:9">
      <c r="F1414" s="12" t="s">
        <v>4140</v>
      </c>
      <c r="G1414" s="12" t="s">
        <v>391</v>
      </c>
      <c r="H1414" s="15">
        <v>14508</v>
      </c>
      <c r="I1414" s="13">
        <v>50</v>
      </c>
    </row>
    <row r="1415" ht="15.75" spans="6:9">
      <c r="F1415" s="12" t="s">
        <v>5919</v>
      </c>
      <c r="G1415" s="12" t="s">
        <v>392</v>
      </c>
      <c r="H1415" s="15">
        <v>277200</v>
      </c>
      <c r="I1415" s="13">
        <v>50</v>
      </c>
    </row>
    <row r="1416" ht="15.75" spans="6:9">
      <c r="F1416" s="12" t="s">
        <v>3526</v>
      </c>
      <c r="G1416" s="12" t="s">
        <v>391</v>
      </c>
      <c r="H1416" s="15">
        <v>433433</v>
      </c>
      <c r="I1416" s="13">
        <v>50</v>
      </c>
    </row>
    <row r="1417" ht="15.75" spans="6:9">
      <c r="F1417" s="12" t="s">
        <v>5920</v>
      </c>
      <c r="G1417" s="12" t="s">
        <v>392</v>
      </c>
      <c r="H1417" s="15">
        <v>31100</v>
      </c>
      <c r="I1417" s="13">
        <v>50</v>
      </c>
    </row>
    <row r="1418" ht="15.75" spans="6:9">
      <c r="F1418" s="12" t="s">
        <v>5921</v>
      </c>
      <c r="G1418" s="12" t="s">
        <v>392</v>
      </c>
      <c r="H1418" s="15">
        <v>122400</v>
      </c>
      <c r="I1418" s="13">
        <v>50</v>
      </c>
    </row>
    <row r="1419" ht="15.75" spans="6:9">
      <c r="F1419" s="12" t="s">
        <v>4143</v>
      </c>
      <c r="G1419" s="12" t="s">
        <v>391</v>
      </c>
      <c r="H1419" s="15">
        <v>22710</v>
      </c>
      <c r="I1419" s="13">
        <v>50</v>
      </c>
    </row>
    <row r="1420" ht="15.75" spans="6:9">
      <c r="F1420" s="12" t="s">
        <v>5922</v>
      </c>
      <c r="G1420" s="12" t="s">
        <v>392</v>
      </c>
      <c r="H1420" s="15">
        <v>157500</v>
      </c>
      <c r="I1420" s="13">
        <v>50</v>
      </c>
    </row>
    <row r="1421" ht="15.75" spans="6:9">
      <c r="F1421" s="12" t="s">
        <v>5923</v>
      </c>
      <c r="G1421" s="12" t="s">
        <v>392</v>
      </c>
      <c r="H1421" s="15">
        <v>1800000</v>
      </c>
      <c r="I1421" s="13">
        <v>50</v>
      </c>
    </row>
    <row r="1422" ht="15.75" spans="6:9">
      <c r="F1422" s="12" t="s">
        <v>5924</v>
      </c>
      <c r="G1422" s="12" t="s">
        <v>391</v>
      </c>
      <c r="H1422" s="15">
        <v>33132</v>
      </c>
      <c r="I1422" s="13">
        <v>50</v>
      </c>
    </row>
    <row r="1423" ht="15.75" spans="6:9">
      <c r="F1423" s="12" t="s">
        <v>5925</v>
      </c>
      <c r="G1423" s="12" t="s">
        <v>392</v>
      </c>
      <c r="H1423" s="15">
        <v>47500</v>
      </c>
      <c r="I1423" s="13">
        <v>50</v>
      </c>
    </row>
    <row r="1424" ht="15.75" spans="6:9">
      <c r="F1424" s="12" t="s">
        <v>5926</v>
      </c>
      <c r="G1424" s="12" t="s">
        <v>392</v>
      </c>
      <c r="H1424" s="15">
        <v>55100</v>
      </c>
      <c r="I1424" s="13">
        <v>50</v>
      </c>
    </row>
    <row r="1425" ht="15.75" spans="6:9">
      <c r="F1425" s="12" t="s">
        <v>5927</v>
      </c>
      <c r="G1425" s="12" t="s">
        <v>392</v>
      </c>
      <c r="H1425" s="15">
        <v>380400</v>
      </c>
      <c r="I1425" s="13">
        <v>50</v>
      </c>
    </row>
    <row r="1426" ht="15.75" spans="6:9">
      <c r="F1426" s="12" t="s">
        <v>5928</v>
      </c>
      <c r="G1426" s="12" t="s">
        <v>392</v>
      </c>
      <c r="H1426" s="15">
        <v>220300</v>
      </c>
      <c r="I1426" s="13">
        <v>50</v>
      </c>
    </row>
    <row r="1427" ht="15.75" spans="6:9">
      <c r="F1427" s="12" t="s">
        <v>5929</v>
      </c>
      <c r="G1427" s="12" t="s">
        <v>391</v>
      </c>
      <c r="H1427" s="15">
        <v>14473</v>
      </c>
      <c r="I1427" s="13">
        <v>50</v>
      </c>
    </row>
    <row r="1428" ht="15.75" spans="6:9">
      <c r="F1428" s="12" t="s">
        <v>5930</v>
      </c>
      <c r="G1428" s="12" t="s">
        <v>392</v>
      </c>
      <c r="H1428" s="15">
        <v>12400</v>
      </c>
      <c r="I1428" s="13">
        <v>50</v>
      </c>
    </row>
    <row r="1429" ht="15.75" spans="6:9">
      <c r="F1429" s="12" t="s">
        <v>5931</v>
      </c>
      <c r="G1429" s="12" t="s">
        <v>391</v>
      </c>
      <c r="H1429" s="15">
        <v>27503</v>
      </c>
      <c r="I1429" s="13">
        <v>50</v>
      </c>
    </row>
    <row r="1430" ht="15.75" spans="6:9">
      <c r="F1430" s="12" t="s">
        <v>5932</v>
      </c>
      <c r="G1430" s="12" t="s">
        <v>391</v>
      </c>
      <c r="H1430" s="15">
        <v>1468115</v>
      </c>
      <c r="I1430" s="13">
        <v>50</v>
      </c>
    </row>
    <row r="1431" ht="15.75" spans="6:9">
      <c r="F1431" s="12" t="s">
        <v>5933</v>
      </c>
      <c r="G1431" s="12" t="s">
        <v>392</v>
      </c>
      <c r="H1431" s="15">
        <v>10400</v>
      </c>
      <c r="I1431" s="13">
        <v>50</v>
      </c>
    </row>
    <row r="1432" ht="15.75" spans="6:9">
      <c r="F1432" s="12" t="s">
        <v>5934</v>
      </c>
      <c r="G1432" s="12" t="s">
        <v>392</v>
      </c>
      <c r="H1432" s="15">
        <v>437300</v>
      </c>
      <c r="I1432" s="13">
        <v>50</v>
      </c>
    </row>
    <row r="1433" ht="15.75" spans="6:9">
      <c r="F1433" s="12" t="s">
        <v>5935</v>
      </c>
      <c r="G1433" s="12" t="s">
        <v>392</v>
      </c>
      <c r="H1433" s="15">
        <v>88400</v>
      </c>
      <c r="I1433" s="13">
        <v>50</v>
      </c>
    </row>
    <row r="1434" ht="15.75" spans="6:9">
      <c r="F1434" s="12" t="s">
        <v>5936</v>
      </c>
      <c r="G1434" s="12" t="s">
        <v>392</v>
      </c>
      <c r="H1434" s="15">
        <v>112100</v>
      </c>
      <c r="I1434" s="13">
        <v>50</v>
      </c>
    </row>
    <row r="1435" ht="15.75" spans="6:9">
      <c r="F1435" s="12" t="s">
        <v>5937</v>
      </c>
      <c r="G1435" s="12" t="s">
        <v>392</v>
      </c>
      <c r="H1435" s="15">
        <v>59300</v>
      </c>
      <c r="I1435" s="13">
        <v>50</v>
      </c>
    </row>
    <row r="1436" ht="15.75" spans="6:9">
      <c r="F1436" s="12" t="s">
        <v>5938</v>
      </c>
      <c r="G1436" s="12" t="s">
        <v>392</v>
      </c>
      <c r="H1436" s="15">
        <v>13200</v>
      </c>
      <c r="I1436" s="13">
        <v>50</v>
      </c>
    </row>
    <row r="1437" ht="15.75" spans="6:9">
      <c r="F1437" s="12" t="s">
        <v>5939</v>
      </c>
      <c r="G1437" s="12" t="s">
        <v>391</v>
      </c>
      <c r="H1437" s="15">
        <v>11940</v>
      </c>
      <c r="I1437" s="13">
        <v>50</v>
      </c>
    </row>
    <row r="1438" ht="15.75" spans="6:9">
      <c r="F1438" s="12" t="s">
        <v>5940</v>
      </c>
      <c r="G1438" s="12" t="s">
        <v>392</v>
      </c>
      <c r="H1438" s="15">
        <v>190200</v>
      </c>
      <c r="I1438" s="13">
        <v>50</v>
      </c>
    </row>
    <row r="1439" ht="15.75" spans="6:9">
      <c r="F1439" s="12" t="s">
        <v>5941</v>
      </c>
      <c r="G1439" s="12" t="s">
        <v>391</v>
      </c>
      <c r="H1439" s="15">
        <v>51951</v>
      </c>
      <c r="I1439" s="13">
        <v>50</v>
      </c>
    </row>
    <row r="1440" ht="15.75" spans="6:9">
      <c r="F1440" s="12" t="s">
        <v>5942</v>
      </c>
      <c r="G1440" s="12" t="s">
        <v>392</v>
      </c>
      <c r="H1440" s="15">
        <v>561706</v>
      </c>
      <c r="I1440" s="13">
        <v>50</v>
      </c>
    </row>
    <row r="1441" ht="15.75" spans="6:9">
      <c r="F1441" s="12" t="s">
        <v>4146</v>
      </c>
      <c r="G1441" s="12" t="s">
        <v>391</v>
      </c>
      <c r="H1441" s="15">
        <v>10369</v>
      </c>
      <c r="I1441" s="13">
        <v>50</v>
      </c>
    </row>
    <row r="1442" ht="15.75" spans="6:9">
      <c r="F1442" s="12" t="s">
        <v>5943</v>
      </c>
      <c r="G1442" s="12" t="s">
        <v>392</v>
      </c>
      <c r="H1442" s="15">
        <v>412500</v>
      </c>
      <c r="I1442" s="13">
        <v>50</v>
      </c>
    </row>
    <row r="1443" ht="15.75" spans="6:9">
      <c r="F1443" s="12" t="s">
        <v>5944</v>
      </c>
      <c r="G1443" s="12" t="s">
        <v>392</v>
      </c>
      <c r="H1443" s="15">
        <v>14400</v>
      </c>
      <c r="I1443" s="13">
        <v>50</v>
      </c>
    </row>
    <row r="1444" ht="15.75" spans="6:9">
      <c r="F1444" s="12" t="s">
        <v>5945</v>
      </c>
      <c r="G1444" s="12" t="s">
        <v>391</v>
      </c>
      <c r="H1444" s="15">
        <v>21552</v>
      </c>
      <c r="I1444" s="13">
        <v>50</v>
      </c>
    </row>
    <row r="1445" ht="15.75" spans="6:9">
      <c r="F1445" s="12" t="s">
        <v>5946</v>
      </c>
      <c r="G1445" s="12" t="s">
        <v>392</v>
      </c>
      <c r="H1445" s="15">
        <v>42400</v>
      </c>
      <c r="I1445" s="13">
        <v>50</v>
      </c>
    </row>
    <row r="1446" ht="15.75" spans="6:9">
      <c r="F1446" s="12" t="s">
        <v>5947</v>
      </c>
      <c r="G1446" s="12" t="s">
        <v>391</v>
      </c>
      <c r="H1446" s="15">
        <v>14156</v>
      </c>
      <c r="I1446" s="13">
        <v>50</v>
      </c>
    </row>
    <row r="1447" ht="15.75" spans="6:9">
      <c r="F1447" s="12" t="s">
        <v>5948</v>
      </c>
      <c r="G1447" s="12" t="s">
        <v>392</v>
      </c>
      <c r="H1447" s="15">
        <v>27300</v>
      </c>
      <c r="I1447" s="13">
        <v>50</v>
      </c>
    </row>
    <row r="1448" ht="15.75" spans="6:9">
      <c r="F1448" s="12" t="s">
        <v>5949</v>
      </c>
      <c r="G1448" s="12" t="s">
        <v>392</v>
      </c>
      <c r="H1448" s="15">
        <v>27300</v>
      </c>
      <c r="I1448" s="13">
        <v>50</v>
      </c>
    </row>
    <row r="1449" ht="15.75" spans="6:9">
      <c r="F1449" s="12" t="s">
        <v>5950</v>
      </c>
      <c r="G1449" s="12" t="s">
        <v>392</v>
      </c>
      <c r="H1449" s="15">
        <v>413100</v>
      </c>
      <c r="I1449" s="13">
        <v>50</v>
      </c>
    </row>
    <row r="1450" ht="15.75" spans="6:9">
      <c r="F1450" s="12" t="s">
        <v>5951</v>
      </c>
      <c r="G1450" s="12" t="s">
        <v>391</v>
      </c>
      <c r="H1450" s="15">
        <v>32860</v>
      </c>
      <c r="I1450" s="13">
        <v>50</v>
      </c>
    </row>
    <row r="1451" ht="15.75" spans="6:9">
      <c r="F1451" s="12" t="s">
        <v>5952</v>
      </c>
      <c r="G1451" s="12" t="s">
        <v>392</v>
      </c>
      <c r="H1451" s="15">
        <v>26600</v>
      </c>
      <c r="I1451" s="13">
        <v>50</v>
      </c>
    </row>
    <row r="1452" ht="15.75" spans="6:9">
      <c r="F1452" s="12" t="s">
        <v>4148</v>
      </c>
      <c r="G1452" s="12" t="s">
        <v>391</v>
      </c>
      <c r="H1452" s="15">
        <v>22227</v>
      </c>
      <c r="I1452" s="13">
        <v>50</v>
      </c>
    </row>
    <row r="1453" ht="15.75" spans="6:9">
      <c r="F1453" s="12" t="s">
        <v>5953</v>
      </c>
      <c r="G1453" s="12" t="s">
        <v>392</v>
      </c>
      <c r="H1453" s="15">
        <v>52700</v>
      </c>
      <c r="I1453" s="13">
        <v>50</v>
      </c>
    </row>
    <row r="1454" ht="15.75" spans="6:9">
      <c r="F1454" s="12" t="s">
        <v>4151</v>
      </c>
      <c r="G1454" s="12" t="s">
        <v>391</v>
      </c>
      <c r="H1454" s="15">
        <v>14552</v>
      </c>
      <c r="I1454" s="13">
        <v>50</v>
      </c>
    </row>
    <row r="1455" ht="15.75" spans="6:9">
      <c r="F1455" s="12" t="s">
        <v>5954</v>
      </c>
      <c r="G1455" s="12" t="s">
        <v>392</v>
      </c>
      <c r="H1455" s="15">
        <v>35100</v>
      </c>
      <c r="I1455" s="13">
        <v>50</v>
      </c>
    </row>
    <row r="1456" ht="15.75" spans="6:9">
      <c r="F1456" s="12" t="s">
        <v>5955</v>
      </c>
      <c r="G1456" s="12" t="s">
        <v>392</v>
      </c>
      <c r="H1456" s="15">
        <v>655200</v>
      </c>
      <c r="I1456" s="13">
        <v>50</v>
      </c>
    </row>
    <row r="1457" ht="15.75" spans="6:9">
      <c r="F1457" s="12" t="s">
        <v>5956</v>
      </c>
      <c r="G1457" s="12" t="s">
        <v>391</v>
      </c>
      <c r="H1457" s="15">
        <v>11255</v>
      </c>
      <c r="I1457" s="13">
        <v>50</v>
      </c>
    </row>
    <row r="1458" ht="15.75" spans="6:9">
      <c r="F1458" s="12" t="s">
        <v>5957</v>
      </c>
      <c r="G1458" s="12" t="s">
        <v>392</v>
      </c>
      <c r="H1458" s="15">
        <v>26200</v>
      </c>
      <c r="I1458" s="13">
        <v>50</v>
      </c>
    </row>
    <row r="1459" ht="15.75" spans="6:9">
      <c r="F1459" s="12" t="s">
        <v>4154</v>
      </c>
      <c r="G1459" s="12" t="s">
        <v>391</v>
      </c>
      <c r="H1459" s="15">
        <v>10763</v>
      </c>
      <c r="I1459" s="13">
        <v>50</v>
      </c>
    </row>
    <row r="1460" ht="15.75" spans="6:9">
      <c r="F1460" s="12" t="s">
        <v>5958</v>
      </c>
      <c r="G1460" s="12" t="s">
        <v>391</v>
      </c>
      <c r="H1460" s="15">
        <v>25530</v>
      </c>
      <c r="I1460" s="13">
        <v>50</v>
      </c>
    </row>
    <row r="1461" ht="15.75" spans="6:9">
      <c r="F1461" s="12" t="s">
        <v>5959</v>
      </c>
      <c r="G1461" s="12" t="s">
        <v>391</v>
      </c>
      <c r="H1461" s="15">
        <v>100843</v>
      </c>
      <c r="I1461" s="13">
        <v>50</v>
      </c>
    </row>
    <row r="1462" ht="15.75" spans="6:9">
      <c r="F1462" s="12" t="s">
        <v>5960</v>
      </c>
      <c r="G1462" s="12" t="s">
        <v>392</v>
      </c>
      <c r="H1462" s="15">
        <v>17800</v>
      </c>
      <c r="I1462" s="13">
        <v>50</v>
      </c>
    </row>
    <row r="1463" ht="15.75" spans="6:9">
      <c r="F1463" s="12" t="s">
        <v>5961</v>
      </c>
      <c r="G1463" s="12" t="s">
        <v>391</v>
      </c>
      <c r="H1463" s="15">
        <v>15810</v>
      </c>
      <c r="I1463" s="13">
        <v>50</v>
      </c>
    </row>
    <row r="1464" ht="15.75" spans="6:9">
      <c r="F1464" s="12" t="s">
        <v>5962</v>
      </c>
      <c r="G1464" s="12" t="s">
        <v>392</v>
      </c>
      <c r="H1464" s="15">
        <v>10100</v>
      </c>
      <c r="I1464" s="13">
        <v>50</v>
      </c>
    </row>
    <row r="1465" ht="15.75" spans="6:9">
      <c r="F1465" s="12" t="s">
        <v>5963</v>
      </c>
      <c r="G1465" s="12" t="s">
        <v>391</v>
      </c>
      <c r="H1465" s="15">
        <v>12574</v>
      </c>
      <c r="I1465" s="13">
        <v>50</v>
      </c>
    </row>
    <row r="1466" ht="15.75" spans="6:9">
      <c r="F1466" s="12" t="s">
        <v>5964</v>
      </c>
      <c r="G1466" s="12" t="s">
        <v>392</v>
      </c>
      <c r="H1466" s="15">
        <v>32800</v>
      </c>
      <c r="I1466" s="13">
        <v>50</v>
      </c>
    </row>
    <row r="1467" ht="15.75" spans="6:9">
      <c r="F1467" s="12" t="s">
        <v>5965</v>
      </c>
      <c r="G1467" s="12" t="s">
        <v>392</v>
      </c>
      <c r="H1467" s="15">
        <v>75500</v>
      </c>
      <c r="I1467" s="13">
        <v>50</v>
      </c>
    </row>
    <row r="1468" ht="15.75" spans="6:9">
      <c r="F1468" s="12" t="s">
        <v>5966</v>
      </c>
      <c r="G1468" s="12" t="s">
        <v>391</v>
      </c>
      <c r="H1468" s="15">
        <v>32091</v>
      </c>
      <c r="I1468" s="13">
        <v>50</v>
      </c>
    </row>
    <row r="1469" ht="15.75" spans="6:9">
      <c r="F1469" s="12" t="s">
        <v>5967</v>
      </c>
      <c r="G1469" s="12" t="s">
        <v>392</v>
      </c>
      <c r="H1469" s="15">
        <v>24600</v>
      </c>
      <c r="I1469" s="13">
        <v>50</v>
      </c>
    </row>
    <row r="1470" ht="15.75" spans="6:9">
      <c r="F1470" s="12" t="s">
        <v>5968</v>
      </c>
      <c r="G1470" s="12" t="s">
        <v>392</v>
      </c>
      <c r="H1470" s="15">
        <v>32900</v>
      </c>
      <c r="I1470" s="13">
        <v>50</v>
      </c>
    </row>
    <row r="1471" ht="15.75" spans="6:9">
      <c r="F1471" s="12" t="s">
        <v>4157</v>
      </c>
      <c r="G1471" s="12" t="s">
        <v>391</v>
      </c>
      <c r="H1471" s="15">
        <v>26567</v>
      </c>
      <c r="I1471" s="13">
        <v>50</v>
      </c>
    </row>
    <row r="1472" ht="15.75" spans="6:9">
      <c r="F1472" s="12" t="s">
        <v>5969</v>
      </c>
      <c r="G1472" s="12" t="s">
        <v>392</v>
      </c>
      <c r="H1472" s="15">
        <v>1200000</v>
      </c>
      <c r="I1472" s="13">
        <v>50</v>
      </c>
    </row>
    <row r="1473" ht="15.75" spans="6:9">
      <c r="F1473" s="12" t="s">
        <v>5970</v>
      </c>
      <c r="G1473" s="12" t="s">
        <v>392</v>
      </c>
      <c r="H1473" s="15">
        <v>15700</v>
      </c>
      <c r="I1473" s="13">
        <v>50</v>
      </c>
    </row>
    <row r="1474" ht="15.75" spans="6:9">
      <c r="F1474" s="12" t="s">
        <v>5971</v>
      </c>
      <c r="G1474" s="12" t="s">
        <v>391</v>
      </c>
      <c r="H1474" s="15">
        <v>10105</v>
      </c>
      <c r="I1474" s="13">
        <v>50</v>
      </c>
    </row>
    <row r="1475" ht="15.75" spans="6:9">
      <c r="F1475" s="12" t="s">
        <v>5972</v>
      </c>
      <c r="G1475" s="12" t="s">
        <v>392</v>
      </c>
      <c r="H1475" s="15">
        <v>254100</v>
      </c>
      <c r="I1475" s="13">
        <v>50</v>
      </c>
    </row>
    <row r="1476" ht="15.75" spans="6:9">
      <c r="F1476" s="12" t="s">
        <v>5973</v>
      </c>
      <c r="G1476" s="12" t="s">
        <v>392</v>
      </c>
      <c r="H1476" s="15">
        <v>33100</v>
      </c>
      <c r="I1476" s="13">
        <v>50</v>
      </c>
    </row>
    <row r="1477" ht="15.75" spans="6:9">
      <c r="F1477" s="12" t="s">
        <v>5974</v>
      </c>
      <c r="G1477" s="12" t="s">
        <v>392</v>
      </c>
      <c r="H1477" s="15">
        <v>91100</v>
      </c>
      <c r="I1477" s="13">
        <v>50</v>
      </c>
    </row>
    <row r="1478" ht="15.75" spans="6:9">
      <c r="F1478" s="12" t="s">
        <v>5975</v>
      </c>
      <c r="G1478" s="12" t="s">
        <v>392</v>
      </c>
      <c r="H1478" s="15">
        <v>22100</v>
      </c>
      <c r="I1478" s="13">
        <v>50</v>
      </c>
    </row>
    <row r="1479" ht="15.75" spans="6:9">
      <c r="F1479" s="12" t="s">
        <v>5976</v>
      </c>
      <c r="G1479" s="12" t="s">
        <v>392</v>
      </c>
      <c r="H1479" s="15">
        <v>10700</v>
      </c>
      <c r="I1479" s="13">
        <v>50</v>
      </c>
    </row>
    <row r="1480" ht="15.75" spans="6:9">
      <c r="F1480" s="12" t="s">
        <v>4160</v>
      </c>
      <c r="G1480" s="12" t="s">
        <v>391</v>
      </c>
      <c r="H1480" s="15">
        <v>28959</v>
      </c>
      <c r="I1480" s="13">
        <v>50</v>
      </c>
    </row>
    <row r="1481" ht="15.75" spans="6:9">
      <c r="F1481" s="12" t="s">
        <v>5977</v>
      </c>
      <c r="G1481" s="12" t="s">
        <v>392</v>
      </c>
      <c r="H1481" s="15">
        <v>37300</v>
      </c>
      <c r="I1481" s="13">
        <v>50</v>
      </c>
    </row>
    <row r="1482" ht="15.75" spans="6:9">
      <c r="F1482" s="12" t="s">
        <v>5978</v>
      </c>
      <c r="G1482" s="12" t="s">
        <v>392</v>
      </c>
      <c r="H1482" s="15">
        <v>114400</v>
      </c>
      <c r="I1482" s="13">
        <v>50</v>
      </c>
    </row>
    <row r="1483" ht="15.75" spans="6:9">
      <c r="F1483" s="12" t="s">
        <v>5979</v>
      </c>
      <c r="G1483" s="12" t="s">
        <v>392</v>
      </c>
      <c r="H1483" s="15">
        <v>283000</v>
      </c>
      <c r="I1483" s="13">
        <v>50</v>
      </c>
    </row>
    <row r="1484" ht="15.75" spans="6:9">
      <c r="F1484" s="12" t="s">
        <v>5980</v>
      </c>
      <c r="G1484" s="12" t="s">
        <v>391</v>
      </c>
      <c r="H1484" s="15">
        <v>33158</v>
      </c>
      <c r="I1484" s="13">
        <v>50</v>
      </c>
    </row>
    <row r="1485" ht="15.75" spans="6:9">
      <c r="F1485" s="12" t="s">
        <v>5981</v>
      </c>
      <c r="G1485" s="12" t="s">
        <v>392</v>
      </c>
      <c r="H1485" s="15">
        <v>124237</v>
      </c>
      <c r="I1485" s="13">
        <v>50</v>
      </c>
    </row>
    <row r="1486" ht="15.75" spans="6:9">
      <c r="F1486" s="12" t="s">
        <v>5982</v>
      </c>
      <c r="G1486" s="12" t="s">
        <v>392</v>
      </c>
      <c r="H1486" s="15">
        <v>346500</v>
      </c>
      <c r="I1486" s="13">
        <v>50</v>
      </c>
    </row>
    <row r="1487" ht="15.75" spans="6:9">
      <c r="F1487" s="12" t="s">
        <v>5983</v>
      </c>
      <c r="G1487" s="12" t="s">
        <v>392</v>
      </c>
      <c r="H1487" s="15">
        <v>102100</v>
      </c>
      <c r="I1487" s="13">
        <v>50</v>
      </c>
    </row>
    <row r="1488" ht="15.75" spans="6:9">
      <c r="F1488" s="12" t="s">
        <v>5984</v>
      </c>
      <c r="G1488" s="12" t="s">
        <v>392</v>
      </c>
      <c r="H1488" s="15">
        <v>142800</v>
      </c>
      <c r="I1488" s="13">
        <v>50</v>
      </c>
    </row>
    <row r="1489" ht="15.75" spans="6:9">
      <c r="F1489" s="12" t="s">
        <v>5985</v>
      </c>
      <c r="G1489" s="12" t="s">
        <v>392</v>
      </c>
      <c r="H1489" s="15">
        <v>27800</v>
      </c>
      <c r="I1489" s="13">
        <v>50</v>
      </c>
    </row>
    <row r="1490" ht="15.75" spans="6:9">
      <c r="F1490" s="12" t="s">
        <v>5986</v>
      </c>
      <c r="G1490" s="12" t="s">
        <v>392</v>
      </c>
      <c r="H1490" s="15">
        <v>15700</v>
      </c>
      <c r="I1490" s="13">
        <v>50</v>
      </c>
    </row>
    <row r="1491" ht="15.75" spans="6:9">
      <c r="F1491" s="12" t="s">
        <v>5987</v>
      </c>
      <c r="G1491" s="12" t="s">
        <v>392</v>
      </c>
      <c r="H1491" s="15">
        <v>120900</v>
      </c>
      <c r="I1491" s="13">
        <v>50</v>
      </c>
    </row>
    <row r="1492" ht="15.75" spans="6:9">
      <c r="F1492" s="12" t="s">
        <v>5988</v>
      </c>
      <c r="G1492" s="12" t="s">
        <v>392</v>
      </c>
      <c r="H1492" s="15">
        <v>220400</v>
      </c>
      <c r="I1492" s="13">
        <v>50</v>
      </c>
    </row>
    <row r="1493" ht="15.75" spans="6:9">
      <c r="F1493" s="12" t="s">
        <v>5989</v>
      </c>
      <c r="G1493" s="12" t="s">
        <v>392</v>
      </c>
      <c r="H1493" s="15">
        <v>454200</v>
      </c>
      <c r="I1493" s="13">
        <v>50</v>
      </c>
    </row>
    <row r="1494" ht="15.75" spans="6:9">
      <c r="F1494" s="12" t="s">
        <v>5990</v>
      </c>
      <c r="G1494" s="12" t="s">
        <v>392</v>
      </c>
      <c r="H1494" s="15">
        <v>44700</v>
      </c>
      <c r="I1494" s="13">
        <v>50</v>
      </c>
    </row>
    <row r="1495" ht="15.75" spans="6:9">
      <c r="F1495" s="12" t="s">
        <v>5991</v>
      </c>
      <c r="G1495" s="12" t="s">
        <v>392</v>
      </c>
      <c r="H1495" s="15">
        <v>16200</v>
      </c>
      <c r="I1495" s="13">
        <v>50</v>
      </c>
    </row>
    <row r="1496" ht="15.75" spans="6:9">
      <c r="F1496" s="12" t="s">
        <v>5992</v>
      </c>
      <c r="G1496" s="12" t="s">
        <v>392</v>
      </c>
      <c r="H1496" s="15">
        <v>47100</v>
      </c>
      <c r="I1496" s="13">
        <v>50</v>
      </c>
    </row>
    <row r="1497" ht="15.75" spans="6:9">
      <c r="F1497" s="12" t="s">
        <v>5993</v>
      </c>
      <c r="G1497" s="12" t="s">
        <v>392</v>
      </c>
      <c r="H1497" s="15">
        <v>347000</v>
      </c>
      <c r="I1497" s="13">
        <v>50</v>
      </c>
    </row>
    <row r="1498" ht="15.75" spans="6:9">
      <c r="F1498" s="12" t="s">
        <v>5994</v>
      </c>
      <c r="G1498" s="12" t="s">
        <v>392</v>
      </c>
      <c r="H1498" s="15">
        <v>275400</v>
      </c>
      <c r="I1498" s="13">
        <v>50</v>
      </c>
    </row>
    <row r="1499" ht="15.75" spans="6:9">
      <c r="F1499" s="12" t="s">
        <v>5995</v>
      </c>
      <c r="G1499" s="12" t="s">
        <v>392</v>
      </c>
      <c r="H1499" s="15">
        <v>50500</v>
      </c>
      <c r="I1499" s="13">
        <v>50</v>
      </c>
    </row>
    <row r="1500" ht="15.75" spans="6:9">
      <c r="F1500" s="12" t="s">
        <v>5996</v>
      </c>
      <c r="G1500" s="12" t="s">
        <v>392</v>
      </c>
      <c r="H1500" s="15">
        <v>101500</v>
      </c>
      <c r="I1500" s="13">
        <v>50</v>
      </c>
    </row>
    <row r="1501" ht="15.75" spans="6:9">
      <c r="F1501" s="12" t="s">
        <v>5997</v>
      </c>
      <c r="G1501" s="12" t="s">
        <v>392</v>
      </c>
      <c r="H1501" s="15">
        <v>11800</v>
      </c>
      <c r="I1501" s="13">
        <v>50</v>
      </c>
    </row>
    <row r="1502" ht="15.75" spans="6:9">
      <c r="F1502" s="12" t="s">
        <v>5998</v>
      </c>
      <c r="G1502" s="12" t="s">
        <v>392</v>
      </c>
      <c r="H1502" s="15">
        <v>194900</v>
      </c>
      <c r="I1502" s="13">
        <v>50</v>
      </c>
    </row>
    <row r="1503" ht="15.75" spans="6:9">
      <c r="F1503" s="12" t="s">
        <v>5999</v>
      </c>
      <c r="G1503" s="12" t="s">
        <v>391</v>
      </c>
      <c r="H1503" s="15">
        <v>18966</v>
      </c>
      <c r="I1503" s="13">
        <v>50</v>
      </c>
    </row>
    <row r="1504" ht="15.75" spans="6:9">
      <c r="F1504" s="12" t="s">
        <v>6000</v>
      </c>
      <c r="G1504" s="12" t="s">
        <v>392</v>
      </c>
      <c r="H1504" s="15">
        <v>24300</v>
      </c>
      <c r="I1504" s="13">
        <v>50</v>
      </c>
    </row>
    <row r="1505" ht="15.75" spans="6:9">
      <c r="F1505" s="12" t="s">
        <v>4162</v>
      </c>
      <c r="G1505" s="12" t="s">
        <v>391</v>
      </c>
      <c r="H1505" s="15">
        <v>10100</v>
      </c>
      <c r="I1505" s="13">
        <v>50</v>
      </c>
    </row>
    <row r="1506" ht="15.75" spans="6:9">
      <c r="F1506" s="12" t="s">
        <v>6001</v>
      </c>
      <c r="G1506" s="12" t="s">
        <v>391</v>
      </c>
      <c r="H1506" s="15">
        <v>17492</v>
      </c>
      <c r="I1506" s="13">
        <v>50</v>
      </c>
    </row>
    <row r="1507" ht="15.75" spans="6:9">
      <c r="F1507" s="12" t="s">
        <v>4165</v>
      </c>
      <c r="G1507" s="12" t="s">
        <v>391</v>
      </c>
      <c r="H1507" s="15">
        <v>10956</v>
      </c>
      <c r="I1507" s="13">
        <v>50</v>
      </c>
    </row>
    <row r="1508" ht="15.75" spans="6:9">
      <c r="F1508" s="12" t="s">
        <v>6002</v>
      </c>
      <c r="G1508" s="12" t="s">
        <v>391</v>
      </c>
      <c r="H1508" s="15">
        <v>11182</v>
      </c>
      <c r="I1508" s="13">
        <v>50</v>
      </c>
    </row>
    <row r="1509" ht="15.75" spans="6:9">
      <c r="F1509" s="12" t="s">
        <v>6003</v>
      </c>
      <c r="G1509" s="12" t="s">
        <v>391</v>
      </c>
      <c r="H1509" s="15">
        <v>15600</v>
      </c>
      <c r="I1509" s="13">
        <v>50</v>
      </c>
    </row>
    <row r="1510" ht="15.75" spans="6:9">
      <c r="F1510" s="12" t="s">
        <v>6004</v>
      </c>
      <c r="G1510" s="12" t="s">
        <v>391</v>
      </c>
      <c r="H1510" s="15">
        <v>11698</v>
      </c>
      <c r="I1510" s="13">
        <v>50</v>
      </c>
    </row>
    <row r="1511" ht="15.75" spans="6:9">
      <c r="F1511" s="12" t="s">
        <v>6005</v>
      </c>
      <c r="G1511" s="12" t="s">
        <v>392</v>
      </c>
      <c r="H1511" s="15">
        <v>11600</v>
      </c>
      <c r="I1511" s="13">
        <v>50</v>
      </c>
    </row>
    <row r="1512" ht="15.75" spans="6:9">
      <c r="F1512" s="12" t="s">
        <v>6006</v>
      </c>
      <c r="G1512" s="12" t="s">
        <v>392</v>
      </c>
      <c r="H1512" s="15">
        <v>15400</v>
      </c>
      <c r="I1512" s="13">
        <v>50</v>
      </c>
    </row>
    <row r="1513" ht="15.75" spans="6:9">
      <c r="F1513" s="12" t="s">
        <v>6007</v>
      </c>
      <c r="G1513" s="12" t="s">
        <v>392</v>
      </c>
      <c r="H1513" s="15">
        <v>2500000</v>
      </c>
      <c r="I1513" s="13">
        <v>50</v>
      </c>
    </row>
    <row r="1514" ht="15.75" spans="6:9">
      <c r="F1514" s="12" t="s">
        <v>6008</v>
      </c>
      <c r="G1514" s="12" t="s">
        <v>392</v>
      </c>
      <c r="H1514" s="15">
        <v>613200</v>
      </c>
      <c r="I1514" s="13">
        <v>50</v>
      </c>
    </row>
    <row r="1515" ht="15.75" spans="6:9">
      <c r="F1515" s="12" t="s">
        <v>6009</v>
      </c>
      <c r="G1515" s="12" t="s">
        <v>392</v>
      </c>
      <c r="H1515" s="15">
        <v>545600</v>
      </c>
      <c r="I1515" s="13">
        <v>50</v>
      </c>
    </row>
    <row r="1516" ht="15.75" spans="6:9">
      <c r="F1516" s="12" t="s">
        <v>6010</v>
      </c>
      <c r="G1516" s="12" t="s">
        <v>392</v>
      </c>
      <c r="H1516" s="15">
        <v>372700</v>
      </c>
      <c r="I1516" s="13">
        <v>50</v>
      </c>
    </row>
    <row r="1517" ht="15.75" spans="6:9">
      <c r="F1517" s="12" t="s">
        <v>4168</v>
      </c>
      <c r="G1517" s="12" t="s">
        <v>391</v>
      </c>
      <c r="H1517" s="15">
        <v>33146</v>
      </c>
      <c r="I1517" s="13">
        <v>50</v>
      </c>
    </row>
    <row r="1518" ht="15.75" spans="6:9">
      <c r="F1518" s="12" t="s">
        <v>4170</v>
      </c>
      <c r="G1518" s="12" t="s">
        <v>391</v>
      </c>
      <c r="H1518" s="15">
        <v>1124014</v>
      </c>
      <c r="I1518" s="13">
        <v>50</v>
      </c>
    </row>
    <row r="1519" ht="15.75" spans="6:9">
      <c r="F1519" s="12" t="s">
        <v>6011</v>
      </c>
      <c r="G1519" s="12" t="s">
        <v>392</v>
      </c>
      <c r="H1519" s="15">
        <v>34900</v>
      </c>
      <c r="I1519" s="13">
        <v>50</v>
      </c>
    </row>
    <row r="1520" ht="15.75" spans="6:9">
      <c r="F1520" s="12" t="s">
        <v>6012</v>
      </c>
      <c r="G1520" s="12" t="s">
        <v>392</v>
      </c>
      <c r="H1520" s="15">
        <v>15100</v>
      </c>
      <c r="I1520" s="13">
        <v>50</v>
      </c>
    </row>
    <row r="1521" ht="15.75" spans="6:9">
      <c r="F1521" s="12" t="s">
        <v>6013</v>
      </c>
      <c r="G1521" s="12" t="s">
        <v>392</v>
      </c>
      <c r="H1521" s="15">
        <v>68200</v>
      </c>
      <c r="I1521" s="13">
        <v>50</v>
      </c>
    </row>
    <row r="1522" ht="15.75" spans="6:9">
      <c r="F1522" s="12" t="s">
        <v>6014</v>
      </c>
      <c r="G1522" s="12" t="s">
        <v>391</v>
      </c>
      <c r="H1522" s="15">
        <v>22856</v>
      </c>
      <c r="I1522" s="13">
        <v>50</v>
      </c>
    </row>
    <row r="1523" ht="15.75" spans="6:9">
      <c r="F1523" s="12" t="s">
        <v>6015</v>
      </c>
      <c r="G1523" s="12" t="s">
        <v>392</v>
      </c>
      <c r="H1523" s="15">
        <v>35100</v>
      </c>
      <c r="I1523" s="13">
        <v>50</v>
      </c>
    </row>
    <row r="1524" ht="15.75" spans="6:9">
      <c r="F1524" s="12" t="s">
        <v>6016</v>
      </c>
      <c r="G1524" s="12" t="s">
        <v>391</v>
      </c>
      <c r="H1524" s="15">
        <v>12783</v>
      </c>
      <c r="I1524" s="13">
        <v>50</v>
      </c>
    </row>
    <row r="1525" ht="15.75" spans="6:9">
      <c r="F1525" s="12" t="s">
        <v>6017</v>
      </c>
      <c r="G1525" s="12" t="s">
        <v>391</v>
      </c>
      <c r="H1525" s="15">
        <v>14592</v>
      </c>
      <c r="I1525" s="13">
        <v>50</v>
      </c>
    </row>
    <row r="1526" ht="15.75" spans="6:9">
      <c r="F1526" s="12" t="s">
        <v>6018</v>
      </c>
      <c r="G1526" s="12" t="s">
        <v>392</v>
      </c>
      <c r="H1526" s="15">
        <v>10700</v>
      </c>
      <c r="I1526" s="13">
        <v>50</v>
      </c>
    </row>
    <row r="1527" ht="15.75" spans="6:9">
      <c r="F1527" s="12" t="s">
        <v>4173</v>
      </c>
      <c r="G1527" s="12" t="s">
        <v>391</v>
      </c>
      <c r="H1527" s="15">
        <v>11611</v>
      </c>
      <c r="I1527" s="13">
        <v>50</v>
      </c>
    </row>
    <row r="1528" ht="15.75" spans="6:9">
      <c r="F1528" s="12" t="s">
        <v>6019</v>
      </c>
      <c r="G1528" s="12" t="s">
        <v>391</v>
      </c>
      <c r="H1528" s="15">
        <v>19527</v>
      </c>
      <c r="I1528" s="13">
        <v>50</v>
      </c>
    </row>
    <row r="1529" ht="15.75" spans="6:9">
      <c r="F1529" s="12" t="s">
        <v>4175</v>
      </c>
      <c r="G1529" s="12" t="s">
        <v>391</v>
      </c>
      <c r="H1529" s="15">
        <v>11773</v>
      </c>
      <c r="I1529" s="13">
        <v>50</v>
      </c>
    </row>
    <row r="1530" ht="15.75" spans="6:9">
      <c r="F1530" s="12" t="s">
        <v>6020</v>
      </c>
      <c r="G1530" s="12" t="s">
        <v>392</v>
      </c>
      <c r="H1530" s="15">
        <v>349100</v>
      </c>
      <c r="I1530" s="13">
        <v>50</v>
      </c>
    </row>
    <row r="1531" ht="15.75" spans="6:9">
      <c r="F1531" s="12" t="s">
        <v>4177</v>
      </c>
      <c r="G1531" s="12" t="s">
        <v>391</v>
      </c>
      <c r="H1531" s="15">
        <v>11212</v>
      </c>
      <c r="I1531" s="13">
        <v>50</v>
      </c>
    </row>
    <row r="1532" ht="15.75" spans="6:9">
      <c r="F1532" s="12" t="s">
        <v>6021</v>
      </c>
      <c r="G1532" s="12" t="s">
        <v>392</v>
      </c>
      <c r="H1532" s="15">
        <v>31200</v>
      </c>
      <c r="I1532" s="13">
        <v>50</v>
      </c>
    </row>
    <row r="1533" ht="15.75" spans="6:9">
      <c r="F1533" s="12" t="s">
        <v>6022</v>
      </c>
      <c r="G1533" s="12" t="s">
        <v>392</v>
      </c>
      <c r="H1533" s="15">
        <v>34700</v>
      </c>
      <c r="I1533" s="13">
        <v>50</v>
      </c>
    </row>
    <row r="1534" ht="15.75" spans="6:9">
      <c r="F1534" s="12" t="s">
        <v>6023</v>
      </c>
      <c r="G1534" s="12" t="s">
        <v>392</v>
      </c>
      <c r="H1534" s="15">
        <v>163200</v>
      </c>
      <c r="I1534" s="13">
        <v>50</v>
      </c>
    </row>
    <row r="1535" ht="15.75" spans="6:9">
      <c r="F1535" s="12" t="s">
        <v>6024</v>
      </c>
      <c r="G1535" s="12" t="s">
        <v>392</v>
      </c>
      <c r="H1535" s="15">
        <v>26500</v>
      </c>
      <c r="I1535" s="13">
        <v>50</v>
      </c>
    </row>
    <row r="1536" ht="15.75" spans="6:9">
      <c r="F1536" s="12" t="s">
        <v>6025</v>
      </c>
      <c r="G1536" s="12" t="s">
        <v>392</v>
      </c>
      <c r="H1536" s="15">
        <v>104800</v>
      </c>
      <c r="I1536" s="13">
        <v>50</v>
      </c>
    </row>
    <row r="1537" ht="15.75" spans="6:9">
      <c r="F1537" s="12" t="s">
        <v>4180</v>
      </c>
      <c r="G1537" s="12" t="s">
        <v>391</v>
      </c>
      <c r="H1537" s="15">
        <v>10443</v>
      </c>
      <c r="I1537" s="13">
        <v>50</v>
      </c>
    </row>
    <row r="1538" ht="15.75" spans="6:9">
      <c r="F1538" s="12" t="s">
        <v>6026</v>
      </c>
      <c r="G1538" s="12" t="s">
        <v>392</v>
      </c>
      <c r="H1538" s="15">
        <v>200100</v>
      </c>
      <c r="I1538" s="13">
        <v>50</v>
      </c>
    </row>
    <row r="1539" ht="15.75" spans="6:9">
      <c r="F1539" s="12" t="s">
        <v>6027</v>
      </c>
      <c r="G1539" s="12" t="s">
        <v>392</v>
      </c>
      <c r="H1539" s="15">
        <v>47600</v>
      </c>
      <c r="I1539" s="13">
        <v>50</v>
      </c>
    </row>
    <row r="1540" ht="15.75" spans="6:9">
      <c r="F1540" s="12" t="s">
        <v>6028</v>
      </c>
      <c r="G1540" s="12" t="s">
        <v>392</v>
      </c>
      <c r="H1540" s="15">
        <v>15300</v>
      </c>
      <c r="I1540" s="13">
        <v>50</v>
      </c>
    </row>
    <row r="1541" ht="15.75" spans="6:9">
      <c r="F1541" s="12" t="s">
        <v>6029</v>
      </c>
      <c r="G1541" s="12" t="s">
        <v>392</v>
      </c>
      <c r="H1541" s="15">
        <v>70300</v>
      </c>
      <c r="I1541" s="13">
        <v>50</v>
      </c>
    </row>
    <row r="1542" ht="15.75" spans="6:9">
      <c r="F1542" s="12" t="s">
        <v>6030</v>
      </c>
      <c r="G1542" s="12" t="s">
        <v>392</v>
      </c>
      <c r="H1542" s="15">
        <v>75100</v>
      </c>
      <c r="I1542" s="13">
        <v>50</v>
      </c>
    </row>
    <row r="1543" ht="15.75" spans="6:9">
      <c r="F1543" s="12" t="s">
        <v>6031</v>
      </c>
      <c r="G1543" s="12" t="s">
        <v>392</v>
      </c>
      <c r="H1543" s="15">
        <v>11600</v>
      </c>
      <c r="I1543" s="13">
        <v>50</v>
      </c>
    </row>
    <row r="1544" ht="15.75" spans="6:9">
      <c r="F1544" s="12" t="s">
        <v>6032</v>
      </c>
      <c r="G1544" s="12" t="s">
        <v>392</v>
      </c>
      <c r="H1544" s="15">
        <v>26000</v>
      </c>
      <c r="I1544" s="13">
        <v>50</v>
      </c>
    </row>
    <row r="1545" ht="15.75" spans="6:9">
      <c r="F1545" s="12" t="s">
        <v>6033</v>
      </c>
      <c r="G1545" s="12" t="s">
        <v>392</v>
      </c>
      <c r="H1545" s="15">
        <v>193406</v>
      </c>
      <c r="I1545" s="13">
        <v>50</v>
      </c>
    </row>
    <row r="1546" ht="15.75" spans="6:9">
      <c r="F1546" s="12" t="s">
        <v>4183</v>
      </c>
      <c r="G1546" s="12" t="s">
        <v>391</v>
      </c>
      <c r="H1546" s="15">
        <v>24050</v>
      </c>
      <c r="I1546" s="13">
        <v>50</v>
      </c>
    </row>
    <row r="1547" ht="15.75" spans="6:9">
      <c r="F1547" s="12" t="s">
        <v>6034</v>
      </c>
      <c r="G1547" s="12" t="s">
        <v>392</v>
      </c>
      <c r="H1547" s="15">
        <v>10700</v>
      </c>
      <c r="I1547" s="13">
        <v>50</v>
      </c>
    </row>
    <row r="1548" ht="15.75" spans="6:9">
      <c r="F1548" s="12" t="s">
        <v>6035</v>
      </c>
      <c r="G1548" s="12" t="s">
        <v>392</v>
      </c>
      <c r="H1548" s="15">
        <v>44500</v>
      </c>
      <c r="I1548" s="13">
        <v>50</v>
      </c>
    </row>
    <row r="1549" ht="15.75" spans="6:9">
      <c r="F1549" s="12" t="s">
        <v>6036</v>
      </c>
      <c r="G1549" s="12" t="s">
        <v>392</v>
      </c>
      <c r="H1549" s="15">
        <v>70400</v>
      </c>
      <c r="I1549" s="13">
        <v>50</v>
      </c>
    </row>
    <row r="1550" ht="15.75" spans="6:9">
      <c r="F1550" s="12" t="s">
        <v>6037</v>
      </c>
      <c r="G1550" s="12" t="s">
        <v>391</v>
      </c>
      <c r="H1550" s="15">
        <v>13264</v>
      </c>
      <c r="I1550" s="13">
        <v>50</v>
      </c>
    </row>
    <row r="1551" ht="15.75" spans="6:9">
      <c r="F1551" s="12" t="s">
        <v>4186</v>
      </c>
      <c r="G1551" s="12" t="s">
        <v>391</v>
      </c>
      <c r="H1551" s="15">
        <v>15337</v>
      </c>
      <c r="I1551" s="13">
        <v>50</v>
      </c>
    </row>
    <row r="1552" ht="15.75" spans="6:9">
      <c r="F1552" s="12" t="s">
        <v>4189</v>
      </c>
      <c r="G1552" s="12" t="s">
        <v>391</v>
      </c>
      <c r="H1552" s="15">
        <v>16195</v>
      </c>
      <c r="I1552" s="13">
        <v>50</v>
      </c>
    </row>
    <row r="1553" ht="15.75" spans="6:9">
      <c r="F1553" s="12" t="s">
        <v>6038</v>
      </c>
      <c r="G1553" s="12" t="s">
        <v>392</v>
      </c>
      <c r="H1553" s="15">
        <v>11000</v>
      </c>
      <c r="I1553" s="13">
        <v>50</v>
      </c>
    </row>
    <row r="1554" ht="15.75" spans="6:9">
      <c r="F1554" s="12" t="s">
        <v>6039</v>
      </c>
      <c r="G1554" s="12" t="s">
        <v>392</v>
      </c>
      <c r="H1554" s="15">
        <v>16500</v>
      </c>
      <c r="I1554" s="13">
        <v>50</v>
      </c>
    </row>
    <row r="1555" ht="15.75" spans="6:9">
      <c r="F1555" s="12" t="s">
        <v>6040</v>
      </c>
      <c r="G1555" s="12" t="s">
        <v>392</v>
      </c>
      <c r="H1555" s="15">
        <v>27100</v>
      </c>
      <c r="I1555" s="13">
        <v>50</v>
      </c>
    </row>
    <row r="1556" ht="15.75" spans="6:9">
      <c r="F1556" s="12" t="s">
        <v>6041</v>
      </c>
      <c r="G1556" s="12" t="s">
        <v>392</v>
      </c>
      <c r="H1556" s="15">
        <v>11500</v>
      </c>
      <c r="I1556" s="13">
        <v>50</v>
      </c>
    </row>
    <row r="1557" ht="15.75" spans="6:9">
      <c r="F1557" s="12" t="s">
        <v>6042</v>
      </c>
      <c r="G1557" s="12" t="s">
        <v>392</v>
      </c>
      <c r="H1557" s="15">
        <v>77200</v>
      </c>
      <c r="I1557" s="13">
        <v>50</v>
      </c>
    </row>
    <row r="1558" ht="15.75" spans="6:9">
      <c r="F1558" s="12" t="s">
        <v>6043</v>
      </c>
      <c r="G1558" s="12" t="s">
        <v>392</v>
      </c>
      <c r="H1558" s="15">
        <v>127900</v>
      </c>
      <c r="I1558" s="13">
        <v>50</v>
      </c>
    </row>
    <row r="1559" ht="15.75" spans="6:9">
      <c r="F1559" s="12" t="s">
        <v>6044</v>
      </c>
      <c r="G1559" s="12" t="s">
        <v>392</v>
      </c>
      <c r="H1559" s="15">
        <v>24400</v>
      </c>
      <c r="I1559" s="13">
        <v>50</v>
      </c>
    </row>
    <row r="1560" ht="15.75" spans="6:9">
      <c r="F1560" s="12" t="s">
        <v>6045</v>
      </c>
      <c r="G1560" s="12" t="s">
        <v>392</v>
      </c>
      <c r="H1560" s="15">
        <v>50500</v>
      </c>
      <c r="I1560" s="13">
        <v>50</v>
      </c>
    </row>
    <row r="1561" ht="15.75" spans="6:9">
      <c r="F1561" s="12" t="s">
        <v>6046</v>
      </c>
      <c r="G1561" s="12" t="s">
        <v>392</v>
      </c>
      <c r="H1561" s="15">
        <v>15700</v>
      </c>
      <c r="I1561" s="13">
        <v>50</v>
      </c>
    </row>
    <row r="1562" ht="15.75" spans="6:9">
      <c r="F1562" s="12" t="s">
        <v>6047</v>
      </c>
      <c r="G1562" s="12" t="s">
        <v>392</v>
      </c>
      <c r="H1562" s="15">
        <v>23100</v>
      </c>
      <c r="I1562" s="13">
        <v>50</v>
      </c>
    </row>
    <row r="1563" ht="15.75" spans="6:9">
      <c r="F1563" s="12" t="s">
        <v>6048</v>
      </c>
      <c r="G1563" s="12" t="s">
        <v>391</v>
      </c>
      <c r="H1563" s="15">
        <v>19072</v>
      </c>
      <c r="I1563" s="13">
        <v>50</v>
      </c>
    </row>
    <row r="1564" ht="15.75" spans="6:9">
      <c r="F1564" s="12" t="s">
        <v>6049</v>
      </c>
      <c r="G1564" s="12" t="s">
        <v>392</v>
      </c>
      <c r="H1564" s="15">
        <v>819600</v>
      </c>
      <c r="I1564" s="13">
        <v>50</v>
      </c>
    </row>
    <row r="1565" ht="15.75" spans="6:9">
      <c r="F1565" s="12" t="s">
        <v>4192</v>
      </c>
      <c r="G1565" s="12" t="s">
        <v>391</v>
      </c>
      <c r="H1565" s="15">
        <v>10546</v>
      </c>
      <c r="I1565" s="13">
        <v>50</v>
      </c>
    </row>
    <row r="1566" ht="15.75" spans="6:9">
      <c r="F1566" s="12" t="s">
        <v>6050</v>
      </c>
      <c r="G1566" s="12" t="s">
        <v>391</v>
      </c>
      <c r="H1566" s="15">
        <v>11729</v>
      </c>
      <c r="I1566" s="13">
        <v>50</v>
      </c>
    </row>
    <row r="1567" ht="15.75" spans="6:9">
      <c r="F1567" s="12" t="s">
        <v>6051</v>
      </c>
      <c r="G1567" s="12" t="s">
        <v>392</v>
      </c>
      <c r="H1567" s="15">
        <v>138600</v>
      </c>
      <c r="I1567" s="13">
        <v>50</v>
      </c>
    </row>
    <row r="1568" ht="15.75" spans="6:9">
      <c r="F1568" s="12" t="s">
        <v>6052</v>
      </c>
      <c r="G1568" s="12" t="s">
        <v>392</v>
      </c>
      <c r="H1568" s="15">
        <v>127900</v>
      </c>
      <c r="I1568" s="13">
        <v>50</v>
      </c>
    </row>
    <row r="1569" ht="15.75" spans="6:9">
      <c r="F1569" s="12" t="s">
        <v>6053</v>
      </c>
      <c r="G1569" s="12" t="s">
        <v>392</v>
      </c>
      <c r="H1569" s="15">
        <v>28300</v>
      </c>
      <c r="I1569" s="13">
        <v>50</v>
      </c>
    </row>
    <row r="1570" ht="15.75" spans="6:9">
      <c r="F1570" s="12" t="s">
        <v>6054</v>
      </c>
      <c r="G1570" s="12" t="s">
        <v>392</v>
      </c>
      <c r="H1570" s="15">
        <v>10200</v>
      </c>
      <c r="I1570" s="13">
        <v>50</v>
      </c>
    </row>
    <row r="1571" ht="15.75" spans="6:9">
      <c r="F1571" s="12" t="s">
        <v>6055</v>
      </c>
      <c r="G1571" s="12" t="s">
        <v>392</v>
      </c>
      <c r="H1571" s="15">
        <v>14900</v>
      </c>
      <c r="I1571" s="13">
        <v>50</v>
      </c>
    </row>
    <row r="1572" ht="15.75" spans="6:9">
      <c r="F1572" s="12" t="s">
        <v>4194</v>
      </c>
      <c r="G1572" s="12" t="s">
        <v>391</v>
      </c>
      <c r="H1572" s="15">
        <v>19913</v>
      </c>
      <c r="I1572" s="13">
        <v>50</v>
      </c>
    </row>
    <row r="1573" ht="15.75" spans="6:9">
      <c r="F1573" s="12" t="s">
        <v>3224</v>
      </c>
      <c r="G1573" s="12" t="s">
        <v>391</v>
      </c>
      <c r="H1573" s="15">
        <v>324971</v>
      </c>
      <c r="I1573" s="13">
        <v>50</v>
      </c>
    </row>
    <row r="1574" ht="15.75" spans="6:9">
      <c r="F1574" s="12" t="s">
        <v>6056</v>
      </c>
      <c r="G1574" s="12" t="s">
        <v>391</v>
      </c>
      <c r="H1574" s="15">
        <v>13104</v>
      </c>
      <c r="I1574" s="13">
        <v>50</v>
      </c>
    </row>
    <row r="1575" ht="15.75" spans="6:9">
      <c r="F1575" s="12" t="s">
        <v>6057</v>
      </c>
      <c r="G1575" s="12" t="s">
        <v>392</v>
      </c>
      <c r="H1575" s="15">
        <v>253500</v>
      </c>
      <c r="I1575" s="13">
        <v>50</v>
      </c>
    </row>
    <row r="1576" ht="15.75" spans="6:9">
      <c r="F1576" s="12" t="s">
        <v>6058</v>
      </c>
      <c r="G1576" s="12" t="s">
        <v>391</v>
      </c>
      <c r="H1576" s="15">
        <v>10595</v>
      </c>
      <c r="I1576" s="13">
        <v>50</v>
      </c>
    </row>
    <row r="1577" ht="15.75" spans="6:9">
      <c r="F1577" s="12" t="s">
        <v>6059</v>
      </c>
      <c r="G1577" s="12" t="s">
        <v>392</v>
      </c>
      <c r="H1577" s="15">
        <v>10100</v>
      </c>
      <c r="I1577" s="13">
        <v>50</v>
      </c>
    </row>
    <row r="1578" ht="15.75" spans="6:9">
      <c r="F1578" s="12" t="s">
        <v>6060</v>
      </c>
      <c r="G1578" s="12" t="s">
        <v>392</v>
      </c>
      <c r="H1578" s="15">
        <v>96500</v>
      </c>
      <c r="I1578" s="13">
        <v>50</v>
      </c>
    </row>
    <row r="1579" ht="15.75" spans="6:9">
      <c r="F1579" s="12" t="s">
        <v>6061</v>
      </c>
      <c r="G1579" s="12" t="s">
        <v>392</v>
      </c>
      <c r="H1579" s="15">
        <v>11300</v>
      </c>
      <c r="I1579" s="13">
        <v>50</v>
      </c>
    </row>
    <row r="1580" ht="15.75" spans="6:9">
      <c r="F1580" s="12" t="s">
        <v>4196</v>
      </c>
      <c r="G1580" s="12" t="s">
        <v>391</v>
      </c>
      <c r="H1580" s="15">
        <v>11374</v>
      </c>
      <c r="I1580" s="13">
        <v>50</v>
      </c>
    </row>
    <row r="1581" ht="15.75" spans="6:9">
      <c r="F1581" s="12" t="s">
        <v>6062</v>
      </c>
      <c r="G1581" s="12" t="s">
        <v>391</v>
      </c>
      <c r="H1581" s="15">
        <v>23310</v>
      </c>
      <c r="I1581" s="13">
        <v>50</v>
      </c>
    </row>
    <row r="1582" ht="15.75" spans="6:9">
      <c r="F1582" s="12" t="s">
        <v>4198</v>
      </c>
      <c r="G1582" s="12" t="s">
        <v>391</v>
      </c>
      <c r="H1582" s="15">
        <v>10527</v>
      </c>
      <c r="I1582" s="13">
        <v>50</v>
      </c>
    </row>
    <row r="1583" ht="15.75" spans="6:9">
      <c r="F1583" s="12" t="s">
        <v>6063</v>
      </c>
      <c r="G1583" s="12" t="s">
        <v>392</v>
      </c>
      <c r="H1583" s="15">
        <v>651300</v>
      </c>
      <c r="I1583" s="13">
        <v>50</v>
      </c>
    </row>
    <row r="1584" ht="15.75" spans="6:9">
      <c r="F1584" s="12" t="s">
        <v>6064</v>
      </c>
      <c r="G1584" s="12" t="s">
        <v>391</v>
      </c>
      <c r="H1584" s="15">
        <v>11482</v>
      </c>
      <c r="I1584" s="13">
        <v>50</v>
      </c>
    </row>
    <row r="1585" ht="15.75" spans="6:9">
      <c r="F1585" s="12" t="s">
        <v>6065</v>
      </c>
      <c r="G1585" s="12" t="s">
        <v>392</v>
      </c>
      <c r="H1585" s="15">
        <v>12600</v>
      </c>
      <c r="I1585" s="13">
        <v>50</v>
      </c>
    </row>
    <row r="1586" ht="15.75" spans="6:9">
      <c r="F1586" s="12" t="s">
        <v>6066</v>
      </c>
      <c r="G1586" s="12" t="s">
        <v>392</v>
      </c>
      <c r="H1586" s="15">
        <v>423800</v>
      </c>
      <c r="I1586" s="13">
        <v>50</v>
      </c>
    </row>
    <row r="1587" ht="15.75" spans="6:9">
      <c r="F1587" s="12" t="s">
        <v>6067</v>
      </c>
      <c r="G1587" s="12" t="s">
        <v>392</v>
      </c>
      <c r="H1587" s="15">
        <v>42300</v>
      </c>
      <c r="I1587" s="13">
        <v>50</v>
      </c>
    </row>
    <row r="1588" ht="15.75" spans="6:9">
      <c r="F1588" s="12" t="s">
        <v>6068</v>
      </c>
      <c r="G1588" s="12" t="s">
        <v>392</v>
      </c>
      <c r="H1588" s="15">
        <v>35800</v>
      </c>
      <c r="I1588" s="13">
        <v>50</v>
      </c>
    </row>
    <row r="1589" ht="15.75" spans="6:9">
      <c r="F1589" s="12" t="s">
        <v>6069</v>
      </c>
      <c r="G1589" s="12" t="s">
        <v>392</v>
      </c>
      <c r="H1589" s="15">
        <v>101517</v>
      </c>
      <c r="I1589" s="13">
        <v>50</v>
      </c>
    </row>
    <row r="1590" ht="15.75" spans="6:9">
      <c r="F1590" s="12" t="s">
        <v>6070</v>
      </c>
      <c r="G1590" s="12" t="s">
        <v>392</v>
      </c>
      <c r="H1590" s="15">
        <v>24200</v>
      </c>
      <c r="I1590" s="13">
        <v>50</v>
      </c>
    </row>
    <row r="1591" ht="15.75" spans="6:9">
      <c r="F1591" s="12" t="s">
        <v>6071</v>
      </c>
      <c r="G1591" s="12" t="s">
        <v>392</v>
      </c>
      <c r="H1591" s="15">
        <v>10500</v>
      </c>
      <c r="I1591" s="13">
        <v>50</v>
      </c>
    </row>
    <row r="1592" ht="15.75" spans="6:9">
      <c r="F1592" s="12" t="s">
        <v>6072</v>
      </c>
      <c r="G1592" s="12" t="s">
        <v>392</v>
      </c>
      <c r="H1592" s="15">
        <v>13300</v>
      </c>
      <c r="I1592" s="13">
        <v>50</v>
      </c>
    </row>
    <row r="1593" ht="15.75" spans="6:9">
      <c r="F1593" s="12" t="s">
        <v>6073</v>
      </c>
      <c r="G1593" s="12" t="s">
        <v>391</v>
      </c>
      <c r="H1593" s="15">
        <v>11193</v>
      </c>
      <c r="I1593" s="13">
        <v>50</v>
      </c>
    </row>
    <row r="1594" ht="15.75" spans="6:9">
      <c r="F1594" s="12" t="s">
        <v>6074</v>
      </c>
      <c r="G1594" s="12" t="s">
        <v>391</v>
      </c>
      <c r="H1594" s="15">
        <v>50554</v>
      </c>
      <c r="I1594" s="13">
        <v>50</v>
      </c>
    </row>
    <row r="1595" ht="15.75" spans="6:9">
      <c r="F1595" s="12" t="s">
        <v>4200</v>
      </c>
      <c r="G1595" s="12" t="s">
        <v>391</v>
      </c>
      <c r="H1595" s="15">
        <v>21013</v>
      </c>
      <c r="I1595" s="13">
        <v>50</v>
      </c>
    </row>
    <row r="1596" ht="15.75" spans="6:9">
      <c r="F1596" s="12" t="s">
        <v>6075</v>
      </c>
      <c r="G1596" s="12" t="s">
        <v>392</v>
      </c>
      <c r="H1596" s="15">
        <v>65800</v>
      </c>
      <c r="I1596" s="13">
        <v>50</v>
      </c>
    </row>
    <row r="1597" ht="15.75" spans="6:9">
      <c r="F1597" s="12" t="s">
        <v>6076</v>
      </c>
      <c r="G1597" s="12" t="s">
        <v>392</v>
      </c>
      <c r="H1597" s="15">
        <v>11800</v>
      </c>
      <c r="I1597" s="13">
        <v>50</v>
      </c>
    </row>
    <row r="1598" ht="15.75" spans="6:9">
      <c r="F1598" s="12" t="s">
        <v>4203</v>
      </c>
      <c r="G1598" s="12" t="s">
        <v>391</v>
      </c>
      <c r="H1598" s="15">
        <v>20152</v>
      </c>
      <c r="I1598" s="13">
        <v>50</v>
      </c>
    </row>
    <row r="1599" ht="15.75" spans="6:9">
      <c r="F1599" s="12" t="s">
        <v>6077</v>
      </c>
      <c r="G1599" s="12" t="s">
        <v>391</v>
      </c>
      <c r="H1599" s="15">
        <v>16272</v>
      </c>
      <c r="I1599" s="13">
        <v>50</v>
      </c>
    </row>
    <row r="1600" ht="15.75" spans="6:9">
      <c r="F1600" s="12" t="s">
        <v>6078</v>
      </c>
      <c r="G1600" s="12" t="s">
        <v>391</v>
      </c>
      <c r="H1600" s="15">
        <v>12299</v>
      </c>
      <c r="I1600" s="13">
        <v>50</v>
      </c>
    </row>
    <row r="1601" ht="15.75" spans="6:9">
      <c r="F1601" s="12" t="s">
        <v>6079</v>
      </c>
      <c r="G1601" s="12" t="s">
        <v>392</v>
      </c>
      <c r="H1601" s="15">
        <v>74200</v>
      </c>
      <c r="I1601" s="13">
        <v>50</v>
      </c>
    </row>
    <row r="1602" ht="15.75" spans="6:9">
      <c r="F1602" s="12" t="s">
        <v>6080</v>
      </c>
      <c r="G1602" s="12" t="s">
        <v>392</v>
      </c>
      <c r="H1602" s="15">
        <v>10700</v>
      </c>
      <c r="I1602" s="13">
        <v>50</v>
      </c>
    </row>
    <row r="1603" ht="15.75" spans="6:9">
      <c r="F1603" s="12" t="s">
        <v>6081</v>
      </c>
      <c r="G1603" s="12" t="s">
        <v>392</v>
      </c>
      <c r="H1603" s="15">
        <v>3600000</v>
      </c>
      <c r="I1603" s="13">
        <v>50</v>
      </c>
    </row>
    <row r="1604" ht="15.75" spans="6:9">
      <c r="F1604" s="12" t="s">
        <v>6082</v>
      </c>
      <c r="G1604" s="12" t="s">
        <v>391</v>
      </c>
      <c r="H1604" s="15">
        <v>12868</v>
      </c>
      <c r="I1604" s="13">
        <v>50</v>
      </c>
    </row>
    <row r="1605" ht="15.75" spans="6:9">
      <c r="F1605" s="12" t="s">
        <v>6083</v>
      </c>
      <c r="G1605" s="12" t="s">
        <v>392</v>
      </c>
      <c r="H1605" s="15">
        <v>13400</v>
      </c>
      <c r="I1605" s="13">
        <v>50</v>
      </c>
    </row>
    <row r="1606" ht="15.75" spans="6:9">
      <c r="F1606" s="12" t="s">
        <v>4206</v>
      </c>
      <c r="G1606" s="12" t="s">
        <v>391</v>
      </c>
      <c r="H1606" s="15">
        <v>11618</v>
      </c>
      <c r="I1606" s="13">
        <v>50</v>
      </c>
    </row>
    <row r="1607" ht="15.75" spans="6:9">
      <c r="F1607" s="12" t="s">
        <v>6084</v>
      </c>
      <c r="G1607" s="12" t="s">
        <v>391</v>
      </c>
      <c r="H1607" s="15">
        <v>31340</v>
      </c>
      <c r="I1607" s="13">
        <v>50</v>
      </c>
    </row>
    <row r="1608" ht="15.75" spans="6:9">
      <c r="F1608" s="12" t="s">
        <v>6085</v>
      </c>
      <c r="G1608" s="12" t="s">
        <v>392</v>
      </c>
      <c r="H1608" s="15">
        <v>3400000</v>
      </c>
      <c r="I1608" s="13">
        <v>50</v>
      </c>
    </row>
    <row r="1609" ht="15.75" spans="6:9">
      <c r="F1609" s="12" t="s">
        <v>6086</v>
      </c>
      <c r="G1609" s="12" t="s">
        <v>392</v>
      </c>
      <c r="H1609" s="15">
        <v>50700</v>
      </c>
      <c r="I1609" s="13">
        <v>50</v>
      </c>
    </row>
    <row r="1610" ht="15.75" spans="6:9">
      <c r="F1610" s="12" t="s">
        <v>6087</v>
      </c>
      <c r="G1610" s="12" t="s">
        <v>392</v>
      </c>
      <c r="H1610" s="15">
        <v>70000</v>
      </c>
      <c r="I1610" s="13">
        <v>50</v>
      </c>
    </row>
    <row r="1611" ht="15.75" spans="6:9">
      <c r="F1611" s="12" t="s">
        <v>4209</v>
      </c>
      <c r="G1611" s="12" t="s">
        <v>391</v>
      </c>
      <c r="H1611" s="15">
        <v>10228</v>
      </c>
      <c r="I1611" s="13">
        <v>50</v>
      </c>
    </row>
    <row r="1612" ht="15.75" spans="6:9">
      <c r="F1612" s="12" t="s">
        <v>6088</v>
      </c>
      <c r="G1612" s="12" t="s">
        <v>392</v>
      </c>
      <c r="H1612" s="15">
        <v>10700</v>
      </c>
      <c r="I1612" s="13">
        <v>50</v>
      </c>
    </row>
    <row r="1613" ht="15.75" spans="6:9">
      <c r="F1613" s="12" t="s">
        <v>6089</v>
      </c>
      <c r="G1613" s="12" t="s">
        <v>392</v>
      </c>
      <c r="H1613" s="15">
        <v>63600</v>
      </c>
      <c r="I1613" s="13">
        <v>50</v>
      </c>
    </row>
    <row r="1614" ht="15.75" spans="6:9">
      <c r="F1614" s="12" t="s">
        <v>6090</v>
      </c>
      <c r="G1614" s="12" t="s">
        <v>391</v>
      </c>
      <c r="H1614" s="15">
        <v>114343</v>
      </c>
      <c r="I1614" s="13">
        <v>50</v>
      </c>
    </row>
    <row r="1615" ht="15.75" spans="6:9">
      <c r="F1615" s="12" t="s">
        <v>6091</v>
      </c>
      <c r="G1615" s="12" t="s">
        <v>392</v>
      </c>
      <c r="H1615" s="15">
        <v>64500</v>
      </c>
      <c r="I1615" s="13">
        <v>50</v>
      </c>
    </row>
    <row r="1616" ht="15.75" spans="6:9">
      <c r="F1616" s="12" t="s">
        <v>6092</v>
      </c>
      <c r="G1616" s="12" t="s">
        <v>392</v>
      </c>
      <c r="H1616" s="15">
        <v>213200</v>
      </c>
      <c r="I1616" s="13">
        <v>50</v>
      </c>
    </row>
    <row r="1617" ht="15.75" spans="6:9">
      <c r="F1617" s="12" t="s">
        <v>6093</v>
      </c>
      <c r="G1617" s="12" t="s">
        <v>392</v>
      </c>
      <c r="H1617" s="15">
        <v>311400</v>
      </c>
      <c r="I1617" s="13">
        <v>50</v>
      </c>
    </row>
    <row r="1618" ht="15.75" spans="6:9">
      <c r="F1618" s="12" t="s">
        <v>6094</v>
      </c>
      <c r="G1618" s="12" t="s">
        <v>392</v>
      </c>
      <c r="H1618" s="15">
        <v>62200</v>
      </c>
      <c r="I1618" s="13">
        <v>50</v>
      </c>
    </row>
    <row r="1619" ht="15.75" spans="6:9">
      <c r="F1619" s="12" t="s">
        <v>4212</v>
      </c>
      <c r="G1619" s="12" t="s">
        <v>391</v>
      </c>
      <c r="H1619" s="15">
        <v>17255</v>
      </c>
      <c r="I1619" s="13">
        <v>50</v>
      </c>
    </row>
    <row r="1620" ht="15.75" spans="6:9">
      <c r="F1620" s="12" t="s">
        <v>6095</v>
      </c>
      <c r="G1620" s="12" t="s">
        <v>391</v>
      </c>
      <c r="H1620" s="15">
        <v>10725</v>
      </c>
      <c r="I1620" s="13">
        <v>50</v>
      </c>
    </row>
    <row r="1621" ht="15.75" spans="6:9">
      <c r="F1621" s="12" t="s">
        <v>6096</v>
      </c>
      <c r="G1621" s="12" t="s">
        <v>391</v>
      </c>
      <c r="H1621" s="15">
        <v>16691</v>
      </c>
      <c r="I1621" s="13">
        <v>50</v>
      </c>
    </row>
    <row r="1622" ht="15.75" spans="6:9">
      <c r="F1622" s="12" t="s">
        <v>6097</v>
      </c>
      <c r="G1622" s="12" t="s">
        <v>391</v>
      </c>
      <c r="H1622" s="15">
        <v>56274</v>
      </c>
      <c r="I1622" s="13">
        <v>50</v>
      </c>
    </row>
    <row r="1623" ht="15.75" spans="6:9">
      <c r="F1623" s="12" t="s">
        <v>6098</v>
      </c>
      <c r="G1623" s="12" t="s">
        <v>392</v>
      </c>
      <c r="H1623" s="15">
        <v>10400</v>
      </c>
      <c r="I1623" s="13">
        <v>50</v>
      </c>
    </row>
    <row r="1624" ht="15.75" spans="6:9">
      <c r="F1624" s="12" t="s">
        <v>6099</v>
      </c>
      <c r="G1624" s="12" t="s">
        <v>392</v>
      </c>
      <c r="H1624" s="15">
        <v>25800</v>
      </c>
      <c r="I1624" s="13">
        <v>50</v>
      </c>
    </row>
    <row r="1625" ht="15.75" spans="6:9">
      <c r="F1625" s="12" t="s">
        <v>6100</v>
      </c>
      <c r="G1625" s="12" t="s">
        <v>392</v>
      </c>
      <c r="H1625" s="15">
        <v>94800</v>
      </c>
      <c r="I1625" s="13">
        <v>50</v>
      </c>
    </row>
    <row r="1626" ht="15.75" spans="6:9">
      <c r="F1626" s="12" t="s">
        <v>6101</v>
      </c>
      <c r="G1626" s="12" t="s">
        <v>392</v>
      </c>
      <c r="H1626" s="15">
        <v>55100</v>
      </c>
      <c r="I1626" s="13">
        <v>50</v>
      </c>
    </row>
    <row r="1627" ht="15.75" spans="6:9">
      <c r="F1627" s="12" t="s">
        <v>4215</v>
      </c>
      <c r="G1627" s="12" t="s">
        <v>391</v>
      </c>
      <c r="H1627" s="15">
        <v>14097</v>
      </c>
      <c r="I1627" s="13">
        <v>50</v>
      </c>
    </row>
    <row r="1628" ht="15.75" spans="6:9">
      <c r="F1628" s="12" t="s">
        <v>6102</v>
      </c>
      <c r="G1628" s="12" t="s">
        <v>391</v>
      </c>
      <c r="H1628" s="15">
        <v>11893</v>
      </c>
      <c r="I1628" s="13">
        <v>50</v>
      </c>
    </row>
    <row r="1629" ht="15.75" spans="6:9">
      <c r="F1629" s="12" t="s">
        <v>6103</v>
      </c>
      <c r="G1629" s="12" t="s">
        <v>392</v>
      </c>
      <c r="H1629" s="15">
        <v>706024</v>
      </c>
      <c r="I1629" s="13">
        <v>50</v>
      </c>
    </row>
    <row r="1630" ht="15.75" spans="6:9">
      <c r="F1630" s="12" t="s">
        <v>6104</v>
      </c>
      <c r="G1630" s="12" t="s">
        <v>392</v>
      </c>
      <c r="H1630" s="15">
        <v>56900</v>
      </c>
      <c r="I1630" s="13">
        <v>50</v>
      </c>
    </row>
    <row r="1631" ht="15.75" spans="6:9">
      <c r="F1631" s="12" t="s">
        <v>6105</v>
      </c>
      <c r="G1631" s="12" t="s">
        <v>392</v>
      </c>
      <c r="H1631" s="15">
        <v>485200</v>
      </c>
      <c r="I1631" s="13">
        <v>50</v>
      </c>
    </row>
    <row r="1632" ht="15.75" spans="6:9">
      <c r="F1632" s="12" t="s">
        <v>6106</v>
      </c>
      <c r="G1632" s="12" t="s">
        <v>392</v>
      </c>
      <c r="H1632" s="15">
        <v>1800000</v>
      </c>
      <c r="I1632" s="13">
        <v>50</v>
      </c>
    </row>
    <row r="1633" ht="15.75" spans="6:9">
      <c r="F1633" s="12" t="s">
        <v>6107</v>
      </c>
      <c r="G1633" s="12" t="s">
        <v>392</v>
      </c>
      <c r="H1633" s="15">
        <v>315257</v>
      </c>
      <c r="I1633" s="13">
        <v>50</v>
      </c>
    </row>
    <row r="1634" ht="15.75" spans="6:9">
      <c r="F1634" s="12" t="s">
        <v>6108</v>
      </c>
      <c r="G1634" s="12" t="s">
        <v>391</v>
      </c>
      <c r="H1634" s="15">
        <v>10651</v>
      </c>
      <c r="I1634" s="13">
        <v>50</v>
      </c>
    </row>
    <row r="1635" ht="15.75" spans="6:9">
      <c r="F1635" s="12" t="s">
        <v>6109</v>
      </c>
      <c r="G1635" s="12" t="s">
        <v>391</v>
      </c>
      <c r="H1635" s="15">
        <v>21683</v>
      </c>
      <c r="I1635" s="13">
        <v>50</v>
      </c>
    </row>
    <row r="1636" ht="15.75" spans="6:9">
      <c r="F1636" s="12" t="s">
        <v>6110</v>
      </c>
      <c r="G1636" s="12" t="s">
        <v>392</v>
      </c>
      <c r="H1636" s="15">
        <v>408900</v>
      </c>
      <c r="I1636" s="13">
        <v>50</v>
      </c>
    </row>
    <row r="1637" ht="15.75" spans="6:9">
      <c r="F1637" s="12" t="s">
        <v>6111</v>
      </c>
      <c r="G1637" s="12" t="s">
        <v>391</v>
      </c>
      <c r="H1637" s="15">
        <v>11754</v>
      </c>
      <c r="I1637" s="13">
        <v>50</v>
      </c>
    </row>
    <row r="1638" ht="15.75" spans="6:9">
      <c r="F1638" s="12" t="s">
        <v>6112</v>
      </c>
      <c r="G1638" s="12" t="s">
        <v>392</v>
      </c>
      <c r="H1638" s="15">
        <v>133700</v>
      </c>
      <c r="I1638" s="13">
        <v>50</v>
      </c>
    </row>
    <row r="1639" ht="15.75" spans="6:9">
      <c r="F1639" s="12" t="s">
        <v>6113</v>
      </c>
      <c r="G1639" s="12" t="s">
        <v>392</v>
      </c>
      <c r="H1639" s="15">
        <v>29700</v>
      </c>
      <c r="I1639" s="13">
        <v>50</v>
      </c>
    </row>
    <row r="1640" ht="15.75" spans="6:9">
      <c r="F1640" s="12" t="s">
        <v>6114</v>
      </c>
      <c r="G1640" s="12" t="s">
        <v>392</v>
      </c>
      <c r="H1640" s="15">
        <v>144100</v>
      </c>
      <c r="I1640" s="13">
        <v>50</v>
      </c>
    </row>
    <row r="1641" ht="15.75" spans="6:9">
      <c r="F1641" s="12" t="s">
        <v>6115</v>
      </c>
      <c r="G1641" s="12" t="s">
        <v>391</v>
      </c>
      <c r="H1641" s="15">
        <v>13776</v>
      </c>
      <c r="I1641" s="13">
        <v>50</v>
      </c>
    </row>
    <row r="1642" ht="15.75" spans="6:9">
      <c r="F1642" s="12" t="s">
        <v>6116</v>
      </c>
      <c r="G1642" s="12" t="s">
        <v>392</v>
      </c>
      <c r="H1642" s="15">
        <v>1700000</v>
      </c>
      <c r="I1642" s="13">
        <v>50</v>
      </c>
    </row>
    <row r="1643" ht="15.75" spans="6:9">
      <c r="F1643" s="12" t="s">
        <v>6117</v>
      </c>
      <c r="G1643" s="12" t="s">
        <v>392</v>
      </c>
      <c r="H1643" s="15">
        <v>70100</v>
      </c>
      <c r="I1643" s="13">
        <v>50</v>
      </c>
    </row>
    <row r="1644" ht="15.75" spans="6:9">
      <c r="F1644" s="12" t="s">
        <v>4217</v>
      </c>
      <c r="G1644" s="12" t="s">
        <v>391</v>
      </c>
      <c r="H1644" s="15">
        <v>13312</v>
      </c>
      <c r="I1644" s="13">
        <v>50</v>
      </c>
    </row>
    <row r="1645" ht="15.75" spans="6:9">
      <c r="F1645" s="12" t="s">
        <v>4220</v>
      </c>
      <c r="G1645" s="12" t="s">
        <v>391</v>
      </c>
      <c r="H1645" s="15">
        <v>13570</v>
      </c>
      <c r="I1645" s="13">
        <v>50</v>
      </c>
    </row>
    <row r="1646" ht="15.75" spans="6:9">
      <c r="F1646" s="12" t="s">
        <v>6118</v>
      </c>
      <c r="G1646" s="12" t="s">
        <v>391</v>
      </c>
      <c r="H1646" s="15">
        <v>11478</v>
      </c>
      <c r="I1646" s="13">
        <v>50</v>
      </c>
    </row>
    <row r="1647" ht="15.75" spans="6:9">
      <c r="F1647" s="12" t="s">
        <v>6119</v>
      </c>
      <c r="G1647" s="12" t="s">
        <v>392</v>
      </c>
      <c r="H1647" s="15">
        <v>15400</v>
      </c>
      <c r="I1647" s="13">
        <v>50</v>
      </c>
    </row>
    <row r="1648" ht="15.75" spans="6:9">
      <c r="F1648" s="12" t="s">
        <v>6120</v>
      </c>
      <c r="G1648" s="12" t="s">
        <v>392</v>
      </c>
      <c r="H1648" s="15">
        <v>799400</v>
      </c>
      <c r="I1648" s="13">
        <v>50</v>
      </c>
    </row>
    <row r="1649" ht="15.75" spans="6:9">
      <c r="F1649" s="12" t="s">
        <v>6121</v>
      </c>
      <c r="G1649" s="12" t="s">
        <v>392</v>
      </c>
      <c r="H1649" s="15">
        <v>51700</v>
      </c>
      <c r="I1649" s="13">
        <v>50</v>
      </c>
    </row>
    <row r="1650" ht="15.75" spans="6:9">
      <c r="F1650" s="12" t="s">
        <v>6122</v>
      </c>
      <c r="G1650" s="12" t="s">
        <v>392</v>
      </c>
      <c r="H1650" s="15">
        <v>29900</v>
      </c>
      <c r="I1650" s="13">
        <v>50</v>
      </c>
    </row>
    <row r="1651" ht="15.75" spans="6:9">
      <c r="F1651" s="12" t="s">
        <v>6123</v>
      </c>
      <c r="G1651" s="12" t="s">
        <v>392</v>
      </c>
      <c r="H1651" s="15">
        <v>23000</v>
      </c>
      <c r="I1651" s="13">
        <v>50</v>
      </c>
    </row>
    <row r="1652" ht="15.75" spans="6:9">
      <c r="F1652" s="12" t="s">
        <v>6124</v>
      </c>
      <c r="G1652" s="12" t="s">
        <v>391</v>
      </c>
      <c r="H1652" s="15">
        <v>15444</v>
      </c>
      <c r="I1652" s="13">
        <v>50</v>
      </c>
    </row>
    <row r="1653" ht="15.75" spans="6:9">
      <c r="F1653" s="12" t="s">
        <v>6125</v>
      </c>
      <c r="G1653" s="12" t="s">
        <v>391</v>
      </c>
      <c r="H1653" s="15">
        <v>11018</v>
      </c>
      <c r="I1653" s="13">
        <v>50</v>
      </c>
    </row>
    <row r="1654" ht="15.75" spans="6:9">
      <c r="F1654" s="12" t="s">
        <v>6126</v>
      </c>
      <c r="G1654" s="12" t="s">
        <v>392</v>
      </c>
      <c r="H1654" s="15">
        <v>10500</v>
      </c>
      <c r="I1654" s="13">
        <v>50</v>
      </c>
    </row>
    <row r="1655" ht="15.75" spans="6:9">
      <c r="F1655" s="12" t="s">
        <v>6127</v>
      </c>
      <c r="G1655" s="12" t="s">
        <v>391</v>
      </c>
      <c r="H1655" s="15">
        <v>10671</v>
      </c>
      <c r="I1655" s="13">
        <v>50</v>
      </c>
    </row>
    <row r="1656" ht="15.75" spans="6:9">
      <c r="F1656" s="12" t="s">
        <v>6128</v>
      </c>
      <c r="G1656" s="12" t="s">
        <v>391</v>
      </c>
      <c r="H1656" s="15">
        <v>345203</v>
      </c>
      <c r="I1656" s="13">
        <v>50</v>
      </c>
    </row>
    <row r="1657" ht="15.75" spans="6:9">
      <c r="F1657" s="12" t="s">
        <v>4223</v>
      </c>
      <c r="G1657" s="12" t="s">
        <v>391</v>
      </c>
      <c r="H1657" s="15">
        <v>11127</v>
      </c>
      <c r="I1657" s="13">
        <v>50</v>
      </c>
    </row>
    <row r="1658" ht="15.75" spans="6:9">
      <c r="F1658" s="12" t="s">
        <v>6129</v>
      </c>
      <c r="G1658" s="12" t="s">
        <v>392</v>
      </c>
      <c r="H1658" s="15">
        <v>13500</v>
      </c>
      <c r="I1658" s="13">
        <v>50</v>
      </c>
    </row>
    <row r="1659" ht="15.75" spans="6:9">
      <c r="F1659" s="12" t="s">
        <v>6130</v>
      </c>
      <c r="G1659" s="12" t="s">
        <v>391</v>
      </c>
      <c r="H1659" s="15">
        <v>12969</v>
      </c>
      <c r="I1659" s="13">
        <v>50</v>
      </c>
    </row>
    <row r="1660" ht="15.75" spans="6:9">
      <c r="F1660" s="12" t="s">
        <v>4226</v>
      </c>
      <c r="G1660" s="12" t="s">
        <v>391</v>
      </c>
      <c r="H1660" s="15">
        <v>13009</v>
      </c>
      <c r="I1660" s="13">
        <v>50</v>
      </c>
    </row>
    <row r="1661" ht="15.75" spans="6:9">
      <c r="F1661" s="12" t="s">
        <v>6131</v>
      </c>
      <c r="G1661" s="12" t="s">
        <v>391</v>
      </c>
      <c r="H1661" s="15">
        <v>10249</v>
      </c>
      <c r="I1661" s="13">
        <v>50</v>
      </c>
    </row>
    <row r="1662" ht="15.75" spans="6:9">
      <c r="F1662" s="12" t="s">
        <v>6132</v>
      </c>
      <c r="G1662" s="12" t="s">
        <v>391</v>
      </c>
      <c r="H1662" s="15">
        <v>12519</v>
      </c>
      <c r="I1662" s="13">
        <v>50</v>
      </c>
    </row>
    <row r="1663" ht="15.75" spans="6:9">
      <c r="F1663" s="12" t="s">
        <v>6133</v>
      </c>
      <c r="G1663" s="12" t="s">
        <v>392</v>
      </c>
      <c r="H1663" s="15">
        <v>655700</v>
      </c>
      <c r="I1663" s="13">
        <v>50</v>
      </c>
    </row>
    <row r="1664" ht="15.75" spans="6:9">
      <c r="F1664" s="12" t="s">
        <v>6134</v>
      </c>
      <c r="G1664" s="12" t="s">
        <v>391</v>
      </c>
      <c r="H1664" s="15">
        <v>28364</v>
      </c>
      <c r="I1664" s="13">
        <v>50</v>
      </c>
    </row>
    <row r="1665" ht="15.75" spans="6:9">
      <c r="F1665" s="12" t="s">
        <v>6135</v>
      </c>
      <c r="G1665" s="12" t="s">
        <v>392</v>
      </c>
      <c r="H1665" s="15">
        <v>28000</v>
      </c>
      <c r="I1665" s="13">
        <v>50</v>
      </c>
    </row>
    <row r="1666" ht="15.75" spans="6:9">
      <c r="F1666" s="12" t="s">
        <v>4229</v>
      </c>
      <c r="G1666" s="12" t="s">
        <v>391</v>
      </c>
      <c r="H1666" s="15">
        <v>19985</v>
      </c>
      <c r="I1666" s="13">
        <v>50</v>
      </c>
    </row>
    <row r="1667" ht="15.75" spans="6:9">
      <c r="F1667" s="12" t="s">
        <v>6136</v>
      </c>
      <c r="G1667" s="12" t="s">
        <v>392</v>
      </c>
      <c r="H1667" s="15">
        <v>775500</v>
      </c>
      <c r="I1667" s="13">
        <v>50</v>
      </c>
    </row>
    <row r="1668" ht="15.75" spans="6:9">
      <c r="F1668" s="12" t="s">
        <v>6137</v>
      </c>
      <c r="G1668" s="12" t="s">
        <v>392</v>
      </c>
      <c r="H1668" s="15">
        <v>19100</v>
      </c>
      <c r="I1668" s="13">
        <v>50</v>
      </c>
    </row>
    <row r="1669" ht="15.75" spans="6:9">
      <c r="F1669" s="12" t="s">
        <v>6138</v>
      </c>
      <c r="G1669" s="12" t="s">
        <v>391</v>
      </c>
      <c r="H1669" s="15">
        <v>13009</v>
      </c>
      <c r="I1669" s="13">
        <v>50</v>
      </c>
    </row>
    <row r="1670" ht="15.75" spans="6:9">
      <c r="F1670" s="12" t="s">
        <v>6139</v>
      </c>
      <c r="G1670" s="12" t="s">
        <v>392</v>
      </c>
      <c r="H1670" s="15">
        <v>521500</v>
      </c>
      <c r="I1670" s="13">
        <v>50</v>
      </c>
    </row>
    <row r="1671" ht="15.75" spans="6:9">
      <c r="F1671" s="12" t="s">
        <v>4231</v>
      </c>
      <c r="G1671" s="12" t="s">
        <v>391</v>
      </c>
      <c r="H1671" s="15">
        <v>16282</v>
      </c>
      <c r="I1671" s="13">
        <v>50</v>
      </c>
    </row>
    <row r="1672" ht="15.75" spans="6:9">
      <c r="F1672" s="12" t="s">
        <v>6140</v>
      </c>
      <c r="G1672" s="12" t="s">
        <v>391</v>
      </c>
      <c r="H1672" s="15">
        <v>18481</v>
      </c>
      <c r="I1672" s="13">
        <v>50</v>
      </c>
    </row>
    <row r="1673" ht="15.75" spans="6:9">
      <c r="F1673" s="12" t="s">
        <v>6141</v>
      </c>
      <c r="G1673" s="12" t="s">
        <v>392</v>
      </c>
      <c r="H1673" s="15">
        <v>11000</v>
      </c>
      <c r="I1673" s="13">
        <v>50</v>
      </c>
    </row>
    <row r="1674" ht="15.75" spans="6:9">
      <c r="F1674" s="12" t="s">
        <v>6142</v>
      </c>
      <c r="G1674" s="12" t="s">
        <v>391</v>
      </c>
      <c r="H1674" s="15">
        <v>19760</v>
      </c>
      <c r="I1674" s="13">
        <v>50</v>
      </c>
    </row>
    <row r="1675" ht="15.75" spans="6:9">
      <c r="F1675" s="12" t="s">
        <v>4233</v>
      </c>
      <c r="G1675" s="12" t="s">
        <v>391</v>
      </c>
      <c r="H1675" s="15">
        <v>13954</v>
      </c>
      <c r="I1675" s="13">
        <v>50</v>
      </c>
    </row>
    <row r="1676" ht="15.75" spans="6:9">
      <c r="F1676" s="12" t="s">
        <v>6143</v>
      </c>
      <c r="G1676" s="12" t="s">
        <v>392</v>
      </c>
      <c r="H1676" s="15">
        <v>88800</v>
      </c>
      <c r="I1676" s="13">
        <v>50</v>
      </c>
    </row>
    <row r="1677" ht="15.75" spans="6:9">
      <c r="F1677" s="12" t="s">
        <v>6144</v>
      </c>
      <c r="G1677" s="12" t="s">
        <v>392</v>
      </c>
      <c r="H1677" s="15">
        <v>383100</v>
      </c>
      <c r="I1677" s="13">
        <v>50</v>
      </c>
    </row>
    <row r="1678" ht="15.75" spans="6:9">
      <c r="F1678" s="12" t="s">
        <v>4236</v>
      </c>
      <c r="G1678" s="12" t="s">
        <v>391</v>
      </c>
      <c r="H1678" s="15">
        <v>29172</v>
      </c>
      <c r="I1678" s="13">
        <v>50</v>
      </c>
    </row>
    <row r="1679" ht="15.75" spans="6:9">
      <c r="F1679" s="12" t="s">
        <v>6145</v>
      </c>
      <c r="G1679" s="12" t="s">
        <v>391</v>
      </c>
      <c r="H1679" s="15">
        <v>10560</v>
      </c>
      <c r="I1679" s="13">
        <v>50</v>
      </c>
    </row>
    <row r="1680" ht="15.75" spans="6:9">
      <c r="F1680" s="12" t="s">
        <v>6146</v>
      </c>
      <c r="G1680" s="12" t="s">
        <v>392</v>
      </c>
      <c r="H1680" s="15">
        <v>48800</v>
      </c>
      <c r="I1680" s="13">
        <v>50</v>
      </c>
    </row>
    <row r="1681" ht="15.75" spans="6:9">
      <c r="F1681" s="12" t="s">
        <v>6147</v>
      </c>
      <c r="G1681" s="12" t="s">
        <v>391</v>
      </c>
      <c r="H1681" s="15">
        <v>13557</v>
      </c>
      <c r="I1681" s="13">
        <v>50</v>
      </c>
    </row>
    <row r="1682" ht="15.75" spans="6:9">
      <c r="F1682" s="12" t="s">
        <v>4239</v>
      </c>
      <c r="G1682" s="12" t="s">
        <v>391</v>
      </c>
      <c r="H1682" s="15">
        <v>10188</v>
      </c>
      <c r="I1682" s="13">
        <v>50</v>
      </c>
    </row>
    <row r="1683" ht="15.75" spans="6:9">
      <c r="F1683" s="12" t="s">
        <v>6148</v>
      </c>
      <c r="G1683" s="12" t="s">
        <v>391</v>
      </c>
      <c r="H1683" s="15">
        <v>138872</v>
      </c>
      <c r="I1683" s="13">
        <v>50</v>
      </c>
    </row>
    <row r="1684" ht="15.75" spans="6:9">
      <c r="F1684" s="12" t="s">
        <v>6149</v>
      </c>
      <c r="G1684" s="12" t="s">
        <v>392</v>
      </c>
      <c r="H1684" s="15">
        <v>23900</v>
      </c>
      <c r="I1684" s="13">
        <v>50</v>
      </c>
    </row>
    <row r="1685" ht="15.75" spans="6:9">
      <c r="F1685" s="12" t="s">
        <v>6150</v>
      </c>
      <c r="G1685" s="12" t="s">
        <v>392</v>
      </c>
      <c r="H1685" s="15">
        <v>38200</v>
      </c>
      <c r="I1685" s="13">
        <v>50</v>
      </c>
    </row>
    <row r="1686" ht="15.75" spans="6:9">
      <c r="F1686" s="12" t="s">
        <v>6151</v>
      </c>
      <c r="G1686" s="12" t="s">
        <v>391</v>
      </c>
      <c r="H1686" s="15">
        <v>18929</v>
      </c>
      <c r="I1686" s="13">
        <v>50</v>
      </c>
    </row>
    <row r="1687" ht="15.75" spans="6:9">
      <c r="F1687" s="12" t="s">
        <v>4242</v>
      </c>
      <c r="G1687" s="12" t="s">
        <v>391</v>
      </c>
      <c r="H1687" s="15">
        <v>29130</v>
      </c>
      <c r="I1687" s="13">
        <v>50</v>
      </c>
    </row>
    <row r="1688" ht="15.75" spans="6:9">
      <c r="F1688" s="12" t="s">
        <v>6152</v>
      </c>
      <c r="G1688" s="12" t="s">
        <v>392</v>
      </c>
      <c r="H1688" s="15">
        <v>13700</v>
      </c>
      <c r="I1688" s="13">
        <v>50</v>
      </c>
    </row>
    <row r="1689" ht="15.75" spans="6:9">
      <c r="F1689" s="12" t="s">
        <v>4245</v>
      </c>
      <c r="G1689" s="12" t="s">
        <v>391</v>
      </c>
      <c r="H1689" s="15">
        <v>15990</v>
      </c>
      <c r="I1689" s="13">
        <v>50</v>
      </c>
    </row>
    <row r="1690" ht="15.75" spans="6:9">
      <c r="F1690" s="12" t="s">
        <v>6153</v>
      </c>
      <c r="G1690" s="12" t="s">
        <v>392</v>
      </c>
      <c r="H1690" s="15">
        <v>24100</v>
      </c>
      <c r="I1690" s="13">
        <v>50</v>
      </c>
    </row>
    <row r="1691" ht="15.75" spans="6:9">
      <c r="F1691" s="12" t="s">
        <v>6154</v>
      </c>
      <c r="G1691" s="12" t="s">
        <v>392</v>
      </c>
      <c r="H1691" s="15">
        <v>16100</v>
      </c>
      <c r="I1691" s="13">
        <v>50</v>
      </c>
    </row>
    <row r="1692" ht="15.75" spans="6:9">
      <c r="F1692" s="12" t="s">
        <v>6155</v>
      </c>
      <c r="G1692" s="12" t="s">
        <v>392</v>
      </c>
      <c r="H1692" s="15">
        <v>26500</v>
      </c>
      <c r="I1692" s="13">
        <v>50</v>
      </c>
    </row>
    <row r="1693" ht="15.75" spans="6:9">
      <c r="F1693" s="12" t="s">
        <v>6156</v>
      </c>
      <c r="G1693" s="12" t="s">
        <v>392</v>
      </c>
      <c r="H1693" s="15">
        <v>84700</v>
      </c>
      <c r="I1693" s="13">
        <v>50</v>
      </c>
    </row>
    <row r="1694" ht="15.75" spans="6:9">
      <c r="F1694" s="12" t="s">
        <v>4247</v>
      </c>
      <c r="G1694" s="12" t="s">
        <v>391</v>
      </c>
      <c r="H1694" s="15">
        <v>12094</v>
      </c>
      <c r="I1694" s="13">
        <v>50</v>
      </c>
    </row>
    <row r="1695" ht="15.75" spans="6:9">
      <c r="F1695" s="12" t="s">
        <v>4250</v>
      </c>
      <c r="G1695" s="12" t="s">
        <v>391</v>
      </c>
      <c r="H1695" s="15">
        <v>10553</v>
      </c>
      <c r="I1695" s="13">
        <v>50</v>
      </c>
    </row>
    <row r="1696" ht="15.75" spans="6:9">
      <c r="F1696" s="12" t="s">
        <v>6157</v>
      </c>
      <c r="G1696" s="12" t="s">
        <v>391</v>
      </c>
      <c r="H1696" s="15">
        <v>12519</v>
      </c>
      <c r="I1696" s="13">
        <v>50</v>
      </c>
    </row>
    <row r="1697" ht="15.75" spans="6:9">
      <c r="F1697" s="12" t="s">
        <v>6158</v>
      </c>
      <c r="G1697" s="12" t="s">
        <v>391</v>
      </c>
      <c r="H1697" s="15">
        <v>10036</v>
      </c>
      <c r="I1697" s="13">
        <v>50</v>
      </c>
    </row>
    <row r="1698" ht="15.75" spans="6:9">
      <c r="F1698" s="12" t="s">
        <v>4253</v>
      </c>
      <c r="G1698" s="12" t="s">
        <v>391</v>
      </c>
      <c r="H1698" s="15">
        <v>10028</v>
      </c>
      <c r="I1698" s="13">
        <v>50</v>
      </c>
    </row>
    <row r="1699" ht="15.75" spans="6:9">
      <c r="F1699" s="12" t="s">
        <v>6159</v>
      </c>
      <c r="G1699" s="12" t="s">
        <v>391</v>
      </c>
      <c r="H1699" s="15">
        <v>14941</v>
      </c>
      <c r="I1699" s="13">
        <v>50</v>
      </c>
    </row>
    <row r="1700" ht="15.75" spans="6:9">
      <c r="F1700" s="12" t="s">
        <v>6160</v>
      </c>
      <c r="G1700" s="12" t="s">
        <v>392</v>
      </c>
      <c r="H1700" s="15">
        <v>47200</v>
      </c>
      <c r="I1700" s="13">
        <v>50</v>
      </c>
    </row>
    <row r="1701" ht="15.75" spans="6:9">
      <c r="F1701" s="12" t="s">
        <v>6161</v>
      </c>
      <c r="G1701" s="12" t="s">
        <v>391</v>
      </c>
      <c r="H1701" s="15">
        <v>31012</v>
      </c>
      <c r="I1701" s="13">
        <v>50</v>
      </c>
    </row>
    <row r="1702" ht="15.75" spans="6:9">
      <c r="F1702" s="12" t="s">
        <v>6162</v>
      </c>
      <c r="G1702" s="12" t="s">
        <v>392</v>
      </c>
      <c r="H1702" s="15">
        <v>11024</v>
      </c>
      <c r="I1702" s="13">
        <v>50</v>
      </c>
    </row>
    <row r="1703" ht="15.75" spans="6:9">
      <c r="F1703" s="12" t="s">
        <v>6163</v>
      </c>
      <c r="G1703" s="12" t="s">
        <v>391</v>
      </c>
      <c r="H1703" s="15">
        <v>10127</v>
      </c>
      <c r="I1703" s="13">
        <v>50</v>
      </c>
    </row>
    <row r="1704" ht="15.75" spans="6:9">
      <c r="F1704" s="12" t="s">
        <v>6164</v>
      </c>
      <c r="G1704" s="12" t="s">
        <v>392</v>
      </c>
      <c r="H1704" s="15">
        <v>12500</v>
      </c>
      <c r="I1704" s="13">
        <v>50</v>
      </c>
    </row>
    <row r="1705" ht="15.75" spans="6:9">
      <c r="F1705" s="12" t="s">
        <v>6165</v>
      </c>
      <c r="G1705" s="12" t="s">
        <v>392</v>
      </c>
      <c r="H1705" s="15">
        <v>27100</v>
      </c>
      <c r="I1705" s="13">
        <v>50</v>
      </c>
    </row>
    <row r="1706" ht="15.75" spans="6:9">
      <c r="F1706" s="12" t="s">
        <v>6166</v>
      </c>
      <c r="G1706" s="12" t="s">
        <v>391</v>
      </c>
      <c r="H1706" s="15">
        <v>15860</v>
      </c>
      <c r="I1706" s="13">
        <v>50</v>
      </c>
    </row>
    <row r="1707" ht="15.75" spans="6:9">
      <c r="F1707" s="12" t="s">
        <v>6167</v>
      </c>
      <c r="G1707" s="12" t="s">
        <v>391</v>
      </c>
      <c r="H1707" s="15">
        <v>24598</v>
      </c>
      <c r="I1707" s="13">
        <v>50</v>
      </c>
    </row>
    <row r="1708" ht="15.75" spans="6:9">
      <c r="F1708" s="12" t="s">
        <v>6168</v>
      </c>
      <c r="G1708" s="12" t="s">
        <v>391</v>
      </c>
      <c r="H1708" s="15">
        <v>18411</v>
      </c>
      <c r="I1708" s="13">
        <v>50</v>
      </c>
    </row>
    <row r="1709" ht="15.75" spans="6:9">
      <c r="F1709" s="12" t="s">
        <v>6169</v>
      </c>
      <c r="G1709" s="12" t="s">
        <v>391</v>
      </c>
      <c r="H1709" s="15">
        <v>30626</v>
      </c>
      <c r="I1709" s="13">
        <v>50</v>
      </c>
    </row>
    <row r="1710" ht="15.75" spans="6:9">
      <c r="F1710" s="12" t="s">
        <v>6170</v>
      </c>
      <c r="G1710" s="12" t="s">
        <v>392</v>
      </c>
      <c r="H1710" s="15">
        <v>10200</v>
      </c>
      <c r="I1710" s="13">
        <v>50</v>
      </c>
    </row>
    <row r="1711" ht="15.75" spans="6:9">
      <c r="F1711" s="12" t="s">
        <v>6171</v>
      </c>
      <c r="G1711" s="12" t="s">
        <v>392</v>
      </c>
      <c r="H1711" s="15">
        <v>11500</v>
      </c>
      <c r="I1711" s="13">
        <v>50</v>
      </c>
    </row>
    <row r="1712" ht="15.75" spans="6:9">
      <c r="F1712" s="12" t="s">
        <v>6172</v>
      </c>
      <c r="G1712" s="12" t="s">
        <v>392</v>
      </c>
      <c r="H1712" s="15">
        <v>33000</v>
      </c>
      <c r="I1712" s="13">
        <v>50</v>
      </c>
    </row>
    <row r="1713" ht="15.75" spans="6:9">
      <c r="F1713" s="12" t="s">
        <v>4256</v>
      </c>
      <c r="G1713" s="12" t="s">
        <v>391</v>
      </c>
      <c r="H1713" s="15">
        <v>26003</v>
      </c>
      <c r="I1713" s="13">
        <v>50</v>
      </c>
    </row>
    <row r="1714" ht="15.75" spans="6:9">
      <c r="F1714" s="12" t="s">
        <v>6173</v>
      </c>
      <c r="G1714" s="12" t="s">
        <v>391</v>
      </c>
      <c r="H1714" s="15">
        <v>17613</v>
      </c>
      <c r="I1714" s="13">
        <v>50</v>
      </c>
    </row>
    <row r="1715" ht="15.75" spans="6:9">
      <c r="F1715" s="12" t="s">
        <v>4259</v>
      </c>
      <c r="G1715" s="12" t="s">
        <v>391</v>
      </c>
      <c r="H1715" s="15">
        <v>14273</v>
      </c>
      <c r="I1715" s="13">
        <v>50</v>
      </c>
    </row>
    <row r="1716" ht="15.75" spans="6:9">
      <c r="F1716" s="12" t="s">
        <v>6174</v>
      </c>
      <c r="G1716" s="12" t="s">
        <v>391</v>
      </c>
      <c r="H1716" s="15">
        <v>25544</v>
      </c>
      <c r="I1716" s="13">
        <v>50</v>
      </c>
    </row>
    <row r="1717" ht="15.75" spans="6:9">
      <c r="F1717" s="12" t="s">
        <v>6175</v>
      </c>
      <c r="G1717" s="12" t="s">
        <v>392</v>
      </c>
      <c r="H1717" s="15">
        <v>10500</v>
      </c>
      <c r="I1717" s="13">
        <v>50</v>
      </c>
    </row>
    <row r="1718" ht="15.75" spans="6:9">
      <c r="F1718" s="12" t="s">
        <v>6176</v>
      </c>
      <c r="G1718" s="12" t="s">
        <v>391</v>
      </c>
      <c r="H1718" s="15">
        <v>15472</v>
      </c>
      <c r="I1718" s="13">
        <v>50</v>
      </c>
    </row>
    <row r="1719" ht="15.75" spans="6:9">
      <c r="F1719" s="12" t="s">
        <v>6177</v>
      </c>
      <c r="G1719" s="12" t="s">
        <v>392</v>
      </c>
      <c r="H1719" s="15">
        <v>15300</v>
      </c>
      <c r="I1719" s="13">
        <v>50</v>
      </c>
    </row>
    <row r="1720" ht="15.75" spans="6:9">
      <c r="F1720" s="12" t="s">
        <v>6178</v>
      </c>
      <c r="G1720" s="12" t="s">
        <v>392</v>
      </c>
      <c r="H1720" s="15">
        <v>205800</v>
      </c>
      <c r="I1720" s="13">
        <v>50</v>
      </c>
    </row>
    <row r="1721" ht="15.75" spans="6:9">
      <c r="F1721" s="12" t="s">
        <v>6179</v>
      </c>
      <c r="G1721" s="12" t="s">
        <v>392</v>
      </c>
      <c r="H1721" s="15">
        <v>13100</v>
      </c>
      <c r="I1721" s="13">
        <v>50</v>
      </c>
    </row>
    <row r="1722" ht="15.75" spans="6:9">
      <c r="F1722" s="12" t="s">
        <v>6180</v>
      </c>
      <c r="G1722" s="12" t="s">
        <v>391</v>
      </c>
      <c r="H1722" s="15">
        <v>10682</v>
      </c>
      <c r="I1722" s="13">
        <v>50</v>
      </c>
    </row>
    <row r="1723" ht="15.75" spans="6:9">
      <c r="F1723" s="12" t="s">
        <v>6181</v>
      </c>
      <c r="G1723" s="12" t="s">
        <v>392</v>
      </c>
      <c r="H1723" s="15">
        <v>44900</v>
      </c>
      <c r="I1723" s="13">
        <v>50</v>
      </c>
    </row>
    <row r="1724" ht="15.75" spans="6:9">
      <c r="F1724" s="12" t="s">
        <v>4262</v>
      </c>
      <c r="G1724" s="12" t="s">
        <v>391</v>
      </c>
      <c r="H1724" s="15">
        <v>23698</v>
      </c>
      <c r="I1724" s="13">
        <v>50</v>
      </c>
    </row>
    <row r="1725" ht="15.75" spans="6:9">
      <c r="F1725" s="12" t="s">
        <v>4265</v>
      </c>
      <c r="G1725" s="12" t="s">
        <v>391</v>
      </c>
      <c r="H1725" s="15">
        <v>113354</v>
      </c>
      <c r="I1725" s="13">
        <v>50</v>
      </c>
    </row>
    <row r="1726" ht="15.75" spans="6:9">
      <c r="F1726" s="12" t="s">
        <v>6182</v>
      </c>
      <c r="G1726" s="12" t="s">
        <v>392</v>
      </c>
      <c r="H1726" s="15">
        <v>102500</v>
      </c>
      <c r="I1726" s="13">
        <v>50</v>
      </c>
    </row>
    <row r="1727" ht="15.75" spans="6:9">
      <c r="F1727" s="12" t="s">
        <v>6183</v>
      </c>
      <c r="G1727" s="12" t="s">
        <v>392</v>
      </c>
      <c r="H1727" s="15">
        <v>44400</v>
      </c>
      <c r="I1727" s="13">
        <v>50</v>
      </c>
    </row>
    <row r="1728" ht="15.75" spans="6:9">
      <c r="F1728" s="12" t="s">
        <v>6184</v>
      </c>
      <c r="G1728" s="12" t="s">
        <v>392</v>
      </c>
      <c r="H1728" s="15">
        <v>101400</v>
      </c>
      <c r="I1728" s="13">
        <v>50</v>
      </c>
    </row>
    <row r="1729" ht="15.75" spans="6:9">
      <c r="F1729" s="12" t="s">
        <v>6185</v>
      </c>
      <c r="G1729" s="12" t="s">
        <v>392</v>
      </c>
      <c r="H1729" s="15">
        <v>17000</v>
      </c>
      <c r="I1729" s="13">
        <v>50</v>
      </c>
    </row>
    <row r="1730" ht="15.75" spans="6:9">
      <c r="F1730" s="12" t="s">
        <v>6186</v>
      </c>
      <c r="G1730" s="12" t="s">
        <v>391</v>
      </c>
      <c r="H1730" s="15">
        <v>18038</v>
      </c>
      <c r="I1730" s="13">
        <v>50</v>
      </c>
    </row>
    <row r="1731" ht="15.75" spans="6:9">
      <c r="F1731" s="12" t="s">
        <v>6187</v>
      </c>
      <c r="G1731" s="12" t="s">
        <v>392</v>
      </c>
      <c r="H1731" s="15">
        <v>22100</v>
      </c>
      <c r="I1731" s="13">
        <v>50</v>
      </c>
    </row>
    <row r="1732" ht="15.75" spans="6:9">
      <c r="F1732" s="12" t="s">
        <v>6188</v>
      </c>
      <c r="G1732" s="12" t="s">
        <v>392</v>
      </c>
      <c r="H1732" s="15">
        <v>347800</v>
      </c>
      <c r="I1732" s="13">
        <v>50</v>
      </c>
    </row>
    <row r="1733" ht="15.75" spans="6:9">
      <c r="F1733" s="12" t="s">
        <v>6189</v>
      </c>
      <c r="G1733" s="12" t="s">
        <v>391</v>
      </c>
      <c r="H1733" s="15">
        <v>16791</v>
      </c>
      <c r="I1733" s="13">
        <v>50</v>
      </c>
    </row>
    <row r="1734" ht="15.75" spans="6:9">
      <c r="F1734" s="12" t="s">
        <v>6190</v>
      </c>
      <c r="G1734" s="12" t="s">
        <v>392</v>
      </c>
      <c r="H1734" s="15">
        <v>30300</v>
      </c>
      <c r="I1734" s="13">
        <v>50</v>
      </c>
    </row>
    <row r="1735" ht="15.75" spans="6:9">
      <c r="F1735" s="12" t="s">
        <v>6191</v>
      </c>
      <c r="G1735" s="12" t="s">
        <v>392</v>
      </c>
      <c r="H1735" s="15">
        <v>22000</v>
      </c>
      <c r="I1735" s="13">
        <v>50</v>
      </c>
    </row>
    <row r="1736" ht="15.75" spans="6:9">
      <c r="F1736" s="12" t="s">
        <v>6192</v>
      </c>
      <c r="G1736" s="12" t="s">
        <v>391</v>
      </c>
      <c r="H1736" s="15">
        <v>10547</v>
      </c>
      <c r="I1736" s="13">
        <v>50</v>
      </c>
    </row>
    <row r="1737" ht="15.75" spans="6:9">
      <c r="F1737" s="12" t="s">
        <v>4268</v>
      </c>
      <c r="G1737" s="12" t="s">
        <v>391</v>
      </c>
      <c r="H1737" s="15">
        <v>34208</v>
      </c>
      <c r="I1737" s="13">
        <v>50</v>
      </c>
    </row>
    <row r="1738" ht="15.75" spans="6:9">
      <c r="F1738" s="12" t="s">
        <v>6193</v>
      </c>
      <c r="G1738" s="12" t="s">
        <v>392</v>
      </c>
      <c r="H1738" s="15">
        <v>32100</v>
      </c>
      <c r="I1738" s="13">
        <v>50</v>
      </c>
    </row>
    <row r="1739" ht="15.75" spans="6:9">
      <c r="F1739" s="12" t="s">
        <v>6194</v>
      </c>
      <c r="G1739" s="12" t="s">
        <v>391</v>
      </c>
      <c r="H1739" s="15">
        <v>11111</v>
      </c>
      <c r="I1739" s="13">
        <v>50</v>
      </c>
    </row>
    <row r="1740" ht="15.75" spans="6:9">
      <c r="F1740" s="12" t="s">
        <v>6195</v>
      </c>
      <c r="G1740" s="12" t="s">
        <v>391</v>
      </c>
      <c r="H1740" s="15">
        <v>21142</v>
      </c>
      <c r="I1740" s="13">
        <v>50</v>
      </c>
    </row>
    <row r="1741" ht="15.75" spans="6:9">
      <c r="F1741" s="12" t="s">
        <v>4271</v>
      </c>
      <c r="G1741" s="12" t="s">
        <v>391</v>
      </c>
      <c r="H1741" s="15">
        <v>15395</v>
      </c>
      <c r="I1741" s="13">
        <v>50</v>
      </c>
    </row>
    <row r="1742" ht="15.75" spans="6:9">
      <c r="F1742" s="12" t="s">
        <v>6196</v>
      </c>
      <c r="G1742" s="12" t="s">
        <v>391</v>
      </c>
      <c r="H1742" s="15">
        <v>23246</v>
      </c>
      <c r="I1742" s="13">
        <v>50</v>
      </c>
    </row>
    <row r="1743" ht="15.75" spans="6:9">
      <c r="F1743" s="12" t="s">
        <v>6197</v>
      </c>
      <c r="G1743" s="12" t="s">
        <v>392</v>
      </c>
      <c r="H1743" s="15">
        <v>16400</v>
      </c>
      <c r="I1743" s="13">
        <v>50</v>
      </c>
    </row>
    <row r="1744" ht="15.75" spans="6:9">
      <c r="F1744" s="12" t="s">
        <v>6198</v>
      </c>
      <c r="G1744" s="12" t="s">
        <v>392</v>
      </c>
      <c r="H1744" s="15">
        <v>12100</v>
      </c>
      <c r="I1744" s="13">
        <v>50</v>
      </c>
    </row>
    <row r="1745" ht="15.75" spans="6:9">
      <c r="F1745" s="12" t="s">
        <v>6199</v>
      </c>
      <c r="G1745" s="12" t="s">
        <v>392</v>
      </c>
      <c r="H1745" s="15">
        <v>24100</v>
      </c>
      <c r="I1745" s="13">
        <v>50</v>
      </c>
    </row>
    <row r="1746" ht="15.75" spans="6:9">
      <c r="F1746" s="12" t="s">
        <v>6200</v>
      </c>
      <c r="G1746" s="12" t="s">
        <v>391</v>
      </c>
      <c r="H1746" s="15">
        <v>27257</v>
      </c>
      <c r="I1746" s="13">
        <v>50</v>
      </c>
    </row>
    <row r="1747" ht="15.75" spans="6:9">
      <c r="F1747" s="12" t="s">
        <v>6201</v>
      </c>
      <c r="G1747" s="12" t="s">
        <v>392</v>
      </c>
      <c r="H1747" s="15">
        <v>125800</v>
      </c>
      <c r="I1747" s="13">
        <v>50</v>
      </c>
    </row>
    <row r="1748" ht="15.75" spans="6:9">
      <c r="F1748" s="12" t="s">
        <v>6202</v>
      </c>
      <c r="G1748" s="12" t="s">
        <v>392</v>
      </c>
      <c r="H1748" s="15">
        <v>40500</v>
      </c>
      <c r="I1748" s="13">
        <v>50</v>
      </c>
    </row>
    <row r="1749" ht="15.75" spans="6:9">
      <c r="F1749" s="12" t="s">
        <v>6203</v>
      </c>
      <c r="G1749" s="12" t="s">
        <v>392</v>
      </c>
      <c r="H1749" s="15">
        <v>20200</v>
      </c>
      <c r="I1749" s="13">
        <v>50</v>
      </c>
    </row>
    <row r="1750" ht="15.75" spans="6:9">
      <c r="F1750" s="12" t="s">
        <v>6204</v>
      </c>
      <c r="G1750" s="12" t="s">
        <v>392</v>
      </c>
      <c r="H1750" s="15">
        <v>10200</v>
      </c>
      <c r="I1750" s="13">
        <v>50</v>
      </c>
    </row>
    <row r="1751" ht="15.75" spans="6:9">
      <c r="F1751" s="12" t="s">
        <v>4274</v>
      </c>
      <c r="G1751" s="12" t="s">
        <v>391</v>
      </c>
      <c r="H1751" s="15">
        <v>21037</v>
      </c>
      <c r="I1751" s="13">
        <v>50</v>
      </c>
    </row>
    <row r="1752" ht="15.75" spans="6:9">
      <c r="F1752" s="12" t="s">
        <v>4277</v>
      </c>
      <c r="G1752" s="12" t="s">
        <v>391</v>
      </c>
      <c r="H1752" s="15">
        <v>14584</v>
      </c>
      <c r="I1752" s="13">
        <v>50</v>
      </c>
    </row>
    <row r="1753" ht="15.75" spans="6:9">
      <c r="F1753" s="12" t="s">
        <v>6205</v>
      </c>
      <c r="G1753" s="12" t="s">
        <v>392</v>
      </c>
      <c r="H1753" s="15">
        <v>157900</v>
      </c>
      <c r="I1753" s="13">
        <v>50</v>
      </c>
    </row>
    <row r="1754" ht="15.75" spans="6:9">
      <c r="F1754" s="12" t="s">
        <v>6206</v>
      </c>
      <c r="G1754" s="12" t="s">
        <v>391</v>
      </c>
      <c r="H1754" s="15">
        <v>35253</v>
      </c>
      <c r="I1754" s="13">
        <v>50</v>
      </c>
    </row>
    <row r="1755" ht="15.75" spans="6:9">
      <c r="F1755" s="12" t="s">
        <v>6207</v>
      </c>
      <c r="G1755" s="12" t="s">
        <v>392</v>
      </c>
      <c r="H1755" s="15">
        <v>17100</v>
      </c>
      <c r="I1755" s="13">
        <v>50</v>
      </c>
    </row>
    <row r="1756" ht="15.75" spans="6:9">
      <c r="F1756" s="12" t="s">
        <v>6208</v>
      </c>
      <c r="G1756" s="12" t="s">
        <v>392</v>
      </c>
      <c r="H1756" s="15">
        <v>11200</v>
      </c>
      <c r="I1756" s="13">
        <v>50</v>
      </c>
    </row>
    <row r="1757" ht="15.75" spans="6:9">
      <c r="F1757" s="12" t="s">
        <v>6209</v>
      </c>
      <c r="G1757" s="12" t="s">
        <v>391</v>
      </c>
      <c r="H1757" s="15">
        <v>24348</v>
      </c>
      <c r="I1757" s="13">
        <v>50</v>
      </c>
    </row>
    <row r="1758" ht="15.75" spans="6:9">
      <c r="F1758" s="12" t="s">
        <v>6210</v>
      </c>
      <c r="G1758" s="12" t="s">
        <v>391</v>
      </c>
      <c r="H1758" s="15">
        <v>11596</v>
      </c>
      <c r="I1758" s="13">
        <v>50</v>
      </c>
    </row>
    <row r="1759" ht="15.75" spans="6:9">
      <c r="F1759" s="12" t="s">
        <v>6211</v>
      </c>
      <c r="G1759" s="12" t="s">
        <v>391</v>
      </c>
      <c r="H1759" s="15">
        <v>15731</v>
      </c>
      <c r="I1759" s="13">
        <v>50</v>
      </c>
    </row>
    <row r="1760" ht="15.75" spans="6:9">
      <c r="F1760" s="12" t="s">
        <v>6212</v>
      </c>
      <c r="G1760" s="12" t="s">
        <v>392</v>
      </c>
      <c r="H1760" s="15">
        <v>39500</v>
      </c>
      <c r="I1760" s="13">
        <v>50</v>
      </c>
    </row>
    <row r="1761" ht="15.75" spans="6:9">
      <c r="F1761" s="12" t="s">
        <v>4280</v>
      </c>
      <c r="G1761" s="12" t="s">
        <v>391</v>
      </c>
      <c r="H1761" s="15">
        <v>16757</v>
      </c>
      <c r="I1761" s="13">
        <v>50</v>
      </c>
    </row>
    <row r="1762" ht="15.75" spans="6:9">
      <c r="F1762" s="12" t="s">
        <v>4283</v>
      </c>
      <c r="G1762" s="12" t="s">
        <v>391</v>
      </c>
      <c r="H1762" s="15">
        <v>15992</v>
      </c>
      <c r="I1762" s="13">
        <v>50</v>
      </c>
    </row>
    <row r="1763" ht="15.75" spans="6:9">
      <c r="F1763" s="12" t="s">
        <v>6213</v>
      </c>
      <c r="G1763" s="12" t="s">
        <v>391</v>
      </c>
      <c r="H1763" s="15">
        <v>15492</v>
      </c>
      <c r="I1763" s="13">
        <v>50</v>
      </c>
    </row>
    <row r="1764" ht="15.75" spans="6:9">
      <c r="F1764" s="12" t="s">
        <v>6214</v>
      </c>
      <c r="G1764" s="12" t="s">
        <v>392</v>
      </c>
      <c r="H1764" s="15">
        <v>1400000</v>
      </c>
      <c r="I1764" s="13">
        <v>50</v>
      </c>
    </row>
    <row r="1765" ht="15.75" spans="6:9">
      <c r="F1765" s="12" t="s">
        <v>4286</v>
      </c>
      <c r="G1765" s="12" t="s">
        <v>391</v>
      </c>
      <c r="H1765" s="15">
        <v>11269</v>
      </c>
      <c r="I1765" s="13">
        <v>50</v>
      </c>
    </row>
    <row r="1766" ht="15.75" spans="6:9">
      <c r="F1766" s="12" t="s">
        <v>6215</v>
      </c>
      <c r="G1766" s="12" t="s">
        <v>391</v>
      </c>
      <c r="H1766" s="15">
        <v>13664</v>
      </c>
      <c r="I1766" s="13">
        <v>50</v>
      </c>
    </row>
    <row r="1767" ht="15.75" spans="6:9">
      <c r="F1767" s="12" t="s">
        <v>6216</v>
      </c>
      <c r="G1767" s="12" t="s">
        <v>392</v>
      </c>
      <c r="H1767" s="15">
        <v>6700000</v>
      </c>
      <c r="I1767" s="13">
        <v>50</v>
      </c>
    </row>
    <row r="1768" ht="15.75" spans="6:9">
      <c r="F1768" s="12" t="s">
        <v>4289</v>
      </c>
      <c r="G1768" s="12" t="s">
        <v>391</v>
      </c>
      <c r="H1768" s="15">
        <v>30554</v>
      </c>
      <c r="I1768" s="13">
        <v>50</v>
      </c>
    </row>
    <row r="1769" ht="15.75" spans="6:9">
      <c r="F1769" s="12" t="s">
        <v>6217</v>
      </c>
      <c r="G1769" s="12" t="s">
        <v>392</v>
      </c>
      <c r="H1769" s="15">
        <v>130000</v>
      </c>
      <c r="I1769" s="13">
        <v>50</v>
      </c>
    </row>
    <row r="1770" ht="15.75" spans="6:9">
      <c r="F1770" s="12" t="s">
        <v>4292</v>
      </c>
      <c r="G1770" s="12" t="s">
        <v>391</v>
      </c>
      <c r="H1770" s="15">
        <v>31795</v>
      </c>
      <c r="I1770" s="13">
        <v>50</v>
      </c>
    </row>
    <row r="1771" ht="15.75" spans="6:9">
      <c r="F1771" s="12" t="s">
        <v>6218</v>
      </c>
      <c r="G1771" s="12" t="s">
        <v>391</v>
      </c>
      <c r="H1771" s="15">
        <v>10381</v>
      </c>
      <c r="I1771" s="13">
        <v>50</v>
      </c>
    </row>
    <row r="1772" ht="15.75" spans="6:9">
      <c r="F1772" s="12" t="s">
        <v>6219</v>
      </c>
      <c r="G1772" s="12" t="s">
        <v>392</v>
      </c>
      <c r="H1772" s="15">
        <v>10500</v>
      </c>
      <c r="I1772" s="13">
        <v>50</v>
      </c>
    </row>
    <row r="1773" ht="15.75" spans="6:9">
      <c r="F1773" s="12" t="s">
        <v>4294</v>
      </c>
      <c r="G1773" s="12" t="s">
        <v>391</v>
      </c>
      <c r="H1773" s="15">
        <v>17690</v>
      </c>
      <c r="I1773" s="13">
        <v>50</v>
      </c>
    </row>
    <row r="1774" ht="15.75" spans="6:9">
      <c r="F1774" s="12" t="s">
        <v>6220</v>
      </c>
      <c r="G1774" s="12" t="s">
        <v>392</v>
      </c>
      <c r="H1774" s="15">
        <v>185200</v>
      </c>
      <c r="I1774" s="13">
        <v>50</v>
      </c>
    </row>
    <row r="1775" ht="15.75" spans="6:9">
      <c r="F1775" s="12" t="s">
        <v>6221</v>
      </c>
      <c r="G1775" s="12" t="s">
        <v>392</v>
      </c>
      <c r="H1775" s="15">
        <v>61400</v>
      </c>
      <c r="I1775" s="13">
        <v>50</v>
      </c>
    </row>
    <row r="1776" ht="15.75" spans="6:9">
      <c r="F1776" s="12" t="s">
        <v>6222</v>
      </c>
      <c r="G1776" s="12" t="s">
        <v>391</v>
      </c>
      <c r="H1776" s="15">
        <v>28367</v>
      </c>
      <c r="I1776" s="13">
        <v>50</v>
      </c>
    </row>
    <row r="1777" ht="15.75" spans="6:9">
      <c r="F1777" s="12" t="s">
        <v>6223</v>
      </c>
      <c r="G1777" s="12" t="s">
        <v>392</v>
      </c>
      <c r="H1777" s="15">
        <v>48900</v>
      </c>
      <c r="I1777" s="13">
        <v>50</v>
      </c>
    </row>
    <row r="1778" ht="15.75" spans="6:9">
      <c r="F1778" s="12" t="s">
        <v>6224</v>
      </c>
      <c r="G1778" s="12" t="s">
        <v>392</v>
      </c>
      <c r="H1778" s="15">
        <v>32100</v>
      </c>
      <c r="I1778" s="13">
        <v>50</v>
      </c>
    </row>
    <row r="1779" ht="15.75" spans="6:9">
      <c r="F1779" s="12" t="s">
        <v>4296</v>
      </c>
      <c r="G1779" s="12" t="s">
        <v>391</v>
      </c>
      <c r="H1779" s="15">
        <v>29871</v>
      </c>
      <c r="I1779" s="13">
        <v>50</v>
      </c>
    </row>
    <row r="1780" ht="15.75" spans="6:9">
      <c r="F1780" s="12" t="s">
        <v>6225</v>
      </c>
      <c r="G1780" s="12" t="s">
        <v>391</v>
      </c>
      <c r="H1780" s="15">
        <v>13937</v>
      </c>
      <c r="I1780" s="13">
        <v>50</v>
      </c>
    </row>
    <row r="1781" ht="15.75" spans="6:9">
      <c r="F1781" s="12" t="s">
        <v>4299</v>
      </c>
      <c r="G1781" s="12" t="s">
        <v>391</v>
      </c>
      <c r="H1781" s="15">
        <v>20058</v>
      </c>
      <c r="I1781" s="13">
        <v>50</v>
      </c>
    </row>
    <row r="1782" ht="15.75" spans="6:9">
      <c r="F1782" s="12" t="s">
        <v>6226</v>
      </c>
      <c r="G1782" s="12" t="s">
        <v>392</v>
      </c>
      <c r="H1782" s="15">
        <v>79225</v>
      </c>
      <c r="I1782" s="13">
        <v>50</v>
      </c>
    </row>
    <row r="1783" ht="15.75" spans="6:9">
      <c r="F1783" s="12" t="s">
        <v>6227</v>
      </c>
      <c r="G1783" s="12" t="s">
        <v>392</v>
      </c>
      <c r="H1783" s="15">
        <v>180700</v>
      </c>
      <c r="I1783" s="13">
        <v>50</v>
      </c>
    </row>
    <row r="1784" ht="15.75" spans="6:9">
      <c r="F1784" s="12" t="s">
        <v>6228</v>
      </c>
      <c r="G1784" s="12" t="s">
        <v>392</v>
      </c>
      <c r="H1784" s="15">
        <v>10300</v>
      </c>
      <c r="I1784" s="13">
        <v>50</v>
      </c>
    </row>
    <row r="1785" ht="15.75" spans="6:9">
      <c r="F1785" s="12" t="s">
        <v>6229</v>
      </c>
      <c r="G1785" s="12" t="s">
        <v>392</v>
      </c>
      <c r="H1785" s="15">
        <v>53100</v>
      </c>
      <c r="I1785" s="13">
        <v>50</v>
      </c>
    </row>
    <row r="1786" ht="15.75" spans="6:9">
      <c r="F1786" s="12" t="s">
        <v>6230</v>
      </c>
      <c r="G1786" s="12" t="s">
        <v>392</v>
      </c>
      <c r="H1786" s="15">
        <v>459700</v>
      </c>
      <c r="I1786" s="13">
        <v>50</v>
      </c>
    </row>
    <row r="1787" ht="15.75" spans="6:9">
      <c r="F1787" s="12" t="s">
        <v>6231</v>
      </c>
      <c r="G1787" s="12" t="s">
        <v>391</v>
      </c>
      <c r="H1787" s="15">
        <v>11255</v>
      </c>
      <c r="I1787" s="13">
        <v>50</v>
      </c>
    </row>
    <row r="1788" ht="15.75" spans="6:9">
      <c r="F1788" s="12" t="s">
        <v>6232</v>
      </c>
      <c r="G1788" s="12" t="s">
        <v>391</v>
      </c>
      <c r="H1788" s="15">
        <v>10149</v>
      </c>
      <c r="I1788" s="13">
        <v>50</v>
      </c>
    </row>
    <row r="1789" ht="15.75" spans="6:9">
      <c r="F1789" s="12" t="s">
        <v>6233</v>
      </c>
      <c r="G1789" s="12" t="s">
        <v>392</v>
      </c>
      <c r="H1789" s="15">
        <v>17600</v>
      </c>
      <c r="I1789" s="13">
        <v>50</v>
      </c>
    </row>
    <row r="1790" ht="15.75" spans="6:9">
      <c r="F1790" s="12" t="s">
        <v>6234</v>
      </c>
      <c r="G1790" s="12" t="s">
        <v>392</v>
      </c>
      <c r="H1790" s="15">
        <v>52600</v>
      </c>
      <c r="I1790" s="13">
        <v>50</v>
      </c>
    </row>
    <row r="1791" ht="15.75" spans="6:9">
      <c r="F1791" s="12" t="s">
        <v>6235</v>
      </c>
      <c r="G1791" s="12" t="s">
        <v>391</v>
      </c>
      <c r="H1791" s="15">
        <v>10446</v>
      </c>
      <c r="I1791" s="13">
        <v>50</v>
      </c>
    </row>
    <row r="1792" ht="15.75" spans="6:9">
      <c r="F1792" s="12" t="s">
        <v>6236</v>
      </c>
      <c r="G1792" s="12" t="s">
        <v>391</v>
      </c>
      <c r="H1792" s="15">
        <v>12213</v>
      </c>
      <c r="I1792" s="13">
        <v>50</v>
      </c>
    </row>
    <row r="1793" ht="15.75" spans="6:9">
      <c r="F1793" s="12" t="s">
        <v>6237</v>
      </c>
      <c r="G1793" s="12" t="s">
        <v>392</v>
      </c>
      <c r="H1793" s="15">
        <v>13600</v>
      </c>
      <c r="I1793" s="13">
        <v>50</v>
      </c>
    </row>
    <row r="1794" ht="15.75" spans="6:9">
      <c r="F1794" s="12" t="s">
        <v>6238</v>
      </c>
      <c r="G1794" s="12" t="s">
        <v>392</v>
      </c>
      <c r="H1794" s="15">
        <v>32400</v>
      </c>
      <c r="I1794" s="13">
        <v>50</v>
      </c>
    </row>
    <row r="1795" ht="15.75" spans="6:9">
      <c r="F1795" s="12" t="s">
        <v>6239</v>
      </c>
      <c r="G1795" s="12" t="s">
        <v>392</v>
      </c>
      <c r="H1795" s="15">
        <v>12800</v>
      </c>
      <c r="I1795" s="13">
        <v>50</v>
      </c>
    </row>
    <row r="1796" ht="15.75" spans="6:9">
      <c r="F1796" s="12" t="s">
        <v>6240</v>
      </c>
      <c r="G1796" s="12" t="s">
        <v>392</v>
      </c>
      <c r="H1796" s="15">
        <v>10100</v>
      </c>
      <c r="I1796" s="13">
        <v>50</v>
      </c>
    </row>
    <row r="1797" ht="15.75" spans="6:9">
      <c r="F1797" s="12" t="s">
        <v>6241</v>
      </c>
      <c r="G1797" s="12" t="s">
        <v>392</v>
      </c>
      <c r="H1797" s="15">
        <v>2900000</v>
      </c>
      <c r="I1797" s="13">
        <v>50</v>
      </c>
    </row>
    <row r="1798" ht="15.75" spans="6:9">
      <c r="F1798" s="12" t="s">
        <v>6242</v>
      </c>
      <c r="G1798" s="12" t="s">
        <v>392</v>
      </c>
      <c r="H1798" s="15">
        <v>293000</v>
      </c>
      <c r="I1798" s="13">
        <v>50</v>
      </c>
    </row>
    <row r="1799" ht="15.75" spans="6:9">
      <c r="F1799" s="12" t="s">
        <v>6243</v>
      </c>
      <c r="G1799" s="12" t="s">
        <v>391</v>
      </c>
      <c r="H1799" s="15">
        <v>28461</v>
      </c>
      <c r="I1799" s="13">
        <v>50</v>
      </c>
    </row>
    <row r="1800" ht="15.75" spans="6:9">
      <c r="F1800" s="12" t="s">
        <v>6244</v>
      </c>
      <c r="G1800" s="12" t="s">
        <v>392</v>
      </c>
      <c r="H1800" s="15">
        <v>83000</v>
      </c>
      <c r="I1800" s="13">
        <v>50</v>
      </c>
    </row>
    <row r="1801" ht="15.75" spans="6:9">
      <c r="F1801" s="12" t="s">
        <v>4302</v>
      </c>
      <c r="G1801" s="12" t="s">
        <v>391</v>
      </c>
      <c r="H1801" s="15">
        <v>10120</v>
      </c>
      <c r="I1801" s="13">
        <v>50</v>
      </c>
    </row>
    <row r="1802" ht="15.75" spans="6:9">
      <c r="F1802" s="12" t="s">
        <v>4305</v>
      </c>
      <c r="G1802" s="12" t="s">
        <v>391</v>
      </c>
      <c r="H1802" s="15">
        <v>22235</v>
      </c>
      <c r="I1802" s="13">
        <v>50</v>
      </c>
    </row>
    <row r="1803" ht="15.75" spans="6:9">
      <c r="F1803" s="12" t="s">
        <v>6245</v>
      </c>
      <c r="G1803" s="12" t="s">
        <v>392</v>
      </c>
      <c r="H1803" s="15">
        <v>68500</v>
      </c>
      <c r="I1803" s="13">
        <v>50</v>
      </c>
    </row>
    <row r="1804" ht="15.75" spans="6:9">
      <c r="F1804" s="12" t="s">
        <v>6246</v>
      </c>
      <c r="G1804" s="12" t="s">
        <v>391</v>
      </c>
      <c r="H1804" s="15">
        <v>12264</v>
      </c>
      <c r="I1804" s="13">
        <v>50</v>
      </c>
    </row>
    <row r="1805" ht="15.75" spans="6:9">
      <c r="F1805" s="12" t="s">
        <v>6247</v>
      </c>
      <c r="G1805" s="12" t="s">
        <v>392</v>
      </c>
      <c r="H1805" s="15">
        <v>50900</v>
      </c>
      <c r="I1805" s="13">
        <v>50</v>
      </c>
    </row>
    <row r="1806" ht="15.75" spans="6:9">
      <c r="F1806" s="12" t="s">
        <v>6248</v>
      </c>
      <c r="G1806" s="12" t="s">
        <v>392</v>
      </c>
      <c r="H1806" s="15">
        <v>1100000</v>
      </c>
      <c r="I1806" s="13">
        <v>50</v>
      </c>
    </row>
    <row r="1807" ht="15.75" spans="6:9">
      <c r="F1807" s="12" t="s">
        <v>4307</v>
      </c>
      <c r="G1807" s="12" t="s">
        <v>391</v>
      </c>
      <c r="H1807" s="15">
        <v>30363</v>
      </c>
      <c r="I1807" s="13">
        <v>50</v>
      </c>
    </row>
    <row r="1808" ht="15.75" spans="6:9">
      <c r="F1808" s="12" t="s">
        <v>4310</v>
      </c>
      <c r="G1808" s="12" t="s">
        <v>391</v>
      </c>
      <c r="H1808" s="15">
        <v>31259</v>
      </c>
      <c r="I1808" s="13">
        <v>50</v>
      </c>
    </row>
    <row r="1809" ht="15.75" spans="6:9">
      <c r="F1809" s="12" t="s">
        <v>6249</v>
      </c>
      <c r="G1809" s="12" t="s">
        <v>392</v>
      </c>
      <c r="H1809" s="15">
        <v>33200</v>
      </c>
      <c r="I1809" s="13">
        <v>50</v>
      </c>
    </row>
    <row r="1810" ht="15.75" spans="6:9">
      <c r="F1810" s="12" t="s">
        <v>6250</v>
      </c>
      <c r="G1810" s="12" t="s">
        <v>392</v>
      </c>
      <c r="H1810" s="15">
        <v>13700</v>
      </c>
      <c r="I1810" s="13">
        <v>50</v>
      </c>
    </row>
    <row r="1811" ht="15.75" spans="6:9">
      <c r="F1811" s="12" t="s">
        <v>6251</v>
      </c>
      <c r="G1811" s="12" t="s">
        <v>392</v>
      </c>
      <c r="H1811" s="15">
        <v>136400</v>
      </c>
      <c r="I1811" s="13">
        <v>50</v>
      </c>
    </row>
    <row r="1812" ht="15.75" spans="6:9">
      <c r="F1812" s="12" t="s">
        <v>6252</v>
      </c>
      <c r="G1812" s="12" t="s">
        <v>392</v>
      </c>
      <c r="H1812" s="15">
        <v>139900</v>
      </c>
      <c r="I1812" s="13">
        <v>50</v>
      </c>
    </row>
    <row r="1813" ht="15.75" spans="6:9">
      <c r="F1813" s="12" t="s">
        <v>6253</v>
      </c>
      <c r="G1813" s="12" t="s">
        <v>392</v>
      </c>
      <c r="H1813" s="15">
        <v>111300</v>
      </c>
      <c r="I1813" s="13">
        <v>50</v>
      </c>
    </row>
    <row r="1814" ht="15.75" spans="6:9">
      <c r="F1814" s="12" t="s">
        <v>6254</v>
      </c>
      <c r="G1814" s="12" t="s">
        <v>392</v>
      </c>
      <c r="H1814" s="15">
        <v>35700</v>
      </c>
      <c r="I1814" s="13">
        <v>50</v>
      </c>
    </row>
    <row r="1815" ht="15.75" spans="6:9">
      <c r="F1815" s="12" t="s">
        <v>6255</v>
      </c>
      <c r="G1815" s="12" t="s">
        <v>391</v>
      </c>
      <c r="H1815" s="15">
        <v>10342</v>
      </c>
      <c r="I1815" s="13">
        <v>50</v>
      </c>
    </row>
    <row r="1816" ht="15.75" spans="6:9">
      <c r="F1816" s="12" t="s">
        <v>6256</v>
      </c>
      <c r="G1816" s="12" t="s">
        <v>391</v>
      </c>
      <c r="H1816" s="15">
        <v>21019</v>
      </c>
      <c r="I1816" s="13">
        <v>50</v>
      </c>
    </row>
    <row r="1817" ht="15.75" spans="6:9">
      <c r="F1817" s="12" t="s">
        <v>6257</v>
      </c>
      <c r="G1817" s="12" t="s">
        <v>392</v>
      </c>
      <c r="H1817" s="15">
        <v>110200</v>
      </c>
      <c r="I1817" s="13">
        <v>50</v>
      </c>
    </row>
    <row r="1818" ht="15.75" spans="6:9">
      <c r="F1818" s="12" t="s">
        <v>6258</v>
      </c>
      <c r="G1818" s="12" t="s">
        <v>391</v>
      </c>
      <c r="H1818" s="15">
        <v>20051</v>
      </c>
      <c r="I1818" s="13">
        <v>50</v>
      </c>
    </row>
    <row r="1819" ht="15.75" spans="6:9">
      <c r="F1819" s="12" t="s">
        <v>6259</v>
      </c>
      <c r="G1819" s="12" t="s">
        <v>391</v>
      </c>
      <c r="H1819" s="15">
        <v>10959</v>
      </c>
      <c r="I1819" s="13">
        <v>50</v>
      </c>
    </row>
    <row r="1820" ht="15.75" spans="6:9">
      <c r="F1820" s="12" t="s">
        <v>6260</v>
      </c>
      <c r="G1820" s="12" t="s">
        <v>392</v>
      </c>
      <c r="H1820" s="15">
        <v>16500</v>
      </c>
      <c r="I1820" s="13">
        <v>50</v>
      </c>
    </row>
    <row r="1821" ht="15.75" spans="6:9">
      <c r="F1821" s="12" t="s">
        <v>6261</v>
      </c>
      <c r="G1821" s="12" t="s">
        <v>392</v>
      </c>
      <c r="H1821" s="15">
        <v>80500</v>
      </c>
      <c r="I1821" s="13">
        <v>50</v>
      </c>
    </row>
    <row r="1822" ht="15.75" spans="6:9">
      <c r="F1822" s="12" t="s">
        <v>4313</v>
      </c>
      <c r="G1822" s="12" t="s">
        <v>391</v>
      </c>
      <c r="H1822" s="15">
        <v>34700</v>
      </c>
      <c r="I1822" s="13">
        <v>50</v>
      </c>
    </row>
    <row r="1823" ht="15.75" spans="6:9">
      <c r="F1823" s="12" t="s">
        <v>6262</v>
      </c>
      <c r="G1823" s="12" t="s">
        <v>391</v>
      </c>
      <c r="H1823" s="15">
        <v>26915</v>
      </c>
      <c r="I1823" s="13">
        <v>50</v>
      </c>
    </row>
    <row r="1824" ht="15.75" spans="6:9">
      <c r="F1824" s="12" t="s">
        <v>4315</v>
      </c>
      <c r="G1824" s="12" t="s">
        <v>391</v>
      </c>
      <c r="H1824" s="15">
        <v>10991</v>
      </c>
      <c r="I1824" s="13">
        <v>50</v>
      </c>
    </row>
    <row r="1825" ht="15.75" spans="6:9">
      <c r="F1825" s="12" t="s">
        <v>6263</v>
      </c>
      <c r="G1825" s="12" t="s">
        <v>392</v>
      </c>
      <c r="H1825" s="15">
        <v>191100</v>
      </c>
      <c r="I1825" s="13">
        <v>50</v>
      </c>
    </row>
    <row r="1826" ht="15.75" spans="6:9">
      <c r="F1826" s="12" t="s">
        <v>6264</v>
      </c>
      <c r="G1826" s="12" t="s">
        <v>392</v>
      </c>
      <c r="H1826" s="15">
        <v>10900</v>
      </c>
      <c r="I1826" s="13">
        <v>50</v>
      </c>
    </row>
    <row r="1827" ht="15.75" spans="6:9">
      <c r="F1827" s="12" t="s">
        <v>6265</v>
      </c>
      <c r="G1827" s="12" t="s">
        <v>392</v>
      </c>
      <c r="H1827" s="15">
        <v>583400</v>
      </c>
      <c r="I1827" s="13">
        <v>50</v>
      </c>
    </row>
    <row r="1828" ht="15.75" spans="6:9">
      <c r="F1828" s="12" t="s">
        <v>6266</v>
      </c>
      <c r="G1828" s="12" t="s">
        <v>391</v>
      </c>
      <c r="H1828" s="15">
        <v>34098</v>
      </c>
      <c r="I1828" s="13">
        <v>50</v>
      </c>
    </row>
    <row r="1829" ht="15.75" spans="6:9">
      <c r="F1829" s="12" t="s">
        <v>6267</v>
      </c>
      <c r="G1829" s="12" t="s">
        <v>392</v>
      </c>
      <c r="H1829" s="15">
        <v>188000</v>
      </c>
      <c r="I1829" s="13">
        <v>50</v>
      </c>
    </row>
    <row r="1830" ht="15.75" spans="6:9">
      <c r="F1830" s="12" t="s">
        <v>6268</v>
      </c>
      <c r="G1830" s="12" t="s">
        <v>392</v>
      </c>
      <c r="H1830" s="15">
        <v>11900</v>
      </c>
      <c r="I1830" s="13">
        <v>50</v>
      </c>
    </row>
    <row r="1831" ht="15.75" spans="6:9">
      <c r="F1831" s="12" t="s">
        <v>6269</v>
      </c>
      <c r="G1831" s="12" t="s">
        <v>391</v>
      </c>
      <c r="H1831" s="15">
        <v>13495</v>
      </c>
      <c r="I1831" s="13">
        <v>50</v>
      </c>
    </row>
    <row r="1832" ht="15.75" spans="6:9">
      <c r="F1832" s="12" t="s">
        <v>6270</v>
      </c>
      <c r="G1832" s="12" t="s">
        <v>391</v>
      </c>
      <c r="H1832" s="15">
        <v>21778</v>
      </c>
      <c r="I1832" s="13">
        <v>50</v>
      </c>
    </row>
    <row r="1833" ht="15.75" spans="6:9">
      <c r="F1833" s="12" t="s">
        <v>6271</v>
      </c>
      <c r="G1833" s="12" t="s">
        <v>392</v>
      </c>
      <c r="H1833" s="15">
        <v>12800</v>
      </c>
      <c r="I1833" s="13">
        <v>50</v>
      </c>
    </row>
    <row r="1834" ht="15.75" spans="6:9">
      <c r="F1834" s="12" t="s">
        <v>6272</v>
      </c>
      <c r="G1834" s="12" t="s">
        <v>391</v>
      </c>
      <c r="H1834" s="15">
        <v>17828</v>
      </c>
      <c r="I1834" s="13">
        <v>50</v>
      </c>
    </row>
    <row r="1835" ht="15.75" spans="6:9">
      <c r="F1835" s="12" t="s">
        <v>4318</v>
      </c>
      <c r="G1835" s="12" t="s">
        <v>391</v>
      </c>
      <c r="H1835" s="15">
        <v>16741</v>
      </c>
      <c r="I1835" s="13">
        <v>50</v>
      </c>
    </row>
    <row r="1836" ht="15.75" spans="6:9">
      <c r="F1836" s="12" t="s">
        <v>6273</v>
      </c>
      <c r="G1836" s="12" t="s">
        <v>392</v>
      </c>
      <c r="H1836" s="15">
        <v>344400</v>
      </c>
      <c r="I1836" s="13">
        <v>50</v>
      </c>
    </row>
    <row r="1837" ht="15.75" spans="6:9">
      <c r="F1837" s="12" t="s">
        <v>6274</v>
      </c>
      <c r="G1837" s="12" t="s">
        <v>391</v>
      </c>
      <c r="H1837" s="15">
        <v>12781</v>
      </c>
      <c r="I1837" s="13">
        <v>50</v>
      </c>
    </row>
    <row r="1838" ht="15.75" spans="6:9">
      <c r="F1838" s="12" t="s">
        <v>6275</v>
      </c>
      <c r="G1838" s="12" t="s">
        <v>392</v>
      </c>
      <c r="H1838" s="15">
        <v>80700</v>
      </c>
      <c r="I1838" s="13">
        <v>50</v>
      </c>
    </row>
    <row r="1839" ht="15.75" spans="6:9">
      <c r="F1839" s="12" t="s">
        <v>6276</v>
      </c>
      <c r="G1839" s="12" t="s">
        <v>392</v>
      </c>
      <c r="H1839" s="15">
        <v>11700</v>
      </c>
      <c r="I1839" s="13">
        <v>50</v>
      </c>
    </row>
    <row r="1840" ht="15.75" spans="6:9">
      <c r="F1840" s="12" t="s">
        <v>6277</v>
      </c>
      <c r="G1840" s="12" t="s">
        <v>392</v>
      </c>
      <c r="H1840" s="15">
        <v>10300</v>
      </c>
      <c r="I1840" s="13">
        <v>50</v>
      </c>
    </row>
    <row r="1841" ht="15.75" spans="6:9">
      <c r="F1841" s="12" t="s">
        <v>6278</v>
      </c>
      <c r="G1841" s="12" t="s">
        <v>392</v>
      </c>
      <c r="H1841" s="15">
        <v>34100</v>
      </c>
      <c r="I1841" s="13">
        <v>50</v>
      </c>
    </row>
    <row r="1842" ht="15.75" spans="6:9">
      <c r="F1842" s="12" t="s">
        <v>6279</v>
      </c>
      <c r="G1842" s="12" t="s">
        <v>392</v>
      </c>
      <c r="H1842" s="15">
        <v>79700</v>
      </c>
      <c r="I1842" s="13">
        <v>50</v>
      </c>
    </row>
    <row r="1843" ht="15.75" spans="6:9">
      <c r="F1843" s="12" t="s">
        <v>6280</v>
      </c>
      <c r="G1843" s="12" t="s">
        <v>392</v>
      </c>
      <c r="H1843" s="15">
        <v>96000</v>
      </c>
      <c r="I1843" s="13">
        <v>50</v>
      </c>
    </row>
    <row r="1844" ht="15.75" spans="6:9">
      <c r="F1844" s="12" t="s">
        <v>6281</v>
      </c>
      <c r="G1844" s="12" t="s">
        <v>391</v>
      </c>
      <c r="H1844" s="15">
        <v>10624</v>
      </c>
      <c r="I1844" s="13">
        <v>50</v>
      </c>
    </row>
    <row r="1845" ht="15.75" spans="6:9">
      <c r="F1845" s="12" t="s">
        <v>6282</v>
      </c>
      <c r="G1845" s="12" t="s">
        <v>391</v>
      </c>
      <c r="H1845" s="15">
        <v>32331</v>
      </c>
      <c r="I1845" s="13">
        <v>50</v>
      </c>
    </row>
    <row r="1846" ht="15.75" spans="6:9">
      <c r="F1846" s="12" t="s">
        <v>6283</v>
      </c>
      <c r="G1846" s="12" t="s">
        <v>391</v>
      </c>
      <c r="H1846" s="15">
        <v>31996</v>
      </c>
      <c r="I1846" s="13">
        <v>50</v>
      </c>
    </row>
    <row r="1847" ht="15.75" spans="6:9">
      <c r="F1847" s="12" t="s">
        <v>4321</v>
      </c>
      <c r="G1847" s="12" t="s">
        <v>391</v>
      </c>
      <c r="H1847" s="15">
        <v>10996</v>
      </c>
      <c r="I1847" s="13">
        <v>50</v>
      </c>
    </row>
    <row r="1848" ht="15.75" spans="6:9">
      <c r="F1848" s="12" t="s">
        <v>6284</v>
      </c>
      <c r="G1848" s="12" t="s">
        <v>391</v>
      </c>
      <c r="H1848" s="15">
        <v>17824</v>
      </c>
      <c r="I1848" s="13">
        <v>50</v>
      </c>
    </row>
    <row r="1849" ht="15.75" spans="6:9">
      <c r="F1849" s="12" t="s">
        <v>4323</v>
      </c>
      <c r="G1849" s="12" t="s">
        <v>391</v>
      </c>
      <c r="H1849" s="15">
        <v>11670</v>
      </c>
      <c r="I1849" s="13">
        <v>50</v>
      </c>
    </row>
    <row r="1850" ht="15.75" spans="6:9">
      <c r="F1850" s="12" t="s">
        <v>6285</v>
      </c>
      <c r="G1850" s="12" t="s">
        <v>391</v>
      </c>
      <c r="H1850" s="15">
        <v>11963</v>
      </c>
      <c r="I1850" s="13">
        <v>50</v>
      </c>
    </row>
    <row r="1851" ht="15.75" spans="6:9">
      <c r="F1851" s="12" t="s">
        <v>4326</v>
      </c>
      <c r="G1851" s="12" t="s">
        <v>391</v>
      </c>
      <c r="H1851" s="15">
        <v>20681</v>
      </c>
      <c r="I1851" s="13">
        <v>50</v>
      </c>
    </row>
    <row r="1852" ht="15.75" spans="6:9">
      <c r="F1852" s="12" t="s">
        <v>6286</v>
      </c>
      <c r="G1852" s="12" t="s">
        <v>392</v>
      </c>
      <c r="H1852" s="15">
        <v>11000</v>
      </c>
      <c r="I1852" s="13">
        <v>50</v>
      </c>
    </row>
    <row r="1853" ht="15.75" spans="6:9">
      <c r="F1853" s="12" t="s">
        <v>4329</v>
      </c>
      <c r="G1853" s="12" t="s">
        <v>391</v>
      </c>
      <c r="H1853" s="15">
        <v>11924</v>
      </c>
      <c r="I1853" s="13">
        <v>50</v>
      </c>
    </row>
    <row r="1854" ht="15.75" spans="6:9">
      <c r="F1854" s="12" t="s">
        <v>6287</v>
      </c>
      <c r="G1854" s="12" t="s">
        <v>391</v>
      </c>
      <c r="H1854" s="15">
        <v>10469</v>
      </c>
      <c r="I1854" s="13">
        <v>50</v>
      </c>
    </row>
    <row r="1855" ht="15.75" spans="6:9">
      <c r="F1855" s="12" t="s">
        <v>6288</v>
      </c>
      <c r="G1855" s="12" t="s">
        <v>392</v>
      </c>
      <c r="H1855" s="15">
        <v>10800</v>
      </c>
      <c r="I1855" s="13">
        <v>50</v>
      </c>
    </row>
    <row r="1856" ht="15.75" spans="6:9">
      <c r="F1856" s="12" t="s">
        <v>6289</v>
      </c>
      <c r="G1856" s="12" t="s">
        <v>392</v>
      </c>
      <c r="H1856" s="15">
        <v>10300</v>
      </c>
      <c r="I1856" s="13">
        <v>50</v>
      </c>
    </row>
    <row r="1857" ht="15.75" spans="6:9">
      <c r="F1857" s="12" t="s">
        <v>6290</v>
      </c>
      <c r="G1857" s="12" t="s">
        <v>392</v>
      </c>
      <c r="H1857" s="15">
        <v>566600</v>
      </c>
      <c r="I1857" s="13">
        <v>50</v>
      </c>
    </row>
    <row r="1858" ht="15.75" spans="6:9">
      <c r="F1858" s="12" t="s">
        <v>6291</v>
      </c>
      <c r="G1858" s="12" t="s">
        <v>391</v>
      </c>
      <c r="H1858" s="15">
        <v>27928</v>
      </c>
      <c r="I1858" s="13">
        <v>50</v>
      </c>
    </row>
    <row r="1859" ht="15.75" spans="6:9">
      <c r="F1859" s="12" t="s">
        <v>6292</v>
      </c>
      <c r="G1859" s="12" t="s">
        <v>391</v>
      </c>
      <c r="H1859" s="15">
        <v>21361</v>
      </c>
      <c r="I1859" s="13">
        <v>50</v>
      </c>
    </row>
    <row r="1860" ht="15.75" spans="6:9">
      <c r="F1860" s="12" t="s">
        <v>3529</v>
      </c>
      <c r="G1860" s="12" t="s">
        <v>391</v>
      </c>
      <c r="H1860" s="15">
        <v>304680</v>
      </c>
      <c r="I1860" s="13">
        <v>50</v>
      </c>
    </row>
    <row r="1861" ht="15.75" spans="6:9">
      <c r="F1861" s="12" t="s">
        <v>6293</v>
      </c>
      <c r="G1861" s="12" t="s">
        <v>392</v>
      </c>
      <c r="H1861" s="15">
        <v>64600</v>
      </c>
      <c r="I1861" s="13">
        <v>50</v>
      </c>
    </row>
    <row r="1862" ht="15.75" spans="6:9">
      <c r="F1862" s="12" t="s">
        <v>4331</v>
      </c>
      <c r="G1862" s="12" t="s">
        <v>391</v>
      </c>
      <c r="H1862" s="15">
        <v>15911</v>
      </c>
      <c r="I1862" s="13">
        <v>50</v>
      </c>
    </row>
    <row r="1863" ht="15.75" spans="6:9">
      <c r="F1863" s="12" t="s">
        <v>6294</v>
      </c>
      <c r="G1863" s="12" t="s">
        <v>392</v>
      </c>
      <c r="H1863" s="15">
        <v>511800</v>
      </c>
      <c r="I1863" s="13">
        <v>50</v>
      </c>
    </row>
    <row r="1864" ht="15.75" spans="6:9">
      <c r="F1864" s="12" t="s">
        <v>6295</v>
      </c>
      <c r="G1864" s="12" t="s">
        <v>392</v>
      </c>
      <c r="H1864" s="15">
        <v>80800</v>
      </c>
      <c r="I1864" s="13">
        <v>50</v>
      </c>
    </row>
    <row r="1865" ht="15.75" spans="6:9">
      <c r="F1865" s="12" t="s">
        <v>6296</v>
      </c>
      <c r="G1865" s="12" t="s">
        <v>392</v>
      </c>
      <c r="H1865" s="15">
        <v>1100000</v>
      </c>
      <c r="I1865" s="13">
        <v>50</v>
      </c>
    </row>
    <row r="1866" ht="15.75" spans="6:9">
      <c r="F1866" s="12" t="s">
        <v>6297</v>
      </c>
      <c r="G1866" s="12" t="s">
        <v>392</v>
      </c>
      <c r="H1866" s="15">
        <v>10600</v>
      </c>
      <c r="I1866" s="13">
        <v>50</v>
      </c>
    </row>
    <row r="1867" ht="15.75" spans="6:9">
      <c r="F1867" s="12" t="s">
        <v>6298</v>
      </c>
      <c r="G1867" s="12" t="s">
        <v>392</v>
      </c>
      <c r="H1867" s="15">
        <v>50000</v>
      </c>
      <c r="I1867" s="13">
        <v>50</v>
      </c>
    </row>
    <row r="1868" ht="15.75" spans="6:9">
      <c r="F1868" s="12" t="s">
        <v>6299</v>
      </c>
      <c r="G1868" s="12" t="s">
        <v>392</v>
      </c>
      <c r="H1868" s="15">
        <v>11600</v>
      </c>
      <c r="I1868" s="13">
        <v>50</v>
      </c>
    </row>
    <row r="1869" ht="15.75" spans="6:9">
      <c r="F1869" s="12" t="s">
        <v>6300</v>
      </c>
      <c r="G1869" s="12" t="s">
        <v>391</v>
      </c>
      <c r="H1869" s="15">
        <v>11789</v>
      </c>
      <c r="I1869" s="13">
        <v>50</v>
      </c>
    </row>
    <row r="1870" ht="15.75" spans="6:9">
      <c r="F1870" s="12" t="s">
        <v>6301</v>
      </c>
      <c r="G1870" s="12" t="s">
        <v>392</v>
      </c>
      <c r="H1870" s="15">
        <v>63800</v>
      </c>
      <c r="I1870" s="13">
        <v>50</v>
      </c>
    </row>
    <row r="1871" ht="15.75" spans="6:9">
      <c r="F1871" s="12" t="s">
        <v>4334</v>
      </c>
      <c r="G1871" s="12" t="s">
        <v>391</v>
      </c>
      <c r="H1871" s="15">
        <v>30179</v>
      </c>
      <c r="I1871" s="13">
        <v>50</v>
      </c>
    </row>
    <row r="1872" ht="15.75" spans="6:9">
      <c r="F1872" s="12" t="s">
        <v>6302</v>
      </c>
      <c r="G1872" s="12" t="s">
        <v>392</v>
      </c>
      <c r="H1872" s="15">
        <v>46400</v>
      </c>
      <c r="I1872" s="13">
        <v>50</v>
      </c>
    </row>
    <row r="1873" ht="15.75" spans="6:9">
      <c r="F1873" s="12" t="s">
        <v>6303</v>
      </c>
      <c r="G1873" s="12" t="s">
        <v>391</v>
      </c>
      <c r="H1873" s="15">
        <v>23986</v>
      </c>
      <c r="I1873" s="13">
        <v>50</v>
      </c>
    </row>
    <row r="1874" ht="15.75" spans="6:9">
      <c r="F1874" s="12" t="s">
        <v>6304</v>
      </c>
      <c r="G1874" s="12" t="s">
        <v>392</v>
      </c>
      <c r="H1874" s="15">
        <v>1575418</v>
      </c>
      <c r="I1874" s="13">
        <v>50</v>
      </c>
    </row>
    <row r="1875" ht="15.75" spans="6:9">
      <c r="F1875" s="12" t="s">
        <v>6305</v>
      </c>
      <c r="G1875" s="12" t="s">
        <v>392</v>
      </c>
      <c r="H1875" s="15">
        <v>196500</v>
      </c>
      <c r="I1875" s="13">
        <v>50</v>
      </c>
    </row>
    <row r="1876" ht="15.75" spans="6:9">
      <c r="F1876" s="12" t="s">
        <v>6306</v>
      </c>
      <c r="G1876" s="12" t="s">
        <v>391</v>
      </c>
      <c r="H1876" s="15">
        <v>10613</v>
      </c>
      <c r="I1876" s="13">
        <v>50</v>
      </c>
    </row>
    <row r="1877" ht="15.75" spans="6:9">
      <c r="F1877" s="12" t="s">
        <v>6307</v>
      </c>
      <c r="G1877" s="12" t="s">
        <v>392</v>
      </c>
      <c r="H1877" s="15">
        <v>13700</v>
      </c>
      <c r="I1877" s="13">
        <v>50</v>
      </c>
    </row>
    <row r="1878" ht="15.75" spans="6:9">
      <c r="F1878" s="12" t="s">
        <v>4337</v>
      </c>
      <c r="G1878" s="12" t="s">
        <v>391</v>
      </c>
      <c r="H1878" s="15">
        <v>11441</v>
      </c>
      <c r="I1878" s="13">
        <v>50</v>
      </c>
    </row>
    <row r="1879" ht="15.75" spans="6:9">
      <c r="F1879" s="12" t="s">
        <v>4340</v>
      </c>
      <c r="G1879" s="12" t="s">
        <v>391</v>
      </c>
      <c r="H1879" s="15">
        <v>13158</v>
      </c>
      <c r="I1879" s="13">
        <v>50</v>
      </c>
    </row>
    <row r="1880" ht="15.75" spans="6:9">
      <c r="F1880" s="12" t="s">
        <v>4343</v>
      </c>
      <c r="G1880" s="12" t="s">
        <v>391</v>
      </c>
      <c r="H1880" s="15">
        <v>11782</v>
      </c>
      <c r="I1880" s="13">
        <v>50</v>
      </c>
    </row>
    <row r="1881" ht="15.75" spans="6:9">
      <c r="F1881" s="12" t="s">
        <v>6308</v>
      </c>
      <c r="G1881" s="12" t="s">
        <v>392</v>
      </c>
      <c r="H1881" s="15">
        <v>10700</v>
      </c>
      <c r="I1881" s="13">
        <v>50</v>
      </c>
    </row>
    <row r="1882" ht="15.75" spans="6:9">
      <c r="F1882" s="12" t="s">
        <v>4346</v>
      </c>
      <c r="G1882" s="12" t="s">
        <v>391</v>
      </c>
      <c r="H1882" s="15">
        <v>10045</v>
      </c>
      <c r="I1882" s="13">
        <v>50</v>
      </c>
    </row>
    <row r="1883" ht="15.75" spans="6:9">
      <c r="F1883" s="12" t="s">
        <v>6309</v>
      </c>
      <c r="G1883" s="12" t="s">
        <v>392</v>
      </c>
      <c r="H1883" s="15">
        <v>53100</v>
      </c>
      <c r="I1883" s="13">
        <v>50</v>
      </c>
    </row>
    <row r="1884" ht="15.75" spans="6:9">
      <c r="F1884" s="12" t="s">
        <v>4349</v>
      </c>
      <c r="G1884" s="12" t="s">
        <v>391</v>
      </c>
      <c r="H1884" s="15">
        <v>20560</v>
      </c>
      <c r="I1884" s="13">
        <v>50</v>
      </c>
    </row>
    <row r="1885" ht="15.75" spans="6:9">
      <c r="F1885" s="12" t="s">
        <v>4351</v>
      </c>
      <c r="G1885" s="12" t="s">
        <v>391</v>
      </c>
      <c r="H1885" s="15">
        <v>12674</v>
      </c>
      <c r="I1885" s="13">
        <v>50</v>
      </c>
    </row>
    <row r="1886" ht="15.75" spans="6:9">
      <c r="F1886" s="12" t="s">
        <v>4353</v>
      </c>
      <c r="G1886" s="12" t="s">
        <v>391</v>
      </c>
      <c r="H1886" s="15">
        <v>26259</v>
      </c>
      <c r="I1886" s="13">
        <v>50</v>
      </c>
    </row>
    <row r="1887" ht="15.75" spans="6:9">
      <c r="F1887" s="12" t="s">
        <v>4356</v>
      </c>
      <c r="G1887" s="12" t="s">
        <v>391</v>
      </c>
      <c r="H1887" s="15">
        <v>17675</v>
      </c>
      <c r="I1887" s="13">
        <v>50</v>
      </c>
    </row>
    <row r="1888" ht="15.75" spans="6:9">
      <c r="F1888" s="12" t="s">
        <v>4359</v>
      </c>
      <c r="G1888" s="12" t="s">
        <v>391</v>
      </c>
      <c r="H1888" s="15">
        <v>17500</v>
      </c>
      <c r="I1888" s="13">
        <v>50</v>
      </c>
    </row>
    <row r="1889" ht="15.75" spans="6:9">
      <c r="F1889" s="12" t="s">
        <v>4361</v>
      </c>
      <c r="G1889" s="12" t="s">
        <v>391</v>
      </c>
      <c r="H1889" s="15">
        <v>10735</v>
      </c>
      <c r="I1889" s="13">
        <v>50</v>
      </c>
    </row>
    <row r="1890" ht="15.75" spans="6:9">
      <c r="F1890" s="12" t="s">
        <v>6310</v>
      </c>
      <c r="G1890" s="12" t="s">
        <v>391</v>
      </c>
      <c r="H1890" s="15">
        <v>30234</v>
      </c>
      <c r="I1890" s="13">
        <v>50</v>
      </c>
    </row>
    <row r="1891" ht="15.75" spans="6:9">
      <c r="F1891" s="12" t="s">
        <v>4364</v>
      </c>
      <c r="G1891" s="12" t="s">
        <v>391</v>
      </c>
      <c r="H1891" s="15">
        <v>15137</v>
      </c>
      <c r="I1891" s="13">
        <v>50</v>
      </c>
    </row>
    <row r="1892" ht="15.75" spans="6:9">
      <c r="F1892" s="12" t="s">
        <v>4367</v>
      </c>
      <c r="G1892" s="12" t="s">
        <v>391</v>
      </c>
      <c r="H1892" s="15">
        <v>11385</v>
      </c>
      <c r="I1892" s="13">
        <v>50</v>
      </c>
    </row>
    <row r="1893" ht="15.75" spans="6:9">
      <c r="F1893" s="12" t="s">
        <v>6311</v>
      </c>
      <c r="G1893" s="12" t="s">
        <v>392</v>
      </c>
      <c r="H1893" s="15">
        <v>20600</v>
      </c>
      <c r="I1893" s="13">
        <v>50</v>
      </c>
    </row>
    <row r="1894" ht="15.75" spans="6:9">
      <c r="F1894" s="12" t="s">
        <v>6312</v>
      </c>
      <c r="G1894" s="12" t="s">
        <v>391</v>
      </c>
      <c r="H1894" s="15">
        <v>11918</v>
      </c>
      <c r="I1894" s="13">
        <v>50</v>
      </c>
    </row>
    <row r="1895" ht="15.75" spans="6:9">
      <c r="F1895" s="12" t="s">
        <v>4370</v>
      </c>
      <c r="G1895" s="12" t="s">
        <v>391</v>
      </c>
      <c r="H1895" s="15">
        <v>12174</v>
      </c>
      <c r="I1895" s="13">
        <v>50</v>
      </c>
    </row>
    <row r="1896" ht="15.75" spans="6:9">
      <c r="F1896" s="12" t="s">
        <v>6313</v>
      </c>
      <c r="G1896" s="12" t="s">
        <v>391</v>
      </c>
      <c r="H1896" s="15">
        <v>18197</v>
      </c>
      <c r="I1896" s="13">
        <v>50</v>
      </c>
    </row>
    <row r="1897" ht="15.75" spans="6:9">
      <c r="F1897" s="12" t="s">
        <v>4372</v>
      </c>
      <c r="G1897" s="12" t="s">
        <v>391</v>
      </c>
      <c r="H1897" s="15">
        <v>14288</v>
      </c>
      <c r="I1897" s="13">
        <v>50</v>
      </c>
    </row>
    <row r="1898" ht="15.75" spans="6:9">
      <c r="F1898" s="12" t="s">
        <v>4375</v>
      </c>
      <c r="G1898" s="12" t="s">
        <v>391</v>
      </c>
      <c r="H1898" s="15">
        <v>10977</v>
      </c>
      <c r="I1898" s="13">
        <v>50</v>
      </c>
    </row>
    <row r="1899" ht="15.75" spans="6:9">
      <c r="F1899" s="12" t="s">
        <v>4378</v>
      </c>
      <c r="G1899" s="12" t="s">
        <v>391</v>
      </c>
      <c r="H1899" s="15">
        <v>25400</v>
      </c>
      <c r="I1899" s="13">
        <v>50</v>
      </c>
    </row>
    <row r="1900" ht="15.75" spans="6:9">
      <c r="F1900" s="12" t="s">
        <v>6314</v>
      </c>
      <c r="G1900" s="12" t="s">
        <v>392</v>
      </c>
      <c r="H1900" s="15">
        <v>24300</v>
      </c>
      <c r="I1900" s="13">
        <v>50</v>
      </c>
    </row>
    <row r="1901" ht="15.75" spans="6:9">
      <c r="F1901" s="12" t="s">
        <v>6315</v>
      </c>
      <c r="G1901" s="12" t="s">
        <v>391</v>
      </c>
      <c r="H1901" s="15">
        <v>34738</v>
      </c>
      <c r="I1901" s="13">
        <v>50</v>
      </c>
    </row>
    <row r="1902" ht="15.75" spans="6:9">
      <c r="F1902" s="12" t="s">
        <v>4381</v>
      </c>
      <c r="G1902" s="12" t="s">
        <v>391</v>
      </c>
      <c r="H1902" s="15">
        <v>22126</v>
      </c>
      <c r="I1902" s="13">
        <v>50</v>
      </c>
    </row>
    <row r="1903" ht="15.75" spans="6:9">
      <c r="F1903" s="12" t="s">
        <v>6316</v>
      </c>
      <c r="G1903" s="12" t="s">
        <v>391</v>
      </c>
      <c r="H1903" s="15">
        <v>10210</v>
      </c>
      <c r="I1903" s="13">
        <v>50</v>
      </c>
    </row>
    <row r="1904" ht="15.75" spans="6:9">
      <c r="F1904" s="12" t="s">
        <v>6317</v>
      </c>
      <c r="G1904" s="12" t="s">
        <v>392</v>
      </c>
      <c r="H1904" s="15">
        <v>614000</v>
      </c>
      <c r="I1904" s="13">
        <v>50</v>
      </c>
    </row>
    <row r="1905" ht="15.75" spans="6:9">
      <c r="F1905" s="12" t="s">
        <v>6318</v>
      </c>
      <c r="G1905" s="12" t="s">
        <v>392</v>
      </c>
      <c r="H1905" s="15">
        <v>1456624</v>
      </c>
      <c r="I1905" s="13">
        <v>50</v>
      </c>
    </row>
    <row r="1906" ht="15.75" spans="6:9">
      <c r="F1906" s="12" t="s">
        <v>4384</v>
      </c>
      <c r="G1906" s="12" t="s">
        <v>391</v>
      </c>
      <c r="H1906" s="15">
        <v>22193</v>
      </c>
      <c r="I1906" s="13">
        <v>50</v>
      </c>
    </row>
    <row r="1907" ht="15.75" spans="6:9">
      <c r="F1907" s="12" t="s">
        <v>6319</v>
      </c>
      <c r="G1907" s="12" t="s">
        <v>392</v>
      </c>
      <c r="H1907" s="15">
        <v>60147</v>
      </c>
      <c r="I1907" s="13">
        <v>50</v>
      </c>
    </row>
    <row r="1908" ht="15.75" spans="6:9">
      <c r="F1908" s="12" t="s">
        <v>6320</v>
      </c>
      <c r="G1908" s="12" t="s">
        <v>391</v>
      </c>
      <c r="H1908" s="15">
        <v>11033</v>
      </c>
      <c r="I1908" s="13">
        <v>50</v>
      </c>
    </row>
    <row r="1909" ht="15.75" spans="6:9">
      <c r="F1909" s="12" t="s">
        <v>6321</v>
      </c>
      <c r="G1909" s="12" t="s">
        <v>392</v>
      </c>
      <c r="H1909" s="15">
        <v>11300</v>
      </c>
      <c r="I1909" s="13">
        <v>50</v>
      </c>
    </row>
    <row r="1910" ht="15.75" spans="6:9">
      <c r="F1910" s="12" t="s">
        <v>6322</v>
      </c>
      <c r="G1910" s="12" t="s">
        <v>392</v>
      </c>
      <c r="H1910" s="15">
        <v>42100</v>
      </c>
      <c r="I1910" s="13">
        <v>50</v>
      </c>
    </row>
    <row r="1911" ht="15.75" spans="6:9">
      <c r="F1911" s="12" t="s">
        <v>3930</v>
      </c>
      <c r="G1911" s="12" t="s">
        <v>391</v>
      </c>
      <c r="H1911" s="15">
        <v>570281</v>
      </c>
      <c r="I1911" s="13">
        <v>50</v>
      </c>
    </row>
    <row r="1912" ht="15.75" spans="6:9">
      <c r="F1912" s="12" t="s">
        <v>6323</v>
      </c>
      <c r="G1912" s="12" t="s">
        <v>391</v>
      </c>
      <c r="H1912" s="15">
        <v>15478</v>
      </c>
      <c r="I1912" s="13">
        <v>50</v>
      </c>
    </row>
    <row r="1913" ht="15.75" spans="6:9">
      <c r="F1913" s="12" t="s">
        <v>6324</v>
      </c>
      <c r="G1913" s="12" t="s">
        <v>392</v>
      </c>
      <c r="H1913" s="15">
        <v>10300</v>
      </c>
      <c r="I1913" s="13">
        <v>50</v>
      </c>
    </row>
    <row r="1914" ht="15.75" spans="6:9">
      <c r="F1914" s="12" t="s">
        <v>6325</v>
      </c>
      <c r="G1914" s="12" t="s">
        <v>392</v>
      </c>
      <c r="H1914" s="15">
        <v>13700</v>
      </c>
      <c r="I1914" s="13">
        <v>50</v>
      </c>
    </row>
    <row r="1915" ht="15.75" spans="6:9">
      <c r="F1915" s="12" t="s">
        <v>6326</v>
      </c>
      <c r="G1915" s="12" t="s">
        <v>391</v>
      </c>
      <c r="H1915" s="15">
        <v>30003</v>
      </c>
      <c r="I1915" s="13">
        <v>50</v>
      </c>
    </row>
    <row r="1916" ht="15.75" spans="6:9">
      <c r="F1916" s="12" t="s">
        <v>4388</v>
      </c>
      <c r="G1916" s="12" t="s">
        <v>391</v>
      </c>
      <c r="H1916" s="15">
        <v>11766</v>
      </c>
      <c r="I1916" s="13">
        <v>50</v>
      </c>
    </row>
    <row r="1917" ht="15.75" spans="6:9">
      <c r="F1917" s="12" t="s">
        <v>6327</v>
      </c>
      <c r="G1917" s="12" t="s">
        <v>392</v>
      </c>
      <c r="H1917" s="15">
        <v>13300</v>
      </c>
      <c r="I1917" s="13">
        <v>50</v>
      </c>
    </row>
    <row r="1918" ht="15.75" spans="6:9">
      <c r="F1918" s="12" t="s">
        <v>6328</v>
      </c>
      <c r="G1918" s="12" t="s">
        <v>392</v>
      </c>
      <c r="H1918" s="15">
        <v>358400</v>
      </c>
      <c r="I1918" s="13">
        <v>50</v>
      </c>
    </row>
    <row r="1919" ht="15.75" spans="6:9">
      <c r="F1919" s="12" t="s">
        <v>6329</v>
      </c>
      <c r="G1919" s="12" t="s">
        <v>392</v>
      </c>
      <c r="H1919" s="15">
        <v>480200</v>
      </c>
      <c r="I1919" s="13">
        <v>50</v>
      </c>
    </row>
    <row r="1920" ht="15.75" spans="6:9">
      <c r="F1920" s="12" t="s">
        <v>6330</v>
      </c>
      <c r="G1920" s="12" t="s">
        <v>391</v>
      </c>
      <c r="H1920" s="15">
        <v>14672</v>
      </c>
      <c r="I1920" s="13">
        <v>50</v>
      </c>
    </row>
    <row r="1921" ht="15.75" spans="6:9">
      <c r="F1921" s="12" t="s">
        <v>6331</v>
      </c>
      <c r="G1921" s="12" t="s">
        <v>392</v>
      </c>
      <c r="H1921" s="15">
        <v>12700</v>
      </c>
      <c r="I1921" s="13">
        <v>50</v>
      </c>
    </row>
    <row r="1922" ht="15.75" spans="6:9">
      <c r="F1922" s="12" t="s">
        <v>4391</v>
      </c>
      <c r="G1922" s="12" t="s">
        <v>391</v>
      </c>
      <c r="H1922" s="15">
        <v>24442</v>
      </c>
      <c r="I1922" s="13">
        <v>50</v>
      </c>
    </row>
    <row r="1923" ht="15.75" spans="6:9">
      <c r="F1923" s="12" t="s">
        <v>6332</v>
      </c>
      <c r="G1923" s="12" t="s">
        <v>392</v>
      </c>
      <c r="H1923" s="15">
        <v>53600</v>
      </c>
      <c r="I1923" s="13">
        <v>50</v>
      </c>
    </row>
    <row r="1924" ht="15.75" spans="6:9">
      <c r="F1924" s="12" t="s">
        <v>6333</v>
      </c>
      <c r="G1924" s="12" t="s">
        <v>392</v>
      </c>
      <c r="H1924" s="15">
        <v>152600</v>
      </c>
      <c r="I1924" s="13">
        <v>50</v>
      </c>
    </row>
    <row r="1925" ht="15.75" spans="6:9">
      <c r="F1925" s="12" t="s">
        <v>6334</v>
      </c>
      <c r="G1925" s="12" t="s">
        <v>392</v>
      </c>
      <c r="H1925" s="15">
        <v>28900</v>
      </c>
      <c r="I1925" s="13">
        <v>50</v>
      </c>
    </row>
    <row r="1926" ht="15.75" spans="6:9">
      <c r="F1926" s="12" t="s">
        <v>6335</v>
      </c>
      <c r="G1926" s="12" t="s">
        <v>392</v>
      </c>
      <c r="H1926" s="15">
        <v>101100</v>
      </c>
      <c r="I1926" s="13">
        <v>50</v>
      </c>
    </row>
    <row r="1927" ht="15.75" spans="6:9">
      <c r="F1927" s="12" t="s">
        <v>6336</v>
      </c>
      <c r="G1927" s="12" t="s">
        <v>391</v>
      </c>
      <c r="H1927" s="15">
        <v>74724</v>
      </c>
      <c r="I1927" s="13">
        <v>50</v>
      </c>
    </row>
    <row r="1928" ht="15.75" spans="6:9">
      <c r="F1928" s="12" t="s">
        <v>6337</v>
      </c>
      <c r="G1928" s="12" t="s">
        <v>391</v>
      </c>
      <c r="H1928" s="15">
        <v>11095</v>
      </c>
      <c r="I1928" s="13">
        <v>50</v>
      </c>
    </row>
    <row r="1929" ht="15.75" spans="6:9">
      <c r="F1929" s="12" t="s">
        <v>6338</v>
      </c>
      <c r="G1929" s="12" t="s">
        <v>391</v>
      </c>
      <c r="H1929" s="15">
        <v>19613</v>
      </c>
      <c r="I1929" s="13">
        <v>50</v>
      </c>
    </row>
    <row r="1930" ht="15.75" spans="6:9">
      <c r="F1930" s="12" t="s">
        <v>6339</v>
      </c>
      <c r="G1930" s="12" t="s">
        <v>391</v>
      </c>
      <c r="H1930" s="15">
        <v>19955</v>
      </c>
      <c r="I1930" s="13">
        <v>50</v>
      </c>
    </row>
    <row r="1931" ht="15.75" spans="6:9">
      <c r="F1931" s="12" t="s">
        <v>6340</v>
      </c>
      <c r="G1931" s="12" t="s">
        <v>391</v>
      </c>
      <c r="H1931" s="15">
        <v>11473</v>
      </c>
      <c r="I1931" s="13">
        <v>50</v>
      </c>
    </row>
    <row r="1932" ht="15.75" spans="6:9">
      <c r="F1932" s="12" t="s">
        <v>6341</v>
      </c>
      <c r="G1932" s="12" t="s">
        <v>392</v>
      </c>
      <c r="H1932" s="15">
        <v>94100</v>
      </c>
      <c r="I1932" s="13">
        <v>50</v>
      </c>
    </row>
    <row r="1933" ht="15.75" spans="6:9">
      <c r="F1933" s="12" t="s">
        <v>6342</v>
      </c>
      <c r="G1933" s="12" t="s">
        <v>392</v>
      </c>
      <c r="H1933" s="15">
        <v>31900</v>
      </c>
      <c r="I1933" s="13">
        <v>50</v>
      </c>
    </row>
    <row r="1934" ht="15.75" spans="6:9">
      <c r="F1934" s="12" t="s">
        <v>6343</v>
      </c>
      <c r="G1934" s="12" t="s">
        <v>392</v>
      </c>
      <c r="H1934" s="15">
        <v>34600</v>
      </c>
      <c r="I1934" s="13">
        <v>50</v>
      </c>
    </row>
    <row r="1935" ht="15.75" spans="6:9">
      <c r="F1935" s="12" t="s">
        <v>6344</v>
      </c>
      <c r="G1935" s="12" t="s">
        <v>392</v>
      </c>
      <c r="H1935" s="15">
        <v>26200</v>
      </c>
      <c r="I1935" s="13">
        <v>50</v>
      </c>
    </row>
    <row r="1936" ht="15.75" spans="6:9">
      <c r="F1936" s="12" t="s">
        <v>6345</v>
      </c>
      <c r="G1936" s="12" t="s">
        <v>392</v>
      </c>
      <c r="H1936" s="15">
        <v>17600</v>
      </c>
      <c r="I1936" s="13">
        <v>50</v>
      </c>
    </row>
    <row r="1937" ht="15.75" spans="6:9">
      <c r="F1937" s="12" t="s">
        <v>6346</v>
      </c>
      <c r="G1937" s="12" t="s">
        <v>392</v>
      </c>
      <c r="H1937" s="15">
        <v>261100</v>
      </c>
      <c r="I1937" s="13">
        <v>50</v>
      </c>
    </row>
    <row r="1938" ht="15.75" spans="6:9">
      <c r="F1938" s="12" t="s">
        <v>6347</v>
      </c>
      <c r="G1938" s="12" t="s">
        <v>391</v>
      </c>
      <c r="H1938" s="15">
        <v>14494</v>
      </c>
      <c r="I1938" s="13">
        <v>50</v>
      </c>
    </row>
    <row r="1939" ht="15.75" spans="6:9">
      <c r="F1939" s="12" t="s">
        <v>4397</v>
      </c>
      <c r="G1939" s="12" t="s">
        <v>391</v>
      </c>
      <c r="H1939" s="15">
        <v>11636</v>
      </c>
      <c r="I1939" s="13">
        <v>50</v>
      </c>
    </row>
    <row r="1940" ht="15.75" spans="6:9">
      <c r="F1940" s="12" t="s">
        <v>4400</v>
      </c>
      <c r="G1940" s="12" t="s">
        <v>391</v>
      </c>
      <c r="H1940" s="15">
        <v>20698</v>
      </c>
      <c r="I1940" s="13">
        <v>50</v>
      </c>
    </row>
    <row r="1941" ht="15.75" spans="6:9">
      <c r="F1941" s="12" t="s">
        <v>6348</v>
      </c>
      <c r="G1941" s="12" t="s">
        <v>392</v>
      </c>
      <c r="H1941" s="15">
        <v>17200</v>
      </c>
      <c r="I1941" s="13">
        <v>50</v>
      </c>
    </row>
    <row r="1942" ht="15.75" spans="6:9">
      <c r="F1942" s="12" t="s">
        <v>6349</v>
      </c>
      <c r="G1942" s="12" t="s">
        <v>392</v>
      </c>
      <c r="H1942" s="15">
        <v>17700</v>
      </c>
      <c r="I1942" s="13">
        <v>50</v>
      </c>
    </row>
    <row r="1943" ht="15.75" spans="6:9">
      <c r="F1943" s="12" t="s">
        <v>6350</v>
      </c>
      <c r="G1943" s="12" t="s">
        <v>392</v>
      </c>
      <c r="H1943" s="15">
        <v>1200000</v>
      </c>
      <c r="I1943" s="13">
        <v>50</v>
      </c>
    </row>
    <row r="1944" ht="15.75" spans="6:9">
      <c r="F1944" s="12" t="s">
        <v>6351</v>
      </c>
      <c r="G1944" s="12" t="s">
        <v>392</v>
      </c>
      <c r="H1944" s="15">
        <v>170100</v>
      </c>
      <c r="I1944" s="13">
        <v>50</v>
      </c>
    </row>
    <row r="1945" ht="15.75" spans="6:9">
      <c r="F1945" s="12" t="s">
        <v>4403</v>
      </c>
      <c r="G1945" s="12" t="s">
        <v>391</v>
      </c>
      <c r="H1945" s="15">
        <v>14990</v>
      </c>
      <c r="I1945" s="13">
        <v>50</v>
      </c>
    </row>
    <row r="1946" ht="15.75" spans="6:9">
      <c r="F1946" s="12" t="s">
        <v>6352</v>
      </c>
      <c r="G1946" s="12" t="s">
        <v>392</v>
      </c>
      <c r="H1946" s="15">
        <v>212300</v>
      </c>
      <c r="I1946" s="13">
        <v>50</v>
      </c>
    </row>
    <row r="1947" ht="15.75" spans="6:9">
      <c r="F1947" s="12" t="s">
        <v>6353</v>
      </c>
      <c r="G1947" s="12" t="s">
        <v>391</v>
      </c>
      <c r="H1947" s="15">
        <v>41555</v>
      </c>
      <c r="I1947" s="13">
        <v>50</v>
      </c>
    </row>
    <row r="1948" ht="15.75" spans="6:9">
      <c r="F1948" s="12" t="s">
        <v>6354</v>
      </c>
      <c r="G1948" s="12" t="s">
        <v>392</v>
      </c>
      <c r="H1948" s="15">
        <v>61800</v>
      </c>
      <c r="I1948" s="13">
        <v>50</v>
      </c>
    </row>
    <row r="1949" ht="15.75" spans="6:9">
      <c r="F1949" s="12" t="s">
        <v>4406</v>
      </c>
      <c r="G1949" s="12" t="s">
        <v>391</v>
      </c>
      <c r="H1949" s="15">
        <v>11687</v>
      </c>
      <c r="I1949" s="13">
        <v>50</v>
      </c>
    </row>
    <row r="1950" ht="15.75" spans="6:9">
      <c r="F1950" s="12" t="s">
        <v>6355</v>
      </c>
      <c r="G1950" s="12" t="s">
        <v>392</v>
      </c>
      <c r="H1950" s="15">
        <v>12800</v>
      </c>
      <c r="I1950" s="13">
        <v>50</v>
      </c>
    </row>
    <row r="1951" ht="15.75" spans="6:9">
      <c r="F1951" s="12" t="s">
        <v>6356</v>
      </c>
      <c r="G1951" s="12" t="s">
        <v>392</v>
      </c>
      <c r="H1951" s="15">
        <v>68200</v>
      </c>
      <c r="I1951" s="13">
        <v>50</v>
      </c>
    </row>
    <row r="1952" ht="15.75" spans="6:9">
      <c r="F1952" s="12" t="s">
        <v>6357</v>
      </c>
      <c r="G1952" s="12" t="s">
        <v>392</v>
      </c>
      <c r="H1952" s="15">
        <v>17500</v>
      </c>
      <c r="I1952" s="13">
        <v>50</v>
      </c>
    </row>
    <row r="1953" ht="15.75" spans="6:9">
      <c r="F1953" s="12" t="s">
        <v>4409</v>
      </c>
      <c r="G1953" s="12" t="s">
        <v>391</v>
      </c>
      <c r="H1953" s="15">
        <v>20655</v>
      </c>
      <c r="I1953" s="13">
        <v>50</v>
      </c>
    </row>
    <row r="1954" ht="15.75" spans="6:9">
      <c r="F1954" s="12" t="s">
        <v>6358</v>
      </c>
      <c r="G1954" s="12" t="s">
        <v>391</v>
      </c>
      <c r="H1954" s="15">
        <v>48120</v>
      </c>
      <c r="I1954" s="13">
        <v>50</v>
      </c>
    </row>
    <row r="1955" ht="15.75" spans="6:9">
      <c r="F1955" s="12" t="s">
        <v>6359</v>
      </c>
      <c r="G1955" s="12" t="s">
        <v>392</v>
      </c>
      <c r="H1955" s="15">
        <v>20800</v>
      </c>
      <c r="I1955" s="13">
        <v>50</v>
      </c>
    </row>
    <row r="1956" ht="15.75" spans="6:9">
      <c r="F1956" s="12" t="s">
        <v>4412</v>
      </c>
      <c r="G1956" s="12" t="s">
        <v>391</v>
      </c>
      <c r="H1956" s="15">
        <v>32719</v>
      </c>
      <c r="I1956" s="13">
        <v>50</v>
      </c>
    </row>
    <row r="1957" ht="15.75" spans="6:9">
      <c r="F1957" s="12" t="s">
        <v>6360</v>
      </c>
      <c r="G1957" s="12" t="s">
        <v>392</v>
      </c>
      <c r="H1957" s="15">
        <v>160800</v>
      </c>
      <c r="I1957" s="13">
        <v>50</v>
      </c>
    </row>
    <row r="1958" ht="15.75" spans="6:9">
      <c r="F1958" s="12" t="s">
        <v>6361</v>
      </c>
      <c r="G1958" s="12" t="s">
        <v>392</v>
      </c>
      <c r="H1958" s="15">
        <v>65300</v>
      </c>
      <c r="I1958" s="13">
        <v>50</v>
      </c>
    </row>
    <row r="1959" ht="15.75" spans="6:9">
      <c r="F1959" s="12" t="s">
        <v>6362</v>
      </c>
      <c r="G1959" s="12" t="s">
        <v>392</v>
      </c>
      <c r="H1959" s="15">
        <v>13900</v>
      </c>
      <c r="I1959" s="13">
        <v>50</v>
      </c>
    </row>
    <row r="1960" ht="15.75" spans="6:9">
      <c r="F1960" s="12" t="s">
        <v>6363</v>
      </c>
      <c r="G1960" s="12" t="s">
        <v>392</v>
      </c>
      <c r="H1960" s="15">
        <v>37100</v>
      </c>
      <c r="I1960" s="13">
        <v>50</v>
      </c>
    </row>
    <row r="1961" ht="15.75" spans="6:9">
      <c r="F1961" s="12" t="s">
        <v>6364</v>
      </c>
      <c r="G1961" s="12" t="s">
        <v>392</v>
      </c>
      <c r="H1961" s="15">
        <v>49100</v>
      </c>
      <c r="I1961" s="13">
        <v>50</v>
      </c>
    </row>
    <row r="1962" ht="15.75" spans="6:9">
      <c r="F1962" s="12" t="s">
        <v>6365</v>
      </c>
      <c r="G1962" s="12" t="s">
        <v>392</v>
      </c>
      <c r="H1962" s="15">
        <v>1500000</v>
      </c>
      <c r="I1962" s="13">
        <v>50</v>
      </c>
    </row>
    <row r="1963" ht="15.75" spans="6:9">
      <c r="F1963" s="12" t="s">
        <v>4415</v>
      </c>
      <c r="G1963" s="12" t="s">
        <v>391</v>
      </c>
      <c r="H1963" s="15">
        <v>29465</v>
      </c>
      <c r="I1963" s="13">
        <v>50</v>
      </c>
    </row>
    <row r="1964" ht="15.75" spans="6:9">
      <c r="F1964" s="12" t="s">
        <v>6366</v>
      </c>
      <c r="G1964" s="12" t="s">
        <v>392</v>
      </c>
      <c r="H1964" s="15">
        <v>10300</v>
      </c>
      <c r="I1964" s="13">
        <v>50</v>
      </c>
    </row>
    <row r="1965" ht="15.75" spans="6:9">
      <c r="F1965" s="12" t="s">
        <v>6367</v>
      </c>
      <c r="G1965" s="12" t="s">
        <v>392</v>
      </c>
      <c r="H1965" s="15">
        <v>20100</v>
      </c>
      <c r="I1965" s="13">
        <v>50</v>
      </c>
    </row>
    <row r="1966" ht="15.75" spans="6:9">
      <c r="F1966" s="12" t="s">
        <v>6368</v>
      </c>
      <c r="G1966" s="12" t="s">
        <v>392</v>
      </c>
      <c r="H1966" s="15">
        <v>858700</v>
      </c>
      <c r="I1966" s="13">
        <v>50</v>
      </c>
    </row>
    <row r="1967" ht="15.75" spans="6:9">
      <c r="F1967" s="12" t="s">
        <v>6369</v>
      </c>
      <c r="G1967" s="12" t="s">
        <v>391</v>
      </c>
      <c r="H1967" s="15">
        <v>12674</v>
      </c>
      <c r="I1967" s="13">
        <v>50</v>
      </c>
    </row>
    <row r="1968" ht="15.75" spans="6:9">
      <c r="F1968" s="12" t="s">
        <v>6370</v>
      </c>
      <c r="G1968" s="12" t="s">
        <v>392</v>
      </c>
      <c r="H1968" s="15">
        <v>21700</v>
      </c>
      <c r="I1968" s="13">
        <v>50</v>
      </c>
    </row>
    <row r="1969" ht="15.75" spans="6:9">
      <c r="F1969" s="12" t="s">
        <v>6371</v>
      </c>
      <c r="G1969" s="12" t="s">
        <v>392</v>
      </c>
      <c r="H1969" s="15">
        <v>10600</v>
      </c>
      <c r="I1969" s="13">
        <v>50</v>
      </c>
    </row>
    <row r="1970" ht="15.75" spans="6:9">
      <c r="F1970" s="12" t="s">
        <v>6372</v>
      </c>
      <c r="G1970" s="12" t="s">
        <v>392</v>
      </c>
      <c r="H1970" s="15">
        <v>62800</v>
      </c>
      <c r="I1970" s="13">
        <v>50</v>
      </c>
    </row>
    <row r="1971" ht="15.75" spans="6:9">
      <c r="F1971" s="12" t="s">
        <v>6373</v>
      </c>
      <c r="G1971" s="12" t="s">
        <v>391</v>
      </c>
      <c r="H1971" s="15">
        <v>28402</v>
      </c>
      <c r="I1971" s="13">
        <v>50</v>
      </c>
    </row>
    <row r="1972" ht="15.75" spans="6:9">
      <c r="F1972" s="12" t="s">
        <v>6374</v>
      </c>
      <c r="G1972" s="12" t="s">
        <v>391</v>
      </c>
      <c r="H1972" s="15">
        <v>19154</v>
      </c>
      <c r="I1972" s="13">
        <v>50</v>
      </c>
    </row>
    <row r="1973" ht="15.75" spans="6:9">
      <c r="F1973" s="12" t="s">
        <v>6375</v>
      </c>
      <c r="G1973" s="12" t="s">
        <v>392</v>
      </c>
      <c r="H1973" s="15">
        <v>30900</v>
      </c>
      <c r="I1973" s="13">
        <v>50</v>
      </c>
    </row>
    <row r="1974" ht="15.75" spans="6:9">
      <c r="F1974" s="12" t="s">
        <v>6376</v>
      </c>
      <c r="G1974" s="12" t="s">
        <v>392</v>
      </c>
      <c r="H1974" s="15">
        <v>11100</v>
      </c>
      <c r="I1974" s="13">
        <v>50</v>
      </c>
    </row>
    <row r="1975" ht="15.75" spans="6:9">
      <c r="F1975" s="12" t="s">
        <v>6377</v>
      </c>
      <c r="G1975" s="12" t="s">
        <v>392</v>
      </c>
      <c r="H1975" s="15">
        <v>99000</v>
      </c>
      <c r="I1975" s="13">
        <v>50</v>
      </c>
    </row>
    <row r="1976" ht="15.75" spans="6:9">
      <c r="F1976" s="12" t="s">
        <v>6378</v>
      </c>
      <c r="G1976" s="12" t="s">
        <v>392</v>
      </c>
      <c r="H1976" s="15">
        <v>19000</v>
      </c>
      <c r="I1976" s="13">
        <v>50</v>
      </c>
    </row>
    <row r="1977" ht="15.75" spans="6:9">
      <c r="F1977" s="12" t="s">
        <v>6379</v>
      </c>
      <c r="G1977" s="12" t="s">
        <v>392</v>
      </c>
      <c r="H1977" s="15">
        <v>10900</v>
      </c>
      <c r="I1977" s="13">
        <v>50</v>
      </c>
    </row>
    <row r="1978" ht="15.75" spans="6:9">
      <c r="F1978" s="12" t="s">
        <v>6380</v>
      </c>
      <c r="G1978" s="12" t="s">
        <v>392</v>
      </c>
      <c r="H1978" s="15">
        <v>45000</v>
      </c>
      <c r="I1978" s="13">
        <v>50</v>
      </c>
    </row>
    <row r="1979" ht="15.75" spans="6:9">
      <c r="F1979" s="12" t="s">
        <v>6381</v>
      </c>
      <c r="G1979" s="12" t="s">
        <v>392</v>
      </c>
      <c r="H1979" s="15">
        <v>100000</v>
      </c>
      <c r="I1979" s="13">
        <v>50</v>
      </c>
    </row>
    <row r="1980" ht="15.75" spans="6:9">
      <c r="F1980" s="12" t="s">
        <v>6382</v>
      </c>
      <c r="G1980" s="12" t="s">
        <v>392</v>
      </c>
      <c r="H1980" s="15">
        <v>91100</v>
      </c>
      <c r="I1980" s="13">
        <v>50</v>
      </c>
    </row>
    <row r="1981" ht="15.75" spans="6:9">
      <c r="F1981" s="12" t="s">
        <v>4418</v>
      </c>
      <c r="G1981" s="12" t="s">
        <v>391</v>
      </c>
      <c r="H1981" s="15">
        <v>17676</v>
      </c>
      <c r="I1981" s="13">
        <v>50</v>
      </c>
    </row>
    <row r="1982" ht="15.75" spans="6:9">
      <c r="F1982" s="12" t="s">
        <v>6383</v>
      </c>
      <c r="G1982" s="12" t="s">
        <v>392</v>
      </c>
      <c r="H1982" s="15">
        <v>12900</v>
      </c>
      <c r="I1982" s="13">
        <v>50</v>
      </c>
    </row>
    <row r="1983" ht="15.75" spans="6:9">
      <c r="F1983" s="12" t="s">
        <v>6384</v>
      </c>
      <c r="G1983" s="12" t="s">
        <v>392</v>
      </c>
      <c r="H1983" s="15">
        <v>51300</v>
      </c>
      <c r="I1983" s="13">
        <v>50</v>
      </c>
    </row>
    <row r="1984" ht="15.75" spans="6:9">
      <c r="F1984" s="12" t="s">
        <v>6385</v>
      </c>
      <c r="G1984" s="12" t="s">
        <v>391</v>
      </c>
      <c r="H1984" s="15">
        <v>28307</v>
      </c>
      <c r="I1984" s="13">
        <v>50</v>
      </c>
    </row>
    <row r="1985" ht="15.75" spans="6:9">
      <c r="F1985" s="12" t="s">
        <v>6386</v>
      </c>
      <c r="G1985" s="12" t="s">
        <v>392</v>
      </c>
      <c r="H1985" s="15">
        <v>565832</v>
      </c>
      <c r="I1985" s="13">
        <v>50</v>
      </c>
    </row>
    <row r="1986" ht="15.75" spans="6:9">
      <c r="F1986" s="12" t="s">
        <v>6387</v>
      </c>
      <c r="G1986" s="12" t="s">
        <v>392</v>
      </c>
      <c r="H1986" s="15">
        <v>14200</v>
      </c>
      <c r="I1986" s="13">
        <v>50</v>
      </c>
    </row>
    <row r="1987" ht="15.75" spans="6:9">
      <c r="F1987" s="12" t="s">
        <v>6388</v>
      </c>
      <c r="G1987" s="12" t="s">
        <v>392</v>
      </c>
      <c r="H1987" s="15">
        <v>17000</v>
      </c>
      <c r="I1987" s="13">
        <v>50</v>
      </c>
    </row>
    <row r="1988" ht="15.75" spans="6:9">
      <c r="F1988" s="12" t="s">
        <v>6389</v>
      </c>
      <c r="G1988" s="12" t="s">
        <v>391</v>
      </c>
      <c r="H1988" s="15">
        <v>14204</v>
      </c>
      <c r="I1988" s="13">
        <v>50</v>
      </c>
    </row>
    <row r="1989" ht="15.75" spans="6:9">
      <c r="F1989" s="12" t="s">
        <v>6390</v>
      </c>
      <c r="G1989" s="12" t="s">
        <v>391</v>
      </c>
      <c r="H1989" s="15">
        <v>17477</v>
      </c>
      <c r="I1989" s="13">
        <v>50</v>
      </c>
    </row>
    <row r="1990" ht="15.75" spans="6:9">
      <c r="F1990" s="12" t="s">
        <v>6391</v>
      </c>
      <c r="G1990" s="12" t="s">
        <v>392</v>
      </c>
      <c r="H1990" s="15">
        <v>555700</v>
      </c>
      <c r="I1990" s="13">
        <v>50</v>
      </c>
    </row>
    <row r="1991" ht="15.75" spans="6:9">
      <c r="F1991" s="12" t="s">
        <v>6392</v>
      </c>
      <c r="G1991" s="12" t="s">
        <v>392</v>
      </c>
      <c r="H1991" s="15">
        <v>11600</v>
      </c>
      <c r="I1991" s="13">
        <v>50</v>
      </c>
    </row>
    <row r="1992" ht="15.75" spans="6:9">
      <c r="F1992" s="12" t="s">
        <v>4421</v>
      </c>
      <c r="G1992" s="12" t="s">
        <v>391</v>
      </c>
      <c r="H1992" s="15">
        <v>11461</v>
      </c>
      <c r="I1992" s="13">
        <v>50</v>
      </c>
    </row>
    <row r="1993" ht="15.75" spans="6:9">
      <c r="F1993" s="12" t="s">
        <v>6393</v>
      </c>
      <c r="G1993" s="12" t="s">
        <v>391</v>
      </c>
      <c r="H1993" s="15">
        <v>18545</v>
      </c>
      <c r="I1993" s="13">
        <v>50</v>
      </c>
    </row>
    <row r="1994" ht="15.75" spans="6:9">
      <c r="F1994" s="12" t="s">
        <v>6394</v>
      </c>
      <c r="G1994" s="12" t="s">
        <v>392</v>
      </c>
      <c r="H1994" s="15">
        <v>18900</v>
      </c>
      <c r="I1994" s="13">
        <v>50</v>
      </c>
    </row>
    <row r="1995" ht="15.75" spans="6:9">
      <c r="F1995" s="12" t="s">
        <v>6395</v>
      </c>
      <c r="G1995" s="12" t="s">
        <v>392</v>
      </c>
      <c r="H1995" s="15">
        <v>35900</v>
      </c>
      <c r="I1995" s="13">
        <v>50</v>
      </c>
    </row>
    <row r="1996" ht="15.75" spans="6:9">
      <c r="F1996" s="12" t="s">
        <v>4424</v>
      </c>
      <c r="G1996" s="12" t="s">
        <v>391</v>
      </c>
      <c r="H1996" s="15">
        <v>10884</v>
      </c>
      <c r="I1996" s="13">
        <v>50</v>
      </c>
    </row>
    <row r="1997" ht="15.75" spans="6:9">
      <c r="F1997" s="12" t="s">
        <v>6396</v>
      </c>
      <c r="G1997" s="12" t="s">
        <v>392</v>
      </c>
      <c r="H1997" s="15">
        <v>509100</v>
      </c>
      <c r="I1997" s="13">
        <v>50</v>
      </c>
    </row>
    <row r="1998" ht="15.75" spans="6:9">
      <c r="F1998" s="12" t="s">
        <v>4427</v>
      </c>
      <c r="G1998" s="12" t="s">
        <v>391</v>
      </c>
      <c r="H1998" s="15">
        <v>15286</v>
      </c>
      <c r="I1998" s="13">
        <v>50</v>
      </c>
    </row>
    <row r="1999" ht="15.75" spans="6:9">
      <c r="F1999" s="12" t="s">
        <v>6397</v>
      </c>
      <c r="G1999" s="12" t="s">
        <v>391</v>
      </c>
      <c r="H1999" s="15">
        <v>21350</v>
      </c>
      <c r="I1999" s="13">
        <v>50</v>
      </c>
    </row>
    <row r="2000" ht="15.75" spans="6:9">
      <c r="F2000" s="12" t="s">
        <v>6398</v>
      </c>
      <c r="G2000" s="12" t="s">
        <v>392</v>
      </c>
      <c r="H2000" s="15">
        <v>108300</v>
      </c>
      <c r="I2000" s="13">
        <v>50</v>
      </c>
    </row>
    <row r="2001" ht="15.75" spans="6:9">
      <c r="F2001" s="12" t="s">
        <v>4430</v>
      </c>
      <c r="G2001" s="12" t="s">
        <v>391</v>
      </c>
      <c r="H2001" s="15">
        <v>19698</v>
      </c>
      <c r="I2001" s="13">
        <v>50</v>
      </c>
    </row>
    <row r="2002" ht="15.75" spans="6:9">
      <c r="F2002" s="12" t="s">
        <v>6399</v>
      </c>
      <c r="G2002" s="12" t="s">
        <v>391</v>
      </c>
      <c r="H2002" s="15">
        <v>20020</v>
      </c>
      <c r="I2002" s="13">
        <v>50</v>
      </c>
    </row>
    <row r="2003" ht="15.75" spans="6:9">
      <c r="F2003" s="12" t="s">
        <v>6400</v>
      </c>
      <c r="G2003" s="12" t="s">
        <v>392</v>
      </c>
      <c r="H2003" s="15">
        <v>10000</v>
      </c>
      <c r="I2003" s="13">
        <v>50</v>
      </c>
    </row>
    <row r="2004" ht="15.75" spans="6:9">
      <c r="F2004" s="12" t="s">
        <v>6401</v>
      </c>
      <c r="G2004" s="12" t="s">
        <v>392</v>
      </c>
      <c r="H2004" s="15">
        <v>21400</v>
      </c>
      <c r="I2004" s="13">
        <v>50</v>
      </c>
    </row>
    <row r="2005" ht="15.75" spans="6:9">
      <c r="F2005" s="12" t="s">
        <v>4433</v>
      </c>
      <c r="G2005" s="12" t="s">
        <v>391</v>
      </c>
      <c r="H2005" s="15">
        <v>19219</v>
      </c>
      <c r="I2005" s="13">
        <v>50</v>
      </c>
    </row>
    <row r="2006" ht="15.75" spans="6:9">
      <c r="F2006" s="12" t="s">
        <v>6402</v>
      </c>
      <c r="G2006" s="12" t="s">
        <v>391</v>
      </c>
      <c r="H2006" s="15">
        <v>10108</v>
      </c>
      <c r="I2006" s="13">
        <v>50</v>
      </c>
    </row>
    <row r="2007" ht="15.75" spans="6:9">
      <c r="F2007" s="12" t="s">
        <v>6403</v>
      </c>
      <c r="G2007" s="12" t="s">
        <v>392</v>
      </c>
      <c r="H2007" s="15">
        <v>10600</v>
      </c>
      <c r="I2007" s="13">
        <v>50</v>
      </c>
    </row>
    <row r="2008" ht="15.75" spans="6:9">
      <c r="F2008" s="12" t="s">
        <v>6404</v>
      </c>
      <c r="G2008" s="12" t="s">
        <v>392</v>
      </c>
      <c r="H2008" s="15">
        <v>20400</v>
      </c>
      <c r="I2008" s="13">
        <v>50</v>
      </c>
    </row>
    <row r="2009" ht="15.75" spans="6:9">
      <c r="F2009" s="12" t="s">
        <v>6405</v>
      </c>
      <c r="G2009" s="12" t="s">
        <v>392</v>
      </c>
      <c r="H2009" s="15">
        <v>161700</v>
      </c>
      <c r="I2009" s="13">
        <v>50</v>
      </c>
    </row>
    <row r="2010" ht="15.75" spans="6:9">
      <c r="F2010" s="12" t="s">
        <v>6406</v>
      </c>
      <c r="G2010" s="12" t="s">
        <v>391</v>
      </c>
      <c r="H2010" s="15">
        <v>35092</v>
      </c>
      <c r="I2010" s="13">
        <v>50</v>
      </c>
    </row>
    <row r="2011" ht="15.75" spans="6:9">
      <c r="F2011" s="12" t="s">
        <v>6407</v>
      </c>
      <c r="G2011" s="12" t="s">
        <v>391</v>
      </c>
      <c r="H2011" s="15">
        <v>19901</v>
      </c>
      <c r="I2011" s="13">
        <v>50</v>
      </c>
    </row>
    <row r="2012" ht="15.75" spans="6:9">
      <c r="F2012" s="12" t="s">
        <v>6408</v>
      </c>
      <c r="G2012" s="12" t="s">
        <v>392</v>
      </c>
      <c r="H2012" s="15">
        <v>68700</v>
      </c>
      <c r="I2012" s="13">
        <v>50</v>
      </c>
    </row>
    <row r="2013" ht="15.75" spans="6:9">
      <c r="F2013" s="12" t="s">
        <v>6409</v>
      </c>
      <c r="G2013" s="12" t="s">
        <v>392</v>
      </c>
      <c r="H2013" s="15">
        <v>81900</v>
      </c>
      <c r="I2013" s="13">
        <v>50</v>
      </c>
    </row>
    <row r="2014" ht="15.75" spans="6:9">
      <c r="F2014" s="12" t="s">
        <v>6410</v>
      </c>
      <c r="G2014" s="12" t="s">
        <v>391</v>
      </c>
      <c r="H2014" s="15">
        <v>27256</v>
      </c>
      <c r="I2014" s="13">
        <v>50</v>
      </c>
    </row>
    <row r="2015" ht="15.75" spans="6:9">
      <c r="F2015" s="12" t="s">
        <v>6411</v>
      </c>
      <c r="G2015" s="12" t="s">
        <v>392</v>
      </c>
      <c r="H2015" s="15">
        <v>13700</v>
      </c>
      <c r="I2015" s="13">
        <v>50</v>
      </c>
    </row>
    <row r="2016" ht="15.75" spans="6:9">
      <c r="F2016" s="12" t="s">
        <v>6412</v>
      </c>
      <c r="G2016" s="12" t="s">
        <v>392</v>
      </c>
      <c r="H2016" s="15">
        <v>33200</v>
      </c>
      <c r="I2016" s="13">
        <v>50</v>
      </c>
    </row>
    <row r="2017" ht="15.75" spans="6:9">
      <c r="F2017" s="12" t="s">
        <v>6413</v>
      </c>
      <c r="G2017" s="12" t="s">
        <v>392</v>
      </c>
      <c r="H2017" s="15">
        <v>207200</v>
      </c>
      <c r="I2017" s="13">
        <v>50</v>
      </c>
    </row>
    <row r="2018" ht="15.75" spans="6:9">
      <c r="F2018" s="12" t="s">
        <v>4436</v>
      </c>
      <c r="G2018" s="12" t="s">
        <v>391</v>
      </c>
      <c r="H2018" s="15">
        <v>11876</v>
      </c>
      <c r="I2018" s="13">
        <v>50</v>
      </c>
    </row>
    <row r="2019" ht="15.75" spans="6:9">
      <c r="F2019" s="12" t="s">
        <v>6414</v>
      </c>
      <c r="G2019" s="12" t="s">
        <v>392</v>
      </c>
      <c r="H2019" s="15">
        <v>12100</v>
      </c>
      <c r="I2019" s="13">
        <v>50</v>
      </c>
    </row>
    <row r="2020" ht="15.75" spans="6:9">
      <c r="F2020" s="12" t="s">
        <v>6415</v>
      </c>
      <c r="G2020" s="12" t="s">
        <v>392</v>
      </c>
      <c r="H2020" s="15">
        <v>135300</v>
      </c>
      <c r="I2020" s="13">
        <v>50</v>
      </c>
    </row>
    <row r="2021" ht="15.75" spans="6:9">
      <c r="F2021" s="12" t="s">
        <v>6416</v>
      </c>
      <c r="G2021" s="12" t="s">
        <v>392</v>
      </c>
      <c r="H2021" s="15">
        <v>197900</v>
      </c>
      <c r="I2021" s="13">
        <v>50</v>
      </c>
    </row>
    <row r="2022" ht="15.75" spans="6:9">
      <c r="F2022" s="12" t="s">
        <v>6417</v>
      </c>
      <c r="G2022" s="12" t="s">
        <v>391</v>
      </c>
      <c r="H2022" s="15">
        <v>10815</v>
      </c>
      <c r="I2022" s="13">
        <v>50</v>
      </c>
    </row>
    <row r="2023" ht="15.75" spans="6:9">
      <c r="F2023" s="12" t="s">
        <v>6418</v>
      </c>
      <c r="G2023" s="12" t="s">
        <v>392</v>
      </c>
      <c r="H2023" s="15">
        <v>10400</v>
      </c>
      <c r="I2023" s="13">
        <v>50</v>
      </c>
    </row>
    <row r="2024" ht="15.75" spans="6:9">
      <c r="F2024" s="12" t="s">
        <v>6419</v>
      </c>
      <c r="G2024" s="12" t="s">
        <v>392</v>
      </c>
      <c r="H2024" s="15">
        <v>203900</v>
      </c>
      <c r="I2024" s="13">
        <v>50</v>
      </c>
    </row>
    <row r="2025" ht="15.75" spans="6:9">
      <c r="F2025" s="12" t="s">
        <v>4439</v>
      </c>
      <c r="G2025" s="12" t="s">
        <v>391</v>
      </c>
      <c r="H2025" s="15">
        <v>15429</v>
      </c>
      <c r="I2025" s="13">
        <v>50</v>
      </c>
    </row>
    <row r="2026" ht="15.75" spans="6:9">
      <c r="F2026" s="12" t="s">
        <v>6420</v>
      </c>
      <c r="G2026" s="12" t="s">
        <v>391</v>
      </c>
      <c r="H2026" s="15">
        <v>12745</v>
      </c>
      <c r="I2026" s="13">
        <v>50</v>
      </c>
    </row>
    <row r="2027" ht="15.75" spans="6:9">
      <c r="F2027" s="12" t="s">
        <v>4442</v>
      </c>
      <c r="G2027" s="12" t="s">
        <v>391</v>
      </c>
      <c r="H2027" s="15">
        <v>29396</v>
      </c>
      <c r="I2027" s="13">
        <v>50</v>
      </c>
    </row>
    <row r="2028" ht="15.75" spans="6:9">
      <c r="F2028" s="12" t="s">
        <v>6421</v>
      </c>
      <c r="G2028" s="12" t="s">
        <v>392</v>
      </c>
      <c r="H2028" s="15">
        <v>195000</v>
      </c>
      <c r="I2028" s="13">
        <v>50</v>
      </c>
    </row>
    <row r="2029" ht="15.75" spans="6:9">
      <c r="F2029" s="12" t="s">
        <v>6422</v>
      </c>
      <c r="G2029" s="12" t="s">
        <v>392</v>
      </c>
      <c r="H2029" s="15">
        <v>313600</v>
      </c>
      <c r="I2029" s="13">
        <v>50</v>
      </c>
    </row>
    <row r="2030" ht="15.75" spans="6:9">
      <c r="F2030" s="12" t="s">
        <v>6423</v>
      </c>
      <c r="G2030" s="12" t="s">
        <v>392</v>
      </c>
      <c r="H2030" s="15">
        <v>10500</v>
      </c>
      <c r="I2030" s="13">
        <v>50</v>
      </c>
    </row>
    <row r="2031" ht="15.75" spans="6:9">
      <c r="F2031" s="12" t="s">
        <v>6424</v>
      </c>
      <c r="G2031" s="12" t="s">
        <v>391</v>
      </c>
      <c r="H2031" s="15">
        <v>10973</v>
      </c>
      <c r="I2031" s="13">
        <v>50</v>
      </c>
    </row>
    <row r="2032" ht="15.75" spans="6:9">
      <c r="F2032" s="12" t="s">
        <v>4445</v>
      </c>
      <c r="G2032" s="12" t="s">
        <v>391</v>
      </c>
      <c r="H2032" s="15">
        <v>11664</v>
      </c>
      <c r="I2032" s="13">
        <v>50</v>
      </c>
    </row>
    <row r="2033" ht="15.75" spans="6:9">
      <c r="F2033" s="12" t="s">
        <v>6425</v>
      </c>
      <c r="G2033" s="12" t="s">
        <v>391</v>
      </c>
      <c r="H2033" s="15">
        <v>30687</v>
      </c>
      <c r="I2033" s="13">
        <v>50</v>
      </c>
    </row>
    <row r="2034" ht="15.75" spans="6:9">
      <c r="F2034" s="12" t="s">
        <v>4447</v>
      </c>
      <c r="G2034" s="12" t="s">
        <v>391</v>
      </c>
      <c r="H2034" s="15">
        <v>22777</v>
      </c>
      <c r="I2034" s="13">
        <v>50</v>
      </c>
    </row>
    <row r="2035" ht="15.75" spans="6:9">
      <c r="F2035" s="12" t="s">
        <v>4450</v>
      </c>
      <c r="G2035" s="12" t="s">
        <v>391</v>
      </c>
      <c r="H2035" s="15">
        <v>19464</v>
      </c>
      <c r="I2035" s="13">
        <v>50</v>
      </c>
    </row>
    <row r="2036" ht="15.75" spans="6:9">
      <c r="F2036" s="12" t="s">
        <v>6426</v>
      </c>
      <c r="G2036" s="12" t="s">
        <v>392</v>
      </c>
      <c r="H2036" s="15">
        <v>60700</v>
      </c>
      <c r="I2036" s="13">
        <v>50</v>
      </c>
    </row>
    <row r="2037" ht="15.75" spans="6:9">
      <c r="F2037" s="12" t="s">
        <v>6427</v>
      </c>
      <c r="G2037" s="12" t="s">
        <v>392</v>
      </c>
      <c r="H2037" s="15">
        <v>131300</v>
      </c>
      <c r="I2037" s="13">
        <v>50</v>
      </c>
    </row>
    <row r="2038" ht="15.75" spans="6:9">
      <c r="F2038" s="12" t="s">
        <v>6428</v>
      </c>
      <c r="G2038" s="12" t="s">
        <v>392</v>
      </c>
      <c r="H2038" s="15">
        <v>69900</v>
      </c>
      <c r="I2038" s="13">
        <v>50</v>
      </c>
    </row>
    <row r="2039" ht="15.75" spans="6:9">
      <c r="F2039" s="12" t="s">
        <v>6429</v>
      </c>
      <c r="G2039" s="12" t="s">
        <v>391</v>
      </c>
      <c r="H2039" s="15">
        <v>31794</v>
      </c>
      <c r="I2039" s="13">
        <v>50</v>
      </c>
    </row>
    <row r="2040" ht="15.75" spans="6:9">
      <c r="F2040" s="12" t="s">
        <v>6430</v>
      </c>
      <c r="G2040" s="12" t="s">
        <v>392</v>
      </c>
      <c r="H2040" s="15">
        <v>177000</v>
      </c>
      <c r="I2040" s="13">
        <v>50</v>
      </c>
    </row>
    <row r="2041" ht="15.75" spans="6:9">
      <c r="F2041" s="12" t="s">
        <v>6431</v>
      </c>
      <c r="G2041" s="12" t="s">
        <v>392</v>
      </c>
      <c r="H2041" s="15">
        <v>23000</v>
      </c>
      <c r="I2041" s="13">
        <v>50</v>
      </c>
    </row>
    <row r="2042" ht="15.75" spans="6:9">
      <c r="F2042" s="12" t="s">
        <v>6432</v>
      </c>
      <c r="G2042" s="12" t="s">
        <v>392</v>
      </c>
      <c r="H2042" s="15">
        <v>10800</v>
      </c>
      <c r="I2042" s="13">
        <v>50</v>
      </c>
    </row>
    <row r="2043" ht="15.75" spans="6:9">
      <c r="F2043" s="12" t="s">
        <v>6433</v>
      </c>
      <c r="G2043" s="12" t="s">
        <v>392</v>
      </c>
      <c r="H2043" s="15">
        <v>42000</v>
      </c>
      <c r="I2043" s="13">
        <v>50</v>
      </c>
    </row>
    <row r="2044" ht="15.75" spans="6:9">
      <c r="F2044" s="12" t="s">
        <v>6434</v>
      </c>
      <c r="G2044" s="12" t="s">
        <v>392</v>
      </c>
      <c r="H2044" s="15">
        <v>158600</v>
      </c>
      <c r="I2044" s="13">
        <v>50</v>
      </c>
    </row>
    <row r="2045" ht="15.75" spans="6:9">
      <c r="F2045" s="12" t="s">
        <v>6435</v>
      </c>
      <c r="G2045" s="12" t="s">
        <v>391</v>
      </c>
      <c r="H2045" s="15">
        <v>319016</v>
      </c>
      <c r="I2045" s="13">
        <v>50</v>
      </c>
    </row>
    <row r="2046" ht="15.75" spans="6:9">
      <c r="F2046" s="12" t="s">
        <v>4453</v>
      </c>
      <c r="G2046" s="12" t="s">
        <v>391</v>
      </c>
      <c r="H2046" s="15">
        <v>10759</v>
      </c>
      <c r="I2046" s="13">
        <v>50</v>
      </c>
    </row>
    <row r="2047" ht="15.75" spans="6:9">
      <c r="F2047" s="12" t="s">
        <v>6436</v>
      </c>
      <c r="G2047" s="12" t="s">
        <v>392</v>
      </c>
      <c r="H2047" s="15">
        <v>35600</v>
      </c>
      <c r="I2047" s="13">
        <v>50</v>
      </c>
    </row>
    <row r="2048" ht="15.75" spans="6:9">
      <c r="F2048" s="12" t="s">
        <v>6437</v>
      </c>
      <c r="G2048" s="12" t="s">
        <v>392</v>
      </c>
      <c r="H2048" s="15">
        <v>40200</v>
      </c>
      <c r="I2048" s="13">
        <v>50</v>
      </c>
    </row>
    <row r="2049" ht="15.75" spans="6:9">
      <c r="F2049" s="12" t="s">
        <v>4455</v>
      </c>
      <c r="G2049" s="12" t="s">
        <v>391</v>
      </c>
      <c r="H2049" s="15">
        <v>34302</v>
      </c>
      <c r="I2049" s="13">
        <v>50</v>
      </c>
    </row>
    <row r="2050" ht="15.75" spans="6:9">
      <c r="F2050" s="12" t="s">
        <v>6438</v>
      </c>
      <c r="G2050" s="12" t="s">
        <v>392</v>
      </c>
      <c r="H2050" s="15">
        <v>13500</v>
      </c>
      <c r="I2050" s="13">
        <v>50</v>
      </c>
    </row>
    <row r="2051" ht="15.75" spans="6:9">
      <c r="F2051" s="12" t="s">
        <v>3226</v>
      </c>
      <c r="G2051" s="12" t="s">
        <v>391</v>
      </c>
      <c r="H2051" s="15">
        <v>429570</v>
      </c>
      <c r="I2051" s="13">
        <v>50</v>
      </c>
    </row>
    <row r="2052" ht="15.75" spans="6:9">
      <c r="F2052" s="12" t="s">
        <v>6439</v>
      </c>
      <c r="G2052" s="12" t="s">
        <v>392</v>
      </c>
      <c r="H2052" s="15">
        <v>908900</v>
      </c>
      <c r="I2052" s="13">
        <v>50</v>
      </c>
    </row>
    <row r="2053" ht="15.75" spans="6:9">
      <c r="F2053" s="12" t="s">
        <v>6440</v>
      </c>
      <c r="G2053" s="12" t="s">
        <v>391</v>
      </c>
      <c r="H2053" s="15">
        <v>16409</v>
      </c>
      <c r="I2053" s="13">
        <v>50</v>
      </c>
    </row>
    <row r="2054" ht="15.75" spans="6:9">
      <c r="F2054" s="12" t="s">
        <v>6441</v>
      </c>
      <c r="G2054" s="12" t="s">
        <v>392</v>
      </c>
      <c r="H2054" s="15">
        <v>92100</v>
      </c>
      <c r="I2054" s="13">
        <v>50</v>
      </c>
    </row>
    <row r="2055" ht="15.75" spans="6:9">
      <c r="F2055" s="12" t="s">
        <v>6442</v>
      </c>
      <c r="G2055" s="12" t="s">
        <v>391</v>
      </c>
      <c r="H2055" s="15">
        <v>19272</v>
      </c>
      <c r="I2055" s="13">
        <v>50</v>
      </c>
    </row>
    <row r="2056" ht="15.75" spans="6:9">
      <c r="F2056" s="12" t="s">
        <v>6443</v>
      </c>
      <c r="G2056" s="12" t="s">
        <v>391</v>
      </c>
      <c r="H2056" s="15">
        <v>11074</v>
      </c>
      <c r="I2056" s="13">
        <v>50</v>
      </c>
    </row>
    <row r="2057" ht="15.75" spans="6:9">
      <c r="F2057" s="12" t="s">
        <v>6444</v>
      </c>
      <c r="G2057" s="12" t="s">
        <v>392</v>
      </c>
      <c r="H2057" s="15">
        <v>19340</v>
      </c>
      <c r="I2057" s="13">
        <v>50</v>
      </c>
    </row>
    <row r="2058" ht="15.75" spans="6:9">
      <c r="F2058" s="12" t="s">
        <v>6445</v>
      </c>
      <c r="G2058" s="12" t="s">
        <v>392</v>
      </c>
      <c r="H2058" s="15">
        <v>10900</v>
      </c>
      <c r="I2058" s="13">
        <v>50</v>
      </c>
    </row>
    <row r="2059" ht="15.75" spans="6:9">
      <c r="F2059" s="12" t="s">
        <v>6446</v>
      </c>
      <c r="G2059" s="12" t="s">
        <v>391</v>
      </c>
      <c r="H2059" s="15">
        <v>17199</v>
      </c>
      <c r="I2059" s="13">
        <v>50</v>
      </c>
    </row>
    <row r="2060" ht="15.75" spans="6:9">
      <c r="F2060" s="12" t="s">
        <v>6447</v>
      </c>
      <c r="G2060" s="12" t="s">
        <v>392</v>
      </c>
      <c r="H2060" s="15">
        <v>18900</v>
      </c>
      <c r="I2060" s="13">
        <v>50</v>
      </c>
    </row>
    <row r="2061" ht="15.75" spans="6:9">
      <c r="F2061" s="12" t="s">
        <v>6448</v>
      </c>
      <c r="G2061" s="12" t="s">
        <v>391</v>
      </c>
      <c r="H2061" s="15">
        <v>13698</v>
      </c>
      <c r="I2061" s="13">
        <v>50</v>
      </c>
    </row>
    <row r="2062" ht="15.75" spans="6:9">
      <c r="F2062" s="12" t="s">
        <v>6449</v>
      </c>
      <c r="G2062" s="12" t="s">
        <v>391</v>
      </c>
      <c r="H2062" s="15">
        <v>23035</v>
      </c>
      <c r="I2062" s="13">
        <v>50</v>
      </c>
    </row>
    <row r="2063" ht="15.75" spans="6:9">
      <c r="F2063" s="12" t="s">
        <v>6450</v>
      </c>
      <c r="G2063" s="12" t="s">
        <v>392</v>
      </c>
      <c r="H2063" s="15">
        <v>85100</v>
      </c>
      <c r="I2063" s="13">
        <v>50</v>
      </c>
    </row>
    <row r="2064" ht="15.75" spans="6:9">
      <c r="F2064" s="12" t="s">
        <v>6451</v>
      </c>
      <c r="G2064" s="12" t="s">
        <v>392</v>
      </c>
      <c r="H2064" s="15">
        <v>21000</v>
      </c>
      <c r="I2064" s="13">
        <v>50</v>
      </c>
    </row>
    <row r="2065" ht="15.75" spans="6:9">
      <c r="F2065" s="12" t="s">
        <v>6452</v>
      </c>
      <c r="G2065" s="12" t="s">
        <v>392</v>
      </c>
      <c r="H2065" s="15">
        <v>1200000</v>
      </c>
      <c r="I2065" s="13">
        <v>50</v>
      </c>
    </row>
    <row r="2066" ht="15.75" spans="6:9">
      <c r="F2066" s="12" t="s">
        <v>6453</v>
      </c>
      <c r="G2066" s="12" t="s">
        <v>392</v>
      </c>
      <c r="H2066" s="15">
        <v>11600</v>
      </c>
      <c r="I2066" s="13">
        <v>50</v>
      </c>
    </row>
    <row r="2067" ht="15.75" spans="6:9">
      <c r="F2067" s="12" t="s">
        <v>6454</v>
      </c>
      <c r="G2067" s="12" t="s">
        <v>392</v>
      </c>
      <c r="H2067" s="15">
        <v>65500</v>
      </c>
      <c r="I2067" s="13">
        <v>50</v>
      </c>
    </row>
    <row r="2068" ht="15.75" spans="6:9">
      <c r="F2068" s="12" t="s">
        <v>6455</v>
      </c>
      <c r="G2068" s="12" t="s">
        <v>391</v>
      </c>
      <c r="H2068" s="15">
        <v>20717</v>
      </c>
      <c r="I2068" s="13">
        <v>50</v>
      </c>
    </row>
    <row r="2069" ht="15.75" spans="6:9">
      <c r="F2069" s="12" t="s">
        <v>6456</v>
      </c>
      <c r="G2069" s="12" t="s">
        <v>392</v>
      </c>
      <c r="H2069" s="15">
        <v>18100</v>
      </c>
      <c r="I2069" s="13">
        <v>50</v>
      </c>
    </row>
    <row r="2070" ht="15.75" spans="6:9">
      <c r="F2070" s="12" t="s">
        <v>6457</v>
      </c>
      <c r="G2070" s="12" t="s">
        <v>392</v>
      </c>
      <c r="H2070" s="15">
        <v>37200</v>
      </c>
      <c r="I2070" s="13">
        <v>50</v>
      </c>
    </row>
    <row r="2071" ht="15.75" spans="6:9">
      <c r="F2071" s="12" t="s">
        <v>6458</v>
      </c>
      <c r="G2071" s="12" t="s">
        <v>392</v>
      </c>
      <c r="H2071" s="15">
        <v>70800</v>
      </c>
      <c r="I2071" s="13">
        <v>50</v>
      </c>
    </row>
    <row r="2072" ht="15.75" spans="6:9">
      <c r="F2072" s="12" t="s">
        <v>6459</v>
      </c>
      <c r="G2072" s="12" t="s">
        <v>392</v>
      </c>
      <c r="H2072" s="15">
        <v>221800</v>
      </c>
      <c r="I2072" s="13">
        <v>50</v>
      </c>
    </row>
    <row r="2073" ht="15.75" spans="6:9">
      <c r="F2073" s="12" t="s">
        <v>6460</v>
      </c>
      <c r="G2073" s="12" t="s">
        <v>391</v>
      </c>
      <c r="H2073" s="15">
        <v>11461</v>
      </c>
      <c r="I2073" s="13">
        <v>50</v>
      </c>
    </row>
    <row r="2074" ht="15.75" spans="6:9">
      <c r="F2074" s="12" t="s">
        <v>6461</v>
      </c>
      <c r="G2074" s="12" t="s">
        <v>392</v>
      </c>
      <c r="H2074" s="15">
        <v>51500</v>
      </c>
      <c r="I2074" s="13">
        <v>50</v>
      </c>
    </row>
    <row r="2075" ht="15.75" spans="6:9">
      <c r="F2075" s="12" t="s">
        <v>6462</v>
      </c>
      <c r="G2075" s="12" t="s">
        <v>392</v>
      </c>
      <c r="H2075" s="15">
        <v>206300</v>
      </c>
      <c r="I2075" s="13">
        <v>50</v>
      </c>
    </row>
    <row r="2076" ht="15.75" spans="6:9">
      <c r="F2076" s="12" t="s">
        <v>6463</v>
      </c>
      <c r="G2076" s="12" t="s">
        <v>392</v>
      </c>
      <c r="H2076" s="15">
        <v>17700</v>
      </c>
      <c r="I2076" s="13">
        <v>50</v>
      </c>
    </row>
    <row r="2077" ht="15.75" spans="6:9">
      <c r="F2077" s="12" t="s">
        <v>6464</v>
      </c>
      <c r="G2077" s="12" t="s">
        <v>392</v>
      </c>
      <c r="H2077" s="15">
        <v>42000</v>
      </c>
      <c r="I2077" s="13">
        <v>50</v>
      </c>
    </row>
    <row r="2078" ht="15.75" spans="6:9">
      <c r="F2078" s="12" t="s">
        <v>6465</v>
      </c>
      <c r="G2078" s="12" t="s">
        <v>392</v>
      </c>
      <c r="H2078" s="15">
        <v>326900</v>
      </c>
      <c r="I2078" s="13">
        <v>50</v>
      </c>
    </row>
    <row r="2079" ht="15.75" spans="6:9">
      <c r="F2079" s="12" t="s">
        <v>6466</v>
      </c>
      <c r="G2079" s="12" t="s">
        <v>392</v>
      </c>
      <c r="H2079" s="15">
        <v>182800</v>
      </c>
      <c r="I2079" s="13">
        <v>50</v>
      </c>
    </row>
    <row r="2080" ht="15.75" spans="6:9">
      <c r="F2080" s="12" t="s">
        <v>4458</v>
      </c>
      <c r="G2080" s="12" t="s">
        <v>391</v>
      </c>
      <c r="H2080" s="15">
        <v>40287</v>
      </c>
      <c r="I2080" s="13">
        <v>50</v>
      </c>
    </row>
    <row r="2081" ht="15.75" spans="6:9">
      <c r="F2081" s="12" t="s">
        <v>6467</v>
      </c>
      <c r="G2081" s="12" t="s">
        <v>392</v>
      </c>
      <c r="H2081" s="15">
        <v>144500</v>
      </c>
      <c r="I2081" s="13">
        <v>50</v>
      </c>
    </row>
    <row r="2082" ht="15.75" spans="6:9">
      <c r="F2082" s="12" t="s">
        <v>3209</v>
      </c>
      <c r="G2082" s="12" t="s">
        <v>391</v>
      </c>
      <c r="H2082" s="15">
        <v>91319</v>
      </c>
      <c r="I2082" s="13">
        <v>50</v>
      </c>
    </row>
    <row r="2083" ht="15.75" spans="6:9">
      <c r="F2083" s="12" t="s">
        <v>6468</v>
      </c>
      <c r="G2083" s="12" t="s">
        <v>391</v>
      </c>
      <c r="H2083" s="15">
        <v>31872</v>
      </c>
      <c r="I2083" s="13">
        <v>50</v>
      </c>
    </row>
    <row r="2084" ht="15.75" spans="6:9">
      <c r="F2084" s="12" t="s">
        <v>6469</v>
      </c>
      <c r="G2084" s="12" t="s">
        <v>392</v>
      </c>
      <c r="H2084" s="15">
        <v>56800</v>
      </c>
      <c r="I2084" s="13">
        <v>50</v>
      </c>
    </row>
    <row r="2085" ht="15.75" spans="6:9">
      <c r="F2085" s="12" t="s">
        <v>6470</v>
      </c>
      <c r="G2085" s="12" t="s">
        <v>391</v>
      </c>
      <c r="H2085" s="15">
        <v>10969</v>
      </c>
      <c r="I2085" s="13">
        <v>50</v>
      </c>
    </row>
    <row r="2086" ht="15.75" spans="6:9">
      <c r="F2086" s="12" t="s">
        <v>4461</v>
      </c>
      <c r="G2086" s="12" t="s">
        <v>391</v>
      </c>
      <c r="H2086" s="15">
        <v>11803</v>
      </c>
      <c r="I2086" s="13">
        <v>50</v>
      </c>
    </row>
    <row r="2087" ht="15.75" spans="6:9">
      <c r="F2087" s="12" t="s">
        <v>6471</v>
      </c>
      <c r="G2087" s="12" t="s">
        <v>392</v>
      </c>
      <c r="H2087" s="15">
        <v>22100</v>
      </c>
      <c r="I2087" s="13">
        <v>50</v>
      </c>
    </row>
    <row r="2088" ht="15.75" spans="6:9">
      <c r="F2088" s="12" t="s">
        <v>6472</v>
      </c>
      <c r="G2088" s="12" t="s">
        <v>392</v>
      </c>
      <c r="H2088" s="15">
        <v>33500</v>
      </c>
      <c r="I2088" s="13">
        <v>50</v>
      </c>
    </row>
    <row r="2089" ht="15.75" spans="6:9">
      <c r="F2089" s="12" t="s">
        <v>4463</v>
      </c>
      <c r="G2089" s="12" t="s">
        <v>391</v>
      </c>
      <c r="H2089" s="15">
        <v>15003</v>
      </c>
      <c r="I2089" s="13">
        <v>50</v>
      </c>
    </row>
    <row r="2090" ht="15.75" spans="6:9">
      <c r="F2090" s="12" t="s">
        <v>6473</v>
      </c>
      <c r="G2090" s="12" t="s">
        <v>392</v>
      </c>
      <c r="H2090" s="15">
        <v>10900</v>
      </c>
      <c r="I2090" s="13">
        <v>50</v>
      </c>
    </row>
    <row r="2091" ht="15.75" spans="6:9">
      <c r="F2091" s="12" t="s">
        <v>4465</v>
      </c>
      <c r="G2091" s="12" t="s">
        <v>391</v>
      </c>
      <c r="H2091" s="15">
        <v>11040</v>
      </c>
      <c r="I2091" s="13">
        <v>50</v>
      </c>
    </row>
    <row r="2092" ht="15.75" spans="6:9">
      <c r="F2092" s="12" t="s">
        <v>6474</v>
      </c>
      <c r="G2092" s="12" t="s">
        <v>392</v>
      </c>
      <c r="H2092" s="15">
        <v>14200</v>
      </c>
      <c r="I2092" s="13">
        <v>50</v>
      </c>
    </row>
    <row r="2093" ht="15.75" spans="6:9">
      <c r="F2093" s="12" t="s">
        <v>4467</v>
      </c>
      <c r="G2093" s="12" t="s">
        <v>391</v>
      </c>
      <c r="H2093" s="15">
        <v>27842</v>
      </c>
      <c r="I2093" s="13">
        <v>50</v>
      </c>
    </row>
    <row r="2094" ht="15.75" spans="6:9">
      <c r="F2094" s="12" t="s">
        <v>4470</v>
      </c>
      <c r="G2094" s="12" t="s">
        <v>391</v>
      </c>
      <c r="H2094" s="15">
        <v>11018</v>
      </c>
      <c r="I2094" s="13">
        <v>50</v>
      </c>
    </row>
    <row r="2095" ht="15.75" spans="6:9">
      <c r="F2095" s="12" t="s">
        <v>6475</v>
      </c>
      <c r="G2095" s="12" t="s">
        <v>392</v>
      </c>
      <c r="H2095" s="15">
        <v>224800</v>
      </c>
      <c r="I2095" s="13">
        <v>50</v>
      </c>
    </row>
    <row r="2096" ht="15.75" spans="6:9">
      <c r="F2096" s="12" t="s">
        <v>6476</v>
      </c>
      <c r="G2096" s="12" t="s">
        <v>392</v>
      </c>
      <c r="H2096" s="15">
        <v>64800</v>
      </c>
      <c r="I2096" s="13">
        <v>50</v>
      </c>
    </row>
    <row r="2097" ht="15.75" spans="6:9">
      <c r="F2097" s="12" t="s">
        <v>6477</v>
      </c>
      <c r="G2097" s="12" t="s">
        <v>391</v>
      </c>
      <c r="H2097" s="15">
        <v>19423</v>
      </c>
      <c r="I2097" s="13">
        <v>50</v>
      </c>
    </row>
    <row r="2098" ht="15.75" spans="6:9">
      <c r="F2098" s="12" t="s">
        <v>6478</v>
      </c>
      <c r="G2098" s="12" t="s">
        <v>392</v>
      </c>
      <c r="H2098" s="15">
        <v>76600</v>
      </c>
      <c r="I2098" s="13">
        <v>50</v>
      </c>
    </row>
    <row r="2099" ht="15.75" spans="6:9">
      <c r="F2099" s="12" t="s">
        <v>6479</v>
      </c>
      <c r="G2099" s="12" t="s">
        <v>392</v>
      </c>
      <c r="H2099" s="15">
        <v>14600</v>
      </c>
      <c r="I2099" s="13">
        <v>50</v>
      </c>
    </row>
    <row r="2100" ht="15.75" spans="6:9">
      <c r="F2100" s="12" t="s">
        <v>6480</v>
      </c>
      <c r="G2100" s="12" t="s">
        <v>392</v>
      </c>
      <c r="H2100" s="15">
        <v>17600</v>
      </c>
      <c r="I2100" s="13">
        <v>50</v>
      </c>
    </row>
    <row r="2101" ht="15.75" spans="6:9">
      <c r="F2101" s="12" t="s">
        <v>4473</v>
      </c>
      <c r="G2101" s="12" t="s">
        <v>391</v>
      </c>
      <c r="H2101" s="15">
        <v>12683</v>
      </c>
      <c r="I2101" s="13">
        <v>50</v>
      </c>
    </row>
    <row r="2102" ht="15.75" spans="6:9">
      <c r="F2102" s="12" t="s">
        <v>6481</v>
      </c>
      <c r="G2102" s="12" t="s">
        <v>392</v>
      </c>
      <c r="H2102" s="15">
        <v>15500</v>
      </c>
      <c r="I2102" s="13">
        <v>50</v>
      </c>
    </row>
    <row r="2103" ht="15.75" spans="6:9">
      <c r="F2103" s="12" t="s">
        <v>6482</v>
      </c>
      <c r="G2103" s="12" t="s">
        <v>392</v>
      </c>
      <c r="H2103" s="15">
        <v>358600</v>
      </c>
      <c r="I2103" s="13">
        <v>50</v>
      </c>
    </row>
    <row r="2104" ht="15.75" spans="6:9">
      <c r="F2104" s="12" t="s">
        <v>6483</v>
      </c>
      <c r="G2104" s="12" t="s">
        <v>392</v>
      </c>
      <c r="H2104" s="15">
        <v>337100</v>
      </c>
      <c r="I2104" s="13">
        <v>50</v>
      </c>
    </row>
    <row r="2105" ht="15.75" spans="6:9">
      <c r="F2105" s="12" t="s">
        <v>4476</v>
      </c>
      <c r="G2105" s="12" t="s">
        <v>391</v>
      </c>
      <c r="H2105" s="15">
        <v>41145</v>
      </c>
      <c r="I2105" s="13">
        <v>50</v>
      </c>
    </row>
    <row r="2106" ht="15.75" spans="6:9">
      <c r="F2106" s="12" t="s">
        <v>6484</v>
      </c>
      <c r="G2106" s="12" t="s">
        <v>391</v>
      </c>
      <c r="H2106" s="15">
        <v>10361</v>
      </c>
      <c r="I2106" s="13">
        <v>50</v>
      </c>
    </row>
    <row r="2107" ht="15.75" spans="6:9">
      <c r="F2107" s="12" t="s">
        <v>4479</v>
      </c>
      <c r="G2107" s="12" t="s">
        <v>391</v>
      </c>
      <c r="H2107" s="15">
        <v>27576</v>
      </c>
      <c r="I2107" s="13">
        <v>50</v>
      </c>
    </row>
    <row r="2108" ht="15.75" spans="6:9">
      <c r="F2108" s="12" t="s">
        <v>6485</v>
      </c>
      <c r="G2108" s="12" t="s">
        <v>391</v>
      </c>
      <c r="H2108" s="15">
        <v>11275</v>
      </c>
      <c r="I2108" s="13">
        <v>50</v>
      </c>
    </row>
    <row r="2109" ht="15.75" spans="6:9">
      <c r="F2109" s="12" t="s">
        <v>6486</v>
      </c>
      <c r="G2109" s="12" t="s">
        <v>392</v>
      </c>
      <c r="H2109" s="15">
        <v>62100</v>
      </c>
      <c r="I2109" s="13">
        <v>50</v>
      </c>
    </row>
    <row r="2110" ht="15.75" spans="6:9">
      <c r="F2110" s="12" t="s">
        <v>6487</v>
      </c>
      <c r="G2110" s="12" t="s">
        <v>392</v>
      </c>
      <c r="H2110" s="15">
        <v>16800</v>
      </c>
      <c r="I2110" s="13">
        <v>50</v>
      </c>
    </row>
    <row r="2111" ht="15.75" spans="6:9">
      <c r="F2111" s="12" t="s">
        <v>6488</v>
      </c>
      <c r="G2111" s="12" t="s">
        <v>391</v>
      </c>
      <c r="H2111" s="15">
        <v>12944</v>
      </c>
      <c r="I2111" s="13">
        <v>50</v>
      </c>
    </row>
    <row r="2112" ht="15.75" spans="6:9">
      <c r="F2112" s="12" t="s">
        <v>6489</v>
      </c>
      <c r="G2112" s="12" t="s">
        <v>391</v>
      </c>
      <c r="H2112" s="15">
        <v>44268</v>
      </c>
      <c r="I2112" s="13">
        <v>50</v>
      </c>
    </row>
    <row r="2113" ht="15.75" spans="6:9">
      <c r="F2113" s="12" t="s">
        <v>6490</v>
      </c>
      <c r="G2113" s="12" t="s">
        <v>392</v>
      </c>
      <c r="H2113" s="15">
        <v>2083158</v>
      </c>
      <c r="I2113" s="13">
        <v>50</v>
      </c>
    </row>
    <row r="2114" ht="15.75" spans="6:9">
      <c r="F2114" s="12" t="s">
        <v>6491</v>
      </c>
      <c r="G2114" s="12" t="s">
        <v>391</v>
      </c>
      <c r="H2114" s="15">
        <v>11678</v>
      </c>
      <c r="I2114" s="13">
        <v>50</v>
      </c>
    </row>
    <row r="2115" ht="15.75" spans="6:9">
      <c r="F2115" s="12" t="s">
        <v>6492</v>
      </c>
      <c r="G2115" s="12" t="s">
        <v>391</v>
      </c>
      <c r="H2115" s="15">
        <v>13071</v>
      </c>
      <c r="I2115" s="13">
        <v>50</v>
      </c>
    </row>
    <row r="2116" ht="15.75" spans="6:9">
      <c r="F2116" s="12" t="s">
        <v>6493</v>
      </c>
      <c r="G2116" s="12" t="s">
        <v>391</v>
      </c>
      <c r="H2116" s="15">
        <v>16099</v>
      </c>
      <c r="I2116" s="13">
        <v>50</v>
      </c>
    </row>
    <row r="2117" ht="15.75" spans="6:9">
      <c r="F2117" s="12" t="s">
        <v>6494</v>
      </c>
      <c r="G2117" s="12" t="s">
        <v>392</v>
      </c>
      <c r="H2117" s="15">
        <v>12600</v>
      </c>
      <c r="I2117" s="13">
        <v>50</v>
      </c>
    </row>
    <row r="2118" ht="15.75" spans="6:9">
      <c r="F2118" s="12" t="s">
        <v>6495</v>
      </c>
      <c r="G2118" s="12" t="s">
        <v>392</v>
      </c>
      <c r="H2118" s="15">
        <v>18200</v>
      </c>
      <c r="I2118" s="13">
        <v>50</v>
      </c>
    </row>
    <row r="2119" ht="15.75" spans="6:9">
      <c r="F2119" s="12" t="s">
        <v>6496</v>
      </c>
      <c r="G2119" s="12" t="s">
        <v>392</v>
      </c>
      <c r="H2119" s="15">
        <v>19700</v>
      </c>
      <c r="I2119" s="13">
        <v>50</v>
      </c>
    </row>
    <row r="2120" ht="15.75" spans="6:9">
      <c r="F2120" s="12" t="s">
        <v>6497</v>
      </c>
      <c r="G2120" s="12" t="s">
        <v>391</v>
      </c>
      <c r="H2120" s="15">
        <v>18354</v>
      </c>
      <c r="I2120" s="13">
        <v>50</v>
      </c>
    </row>
    <row r="2121" ht="15.75" spans="6:9">
      <c r="F2121" s="12" t="s">
        <v>6498</v>
      </c>
      <c r="G2121" s="12" t="s">
        <v>392</v>
      </c>
      <c r="H2121" s="15">
        <v>12100</v>
      </c>
      <c r="I2121" s="13">
        <v>50</v>
      </c>
    </row>
    <row r="2122" ht="15.75" spans="6:9">
      <c r="F2122" s="12" t="s">
        <v>6499</v>
      </c>
      <c r="G2122" s="12" t="s">
        <v>392</v>
      </c>
      <c r="H2122" s="15">
        <v>2300000</v>
      </c>
      <c r="I2122" s="13">
        <v>50</v>
      </c>
    </row>
    <row r="2123" ht="15.75" spans="6:9">
      <c r="F2123" s="12" t="s">
        <v>6500</v>
      </c>
      <c r="G2123" s="12" t="s">
        <v>391</v>
      </c>
      <c r="H2123" s="15">
        <v>14684</v>
      </c>
      <c r="I2123" s="13">
        <v>50</v>
      </c>
    </row>
    <row r="2124" ht="15.75" spans="6:9">
      <c r="F2124" s="12" t="s">
        <v>6501</v>
      </c>
      <c r="G2124" s="12" t="s">
        <v>391</v>
      </c>
      <c r="H2124" s="15">
        <v>12621</v>
      </c>
      <c r="I2124" s="13">
        <v>50</v>
      </c>
    </row>
    <row r="2125" ht="15.75" spans="6:9">
      <c r="F2125" s="12" t="s">
        <v>6502</v>
      </c>
      <c r="G2125" s="12" t="s">
        <v>392</v>
      </c>
      <c r="H2125" s="15">
        <v>43900</v>
      </c>
      <c r="I2125" s="13">
        <v>50</v>
      </c>
    </row>
    <row r="2126" ht="15.75" spans="6:9">
      <c r="F2126" s="12" t="s">
        <v>4482</v>
      </c>
      <c r="G2126" s="12" t="s">
        <v>391</v>
      </c>
      <c r="H2126" s="15">
        <v>20518</v>
      </c>
      <c r="I2126" s="13">
        <v>50</v>
      </c>
    </row>
    <row r="2127" ht="15.75" spans="6:9">
      <c r="F2127" s="12" t="s">
        <v>6503</v>
      </c>
      <c r="G2127" s="12" t="s">
        <v>391</v>
      </c>
      <c r="H2127" s="15">
        <v>11386</v>
      </c>
      <c r="I2127" s="13">
        <v>50</v>
      </c>
    </row>
    <row r="2128" ht="15.75" spans="6:9">
      <c r="F2128" s="12" t="s">
        <v>6504</v>
      </c>
      <c r="G2128" s="12" t="s">
        <v>391</v>
      </c>
      <c r="H2128" s="15">
        <v>24565</v>
      </c>
      <c r="I2128" s="13">
        <v>50</v>
      </c>
    </row>
    <row r="2129" ht="15.75" spans="6:9">
      <c r="F2129" s="12" t="s">
        <v>6505</v>
      </c>
      <c r="G2129" s="12" t="s">
        <v>391</v>
      </c>
      <c r="H2129" s="15">
        <v>10643</v>
      </c>
      <c r="I2129" s="13">
        <v>50</v>
      </c>
    </row>
    <row r="2130" ht="15.75" spans="6:9">
      <c r="F2130" s="12" t="s">
        <v>4485</v>
      </c>
      <c r="G2130" s="12" t="s">
        <v>391</v>
      </c>
      <c r="H2130" s="15">
        <v>19799</v>
      </c>
      <c r="I2130" s="13">
        <v>50</v>
      </c>
    </row>
    <row r="2131" ht="15.75" spans="6:9">
      <c r="F2131" s="12" t="s">
        <v>4488</v>
      </c>
      <c r="G2131" s="12" t="s">
        <v>391</v>
      </c>
      <c r="H2131" s="15">
        <v>10630</v>
      </c>
      <c r="I2131" s="13">
        <v>50</v>
      </c>
    </row>
    <row r="2132" ht="15.75" spans="6:9">
      <c r="F2132" s="12" t="s">
        <v>6506</v>
      </c>
      <c r="G2132" s="12" t="s">
        <v>392</v>
      </c>
      <c r="H2132" s="15">
        <v>132700</v>
      </c>
      <c r="I2132" s="13">
        <v>50</v>
      </c>
    </row>
    <row r="2133" ht="15.75" spans="6:9">
      <c r="F2133" s="12" t="s">
        <v>6507</v>
      </c>
      <c r="G2133" s="12" t="s">
        <v>392</v>
      </c>
      <c r="H2133" s="15">
        <v>10300</v>
      </c>
      <c r="I2133" s="13">
        <v>50</v>
      </c>
    </row>
    <row r="2134" ht="15.75" spans="6:9">
      <c r="F2134" s="12" t="s">
        <v>6508</v>
      </c>
      <c r="G2134" s="12" t="s">
        <v>391</v>
      </c>
      <c r="H2134" s="15">
        <v>10934</v>
      </c>
      <c r="I2134" s="13">
        <v>50</v>
      </c>
    </row>
    <row r="2135" ht="15.75" spans="6:9">
      <c r="F2135" s="12" t="s">
        <v>6509</v>
      </c>
      <c r="G2135" s="12" t="s">
        <v>392</v>
      </c>
      <c r="H2135" s="15">
        <v>22500</v>
      </c>
      <c r="I2135" s="13">
        <v>50</v>
      </c>
    </row>
    <row r="2136" ht="15.75" spans="6:9">
      <c r="F2136" s="12" t="s">
        <v>6510</v>
      </c>
      <c r="G2136" s="12" t="s">
        <v>392</v>
      </c>
      <c r="H2136" s="15">
        <v>2300000</v>
      </c>
      <c r="I2136" s="13">
        <v>50</v>
      </c>
    </row>
    <row r="2137" ht="15.75" spans="6:9">
      <c r="F2137" s="12" t="s">
        <v>6511</v>
      </c>
      <c r="G2137" s="12" t="s">
        <v>392</v>
      </c>
      <c r="H2137" s="15">
        <v>1600000</v>
      </c>
      <c r="I2137" s="13">
        <v>50</v>
      </c>
    </row>
    <row r="2138" ht="15.75" spans="6:9">
      <c r="F2138" s="12" t="s">
        <v>6512</v>
      </c>
      <c r="G2138" s="12" t="s">
        <v>392</v>
      </c>
      <c r="H2138" s="15">
        <v>33100</v>
      </c>
      <c r="I2138" s="13">
        <v>50</v>
      </c>
    </row>
    <row r="2139" ht="15.75" spans="6:9">
      <c r="F2139" s="12" t="s">
        <v>6513</v>
      </c>
      <c r="G2139" s="12" t="s">
        <v>392</v>
      </c>
      <c r="H2139" s="15">
        <v>1300000</v>
      </c>
      <c r="I2139" s="13">
        <v>50</v>
      </c>
    </row>
    <row r="2140" ht="15.75" spans="6:9">
      <c r="F2140" s="12" t="s">
        <v>6514</v>
      </c>
      <c r="G2140" s="12" t="s">
        <v>392</v>
      </c>
      <c r="H2140" s="15">
        <v>262600</v>
      </c>
      <c r="I2140" s="13">
        <v>50</v>
      </c>
    </row>
    <row r="2141" ht="15.75" spans="6:9">
      <c r="F2141" s="12" t="s">
        <v>6515</v>
      </c>
      <c r="G2141" s="12" t="s">
        <v>392</v>
      </c>
      <c r="H2141" s="15">
        <v>21469</v>
      </c>
      <c r="I2141" s="13">
        <v>50</v>
      </c>
    </row>
    <row r="2142" ht="15.75" spans="6:9">
      <c r="F2142" s="12" t="s">
        <v>6516</v>
      </c>
      <c r="G2142" s="12" t="s">
        <v>392</v>
      </c>
      <c r="H2142" s="15">
        <v>12800</v>
      </c>
      <c r="I2142" s="13">
        <v>50</v>
      </c>
    </row>
    <row r="2143" ht="15.75" spans="6:9">
      <c r="F2143" s="12" t="s">
        <v>6517</v>
      </c>
      <c r="G2143" s="12" t="s">
        <v>391</v>
      </c>
      <c r="H2143" s="15">
        <v>11613</v>
      </c>
      <c r="I2143" s="13">
        <v>50</v>
      </c>
    </row>
    <row r="2144" ht="15.75" spans="6:9">
      <c r="F2144" s="12" t="s">
        <v>6518</v>
      </c>
      <c r="G2144" s="12" t="s">
        <v>392</v>
      </c>
      <c r="H2144" s="15">
        <v>187600</v>
      </c>
      <c r="I2144" s="13">
        <v>50</v>
      </c>
    </row>
    <row r="2145" ht="15.75" spans="6:9">
      <c r="F2145" s="12" t="s">
        <v>4491</v>
      </c>
      <c r="G2145" s="12" t="s">
        <v>391</v>
      </c>
      <c r="H2145" s="15">
        <v>10667</v>
      </c>
      <c r="I2145" s="13">
        <v>50</v>
      </c>
    </row>
    <row r="2146" ht="15.75" spans="6:9">
      <c r="F2146" s="12" t="s">
        <v>6519</v>
      </c>
      <c r="G2146" s="12" t="s">
        <v>391</v>
      </c>
      <c r="H2146" s="15">
        <v>15292</v>
      </c>
      <c r="I2146" s="13">
        <v>50</v>
      </c>
    </row>
    <row r="2147" ht="15.75" spans="6:9">
      <c r="F2147" s="12" t="s">
        <v>6520</v>
      </c>
      <c r="G2147" s="12" t="s">
        <v>392</v>
      </c>
      <c r="H2147" s="15">
        <v>10500</v>
      </c>
      <c r="I2147" s="13">
        <v>50</v>
      </c>
    </row>
    <row r="2148" ht="15.75" spans="6:9">
      <c r="F2148" s="12" t="s">
        <v>6521</v>
      </c>
      <c r="G2148" s="12" t="s">
        <v>392</v>
      </c>
      <c r="H2148" s="15">
        <v>32200</v>
      </c>
      <c r="I2148" s="13">
        <v>50</v>
      </c>
    </row>
    <row r="2149" ht="15.75" spans="6:9">
      <c r="F2149" s="12" t="s">
        <v>6522</v>
      </c>
      <c r="G2149" s="12" t="s">
        <v>392</v>
      </c>
      <c r="H2149" s="15">
        <v>22900</v>
      </c>
      <c r="I2149" s="13">
        <v>50</v>
      </c>
    </row>
    <row r="2150" ht="15.75" spans="6:9">
      <c r="F2150" s="12" t="s">
        <v>6523</v>
      </c>
      <c r="G2150" s="12" t="s">
        <v>391</v>
      </c>
      <c r="H2150" s="15">
        <v>14160</v>
      </c>
      <c r="I2150" s="13">
        <v>50</v>
      </c>
    </row>
    <row r="2151" ht="15.75" spans="6:9">
      <c r="F2151" s="12" t="s">
        <v>6524</v>
      </c>
      <c r="G2151" s="12" t="s">
        <v>391</v>
      </c>
      <c r="H2151" s="15">
        <v>10140</v>
      </c>
      <c r="I2151" s="13">
        <v>50</v>
      </c>
    </row>
    <row r="2152" ht="15.75" spans="6:9">
      <c r="F2152" s="12" t="s">
        <v>6525</v>
      </c>
      <c r="G2152" s="12" t="s">
        <v>391</v>
      </c>
      <c r="H2152" s="15">
        <v>13409</v>
      </c>
      <c r="I2152" s="13">
        <v>50</v>
      </c>
    </row>
    <row r="2153" ht="15.75" spans="6:9">
      <c r="F2153" s="12" t="s">
        <v>4493</v>
      </c>
      <c r="G2153" s="12" t="s">
        <v>391</v>
      </c>
      <c r="H2153" s="15">
        <v>20005</v>
      </c>
      <c r="I2153" s="13">
        <v>50</v>
      </c>
    </row>
    <row r="2154" ht="15.75" spans="6:9">
      <c r="F2154" s="12" t="s">
        <v>6526</v>
      </c>
      <c r="G2154" s="12" t="s">
        <v>392</v>
      </c>
      <c r="H2154" s="15">
        <v>15800</v>
      </c>
      <c r="I2154" s="13">
        <v>50</v>
      </c>
    </row>
    <row r="2155" ht="15.75" spans="6:9">
      <c r="F2155" s="12" t="s">
        <v>4495</v>
      </c>
      <c r="G2155" s="12" t="s">
        <v>391</v>
      </c>
      <c r="H2155" s="15">
        <v>28995</v>
      </c>
      <c r="I2155" s="13">
        <v>50</v>
      </c>
    </row>
    <row r="2156" ht="15.75" spans="6:9">
      <c r="F2156" s="12" t="s">
        <v>6527</v>
      </c>
      <c r="G2156" s="12" t="s">
        <v>392</v>
      </c>
      <c r="H2156" s="15">
        <v>157200</v>
      </c>
      <c r="I2156" s="13">
        <v>50</v>
      </c>
    </row>
    <row r="2157" ht="15.75" spans="6:9">
      <c r="F2157" s="12" t="s">
        <v>6528</v>
      </c>
      <c r="G2157" s="12" t="s">
        <v>392</v>
      </c>
      <c r="H2157" s="15">
        <v>22800</v>
      </c>
      <c r="I2157" s="13">
        <v>50</v>
      </c>
    </row>
    <row r="2158" ht="15.75" spans="6:9">
      <c r="F2158" s="12" t="s">
        <v>6529</v>
      </c>
      <c r="G2158" s="12" t="s">
        <v>392</v>
      </c>
      <c r="H2158" s="15">
        <v>39900</v>
      </c>
      <c r="I2158" s="13">
        <v>50</v>
      </c>
    </row>
    <row r="2159" ht="15.75" spans="6:9">
      <c r="F2159" s="12" t="s">
        <v>6530</v>
      </c>
      <c r="G2159" s="12" t="s">
        <v>391</v>
      </c>
      <c r="H2159" s="15">
        <v>10334</v>
      </c>
      <c r="I2159" s="13">
        <v>50</v>
      </c>
    </row>
    <row r="2160" ht="15.75" spans="6:9">
      <c r="F2160" s="12" t="s">
        <v>4498</v>
      </c>
      <c r="G2160" s="12" t="s">
        <v>391</v>
      </c>
      <c r="H2160" s="15">
        <v>11068</v>
      </c>
      <c r="I2160" s="13">
        <v>50</v>
      </c>
    </row>
    <row r="2161" ht="15.75" spans="6:9">
      <c r="F2161" s="12" t="s">
        <v>6531</v>
      </c>
      <c r="G2161" s="12" t="s">
        <v>391</v>
      </c>
      <c r="H2161" s="15">
        <v>16567</v>
      </c>
      <c r="I2161" s="13">
        <v>50</v>
      </c>
    </row>
    <row r="2162" ht="15.75" spans="6:9">
      <c r="F2162" s="12" t="s">
        <v>6532</v>
      </c>
      <c r="G2162" s="12" t="s">
        <v>391</v>
      </c>
      <c r="H2162" s="15">
        <v>10504</v>
      </c>
      <c r="I2162" s="13">
        <v>50</v>
      </c>
    </row>
    <row r="2163" ht="15.75" spans="6:9">
      <c r="F2163" s="12" t="s">
        <v>6533</v>
      </c>
      <c r="G2163" s="12" t="s">
        <v>392</v>
      </c>
      <c r="H2163" s="15">
        <v>36000</v>
      </c>
      <c r="I2163" s="13">
        <v>50</v>
      </c>
    </row>
    <row r="2164" ht="15.75" spans="6:9">
      <c r="F2164" s="12" t="s">
        <v>4500</v>
      </c>
      <c r="G2164" s="12" t="s">
        <v>391</v>
      </c>
      <c r="H2164" s="15">
        <v>14524</v>
      </c>
      <c r="I2164" s="13">
        <v>50</v>
      </c>
    </row>
    <row r="2165" ht="15.75" spans="6:9">
      <c r="F2165" s="12" t="s">
        <v>4503</v>
      </c>
      <c r="G2165" s="12" t="s">
        <v>391</v>
      </c>
      <c r="H2165" s="15">
        <v>29196</v>
      </c>
      <c r="I2165" s="13">
        <v>50</v>
      </c>
    </row>
    <row r="2166" ht="15.75" spans="6:9">
      <c r="F2166" s="12" t="s">
        <v>6534</v>
      </c>
      <c r="G2166" s="12" t="s">
        <v>392</v>
      </c>
      <c r="H2166" s="15">
        <v>60800</v>
      </c>
      <c r="I2166" s="13">
        <v>50</v>
      </c>
    </row>
    <row r="2167" ht="15.75" spans="6:9">
      <c r="F2167" s="12" t="s">
        <v>4506</v>
      </c>
      <c r="G2167" s="12" t="s">
        <v>391</v>
      </c>
      <c r="H2167" s="15">
        <v>25215</v>
      </c>
      <c r="I2167" s="13">
        <v>50</v>
      </c>
    </row>
    <row r="2168" ht="15.75" spans="6:9">
      <c r="F2168" s="12" t="s">
        <v>6535</v>
      </c>
      <c r="G2168" s="12" t="s">
        <v>392</v>
      </c>
      <c r="H2168" s="15">
        <v>14900</v>
      </c>
      <c r="I2168" s="13">
        <v>50</v>
      </c>
    </row>
    <row r="2169" ht="15.75" spans="6:9">
      <c r="F2169" s="12" t="s">
        <v>4509</v>
      </c>
      <c r="G2169" s="12" t="s">
        <v>391</v>
      </c>
      <c r="H2169" s="15">
        <v>26012</v>
      </c>
      <c r="I2169" s="13">
        <v>50</v>
      </c>
    </row>
    <row r="2170" ht="15.75" spans="6:9">
      <c r="F2170" s="12" t="s">
        <v>4512</v>
      </c>
      <c r="G2170" s="12" t="s">
        <v>391</v>
      </c>
      <c r="H2170" s="15">
        <v>30957</v>
      </c>
      <c r="I2170" s="13">
        <v>50</v>
      </c>
    </row>
    <row r="2171" ht="15.75" spans="6:9">
      <c r="F2171" s="12" t="s">
        <v>6536</v>
      </c>
      <c r="G2171" s="12" t="s">
        <v>392</v>
      </c>
      <c r="H2171" s="15">
        <v>73800</v>
      </c>
      <c r="I2171" s="13">
        <v>50</v>
      </c>
    </row>
    <row r="2172" ht="15.75" spans="6:9">
      <c r="F2172" s="12" t="s">
        <v>4515</v>
      </c>
      <c r="G2172" s="12" t="s">
        <v>391</v>
      </c>
      <c r="H2172" s="15">
        <v>23179</v>
      </c>
      <c r="I2172" s="13">
        <v>50</v>
      </c>
    </row>
    <row r="2173" ht="15.75" spans="6:9">
      <c r="F2173" s="12" t="s">
        <v>6537</v>
      </c>
      <c r="G2173" s="12" t="s">
        <v>392</v>
      </c>
      <c r="H2173" s="15">
        <v>50900</v>
      </c>
      <c r="I2173" s="13">
        <v>50</v>
      </c>
    </row>
    <row r="2174" ht="15.75" spans="6:9">
      <c r="F2174" s="12" t="s">
        <v>6538</v>
      </c>
      <c r="G2174" s="12" t="s">
        <v>392</v>
      </c>
      <c r="H2174" s="15">
        <v>25000</v>
      </c>
      <c r="I2174" s="13">
        <v>50</v>
      </c>
    </row>
    <row r="2175" ht="15.75" spans="6:9">
      <c r="F2175" s="12" t="s">
        <v>6539</v>
      </c>
      <c r="G2175" s="12" t="s">
        <v>391</v>
      </c>
      <c r="H2175" s="15">
        <v>21637</v>
      </c>
      <c r="I2175" s="13">
        <v>50</v>
      </c>
    </row>
    <row r="2176" ht="15.75" spans="6:9">
      <c r="F2176" s="12" t="s">
        <v>6540</v>
      </c>
      <c r="G2176" s="12" t="s">
        <v>392</v>
      </c>
      <c r="H2176" s="15">
        <v>15500</v>
      </c>
      <c r="I2176" s="13">
        <v>50</v>
      </c>
    </row>
    <row r="2177" ht="15.75" spans="6:9">
      <c r="F2177" s="12" t="s">
        <v>6541</v>
      </c>
      <c r="G2177" s="12" t="s">
        <v>391</v>
      </c>
      <c r="H2177" s="15">
        <v>17519</v>
      </c>
      <c r="I2177" s="13">
        <v>50</v>
      </c>
    </row>
    <row r="2178" ht="15.75" spans="6:9">
      <c r="F2178" s="12" t="s">
        <v>6542</v>
      </c>
      <c r="G2178" s="12" t="s">
        <v>392</v>
      </c>
      <c r="H2178" s="15">
        <v>455500</v>
      </c>
      <c r="I2178" s="13">
        <v>50</v>
      </c>
    </row>
    <row r="2179" ht="15.75" spans="6:9">
      <c r="F2179" s="12" t="s">
        <v>6543</v>
      </c>
      <c r="G2179" s="12" t="s">
        <v>391</v>
      </c>
      <c r="H2179" s="15">
        <v>12361</v>
      </c>
      <c r="I2179" s="13">
        <v>50</v>
      </c>
    </row>
    <row r="2180" ht="15.75" spans="6:9">
      <c r="F2180" s="12" t="s">
        <v>6544</v>
      </c>
      <c r="G2180" s="12" t="s">
        <v>391</v>
      </c>
      <c r="H2180" s="15">
        <v>29508</v>
      </c>
      <c r="I2180" s="13">
        <v>50</v>
      </c>
    </row>
    <row r="2181" ht="15.75" spans="6:9">
      <c r="F2181" s="12" t="s">
        <v>6545</v>
      </c>
      <c r="G2181" s="12" t="s">
        <v>391</v>
      </c>
      <c r="H2181" s="15">
        <v>34738</v>
      </c>
      <c r="I2181" s="13">
        <v>50</v>
      </c>
    </row>
    <row r="2182" ht="15.75" spans="6:9">
      <c r="F2182" s="12" t="s">
        <v>6546</v>
      </c>
      <c r="G2182" s="12" t="s">
        <v>392</v>
      </c>
      <c r="H2182" s="15">
        <v>131000</v>
      </c>
      <c r="I2182" s="13">
        <v>50</v>
      </c>
    </row>
    <row r="2183" ht="15.75" spans="6:9">
      <c r="F2183" s="12" t="s">
        <v>6547</v>
      </c>
      <c r="G2183" s="12" t="s">
        <v>392</v>
      </c>
      <c r="H2183" s="15">
        <v>149400</v>
      </c>
      <c r="I2183" s="13">
        <v>50</v>
      </c>
    </row>
    <row r="2184" ht="15.75" spans="6:9">
      <c r="F2184" s="12" t="s">
        <v>6548</v>
      </c>
      <c r="G2184" s="12" t="s">
        <v>392</v>
      </c>
      <c r="H2184" s="15">
        <v>44200</v>
      </c>
      <c r="I2184" s="13">
        <v>50</v>
      </c>
    </row>
    <row r="2185" ht="15.75" spans="6:9">
      <c r="F2185" s="12" t="s">
        <v>4517</v>
      </c>
      <c r="G2185" s="12" t="s">
        <v>391</v>
      </c>
      <c r="H2185" s="15">
        <v>28598</v>
      </c>
      <c r="I2185" s="13">
        <v>50</v>
      </c>
    </row>
    <row r="2186" ht="15.75" spans="6:9">
      <c r="F2186" s="12" t="s">
        <v>6549</v>
      </c>
      <c r="G2186" s="12" t="s">
        <v>392</v>
      </c>
      <c r="H2186" s="15">
        <v>406700</v>
      </c>
      <c r="I2186" s="13">
        <v>50</v>
      </c>
    </row>
    <row r="2187" ht="15.75" spans="6:9">
      <c r="F2187" s="12" t="s">
        <v>6550</v>
      </c>
      <c r="G2187" s="12" t="s">
        <v>391</v>
      </c>
      <c r="H2187" s="15">
        <v>10002</v>
      </c>
      <c r="I2187" s="13">
        <v>50</v>
      </c>
    </row>
    <row r="2188" ht="15.75" spans="6:9">
      <c r="F2188" s="12" t="s">
        <v>4520</v>
      </c>
      <c r="G2188" s="12" t="s">
        <v>391</v>
      </c>
      <c r="H2188" s="15">
        <v>11350</v>
      </c>
      <c r="I2188" s="13">
        <v>50</v>
      </c>
    </row>
    <row r="2189" ht="15.75" spans="6:9">
      <c r="F2189" s="12" t="s">
        <v>6551</v>
      </c>
      <c r="G2189" s="12" t="s">
        <v>392</v>
      </c>
      <c r="H2189" s="15">
        <v>12000</v>
      </c>
      <c r="I2189" s="13">
        <v>50</v>
      </c>
    </row>
    <row r="2190" ht="15.75" spans="6:9">
      <c r="F2190" s="12" t="s">
        <v>6552</v>
      </c>
      <c r="G2190" s="12" t="s">
        <v>391</v>
      </c>
      <c r="H2190" s="15">
        <v>10007</v>
      </c>
      <c r="I2190" s="13">
        <v>50</v>
      </c>
    </row>
    <row r="2191" ht="15.75" spans="6:9">
      <c r="F2191" s="12" t="s">
        <v>4522</v>
      </c>
      <c r="G2191" s="12" t="s">
        <v>391</v>
      </c>
      <c r="H2191" s="15">
        <v>12125</v>
      </c>
      <c r="I2191" s="13">
        <v>50</v>
      </c>
    </row>
    <row r="2192" ht="15.75" spans="6:9">
      <c r="F2192" s="12" t="s">
        <v>6553</v>
      </c>
      <c r="G2192" s="12" t="s">
        <v>391</v>
      </c>
      <c r="H2192" s="15">
        <v>10645</v>
      </c>
      <c r="I2192" s="13">
        <v>50</v>
      </c>
    </row>
    <row r="2193" ht="15.75" spans="6:9">
      <c r="F2193" s="12" t="s">
        <v>6554</v>
      </c>
      <c r="G2193" s="12" t="s">
        <v>392</v>
      </c>
      <c r="H2193" s="15">
        <v>12000</v>
      </c>
      <c r="I2193" s="13">
        <v>50</v>
      </c>
    </row>
    <row r="2194" ht="15.75" spans="6:9">
      <c r="F2194" s="12" t="s">
        <v>6555</v>
      </c>
      <c r="G2194" s="12" t="s">
        <v>392</v>
      </c>
      <c r="H2194" s="15">
        <v>14400</v>
      </c>
      <c r="I2194" s="13">
        <v>50</v>
      </c>
    </row>
    <row r="2195" ht="15.75" spans="6:9">
      <c r="F2195" s="12" t="s">
        <v>6556</v>
      </c>
      <c r="G2195" s="12" t="s">
        <v>392</v>
      </c>
      <c r="H2195" s="15">
        <v>214900</v>
      </c>
      <c r="I2195" s="13">
        <v>50</v>
      </c>
    </row>
    <row r="2196" ht="15.75" spans="6:9">
      <c r="F2196" s="12" t="s">
        <v>4525</v>
      </c>
      <c r="G2196" s="12" t="s">
        <v>391</v>
      </c>
      <c r="H2196" s="15">
        <v>10962</v>
      </c>
      <c r="I2196" s="13">
        <v>50</v>
      </c>
    </row>
    <row r="2197" ht="15.75" spans="6:9">
      <c r="F2197" s="12" t="s">
        <v>6557</v>
      </c>
      <c r="G2197" s="12" t="s">
        <v>392</v>
      </c>
      <c r="H2197" s="15">
        <v>342900</v>
      </c>
      <c r="I2197" s="13">
        <v>50</v>
      </c>
    </row>
    <row r="2198" ht="15.75" spans="6:9">
      <c r="F2198" s="12" t="s">
        <v>6558</v>
      </c>
      <c r="G2198" s="12" t="s">
        <v>392</v>
      </c>
      <c r="H2198" s="15">
        <v>237000</v>
      </c>
      <c r="I2198" s="13">
        <v>50</v>
      </c>
    </row>
    <row r="2199" ht="15.75" spans="6:9">
      <c r="F2199" s="12" t="s">
        <v>6559</v>
      </c>
      <c r="G2199" s="12" t="s">
        <v>392</v>
      </c>
      <c r="H2199" s="15">
        <v>32100</v>
      </c>
      <c r="I2199" s="13">
        <v>50</v>
      </c>
    </row>
    <row r="2200" ht="15.75" spans="6:9">
      <c r="F2200" s="12" t="s">
        <v>4528</v>
      </c>
      <c r="G2200" s="12" t="s">
        <v>391</v>
      </c>
      <c r="H2200" s="15">
        <v>10990</v>
      </c>
      <c r="I2200" s="13">
        <v>50</v>
      </c>
    </row>
    <row r="2201" ht="15.75" spans="6:9">
      <c r="F2201" s="12" t="s">
        <v>6560</v>
      </c>
      <c r="G2201" s="12" t="s">
        <v>392</v>
      </c>
      <c r="H2201" s="15">
        <v>257000</v>
      </c>
      <c r="I2201" s="13">
        <v>50</v>
      </c>
    </row>
    <row r="2202" ht="15.75" spans="6:9">
      <c r="F2202" s="12" t="s">
        <v>6561</v>
      </c>
      <c r="G2202" s="12" t="s">
        <v>391</v>
      </c>
      <c r="H2202" s="15">
        <v>25510</v>
      </c>
      <c r="I2202" s="13">
        <v>50</v>
      </c>
    </row>
    <row r="2203" ht="15.75" spans="6:9">
      <c r="F2203" s="12" t="s">
        <v>6562</v>
      </c>
      <c r="G2203" s="12" t="s">
        <v>392</v>
      </c>
      <c r="H2203" s="15">
        <v>51000</v>
      </c>
      <c r="I2203" s="13">
        <v>50</v>
      </c>
    </row>
    <row r="2204" ht="15.75" spans="6:9">
      <c r="F2204" s="12" t="s">
        <v>4531</v>
      </c>
      <c r="G2204" s="12" t="s">
        <v>391</v>
      </c>
      <c r="H2204" s="15">
        <v>16455</v>
      </c>
      <c r="I2204" s="13">
        <v>50</v>
      </c>
    </row>
    <row r="2205" ht="15.75" spans="6:9">
      <c r="F2205" s="12" t="s">
        <v>6563</v>
      </c>
      <c r="G2205" s="12" t="s">
        <v>392</v>
      </c>
      <c r="H2205" s="15">
        <v>18500</v>
      </c>
      <c r="I2205" s="13">
        <v>50</v>
      </c>
    </row>
    <row r="2206" ht="15.75" spans="6:9">
      <c r="F2206" s="12" t="s">
        <v>6564</v>
      </c>
      <c r="G2206" s="12" t="s">
        <v>392</v>
      </c>
      <c r="H2206" s="15">
        <v>376200</v>
      </c>
      <c r="I2206" s="13">
        <v>50</v>
      </c>
    </row>
    <row r="2207" ht="15.75" spans="6:9">
      <c r="F2207" s="12" t="s">
        <v>6565</v>
      </c>
      <c r="G2207" s="12" t="s">
        <v>391</v>
      </c>
      <c r="H2207" s="15">
        <v>17171</v>
      </c>
      <c r="I2207" s="13">
        <v>50</v>
      </c>
    </row>
    <row r="2208" ht="15.75" spans="6:9">
      <c r="F2208" s="12" t="s">
        <v>6566</v>
      </c>
      <c r="G2208" s="12" t="s">
        <v>392</v>
      </c>
      <c r="H2208" s="15">
        <v>82800</v>
      </c>
      <c r="I2208" s="13">
        <v>50</v>
      </c>
    </row>
    <row r="2209" ht="15.75" spans="6:9">
      <c r="F2209" s="12" t="s">
        <v>6567</v>
      </c>
      <c r="G2209" s="12" t="s">
        <v>391</v>
      </c>
      <c r="H2209" s="15">
        <v>23576</v>
      </c>
      <c r="I2209" s="13">
        <v>50</v>
      </c>
    </row>
    <row r="2210" ht="15.75" spans="6:9">
      <c r="F2210" s="12" t="s">
        <v>6568</v>
      </c>
      <c r="G2210" s="12" t="s">
        <v>392</v>
      </c>
      <c r="H2210" s="15">
        <v>782000</v>
      </c>
      <c r="I2210" s="13">
        <v>50</v>
      </c>
    </row>
    <row r="2211" ht="15.75" spans="6:9">
      <c r="F2211" s="12" t="s">
        <v>6569</v>
      </c>
      <c r="G2211" s="12" t="s">
        <v>392</v>
      </c>
      <c r="H2211" s="15">
        <v>13000</v>
      </c>
      <c r="I2211" s="13">
        <v>50</v>
      </c>
    </row>
    <row r="2212" ht="15.75" spans="6:9">
      <c r="F2212" s="12" t="s">
        <v>4533</v>
      </c>
      <c r="G2212" s="12" t="s">
        <v>391</v>
      </c>
      <c r="H2212" s="15">
        <v>11441</v>
      </c>
      <c r="I2212" s="13">
        <v>50</v>
      </c>
    </row>
    <row r="2213" ht="15.75" spans="6:9">
      <c r="F2213" s="12" t="s">
        <v>6570</v>
      </c>
      <c r="G2213" s="12" t="s">
        <v>392</v>
      </c>
      <c r="H2213" s="15">
        <v>447000</v>
      </c>
      <c r="I2213" s="13">
        <v>50</v>
      </c>
    </row>
    <row r="2214" ht="15.75" spans="6:9">
      <c r="F2214" s="12" t="s">
        <v>6571</v>
      </c>
      <c r="G2214" s="12" t="s">
        <v>392</v>
      </c>
      <c r="H2214" s="15">
        <v>2100000</v>
      </c>
      <c r="I2214" s="13">
        <v>50</v>
      </c>
    </row>
    <row r="2215" ht="15.75" spans="6:9">
      <c r="F2215" s="12" t="s">
        <v>6572</v>
      </c>
      <c r="G2215" s="12" t="s">
        <v>391</v>
      </c>
      <c r="H2215" s="15">
        <v>20558</v>
      </c>
      <c r="I2215" s="13">
        <v>50</v>
      </c>
    </row>
    <row r="2216" ht="15.75" spans="6:9">
      <c r="F2216" s="12" t="s">
        <v>6573</v>
      </c>
      <c r="G2216" s="12" t="s">
        <v>392</v>
      </c>
      <c r="H2216" s="15">
        <v>23000</v>
      </c>
      <c r="I2216" s="13">
        <v>50</v>
      </c>
    </row>
    <row r="2217" ht="15.75" spans="6:9">
      <c r="F2217" s="12" t="s">
        <v>6574</v>
      </c>
      <c r="G2217" s="12" t="s">
        <v>392</v>
      </c>
      <c r="H2217" s="15">
        <v>25300</v>
      </c>
      <c r="I2217" s="13">
        <v>50</v>
      </c>
    </row>
    <row r="2218" ht="15.75" spans="6:9">
      <c r="F2218" s="12" t="s">
        <v>6575</v>
      </c>
      <c r="G2218" s="12" t="s">
        <v>392</v>
      </c>
      <c r="H2218" s="15">
        <v>17900</v>
      </c>
      <c r="I2218" s="13">
        <v>50</v>
      </c>
    </row>
    <row r="2219" ht="15.75" spans="6:9">
      <c r="F2219" s="12" t="s">
        <v>6576</v>
      </c>
      <c r="G2219" s="12" t="s">
        <v>392</v>
      </c>
      <c r="H2219" s="15">
        <v>21400</v>
      </c>
      <c r="I2219" s="13">
        <v>50</v>
      </c>
    </row>
    <row r="2220" ht="15.75" spans="6:9">
      <c r="F2220" s="12" t="s">
        <v>6577</v>
      </c>
      <c r="G2220" s="12" t="s">
        <v>392</v>
      </c>
      <c r="H2220" s="15">
        <v>176400</v>
      </c>
      <c r="I2220" s="13">
        <v>50</v>
      </c>
    </row>
    <row r="2221" ht="15.75" spans="6:9">
      <c r="F2221" s="12" t="s">
        <v>6578</v>
      </c>
      <c r="G2221" s="12" t="s">
        <v>392</v>
      </c>
      <c r="H2221" s="15">
        <v>267200</v>
      </c>
      <c r="I2221" s="13">
        <v>50</v>
      </c>
    </row>
    <row r="2222" ht="15.75" spans="6:9">
      <c r="F2222" s="12" t="s">
        <v>6579</v>
      </c>
      <c r="G2222" s="12" t="s">
        <v>392</v>
      </c>
      <c r="H2222" s="15">
        <v>12600</v>
      </c>
      <c r="I2222" s="13">
        <v>50</v>
      </c>
    </row>
    <row r="2223" ht="15.75" spans="6:9">
      <c r="F2223" s="12" t="s">
        <v>6580</v>
      </c>
      <c r="G2223" s="12" t="s">
        <v>391</v>
      </c>
      <c r="H2223" s="15">
        <v>13774</v>
      </c>
      <c r="I2223" s="13">
        <v>50</v>
      </c>
    </row>
    <row r="2224" ht="15.75" spans="6:9">
      <c r="F2224" s="12" t="s">
        <v>4536</v>
      </c>
      <c r="G2224" s="12" t="s">
        <v>391</v>
      </c>
      <c r="H2224" s="15">
        <v>13058</v>
      </c>
      <c r="I2224" s="13">
        <v>50</v>
      </c>
    </row>
    <row r="2225" ht="15.75" spans="6:9">
      <c r="F2225" s="12" t="s">
        <v>6581</v>
      </c>
      <c r="G2225" s="12" t="s">
        <v>392</v>
      </c>
      <c r="H2225" s="15">
        <v>15300</v>
      </c>
      <c r="I2225" s="13">
        <v>50</v>
      </c>
    </row>
    <row r="2226" ht="15.75" spans="6:9">
      <c r="F2226" s="12" t="s">
        <v>6582</v>
      </c>
      <c r="G2226" s="12" t="s">
        <v>391</v>
      </c>
      <c r="H2226" s="15">
        <v>21867</v>
      </c>
      <c r="I2226" s="13">
        <v>50</v>
      </c>
    </row>
    <row r="2227" ht="15.75" spans="6:9">
      <c r="F2227" s="12" t="s">
        <v>6583</v>
      </c>
      <c r="G2227" s="12" t="s">
        <v>391</v>
      </c>
      <c r="H2227" s="15">
        <v>14412</v>
      </c>
      <c r="I2227" s="13">
        <v>50</v>
      </c>
    </row>
    <row r="2228" ht="15.75" spans="6:9">
      <c r="F2228" s="12" t="s">
        <v>4537</v>
      </c>
      <c r="G2228" s="12" t="s">
        <v>391</v>
      </c>
      <c r="H2228" s="15">
        <v>21254</v>
      </c>
      <c r="I2228" s="13">
        <v>50</v>
      </c>
    </row>
    <row r="2229" ht="15.75" spans="6:9">
      <c r="F2229" s="12" t="s">
        <v>6584</v>
      </c>
      <c r="G2229" s="12" t="s">
        <v>392</v>
      </c>
      <c r="H2229" s="15">
        <v>57200</v>
      </c>
      <c r="I2229" s="13">
        <v>50</v>
      </c>
    </row>
    <row r="2230" ht="15.75" spans="6:9">
      <c r="F2230" s="12" t="s">
        <v>6585</v>
      </c>
      <c r="G2230" s="12" t="s">
        <v>392</v>
      </c>
      <c r="H2230" s="15">
        <v>32000</v>
      </c>
      <c r="I2230" s="13">
        <v>50</v>
      </c>
    </row>
    <row r="2231" ht="15.75" spans="6:9">
      <c r="F2231" s="12" t="s">
        <v>6586</v>
      </c>
      <c r="G2231" s="12" t="s">
        <v>392</v>
      </c>
      <c r="H2231" s="15">
        <v>10600</v>
      </c>
      <c r="I2231" s="13">
        <v>50</v>
      </c>
    </row>
    <row r="2232" ht="15.75" spans="6:9">
      <c r="F2232" s="12" t="s">
        <v>4539</v>
      </c>
      <c r="G2232" s="12" t="s">
        <v>391</v>
      </c>
      <c r="H2232" s="15">
        <v>11261</v>
      </c>
      <c r="I2232" s="13">
        <v>50</v>
      </c>
    </row>
    <row r="2233" ht="15.75" spans="6:9">
      <c r="F2233" s="12" t="s">
        <v>6587</v>
      </c>
      <c r="G2233" s="12" t="s">
        <v>392</v>
      </c>
      <c r="H2233" s="15">
        <v>10200</v>
      </c>
      <c r="I2233" s="13">
        <v>50</v>
      </c>
    </row>
    <row r="2234" ht="15.75" spans="6:9">
      <c r="F2234" s="12" t="s">
        <v>4542</v>
      </c>
      <c r="G2234" s="12" t="s">
        <v>391</v>
      </c>
      <c r="H2234" s="15">
        <v>17627</v>
      </c>
      <c r="I2234" s="13">
        <v>50</v>
      </c>
    </row>
    <row r="2235" ht="15.75" spans="6:9">
      <c r="F2235" s="12" t="s">
        <v>6588</v>
      </c>
      <c r="G2235" s="12" t="s">
        <v>392</v>
      </c>
      <c r="H2235" s="15">
        <v>16800</v>
      </c>
      <c r="I2235" s="13">
        <v>50</v>
      </c>
    </row>
    <row r="2236" ht="15.75" spans="6:9">
      <c r="F2236" s="12" t="s">
        <v>6589</v>
      </c>
      <c r="G2236" s="12" t="s">
        <v>392</v>
      </c>
      <c r="H2236" s="15">
        <v>369200</v>
      </c>
      <c r="I2236" s="13">
        <v>50</v>
      </c>
    </row>
    <row r="2237" ht="15.75" spans="6:9">
      <c r="F2237" s="12" t="s">
        <v>6590</v>
      </c>
      <c r="G2237" s="12" t="s">
        <v>392</v>
      </c>
      <c r="H2237" s="15">
        <v>209600</v>
      </c>
      <c r="I2237" s="13">
        <v>50</v>
      </c>
    </row>
    <row r="2238" ht="15.75" spans="6:9">
      <c r="F2238" s="12" t="s">
        <v>4545</v>
      </c>
      <c r="G2238" s="12" t="s">
        <v>391</v>
      </c>
      <c r="H2238" s="15">
        <v>10113</v>
      </c>
      <c r="I2238" s="13">
        <v>50</v>
      </c>
    </row>
    <row r="2239" ht="15.75" spans="6:9">
      <c r="F2239" s="12" t="s">
        <v>6591</v>
      </c>
      <c r="G2239" s="12" t="s">
        <v>391</v>
      </c>
      <c r="H2239" s="15">
        <v>12079</v>
      </c>
      <c r="I2239" s="13">
        <v>50</v>
      </c>
    </row>
    <row r="2240" ht="15.75" spans="6:9">
      <c r="F2240" s="12" t="s">
        <v>6592</v>
      </c>
      <c r="G2240" s="12" t="s">
        <v>392</v>
      </c>
      <c r="H2240" s="15">
        <v>33200</v>
      </c>
      <c r="I2240" s="13">
        <v>50</v>
      </c>
    </row>
    <row r="2241" ht="15.75" spans="6:9">
      <c r="F2241" s="12" t="s">
        <v>6593</v>
      </c>
      <c r="G2241" s="12" t="s">
        <v>392</v>
      </c>
      <c r="H2241" s="15">
        <v>91500</v>
      </c>
      <c r="I2241" s="13">
        <v>50</v>
      </c>
    </row>
    <row r="2242" ht="15.75" spans="6:9">
      <c r="F2242" s="12" t="s">
        <v>6594</v>
      </c>
      <c r="G2242" s="12" t="s">
        <v>391</v>
      </c>
      <c r="H2242" s="15">
        <v>27282</v>
      </c>
      <c r="I2242" s="13">
        <v>50</v>
      </c>
    </row>
    <row r="2243" ht="15.75" spans="6:9">
      <c r="F2243" s="12" t="s">
        <v>6595</v>
      </c>
      <c r="G2243" s="12" t="s">
        <v>392</v>
      </c>
      <c r="H2243" s="15">
        <v>80200</v>
      </c>
      <c r="I2243" s="13">
        <v>50</v>
      </c>
    </row>
    <row r="2244" ht="15.75" spans="6:9">
      <c r="F2244" s="12" t="s">
        <v>6596</v>
      </c>
      <c r="G2244" s="12" t="s">
        <v>392</v>
      </c>
      <c r="H2244" s="15">
        <v>15800</v>
      </c>
      <c r="I2244" s="13">
        <v>50</v>
      </c>
    </row>
    <row r="2245" ht="15.75" spans="6:9">
      <c r="F2245" s="12" t="s">
        <v>6597</v>
      </c>
      <c r="G2245" s="12" t="s">
        <v>392</v>
      </c>
      <c r="H2245" s="15">
        <v>162700</v>
      </c>
      <c r="I2245" s="13">
        <v>50</v>
      </c>
    </row>
    <row r="2246" ht="15.75" spans="6:9">
      <c r="F2246" s="12" t="s">
        <v>6598</v>
      </c>
      <c r="G2246" s="12" t="s">
        <v>391</v>
      </c>
      <c r="H2246" s="15">
        <v>22808</v>
      </c>
      <c r="I2246" s="13">
        <v>50</v>
      </c>
    </row>
    <row r="2247" ht="15.75" spans="6:9">
      <c r="F2247" s="12" t="s">
        <v>6599</v>
      </c>
      <c r="G2247" s="12" t="s">
        <v>392</v>
      </c>
      <c r="H2247" s="15">
        <v>88500</v>
      </c>
      <c r="I2247" s="13">
        <v>50</v>
      </c>
    </row>
    <row r="2248" ht="15.75" spans="6:9">
      <c r="F2248" s="12" t="s">
        <v>6600</v>
      </c>
      <c r="G2248" s="12" t="s">
        <v>391</v>
      </c>
      <c r="H2248" s="15">
        <v>11302</v>
      </c>
      <c r="I2248" s="13">
        <v>50</v>
      </c>
    </row>
    <row r="2249" ht="15.75" spans="6:9">
      <c r="F2249" s="12" t="s">
        <v>6601</v>
      </c>
      <c r="G2249" s="12" t="s">
        <v>392</v>
      </c>
      <c r="H2249" s="15">
        <v>100600</v>
      </c>
      <c r="I2249" s="13">
        <v>50</v>
      </c>
    </row>
    <row r="2250" ht="15.75" spans="6:9">
      <c r="F2250" s="12" t="s">
        <v>4547</v>
      </c>
      <c r="G2250" s="12" t="s">
        <v>391</v>
      </c>
      <c r="H2250" s="15">
        <v>28371</v>
      </c>
      <c r="I2250" s="13">
        <v>50</v>
      </c>
    </row>
    <row r="2251" ht="15.75" spans="6:9">
      <c r="F2251" s="12" t="s">
        <v>4550</v>
      </c>
      <c r="G2251" s="12" t="s">
        <v>391</v>
      </c>
      <c r="H2251" s="15">
        <v>22459</v>
      </c>
      <c r="I2251" s="13">
        <v>50</v>
      </c>
    </row>
    <row r="2252" ht="15.75" spans="6:9">
      <c r="F2252" s="12" t="s">
        <v>6602</v>
      </c>
      <c r="G2252" s="12" t="s">
        <v>392</v>
      </c>
      <c r="H2252" s="15">
        <v>91200</v>
      </c>
      <c r="I2252" s="13">
        <v>50</v>
      </c>
    </row>
    <row r="2253" ht="15.75" spans="6:9">
      <c r="F2253" s="12" t="s">
        <v>6603</v>
      </c>
      <c r="G2253" s="12" t="s">
        <v>391</v>
      </c>
      <c r="H2253" s="15">
        <v>17180</v>
      </c>
      <c r="I2253" s="13">
        <v>50</v>
      </c>
    </row>
    <row r="2254" ht="15.75" spans="6:9">
      <c r="F2254" s="12" t="s">
        <v>6604</v>
      </c>
      <c r="G2254" s="12" t="s">
        <v>392</v>
      </c>
      <c r="H2254" s="15">
        <v>149000</v>
      </c>
      <c r="I2254" s="13">
        <v>50</v>
      </c>
    </row>
    <row r="2255" ht="15.75" spans="6:9">
      <c r="F2255" s="12" t="s">
        <v>6605</v>
      </c>
      <c r="G2255" s="12" t="s">
        <v>392</v>
      </c>
      <c r="H2255" s="15">
        <v>72400</v>
      </c>
      <c r="I2255" s="13">
        <v>50</v>
      </c>
    </row>
    <row r="2256" ht="15.75" spans="6:9">
      <c r="F2256" s="12" t="s">
        <v>6606</v>
      </c>
      <c r="G2256" s="12" t="s">
        <v>392</v>
      </c>
      <c r="H2256" s="15">
        <v>11700</v>
      </c>
      <c r="I2256" s="13">
        <v>50</v>
      </c>
    </row>
    <row r="2257" ht="15.75" spans="6:9">
      <c r="F2257" s="12" t="s">
        <v>6607</v>
      </c>
      <c r="G2257" s="12" t="s">
        <v>392</v>
      </c>
      <c r="H2257" s="15">
        <v>20900</v>
      </c>
      <c r="I2257" s="13">
        <v>50</v>
      </c>
    </row>
    <row r="2258" ht="15.75" spans="6:9">
      <c r="F2258" s="12" t="s">
        <v>6608</v>
      </c>
      <c r="G2258" s="12" t="s">
        <v>391</v>
      </c>
      <c r="H2258" s="15">
        <v>11981</v>
      </c>
      <c r="I2258" s="13">
        <v>50</v>
      </c>
    </row>
    <row r="2259" ht="15.75" spans="6:9">
      <c r="F2259" s="12" t="s">
        <v>4553</v>
      </c>
      <c r="G2259" s="12" t="s">
        <v>391</v>
      </c>
      <c r="H2259" s="15">
        <v>15375</v>
      </c>
      <c r="I2259" s="13">
        <v>50</v>
      </c>
    </row>
    <row r="2260" ht="15.75" spans="6:9">
      <c r="F2260" s="12" t="s">
        <v>6609</v>
      </c>
      <c r="G2260" s="12" t="s">
        <v>392</v>
      </c>
      <c r="H2260" s="15">
        <v>57100</v>
      </c>
      <c r="I2260" s="13">
        <v>50</v>
      </c>
    </row>
    <row r="2261" ht="15.75" spans="6:9">
      <c r="F2261" s="12" t="s">
        <v>6610</v>
      </c>
      <c r="G2261" s="12" t="s">
        <v>392</v>
      </c>
      <c r="H2261" s="15">
        <v>134100</v>
      </c>
      <c r="I2261" s="13">
        <v>50</v>
      </c>
    </row>
    <row r="2262" ht="15.75" spans="6:9">
      <c r="F2262" s="12" t="s">
        <v>4556</v>
      </c>
      <c r="G2262" s="12" t="s">
        <v>391</v>
      </c>
      <c r="H2262" s="15">
        <v>21038</v>
      </c>
      <c r="I2262" s="13">
        <v>50</v>
      </c>
    </row>
    <row r="2263" ht="15.75" spans="6:9">
      <c r="F2263" s="12" t="s">
        <v>6611</v>
      </c>
      <c r="G2263" s="12" t="s">
        <v>392</v>
      </c>
      <c r="H2263" s="15">
        <v>731800</v>
      </c>
      <c r="I2263" s="13">
        <v>50</v>
      </c>
    </row>
    <row r="2264" ht="15.75" spans="6:9">
      <c r="F2264" s="12" t="s">
        <v>6612</v>
      </c>
      <c r="G2264" s="12" t="s">
        <v>392</v>
      </c>
      <c r="H2264" s="15">
        <v>11000</v>
      </c>
      <c r="I2264" s="13">
        <v>50</v>
      </c>
    </row>
    <row r="2265" ht="15.75" spans="6:9">
      <c r="F2265" s="12" t="s">
        <v>2505</v>
      </c>
      <c r="G2265" s="12" t="s">
        <v>392</v>
      </c>
      <c r="H2265" s="15">
        <v>10664778</v>
      </c>
      <c r="I2265" s="13">
        <v>50</v>
      </c>
    </row>
    <row r="2266" ht="15.75" spans="6:9">
      <c r="F2266" s="12" t="s">
        <v>6613</v>
      </c>
      <c r="G2266" s="12" t="s">
        <v>392</v>
      </c>
      <c r="H2266" s="15">
        <v>58900</v>
      </c>
      <c r="I2266" s="13">
        <v>50</v>
      </c>
    </row>
    <row r="2267" ht="15.75" spans="6:9">
      <c r="F2267" s="12" t="s">
        <v>6614</v>
      </c>
      <c r="G2267" s="12" t="s">
        <v>392</v>
      </c>
      <c r="H2267" s="15">
        <v>67400</v>
      </c>
      <c r="I2267" s="13">
        <v>50</v>
      </c>
    </row>
    <row r="2268" ht="15.75" spans="6:9">
      <c r="F2268" s="12" t="s">
        <v>6615</v>
      </c>
      <c r="G2268" s="12" t="s">
        <v>392</v>
      </c>
      <c r="H2268" s="15">
        <v>766900</v>
      </c>
      <c r="I2268" s="13">
        <v>50</v>
      </c>
    </row>
    <row r="2269" ht="15.75" spans="6:9">
      <c r="F2269" s="12" t="s">
        <v>4558</v>
      </c>
      <c r="G2269" s="12" t="s">
        <v>391</v>
      </c>
      <c r="H2269" s="15">
        <v>13026</v>
      </c>
      <c r="I2269" s="13">
        <v>50</v>
      </c>
    </row>
    <row r="2270" ht="15.75" spans="6:9">
      <c r="F2270" s="12" t="s">
        <v>6616</v>
      </c>
      <c r="G2270" s="12" t="s">
        <v>392</v>
      </c>
      <c r="H2270" s="15">
        <v>28400</v>
      </c>
      <c r="I2270" s="13">
        <v>50</v>
      </c>
    </row>
    <row r="2271" ht="15.75" spans="6:9">
      <c r="F2271" s="12" t="s">
        <v>6617</v>
      </c>
      <c r="G2271" s="12" t="s">
        <v>392</v>
      </c>
      <c r="H2271" s="15">
        <v>22200</v>
      </c>
      <c r="I2271" s="13">
        <v>50</v>
      </c>
    </row>
    <row r="2272" ht="15.75" spans="6:9">
      <c r="F2272" s="12" t="s">
        <v>6618</v>
      </c>
      <c r="G2272" s="12" t="s">
        <v>392</v>
      </c>
      <c r="H2272" s="15">
        <v>1100000</v>
      </c>
      <c r="I2272" s="13">
        <v>50</v>
      </c>
    </row>
    <row r="2273" ht="15.75" spans="6:9">
      <c r="F2273" s="12" t="s">
        <v>6619</v>
      </c>
      <c r="G2273" s="12" t="s">
        <v>392</v>
      </c>
      <c r="H2273" s="15">
        <v>907900</v>
      </c>
      <c r="I2273" s="13">
        <v>50</v>
      </c>
    </row>
    <row r="2274" ht="15.75" spans="6:9">
      <c r="F2274" s="12" t="s">
        <v>6620</v>
      </c>
      <c r="G2274" s="12" t="s">
        <v>392</v>
      </c>
      <c r="H2274" s="15">
        <v>61000</v>
      </c>
      <c r="I2274" s="13">
        <v>50</v>
      </c>
    </row>
    <row r="2275" ht="15.75" spans="6:9">
      <c r="F2275" s="12" t="s">
        <v>6621</v>
      </c>
      <c r="G2275" s="12" t="s">
        <v>391</v>
      </c>
      <c r="H2275" s="15">
        <v>18226</v>
      </c>
      <c r="I2275" s="13">
        <v>50</v>
      </c>
    </row>
    <row r="2276" ht="15.75" spans="6:9">
      <c r="F2276" s="12" t="s">
        <v>4560</v>
      </c>
      <c r="G2276" s="12" t="s">
        <v>391</v>
      </c>
      <c r="H2276" s="15">
        <v>11755</v>
      </c>
      <c r="I2276" s="13">
        <v>50</v>
      </c>
    </row>
    <row r="2277" ht="15.75" spans="6:9">
      <c r="F2277" s="12" t="s">
        <v>6622</v>
      </c>
      <c r="G2277" s="12" t="s">
        <v>392</v>
      </c>
      <c r="H2277" s="15">
        <v>9100000</v>
      </c>
      <c r="I2277" s="13">
        <v>50</v>
      </c>
    </row>
    <row r="2278" ht="15.75" spans="6:9">
      <c r="F2278" s="12" t="s">
        <v>6623</v>
      </c>
      <c r="G2278" s="12" t="s">
        <v>391</v>
      </c>
      <c r="H2278" s="15">
        <v>14244</v>
      </c>
      <c r="I2278" s="13">
        <v>50</v>
      </c>
    </row>
    <row r="2279" ht="15.75" spans="6:9">
      <c r="F2279" s="12" t="s">
        <v>4563</v>
      </c>
      <c r="G2279" s="12" t="s">
        <v>391</v>
      </c>
      <c r="H2279" s="15">
        <v>14100</v>
      </c>
      <c r="I2279" s="13">
        <v>50</v>
      </c>
    </row>
    <row r="2280" ht="15.75" spans="6:9">
      <c r="F2280" s="12" t="s">
        <v>6624</v>
      </c>
      <c r="G2280" s="12" t="s">
        <v>391</v>
      </c>
      <c r="H2280" s="15">
        <v>30026</v>
      </c>
      <c r="I2280" s="13">
        <v>50</v>
      </c>
    </row>
    <row r="2281" ht="15.75" spans="6:9">
      <c r="F2281" s="12" t="s">
        <v>4569</v>
      </c>
      <c r="G2281" s="12" t="s">
        <v>391</v>
      </c>
      <c r="H2281" s="15">
        <v>24709</v>
      </c>
      <c r="I2281" s="13">
        <v>50</v>
      </c>
    </row>
    <row r="2282" ht="15.75" spans="6:9">
      <c r="F2282" s="12" t="s">
        <v>6625</v>
      </c>
      <c r="G2282" s="12" t="s">
        <v>392</v>
      </c>
      <c r="H2282" s="15">
        <v>198100</v>
      </c>
      <c r="I2282" s="13">
        <v>50</v>
      </c>
    </row>
    <row r="2283" ht="15.75" spans="6:9">
      <c r="F2283" s="12" t="s">
        <v>6626</v>
      </c>
      <c r="G2283" s="12" t="s">
        <v>392</v>
      </c>
      <c r="H2283" s="15">
        <v>36600</v>
      </c>
      <c r="I2283" s="13">
        <v>50</v>
      </c>
    </row>
    <row r="2284" ht="15.75" spans="6:9">
      <c r="F2284" s="12" t="s">
        <v>6627</v>
      </c>
      <c r="G2284" s="12" t="s">
        <v>392</v>
      </c>
      <c r="H2284" s="15">
        <v>17700</v>
      </c>
      <c r="I2284" s="13">
        <v>50</v>
      </c>
    </row>
    <row r="2285" ht="15.75" spans="6:9">
      <c r="F2285" s="12" t="s">
        <v>6628</v>
      </c>
      <c r="G2285" s="12" t="s">
        <v>392</v>
      </c>
      <c r="H2285" s="15">
        <v>10600</v>
      </c>
      <c r="I2285" s="13">
        <v>50</v>
      </c>
    </row>
    <row r="2286" ht="15.75" spans="6:9">
      <c r="F2286" s="12" t="s">
        <v>6629</v>
      </c>
      <c r="G2286" s="12" t="s">
        <v>391</v>
      </c>
      <c r="H2286" s="15">
        <v>11490</v>
      </c>
      <c r="I2286" s="13">
        <v>50</v>
      </c>
    </row>
    <row r="2287" ht="15.75" spans="6:9">
      <c r="F2287" s="12" t="s">
        <v>6630</v>
      </c>
      <c r="G2287" s="12" t="s">
        <v>392</v>
      </c>
      <c r="H2287" s="15">
        <v>381300</v>
      </c>
      <c r="I2287" s="13">
        <v>50</v>
      </c>
    </row>
    <row r="2288" ht="15.75" spans="6:9">
      <c r="F2288" s="12" t="s">
        <v>6631</v>
      </c>
      <c r="G2288" s="12" t="s">
        <v>391</v>
      </c>
      <c r="H2288" s="15">
        <v>25633</v>
      </c>
      <c r="I2288" s="13">
        <v>50</v>
      </c>
    </row>
    <row r="2289" ht="15.75" spans="6:9">
      <c r="F2289" s="12" t="s">
        <v>6632</v>
      </c>
      <c r="G2289" s="12" t="s">
        <v>391</v>
      </c>
      <c r="H2289" s="15">
        <v>22435</v>
      </c>
      <c r="I2289" s="13">
        <v>50</v>
      </c>
    </row>
    <row r="2290" ht="15.75" spans="6:9">
      <c r="F2290" s="12" t="s">
        <v>6633</v>
      </c>
      <c r="G2290" s="12" t="s">
        <v>392</v>
      </c>
      <c r="H2290" s="15">
        <v>15600</v>
      </c>
      <c r="I2290" s="13">
        <v>50</v>
      </c>
    </row>
    <row r="2291" ht="15.75" spans="6:9">
      <c r="F2291" s="12" t="s">
        <v>6634</v>
      </c>
      <c r="G2291" s="12" t="s">
        <v>392</v>
      </c>
      <c r="H2291" s="15">
        <v>10700</v>
      </c>
      <c r="I2291" s="13">
        <v>50</v>
      </c>
    </row>
    <row r="2292" ht="15.75" spans="6:9">
      <c r="F2292" s="12" t="s">
        <v>6635</v>
      </c>
      <c r="G2292" s="12" t="s">
        <v>391</v>
      </c>
      <c r="H2292" s="15">
        <v>13401</v>
      </c>
      <c r="I2292" s="13">
        <v>50</v>
      </c>
    </row>
    <row r="2293" ht="15.75" spans="6:9">
      <c r="F2293" s="12" t="s">
        <v>6636</v>
      </c>
      <c r="G2293" s="12" t="s">
        <v>392</v>
      </c>
      <c r="H2293" s="15">
        <v>10000</v>
      </c>
      <c r="I2293" s="13">
        <v>50</v>
      </c>
    </row>
    <row r="2294" ht="15.75" spans="6:9">
      <c r="F2294" s="12" t="s">
        <v>6637</v>
      </c>
      <c r="G2294" s="12" t="s">
        <v>392</v>
      </c>
      <c r="H2294" s="15">
        <v>23600</v>
      </c>
      <c r="I2294" s="13">
        <v>50</v>
      </c>
    </row>
    <row r="2295" ht="15.75" spans="6:9">
      <c r="F2295" s="12" t="s">
        <v>6638</v>
      </c>
      <c r="G2295" s="12" t="s">
        <v>392</v>
      </c>
      <c r="H2295" s="15">
        <v>48400</v>
      </c>
      <c r="I2295" s="13">
        <v>50</v>
      </c>
    </row>
    <row r="2296" ht="15.75" spans="6:9">
      <c r="F2296" s="12" t="s">
        <v>6639</v>
      </c>
      <c r="G2296" s="12" t="s">
        <v>392</v>
      </c>
      <c r="H2296" s="15">
        <v>25600</v>
      </c>
      <c r="I2296" s="13">
        <v>50</v>
      </c>
    </row>
    <row r="2297" ht="15.75" spans="6:9">
      <c r="F2297" s="12" t="s">
        <v>6640</v>
      </c>
      <c r="G2297" s="12" t="s">
        <v>392</v>
      </c>
      <c r="H2297" s="15">
        <v>112300</v>
      </c>
      <c r="I2297" s="13">
        <v>50</v>
      </c>
    </row>
    <row r="2298" ht="15.75" spans="6:9">
      <c r="F2298" s="12" t="s">
        <v>6641</v>
      </c>
      <c r="G2298" s="12" t="s">
        <v>392</v>
      </c>
      <c r="H2298" s="15">
        <v>33000</v>
      </c>
      <c r="I2298" s="13">
        <v>50</v>
      </c>
    </row>
    <row r="2299" ht="15.75" spans="6:9">
      <c r="F2299" s="12" t="s">
        <v>6642</v>
      </c>
      <c r="G2299" s="12" t="s">
        <v>392</v>
      </c>
      <c r="H2299" s="15">
        <v>257900</v>
      </c>
      <c r="I2299" s="13">
        <v>50</v>
      </c>
    </row>
    <row r="2300" ht="15.75" spans="6:9">
      <c r="F2300" s="12" t="s">
        <v>6643</v>
      </c>
      <c r="G2300" s="12" t="s">
        <v>392</v>
      </c>
      <c r="H2300" s="15">
        <v>40800</v>
      </c>
      <c r="I2300" s="13">
        <v>50</v>
      </c>
    </row>
    <row r="2301" ht="15.75" spans="6:9">
      <c r="F2301" s="12" t="s">
        <v>6644</v>
      </c>
      <c r="G2301" s="12" t="s">
        <v>392</v>
      </c>
      <c r="H2301" s="15">
        <v>15300</v>
      </c>
      <c r="I2301" s="13">
        <v>50</v>
      </c>
    </row>
    <row r="2302" ht="15.75" spans="6:9">
      <c r="F2302" s="12" t="s">
        <v>6645</v>
      </c>
      <c r="G2302" s="12" t="s">
        <v>392</v>
      </c>
      <c r="H2302" s="15">
        <v>21700</v>
      </c>
      <c r="I2302" s="13">
        <v>50</v>
      </c>
    </row>
    <row r="2303" ht="15.75" spans="6:9">
      <c r="F2303" s="12" t="s">
        <v>6646</v>
      </c>
      <c r="G2303" s="12" t="s">
        <v>392</v>
      </c>
      <c r="H2303" s="15">
        <v>113400</v>
      </c>
      <c r="I2303" s="13">
        <v>50</v>
      </c>
    </row>
    <row r="2304" ht="15.75" spans="6:9">
      <c r="F2304" s="12" t="s">
        <v>6647</v>
      </c>
      <c r="G2304" s="12" t="s">
        <v>391</v>
      </c>
      <c r="H2304" s="15">
        <v>16441</v>
      </c>
      <c r="I2304" s="13">
        <v>50</v>
      </c>
    </row>
    <row r="2305" ht="15.75" spans="6:9">
      <c r="F2305" s="12" t="s">
        <v>6648</v>
      </c>
      <c r="G2305" s="12" t="s">
        <v>391</v>
      </c>
      <c r="H2305" s="15">
        <v>10404</v>
      </c>
      <c r="I2305" s="13">
        <v>50</v>
      </c>
    </row>
    <row r="2306" ht="15.75" spans="6:9">
      <c r="F2306" s="12" t="s">
        <v>6649</v>
      </c>
      <c r="G2306" s="12" t="s">
        <v>392</v>
      </c>
      <c r="H2306" s="15">
        <v>103200</v>
      </c>
      <c r="I2306" s="13">
        <v>50</v>
      </c>
    </row>
    <row r="2307" ht="15.75" spans="6:9">
      <c r="F2307" s="12" t="s">
        <v>4571</v>
      </c>
      <c r="G2307" s="12" t="s">
        <v>391</v>
      </c>
      <c r="H2307" s="15">
        <v>11459</v>
      </c>
      <c r="I2307" s="13">
        <v>50</v>
      </c>
    </row>
    <row r="2308" ht="15.75" spans="6:9">
      <c r="F2308" s="12" t="s">
        <v>6650</v>
      </c>
      <c r="G2308" s="12" t="s">
        <v>391</v>
      </c>
      <c r="H2308" s="15">
        <v>25825</v>
      </c>
      <c r="I2308" s="13">
        <v>50</v>
      </c>
    </row>
    <row r="2309" ht="15.75" spans="6:9">
      <c r="F2309" s="12" t="s">
        <v>6651</v>
      </c>
      <c r="G2309" s="12" t="s">
        <v>392</v>
      </c>
      <c r="H2309" s="15">
        <v>60400</v>
      </c>
      <c r="I2309" s="13">
        <v>50</v>
      </c>
    </row>
    <row r="2310" ht="15.75" spans="6:9">
      <c r="F2310" s="12" t="s">
        <v>6652</v>
      </c>
      <c r="G2310" s="12" t="s">
        <v>392</v>
      </c>
      <c r="H2310" s="15">
        <v>71200</v>
      </c>
      <c r="I2310" s="13">
        <v>50</v>
      </c>
    </row>
    <row r="2311" ht="15.75" spans="6:9">
      <c r="F2311" s="12" t="s">
        <v>6653</v>
      </c>
      <c r="G2311" s="12" t="s">
        <v>392</v>
      </c>
      <c r="H2311" s="15">
        <v>37900</v>
      </c>
      <c r="I2311" s="13">
        <v>50</v>
      </c>
    </row>
    <row r="2312" ht="15.75" spans="6:9">
      <c r="F2312" s="12" t="s">
        <v>6654</v>
      </c>
      <c r="G2312" s="12" t="s">
        <v>391</v>
      </c>
      <c r="H2312" s="15">
        <v>16584</v>
      </c>
      <c r="I2312" s="13">
        <v>50</v>
      </c>
    </row>
    <row r="2313" ht="15.75" spans="6:9">
      <c r="F2313" s="12" t="s">
        <v>4577</v>
      </c>
      <c r="G2313" s="12" t="s">
        <v>391</v>
      </c>
      <c r="H2313" s="15">
        <v>17438</v>
      </c>
      <c r="I2313" s="13">
        <v>50</v>
      </c>
    </row>
    <row r="2314" ht="15.75" spans="6:9">
      <c r="F2314" s="12" t="s">
        <v>6655</v>
      </c>
      <c r="G2314" s="12" t="s">
        <v>392</v>
      </c>
      <c r="H2314" s="15">
        <v>14300</v>
      </c>
      <c r="I2314" s="13">
        <v>50</v>
      </c>
    </row>
    <row r="2315" ht="15.75" spans="6:9">
      <c r="F2315" s="12" t="s">
        <v>6656</v>
      </c>
      <c r="G2315" s="12" t="s">
        <v>391</v>
      </c>
      <c r="H2315" s="15">
        <v>15129</v>
      </c>
      <c r="I2315" s="13">
        <v>50</v>
      </c>
    </row>
    <row r="2316" ht="15.75" spans="6:9">
      <c r="F2316" s="12" t="s">
        <v>6657</v>
      </c>
      <c r="G2316" s="12" t="s">
        <v>391</v>
      </c>
      <c r="H2316" s="15">
        <v>20206</v>
      </c>
      <c r="I2316" s="13">
        <v>50</v>
      </c>
    </row>
    <row r="2317" ht="15.75" spans="6:9">
      <c r="F2317" s="12" t="s">
        <v>4580</v>
      </c>
      <c r="G2317" s="12" t="s">
        <v>391</v>
      </c>
      <c r="H2317" s="15">
        <v>26228</v>
      </c>
      <c r="I2317" s="13">
        <v>50</v>
      </c>
    </row>
    <row r="2318" ht="15.75" spans="6:9">
      <c r="F2318" s="12" t="s">
        <v>6658</v>
      </c>
      <c r="G2318" s="12" t="s">
        <v>392</v>
      </c>
      <c r="H2318" s="15">
        <v>110800</v>
      </c>
      <c r="I2318" s="13">
        <v>50</v>
      </c>
    </row>
    <row r="2319" ht="15.75" spans="6:9">
      <c r="F2319" s="12" t="s">
        <v>6659</v>
      </c>
      <c r="G2319" s="12" t="s">
        <v>391</v>
      </c>
      <c r="H2319" s="15">
        <v>32522</v>
      </c>
      <c r="I2319" s="13">
        <v>50</v>
      </c>
    </row>
    <row r="2320" ht="15.75" spans="6:9">
      <c r="F2320" s="12" t="s">
        <v>6660</v>
      </c>
      <c r="G2320" s="12" t="s">
        <v>392</v>
      </c>
      <c r="H2320" s="15">
        <v>10500</v>
      </c>
      <c r="I2320" s="13">
        <v>50</v>
      </c>
    </row>
    <row r="2321" ht="15.75" spans="6:9">
      <c r="F2321" s="12" t="s">
        <v>6661</v>
      </c>
      <c r="G2321" s="12" t="s">
        <v>391</v>
      </c>
      <c r="H2321" s="15">
        <v>12595</v>
      </c>
      <c r="I2321" s="13">
        <v>50</v>
      </c>
    </row>
    <row r="2322" ht="15.75" spans="6:9">
      <c r="F2322" s="12" t="s">
        <v>6662</v>
      </c>
      <c r="G2322" s="12" t="s">
        <v>392</v>
      </c>
      <c r="H2322" s="15">
        <v>86500</v>
      </c>
      <c r="I2322" s="13">
        <v>50</v>
      </c>
    </row>
    <row r="2323" ht="15.75" spans="6:9">
      <c r="F2323" s="12" t="s">
        <v>6663</v>
      </c>
      <c r="G2323" s="12" t="s">
        <v>392</v>
      </c>
      <c r="H2323" s="15">
        <v>23000</v>
      </c>
      <c r="I2323" s="13">
        <v>50</v>
      </c>
    </row>
    <row r="2324" ht="15.75" spans="6:9">
      <c r="F2324" s="12" t="s">
        <v>6664</v>
      </c>
      <c r="G2324" s="12" t="s">
        <v>391</v>
      </c>
      <c r="H2324" s="15">
        <v>19101</v>
      </c>
      <c r="I2324" s="13">
        <v>50</v>
      </c>
    </row>
    <row r="2325" ht="15.75" spans="6:9">
      <c r="F2325" s="12" t="s">
        <v>6665</v>
      </c>
      <c r="G2325" s="12" t="s">
        <v>392</v>
      </c>
      <c r="H2325" s="15">
        <v>10600</v>
      </c>
      <c r="I2325" s="13">
        <v>50</v>
      </c>
    </row>
    <row r="2326" ht="15.75" spans="6:9">
      <c r="F2326" s="12" t="s">
        <v>6666</v>
      </c>
      <c r="G2326" s="12" t="s">
        <v>392</v>
      </c>
      <c r="H2326" s="15">
        <v>12800</v>
      </c>
      <c r="I2326" s="13">
        <v>50</v>
      </c>
    </row>
    <row r="2327" ht="15.75" spans="6:9">
      <c r="F2327" s="12" t="s">
        <v>4583</v>
      </c>
      <c r="G2327" s="12" t="s">
        <v>391</v>
      </c>
      <c r="H2327" s="15">
        <v>10908</v>
      </c>
      <c r="I2327" s="13">
        <v>50</v>
      </c>
    </row>
    <row r="2328" ht="15.75" spans="6:9">
      <c r="F2328" s="12" t="s">
        <v>4586</v>
      </c>
      <c r="G2328" s="12" t="s">
        <v>391</v>
      </c>
      <c r="H2328" s="15">
        <v>31536</v>
      </c>
      <c r="I2328" s="13">
        <v>50</v>
      </c>
    </row>
    <row r="2329" ht="15.75" spans="6:9">
      <c r="F2329" s="12" t="s">
        <v>6667</v>
      </c>
      <c r="G2329" s="12" t="s">
        <v>391</v>
      </c>
      <c r="H2329" s="15">
        <v>34238</v>
      </c>
      <c r="I2329" s="13">
        <v>50</v>
      </c>
    </row>
    <row r="2330" ht="15.75" spans="6:9">
      <c r="F2330" s="12" t="s">
        <v>6668</v>
      </c>
      <c r="G2330" s="12" t="s">
        <v>392</v>
      </c>
      <c r="H2330" s="15">
        <v>58500</v>
      </c>
      <c r="I2330" s="13">
        <v>50</v>
      </c>
    </row>
    <row r="2331" ht="15.75" spans="6:9">
      <c r="F2331" s="12" t="s">
        <v>6669</v>
      </c>
      <c r="G2331" s="12" t="s">
        <v>391</v>
      </c>
      <c r="H2331" s="15">
        <v>20097</v>
      </c>
      <c r="I2331" s="13">
        <v>50</v>
      </c>
    </row>
    <row r="2332" ht="15.75" spans="6:9">
      <c r="F2332" s="12" t="s">
        <v>6670</v>
      </c>
      <c r="G2332" s="12" t="s">
        <v>392</v>
      </c>
      <c r="H2332" s="15">
        <v>3757253</v>
      </c>
      <c r="I2332" s="13">
        <v>50</v>
      </c>
    </row>
    <row r="2333" ht="15.75" spans="6:9">
      <c r="F2333" s="12" t="s">
        <v>6671</v>
      </c>
      <c r="G2333" s="12" t="s">
        <v>392</v>
      </c>
      <c r="H2333" s="15">
        <v>92300</v>
      </c>
      <c r="I2333" s="13">
        <v>50</v>
      </c>
    </row>
    <row r="2334" ht="15.75" spans="6:9">
      <c r="F2334" s="12" t="s">
        <v>6672</v>
      </c>
      <c r="G2334" s="12" t="s">
        <v>392</v>
      </c>
      <c r="H2334" s="15">
        <v>16500</v>
      </c>
      <c r="I2334" s="13">
        <v>50</v>
      </c>
    </row>
    <row r="2335" ht="15.75" spans="6:9">
      <c r="F2335" s="12" t="s">
        <v>6673</v>
      </c>
      <c r="G2335" s="12" t="s">
        <v>392</v>
      </c>
      <c r="H2335" s="15">
        <v>36800</v>
      </c>
      <c r="I2335" s="13">
        <v>50</v>
      </c>
    </row>
    <row r="2336" ht="15.75" spans="6:9">
      <c r="F2336" s="12" t="s">
        <v>6674</v>
      </c>
      <c r="G2336" s="12" t="s">
        <v>392</v>
      </c>
      <c r="H2336" s="15">
        <v>13300</v>
      </c>
      <c r="I2336" s="13">
        <v>50</v>
      </c>
    </row>
    <row r="2337" ht="15.75" spans="6:9">
      <c r="F2337" s="12" t="s">
        <v>6675</v>
      </c>
      <c r="G2337" s="12" t="s">
        <v>392</v>
      </c>
      <c r="H2337" s="15">
        <v>47000</v>
      </c>
      <c r="I2337" s="13">
        <v>50</v>
      </c>
    </row>
    <row r="2338" ht="15.75" spans="6:9">
      <c r="F2338" s="12" t="s">
        <v>6676</v>
      </c>
      <c r="G2338" s="12" t="s">
        <v>391</v>
      </c>
      <c r="H2338" s="15">
        <v>12184</v>
      </c>
      <c r="I2338" s="13">
        <v>50</v>
      </c>
    </row>
    <row r="2339" ht="15.75" spans="6:9">
      <c r="F2339" s="12" t="s">
        <v>6677</v>
      </c>
      <c r="G2339" s="12" t="s">
        <v>392</v>
      </c>
      <c r="H2339" s="15">
        <v>894500</v>
      </c>
      <c r="I2339" s="13">
        <v>50</v>
      </c>
    </row>
    <row r="2340" ht="15.75" spans="6:9">
      <c r="F2340" s="12" t="s">
        <v>4589</v>
      </c>
      <c r="G2340" s="12" t="s">
        <v>391</v>
      </c>
      <c r="H2340" s="15">
        <v>22448</v>
      </c>
      <c r="I2340" s="13">
        <v>50</v>
      </c>
    </row>
    <row r="2341" ht="15.75" spans="6:9">
      <c r="F2341" s="12" t="s">
        <v>6678</v>
      </c>
      <c r="G2341" s="12" t="s">
        <v>392</v>
      </c>
      <c r="H2341" s="15">
        <v>54800</v>
      </c>
      <c r="I2341" s="13">
        <v>50</v>
      </c>
    </row>
    <row r="2342" ht="15.75" spans="6:9">
      <c r="F2342" s="12" t="s">
        <v>6679</v>
      </c>
      <c r="G2342" s="12" t="s">
        <v>392</v>
      </c>
      <c r="H2342" s="15">
        <v>10500</v>
      </c>
      <c r="I2342" s="13">
        <v>50</v>
      </c>
    </row>
    <row r="2343" ht="15.75" spans="6:9">
      <c r="F2343" s="12" t="s">
        <v>6680</v>
      </c>
      <c r="G2343" s="12" t="s">
        <v>392</v>
      </c>
      <c r="H2343" s="15">
        <v>476700</v>
      </c>
      <c r="I2343" s="13">
        <v>50</v>
      </c>
    </row>
    <row r="2344" ht="15.75" spans="6:9">
      <c r="F2344" s="12" t="s">
        <v>6681</v>
      </c>
      <c r="G2344" s="12" t="s">
        <v>392</v>
      </c>
      <c r="H2344" s="15">
        <v>24300</v>
      </c>
      <c r="I2344" s="13">
        <v>50</v>
      </c>
    </row>
    <row r="2345" ht="15.75" spans="6:9">
      <c r="F2345" s="12" t="s">
        <v>6682</v>
      </c>
      <c r="G2345" s="12" t="s">
        <v>392</v>
      </c>
      <c r="H2345" s="15">
        <v>64000</v>
      </c>
      <c r="I2345" s="13">
        <v>50</v>
      </c>
    </row>
    <row r="2346" ht="15.75" spans="6:9">
      <c r="F2346" s="12" t="s">
        <v>6683</v>
      </c>
      <c r="G2346" s="12" t="s">
        <v>391</v>
      </c>
      <c r="H2346" s="15">
        <v>15911</v>
      </c>
      <c r="I2346" s="13">
        <v>50</v>
      </c>
    </row>
    <row r="2347" ht="15.75" spans="6:9">
      <c r="F2347" s="12" t="s">
        <v>4591</v>
      </c>
      <c r="G2347" s="12" t="s">
        <v>391</v>
      </c>
      <c r="H2347" s="15">
        <v>25289</v>
      </c>
      <c r="I2347" s="13">
        <v>50</v>
      </c>
    </row>
    <row r="2348" ht="15.75" spans="6:9">
      <c r="F2348" s="12" t="s">
        <v>6684</v>
      </c>
      <c r="G2348" s="12" t="s">
        <v>392</v>
      </c>
      <c r="H2348" s="15">
        <v>10000</v>
      </c>
      <c r="I2348" s="13">
        <v>50</v>
      </c>
    </row>
    <row r="2349" ht="15.75" spans="6:9">
      <c r="F2349" s="12" t="s">
        <v>6685</v>
      </c>
      <c r="G2349" s="12" t="s">
        <v>392</v>
      </c>
      <c r="H2349" s="15">
        <v>105900</v>
      </c>
      <c r="I2349" s="13">
        <v>50</v>
      </c>
    </row>
    <row r="2350" ht="15.75" spans="6:9">
      <c r="F2350" s="12" t="s">
        <v>6686</v>
      </c>
      <c r="G2350" s="12" t="s">
        <v>392</v>
      </c>
      <c r="H2350" s="15">
        <v>3000000</v>
      </c>
      <c r="I2350" s="13">
        <v>50</v>
      </c>
    </row>
    <row r="2351" ht="15.75" spans="6:9">
      <c r="F2351" s="12" t="s">
        <v>4593</v>
      </c>
      <c r="G2351" s="12" t="s">
        <v>391</v>
      </c>
      <c r="H2351" s="15">
        <v>18741</v>
      </c>
      <c r="I2351" s="13">
        <v>50</v>
      </c>
    </row>
    <row r="2352" ht="15.75" spans="6:9">
      <c r="F2352" s="12" t="s">
        <v>6687</v>
      </c>
      <c r="G2352" s="12" t="s">
        <v>392</v>
      </c>
      <c r="H2352" s="15">
        <v>917400</v>
      </c>
      <c r="I2352" s="13">
        <v>50</v>
      </c>
    </row>
    <row r="2353" ht="15.75" spans="6:9">
      <c r="F2353" s="12" t="s">
        <v>6688</v>
      </c>
      <c r="G2353" s="12" t="s">
        <v>392</v>
      </c>
      <c r="H2353" s="15">
        <v>128500</v>
      </c>
      <c r="I2353" s="13">
        <v>50</v>
      </c>
    </row>
    <row r="2354" ht="15.75" spans="6:9">
      <c r="F2354" s="12" t="s">
        <v>6689</v>
      </c>
      <c r="G2354" s="12" t="s">
        <v>392</v>
      </c>
      <c r="H2354" s="15">
        <v>125200</v>
      </c>
      <c r="I2354" s="13">
        <v>50</v>
      </c>
    </row>
    <row r="2355" ht="15.75" spans="6:9">
      <c r="F2355" s="12" t="s">
        <v>6690</v>
      </c>
      <c r="G2355" s="12" t="s">
        <v>392</v>
      </c>
      <c r="H2355" s="15">
        <v>144900</v>
      </c>
      <c r="I2355" s="13">
        <v>50</v>
      </c>
    </row>
    <row r="2356" ht="15.75" spans="6:9">
      <c r="F2356" s="12" t="s">
        <v>6691</v>
      </c>
      <c r="G2356" s="12" t="s">
        <v>391</v>
      </c>
      <c r="H2356" s="15">
        <v>18551</v>
      </c>
      <c r="I2356" s="13">
        <v>50</v>
      </c>
    </row>
    <row r="2357" ht="15.75" spans="6:9">
      <c r="F2357" s="12" t="s">
        <v>4596</v>
      </c>
      <c r="G2357" s="12" t="s">
        <v>391</v>
      </c>
      <c r="H2357" s="15">
        <v>18219</v>
      </c>
      <c r="I2357" s="13">
        <v>50</v>
      </c>
    </row>
    <row r="2358" ht="15.75" spans="6:9">
      <c r="F2358" s="12" t="s">
        <v>4599</v>
      </c>
      <c r="G2358" s="12" t="s">
        <v>391</v>
      </c>
      <c r="H2358" s="15">
        <v>10884</v>
      </c>
      <c r="I2358" s="13">
        <v>50</v>
      </c>
    </row>
    <row r="2359" ht="15.75" spans="6:9">
      <c r="F2359" s="12" t="s">
        <v>6692</v>
      </c>
      <c r="G2359" s="12" t="s">
        <v>392</v>
      </c>
      <c r="H2359" s="15">
        <v>314114</v>
      </c>
      <c r="I2359" s="13">
        <v>50</v>
      </c>
    </row>
    <row r="2360" ht="15.75" spans="6:9">
      <c r="F2360" s="12" t="s">
        <v>6693</v>
      </c>
      <c r="G2360" s="12" t="s">
        <v>392</v>
      </c>
      <c r="H2360" s="15">
        <v>56000</v>
      </c>
      <c r="I2360" s="13">
        <v>50</v>
      </c>
    </row>
    <row r="2361" ht="15.75" spans="6:9">
      <c r="F2361" s="12" t="s">
        <v>6694</v>
      </c>
      <c r="G2361" s="12" t="s">
        <v>392</v>
      </c>
      <c r="H2361" s="15">
        <v>12700</v>
      </c>
      <c r="I2361" s="13">
        <v>50</v>
      </c>
    </row>
    <row r="2362" ht="15.75" spans="6:9">
      <c r="F2362" s="12" t="s">
        <v>6695</v>
      </c>
      <c r="G2362" s="12" t="s">
        <v>392</v>
      </c>
      <c r="H2362" s="15">
        <v>165500</v>
      </c>
      <c r="I2362" s="13">
        <v>50</v>
      </c>
    </row>
    <row r="2363" ht="15.75" spans="6:9">
      <c r="F2363" s="12" t="s">
        <v>6696</v>
      </c>
      <c r="G2363" s="12" t="s">
        <v>391</v>
      </c>
      <c r="H2363" s="15">
        <v>16388</v>
      </c>
      <c r="I2363" s="13">
        <v>50</v>
      </c>
    </row>
    <row r="2364" ht="15.75" spans="6:9">
      <c r="F2364" s="12" t="s">
        <v>6697</v>
      </c>
      <c r="G2364" s="12" t="s">
        <v>392</v>
      </c>
      <c r="H2364" s="15">
        <v>252500</v>
      </c>
      <c r="I2364" s="13">
        <v>50</v>
      </c>
    </row>
    <row r="2365" ht="15.75" spans="6:9">
      <c r="F2365" s="12" t="s">
        <v>4602</v>
      </c>
      <c r="G2365" s="12" t="s">
        <v>391</v>
      </c>
      <c r="H2365" s="15">
        <v>15896</v>
      </c>
      <c r="I2365" s="13">
        <v>50</v>
      </c>
    </row>
    <row r="2366" ht="15.75" spans="6:9">
      <c r="F2366" s="12" t="s">
        <v>6698</v>
      </c>
      <c r="G2366" s="12" t="s">
        <v>392</v>
      </c>
      <c r="H2366" s="15">
        <v>10200</v>
      </c>
      <c r="I2366" s="13">
        <v>50</v>
      </c>
    </row>
    <row r="2367" ht="15.75" spans="6:9">
      <c r="F2367" s="12" t="s">
        <v>6699</v>
      </c>
      <c r="G2367" s="12" t="s">
        <v>391</v>
      </c>
      <c r="H2367" s="15">
        <v>11303</v>
      </c>
      <c r="I2367" s="13">
        <v>50</v>
      </c>
    </row>
    <row r="2368" ht="15.75" spans="6:9">
      <c r="F2368" s="12" t="s">
        <v>6700</v>
      </c>
      <c r="G2368" s="12" t="s">
        <v>392</v>
      </c>
      <c r="H2368" s="15">
        <v>74100</v>
      </c>
      <c r="I2368" s="13">
        <v>50</v>
      </c>
    </row>
    <row r="2369" ht="15.75" spans="6:9">
      <c r="F2369" s="12" t="s">
        <v>6701</v>
      </c>
      <c r="G2369" s="12" t="s">
        <v>392</v>
      </c>
      <c r="H2369" s="15">
        <v>44000</v>
      </c>
      <c r="I2369" s="13">
        <v>50</v>
      </c>
    </row>
    <row r="2370" ht="15.75" spans="6:9">
      <c r="F2370" s="12" t="s">
        <v>4605</v>
      </c>
      <c r="G2370" s="12" t="s">
        <v>391</v>
      </c>
      <c r="H2370" s="15">
        <v>16666</v>
      </c>
      <c r="I2370" s="13">
        <v>50</v>
      </c>
    </row>
    <row r="2371" ht="15.75" spans="6:9">
      <c r="F2371" s="12" t="s">
        <v>6702</v>
      </c>
      <c r="G2371" s="12" t="s">
        <v>392</v>
      </c>
      <c r="H2371" s="15">
        <v>61600</v>
      </c>
      <c r="I2371" s="13">
        <v>50</v>
      </c>
    </row>
    <row r="2372" ht="15.75" spans="6:9">
      <c r="F2372" s="12" t="s">
        <v>6703</v>
      </c>
      <c r="G2372" s="12" t="s">
        <v>392</v>
      </c>
      <c r="H2372" s="15">
        <v>18700</v>
      </c>
      <c r="I2372" s="13">
        <v>50</v>
      </c>
    </row>
    <row r="2373" ht="15.75" spans="6:9">
      <c r="F2373" s="12" t="s">
        <v>6704</v>
      </c>
      <c r="G2373" s="12" t="s">
        <v>392</v>
      </c>
      <c r="H2373" s="15">
        <v>10800</v>
      </c>
      <c r="I2373" s="13">
        <v>50</v>
      </c>
    </row>
    <row r="2374" ht="15.75" spans="6:9">
      <c r="F2374" s="12" t="s">
        <v>6705</v>
      </c>
      <c r="G2374" s="12" t="s">
        <v>392</v>
      </c>
      <c r="H2374" s="15">
        <v>102600</v>
      </c>
      <c r="I2374" s="13">
        <v>50</v>
      </c>
    </row>
    <row r="2375" ht="15.75" spans="6:9">
      <c r="F2375" s="12" t="s">
        <v>6706</v>
      </c>
      <c r="G2375" s="12" t="s">
        <v>392</v>
      </c>
      <c r="H2375" s="15">
        <v>10400</v>
      </c>
      <c r="I2375" s="13">
        <v>50</v>
      </c>
    </row>
    <row r="2376" ht="15.75" spans="6:9">
      <c r="F2376" s="12" t="s">
        <v>4607</v>
      </c>
      <c r="G2376" s="12" t="s">
        <v>391</v>
      </c>
      <c r="H2376" s="15">
        <v>10029</v>
      </c>
      <c r="I2376" s="13">
        <v>50</v>
      </c>
    </row>
    <row r="2377" ht="15.75" spans="6:9">
      <c r="F2377" s="12" t="s">
        <v>6707</v>
      </c>
      <c r="G2377" s="12" t="s">
        <v>392</v>
      </c>
      <c r="H2377" s="15">
        <v>22600</v>
      </c>
      <c r="I2377" s="13">
        <v>50</v>
      </c>
    </row>
    <row r="2378" ht="15.75" spans="6:9">
      <c r="F2378" s="12" t="s">
        <v>4609</v>
      </c>
      <c r="G2378" s="12" t="s">
        <v>391</v>
      </c>
      <c r="H2378" s="15">
        <v>10246</v>
      </c>
      <c r="I2378" s="13">
        <v>50</v>
      </c>
    </row>
    <row r="2379" ht="15.75" spans="6:9">
      <c r="F2379" s="12" t="s">
        <v>6708</v>
      </c>
      <c r="G2379" s="12" t="s">
        <v>391</v>
      </c>
      <c r="H2379" s="15">
        <v>10075</v>
      </c>
      <c r="I2379" s="13">
        <v>50</v>
      </c>
    </row>
    <row r="2380" ht="15.75" spans="6:9">
      <c r="F2380" s="12" t="s">
        <v>6709</v>
      </c>
      <c r="G2380" s="12" t="s">
        <v>392</v>
      </c>
      <c r="H2380" s="15">
        <v>23700</v>
      </c>
      <c r="I2380" s="13">
        <v>50</v>
      </c>
    </row>
    <row r="2381" ht="15.75" spans="6:9">
      <c r="F2381" s="12" t="s">
        <v>6710</v>
      </c>
      <c r="G2381" s="12" t="s">
        <v>392</v>
      </c>
      <c r="H2381" s="15">
        <v>228200</v>
      </c>
      <c r="I2381" s="13">
        <v>50</v>
      </c>
    </row>
    <row r="2382" ht="15.75" spans="6:9">
      <c r="F2382" s="12" t="s">
        <v>6711</v>
      </c>
      <c r="G2382" s="12" t="s">
        <v>392</v>
      </c>
      <c r="H2382" s="15">
        <v>4700000</v>
      </c>
      <c r="I2382" s="13">
        <v>50</v>
      </c>
    </row>
    <row r="2383" ht="15.75" spans="6:9">
      <c r="F2383" s="12" t="s">
        <v>6712</v>
      </c>
      <c r="G2383" s="12" t="s">
        <v>391</v>
      </c>
      <c r="H2383" s="15">
        <v>12534</v>
      </c>
      <c r="I2383" s="13">
        <v>50</v>
      </c>
    </row>
    <row r="2384" ht="15.75" spans="6:9">
      <c r="F2384" s="12" t="s">
        <v>6713</v>
      </c>
      <c r="G2384" s="12" t="s">
        <v>392</v>
      </c>
      <c r="H2384" s="15">
        <v>52200</v>
      </c>
      <c r="I2384" s="13">
        <v>50</v>
      </c>
    </row>
    <row r="2385" ht="15.75" spans="6:9">
      <c r="F2385" s="12" t="s">
        <v>6714</v>
      </c>
      <c r="G2385" s="12" t="s">
        <v>391</v>
      </c>
      <c r="H2385" s="15">
        <v>12979</v>
      </c>
      <c r="I2385" s="13">
        <v>50</v>
      </c>
    </row>
    <row r="2386" ht="15.75" spans="6:9">
      <c r="F2386" s="12" t="s">
        <v>6715</v>
      </c>
      <c r="G2386" s="12" t="s">
        <v>392</v>
      </c>
      <c r="H2386" s="15">
        <v>35900</v>
      </c>
      <c r="I2386" s="13">
        <v>50</v>
      </c>
    </row>
    <row r="2387" ht="15.75" spans="6:9">
      <c r="F2387" s="12" t="s">
        <v>6716</v>
      </c>
      <c r="G2387" s="12" t="s">
        <v>392</v>
      </c>
      <c r="H2387" s="15">
        <v>13000</v>
      </c>
      <c r="I2387" s="13">
        <v>50</v>
      </c>
    </row>
    <row r="2388" ht="15.75" spans="6:9">
      <c r="F2388" s="12" t="s">
        <v>4612</v>
      </c>
      <c r="G2388" s="12" t="s">
        <v>391</v>
      </c>
      <c r="H2388" s="15">
        <v>21658</v>
      </c>
      <c r="I2388" s="13">
        <v>50</v>
      </c>
    </row>
    <row r="2389" ht="15.75" spans="6:9">
      <c r="F2389" s="12" t="s">
        <v>6717</v>
      </c>
      <c r="G2389" s="12" t="s">
        <v>392</v>
      </c>
      <c r="H2389" s="15">
        <v>128300</v>
      </c>
      <c r="I2389" s="13">
        <v>50</v>
      </c>
    </row>
    <row r="2390" ht="15.75" spans="6:9">
      <c r="F2390" s="12" t="s">
        <v>6718</v>
      </c>
      <c r="G2390" s="12" t="s">
        <v>392</v>
      </c>
      <c r="H2390" s="15">
        <v>10400</v>
      </c>
      <c r="I2390" s="13">
        <v>50</v>
      </c>
    </row>
    <row r="2391" ht="15.75" spans="6:9">
      <c r="F2391" s="12" t="s">
        <v>6719</v>
      </c>
      <c r="G2391" s="12" t="s">
        <v>392</v>
      </c>
      <c r="H2391" s="15">
        <v>203700</v>
      </c>
      <c r="I2391" s="13">
        <v>50</v>
      </c>
    </row>
    <row r="2392" ht="15.75" spans="6:9">
      <c r="F2392" s="12" t="s">
        <v>6720</v>
      </c>
      <c r="G2392" s="12" t="s">
        <v>392</v>
      </c>
      <c r="H2392" s="15">
        <v>1002121</v>
      </c>
      <c r="I2392" s="13">
        <v>50</v>
      </c>
    </row>
    <row r="2393" ht="15.75" spans="6:9">
      <c r="F2393" s="12" t="s">
        <v>6721</v>
      </c>
      <c r="G2393" s="12" t="s">
        <v>392</v>
      </c>
      <c r="H2393" s="15">
        <v>111600</v>
      </c>
      <c r="I2393" s="13">
        <v>50</v>
      </c>
    </row>
    <row r="2394" ht="15.75" spans="6:9">
      <c r="F2394" s="12" t="s">
        <v>6722</v>
      </c>
      <c r="G2394" s="12" t="s">
        <v>392</v>
      </c>
      <c r="H2394" s="15">
        <v>343835</v>
      </c>
      <c r="I2394" s="13">
        <v>50</v>
      </c>
    </row>
    <row r="2395" ht="15.75" spans="6:9">
      <c r="F2395" s="12" t="s">
        <v>6723</v>
      </c>
      <c r="G2395" s="12" t="s">
        <v>392</v>
      </c>
      <c r="H2395" s="15">
        <v>112400</v>
      </c>
      <c r="I2395" s="13">
        <v>50</v>
      </c>
    </row>
    <row r="2396" ht="15.75" spans="6:9">
      <c r="F2396" s="12" t="s">
        <v>6724</v>
      </c>
      <c r="G2396" s="12" t="s">
        <v>391</v>
      </c>
      <c r="H2396" s="15">
        <v>12109</v>
      </c>
      <c r="I2396" s="13">
        <v>50</v>
      </c>
    </row>
    <row r="2397" ht="15.75" spans="6:9">
      <c r="F2397" s="12" t="s">
        <v>4614</v>
      </c>
      <c r="G2397" s="12" t="s">
        <v>391</v>
      </c>
      <c r="H2397" s="15">
        <v>26344</v>
      </c>
      <c r="I2397" s="13">
        <v>50</v>
      </c>
    </row>
    <row r="2398" ht="15.75" spans="6:9">
      <c r="F2398" s="12" t="s">
        <v>6725</v>
      </c>
      <c r="G2398" s="12" t="s">
        <v>392</v>
      </c>
      <c r="H2398" s="15">
        <v>23200</v>
      </c>
      <c r="I2398" s="13">
        <v>50</v>
      </c>
    </row>
    <row r="2399" ht="15.75" spans="6:9">
      <c r="F2399" s="12" t="s">
        <v>4617</v>
      </c>
      <c r="G2399" s="12" t="s">
        <v>391</v>
      </c>
      <c r="H2399" s="15">
        <v>32212</v>
      </c>
      <c r="I2399" s="13">
        <v>50</v>
      </c>
    </row>
    <row r="2400" ht="15.75" spans="6:9">
      <c r="F2400" s="12" t="s">
        <v>4620</v>
      </c>
      <c r="G2400" s="12" t="s">
        <v>391</v>
      </c>
      <c r="H2400" s="15">
        <v>13147</v>
      </c>
      <c r="I2400" s="13">
        <v>50</v>
      </c>
    </row>
    <row r="2401" ht="15.75" spans="6:9">
      <c r="F2401" s="12" t="s">
        <v>6726</v>
      </c>
      <c r="G2401" s="12" t="s">
        <v>392</v>
      </c>
      <c r="H2401" s="15">
        <v>20700</v>
      </c>
      <c r="I2401" s="13">
        <v>50</v>
      </c>
    </row>
    <row r="2402" ht="15.75" spans="6:9">
      <c r="F2402" s="12" t="s">
        <v>6727</v>
      </c>
      <c r="G2402" s="12" t="s">
        <v>391</v>
      </c>
      <c r="H2402" s="15">
        <v>10281</v>
      </c>
      <c r="I2402" s="13">
        <v>50</v>
      </c>
    </row>
    <row r="2403" ht="15.75" spans="6:9">
      <c r="F2403" s="12" t="s">
        <v>6728</v>
      </c>
      <c r="G2403" s="12" t="s">
        <v>392</v>
      </c>
      <c r="H2403" s="15">
        <v>23300</v>
      </c>
      <c r="I2403" s="13">
        <v>50</v>
      </c>
    </row>
    <row r="2404" ht="15.75" spans="6:9">
      <c r="F2404" s="12" t="s">
        <v>6729</v>
      </c>
      <c r="G2404" s="12" t="s">
        <v>392</v>
      </c>
      <c r="H2404" s="15">
        <v>61200</v>
      </c>
      <c r="I2404" s="13">
        <v>50</v>
      </c>
    </row>
    <row r="2405" ht="15.75" spans="6:9">
      <c r="F2405" s="12" t="s">
        <v>6730</v>
      </c>
      <c r="G2405" s="12" t="s">
        <v>391</v>
      </c>
      <c r="H2405" s="15">
        <v>23195</v>
      </c>
      <c r="I2405" s="13">
        <v>50</v>
      </c>
    </row>
    <row r="2406" ht="15.75" spans="6:9">
      <c r="F2406" s="12" t="s">
        <v>6731</v>
      </c>
      <c r="G2406" s="12" t="s">
        <v>391</v>
      </c>
      <c r="H2406" s="15">
        <v>23547</v>
      </c>
      <c r="I2406" s="13">
        <v>50</v>
      </c>
    </row>
    <row r="2407" ht="15.75" spans="6:9">
      <c r="F2407" s="12" t="s">
        <v>6732</v>
      </c>
      <c r="G2407" s="12" t="s">
        <v>392</v>
      </c>
      <c r="H2407" s="15">
        <v>35100</v>
      </c>
      <c r="I2407" s="13">
        <v>50</v>
      </c>
    </row>
    <row r="2408" ht="15.75" spans="6:9">
      <c r="F2408" s="12" t="s">
        <v>6733</v>
      </c>
      <c r="G2408" s="12" t="s">
        <v>392</v>
      </c>
      <c r="H2408" s="15">
        <v>88300</v>
      </c>
      <c r="I2408" s="13">
        <v>50</v>
      </c>
    </row>
    <row r="2409" ht="15.75" spans="6:9">
      <c r="F2409" s="12" t="s">
        <v>6734</v>
      </c>
      <c r="G2409" s="12" t="s">
        <v>392</v>
      </c>
      <c r="H2409" s="15">
        <v>88700</v>
      </c>
      <c r="I2409" s="13">
        <v>50</v>
      </c>
    </row>
    <row r="2410" ht="15.75" spans="6:9">
      <c r="F2410" s="12" t="s">
        <v>6735</v>
      </c>
      <c r="G2410" s="12" t="s">
        <v>391</v>
      </c>
      <c r="H2410" s="15">
        <v>11914</v>
      </c>
      <c r="I2410" s="13">
        <v>50</v>
      </c>
    </row>
    <row r="2411" ht="15.75" spans="6:9">
      <c r="F2411" s="12" t="s">
        <v>4622</v>
      </c>
      <c r="G2411" s="12" t="s">
        <v>391</v>
      </c>
      <c r="H2411" s="15">
        <v>34714</v>
      </c>
      <c r="I2411" s="13">
        <v>50</v>
      </c>
    </row>
    <row r="2412" ht="15.75" spans="6:9">
      <c r="F2412" s="12" t="s">
        <v>4625</v>
      </c>
      <c r="G2412" s="12" t="s">
        <v>391</v>
      </c>
      <c r="H2412" s="15">
        <v>21998</v>
      </c>
      <c r="I2412" s="13">
        <v>50</v>
      </c>
    </row>
    <row r="2413" ht="15.75" spans="6:9">
      <c r="F2413" s="12" t="s">
        <v>6736</v>
      </c>
      <c r="G2413" s="12" t="s">
        <v>392</v>
      </c>
      <c r="H2413" s="15">
        <v>19500</v>
      </c>
      <c r="I2413" s="13">
        <v>50</v>
      </c>
    </row>
    <row r="2414" ht="15.75" spans="6:9">
      <c r="F2414" s="12" t="s">
        <v>6737</v>
      </c>
      <c r="G2414" s="12" t="s">
        <v>392</v>
      </c>
      <c r="H2414" s="15">
        <v>18800</v>
      </c>
      <c r="I2414" s="13">
        <v>50</v>
      </c>
    </row>
    <row r="2415" ht="15.75" spans="6:9">
      <c r="F2415" s="12" t="s">
        <v>6738</v>
      </c>
      <c r="G2415" s="12" t="s">
        <v>392</v>
      </c>
      <c r="H2415" s="15">
        <v>407051</v>
      </c>
      <c r="I2415" s="13">
        <v>50</v>
      </c>
    </row>
    <row r="2416" ht="15.75" spans="6:9">
      <c r="F2416" s="12" t="s">
        <v>6739</v>
      </c>
      <c r="G2416" s="12" t="s">
        <v>392</v>
      </c>
      <c r="H2416" s="15">
        <v>59100</v>
      </c>
      <c r="I2416" s="13">
        <v>50</v>
      </c>
    </row>
    <row r="2417" ht="15.75" spans="6:9">
      <c r="F2417" s="12" t="s">
        <v>6740</v>
      </c>
      <c r="G2417" s="12" t="s">
        <v>392</v>
      </c>
      <c r="H2417" s="15">
        <v>29500</v>
      </c>
      <c r="I2417" s="13">
        <v>50</v>
      </c>
    </row>
    <row r="2418" ht="15.75" spans="6:9">
      <c r="F2418" s="12" t="s">
        <v>6741</v>
      </c>
      <c r="G2418" s="12" t="s">
        <v>391</v>
      </c>
      <c r="H2418" s="15">
        <v>13020</v>
      </c>
      <c r="I2418" s="13">
        <v>50</v>
      </c>
    </row>
    <row r="2419" ht="15.75" spans="6:9">
      <c r="F2419" s="12" t="s">
        <v>6742</v>
      </c>
      <c r="G2419" s="12" t="s">
        <v>392</v>
      </c>
      <c r="H2419" s="15">
        <v>243400</v>
      </c>
      <c r="I2419" s="13">
        <v>50</v>
      </c>
    </row>
    <row r="2420" ht="15.75" spans="6:9">
      <c r="F2420" s="12" t="s">
        <v>3228</v>
      </c>
      <c r="G2420" s="12" t="s">
        <v>391</v>
      </c>
      <c r="H2420" s="15">
        <v>299227</v>
      </c>
      <c r="I2420" s="13">
        <v>50</v>
      </c>
    </row>
    <row r="2421" ht="15.75" spans="6:9">
      <c r="F2421" s="12" t="s">
        <v>6743</v>
      </c>
      <c r="G2421" s="12" t="s">
        <v>392</v>
      </c>
      <c r="H2421" s="15">
        <v>48100</v>
      </c>
      <c r="I2421" s="13">
        <v>50</v>
      </c>
    </row>
    <row r="2422" ht="15.75" spans="6:9">
      <c r="F2422" s="12" t="s">
        <v>6744</v>
      </c>
      <c r="G2422" s="12" t="s">
        <v>391</v>
      </c>
      <c r="H2422" s="15">
        <v>12378</v>
      </c>
      <c r="I2422" s="13">
        <v>50</v>
      </c>
    </row>
    <row r="2423" ht="15.75" spans="6:9">
      <c r="F2423" s="12" t="s">
        <v>3239</v>
      </c>
      <c r="G2423" s="12" t="s">
        <v>391</v>
      </c>
      <c r="H2423" s="15">
        <v>1077231</v>
      </c>
      <c r="I2423" s="13">
        <v>50</v>
      </c>
    </row>
    <row r="2424" ht="15.75" spans="6:9">
      <c r="F2424" s="12" t="s">
        <v>6745</v>
      </c>
      <c r="G2424" s="12" t="s">
        <v>392</v>
      </c>
      <c r="H2424" s="15">
        <v>354155</v>
      </c>
      <c r="I2424" s="13">
        <v>50</v>
      </c>
    </row>
    <row r="2425" ht="15.75" spans="6:9">
      <c r="F2425" s="12" t="s">
        <v>6746</v>
      </c>
      <c r="G2425" s="12" t="s">
        <v>391</v>
      </c>
      <c r="H2425" s="15">
        <v>11229</v>
      </c>
      <c r="I2425" s="13">
        <v>50</v>
      </c>
    </row>
    <row r="2426" ht="15.75" spans="6:9">
      <c r="F2426" s="12" t="s">
        <v>6747</v>
      </c>
      <c r="G2426" s="12" t="s">
        <v>391</v>
      </c>
      <c r="H2426" s="15">
        <v>10597</v>
      </c>
      <c r="I2426" s="13">
        <v>50</v>
      </c>
    </row>
    <row r="2427" ht="15.75" spans="6:9">
      <c r="F2427" s="12" t="s">
        <v>6748</v>
      </c>
      <c r="G2427" s="12" t="s">
        <v>392</v>
      </c>
      <c r="H2427" s="15">
        <v>78800</v>
      </c>
      <c r="I2427" s="13">
        <v>50</v>
      </c>
    </row>
    <row r="2428" ht="15.75" spans="6:9">
      <c r="F2428" s="12" t="s">
        <v>6749</v>
      </c>
      <c r="G2428" s="12" t="s">
        <v>391</v>
      </c>
      <c r="H2428" s="15">
        <v>10245</v>
      </c>
      <c r="I2428" s="13">
        <v>50</v>
      </c>
    </row>
    <row r="2429" ht="15.75" spans="6:9">
      <c r="F2429" s="12" t="s">
        <v>6750</v>
      </c>
      <c r="G2429" s="12" t="s">
        <v>392</v>
      </c>
      <c r="H2429" s="15">
        <v>18600</v>
      </c>
      <c r="I2429" s="13">
        <v>50</v>
      </c>
    </row>
    <row r="2430" ht="15.75" spans="6:9">
      <c r="F2430" s="12" t="s">
        <v>6751</v>
      </c>
      <c r="G2430" s="12" t="s">
        <v>392</v>
      </c>
      <c r="H2430" s="15">
        <v>53100</v>
      </c>
      <c r="I2430" s="13">
        <v>50</v>
      </c>
    </row>
    <row r="2431" ht="15.75" spans="6:9">
      <c r="F2431" s="12" t="s">
        <v>6752</v>
      </c>
      <c r="G2431" s="12" t="s">
        <v>392</v>
      </c>
      <c r="H2431" s="15">
        <v>517400</v>
      </c>
      <c r="I2431" s="13">
        <v>50</v>
      </c>
    </row>
    <row r="2432" ht="15.75" spans="6:9">
      <c r="F2432" s="12" t="s">
        <v>6753</v>
      </c>
      <c r="G2432" s="12" t="s">
        <v>392</v>
      </c>
      <c r="H2432" s="15">
        <v>439989</v>
      </c>
      <c r="I2432" s="13">
        <v>50</v>
      </c>
    </row>
    <row r="2433" ht="15.75" spans="6:9">
      <c r="F2433" s="12" t="s">
        <v>6754</v>
      </c>
      <c r="G2433" s="12" t="s">
        <v>392</v>
      </c>
      <c r="H2433" s="15">
        <v>16900</v>
      </c>
      <c r="I2433" s="13">
        <v>50</v>
      </c>
    </row>
    <row r="2434" ht="15.75" spans="6:9">
      <c r="F2434" s="12" t="s">
        <v>4628</v>
      </c>
      <c r="G2434" s="12" t="s">
        <v>391</v>
      </c>
      <c r="H2434" s="15">
        <v>27078</v>
      </c>
      <c r="I2434" s="13">
        <v>50</v>
      </c>
    </row>
    <row r="2435" ht="15.75" spans="6:9">
      <c r="F2435" s="12" t="s">
        <v>6755</v>
      </c>
      <c r="G2435" s="12" t="s">
        <v>391</v>
      </c>
      <c r="H2435" s="15">
        <v>11462</v>
      </c>
      <c r="I2435" s="13">
        <v>50</v>
      </c>
    </row>
    <row r="2436" ht="15.75" spans="6:9">
      <c r="F2436" s="12" t="s">
        <v>6756</v>
      </c>
      <c r="G2436" s="12" t="s">
        <v>391</v>
      </c>
      <c r="H2436" s="15">
        <v>110801</v>
      </c>
      <c r="I2436" s="13">
        <v>50</v>
      </c>
    </row>
    <row r="2437" ht="15.75" spans="6:9">
      <c r="F2437" s="12" t="s">
        <v>6757</v>
      </c>
      <c r="G2437" s="12" t="s">
        <v>392</v>
      </c>
      <c r="H2437" s="15">
        <v>40700</v>
      </c>
      <c r="I2437" s="13">
        <v>50</v>
      </c>
    </row>
    <row r="2438" ht="15.75" spans="6:9">
      <c r="F2438" s="12" t="s">
        <v>6758</v>
      </c>
      <c r="G2438" s="12" t="s">
        <v>392</v>
      </c>
      <c r="H2438" s="15">
        <v>13200</v>
      </c>
      <c r="I2438" s="13">
        <v>50</v>
      </c>
    </row>
    <row r="2439" ht="15.75" spans="6:9">
      <c r="F2439" s="12" t="s">
        <v>6759</v>
      </c>
      <c r="G2439" s="12" t="s">
        <v>392</v>
      </c>
      <c r="H2439" s="15">
        <v>224900</v>
      </c>
      <c r="I2439" s="13">
        <v>50</v>
      </c>
    </row>
    <row r="2440" ht="15.75" spans="6:9">
      <c r="F2440" s="12" t="s">
        <v>6760</v>
      </c>
      <c r="G2440" s="12" t="s">
        <v>391</v>
      </c>
      <c r="H2440" s="15">
        <v>22039</v>
      </c>
      <c r="I2440" s="13">
        <v>50</v>
      </c>
    </row>
    <row r="2441" ht="15.75" spans="6:9">
      <c r="F2441" s="12" t="s">
        <v>6761</v>
      </c>
      <c r="G2441" s="12" t="s">
        <v>391</v>
      </c>
      <c r="H2441" s="15">
        <v>10859</v>
      </c>
      <c r="I2441" s="13">
        <v>50</v>
      </c>
    </row>
    <row r="2442" ht="15.75" spans="6:9">
      <c r="F2442" s="12" t="s">
        <v>6762</v>
      </c>
      <c r="G2442" s="12" t="s">
        <v>391</v>
      </c>
      <c r="H2442" s="15">
        <v>33768</v>
      </c>
      <c r="I2442" s="13">
        <v>50</v>
      </c>
    </row>
    <row r="2443" ht="15.75" spans="6:9">
      <c r="F2443" s="12" t="s">
        <v>6763</v>
      </c>
      <c r="G2443" s="12" t="s">
        <v>391</v>
      </c>
      <c r="H2443" s="15">
        <v>26554</v>
      </c>
      <c r="I2443" s="13">
        <v>50</v>
      </c>
    </row>
    <row r="2444" ht="15.75" spans="6:9">
      <c r="F2444" s="12" t="s">
        <v>6764</v>
      </c>
      <c r="G2444" s="12" t="s">
        <v>392</v>
      </c>
      <c r="H2444" s="15">
        <v>75500</v>
      </c>
      <c r="I2444" s="13">
        <v>50</v>
      </c>
    </row>
    <row r="2445" ht="15.75" spans="6:9">
      <c r="F2445" s="12" t="s">
        <v>4631</v>
      </c>
      <c r="G2445" s="12" t="s">
        <v>391</v>
      </c>
      <c r="H2445" s="15">
        <v>10761</v>
      </c>
      <c r="I2445" s="13">
        <v>50</v>
      </c>
    </row>
    <row r="2446" ht="15.75" spans="6:9">
      <c r="F2446" s="12" t="s">
        <v>6765</v>
      </c>
      <c r="G2446" s="12" t="s">
        <v>391</v>
      </c>
      <c r="H2446" s="15">
        <v>12218</v>
      </c>
      <c r="I2446" s="13">
        <v>50</v>
      </c>
    </row>
    <row r="2447" ht="15.75" spans="6:9">
      <c r="F2447" s="12" t="s">
        <v>6766</v>
      </c>
      <c r="G2447" s="12" t="s">
        <v>392</v>
      </c>
      <c r="H2447" s="15">
        <v>16800</v>
      </c>
      <c r="I2447" s="13">
        <v>50</v>
      </c>
    </row>
    <row r="2448" ht="15.75" spans="6:9">
      <c r="F2448" s="12" t="s">
        <v>6767</v>
      </c>
      <c r="G2448" s="12" t="s">
        <v>392</v>
      </c>
      <c r="H2448" s="15">
        <v>5600000</v>
      </c>
      <c r="I2448" s="13">
        <v>50</v>
      </c>
    </row>
    <row r="2449" ht="15.75" spans="6:9">
      <c r="F2449" s="12" t="s">
        <v>4634</v>
      </c>
      <c r="G2449" s="12" t="s">
        <v>391</v>
      </c>
      <c r="H2449" s="15">
        <v>10739</v>
      </c>
      <c r="I2449" s="13">
        <v>50</v>
      </c>
    </row>
    <row r="2450" ht="15.75" spans="6:9">
      <c r="F2450" s="12" t="s">
        <v>6768</v>
      </c>
      <c r="G2450" s="12" t="s">
        <v>391</v>
      </c>
      <c r="H2450" s="15">
        <v>10227</v>
      </c>
      <c r="I2450" s="13">
        <v>50</v>
      </c>
    </row>
    <row r="2451" ht="15.75" spans="6:9">
      <c r="F2451" s="12" t="s">
        <v>6769</v>
      </c>
      <c r="G2451" s="12" t="s">
        <v>392</v>
      </c>
      <c r="H2451" s="15">
        <v>142800</v>
      </c>
      <c r="I2451" s="13">
        <v>50</v>
      </c>
    </row>
    <row r="2452" ht="15.75" spans="6:9">
      <c r="F2452" s="12" t="s">
        <v>6770</v>
      </c>
      <c r="G2452" s="12" t="s">
        <v>392</v>
      </c>
      <c r="H2452" s="15">
        <v>14300</v>
      </c>
      <c r="I2452" s="13">
        <v>50</v>
      </c>
    </row>
    <row r="2453" ht="15.75" spans="6:9">
      <c r="F2453" s="12" t="s">
        <v>6771</v>
      </c>
      <c r="G2453" s="12" t="s">
        <v>392</v>
      </c>
      <c r="H2453" s="15">
        <v>45900</v>
      </c>
      <c r="I2453" s="13">
        <v>50</v>
      </c>
    </row>
    <row r="2454" ht="15.75" spans="6:9">
      <c r="F2454" s="12" t="s">
        <v>6772</v>
      </c>
      <c r="G2454" s="12" t="s">
        <v>392</v>
      </c>
      <c r="H2454" s="15">
        <v>61200</v>
      </c>
      <c r="I2454" s="13">
        <v>50</v>
      </c>
    </row>
    <row r="2455" ht="15.75" spans="6:9">
      <c r="F2455" s="12" t="s">
        <v>6773</v>
      </c>
      <c r="G2455" s="12" t="s">
        <v>392</v>
      </c>
      <c r="H2455" s="15">
        <v>121800</v>
      </c>
      <c r="I2455" s="13">
        <v>50</v>
      </c>
    </row>
    <row r="2456" ht="15.75" spans="6:9">
      <c r="F2456" s="12" t="s">
        <v>6774</v>
      </c>
      <c r="G2456" s="12" t="s">
        <v>392</v>
      </c>
      <c r="H2456" s="15">
        <v>30600</v>
      </c>
      <c r="I2456" s="13">
        <v>50</v>
      </c>
    </row>
    <row r="2457" ht="15.75" spans="6:9">
      <c r="F2457" s="12" t="s">
        <v>6775</v>
      </c>
      <c r="G2457" s="12" t="s">
        <v>392</v>
      </c>
      <c r="H2457" s="15">
        <v>70400</v>
      </c>
      <c r="I2457" s="13">
        <v>50</v>
      </c>
    </row>
    <row r="2458" ht="15.75" spans="6:9">
      <c r="F2458" s="12" t="s">
        <v>6776</v>
      </c>
      <c r="G2458" s="12" t="s">
        <v>391</v>
      </c>
      <c r="H2458" s="15">
        <v>10424</v>
      </c>
      <c r="I2458" s="13">
        <v>50</v>
      </c>
    </row>
    <row r="2459" ht="15.75" spans="6:9">
      <c r="F2459" s="12" t="s">
        <v>6777</v>
      </c>
      <c r="G2459" s="12" t="s">
        <v>391</v>
      </c>
      <c r="H2459" s="15">
        <v>20403</v>
      </c>
      <c r="I2459" s="13">
        <v>50</v>
      </c>
    </row>
    <row r="2460" ht="15.75" spans="6:9">
      <c r="F2460" s="12" t="s">
        <v>6778</v>
      </c>
      <c r="G2460" s="12" t="s">
        <v>392</v>
      </c>
      <c r="H2460" s="15">
        <v>11200</v>
      </c>
      <c r="I2460" s="13">
        <v>50</v>
      </c>
    </row>
    <row r="2461" ht="15.75" spans="6:9">
      <c r="F2461" s="12" t="s">
        <v>6779</v>
      </c>
      <c r="G2461" s="12" t="s">
        <v>391</v>
      </c>
      <c r="H2461" s="15">
        <v>18487</v>
      </c>
      <c r="I2461" s="13">
        <v>50</v>
      </c>
    </row>
    <row r="2462" ht="15.75" spans="6:9">
      <c r="F2462" s="12" t="s">
        <v>4636</v>
      </c>
      <c r="G2462" s="12" t="s">
        <v>391</v>
      </c>
      <c r="H2462" s="15">
        <v>20835</v>
      </c>
      <c r="I2462" s="13">
        <v>50</v>
      </c>
    </row>
    <row r="2463" ht="15.75" spans="6:9">
      <c r="F2463" s="12" t="s">
        <v>6780</v>
      </c>
      <c r="G2463" s="12" t="s">
        <v>392</v>
      </c>
      <c r="H2463" s="15">
        <v>91400</v>
      </c>
      <c r="I2463" s="13">
        <v>50</v>
      </c>
    </row>
    <row r="2464" ht="15.75" spans="6:9">
      <c r="F2464" s="12" t="s">
        <v>6781</v>
      </c>
      <c r="G2464" s="12" t="s">
        <v>392</v>
      </c>
      <c r="H2464" s="15">
        <v>13200</v>
      </c>
      <c r="I2464" s="13">
        <v>50</v>
      </c>
    </row>
    <row r="2465" ht="15.75" spans="6:9">
      <c r="F2465" s="12" t="s">
        <v>6782</v>
      </c>
      <c r="G2465" s="12" t="s">
        <v>391</v>
      </c>
      <c r="H2465" s="15">
        <v>10341</v>
      </c>
      <c r="I2465" s="13">
        <v>50</v>
      </c>
    </row>
    <row r="2466" ht="15.75" spans="6:9">
      <c r="F2466" s="12" t="s">
        <v>6783</v>
      </c>
      <c r="G2466" s="12" t="s">
        <v>392</v>
      </c>
      <c r="H2466" s="15">
        <v>12200</v>
      </c>
      <c r="I2466" s="13">
        <v>50</v>
      </c>
    </row>
    <row r="2467" ht="15.75" spans="6:9">
      <c r="F2467" s="12" t="s">
        <v>4639</v>
      </c>
      <c r="G2467" s="12" t="s">
        <v>391</v>
      </c>
      <c r="H2467" s="15">
        <v>42145</v>
      </c>
      <c r="I2467" s="13">
        <v>50</v>
      </c>
    </row>
    <row r="2468" ht="15.75" spans="6:9">
      <c r="F2468" s="12" t="s">
        <v>6784</v>
      </c>
      <c r="G2468" s="12" t="s">
        <v>392</v>
      </c>
      <c r="H2468" s="15">
        <v>148200</v>
      </c>
      <c r="I2468" s="13">
        <v>50</v>
      </c>
    </row>
    <row r="2469" ht="15.75" spans="6:9">
      <c r="F2469" s="12" t="s">
        <v>6785</v>
      </c>
      <c r="G2469" s="12" t="s">
        <v>391</v>
      </c>
      <c r="H2469" s="15">
        <v>11509</v>
      </c>
      <c r="I2469" s="13">
        <v>50</v>
      </c>
    </row>
    <row r="2470" ht="15.75" spans="6:9">
      <c r="F2470" s="12" t="s">
        <v>6786</v>
      </c>
      <c r="G2470" s="12" t="s">
        <v>391</v>
      </c>
      <c r="H2470" s="15">
        <v>17488</v>
      </c>
      <c r="I2470" s="13">
        <v>50</v>
      </c>
    </row>
    <row r="2471" ht="15.75" spans="6:9">
      <c r="F2471" s="12" t="s">
        <v>4642</v>
      </c>
      <c r="G2471" s="12" t="s">
        <v>391</v>
      </c>
      <c r="H2471" s="15">
        <v>14650</v>
      </c>
      <c r="I2471" s="13">
        <v>50</v>
      </c>
    </row>
    <row r="2472" ht="15.75" spans="6:9">
      <c r="F2472" s="12" t="s">
        <v>4645</v>
      </c>
      <c r="G2472" s="12" t="s">
        <v>391</v>
      </c>
      <c r="H2472" s="15">
        <v>10851</v>
      </c>
      <c r="I2472" s="13">
        <v>50</v>
      </c>
    </row>
    <row r="2473" ht="15.75" spans="6:9">
      <c r="F2473" s="12" t="s">
        <v>6787</v>
      </c>
      <c r="G2473" s="12" t="s">
        <v>391</v>
      </c>
      <c r="H2473" s="15">
        <v>12717</v>
      </c>
      <c r="I2473" s="13">
        <v>50</v>
      </c>
    </row>
    <row r="2474" ht="15.75" spans="6:9">
      <c r="F2474" s="12" t="s">
        <v>6788</v>
      </c>
      <c r="G2474" s="12" t="s">
        <v>392</v>
      </c>
      <c r="H2474" s="15">
        <v>396100</v>
      </c>
      <c r="I2474" s="13">
        <v>50</v>
      </c>
    </row>
    <row r="2475" ht="15.75" spans="6:9">
      <c r="F2475" s="12" t="s">
        <v>6789</v>
      </c>
      <c r="G2475" s="12" t="s">
        <v>392</v>
      </c>
      <c r="H2475" s="15">
        <v>29900</v>
      </c>
      <c r="I2475" s="13">
        <v>50</v>
      </c>
    </row>
    <row r="2476" ht="15.75" spans="6:9">
      <c r="F2476" s="12" t="s">
        <v>6790</v>
      </c>
      <c r="G2476" s="12" t="s">
        <v>391</v>
      </c>
      <c r="H2476" s="15">
        <v>14327</v>
      </c>
      <c r="I2476" s="13">
        <v>50</v>
      </c>
    </row>
    <row r="2477" ht="15.75" spans="6:9">
      <c r="F2477" s="12" t="s">
        <v>6791</v>
      </c>
      <c r="G2477" s="12" t="s">
        <v>392</v>
      </c>
      <c r="H2477" s="15">
        <v>10800</v>
      </c>
      <c r="I2477" s="13">
        <v>50</v>
      </c>
    </row>
    <row r="2478" ht="15.75" spans="6:9">
      <c r="F2478" s="12" t="s">
        <v>6792</v>
      </c>
      <c r="G2478" s="12" t="s">
        <v>391</v>
      </c>
      <c r="H2478" s="15">
        <v>15915</v>
      </c>
      <c r="I2478" s="13">
        <v>50</v>
      </c>
    </row>
    <row r="2479" ht="15.75" spans="6:9">
      <c r="F2479" s="12" t="s">
        <v>6793</v>
      </c>
      <c r="G2479" s="12" t="s">
        <v>392</v>
      </c>
      <c r="H2479" s="15">
        <v>29100</v>
      </c>
      <c r="I2479" s="13">
        <v>50</v>
      </c>
    </row>
    <row r="2480" ht="15.75" spans="6:9">
      <c r="F2480" s="12" t="s">
        <v>6794</v>
      </c>
      <c r="G2480" s="12" t="s">
        <v>392</v>
      </c>
      <c r="H2480" s="15">
        <v>1800000</v>
      </c>
      <c r="I2480" s="13">
        <v>50</v>
      </c>
    </row>
    <row r="2481" ht="15.75" spans="6:9">
      <c r="F2481" s="12" t="s">
        <v>6795</v>
      </c>
      <c r="G2481" s="12" t="s">
        <v>391</v>
      </c>
      <c r="H2481" s="15">
        <v>10371</v>
      </c>
      <c r="I2481" s="13">
        <v>50</v>
      </c>
    </row>
    <row r="2482" ht="15.75" spans="6:9">
      <c r="F2482" s="12" t="s">
        <v>6796</v>
      </c>
      <c r="G2482" s="12" t="s">
        <v>391</v>
      </c>
      <c r="H2482" s="15">
        <v>11204</v>
      </c>
      <c r="I2482" s="13">
        <v>50</v>
      </c>
    </row>
    <row r="2483" ht="15.75" spans="6:9">
      <c r="F2483" s="12" t="s">
        <v>6797</v>
      </c>
      <c r="G2483" s="12" t="s">
        <v>391</v>
      </c>
      <c r="H2483" s="15">
        <v>14491</v>
      </c>
      <c r="I2483" s="13">
        <v>50</v>
      </c>
    </row>
    <row r="2484" ht="15.75" spans="6:9">
      <c r="F2484" s="12" t="s">
        <v>4647</v>
      </c>
      <c r="G2484" s="12" t="s">
        <v>391</v>
      </c>
      <c r="H2484" s="15">
        <v>11733</v>
      </c>
      <c r="I2484" s="13">
        <v>50</v>
      </c>
    </row>
    <row r="2485" ht="15.75" spans="6:9">
      <c r="F2485" s="12" t="s">
        <v>6798</v>
      </c>
      <c r="G2485" s="12" t="s">
        <v>392</v>
      </c>
      <c r="H2485" s="15">
        <v>10300</v>
      </c>
      <c r="I2485" s="13">
        <v>50</v>
      </c>
    </row>
    <row r="2486" ht="15.75" spans="6:9">
      <c r="F2486" s="12" t="s">
        <v>4650</v>
      </c>
      <c r="G2486" s="12" t="s">
        <v>391</v>
      </c>
      <c r="H2486" s="15">
        <v>14195</v>
      </c>
      <c r="I2486" s="13">
        <v>50</v>
      </c>
    </row>
    <row r="2487" ht="15.75" spans="6:9">
      <c r="F2487" s="12" t="s">
        <v>6799</v>
      </c>
      <c r="G2487" s="12" t="s">
        <v>391</v>
      </c>
      <c r="H2487" s="15">
        <v>34356</v>
      </c>
      <c r="I2487" s="13">
        <v>50</v>
      </c>
    </row>
    <row r="2488" ht="15.75" spans="6:9">
      <c r="F2488" s="12" t="s">
        <v>6800</v>
      </c>
      <c r="G2488" s="12" t="s">
        <v>392</v>
      </c>
      <c r="H2488" s="15">
        <v>14700</v>
      </c>
      <c r="I2488" s="13">
        <v>50</v>
      </c>
    </row>
    <row r="2489" ht="15.75" spans="6:9">
      <c r="F2489" s="12" t="s">
        <v>6801</v>
      </c>
      <c r="G2489" s="12" t="s">
        <v>392</v>
      </c>
      <c r="H2489" s="15">
        <v>11800</v>
      </c>
      <c r="I2489" s="13">
        <v>50</v>
      </c>
    </row>
    <row r="2490" ht="15.75" spans="6:9">
      <c r="F2490" s="12" t="s">
        <v>6802</v>
      </c>
      <c r="G2490" s="12" t="s">
        <v>392</v>
      </c>
      <c r="H2490" s="15">
        <v>36200</v>
      </c>
      <c r="I2490" s="13">
        <v>50</v>
      </c>
    </row>
    <row r="2491" ht="15.75" spans="6:9">
      <c r="F2491" s="12" t="s">
        <v>6803</v>
      </c>
      <c r="G2491" s="12" t="s">
        <v>392</v>
      </c>
      <c r="H2491" s="15">
        <v>104400</v>
      </c>
      <c r="I2491" s="13">
        <v>50</v>
      </c>
    </row>
    <row r="2492" ht="15.75" spans="6:9">
      <c r="F2492" s="12" t="s">
        <v>6804</v>
      </c>
      <c r="G2492" s="12" t="s">
        <v>391</v>
      </c>
      <c r="H2492" s="15">
        <v>14119</v>
      </c>
      <c r="I2492" s="13">
        <v>50</v>
      </c>
    </row>
    <row r="2493" ht="15.75" spans="6:9">
      <c r="F2493" s="12" t="s">
        <v>6805</v>
      </c>
      <c r="G2493" s="12" t="s">
        <v>392</v>
      </c>
      <c r="H2493" s="15">
        <v>19900</v>
      </c>
      <c r="I2493" s="13">
        <v>50</v>
      </c>
    </row>
    <row r="2494" ht="15.75" spans="6:9">
      <c r="F2494" s="12" t="s">
        <v>6806</v>
      </c>
      <c r="G2494" s="12" t="s">
        <v>392</v>
      </c>
      <c r="H2494" s="15">
        <v>25600</v>
      </c>
      <c r="I2494" s="13">
        <v>50</v>
      </c>
    </row>
    <row r="2495" ht="15.75" spans="6:9">
      <c r="F2495" s="12" t="s">
        <v>4653</v>
      </c>
      <c r="G2495" s="12" t="s">
        <v>391</v>
      </c>
      <c r="H2495" s="15">
        <v>17352</v>
      </c>
      <c r="I2495" s="13">
        <v>50</v>
      </c>
    </row>
    <row r="2496" ht="15.75" spans="6:9">
      <c r="F2496" s="12" t="s">
        <v>6807</v>
      </c>
      <c r="G2496" s="12" t="s">
        <v>391</v>
      </c>
      <c r="H2496" s="15">
        <v>10403</v>
      </c>
      <c r="I2496" s="13">
        <v>50</v>
      </c>
    </row>
    <row r="2497" ht="15.75" spans="6:9">
      <c r="F2497" s="12" t="s">
        <v>4655</v>
      </c>
      <c r="G2497" s="12" t="s">
        <v>391</v>
      </c>
      <c r="H2497" s="15">
        <v>14173</v>
      </c>
      <c r="I2497" s="13">
        <v>50</v>
      </c>
    </row>
    <row r="2498" ht="15.75" spans="6:9">
      <c r="F2498" s="12" t="s">
        <v>6808</v>
      </c>
      <c r="G2498" s="12" t="s">
        <v>392</v>
      </c>
      <c r="H2498" s="15">
        <v>10600</v>
      </c>
      <c r="I2498" s="13">
        <v>50</v>
      </c>
    </row>
    <row r="2499" ht="15.75" spans="6:9">
      <c r="F2499" s="12" t="s">
        <v>6809</v>
      </c>
      <c r="G2499" s="12" t="s">
        <v>392</v>
      </c>
      <c r="H2499" s="15">
        <v>5200000</v>
      </c>
      <c r="I2499" s="13">
        <v>50</v>
      </c>
    </row>
    <row r="2500" ht="15.75" spans="6:9">
      <c r="F2500" s="12" t="s">
        <v>3231</v>
      </c>
      <c r="G2500" s="12" t="s">
        <v>391</v>
      </c>
      <c r="H2500" s="15">
        <v>121140</v>
      </c>
      <c r="I2500" s="13">
        <v>50</v>
      </c>
    </row>
    <row r="2501" ht="15.75" spans="6:9">
      <c r="F2501" s="12" t="s">
        <v>6810</v>
      </c>
      <c r="G2501" s="12" t="s">
        <v>391</v>
      </c>
      <c r="H2501" s="15">
        <v>25504</v>
      </c>
      <c r="I2501" s="13">
        <v>50</v>
      </c>
    </row>
    <row r="2502" ht="15.75" spans="6:9">
      <c r="F2502" s="12" t="s">
        <v>6811</v>
      </c>
      <c r="G2502" s="12" t="s">
        <v>392</v>
      </c>
      <c r="H2502" s="15">
        <v>19000</v>
      </c>
      <c r="I2502" s="13">
        <v>50</v>
      </c>
    </row>
    <row r="2503" ht="15.75" spans="6:9">
      <c r="F2503" s="12" t="s">
        <v>6812</v>
      </c>
      <c r="G2503" s="12" t="s">
        <v>392</v>
      </c>
      <c r="H2503" s="15">
        <v>51900</v>
      </c>
      <c r="I2503" s="13">
        <v>50</v>
      </c>
    </row>
    <row r="2504" ht="15.75" spans="6:9">
      <c r="F2504" s="12" t="s">
        <v>6813</v>
      </c>
      <c r="G2504" s="12" t="s">
        <v>391</v>
      </c>
      <c r="H2504" s="15">
        <v>34983</v>
      </c>
      <c r="I2504" s="13">
        <v>50</v>
      </c>
    </row>
    <row r="2505" ht="15.75" spans="6:9">
      <c r="F2505" s="12" t="s">
        <v>4658</v>
      </c>
      <c r="G2505" s="12" t="s">
        <v>391</v>
      </c>
      <c r="H2505" s="15">
        <v>16358</v>
      </c>
      <c r="I2505" s="13">
        <v>50</v>
      </c>
    </row>
    <row r="2506" ht="15.75" spans="6:9">
      <c r="F2506" s="12" t="s">
        <v>6814</v>
      </c>
      <c r="G2506" s="12" t="s">
        <v>391</v>
      </c>
      <c r="H2506" s="15">
        <v>22659</v>
      </c>
      <c r="I2506" s="13">
        <v>50</v>
      </c>
    </row>
    <row r="2507" ht="15.75" spans="6:9">
      <c r="F2507" s="12" t="s">
        <v>6815</v>
      </c>
      <c r="G2507" s="12" t="s">
        <v>392</v>
      </c>
      <c r="H2507" s="15">
        <v>6300000</v>
      </c>
      <c r="I2507" s="13">
        <v>50</v>
      </c>
    </row>
    <row r="2508" ht="15.75" spans="6:9">
      <c r="F2508" s="12" t="s">
        <v>6816</v>
      </c>
      <c r="G2508" s="12" t="s">
        <v>391</v>
      </c>
      <c r="H2508" s="15">
        <v>26786</v>
      </c>
      <c r="I2508" s="13">
        <v>50</v>
      </c>
    </row>
    <row r="2509" ht="15.75" spans="6:9">
      <c r="F2509" s="12" t="s">
        <v>6817</v>
      </c>
      <c r="G2509" s="12" t="s">
        <v>392</v>
      </c>
      <c r="H2509" s="15">
        <v>269400</v>
      </c>
      <c r="I2509" s="13">
        <v>50</v>
      </c>
    </row>
    <row r="2510" ht="15.75" spans="6:9">
      <c r="F2510" s="12" t="s">
        <v>6818</v>
      </c>
      <c r="G2510" s="12" t="s">
        <v>392</v>
      </c>
      <c r="H2510" s="15">
        <v>377000</v>
      </c>
      <c r="I2510" s="13">
        <v>50</v>
      </c>
    </row>
    <row r="2511" ht="15.75" spans="6:9">
      <c r="F2511" s="12" t="s">
        <v>6819</v>
      </c>
      <c r="G2511" s="12" t="s">
        <v>391</v>
      </c>
      <c r="H2511" s="15">
        <v>20919</v>
      </c>
      <c r="I2511" s="13">
        <v>50</v>
      </c>
    </row>
    <row r="2512" ht="15.75" spans="6:9">
      <c r="F2512" s="12" t="s">
        <v>6820</v>
      </c>
      <c r="G2512" s="12" t="s">
        <v>391</v>
      </c>
      <c r="H2512" s="15">
        <v>10337</v>
      </c>
      <c r="I2512" s="13">
        <v>50</v>
      </c>
    </row>
    <row r="2513" ht="15.75" spans="6:9">
      <c r="F2513" s="12" t="s">
        <v>4660</v>
      </c>
      <c r="G2513" s="12" t="s">
        <v>391</v>
      </c>
      <c r="H2513" s="15">
        <v>15380</v>
      </c>
      <c r="I2513" s="13">
        <v>50</v>
      </c>
    </row>
    <row r="2514" ht="15.75" spans="6:9">
      <c r="F2514" s="12" t="s">
        <v>6821</v>
      </c>
      <c r="G2514" s="12" t="s">
        <v>391</v>
      </c>
      <c r="H2514" s="15">
        <v>11151</v>
      </c>
      <c r="I2514" s="13">
        <v>50</v>
      </c>
    </row>
    <row r="2515" ht="15.75" spans="6:9">
      <c r="F2515" s="12" t="s">
        <v>6822</v>
      </c>
      <c r="G2515" s="12" t="s">
        <v>391</v>
      </c>
      <c r="H2515" s="15">
        <v>18951</v>
      </c>
      <c r="I2515" s="13">
        <v>50</v>
      </c>
    </row>
    <row r="2516" ht="15.75" spans="6:9">
      <c r="F2516" s="12" t="s">
        <v>4663</v>
      </c>
      <c r="G2516" s="12" t="s">
        <v>391</v>
      </c>
      <c r="H2516" s="15">
        <v>22044</v>
      </c>
      <c r="I2516" s="13">
        <v>50</v>
      </c>
    </row>
    <row r="2517" ht="15.75" spans="6:9">
      <c r="F2517" s="12" t="s">
        <v>6823</v>
      </c>
      <c r="G2517" s="12" t="s">
        <v>392</v>
      </c>
      <c r="H2517" s="15">
        <v>60800</v>
      </c>
      <c r="I2517" s="13">
        <v>50</v>
      </c>
    </row>
    <row r="2518" ht="15.75" spans="6:9">
      <c r="F2518" s="12" t="s">
        <v>6824</v>
      </c>
      <c r="G2518" s="12" t="s">
        <v>392</v>
      </c>
      <c r="H2518" s="15">
        <v>12000</v>
      </c>
      <c r="I2518" s="13">
        <v>50</v>
      </c>
    </row>
    <row r="2519" ht="15.75" spans="6:9">
      <c r="F2519" s="12" t="s">
        <v>6825</v>
      </c>
      <c r="G2519" s="12" t="s">
        <v>391</v>
      </c>
      <c r="H2519" s="15">
        <v>21823</v>
      </c>
      <c r="I2519" s="13">
        <v>50</v>
      </c>
    </row>
    <row r="2520" ht="15.75" spans="6:9">
      <c r="F2520" s="12" t="s">
        <v>6826</v>
      </c>
      <c r="G2520" s="12" t="s">
        <v>392</v>
      </c>
      <c r="H2520" s="15">
        <v>248694</v>
      </c>
      <c r="I2520" s="13">
        <v>50</v>
      </c>
    </row>
    <row r="2521" ht="15.75" spans="6:9">
      <c r="F2521" s="12" t="s">
        <v>4665</v>
      </c>
      <c r="G2521" s="12" t="s">
        <v>391</v>
      </c>
      <c r="H2521" s="15">
        <v>16982</v>
      </c>
      <c r="I2521" s="13">
        <v>50</v>
      </c>
    </row>
    <row r="2522" ht="15.75" spans="6:9">
      <c r="F2522" s="12" t="s">
        <v>6827</v>
      </c>
      <c r="G2522" s="12" t="s">
        <v>392</v>
      </c>
      <c r="H2522" s="15">
        <v>60800</v>
      </c>
      <c r="I2522" s="13">
        <v>50</v>
      </c>
    </row>
    <row r="2523" ht="15.75" spans="6:9">
      <c r="F2523" s="12" t="s">
        <v>6828</v>
      </c>
      <c r="G2523" s="12" t="s">
        <v>392</v>
      </c>
      <c r="H2523" s="15">
        <v>14600</v>
      </c>
      <c r="I2523" s="13">
        <v>50</v>
      </c>
    </row>
    <row r="2524" ht="15.75" spans="6:9">
      <c r="F2524" s="12" t="s">
        <v>6829</v>
      </c>
      <c r="G2524" s="12" t="s">
        <v>391</v>
      </c>
      <c r="H2524" s="15">
        <v>11827</v>
      </c>
      <c r="I2524" s="13">
        <v>50</v>
      </c>
    </row>
    <row r="2525" ht="15.75" spans="6:9">
      <c r="F2525" s="12" t="s">
        <v>6830</v>
      </c>
      <c r="G2525" s="12" t="s">
        <v>391</v>
      </c>
      <c r="H2525" s="15">
        <v>19578</v>
      </c>
      <c r="I2525" s="13">
        <v>50</v>
      </c>
    </row>
    <row r="2526" ht="15.75" spans="6:9">
      <c r="F2526" s="12" t="s">
        <v>6831</v>
      </c>
      <c r="G2526" s="12" t="s">
        <v>392</v>
      </c>
      <c r="H2526" s="15">
        <v>56600</v>
      </c>
      <c r="I2526" s="13">
        <v>50</v>
      </c>
    </row>
    <row r="2527" ht="15.75" spans="6:9">
      <c r="F2527" s="12" t="s">
        <v>6832</v>
      </c>
      <c r="G2527" s="12" t="s">
        <v>392</v>
      </c>
      <c r="H2527" s="15">
        <v>983500</v>
      </c>
      <c r="I2527" s="13">
        <v>50</v>
      </c>
    </row>
    <row r="2528" ht="15.75" spans="6:9">
      <c r="F2528" s="12" t="s">
        <v>6833</v>
      </c>
      <c r="G2528" s="12" t="s">
        <v>392</v>
      </c>
      <c r="H2528" s="15">
        <v>23600</v>
      </c>
      <c r="I2528" s="13">
        <v>50</v>
      </c>
    </row>
    <row r="2529" ht="15.75" spans="6:9">
      <c r="F2529" s="12" t="s">
        <v>6834</v>
      </c>
      <c r="G2529" s="12" t="s">
        <v>391</v>
      </c>
      <c r="H2529" s="15">
        <v>12392</v>
      </c>
      <c r="I2529" s="13">
        <v>50</v>
      </c>
    </row>
    <row r="2530" ht="15.75" spans="6:9">
      <c r="F2530" s="12" t="s">
        <v>6835</v>
      </c>
      <c r="G2530" s="12" t="s">
        <v>392</v>
      </c>
      <c r="H2530" s="15">
        <v>22400</v>
      </c>
      <c r="I2530" s="13">
        <v>50</v>
      </c>
    </row>
    <row r="2531" ht="15.75" spans="6:9">
      <c r="F2531" s="12" t="s">
        <v>6836</v>
      </c>
      <c r="G2531" s="12" t="s">
        <v>392</v>
      </c>
      <c r="H2531" s="15">
        <v>30000</v>
      </c>
      <c r="I2531" s="13">
        <v>50</v>
      </c>
    </row>
    <row r="2532" ht="15.75" spans="6:9">
      <c r="F2532" s="12" t="s">
        <v>4668</v>
      </c>
      <c r="G2532" s="12" t="s">
        <v>391</v>
      </c>
      <c r="H2532" s="15">
        <v>15505</v>
      </c>
      <c r="I2532" s="13">
        <v>50</v>
      </c>
    </row>
    <row r="2533" ht="15.75" spans="6:9">
      <c r="F2533" s="12" t="s">
        <v>6837</v>
      </c>
      <c r="G2533" s="12" t="s">
        <v>391</v>
      </c>
      <c r="H2533" s="15">
        <v>31000</v>
      </c>
      <c r="I2533" s="13">
        <v>50</v>
      </c>
    </row>
    <row r="2534" ht="15.75" spans="6:9">
      <c r="F2534" s="12" t="s">
        <v>6838</v>
      </c>
      <c r="G2534" s="12" t="s">
        <v>392</v>
      </c>
      <c r="H2534" s="15">
        <v>30500</v>
      </c>
      <c r="I2534" s="13">
        <v>50</v>
      </c>
    </row>
    <row r="2535" ht="15.75" spans="6:9">
      <c r="F2535" s="12" t="s">
        <v>6839</v>
      </c>
      <c r="G2535" s="12" t="s">
        <v>391</v>
      </c>
      <c r="H2535" s="15">
        <v>14184</v>
      </c>
      <c r="I2535" s="13">
        <v>50</v>
      </c>
    </row>
    <row r="2536" ht="15.75" spans="6:9">
      <c r="F2536" s="12" t="s">
        <v>6840</v>
      </c>
      <c r="G2536" s="12" t="s">
        <v>391</v>
      </c>
      <c r="H2536" s="15">
        <v>15837</v>
      </c>
      <c r="I2536" s="13">
        <v>50</v>
      </c>
    </row>
    <row r="2537" ht="15.75" spans="6:9">
      <c r="F2537" s="12" t="s">
        <v>6841</v>
      </c>
      <c r="G2537" s="12" t="s">
        <v>392</v>
      </c>
      <c r="H2537" s="15">
        <v>861400</v>
      </c>
      <c r="I2537" s="13">
        <v>50</v>
      </c>
    </row>
    <row r="2538" ht="15.75" spans="6:9">
      <c r="F2538" s="12" t="s">
        <v>6842</v>
      </c>
      <c r="G2538" s="12" t="s">
        <v>392</v>
      </c>
      <c r="H2538" s="15">
        <v>13000</v>
      </c>
      <c r="I2538" s="13">
        <v>50</v>
      </c>
    </row>
    <row r="2539" ht="15.75" spans="6:9">
      <c r="F2539" s="12" t="s">
        <v>6843</v>
      </c>
      <c r="G2539" s="12" t="s">
        <v>391</v>
      </c>
      <c r="H2539" s="15">
        <v>10453</v>
      </c>
      <c r="I2539" s="13">
        <v>50</v>
      </c>
    </row>
    <row r="2540" ht="15.75" spans="6:9">
      <c r="F2540" s="12" t="s">
        <v>6844</v>
      </c>
      <c r="G2540" s="12" t="s">
        <v>392</v>
      </c>
      <c r="H2540" s="15">
        <v>10300</v>
      </c>
      <c r="I2540" s="13">
        <v>50</v>
      </c>
    </row>
    <row r="2541" ht="15.75" spans="6:9">
      <c r="F2541" s="12" t="s">
        <v>6845</v>
      </c>
      <c r="G2541" s="12" t="s">
        <v>392</v>
      </c>
      <c r="H2541" s="15">
        <v>4600000</v>
      </c>
      <c r="I2541" s="13">
        <v>50</v>
      </c>
    </row>
    <row r="2542" ht="15.75" spans="6:9">
      <c r="F2542" s="12" t="s">
        <v>4670</v>
      </c>
      <c r="G2542" s="12" t="s">
        <v>391</v>
      </c>
      <c r="H2542" s="15">
        <v>18808</v>
      </c>
      <c r="I2542" s="13">
        <v>50</v>
      </c>
    </row>
    <row r="2543" ht="15.75" spans="6:9">
      <c r="F2543" s="12" t="s">
        <v>6846</v>
      </c>
      <c r="G2543" s="12" t="s">
        <v>391</v>
      </c>
      <c r="H2543" s="15">
        <v>18971</v>
      </c>
      <c r="I2543" s="13">
        <v>50</v>
      </c>
    </row>
    <row r="2544" ht="15.75" spans="6:9">
      <c r="F2544" s="12" t="s">
        <v>6847</v>
      </c>
      <c r="G2544" s="12" t="s">
        <v>392</v>
      </c>
      <c r="H2544" s="15">
        <v>183000</v>
      </c>
      <c r="I2544" s="13">
        <v>50</v>
      </c>
    </row>
    <row r="2545" ht="15.75" spans="6:9">
      <c r="F2545" s="12" t="s">
        <v>6848</v>
      </c>
      <c r="G2545" s="12" t="s">
        <v>392</v>
      </c>
      <c r="H2545" s="15">
        <v>11600</v>
      </c>
      <c r="I2545" s="13">
        <v>50</v>
      </c>
    </row>
    <row r="2546" ht="15.75" spans="6:9">
      <c r="F2546" s="12" t="s">
        <v>6849</v>
      </c>
      <c r="G2546" s="12" t="s">
        <v>392</v>
      </c>
      <c r="H2546" s="15">
        <v>22200</v>
      </c>
      <c r="I2546" s="13">
        <v>50</v>
      </c>
    </row>
    <row r="2547" ht="15.75" spans="6:9">
      <c r="F2547" s="12" t="s">
        <v>4673</v>
      </c>
      <c r="G2547" s="12" t="s">
        <v>391</v>
      </c>
      <c r="H2547" s="15">
        <v>13232</v>
      </c>
      <c r="I2547" s="13">
        <v>50</v>
      </c>
    </row>
    <row r="2548" ht="15.75" spans="6:9">
      <c r="F2548" s="12" t="s">
        <v>4676</v>
      </c>
      <c r="G2548" s="12" t="s">
        <v>391</v>
      </c>
      <c r="H2548" s="15">
        <v>18430</v>
      </c>
      <c r="I2548" s="13">
        <v>50</v>
      </c>
    </row>
    <row r="2549" ht="15.75" spans="6:9">
      <c r="F2549" s="12" t="s">
        <v>6850</v>
      </c>
      <c r="G2549" s="12" t="s">
        <v>391</v>
      </c>
      <c r="H2549" s="15">
        <v>10050</v>
      </c>
      <c r="I2549" s="13">
        <v>50</v>
      </c>
    </row>
    <row r="2550" ht="15.75" spans="6:9">
      <c r="F2550" s="12" t="s">
        <v>6851</v>
      </c>
      <c r="G2550" s="12" t="s">
        <v>392</v>
      </c>
      <c r="H2550" s="15">
        <v>51200</v>
      </c>
      <c r="I2550" s="13">
        <v>50</v>
      </c>
    </row>
    <row r="2551" ht="15.75" spans="6:9">
      <c r="F2551" s="12" t="s">
        <v>6852</v>
      </c>
      <c r="G2551" s="12" t="s">
        <v>392</v>
      </c>
      <c r="H2551" s="15">
        <v>135000</v>
      </c>
      <c r="I2551" s="13">
        <v>50</v>
      </c>
    </row>
    <row r="2552" ht="15.75" spans="6:9">
      <c r="F2552" s="12" t="s">
        <v>6853</v>
      </c>
      <c r="G2552" s="12" t="s">
        <v>392</v>
      </c>
      <c r="H2552" s="15">
        <v>17500</v>
      </c>
      <c r="I2552" s="13">
        <v>50</v>
      </c>
    </row>
    <row r="2553" ht="15.75" spans="6:9">
      <c r="F2553" s="12" t="s">
        <v>4679</v>
      </c>
      <c r="G2553" s="12" t="s">
        <v>391</v>
      </c>
      <c r="H2553" s="15">
        <v>14078</v>
      </c>
      <c r="I2553" s="13">
        <v>50</v>
      </c>
    </row>
    <row r="2554" ht="15.75" spans="6:9">
      <c r="F2554" s="12" t="s">
        <v>6854</v>
      </c>
      <c r="G2554" s="12" t="s">
        <v>392</v>
      </c>
      <c r="H2554" s="15">
        <v>295400</v>
      </c>
      <c r="I2554" s="13">
        <v>50</v>
      </c>
    </row>
    <row r="2555" ht="15.75" spans="6:9">
      <c r="F2555" s="12" t="s">
        <v>6855</v>
      </c>
      <c r="G2555" s="12" t="s">
        <v>392</v>
      </c>
      <c r="H2555" s="15">
        <v>180100</v>
      </c>
      <c r="I2555" s="13">
        <v>50</v>
      </c>
    </row>
    <row r="2556" ht="15.75" spans="6:9">
      <c r="F2556" s="12" t="s">
        <v>6856</v>
      </c>
      <c r="G2556" s="12" t="s">
        <v>392</v>
      </c>
      <c r="H2556" s="15">
        <v>256200</v>
      </c>
      <c r="I2556" s="13">
        <v>50</v>
      </c>
    </row>
    <row r="2557" ht="15.75" spans="6:9">
      <c r="F2557" s="12" t="s">
        <v>6857</v>
      </c>
      <c r="G2557" s="12" t="s">
        <v>391</v>
      </c>
      <c r="H2557" s="15">
        <v>10863</v>
      </c>
      <c r="I2557" s="13">
        <v>50</v>
      </c>
    </row>
    <row r="2558" ht="15.75" spans="6:9">
      <c r="F2558" s="12" t="s">
        <v>4681</v>
      </c>
      <c r="G2558" s="12" t="s">
        <v>391</v>
      </c>
      <c r="H2558" s="15">
        <v>20970</v>
      </c>
      <c r="I2558" s="13">
        <v>50</v>
      </c>
    </row>
    <row r="2559" ht="15.75" spans="6:9">
      <c r="F2559" s="12" t="s">
        <v>4684</v>
      </c>
      <c r="G2559" s="12" t="s">
        <v>391</v>
      </c>
      <c r="H2559" s="15">
        <v>17056</v>
      </c>
      <c r="I2559" s="13">
        <v>50</v>
      </c>
    </row>
    <row r="2560" ht="15.75" spans="6:9">
      <c r="F2560" s="12" t="s">
        <v>4687</v>
      </c>
      <c r="G2560" s="12" t="s">
        <v>391</v>
      </c>
      <c r="H2560" s="15">
        <v>10422</v>
      </c>
      <c r="I2560" s="13">
        <v>50</v>
      </c>
    </row>
    <row r="2561" ht="15.75" spans="6:9">
      <c r="F2561" s="12" t="s">
        <v>6858</v>
      </c>
      <c r="G2561" s="12" t="s">
        <v>392</v>
      </c>
      <c r="H2561" s="15">
        <v>56800</v>
      </c>
      <c r="I2561" s="13">
        <v>50</v>
      </c>
    </row>
    <row r="2562" ht="15.75" spans="6:9">
      <c r="F2562" s="12" t="s">
        <v>6859</v>
      </c>
      <c r="G2562" s="12" t="s">
        <v>391</v>
      </c>
      <c r="H2562" s="15">
        <v>15460</v>
      </c>
      <c r="I2562" s="13">
        <v>50</v>
      </c>
    </row>
    <row r="2563" ht="15.75" spans="6:9">
      <c r="F2563" s="12" t="s">
        <v>6860</v>
      </c>
      <c r="G2563" s="12" t="s">
        <v>392</v>
      </c>
      <c r="H2563" s="15">
        <v>11200</v>
      </c>
      <c r="I2563" s="13">
        <v>50</v>
      </c>
    </row>
    <row r="2564" ht="15.75" spans="6:9">
      <c r="F2564" s="12" t="s">
        <v>6861</v>
      </c>
      <c r="G2564" s="12" t="s">
        <v>392</v>
      </c>
      <c r="H2564" s="15">
        <v>12900</v>
      </c>
      <c r="I2564" s="13">
        <v>50</v>
      </c>
    </row>
    <row r="2565" ht="15.75" spans="6:9">
      <c r="F2565" s="12" t="s">
        <v>4689</v>
      </c>
      <c r="G2565" s="12" t="s">
        <v>391</v>
      </c>
      <c r="H2565" s="15">
        <v>11323</v>
      </c>
      <c r="I2565" s="13">
        <v>50</v>
      </c>
    </row>
    <row r="2566" ht="15.75" spans="6:9">
      <c r="F2566" s="12" t="s">
        <v>6862</v>
      </c>
      <c r="G2566" s="12" t="s">
        <v>392</v>
      </c>
      <c r="H2566" s="15">
        <v>17000</v>
      </c>
      <c r="I2566" s="13">
        <v>50</v>
      </c>
    </row>
    <row r="2567" ht="15.75" spans="6:9">
      <c r="F2567" s="12" t="s">
        <v>4691</v>
      </c>
      <c r="G2567" s="12" t="s">
        <v>391</v>
      </c>
      <c r="H2567" s="15">
        <v>11740</v>
      </c>
      <c r="I2567" s="13">
        <v>50</v>
      </c>
    </row>
    <row r="2568" ht="15.75" spans="6:9">
      <c r="F2568" s="12" t="s">
        <v>6863</v>
      </c>
      <c r="G2568" s="12" t="s">
        <v>391</v>
      </c>
      <c r="H2568" s="15">
        <v>13891</v>
      </c>
      <c r="I2568" s="13">
        <v>50</v>
      </c>
    </row>
    <row r="2569" ht="15.75" spans="6:9">
      <c r="F2569" s="12" t="s">
        <v>4694</v>
      </c>
      <c r="G2569" s="12" t="s">
        <v>391</v>
      </c>
      <c r="H2569" s="15">
        <v>13895</v>
      </c>
      <c r="I2569" s="13">
        <v>50</v>
      </c>
    </row>
    <row r="2570" ht="15.75" spans="6:9">
      <c r="F2570" s="12" t="s">
        <v>4696</v>
      </c>
      <c r="G2570" s="12" t="s">
        <v>391</v>
      </c>
      <c r="H2570" s="15">
        <v>30048</v>
      </c>
      <c r="I2570" s="13">
        <v>50</v>
      </c>
    </row>
    <row r="2571" ht="15.75" spans="6:9">
      <c r="F2571" s="12" t="s">
        <v>6864</v>
      </c>
      <c r="G2571" s="12" t="s">
        <v>392</v>
      </c>
      <c r="H2571" s="15">
        <v>33400</v>
      </c>
      <c r="I2571" s="13">
        <v>50</v>
      </c>
    </row>
    <row r="2572" ht="15.75" spans="6:9">
      <c r="F2572" s="12" t="s">
        <v>6865</v>
      </c>
      <c r="G2572" s="12" t="s">
        <v>392</v>
      </c>
      <c r="H2572" s="15">
        <v>4613667</v>
      </c>
      <c r="I2572" s="13">
        <v>50</v>
      </c>
    </row>
    <row r="2573" ht="15.75" spans="6:9">
      <c r="F2573" s="12" t="s">
        <v>6866</v>
      </c>
      <c r="G2573" s="12" t="s">
        <v>392</v>
      </c>
      <c r="H2573" s="15">
        <v>29200</v>
      </c>
      <c r="I2573" s="13">
        <v>50</v>
      </c>
    </row>
    <row r="2574" ht="15.75" spans="6:9">
      <c r="F2574" s="12" t="s">
        <v>6867</v>
      </c>
      <c r="G2574" s="12" t="s">
        <v>392</v>
      </c>
      <c r="H2574" s="15">
        <v>45500</v>
      </c>
      <c r="I2574" s="13">
        <v>50</v>
      </c>
    </row>
    <row r="2575" ht="15.75" spans="6:9">
      <c r="F2575" s="12" t="s">
        <v>4699</v>
      </c>
      <c r="G2575" s="12" t="s">
        <v>391</v>
      </c>
      <c r="H2575" s="15">
        <v>22435</v>
      </c>
      <c r="I2575" s="13">
        <v>50</v>
      </c>
    </row>
    <row r="2576" ht="15.75" spans="6:9">
      <c r="F2576" s="12" t="s">
        <v>4702</v>
      </c>
      <c r="G2576" s="12" t="s">
        <v>391</v>
      </c>
      <c r="H2576" s="15">
        <v>22946</v>
      </c>
      <c r="I2576" s="13">
        <v>50</v>
      </c>
    </row>
    <row r="2577" ht="15.75" spans="6:9">
      <c r="F2577" s="12" t="s">
        <v>6868</v>
      </c>
      <c r="G2577" s="12" t="s">
        <v>392</v>
      </c>
      <c r="H2577" s="15">
        <v>158000</v>
      </c>
      <c r="I2577" s="13">
        <v>50</v>
      </c>
    </row>
    <row r="2578" ht="15.75" spans="6:9">
      <c r="F2578" s="12" t="s">
        <v>6869</v>
      </c>
      <c r="G2578" s="12" t="s">
        <v>391</v>
      </c>
      <c r="H2578" s="15">
        <v>12136</v>
      </c>
      <c r="I2578" s="13">
        <v>50</v>
      </c>
    </row>
    <row r="2579" ht="15.75" spans="6:9">
      <c r="F2579" s="12" t="s">
        <v>6870</v>
      </c>
      <c r="G2579" s="12" t="s">
        <v>392</v>
      </c>
      <c r="H2579" s="15">
        <v>15600</v>
      </c>
      <c r="I2579" s="13">
        <v>50</v>
      </c>
    </row>
    <row r="2580" ht="15.75" spans="6:9">
      <c r="F2580" s="12" t="s">
        <v>6871</v>
      </c>
      <c r="G2580" s="12" t="s">
        <v>391</v>
      </c>
      <c r="H2580" s="15">
        <v>24642</v>
      </c>
      <c r="I2580" s="13">
        <v>50</v>
      </c>
    </row>
    <row r="2581" ht="15.75" spans="6:9">
      <c r="F2581" s="12" t="s">
        <v>6872</v>
      </c>
      <c r="G2581" s="12" t="s">
        <v>391</v>
      </c>
      <c r="H2581" s="15">
        <v>13072</v>
      </c>
      <c r="I2581" s="13">
        <v>50</v>
      </c>
    </row>
    <row r="2582" ht="15.75" spans="6:9">
      <c r="F2582" s="12" t="s">
        <v>6873</v>
      </c>
      <c r="G2582" s="12" t="s">
        <v>392</v>
      </c>
      <c r="H2582" s="15">
        <v>1100000</v>
      </c>
      <c r="I2582" s="13">
        <v>50</v>
      </c>
    </row>
    <row r="2583" ht="15.75" spans="6:9">
      <c r="F2583" s="12" t="s">
        <v>6874</v>
      </c>
      <c r="G2583" s="12" t="s">
        <v>392</v>
      </c>
      <c r="H2583" s="15">
        <v>20300</v>
      </c>
      <c r="I2583" s="13">
        <v>50</v>
      </c>
    </row>
    <row r="2584" ht="15.75" spans="6:9">
      <c r="F2584" s="12" t="s">
        <v>6875</v>
      </c>
      <c r="G2584" s="12" t="s">
        <v>392</v>
      </c>
      <c r="H2584" s="15">
        <v>136900</v>
      </c>
      <c r="I2584" s="13">
        <v>50</v>
      </c>
    </row>
    <row r="2585" ht="15.75" spans="6:9">
      <c r="F2585" s="12" t="s">
        <v>6876</v>
      </c>
      <c r="G2585" s="12" t="s">
        <v>392</v>
      </c>
      <c r="H2585" s="15">
        <v>22900</v>
      </c>
      <c r="I2585" s="13">
        <v>50</v>
      </c>
    </row>
    <row r="2586" ht="15.75" spans="6:9">
      <c r="F2586" s="12" t="s">
        <v>6877</v>
      </c>
      <c r="G2586" s="12" t="s">
        <v>392</v>
      </c>
      <c r="H2586" s="15">
        <v>67300</v>
      </c>
      <c r="I2586" s="13">
        <v>50</v>
      </c>
    </row>
    <row r="2587" ht="15.75" spans="6:9">
      <c r="F2587" s="12" t="s">
        <v>6878</v>
      </c>
      <c r="G2587" s="12" t="s">
        <v>391</v>
      </c>
      <c r="H2587" s="15">
        <v>13733</v>
      </c>
      <c r="I2587" s="13">
        <v>50</v>
      </c>
    </row>
    <row r="2588" ht="15.75" spans="6:9">
      <c r="F2588" s="12" t="s">
        <v>6879</v>
      </c>
      <c r="G2588" s="12" t="s">
        <v>392</v>
      </c>
      <c r="H2588" s="15">
        <v>215400</v>
      </c>
      <c r="I2588" s="13">
        <v>50</v>
      </c>
    </row>
    <row r="2589" ht="15.75" spans="6:9">
      <c r="F2589" s="12" t="s">
        <v>4707</v>
      </c>
      <c r="G2589" s="12" t="s">
        <v>391</v>
      </c>
      <c r="H2589" s="15">
        <v>11713</v>
      </c>
      <c r="I2589" s="13">
        <v>50</v>
      </c>
    </row>
    <row r="2590" ht="15.75" spans="6:9">
      <c r="F2590" s="12" t="s">
        <v>4710</v>
      </c>
      <c r="G2590" s="12" t="s">
        <v>391</v>
      </c>
      <c r="H2590" s="15">
        <v>12791</v>
      </c>
      <c r="I2590" s="13">
        <v>50</v>
      </c>
    </row>
    <row r="2591" ht="15.75" spans="6:9">
      <c r="F2591" s="12" t="s">
        <v>6880</v>
      </c>
      <c r="G2591" s="12" t="s">
        <v>392</v>
      </c>
      <c r="H2591" s="15">
        <v>157171</v>
      </c>
      <c r="I2591" s="13">
        <v>50</v>
      </c>
    </row>
    <row r="2592" ht="15.75" spans="6:9">
      <c r="F2592" s="12" t="s">
        <v>6881</v>
      </c>
      <c r="G2592" s="12" t="s">
        <v>391</v>
      </c>
      <c r="H2592" s="15">
        <v>11703</v>
      </c>
      <c r="I2592" s="13">
        <v>50</v>
      </c>
    </row>
    <row r="2593" ht="15.75" spans="6:9">
      <c r="F2593" s="12" t="s">
        <v>6882</v>
      </c>
      <c r="G2593" s="12" t="s">
        <v>392</v>
      </c>
      <c r="H2593" s="15">
        <v>11100</v>
      </c>
      <c r="I2593" s="13">
        <v>50</v>
      </c>
    </row>
    <row r="2594" ht="15.75" spans="6:9">
      <c r="F2594" s="12" t="s">
        <v>6883</v>
      </c>
      <c r="G2594" s="12" t="s">
        <v>392</v>
      </c>
      <c r="H2594" s="15">
        <v>226800</v>
      </c>
      <c r="I2594" s="13">
        <v>50</v>
      </c>
    </row>
    <row r="2595" ht="15.75" spans="6:9">
      <c r="F2595" s="12" t="s">
        <v>6884</v>
      </c>
      <c r="G2595" s="12" t="s">
        <v>392</v>
      </c>
      <c r="H2595" s="15">
        <v>26700</v>
      </c>
      <c r="I2595" s="13">
        <v>50</v>
      </c>
    </row>
    <row r="2596" ht="15.75" spans="6:9">
      <c r="F2596" s="12" t="s">
        <v>6885</v>
      </c>
      <c r="G2596" s="12" t="s">
        <v>391</v>
      </c>
      <c r="H2596" s="15">
        <v>18707</v>
      </c>
      <c r="I2596" s="13">
        <v>50</v>
      </c>
    </row>
    <row r="2597" ht="15.75" spans="6:9">
      <c r="F2597" s="12" t="s">
        <v>6886</v>
      </c>
      <c r="G2597" s="12" t="s">
        <v>392</v>
      </c>
      <c r="H2597" s="15">
        <v>11200</v>
      </c>
      <c r="I2597" s="13">
        <v>50</v>
      </c>
    </row>
    <row r="2598" ht="15.75" spans="6:9">
      <c r="F2598" s="12" t="s">
        <v>6887</v>
      </c>
      <c r="G2598" s="12" t="s">
        <v>392</v>
      </c>
      <c r="H2598" s="15">
        <v>86800</v>
      </c>
      <c r="I2598" s="13">
        <v>50</v>
      </c>
    </row>
    <row r="2599" ht="15.75" spans="6:9">
      <c r="F2599" s="12" t="s">
        <v>6888</v>
      </c>
      <c r="G2599" s="12" t="s">
        <v>391</v>
      </c>
      <c r="H2599" s="15">
        <v>13860</v>
      </c>
      <c r="I2599" s="13">
        <v>50</v>
      </c>
    </row>
    <row r="2600" ht="15.75" spans="6:9">
      <c r="F2600" s="12" t="s">
        <v>4712</v>
      </c>
      <c r="G2600" s="12" t="s">
        <v>391</v>
      </c>
      <c r="H2600" s="15">
        <v>15093</v>
      </c>
      <c r="I2600" s="13">
        <v>50</v>
      </c>
    </row>
    <row r="2601" ht="15.75" spans="6:9">
      <c r="F2601" s="12" t="s">
        <v>4715</v>
      </c>
      <c r="G2601" s="12" t="s">
        <v>391</v>
      </c>
      <c r="H2601" s="15">
        <v>11318</v>
      </c>
      <c r="I2601" s="13">
        <v>50</v>
      </c>
    </row>
    <row r="2602" ht="15.75" spans="6:9">
      <c r="F2602" s="12" t="s">
        <v>4718</v>
      </c>
      <c r="G2602" s="12" t="s">
        <v>391</v>
      </c>
      <c r="H2602" s="15">
        <v>32463</v>
      </c>
      <c r="I2602" s="13">
        <v>50</v>
      </c>
    </row>
    <row r="2603" ht="15.75" spans="6:9">
      <c r="F2603" s="12" t="s">
        <v>4721</v>
      </c>
      <c r="G2603" s="12" t="s">
        <v>391</v>
      </c>
      <c r="H2603" s="15">
        <v>34608</v>
      </c>
      <c r="I2603" s="13">
        <v>50</v>
      </c>
    </row>
    <row r="2604" ht="15.75" spans="6:9">
      <c r="F2604" s="12" t="s">
        <v>6889</v>
      </c>
      <c r="G2604" s="12" t="s">
        <v>391</v>
      </c>
      <c r="H2604" s="15">
        <v>11939</v>
      </c>
      <c r="I2604" s="13">
        <v>50</v>
      </c>
    </row>
    <row r="2605" ht="15.75" spans="6:9">
      <c r="F2605" s="12" t="s">
        <v>6890</v>
      </c>
      <c r="G2605" s="12" t="s">
        <v>391</v>
      </c>
      <c r="H2605" s="15">
        <v>10309</v>
      </c>
      <c r="I2605" s="13">
        <v>50</v>
      </c>
    </row>
    <row r="2606" ht="15.75" spans="6:9">
      <c r="F2606" s="12" t="s">
        <v>6891</v>
      </c>
      <c r="G2606" s="12" t="s">
        <v>391</v>
      </c>
      <c r="H2606" s="15">
        <v>17309</v>
      </c>
      <c r="I2606" s="13">
        <v>50</v>
      </c>
    </row>
    <row r="2607" ht="15.75" spans="6:9">
      <c r="F2607" s="12" t="s">
        <v>6892</v>
      </c>
      <c r="G2607" s="12" t="s">
        <v>392</v>
      </c>
      <c r="H2607" s="15">
        <v>10300</v>
      </c>
      <c r="I2607" s="13">
        <v>50</v>
      </c>
    </row>
    <row r="2608" ht="15.75" spans="6:9">
      <c r="F2608" s="12" t="s">
        <v>6893</v>
      </c>
      <c r="G2608" s="12" t="s">
        <v>391</v>
      </c>
      <c r="H2608" s="15">
        <v>12585</v>
      </c>
      <c r="I2608" s="13">
        <v>50</v>
      </c>
    </row>
    <row r="2609" ht="15.75" spans="6:9">
      <c r="F2609" s="12" t="s">
        <v>6894</v>
      </c>
      <c r="G2609" s="12" t="s">
        <v>391</v>
      </c>
      <c r="H2609" s="15">
        <v>130457</v>
      </c>
      <c r="I2609" s="13">
        <v>50</v>
      </c>
    </row>
    <row r="2610" ht="15.75" spans="6:9">
      <c r="F2610" s="12" t="s">
        <v>6895</v>
      </c>
      <c r="G2610" s="12" t="s">
        <v>391</v>
      </c>
      <c r="H2610" s="15">
        <v>16248</v>
      </c>
      <c r="I2610" s="13">
        <v>50</v>
      </c>
    </row>
    <row r="2611" ht="15.75" spans="6:9">
      <c r="F2611" s="12" t="s">
        <v>6896</v>
      </c>
      <c r="G2611" s="12" t="s">
        <v>392</v>
      </c>
      <c r="H2611" s="15">
        <v>216100</v>
      </c>
      <c r="I2611" s="13">
        <v>50</v>
      </c>
    </row>
    <row r="2612" ht="15.75" spans="6:9">
      <c r="F2612" s="12" t="s">
        <v>6897</v>
      </c>
      <c r="G2612" s="12" t="s">
        <v>391</v>
      </c>
      <c r="H2612" s="15">
        <v>12552</v>
      </c>
      <c r="I2612" s="13">
        <v>50</v>
      </c>
    </row>
    <row r="2613" ht="15.75" spans="6:9">
      <c r="F2613" s="12" t="s">
        <v>6898</v>
      </c>
      <c r="G2613" s="12" t="s">
        <v>392</v>
      </c>
      <c r="H2613" s="15">
        <v>310100</v>
      </c>
      <c r="I2613" s="13">
        <v>50</v>
      </c>
    </row>
    <row r="2614" ht="15.75" spans="6:9">
      <c r="F2614" s="12" t="s">
        <v>6899</v>
      </c>
      <c r="G2614" s="12" t="s">
        <v>391</v>
      </c>
      <c r="H2614" s="15">
        <v>20347</v>
      </c>
      <c r="I2614" s="13">
        <v>50</v>
      </c>
    </row>
    <row r="2615" ht="15.75" spans="6:9">
      <c r="F2615" s="12" t="s">
        <v>6900</v>
      </c>
      <c r="G2615" s="12" t="s">
        <v>392</v>
      </c>
      <c r="H2615" s="15">
        <v>11600</v>
      </c>
      <c r="I2615" s="13">
        <v>50</v>
      </c>
    </row>
    <row r="2616" ht="15.75" spans="6:9">
      <c r="F2616" s="12" t="s">
        <v>6901</v>
      </c>
      <c r="G2616" s="12" t="s">
        <v>392</v>
      </c>
      <c r="H2616" s="15">
        <v>232300</v>
      </c>
      <c r="I2616" s="13">
        <v>50</v>
      </c>
    </row>
    <row r="2617" ht="15.75" spans="6:9">
      <c r="F2617" s="12" t="s">
        <v>6902</v>
      </c>
      <c r="G2617" s="12" t="s">
        <v>392</v>
      </c>
      <c r="H2617" s="15">
        <v>198700</v>
      </c>
      <c r="I2617" s="13">
        <v>50</v>
      </c>
    </row>
    <row r="2618" ht="15.75" spans="6:9">
      <c r="F2618" s="12" t="s">
        <v>3233</v>
      </c>
      <c r="G2618" s="12" t="s">
        <v>391</v>
      </c>
      <c r="H2618" s="15">
        <v>2011129</v>
      </c>
      <c r="I2618" s="13">
        <v>50</v>
      </c>
    </row>
    <row r="2619" ht="15.75" spans="6:9">
      <c r="F2619" s="12" t="s">
        <v>6903</v>
      </c>
      <c r="G2619" s="12" t="s">
        <v>392</v>
      </c>
      <c r="H2619" s="15">
        <v>12000</v>
      </c>
      <c r="I2619" s="13">
        <v>50</v>
      </c>
    </row>
    <row r="2620" ht="15.75" spans="6:9">
      <c r="F2620" s="12" t="s">
        <v>6904</v>
      </c>
      <c r="G2620" s="12" t="s">
        <v>392</v>
      </c>
      <c r="H2620" s="15">
        <v>21800</v>
      </c>
      <c r="I2620" s="13">
        <v>50</v>
      </c>
    </row>
    <row r="2621" ht="15.75" spans="6:9">
      <c r="F2621" s="12" t="s">
        <v>6905</v>
      </c>
      <c r="G2621" s="12" t="s">
        <v>392</v>
      </c>
      <c r="H2621" s="15">
        <v>69300</v>
      </c>
      <c r="I2621" s="13">
        <v>50</v>
      </c>
    </row>
    <row r="2622" ht="15.75" spans="6:9">
      <c r="F2622" s="12" t="s">
        <v>6906</v>
      </c>
      <c r="G2622" s="12" t="s">
        <v>392</v>
      </c>
      <c r="H2622" s="15">
        <v>54100</v>
      </c>
      <c r="I2622" s="13">
        <v>50</v>
      </c>
    </row>
    <row r="2623" ht="15.75" spans="6:9">
      <c r="F2623" s="12" t="s">
        <v>6907</v>
      </c>
      <c r="G2623" s="12" t="s">
        <v>392</v>
      </c>
      <c r="H2623" s="15">
        <v>33400</v>
      </c>
      <c r="I2623" s="13">
        <v>50</v>
      </c>
    </row>
    <row r="2624" ht="15.75" spans="6:9">
      <c r="F2624" s="12" t="s">
        <v>4724</v>
      </c>
      <c r="G2624" s="12" t="s">
        <v>391</v>
      </c>
      <c r="H2624" s="15">
        <v>10729</v>
      </c>
      <c r="I2624" s="13">
        <v>50</v>
      </c>
    </row>
    <row r="2625" ht="15.75" spans="6:9">
      <c r="F2625" s="12" t="s">
        <v>4727</v>
      </c>
      <c r="G2625" s="12" t="s">
        <v>391</v>
      </c>
      <c r="H2625" s="15">
        <v>10207</v>
      </c>
      <c r="I2625" s="13">
        <v>50</v>
      </c>
    </row>
    <row r="2626" ht="15.75" spans="6:9">
      <c r="F2626" s="12" t="s">
        <v>6908</v>
      </c>
      <c r="G2626" s="12" t="s">
        <v>391</v>
      </c>
      <c r="H2626" s="15">
        <v>20754</v>
      </c>
      <c r="I2626" s="13">
        <v>50</v>
      </c>
    </row>
    <row r="2627" ht="15.75" spans="6:9">
      <c r="F2627" s="12" t="s">
        <v>6909</v>
      </c>
      <c r="G2627" s="12" t="s">
        <v>391</v>
      </c>
      <c r="H2627" s="15">
        <v>16139</v>
      </c>
      <c r="I2627" s="13">
        <v>50</v>
      </c>
    </row>
    <row r="2628" ht="15.75" spans="6:9">
      <c r="F2628" s="12" t="s">
        <v>6910</v>
      </c>
      <c r="G2628" s="12" t="s">
        <v>392</v>
      </c>
      <c r="H2628" s="15">
        <v>43100</v>
      </c>
      <c r="I2628" s="13">
        <v>50</v>
      </c>
    </row>
    <row r="2629" ht="15.75" spans="6:9">
      <c r="F2629" s="12" t="s">
        <v>3236</v>
      </c>
      <c r="G2629" s="12" t="s">
        <v>391</v>
      </c>
      <c r="H2629" s="15">
        <v>82989</v>
      </c>
      <c r="I2629" s="13">
        <v>50</v>
      </c>
    </row>
    <row r="2630" ht="15.75" spans="6:9">
      <c r="F2630" s="12" t="s">
        <v>4730</v>
      </c>
      <c r="G2630" s="12" t="s">
        <v>391</v>
      </c>
      <c r="H2630" s="15">
        <v>29811</v>
      </c>
      <c r="I2630" s="13">
        <v>50</v>
      </c>
    </row>
    <row r="2631" ht="15.75" spans="6:9">
      <c r="F2631" s="12" t="s">
        <v>6911</v>
      </c>
      <c r="G2631" s="12" t="s">
        <v>392</v>
      </c>
      <c r="H2631" s="15">
        <v>10300</v>
      </c>
      <c r="I2631" s="13">
        <v>50</v>
      </c>
    </row>
    <row r="2632" ht="15.75" spans="6:9">
      <c r="F2632" s="12" t="s">
        <v>6912</v>
      </c>
      <c r="G2632" s="12" t="s">
        <v>391</v>
      </c>
      <c r="H2632" s="15">
        <v>10703</v>
      </c>
      <c r="I2632" s="13">
        <v>50</v>
      </c>
    </row>
    <row r="2633" ht="15.75" spans="6:9">
      <c r="F2633" s="12" t="s">
        <v>6913</v>
      </c>
      <c r="G2633" s="12" t="s">
        <v>392</v>
      </c>
      <c r="H2633" s="15">
        <v>11600</v>
      </c>
      <c r="I2633" s="13">
        <v>50</v>
      </c>
    </row>
    <row r="2634" ht="15.75" spans="6:9">
      <c r="F2634" s="12" t="s">
        <v>6914</v>
      </c>
      <c r="G2634" s="12" t="s">
        <v>392</v>
      </c>
      <c r="H2634" s="15">
        <v>182400</v>
      </c>
      <c r="I2634" s="13">
        <v>50</v>
      </c>
    </row>
    <row r="2635" ht="15.75" spans="6:9">
      <c r="F2635" s="12" t="s">
        <v>6915</v>
      </c>
      <c r="G2635" s="12" t="s">
        <v>391</v>
      </c>
      <c r="H2635" s="15">
        <v>16226</v>
      </c>
      <c r="I2635" s="13">
        <v>50</v>
      </c>
    </row>
    <row r="2636" ht="15.75" spans="6:9">
      <c r="F2636" s="12" t="s">
        <v>4733</v>
      </c>
      <c r="G2636" s="12" t="s">
        <v>391</v>
      </c>
      <c r="H2636" s="15">
        <v>26779</v>
      </c>
      <c r="I2636" s="13">
        <v>50</v>
      </c>
    </row>
    <row r="2637" ht="15.75" spans="6:9">
      <c r="F2637" s="12" t="s">
        <v>4736</v>
      </c>
      <c r="G2637" s="12" t="s">
        <v>391</v>
      </c>
      <c r="H2637" s="15">
        <v>10806</v>
      </c>
      <c r="I2637" s="13">
        <v>50</v>
      </c>
    </row>
    <row r="2638" ht="15.75" spans="6:9">
      <c r="F2638" s="12" t="s">
        <v>6916</v>
      </c>
      <c r="G2638" s="12" t="s">
        <v>392</v>
      </c>
      <c r="H2638" s="15">
        <v>29300</v>
      </c>
      <c r="I2638" s="13">
        <v>50</v>
      </c>
    </row>
    <row r="2639" ht="15.75" spans="6:9">
      <c r="F2639" s="12" t="s">
        <v>6917</v>
      </c>
      <c r="G2639" s="12" t="s">
        <v>392</v>
      </c>
      <c r="H2639" s="15">
        <v>15800</v>
      </c>
      <c r="I2639" s="13">
        <v>50</v>
      </c>
    </row>
    <row r="2640" ht="15.75" spans="6:9">
      <c r="F2640" s="12" t="s">
        <v>6918</v>
      </c>
      <c r="G2640" s="12" t="s">
        <v>392</v>
      </c>
      <c r="H2640" s="15">
        <v>17200</v>
      </c>
      <c r="I2640" s="13">
        <v>50</v>
      </c>
    </row>
    <row r="2641" ht="15.75" spans="6:9">
      <c r="F2641" s="12" t="s">
        <v>6919</v>
      </c>
      <c r="G2641" s="12" t="s">
        <v>392</v>
      </c>
      <c r="H2641" s="15">
        <v>47600</v>
      </c>
      <c r="I2641" s="13">
        <v>50</v>
      </c>
    </row>
    <row r="2642" ht="15.75" spans="6:9">
      <c r="F2642" s="12" t="s">
        <v>6920</v>
      </c>
      <c r="G2642" s="12" t="s">
        <v>392</v>
      </c>
      <c r="H2642" s="15">
        <v>11000</v>
      </c>
      <c r="I2642" s="13">
        <v>50</v>
      </c>
    </row>
    <row r="2643" ht="15.75" spans="6:9">
      <c r="F2643" s="12" t="s">
        <v>6921</v>
      </c>
      <c r="G2643" s="12" t="s">
        <v>392</v>
      </c>
      <c r="H2643" s="15">
        <v>132200</v>
      </c>
      <c r="I2643" s="13">
        <v>50</v>
      </c>
    </row>
    <row r="2644" ht="15.75" spans="6:9">
      <c r="F2644" s="12" t="s">
        <v>6922</v>
      </c>
      <c r="G2644" s="12" t="s">
        <v>392</v>
      </c>
      <c r="H2644" s="15">
        <v>116243</v>
      </c>
      <c r="I2644" s="13">
        <v>50</v>
      </c>
    </row>
    <row r="2645" ht="15.75" spans="6:9">
      <c r="F2645" s="12" t="s">
        <v>6923</v>
      </c>
      <c r="G2645" s="12" t="s">
        <v>392</v>
      </c>
      <c r="H2645" s="15">
        <v>200000</v>
      </c>
      <c r="I2645" s="13">
        <v>50</v>
      </c>
    </row>
    <row r="2646" ht="15.75" spans="6:9">
      <c r="F2646" s="12" t="s">
        <v>6924</v>
      </c>
      <c r="G2646" s="12" t="s">
        <v>391</v>
      </c>
      <c r="H2646" s="15">
        <v>21018</v>
      </c>
      <c r="I2646" s="13">
        <v>50</v>
      </c>
    </row>
    <row r="2647" ht="15.75" spans="6:9">
      <c r="F2647" s="12" t="s">
        <v>6925</v>
      </c>
      <c r="G2647" s="12" t="s">
        <v>392</v>
      </c>
      <c r="H2647" s="15">
        <v>89400</v>
      </c>
      <c r="I2647" s="13">
        <v>50</v>
      </c>
    </row>
    <row r="2648" ht="15.75" spans="6:9">
      <c r="F2648" s="12" t="s">
        <v>6926</v>
      </c>
      <c r="G2648" s="12" t="s">
        <v>392</v>
      </c>
      <c r="H2648" s="15">
        <v>22300</v>
      </c>
      <c r="I2648" s="13">
        <v>50</v>
      </c>
    </row>
    <row r="2649" ht="15.75" spans="6:9">
      <c r="F2649" s="12" t="s">
        <v>6927</v>
      </c>
      <c r="G2649" s="12" t="s">
        <v>391</v>
      </c>
      <c r="H2649" s="15">
        <v>12285</v>
      </c>
      <c r="I2649" s="13">
        <v>50</v>
      </c>
    </row>
    <row r="2650" ht="15.75" spans="6:9">
      <c r="F2650" s="12" t="s">
        <v>6928</v>
      </c>
      <c r="G2650" s="12" t="s">
        <v>391</v>
      </c>
      <c r="H2650" s="15">
        <v>19436</v>
      </c>
      <c r="I2650" s="13">
        <v>50</v>
      </c>
    </row>
    <row r="2651" ht="15.75" spans="6:9">
      <c r="F2651" s="12" t="s">
        <v>6929</v>
      </c>
      <c r="G2651" s="12" t="s">
        <v>392</v>
      </c>
      <c r="H2651" s="15">
        <v>371500</v>
      </c>
      <c r="I2651" s="13">
        <v>50</v>
      </c>
    </row>
    <row r="2652" ht="15.75" spans="6:9">
      <c r="F2652" s="12" t="s">
        <v>6930</v>
      </c>
      <c r="G2652" s="12" t="s">
        <v>392</v>
      </c>
      <c r="H2652" s="15">
        <v>2000000</v>
      </c>
      <c r="I2652" s="13">
        <v>50</v>
      </c>
    </row>
    <row r="2653" ht="15.75" spans="6:9">
      <c r="F2653" s="12" t="s">
        <v>6931</v>
      </c>
      <c r="G2653" s="12" t="s">
        <v>392</v>
      </c>
      <c r="H2653" s="15">
        <v>50700</v>
      </c>
      <c r="I2653" s="13">
        <v>50</v>
      </c>
    </row>
    <row r="2654" ht="15.75" spans="6:9">
      <c r="F2654" s="12" t="s">
        <v>6932</v>
      </c>
      <c r="G2654" s="12" t="s">
        <v>392</v>
      </c>
      <c r="H2654" s="15">
        <v>65300</v>
      </c>
      <c r="I2654" s="13">
        <v>50</v>
      </c>
    </row>
    <row r="2655" ht="15.75" spans="6:9">
      <c r="F2655" s="12" t="s">
        <v>6933</v>
      </c>
      <c r="G2655" s="12" t="s">
        <v>392</v>
      </c>
      <c r="H2655" s="15">
        <v>11500</v>
      </c>
      <c r="I2655" s="13">
        <v>50</v>
      </c>
    </row>
    <row r="2656" ht="15.75" spans="6:9">
      <c r="F2656" s="12" t="s">
        <v>6934</v>
      </c>
      <c r="G2656" s="12" t="s">
        <v>391</v>
      </c>
      <c r="H2656" s="15">
        <v>23905</v>
      </c>
      <c r="I2656" s="13">
        <v>50</v>
      </c>
    </row>
    <row r="2657" ht="15.75" spans="6:9">
      <c r="F2657" s="12" t="s">
        <v>6935</v>
      </c>
      <c r="G2657" s="12" t="s">
        <v>392</v>
      </c>
      <c r="H2657" s="15">
        <v>446100</v>
      </c>
      <c r="I2657" s="13">
        <v>50</v>
      </c>
    </row>
    <row r="2658" ht="15.75" spans="6:9">
      <c r="F2658" s="12" t="s">
        <v>6936</v>
      </c>
      <c r="G2658" s="12" t="s">
        <v>391</v>
      </c>
      <c r="H2658" s="15">
        <v>17604</v>
      </c>
      <c r="I2658" s="13">
        <v>50</v>
      </c>
    </row>
    <row r="2659" ht="15.75" spans="6:9">
      <c r="F2659" s="12" t="s">
        <v>6937</v>
      </c>
      <c r="G2659" s="12" t="s">
        <v>392</v>
      </c>
      <c r="H2659" s="15">
        <v>40800</v>
      </c>
      <c r="I2659" s="13">
        <v>50</v>
      </c>
    </row>
    <row r="2660" ht="15.75" spans="6:9">
      <c r="F2660" s="12" t="s">
        <v>6938</v>
      </c>
      <c r="G2660" s="12" t="s">
        <v>392</v>
      </c>
      <c r="H2660" s="15">
        <v>34700</v>
      </c>
      <c r="I2660" s="13">
        <v>50</v>
      </c>
    </row>
    <row r="2661" ht="15.75" spans="6:9">
      <c r="F2661" s="12" t="s">
        <v>4739</v>
      </c>
      <c r="G2661" s="12" t="s">
        <v>391</v>
      </c>
      <c r="H2661" s="15">
        <v>30072</v>
      </c>
      <c r="I2661" s="13">
        <v>50</v>
      </c>
    </row>
    <row r="2662" ht="15.75" spans="6:9">
      <c r="F2662" s="12" t="s">
        <v>3541</v>
      </c>
      <c r="G2662" s="12" t="s">
        <v>391</v>
      </c>
      <c r="H2662" s="15">
        <v>132014</v>
      </c>
      <c r="I2662" s="13">
        <v>49</v>
      </c>
    </row>
    <row r="2663" ht="15.75" spans="6:9">
      <c r="F2663" s="12" t="s">
        <v>3543</v>
      </c>
      <c r="G2663" s="12" t="s">
        <v>391</v>
      </c>
      <c r="H2663" s="15">
        <v>101693</v>
      </c>
      <c r="I2663" s="13">
        <v>49</v>
      </c>
    </row>
    <row r="2664" ht="15.75" spans="6:9">
      <c r="F2664" s="12" t="s">
        <v>6939</v>
      </c>
      <c r="G2664" s="12" t="s">
        <v>391</v>
      </c>
      <c r="H2664" s="15">
        <v>53324</v>
      </c>
      <c r="I2664" s="13">
        <v>49</v>
      </c>
    </row>
    <row r="2665" ht="15.75" spans="6:9">
      <c r="F2665" s="12" t="s">
        <v>3546</v>
      </c>
      <c r="G2665" s="12" t="s">
        <v>391</v>
      </c>
      <c r="H2665" s="15">
        <v>267415</v>
      </c>
      <c r="I2665" s="13">
        <v>49</v>
      </c>
    </row>
    <row r="2666" ht="15.75" spans="6:9">
      <c r="F2666" s="12" t="s">
        <v>4851</v>
      </c>
      <c r="G2666" s="12" t="s">
        <v>391</v>
      </c>
      <c r="H2666" s="15">
        <v>51284</v>
      </c>
      <c r="I2666" s="13">
        <v>49</v>
      </c>
    </row>
    <row r="2667" ht="15.75" spans="6:9">
      <c r="F2667" s="12" t="s">
        <v>3955</v>
      </c>
      <c r="G2667" s="12" t="s">
        <v>391</v>
      </c>
      <c r="H2667" s="15">
        <v>137899</v>
      </c>
      <c r="I2667" s="13">
        <v>49</v>
      </c>
    </row>
    <row r="2668" ht="15.75" spans="6:9">
      <c r="F2668" s="12" t="s">
        <v>3556</v>
      </c>
      <c r="G2668" s="12" t="s">
        <v>391</v>
      </c>
      <c r="H2668" s="15">
        <v>3050573</v>
      </c>
      <c r="I2668" s="13">
        <v>49</v>
      </c>
    </row>
    <row r="2669" ht="15.75" spans="6:9">
      <c r="F2669" s="12" t="s">
        <v>4743</v>
      </c>
      <c r="G2669" s="12" t="s">
        <v>391</v>
      </c>
      <c r="H2669" s="15">
        <v>34656</v>
      </c>
      <c r="I2669" s="13">
        <v>49</v>
      </c>
    </row>
    <row r="2670" ht="15.75" spans="6:9">
      <c r="F2670" s="12" t="s">
        <v>3561</v>
      </c>
      <c r="G2670" s="12" t="s">
        <v>391</v>
      </c>
      <c r="H2670" s="15">
        <v>3599718</v>
      </c>
      <c r="I2670" s="13">
        <v>49</v>
      </c>
    </row>
    <row r="2671" ht="15.75" spans="6:9">
      <c r="F2671" s="12" t="s">
        <v>3563</v>
      </c>
      <c r="G2671" s="12" t="s">
        <v>392</v>
      </c>
      <c r="H2671" s="15">
        <v>1700000</v>
      </c>
      <c r="I2671" s="13">
        <v>49</v>
      </c>
    </row>
    <row r="2672" ht="15.75" spans="6:9">
      <c r="F2672" s="12" t="s">
        <v>4426</v>
      </c>
      <c r="G2672" s="12" t="s">
        <v>391</v>
      </c>
      <c r="H2672" s="15">
        <v>875827</v>
      </c>
      <c r="I2672" s="13">
        <v>49</v>
      </c>
    </row>
    <row r="2673" ht="15.75" spans="6:9">
      <c r="F2673" s="12" t="s">
        <v>3566</v>
      </c>
      <c r="G2673" s="12" t="s">
        <v>391</v>
      </c>
      <c r="H2673" s="15">
        <v>409700</v>
      </c>
      <c r="I2673" s="13">
        <v>49</v>
      </c>
    </row>
    <row r="2674" ht="15.75" spans="6:9">
      <c r="F2674" s="12" t="s">
        <v>3978</v>
      </c>
      <c r="G2674" s="12" t="s">
        <v>391</v>
      </c>
      <c r="H2674" s="15">
        <v>107155</v>
      </c>
      <c r="I2674" s="13">
        <v>49</v>
      </c>
    </row>
    <row r="2675" ht="15.75" spans="6:9">
      <c r="F2675" s="12" t="s">
        <v>5771</v>
      </c>
      <c r="G2675" s="12" t="s">
        <v>391</v>
      </c>
      <c r="H2675" s="15">
        <v>69588</v>
      </c>
      <c r="I2675" s="13">
        <v>49</v>
      </c>
    </row>
    <row r="2676" ht="15.75" spans="6:9">
      <c r="F2676" s="12" t="s">
        <v>3568</v>
      </c>
      <c r="G2676" s="12" t="s">
        <v>391</v>
      </c>
      <c r="H2676" s="15">
        <v>130272</v>
      </c>
      <c r="I2676" s="13">
        <v>49</v>
      </c>
    </row>
    <row r="2677" ht="15.75" spans="6:9">
      <c r="F2677" s="12" t="s">
        <v>4774</v>
      </c>
      <c r="G2677" s="12" t="s">
        <v>392</v>
      </c>
      <c r="H2677" s="15">
        <v>341600</v>
      </c>
      <c r="I2677" s="13">
        <v>49</v>
      </c>
    </row>
    <row r="2678" ht="15.75" spans="6:9">
      <c r="F2678" s="12" t="s">
        <v>3998</v>
      </c>
      <c r="G2678" s="12" t="s">
        <v>391</v>
      </c>
      <c r="H2678" s="15">
        <v>980645</v>
      </c>
      <c r="I2678" s="13">
        <v>49</v>
      </c>
    </row>
    <row r="2679" ht="15.75" spans="6:9">
      <c r="F2679" s="12" t="s">
        <v>4778</v>
      </c>
      <c r="G2679" s="12" t="s">
        <v>392</v>
      </c>
      <c r="H2679" s="15">
        <v>125900</v>
      </c>
      <c r="I2679" s="13">
        <v>49</v>
      </c>
    </row>
    <row r="2680" ht="15.75" spans="6:9">
      <c r="F2680" s="12" t="s">
        <v>4202</v>
      </c>
      <c r="G2680" s="12" t="s">
        <v>391</v>
      </c>
      <c r="H2680" s="15">
        <v>116777</v>
      </c>
      <c r="I2680" s="13">
        <v>49</v>
      </c>
    </row>
    <row r="2681" ht="15.75" spans="6:9">
      <c r="F2681" s="12" t="s">
        <v>4823</v>
      </c>
      <c r="G2681" s="12" t="s">
        <v>391</v>
      </c>
      <c r="H2681" s="15">
        <v>63295</v>
      </c>
      <c r="I2681" s="13">
        <v>49</v>
      </c>
    </row>
    <row r="2682" ht="15.75" spans="6:9">
      <c r="F2682" s="12" t="s">
        <v>4060</v>
      </c>
      <c r="G2682" s="12" t="s">
        <v>391</v>
      </c>
      <c r="H2682" s="15">
        <v>172679</v>
      </c>
      <c r="I2682" s="13">
        <v>48</v>
      </c>
    </row>
    <row r="2683" ht="15.75" spans="6:9">
      <c r="F2683" s="12" t="s">
        <v>4063</v>
      </c>
      <c r="G2683" s="12" t="s">
        <v>391</v>
      </c>
      <c r="H2683" s="15">
        <v>266557</v>
      </c>
      <c r="I2683" s="13">
        <v>48</v>
      </c>
    </row>
    <row r="2684" ht="15.75" spans="6:9">
      <c r="F2684" s="12" t="s">
        <v>6940</v>
      </c>
      <c r="G2684" s="12" t="s">
        <v>392</v>
      </c>
      <c r="H2684" s="15">
        <v>4500000</v>
      </c>
      <c r="I2684" s="13">
        <v>48</v>
      </c>
    </row>
    <row r="2685" ht="15.75" spans="6:9">
      <c r="F2685" s="12" t="s">
        <v>3257</v>
      </c>
      <c r="G2685" s="12" t="s">
        <v>391</v>
      </c>
      <c r="H2685" s="15">
        <v>117740</v>
      </c>
      <c r="I2685" s="13">
        <v>48</v>
      </c>
    </row>
    <row r="2686" ht="15.75" spans="6:9">
      <c r="F2686" s="12" t="s">
        <v>3259</v>
      </c>
      <c r="G2686" s="12" t="s">
        <v>391</v>
      </c>
      <c r="H2686" s="15">
        <v>2961548</v>
      </c>
      <c r="I2686" s="13">
        <v>48</v>
      </c>
    </row>
    <row r="2687" ht="15.75" spans="6:9">
      <c r="F2687" s="12" t="s">
        <v>6941</v>
      </c>
      <c r="G2687" s="12" t="s">
        <v>392</v>
      </c>
      <c r="H2687" s="15">
        <v>1800000</v>
      </c>
      <c r="I2687" s="13">
        <v>48</v>
      </c>
    </row>
    <row r="2688" ht="15.75" spans="6:9">
      <c r="F2688" s="12" t="s">
        <v>6942</v>
      </c>
      <c r="G2688" s="12" t="s">
        <v>392</v>
      </c>
      <c r="H2688" s="15">
        <v>1500000</v>
      </c>
      <c r="I2688" s="13">
        <v>48</v>
      </c>
    </row>
    <row r="2689" ht="15.75" spans="6:9">
      <c r="F2689" s="12" t="s">
        <v>4475</v>
      </c>
      <c r="G2689" s="12" t="s">
        <v>391</v>
      </c>
      <c r="H2689" s="15">
        <v>144478</v>
      </c>
      <c r="I2689" s="13">
        <v>48</v>
      </c>
    </row>
    <row r="2690" ht="15.75" spans="6:9">
      <c r="F2690" s="12" t="s">
        <v>3597</v>
      </c>
      <c r="G2690" s="12" t="s">
        <v>391</v>
      </c>
      <c r="H2690" s="15">
        <v>586677</v>
      </c>
      <c r="I2690" s="13">
        <v>48</v>
      </c>
    </row>
    <row r="2691" ht="15.75" spans="6:9">
      <c r="F2691" s="12" t="s">
        <v>6943</v>
      </c>
      <c r="G2691" s="12" t="s">
        <v>392</v>
      </c>
      <c r="H2691" s="15">
        <v>968400</v>
      </c>
      <c r="I2691" s="13">
        <v>48</v>
      </c>
    </row>
    <row r="2692" ht="15.75" spans="6:9">
      <c r="F2692" s="12" t="s">
        <v>4478</v>
      </c>
      <c r="G2692" s="12" t="s">
        <v>391</v>
      </c>
      <c r="H2692" s="15">
        <v>273852</v>
      </c>
      <c r="I2692" s="13">
        <v>48</v>
      </c>
    </row>
    <row r="2693" ht="15.75" spans="6:9">
      <c r="F2693" s="12" t="s">
        <v>2492</v>
      </c>
      <c r="G2693" s="12" t="s">
        <v>392</v>
      </c>
      <c r="H2693" s="15">
        <v>11800000</v>
      </c>
      <c r="I2693" s="13">
        <v>48</v>
      </c>
    </row>
    <row r="2694" ht="15.75" spans="6:9">
      <c r="F2694" s="12" t="s">
        <v>3262</v>
      </c>
      <c r="G2694" s="12" t="s">
        <v>391</v>
      </c>
      <c r="H2694" s="15">
        <v>69423</v>
      </c>
      <c r="I2694" s="13">
        <v>48</v>
      </c>
    </row>
    <row r="2695" ht="15.75" spans="6:9">
      <c r="F2695" s="12" t="s">
        <v>6944</v>
      </c>
      <c r="G2695" s="12" t="s">
        <v>392</v>
      </c>
      <c r="H2695" s="15">
        <v>1100000</v>
      </c>
      <c r="I2695" s="13">
        <v>48</v>
      </c>
    </row>
    <row r="2696" ht="15.75" spans="6:9">
      <c r="F2696" s="12" t="s">
        <v>6945</v>
      </c>
      <c r="G2696" s="12" t="s">
        <v>392</v>
      </c>
      <c r="H2696" s="15">
        <v>1600000</v>
      </c>
      <c r="I2696" s="13">
        <v>48</v>
      </c>
    </row>
    <row r="2697" ht="15.75" spans="6:9">
      <c r="F2697" s="12" t="s">
        <v>6946</v>
      </c>
      <c r="G2697" s="12" t="s">
        <v>392</v>
      </c>
      <c r="H2697" s="15">
        <v>2600000</v>
      </c>
      <c r="I2697" s="13">
        <v>48</v>
      </c>
    </row>
    <row r="2698" ht="15.75" spans="6:9">
      <c r="F2698" s="12" t="s">
        <v>3603</v>
      </c>
      <c r="G2698" s="12" t="s">
        <v>391</v>
      </c>
      <c r="H2698" s="15">
        <v>123528</v>
      </c>
      <c r="I2698" s="13">
        <v>48</v>
      </c>
    </row>
    <row r="2699" ht="15.75" spans="6:9">
      <c r="F2699" s="12" t="s">
        <v>3605</v>
      </c>
      <c r="G2699" s="12" t="s">
        <v>391</v>
      </c>
      <c r="H2699" s="15">
        <v>163961</v>
      </c>
      <c r="I2699" s="13">
        <v>48</v>
      </c>
    </row>
    <row r="2700" ht="15.75" spans="6:9">
      <c r="F2700" s="12" t="s">
        <v>3242</v>
      </c>
      <c r="G2700" s="12" t="s">
        <v>391</v>
      </c>
      <c r="H2700" s="15">
        <v>1801352</v>
      </c>
      <c r="I2700" s="13">
        <v>48</v>
      </c>
    </row>
    <row r="2701" ht="15.75" spans="6:9">
      <c r="F2701" s="12" t="s">
        <v>6947</v>
      </c>
      <c r="G2701" s="12" t="s">
        <v>392</v>
      </c>
      <c r="H2701" s="15">
        <v>549300</v>
      </c>
      <c r="I2701" s="13">
        <v>48</v>
      </c>
    </row>
    <row r="2702" ht="15.75" spans="6:9">
      <c r="F2702" s="12" t="s">
        <v>6948</v>
      </c>
      <c r="G2702" s="12" t="s">
        <v>392</v>
      </c>
      <c r="H2702" s="15">
        <v>2100000</v>
      </c>
      <c r="I2702" s="13">
        <v>48</v>
      </c>
    </row>
    <row r="2703" ht="15.75" spans="6:9">
      <c r="F2703" s="12" t="s">
        <v>3608</v>
      </c>
      <c r="G2703" s="12" t="s">
        <v>391</v>
      </c>
      <c r="H2703" s="15">
        <v>142670</v>
      </c>
      <c r="I2703" s="13">
        <v>48</v>
      </c>
    </row>
    <row r="2704" ht="15.75" spans="6:9">
      <c r="F2704" s="12" t="s">
        <v>2463</v>
      </c>
      <c r="G2704" s="12" t="s">
        <v>392</v>
      </c>
      <c r="H2704" s="15">
        <v>12700000</v>
      </c>
      <c r="I2704" s="13">
        <v>48</v>
      </c>
    </row>
    <row r="2705" ht="15.75" spans="6:9">
      <c r="F2705" s="12" t="s">
        <v>2387</v>
      </c>
      <c r="G2705" s="12" t="s">
        <v>391</v>
      </c>
      <c r="H2705" s="15">
        <v>37961844</v>
      </c>
      <c r="I2705" s="13">
        <v>48</v>
      </c>
    </row>
    <row r="2706" ht="15.75" spans="6:9">
      <c r="F2706" s="12" t="s">
        <v>6949</v>
      </c>
      <c r="G2706" s="12" t="s">
        <v>392</v>
      </c>
      <c r="H2706" s="15">
        <v>2500000</v>
      </c>
      <c r="I2706" s="13">
        <v>48</v>
      </c>
    </row>
    <row r="2707" ht="15.75" spans="6:9">
      <c r="F2707" s="12" t="s">
        <v>4494</v>
      </c>
      <c r="G2707" s="12" t="s">
        <v>391</v>
      </c>
      <c r="H2707" s="15">
        <v>276292</v>
      </c>
      <c r="I2707" s="13">
        <v>48</v>
      </c>
    </row>
    <row r="2708" ht="15.75" spans="6:9">
      <c r="F2708" s="12" t="s">
        <v>6950</v>
      </c>
      <c r="G2708" s="12" t="s">
        <v>392</v>
      </c>
      <c r="H2708" s="15">
        <v>330700</v>
      </c>
      <c r="I2708" s="13">
        <v>48</v>
      </c>
    </row>
    <row r="2709" ht="15.75" spans="6:9">
      <c r="F2709" s="12" t="s">
        <v>3615</v>
      </c>
      <c r="G2709" s="12" t="s">
        <v>391</v>
      </c>
      <c r="H2709" s="15">
        <v>139486</v>
      </c>
      <c r="I2709" s="13">
        <v>48</v>
      </c>
    </row>
    <row r="2710" ht="15.75" spans="6:9">
      <c r="F2710" s="12" t="s">
        <v>3618</v>
      </c>
      <c r="G2710" s="12" t="s">
        <v>392</v>
      </c>
      <c r="H2710" s="15">
        <v>1000000</v>
      </c>
      <c r="I2710" s="13">
        <v>48</v>
      </c>
    </row>
    <row r="2711" ht="15.75" spans="6:9">
      <c r="F2711" s="12" t="s">
        <v>6951</v>
      </c>
      <c r="G2711" s="12" t="s">
        <v>391</v>
      </c>
      <c r="H2711" s="15">
        <v>88568</v>
      </c>
      <c r="I2711" s="13">
        <v>48</v>
      </c>
    </row>
    <row r="2712" ht="15.75" spans="6:9">
      <c r="F2712" s="12" t="s">
        <v>6952</v>
      </c>
      <c r="G2712" s="12" t="s">
        <v>392</v>
      </c>
      <c r="H2712" s="15">
        <v>3000000</v>
      </c>
      <c r="I2712" s="13">
        <v>48</v>
      </c>
    </row>
    <row r="2713" ht="15.75" spans="6:9">
      <c r="F2713" s="12" t="s">
        <v>4115</v>
      </c>
      <c r="G2713" s="12" t="s">
        <v>391</v>
      </c>
      <c r="H2713" s="15">
        <v>150328</v>
      </c>
      <c r="I2713" s="13">
        <v>48</v>
      </c>
    </row>
    <row r="2714" ht="15.75" spans="6:9">
      <c r="F2714" s="12" t="s">
        <v>2455</v>
      </c>
      <c r="G2714" s="12" t="s">
        <v>392</v>
      </c>
      <c r="H2714" s="15">
        <v>13100000</v>
      </c>
      <c r="I2714" s="13">
        <v>48</v>
      </c>
    </row>
    <row r="2715" ht="15.75" spans="6:9">
      <c r="F2715" s="12" t="s">
        <v>4790</v>
      </c>
      <c r="G2715" s="12" t="s">
        <v>391</v>
      </c>
      <c r="H2715" s="15">
        <v>1270890</v>
      </c>
      <c r="I2715" s="13">
        <v>48</v>
      </c>
    </row>
    <row r="2716" ht="15.75" spans="6:9">
      <c r="F2716" s="12" t="s">
        <v>6953</v>
      </c>
      <c r="G2716" s="12" t="s">
        <v>391</v>
      </c>
      <c r="H2716" s="15">
        <v>66612</v>
      </c>
      <c r="I2716" s="13">
        <v>48</v>
      </c>
    </row>
    <row r="2717" ht="15.75" spans="6:9">
      <c r="F2717" s="12" t="s">
        <v>3636</v>
      </c>
      <c r="G2717" s="12" t="s">
        <v>391</v>
      </c>
      <c r="H2717" s="15">
        <v>113967</v>
      </c>
      <c r="I2717" s="13">
        <v>48</v>
      </c>
    </row>
    <row r="2718" ht="15.75" spans="6:9">
      <c r="F2718" s="12" t="s">
        <v>6954</v>
      </c>
      <c r="G2718" s="12" t="s">
        <v>392</v>
      </c>
      <c r="H2718" s="15">
        <v>3700000</v>
      </c>
      <c r="I2718" s="13">
        <v>48</v>
      </c>
    </row>
    <row r="2719" ht="15.75" spans="6:9">
      <c r="F2719" s="12" t="s">
        <v>4130</v>
      </c>
      <c r="G2719" s="12" t="s">
        <v>392</v>
      </c>
      <c r="H2719" s="15">
        <v>140000</v>
      </c>
      <c r="I2719" s="13">
        <v>47</v>
      </c>
    </row>
    <row r="2720" ht="15.75" spans="6:9">
      <c r="F2720" s="12" t="s">
        <v>4883</v>
      </c>
      <c r="G2720" s="12" t="s">
        <v>391</v>
      </c>
      <c r="H2720" s="15">
        <v>31349</v>
      </c>
      <c r="I2720" s="13">
        <v>47</v>
      </c>
    </row>
    <row r="2721" ht="15.75" spans="6:9">
      <c r="F2721" s="12" t="s">
        <v>6955</v>
      </c>
      <c r="G2721" s="12" t="s">
        <v>392</v>
      </c>
      <c r="H2721" s="15">
        <v>434660</v>
      </c>
      <c r="I2721" s="13">
        <v>47</v>
      </c>
    </row>
    <row r="2722" ht="15.75" spans="6:9">
      <c r="F2722" s="12" t="s">
        <v>4895</v>
      </c>
      <c r="G2722" s="12" t="s">
        <v>391</v>
      </c>
      <c r="H2722" s="15">
        <v>20185</v>
      </c>
      <c r="I2722" s="13">
        <v>47</v>
      </c>
    </row>
    <row r="2723" ht="15.75" spans="6:9">
      <c r="F2723" s="12" t="s">
        <v>4899</v>
      </c>
      <c r="G2723" s="12" t="s">
        <v>391</v>
      </c>
      <c r="H2723" s="15">
        <v>19609</v>
      </c>
      <c r="I2723" s="13">
        <v>47</v>
      </c>
    </row>
    <row r="2724" ht="15.75" spans="6:9">
      <c r="F2724" s="12" t="s">
        <v>4903</v>
      </c>
      <c r="G2724" s="12" t="s">
        <v>391</v>
      </c>
      <c r="H2724" s="15">
        <v>10623</v>
      </c>
      <c r="I2724" s="13">
        <v>47</v>
      </c>
    </row>
    <row r="2725" ht="15.75" spans="6:9">
      <c r="F2725" s="12" t="s">
        <v>3639</v>
      </c>
      <c r="G2725" s="12" t="s">
        <v>391</v>
      </c>
      <c r="H2725" s="15">
        <v>270553</v>
      </c>
      <c r="I2725" s="13">
        <v>47</v>
      </c>
    </row>
    <row r="2726" ht="15.75" spans="6:9">
      <c r="F2726" s="12" t="s">
        <v>4918</v>
      </c>
      <c r="G2726" s="12" t="s">
        <v>391</v>
      </c>
      <c r="H2726" s="15">
        <v>20209</v>
      </c>
      <c r="I2726" s="13">
        <v>47</v>
      </c>
    </row>
    <row r="2727" ht="15.75" spans="6:9">
      <c r="F2727" s="12" t="s">
        <v>4920</v>
      </c>
      <c r="G2727" s="12" t="s">
        <v>391</v>
      </c>
      <c r="H2727" s="15">
        <v>61532</v>
      </c>
      <c r="I2727" s="13">
        <v>47</v>
      </c>
    </row>
    <row r="2728" ht="15.75" spans="6:9">
      <c r="F2728" s="12" t="s">
        <v>3641</v>
      </c>
      <c r="G2728" s="12" t="s">
        <v>391</v>
      </c>
      <c r="H2728" s="15">
        <v>338011</v>
      </c>
      <c r="I2728" s="13">
        <v>47</v>
      </c>
    </row>
    <row r="2729" ht="15.75" spans="6:9">
      <c r="F2729" s="12" t="s">
        <v>3643</v>
      </c>
      <c r="G2729" s="12" t="s">
        <v>391</v>
      </c>
      <c r="H2729" s="15">
        <v>127269</v>
      </c>
      <c r="I2729" s="13">
        <v>47</v>
      </c>
    </row>
    <row r="2730" ht="15.75" spans="6:9">
      <c r="F2730" s="12" t="s">
        <v>4923</v>
      </c>
      <c r="G2730" s="12" t="s">
        <v>391</v>
      </c>
      <c r="H2730" s="15">
        <v>12824</v>
      </c>
      <c r="I2730" s="13">
        <v>47</v>
      </c>
    </row>
    <row r="2731" ht="15.75" spans="6:9">
      <c r="F2731" s="12" t="s">
        <v>6956</v>
      </c>
      <c r="G2731" s="12" t="s">
        <v>392</v>
      </c>
      <c r="H2731" s="15">
        <v>14100</v>
      </c>
      <c r="I2731" s="13">
        <v>47</v>
      </c>
    </row>
    <row r="2732" ht="15.75" spans="6:9">
      <c r="F2732" s="12" t="s">
        <v>4924</v>
      </c>
      <c r="G2732" s="12" t="s">
        <v>391</v>
      </c>
      <c r="H2732" s="15">
        <v>11198</v>
      </c>
      <c r="I2732" s="13">
        <v>47</v>
      </c>
    </row>
    <row r="2733" ht="15.75" spans="6:9">
      <c r="F2733" s="12" t="s">
        <v>4932</v>
      </c>
      <c r="G2733" s="12" t="s">
        <v>391</v>
      </c>
      <c r="H2733" s="15">
        <v>81665</v>
      </c>
      <c r="I2733" s="13">
        <v>47</v>
      </c>
    </row>
    <row r="2734" ht="15.75" spans="6:9">
      <c r="F2734" s="12" t="s">
        <v>3647</v>
      </c>
      <c r="G2734" s="12" t="s">
        <v>391</v>
      </c>
      <c r="H2734" s="15">
        <v>103086</v>
      </c>
      <c r="I2734" s="13">
        <v>47</v>
      </c>
    </row>
    <row r="2735" ht="15.75" spans="6:9">
      <c r="F2735" s="12" t="s">
        <v>4948</v>
      </c>
      <c r="G2735" s="12" t="s">
        <v>391</v>
      </c>
      <c r="H2735" s="15">
        <v>12714</v>
      </c>
      <c r="I2735" s="13">
        <v>47</v>
      </c>
    </row>
    <row r="2736" ht="15.75" spans="6:9">
      <c r="F2736" s="12" t="s">
        <v>4142</v>
      </c>
      <c r="G2736" s="12" t="s">
        <v>391</v>
      </c>
      <c r="H2736" s="15">
        <v>212013</v>
      </c>
      <c r="I2736" s="13">
        <v>47</v>
      </c>
    </row>
    <row r="2737" ht="15.75" spans="6:9">
      <c r="F2737" s="12" t="s">
        <v>3649</v>
      </c>
      <c r="G2737" s="12" t="s">
        <v>391</v>
      </c>
      <c r="H2737" s="15">
        <v>125584</v>
      </c>
      <c r="I2737" s="13">
        <v>47</v>
      </c>
    </row>
    <row r="2738" ht="15.75" spans="6:9">
      <c r="F2738" s="12" t="s">
        <v>4145</v>
      </c>
      <c r="G2738" s="12" t="s">
        <v>391</v>
      </c>
      <c r="H2738" s="15">
        <v>102148</v>
      </c>
      <c r="I2738" s="13">
        <v>47</v>
      </c>
    </row>
    <row r="2739" ht="15.75" spans="6:9">
      <c r="F2739" s="12" t="s">
        <v>3245</v>
      </c>
      <c r="G2739" s="12" t="s">
        <v>391</v>
      </c>
      <c r="H2739" s="15">
        <v>74519</v>
      </c>
      <c r="I2739" s="13">
        <v>47</v>
      </c>
    </row>
    <row r="2740" ht="15.75" spans="6:9">
      <c r="F2740" s="12" t="s">
        <v>4966</v>
      </c>
      <c r="G2740" s="12" t="s">
        <v>391</v>
      </c>
      <c r="H2740" s="15">
        <v>21666</v>
      </c>
      <c r="I2740" s="13">
        <v>47</v>
      </c>
    </row>
    <row r="2741" ht="15.75" spans="6:9">
      <c r="F2741" s="12" t="s">
        <v>3651</v>
      </c>
      <c r="G2741" s="12" t="s">
        <v>391</v>
      </c>
      <c r="H2741" s="15">
        <v>284438</v>
      </c>
      <c r="I2741" s="13">
        <v>47</v>
      </c>
    </row>
    <row r="2742" ht="15.75" spans="6:9">
      <c r="F2742" s="12" t="s">
        <v>3654</v>
      </c>
      <c r="G2742" s="12" t="s">
        <v>391</v>
      </c>
      <c r="H2742" s="15">
        <v>1385758</v>
      </c>
      <c r="I2742" s="13">
        <v>47</v>
      </c>
    </row>
    <row r="2743" ht="15.75" spans="6:9">
      <c r="F2743" s="12" t="s">
        <v>4980</v>
      </c>
      <c r="G2743" s="12" t="s">
        <v>391</v>
      </c>
      <c r="H2743" s="15">
        <v>12115</v>
      </c>
      <c r="I2743" s="13">
        <v>47</v>
      </c>
    </row>
    <row r="2744" ht="15.75" spans="6:9">
      <c r="F2744" s="12" t="s">
        <v>6957</v>
      </c>
      <c r="G2744" s="12" t="s">
        <v>392</v>
      </c>
      <c r="H2744" s="15">
        <v>42100</v>
      </c>
      <c r="I2744" s="13">
        <v>47</v>
      </c>
    </row>
    <row r="2745" ht="15.75" spans="6:9">
      <c r="F2745" s="12" t="s">
        <v>6958</v>
      </c>
      <c r="G2745" s="12" t="s">
        <v>391</v>
      </c>
      <c r="H2745" s="15">
        <v>99362</v>
      </c>
      <c r="I2745" s="13">
        <v>47</v>
      </c>
    </row>
    <row r="2746" ht="15.75" spans="6:9">
      <c r="F2746" s="12" t="s">
        <v>4989</v>
      </c>
      <c r="G2746" s="12" t="s">
        <v>391</v>
      </c>
      <c r="H2746" s="15">
        <v>21036</v>
      </c>
      <c r="I2746" s="13">
        <v>47</v>
      </c>
    </row>
    <row r="2747" ht="15.75" spans="6:9">
      <c r="F2747" s="12" t="s">
        <v>3657</v>
      </c>
      <c r="G2747" s="12" t="s">
        <v>391</v>
      </c>
      <c r="H2747" s="15">
        <v>103099</v>
      </c>
      <c r="I2747" s="13">
        <v>47</v>
      </c>
    </row>
    <row r="2748" ht="15.75" spans="6:9">
      <c r="F2748" s="12" t="s">
        <v>4993</v>
      </c>
      <c r="G2748" s="12" t="s">
        <v>391</v>
      </c>
      <c r="H2748" s="15">
        <v>11666</v>
      </c>
      <c r="I2748" s="13">
        <v>47</v>
      </c>
    </row>
    <row r="2749" ht="15.75" spans="6:9">
      <c r="F2749" s="12" t="s">
        <v>4998</v>
      </c>
      <c r="G2749" s="12" t="s">
        <v>391</v>
      </c>
      <c r="H2749" s="15">
        <v>746448</v>
      </c>
      <c r="I2749" s="13">
        <v>47</v>
      </c>
    </row>
    <row r="2750" ht="15.75" spans="6:9">
      <c r="F2750" s="12" t="s">
        <v>5000</v>
      </c>
      <c r="G2750" s="12" t="s">
        <v>391</v>
      </c>
      <c r="H2750" s="15">
        <v>10377</v>
      </c>
      <c r="I2750" s="13">
        <v>47</v>
      </c>
    </row>
    <row r="2751" ht="15.75" spans="6:9">
      <c r="F2751" s="12" t="s">
        <v>6959</v>
      </c>
      <c r="G2751" s="12" t="s">
        <v>392</v>
      </c>
      <c r="H2751" s="15">
        <v>21200</v>
      </c>
      <c r="I2751" s="13">
        <v>47</v>
      </c>
    </row>
    <row r="2752" ht="15.75" spans="6:9">
      <c r="F2752" s="12" t="s">
        <v>6960</v>
      </c>
      <c r="G2752" s="12" t="s">
        <v>392</v>
      </c>
      <c r="H2752" s="15">
        <v>28100</v>
      </c>
      <c r="I2752" s="13">
        <v>47</v>
      </c>
    </row>
    <row r="2753" ht="15.75" spans="6:9">
      <c r="F2753" s="12" t="s">
        <v>3659</v>
      </c>
      <c r="G2753" s="12" t="s">
        <v>391</v>
      </c>
      <c r="H2753" s="15">
        <v>131902</v>
      </c>
      <c r="I2753" s="13">
        <v>47</v>
      </c>
    </row>
    <row r="2754" ht="15.75" spans="6:9">
      <c r="F2754" s="12" t="s">
        <v>4847</v>
      </c>
      <c r="G2754" s="12" t="s">
        <v>391</v>
      </c>
      <c r="H2754" s="15">
        <v>525410</v>
      </c>
      <c r="I2754" s="13">
        <v>47</v>
      </c>
    </row>
    <row r="2755" ht="15.75" spans="6:9">
      <c r="F2755" s="12" t="s">
        <v>6961</v>
      </c>
      <c r="G2755" s="12" t="s">
        <v>391</v>
      </c>
      <c r="H2755" s="15">
        <v>41287</v>
      </c>
      <c r="I2755" s="13">
        <v>47</v>
      </c>
    </row>
    <row r="2756" ht="15.75" spans="6:9">
      <c r="F2756" s="12" t="s">
        <v>5015</v>
      </c>
      <c r="G2756" s="12" t="s">
        <v>391</v>
      </c>
      <c r="H2756" s="15">
        <v>21643</v>
      </c>
      <c r="I2756" s="13">
        <v>47</v>
      </c>
    </row>
    <row r="2757" ht="15.75" spans="6:9">
      <c r="F2757" s="12" t="s">
        <v>6962</v>
      </c>
      <c r="G2757" s="12" t="s">
        <v>391</v>
      </c>
      <c r="H2757" s="15">
        <v>87421</v>
      </c>
      <c r="I2757" s="13">
        <v>47</v>
      </c>
    </row>
    <row r="2758" ht="15.75" spans="6:9">
      <c r="F2758" s="12" t="s">
        <v>4794</v>
      </c>
      <c r="G2758" s="12" t="s">
        <v>391</v>
      </c>
      <c r="H2758" s="15">
        <v>68387</v>
      </c>
      <c r="I2758" s="13">
        <v>47</v>
      </c>
    </row>
    <row r="2759" ht="15.75" spans="6:9">
      <c r="F2759" s="12" t="s">
        <v>5032</v>
      </c>
      <c r="G2759" s="12" t="s">
        <v>391</v>
      </c>
      <c r="H2759" s="15">
        <v>24970</v>
      </c>
      <c r="I2759" s="13">
        <v>47</v>
      </c>
    </row>
    <row r="2760" ht="15.75" spans="6:9">
      <c r="F2760" s="12" t="s">
        <v>4797</v>
      </c>
      <c r="G2760" s="12" t="s">
        <v>391</v>
      </c>
      <c r="H2760" s="15">
        <v>50524</v>
      </c>
      <c r="I2760" s="13">
        <v>47</v>
      </c>
    </row>
    <row r="2761" ht="15.75" spans="6:9">
      <c r="F2761" s="12" t="s">
        <v>3661</v>
      </c>
      <c r="G2761" s="12" t="s">
        <v>391</v>
      </c>
      <c r="H2761" s="15">
        <v>1175193</v>
      </c>
      <c r="I2761" s="13">
        <v>47</v>
      </c>
    </row>
    <row r="2762" ht="15.75" spans="6:9">
      <c r="F2762" s="12" t="s">
        <v>5041</v>
      </c>
      <c r="G2762" s="12" t="s">
        <v>391</v>
      </c>
      <c r="H2762" s="15">
        <v>27064</v>
      </c>
      <c r="I2762" s="13">
        <v>47</v>
      </c>
    </row>
    <row r="2763" ht="15.75" spans="6:9">
      <c r="F2763" s="12" t="s">
        <v>5045</v>
      </c>
      <c r="G2763" s="12" t="s">
        <v>391</v>
      </c>
      <c r="H2763" s="15">
        <v>11261</v>
      </c>
      <c r="I2763" s="13">
        <v>47</v>
      </c>
    </row>
    <row r="2764" ht="15.75" spans="6:9">
      <c r="F2764" s="12" t="s">
        <v>6963</v>
      </c>
      <c r="G2764" s="12" t="s">
        <v>392</v>
      </c>
      <c r="H2764" s="15">
        <v>16500</v>
      </c>
      <c r="I2764" s="13">
        <v>47</v>
      </c>
    </row>
    <row r="2765" ht="15.75" spans="6:9">
      <c r="F2765" s="12" t="s">
        <v>3663</v>
      </c>
      <c r="G2765" s="12" t="s">
        <v>391</v>
      </c>
      <c r="H2765" s="15">
        <v>236465</v>
      </c>
      <c r="I2765" s="13">
        <v>47</v>
      </c>
    </row>
    <row r="2766" ht="15.75" spans="6:9">
      <c r="F2766" s="12" t="s">
        <v>3665</v>
      </c>
      <c r="G2766" s="12" t="s">
        <v>391</v>
      </c>
      <c r="H2766" s="15">
        <v>104773</v>
      </c>
      <c r="I2766" s="13">
        <v>47</v>
      </c>
    </row>
    <row r="2767" ht="15.75" spans="6:9">
      <c r="F2767" s="12" t="s">
        <v>3667</v>
      </c>
      <c r="G2767" s="12" t="s">
        <v>391</v>
      </c>
      <c r="H2767" s="15">
        <v>113772</v>
      </c>
      <c r="I2767" s="13">
        <v>47</v>
      </c>
    </row>
    <row r="2768" ht="15.75" spans="6:9">
      <c r="F2768" s="12" t="s">
        <v>6964</v>
      </c>
      <c r="G2768" s="12" t="s">
        <v>392</v>
      </c>
      <c r="H2768" s="15">
        <v>38800</v>
      </c>
      <c r="I2768" s="13">
        <v>47</v>
      </c>
    </row>
    <row r="2769" ht="15.75" spans="6:9">
      <c r="F2769" s="12" t="s">
        <v>5064</v>
      </c>
      <c r="G2769" s="12" t="s">
        <v>391</v>
      </c>
      <c r="H2769" s="15">
        <v>24147</v>
      </c>
      <c r="I2769" s="13">
        <v>47</v>
      </c>
    </row>
    <row r="2770" ht="15.75" spans="6:9">
      <c r="F2770" s="12" t="s">
        <v>6965</v>
      </c>
      <c r="G2770" s="12" t="s">
        <v>392</v>
      </c>
      <c r="H2770" s="15">
        <v>68900</v>
      </c>
      <c r="I2770" s="13">
        <v>47</v>
      </c>
    </row>
    <row r="2771" ht="15.75" spans="6:9">
      <c r="F2771" s="12" t="s">
        <v>5068</v>
      </c>
      <c r="G2771" s="12" t="s">
        <v>391</v>
      </c>
      <c r="H2771" s="15">
        <v>10673</v>
      </c>
      <c r="I2771" s="13">
        <v>47</v>
      </c>
    </row>
    <row r="2772" ht="15.75" spans="6:9">
      <c r="F2772" s="12" t="s">
        <v>3669</v>
      </c>
      <c r="G2772" s="12" t="s">
        <v>391</v>
      </c>
      <c r="H2772" s="15">
        <v>124133</v>
      </c>
      <c r="I2772" s="13">
        <v>47</v>
      </c>
    </row>
    <row r="2773" ht="15.75" spans="6:9">
      <c r="F2773" s="12" t="s">
        <v>6966</v>
      </c>
      <c r="G2773" s="12" t="s">
        <v>392</v>
      </c>
      <c r="H2773" s="15">
        <v>68800</v>
      </c>
      <c r="I2773" s="13">
        <v>47</v>
      </c>
    </row>
    <row r="2774" ht="15.75" spans="6:9">
      <c r="F2774" s="12" t="s">
        <v>6967</v>
      </c>
      <c r="G2774" s="12" t="s">
        <v>391</v>
      </c>
      <c r="H2774" s="15">
        <v>42852</v>
      </c>
      <c r="I2774" s="13">
        <v>47</v>
      </c>
    </row>
    <row r="2775" ht="15.75" spans="6:9">
      <c r="F2775" s="12" t="s">
        <v>3671</v>
      </c>
      <c r="G2775" s="12" t="s">
        <v>391</v>
      </c>
      <c r="H2775" s="15">
        <v>130988</v>
      </c>
      <c r="I2775" s="13">
        <v>47</v>
      </c>
    </row>
    <row r="2776" ht="15.75" spans="6:9">
      <c r="F2776" s="12" t="s">
        <v>3674</v>
      </c>
      <c r="G2776" s="12" t="s">
        <v>391</v>
      </c>
      <c r="H2776" s="15">
        <v>572620</v>
      </c>
      <c r="I2776" s="13">
        <v>47</v>
      </c>
    </row>
    <row r="2777" ht="15.75" spans="6:9">
      <c r="F2777" s="12" t="s">
        <v>6968</v>
      </c>
      <c r="G2777" s="12" t="s">
        <v>391</v>
      </c>
      <c r="H2777" s="15">
        <v>58860</v>
      </c>
      <c r="I2777" s="13">
        <v>47</v>
      </c>
    </row>
    <row r="2778" ht="15.75" spans="6:9">
      <c r="F2778" s="12" t="s">
        <v>3676</v>
      </c>
      <c r="G2778" s="12" t="s">
        <v>391</v>
      </c>
      <c r="H2778" s="15">
        <v>159379</v>
      </c>
      <c r="I2778" s="13">
        <v>47</v>
      </c>
    </row>
    <row r="2779" ht="15.75" spans="6:9">
      <c r="F2779" s="12" t="s">
        <v>3679</v>
      </c>
      <c r="G2779" s="12" t="s">
        <v>391</v>
      </c>
      <c r="H2779" s="15">
        <v>2258700</v>
      </c>
      <c r="I2779" s="13">
        <v>47</v>
      </c>
    </row>
    <row r="2780" ht="15.75" spans="6:9">
      <c r="F2780" s="12" t="s">
        <v>6969</v>
      </c>
      <c r="G2780" s="12" t="s">
        <v>392</v>
      </c>
      <c r="H2780" s="15">
        <v>303664</v>
      </c>
      <c r="I2780" s="13">
        <v>47</v>
      </c>
    </row>
    <row r="2781" ht="15.75" spans="6:9">
      <c r="F2781" s="12" t="s">
        <v>5118</v>
      </c>
      <c r="G2781" s="12" t="s">
        <v>391</v>
      </c>
      <c r="H2781" s="15">
        <v>11241</v>
      </c>
      <c r="I2781" s="13">
        <v>47</v>
      </c>
    </row>
    <row r="2782" ht="15.75" spans="6:9">
      <c r="F2782" s="12" t="s">
        <v>2355</v>
      </c>
      <c r="G2782" s="12" t="s">
        <v>391</v>
      </c>
      <c r="H2782" s="15">
        <v>685896635</v>
      </c>
      <c r="I2782" s="13">
        <v>47</v>
      </c>
    </row>
    <row r="2783" ht="15.75" spans="6:9">
      <c r="F2783" s="12" t="s">
        <v>6970</v>
      </c>
      <c r="G2783" s="12" t="s">
        <v>392</v>
      </c>
      <c r="H2783" s="15">
        <v>57900</v>
      </c>
      <c r="I2783" s="13">
        <v>47</v>
      </c>
    </row>
    <row r="2784" ht="15.75" spans="6:9">
      <c r="F2784" s="12" t="s">
        <v>3682</v>
      </c>
      <c r="G2784" s="12" t="s">
        <v>391</v>
      </c>
      <c r="H2784" s="15">
        <v>359337</v>
      </c>
      <c r="I2784" s="13">
        <v>47</v>
      </c>
    </row>
    <row r="2785" ht="15.75" spans="6:9">
      <c r="F2785" s="12" t="s">
        <v>3684</v>
      </c>
      <c r="G2785" s="12" t="s">
        <v>391</v>
      </c>
      <c r="H2785" s="15">
        <v>101017</v>
      </c>
      <c r="I2785" s="13">
        <v>47</v>
      </c>
    </row>
    <row r="2786" ht="15.75" spans="6:9">
      <c r="F2786" s="12" t="s">
        <v>6971</v>
      </c>
      <c r="G2786" s="12" t="s">
        <v>392</v>
      </c>
      <c r="H2786" s="15">
        <v>14500</v>
      </c>
      <c r="I2786" s="13">
        <v>47</v>
      </c>
    </row>
    <row r="2787" ht="15.75" spans="6:9">
      <c r="F2787" s="12" t="s">
        <v>6972</v>
      </c>
      <c r="G2787" s="12" t="s">
        <v>391</v>
      </c>
      <c r="H2787" s="15">
        <v>47078</v>
      </c>
      <c r="I2787" s="13">
        <v>47</v>
      </c>
    </row>
    <row r="2788" ht="15.75" spans="6:9">
      <c r="F2788" s="12" t="s">
        <v>5146</v>
      </c>
      <c r="G2788" s="12" t="s">
        <v>391</v>
      </c>
      <c r="H2788" s="15">
        <v>29001</v>
      </c>
      <c r="I2788" s="13">
        <v>47</v>
      </c>
    </row>
    <row r="2789" ht="15.75" spans="6:9">
      <c r="F2789" s="12" t="s">
        <v>4182</v>
      </c>
      <c r="G2789" s="12" t="s">
        <v>391</v>
      </c>
      <c r="H2789" s="15">
        <v>112409</v>
      </c>
      <c r="I2789" s="13">
        <v>47</v>
      </c>
    </row>
    <row r="2790" ht="15.75" spans="6:9">
      <c r="F2790" s="12" t="s">
        <v>5148</v>
      </c>
      <c r="G2790" s="12" t="s">
        <v>391</v>
      </c>
      <c r="H2790" s="15">
        <v>11730</v>
      </c>
      <c r="I2790" s="13">
        <v>47</v>
      </c>
    </row>
    <row r="2791" ht="15.75" spans="6:9">
      <c r="F2791" s="12" t="s">
        <v>5160</v>
      </c>
      <c r="G2791" s="12" t="s">
        <v>391</v>
      </c>
      <c r="H2791" s="15">
        <v>24404</v>
      </c>
      <c r="I2791" s="13">
        <v>47</v>
      </c>
    </row>
    <row r="2792" ht="15.75" spans="6:9">
      <c r="F2792" s="12" t="s">
        <v>5174</v>
      </c>
      <c r="G2792" s="12" t="s">
        <v>391</v>
      </c>
      <c r="H2792" s="15">
        <v>14386</v>
      </c>
      <c r="I2792" s="13">
        <v>47</v>
      </c>
    </row>
    <row r="2793" ht="15.75" spans="6:9">
      <c r="F2793" s="12" t="s">
        <v>4188</v>
      </c>
      <c r="G2793" s="12" t="s">
        <v>391</v>
      </c>
      <c r="H2793" s="15">
        <v>302022</v>
      </c>
      <c r="I2793" s="13">
        <v>47</v>
      </c>
    </row>
    <row r="2794" ht="15.75" spans="6:9">
      <c r="F2794" s="12" t="s">
        <v>6973</v>
      </c>
      <c r="G2794" s="12" t="s">
        <v>392</v>
      </c>
      <c r="H2794" s="15">
        <v>11300</v>
      </c>
      <c r="I2794" s="13">
        <v>47</v>
      </c>
    </row>
    <row r="2795" ht="15.75" spans="6:9">
      <c r="F2795" s="12" t="s">
        <v>6974</v>
      </c>
      <c r="G2795" s="12" t="s">
        <v>391</v>
      </c>
      <c r="H2795" s="15">
        <v>69332</v>
      </c>
      <c r="I2795" s="13">
        <v>47</v>
      </c>
    </row>
    <row r="2796" ht="15.75" spans="6:9">
      <c r="F2796" s="12" t="s">
        <v>3687</v>
      </c>
      <c r="G2796" s="12" t="s">
        <v>391</v>
      </c>
      <c r="H2796" s="15">
        <v>143159</v>
      </c>
      <c r="I2796" s="13">
        <v>47</v>
      </c>
    </row>
    <row r="2797" ht="15.75" spans="6:9">
      <c r="F2797" s="12" t="s">
        <v>5185</v>
      </c>
      <c r="G2797" s="12" t="s">
        <v>391</v>
      </c>
      <c r="H2797" s="15">
        <v>28763</v>
      </c>
      <c r="I2797" s="13">
        <v>47</v>
      </c>
    </row>
    <row r="2798" ht="15.75" spans="6:9">
      <c r="F2798" s="12" t="s">
        <v>3689</v>
      </c>
      <c r="G2798" s="12" t="s">
        <v>391</v>
      </c>
      <c r="H2798" s="15">
        <v>218899</v>
      </c>
      <c r="I2798" s="13">
        <v>47</v>
      </c>
    </row>
    <row r="2799" ht="15.75" spans="6:9">
      <c r="F2799" s="12" t="s">
        <v>6975</v>
      </c>
      <c r="G2799" s="12" t="s">
        <v>391</v>
      </c>
      <c r="H2799" s="15">
        <v>89970</v>
      </c>
      <c r="I2799" s="13">
        <v>47</v>
      </c>
    </row>
    <row r="2800" ht="15.75" spans="6:9">
      <c r="F2800" s="12" t="s">
        <v>6976</v>
      </c>
      <c r="G2800" s="12" t="s">
        <v>391</v>
      </c>
      <c r="H2800" s="15">
        <v>34715</v>
      </c>
      <c r="I2800" s="13">
        <v>47</v>
      </c>
    </row>
    <row r="2801" ht="15.75" spans="6:9">
      <c r="F2801" s="12" t="s">
        <v>6977</v>
      </c>
      <c r="G2801" s="12" t="s">
        <v>391</v>
      </c>
      <c r="H2801" s="15">
        <v>78619</v>
      </c>
      <c r="I2801" s="13">
        <v>47</v>
      </c>
    </row>
    <row r="2802" ht="15.75" spans="6:9">
      <c r="F2802" s="12" t="s">
        <v>3692</v>
      </c>
      <c r="G2802" s="12" t="s">
        <v>391</v>
      </c>
      <c r="H2802" s="15">
        <v>115486</v>
      </c>
      <c r="I2802" s="13">
        <v>47</v>
      </c>
    </row>
    <row r="2803" ht="15.75" spans="6:9">
      <c r="F2803" s="12" t="s">
        <v>6978</v>
      </c>
      <c r="G2803" s="12" t="s">
        <v>392</v>
      </c>
      <c r="H2803" s="15">
        <v>134700</v>
      </c>
      <c r="I2803" s="13">
        <v>47</v>
      </c>
    </row>
    <row r="2804" ht="15.75" spans="6:9">
      <c r="F2804" s="12" t="s">
        <v>5200</v>
      </c>
      <c r="G2804" s="12" t="s">
        <v>391</v>
      </c>
      <c r="H2804" s="15">
        <v>29585</v>
      </c>
      <c r="I2804" s="13">
        <v>47</v>
      </c>
    </row>
    <row r="2805" ht="15.75" spans="6:9">
      <c r="F2805" s="12" t="s">
        <v>6979</v>
      </c>
      <c r="G2805" s="12" t="s">
        <v>392</v>
      </c>
      <c r="H2805" s="15">
        <v>11000</v>
      </c>
      <c r="I2805" s="13">
        <v>47</v>
      </c>
    </row>
    <row r="2806" ht="15.75" spans="6:9">
      <c r="F2806" s="12" t="s">
        <v>4811</v>
      </c>
      <c r="G2806" s="12" t="s">
        <v>391</v>
      </c>
      <c r="H2806" s="15">
        <v>48028</v>
      </c>
      <c r="I2806" s="13">
        <v>47</v>
      </c>
    </row>
    <row r="2807" ht="15.75" spans="6:9">
      <c r="F2807" s="12" t="s">
        <v>3694</v>
      </c>
      <c r="G2807" s="12" t="s">
        <v>391</v>
      </c>
      <c r="H2807" s="15">
        <v>117466</v>
      </c>
      <c r="I2807" s="13">
        <v>47</v>
      </c>
    </row>
    <row r="2808" ht="15.75" spans="6:9">
      <c r="F2808" s="12" t="s">
        <v>3696</v>
      </c>
      <c r="G2808" s="12" t="s">
        <v>391</v>
      </c>
      <c r="H2808" s="15">
        <v>1026392</v>
      </c>
      <c r="I2808" s="13">
        <v>47</v>
      </c>
    </row>
    <row r="2809" ht="15.75" spans="6:9">
      <c r="F2809" s="12" t="s">
        <v>3698</v>
      </c>
      <c r="G2809" s="12" t="s">
        <v>391</v>
      </c>
      <c r="H2809" s="15">
        <v>435113</v>
      </c>
      <c r="I2809" s="13">
        <v>47</v>
      </c>
    </row>
    <row r="2810" ht="15.75" spans="6:9">
      <c r="F2810" s="12" t="s">
        <v>5211</v>
      </c>
      <c r="G2810" s="12" t="s">
        <v>391</v>
      </c>
      <c r="H2810" s="15">
        <v>18223</v>
      </c>
      <c r="I2810" s="13">
        <v>47</v>
      </c>
    </row>
    <row r="2811" ht="15.75" spans="6:9">
      <c r="F2811" s="12" t="s">
        <v>5219</v>
      </c>
      <c r="G2811" s="12" t="s">
        <v>391</v>
      </c>
      <c r="H2811" s="15">
        <v>16594</v>
      </c>
      <c r="I2811" s="13">
        <v>47</v>
      </c>
    </row>
    <row r="2812" ht="15.75" spans="6:9">
      <c r="F2812" s="12" t="s">
        <v>5223</v>
      </c>
      <c r="G2812" s="12" t="s">
        <v>391</v>
      </c>
      <c r="H2812" s="15">
        <v>29992</v>
      </c>
      <c r="I2812" s="13">
        <v>47</v>
      </c>
    </row>
    <row r="2813" ht="15.75" spans="6:9">
      <c r="F2813" s="12" t="s">
        <v>3700</v>
      </c>
      <c r="G2813" s="12" t="s">
        <v>391</v>
      </c>
      <c r="H2813" s="15">
        <v>175984</v>
      </c>
      <c r="I2813" s="13">
        <v>47</v>
      </c>
    </row>
    <row r="2814" ht="15.75" spans="6:9">
      <c r="F2814" s="12" t="s">
        <v>5226</v>
      </c>
      <c r="G2814" s="12" t="s">
        <v>391</v>
      </c>
      <c r="H2814" s="15">
        <v>25002</v>
      </c>
      <c r="I2814" s="13">
        <v>47</v>
      </c>
    </row>
    <row r="2815" ht="15.75" spans="6:9">
      <c r="F2815" s="12" t="s">
        <v>3704</v>
      </c>
      <c r="G2815" s="12" t="s">
        <v>391</v>
      </c>
      <c r="H2815" s="15">
        <v>105503</v>
      </c>
      <c r="I2815" s="13">
        <v>47</v>
      </c>
    </row>
    <row r="2816" ht="15.75" spans="6:9">
      <c r="F2816" s="12" t="s">
        <v>5243</v>
      </c>
      <c r="G2816" s="12" t="s">
        <v>391</v>
      </c>
      <c r="H2816" s="15">
        <v>23248</v>
      </c>
      <c r="I2816" s="13">
        <v>47</v>
      </c>
    </row>
    <row r="2817" ht="15.75" spans="6:9">
      <c r="F2817" s="12" t="s">
        <v>3706</v>
      </c>
      <c r="G2817" s="12" t="s">
        <v>391</v>
      </c>
      <c r="H2817" s="15">
        <v>122463</v>
      </c>
      <c r="I2817" s="13">
        <v>47</v>
      </c>
    </row>
    <row r="2818" ht="15.75" spans="6:9">
      <c r="F2818" s="12" t="s">
        <v>6980</v>
      </c>
      <c r="G2818" s="12" t="s">
        <v>391</v>
      </c>
      <c r="H2818" s="15">
        <v>51153</v>
      </c>
      <c r="I2818" s="13">
        <v>47</v>
      </c>
    </row>
    <row r="2819" ht="15.75" spans="6:9">
      <c r="F2819" s="12" t="s">
        <v>6981</v>
      </c>
      <c r="G2819" s="12" t="s">
        <v>392</v>
      </c>
      <c r="H2819" s="15">
        <v>16600</v>
      </c>
      <c r="I2819" s="13">
        <v>47</v>
      </c>
    </row>
    <row r="2820" ht="15.75" spans="6:9">
      <c r="F2820" s="12" t="s">
        <v>6982</v>
      </c>
      <c r="G2820" s="12" t="s">
        <v>392</v>
      </c>
      <c r="H2820" s="15">
        <v>18000</v>
      </c>
      <c r="I2820" s="13">
        <v>47</v>
      </c>
    </row>
    <row r="2821" ht="15.75" spans="6:9">
      <c r="F2821" s="12" t="s">
        <v>6983</v>
      </c>
      <c r="G2821" s="12" t="s">
        <v>391</v>
      </c>
      <c r="H2821" s="15">
        <v>88495</v>
      </c>
      <c r="I2821" s="13">
        <v>47</v>
      </c>
    </row>
    <row r="2822" ht="15.75" spans="6:9">
      <c r="F2822" s="12" t="s">
        <v>5259</v>
      </c>
      <c r="G2822" s="12" t="s">
        <v>391</v>
      </c>
      <c r="H2822" s="15">
        <v>11436</v>
      </c>
      <c r="I2822" s="13">
        <v>47</v>
      </c>
    </row>
    <row r="2823" ht="15.75" spans="6:9">
      <c r="F2823" s="12" t="s">
        <v>3572</v>
      </c>
      <c r="G2823" s="12" t="s">
        <v>391</v>
      </c>
      <c r="H2823" s="15">
        <v>172280</v>
      </c>
      <c r="I2823" s="13">
        <v>47</v>
      </c>
    </row>
    <row r="2824" ht="15.75" spans="6:9">
      <c r="F2824" s="12" t="s">
        <v>3708</v>
      </c>
      <c r="G2824" s="12" t="s">
        <v>391</v>
      </c>
      <c r="H2824" s="15">
        <v>126153</v>
      </c>
      <c r="I2824" s="13">
        <v>47</v>
      </c>
    </row>
    <row r="2825" ht="15.75" spans="6:9">
      <c r="F2825" s="12" t="s">
        <v>4028</v>
      </c>
      <c r="G2825" s="12" t="s">
        <v>391</v>
      </c>
      <c r="H2825" s="15">
        <v>256224</v>
      </c>
      <c r="I2825" s="13">
        <v>47</v>
      </c>
    </row>
    <row r="2826" ht="15.75" spans="6:9">
      <c r="F2826" s="12" t="s">
        <v>5263</v>
      </c>
      <c r="G2826" s="12" t="s">
        <v>391</v>
      </c>
      <c r="H2826" s="15">
        <v>20780</v>
      </c>
      <c r="I2826" s="13">
        <v>47</v>
      </c>
    </row>
    <row r="2827" ht="15.75" spans="6:9">
      <c r="F2827" s="12" t="s">
        <v>6984</v>
      </c>
      <c r="G2827" s="12" t="s">
        <v>392</v>
      </c>
      <c r="H2827" s="15">
        <v>12500</v>
      </c>
      <c r="I2827" s="13">
        <v>47</v>
      </c>
    </row>
    <row r="2828" ht="15.75" spans="6:9">
      <c r="F2828" s="12" t="s">
        <v>3710</v>
      </c>
      <c r="G2828" s="12" t="s">
        <v>391</v>
      </c>
      <c r="H2828" s="15">
        <v>199777</v>
      </c>
      <c r="I2828" s="13">
        <v>47</v>
      </c>
    </row>
    <row r="2829" ht="15.75" spans="6:9">
      <c r="F2829" s="12" t="s">
        <v>6985</v>
      </c>
      <c r="G2829" s="12" t="s">
        <v>391</v>
      </c>
      <c r="H2829" s="15">
        <v>79483</v>
      </c>
      <c r="I2829" s="13">
        <v>47</v>
      </c>
    </row>
    <row r="2830" ht="15.75" spans="6:9">
      <c r="F2830" s="12" t="s">
        <v>6986</v>
      </c>
      <c r="G2830" s="12" t="s">
        <v>391</v>
      </c>
      <c r="H2830" s="15">
        <v>62774</v>
      </c>
      <c r="I2830" s="13">
        <v>47</v>
      </c>
    </row>
    <row r="2831" ht="15.75" spans="6:9">
      <c r="F2831" s="12" t="s">
        <v>3712</v>
      </c>
      <c r="G2831" s="12" t="s">
        <v>392</v>
      </c>
      <c r="H2831" s="15">
        <v>202100</v>
      </c>
      <c r="I2831" s="13">
        <v>47</v>
      </c>
    </row>
    <row r="2832" ht="15.75" spans="6:9">
      <c r="F2832" s="12" t="s">
        <v>4205</v>
      </c>
      <c r="G2832" s="12" t="s">
        <v>391</v>
      </c>
      <c r="H2832" s="15">
        <v>103135</v>
      </c>
      <c r="I2832" s="13">
        <v>47</v>
      </c>
    </row>
    <row r="2833" ht="15.75" spans="6:9">
      <c r="F2833" s="12" t="s">
        <v>6987</v>
      </c>
      <c r="G2833" s="12" t="s">
        <v>392</v>
      </c>
      <c r="H2833" s="15">
        <v>7102838</v>
      </c>
      <c r="I2833" s="13">
        <v>47</v>
      </c>
    </row>
    <row r="2834" ht="15.75" spans="6:9">
      <c r="F2834" s="12" t="s">
        <v>3714</v>
      </c>
      <c r="G2834" s="12" t="s">
        <v>391</v>
      </c>
      <c r="H2834" s="15">
        <v>315016</v>
      </c>
      <c r="I2834" s="13">
        <v>47</v>
      </c>
    </row>
    <row r="2835" ht="15.75" spans="6:9">
      <c r="F2835" s="12" t="s">
        <v>6988</v>
      </c>
      <c r="G2835" s="12" t="s">
        <v>392</v>
      </c>
      <c r="H2835" s="15">
        <v>120900</v>
      </c>
      <c r="I2835" s="13">
        <v>47</v>
      </c>
    </row>
    <row r="2836" ht="15.75" spans="6:9">
      <c r="F2836" s="12" t="s">
        <v>3716</v>
      </c>
      <c r="G2836" s="12" t="s">
        <v>391</v>
      </c>
      <c r="H2836" s="15">
        <v>1712568</v>
      </c>
      <c r="I2836" s="13">
        <v>47</v>
      </c>
    </row>
    <row r="2837" ht="15.75" spans="6:9">
      <c r="F2837" s="12" t="s">
        <v>5317</v>
      </c>
      <c r="G2837" s="12" t="s">
        <v>391</v>
      </c>
      <c r="H2837" s="15">
        <v>14444</v>
      </c>
      <c r="I2837" s="13">
        <v>47</v>
      </c>
    </row>
    <row r="2838" ht="15.75" spans="6:9">
      <c r="F2838" s="12" t="s">
        <v>4216</v>
      </c>
      <c r="G2838" s="12" t="s">
        <v>391</v>
      </c>
      <c r="H2838" s="15">
        <v>101492</v>
      </c>
      <c r="I2838" s="13">
        <v>47</v>
      </c>
    </row>
    <row r="2839" ht="15.75" spans="6:9">
      <c r="F2839" s="12" t="s">
        <v>6989</v>
      </c>
      <c r="G2839" s="12" t="s">
        <v>392</v>
      </c>
      <c r="H2839" s="15">
        <v>65600</v>
      </c>
      <c r="I2839" s="13">
        <v>47</v>
      </c>
    </row>
    <row r="2840" ht="15.75" spans="6:9">
      <c r="F2840" s="12" t="s">
        <v>6990</v>
      </c>
      <c r="G2840" s="12" t="s">
        <v>392</v>
      </c>
      <c r="H2840" s="15">
        <v>109300</v>
      </c>
      <c r="I2840" s="13">
        <v>47</v>
      </c>
    </row>
    <row r="2841" ht="15.75" spans="6:9">
      <c r="F2841" s="12" t="s">
        <v>5350</v>
      </c>
      <c r="G2841" s="12" t="s">
        <v>391</v>
      </c>
      <c r="H2841" s="15">
        <v>16009</v>
      </c>
      <c r="I2841" s="13">
        <v>47</v>
      </c>
    </row>
    <row r="2842" ht="15.75" spans="6:9">
      <c r="F2842" s="12" t="s">
        <v>3719</v>
      </c>
      <c r="G2842" s="12" t="s">
        <v>391</v>
      </c>
      <c r="H2842" s="15">
        <v>159398</v>
      </c>
      <c r="I2842" s="13">
        <v>47</v>
      </c>
    </row>
    <row r="2843" ht="15.75" spans="6:9">
      <c r="F2843" s="12" t="s">
        <v>3721</v>
      </c>
      <c r="G2843" s="12" t="s">
        <v>391</v>
      </c>
      <c r="H2843" s="15">
        <v>112359</v>
      </c>
      <c r="I2843" s="13">
        <v>47</v>
      </c>
    </row>
    <row r="2844" ht="15.75" spans="6:9">
      <c r="F2844" s="12" t="s">
        <v>4219</v>
      </c>
      <c r="G2844" s="12" t="s">
        <v>391</v>
      </c>
      <c r="H2844" s="15">
        <v>241296</v>
      </c>
      <c r="I2844" s="13">
        <v>47</v>
      </c>
    </row>
    <row r="2845" ht="15.75" spans="6:9">
      <c r="F2845" s="12" t="s">
        <v>3724</v>
      </c>
      <c r="G2845" s="12" t="s">
        <v>391</v>
      </c>
      <c r="H2845" s="15">
        <v>102398</v>
      </c>
      <c r="I2845" s="13">
        <v>47</v>
      </c>
    </row>
    <row r="2846" ht="15.75" spans="6:9">
      <c r="F2846" s="12" t="s">
        <v>3725</v>
      </c>
      <c r="G2846" s="12" t="s">
        <v>392</v>
      </c>
      <c r="H2846" s="15">
        <v>147100</v>
      </c>
      <c r="I2846" s="13">
        <v>47</v>
      </c>
    </row>
    <row r="2847" ht="15.75" spans="6:9">
      <c r="F2847" s="12" t="s">
        <v>3727</v>
      </c>
      <c r="G2847" s="12" t="s">
        <v>391</v>
      </c>
      <c r="H2847" s="15">
        <v>328971</v>
      </c>
      <c r="I2847" s="13">
        <v>47</v>
      </c>
    </row>
    <row r="2848" ht="15.75" spans="6:9">
      <c r="F2848" s="12" t="s">
        <v>5377</v>
      </c>
      <c r="G2848" s="12" t="s">
        <v>391</v>
      </c>
      <c r="H2848" s="15">
        <v>11816</v>
      </c>
      <c r="I2848" s="13">
        <v>47</v>
      </c>
    </row>
    <row r="2849" ht="15.75" spans="6:9">
      <c r="F2849" s="12" t="s">
        <v>6991</v>
      </c>
      <c r="G2849" s="12" t="s">
        <v>392</v>
      </c>
      <c r="H2849" s="15">
        <v>22900</v>
      </c>
      <c r="I2849" s="13">
        <v>47</v>
      </c>
    </row>
    <row r="2850" ht="15.75" spans="6:9">
      <c r="F2850" s="12" t="s">
        <v>6992</v>
      </c>
      <c r="G2850" s="12" t="s">
        <v>391</v>
      </c>
      <c r="H2850" s="15">
        <v>67156</v>
      </c>
      <c r="I2850" s="13">
        <v>47</v>
      </c>
    </row>
    <row r="2851" ht="15.75" spans="6:9">
      <c r="F2851" s="12" t="s">
        <v>5399</v>
      </c>
      <c r="G2851" s="12" t="s">
        <v>391</v>
      </c>
      <c r="H2851" s="15">
        <v>27403</v>
      </c>
      <c r="I2851" s="13">
        <v>47</v>
      </c>
    </row>
    <row r="2852" ht="15.75" spans="6:9">
      <c r="F2852" s="12" t="s">
        <v>6993</v>
      </c>
      <c r="G2852" s="12" t="s">
        <v>391</v>
      </c>
      <c r="H2852" s="15">
        <v>67214</v>
      </c>
      <c r="I2852" s="13">
        <v>47</v>
      </c>
    </row>
    <row r="2853" ht="15.75" spans="6:9">
      <c r="F2853" s="12" t="s">
        <v>4828</v>
      </c>
      <c r="G2853" s="12" t="s">
        <v>391</v>
      </c>
      <c r="H2853" s="15">
        <v>88636</v>
      </c>
      <c r="I2853" s="13">
        <v>46</v>
      </c>
    </row>
    <row r="2854" ht="15.75" spans="6:9">
      <c r="F2854" s="12" t="s">
        <v>3729</v>
      </c>
      <c r="G2854" s="12" t="s">
        <v>392</v>
      </c>
      <c r="H2854" s="15">
        <v>388300</v>
      </c>
      <c r="I2854" s="13">
        <v>46</v>
      </c>
    </row>
    <row r="2855" ht="15.75" spans="6:9">
      <c r="F2855" s="12" t="s">
        <v>4228</v>
      </c>
      <c r="G2855" s="12" t="s">
        <v>391</v>
      </c>
      <c r="H2855" s="15">
        <v>119537</v>
      </c>
      <c r="I2855" s="13">
        <v>46</v>
      </c>
    </row>
    <row r="2856" ht="15.75" spans="6:9">
      <c r="F2856" s="12" t="s">
        <v>4833</v>
      </c>
      <c r="G2856" s="12" t="s">
        <v>391</v>
      </c>
      <c r="H2856" s="15">
        <v>68600</v>
      </c>
      <c r="I2856" s="13">
        <v>46</v>
      </c>
    </row>
    <row r="2857" ht="15.75" spans="6:9">
      <c r="F2857" s="12" t="s">
        <v>4232</v>
      </c>
      <c r="G2857" s="12" t="s">
        <v>391</v>
      </c>
      <c r="H2857" s="15">
        <v>146243</v>
      </c>
      <c r="I2857" s="13">
        <v>46</v>
      </c>
    </row>
    <row r="2858" ht="15.75" spans="6:9">
      <c r="F2858" s="12" t="s">
        <v>2496</v>
      </c>
      <c r="G2858" s="12" t="s">
        <v>391</v>
      </c>
      <c r="H2858" s="15">
        <v>11208273</v>
      </c>
      <c r="I2858" s="13">
        <v>46</v>
      </c>
    </row>
    <row r="2859" ht="15.75" spans="6:9">
      <c r="F2859" s="12" t="s">
        <v>6994</v>
      </c>
      <c r="G2859" s="12" t="s">
        <v>391</v>
      </c>
      <c r="H2859" s="15">
        <v>51324</v>
      </c>
      <c r="I2859" s="13">
        <v>46</v>
      </c>
    </row>
    <row r="2860" ht="15.75" spans="6:9">
      <c r="F2860" s="12" t="s">
        <v>3731</v>
      </c>
      <c r="G2860" s="12" t="s">
        <v>391</v>
      </c>
      <c r="H2860" s="15">
        <v>661616</v>
      </c>
      <c r="I2860" s="13">
        <v>46</v>
      </c>
    </row>
    <row r="2861" ht="15.75" spans="6:9">
      <c r="F2861" s="12" t="s">
        <v>6995</v>
      </c>
      <c r="G2861" s="12" t="s">
        <v>391</v>
      </c>
      <c r="H2861" s="15">
        <v>118587</v>
      </c>
      <c r="I2861" s="13">
        <v>46</v>
      </c>
    </row>
    <row r="2862" ht="15.75" spans="6:9">
      <c r="F2862" s="12" t="s">
        <v>3733</v>
      </c>
      <c r="G2862" s="12" t="s">
        <v>391</v>
      </c>
      <c r="H2862" s="15">
        <v>299790</v>
      </c>
      <c r="I2862" s="13">
        <v>46</v>
      </c>
    </row>
    <row r="2863" ht="15.75" spans="6:9">
      <c r="F2863" s="12" t="s">
        <v>4837</v>
      </c>
      <c r="G2863" s="12" t="s">
        <v>391</v>
      </c>
      <c r="H2863" s="15">
        <v>247764</v>
      </c>
      <c r="I2863" s="13">
        <v>46</v>
      </c>
    </row>
    <row r="2864" ht="15.75" spans="6:9">
      <c r="F2864" s="12" t="s">
        <v>6996</v>
      </c>
      <c r="G2864" s="12" t="s">
        <v>392</v>
      </c>
      <c r="H2864" s="15">
        <v>3700000</v>
      </c>
      <c r="I2864" s="13">
        <v>46</v>
      </c>
    </row>
    <row r="2865" ht="15.75" spans="6:9">
      <c r="F2865" s="12" t="s">
        <v>6997</v>
      </c>
      <c r="G2865" s="12" t="s">
        <v>391</v>
      </c>
      <c r="H2865" s="15">
        <v>69991</v>
      </c>
      <c r="I2865" s="13">
        <v>46</v>
      </c>
    </row>
    <row r="2866" ht="15.75" spans="6:9">
      <c r="F2866" s="12" t="s">
        <v>4241</v>
      </c>
      <c r="G2866" s="12" t="s">
        <v>391</v>
      </c>
      <c r="H2866" s="15">
        <v>678397</v>
      </c>
      <c r="I2866" s="13">
        <v>46</v>
      </c>
    </row>
    <row r="2867" ht="15.75" spans="6:9">
      <c r="F2867" s="12" t="s">
        <v>3738</v>
      </c>
      <c r="G2867" s="12" t="s">
        <v>391</v>
      </c>
      <c r="H2867" s="15">
        <v>103932</v>
      </c>
      <c r="I2867" s="13">
        <v>46</v>
      </c>
    </row>
    <row r="2868" ht="15.75" spans="6:9">
      <c r="F2868" s="12" t="s">
        <v>3740</v>
      </c>
      <c r="G2868" s="12" t="s">
        <v>391</v>
      </c>
      <c r="H2868" s="15">
        <v>105608</v>
      </c>
      <c r="I2868" s="13">
        <v>46</v>
      </c>
    </row>
    <row r="2869" ht="15.75" spans="6:9">
      <c r="F2869" s="12" t="s">
        <v>3742</v>
      </c>
      <c r="G2869" s="12" t="s">
        <v>391</v>
      </c>
      <c r="H2869" s="15">
        <v>1132784</v>
      </c>
      <c r="I2869" s="13">
        <v>46</v>
      </c>
    </row>
    <row r="2870" ht="15.75" spans="6:9">
      <c r="F2870" s="12" t="s">
        <v>4769</v>
      </c>
      <c r="G2870" s="12" t="s">
        <v>391</v>
      </c>
      <c r="H2870" s="15">
        <v>5511969</v>
      </c>
      <c r="I2870" s="13">
        <v>46</v>
      </c>
    </row>
    <row r="2871" ht="15.75" spans="6:9">
      <c r="F2871" s="12" t="s">
        <v>4585</v>
      </c>
      <c r="G2871" s="12" t="s">
        <v>391</v>
      </c>
      <c r="H2871" s="15">
        <v>110812</v>
      </c>
      <c r="I2871" s="13">
        <v>46</v>
      </c>
    </row>
    <row r="2872" ht="15.75" spans="6:9">
      <c r="F2872" s="12" t="s">
        <v>3745</v>
      </c>
      <c r="G2872" s="12" t="s">
        <v>391</v>
      </c>
      <c r="H2872" s="15">
        <v>170550</v>
      </c>
      <c r="I2872" s="13">
        <v>46</v>
      </c>
    </row>
    <row r="2873" ht="15.75" spans="6:9">
      <c r="F2873" s="12" t="s">
        <v>3748</v>
      </c>
      <c r="G2873" s="12" t="s">
        <v>391</v>
      </c>
      <c r="H2873" s="15">
        <v>109735</v>
      </c>
      <c r="I2873" s="13">
        <v>46</v>
      </c>
    </row>
    <row r="2874" ht="15.75" spans="6:9">
      <c r="F2874" s="12" t="s">
        <v>3776</v>
      </c>
      <c r="G2874" s="12" t="s">
        <v>391</v>
      </c>
      <c r="H2874" s="15">
        <v>150437</v>
      </c>
      <c r="I2874" s="13">
        <v>46</v>
      </c>
    </row>
    <row r="2875" ht="15.75" spans="6:9">
      <c r="F2875" s="12" t="s">
        <v>4001</v>
      </c>
      <c r="G2875" s="12" t="s">
        <v>391</v>
      </c>
      <c r="H2875" s="15">
        <v>109296</v>
      </c>
      <c r="I2875" s="13">
        <v>46</v>
      </c>
    </row>
    <row r="2876" ht="15.75" spans="6:9">
      <c r="F2876" s="12" t="s">
        <v>3750</v>
      </c>
      <c r="G2876" s="12" t="s">
        <v>391</v>
      </c>
      <c r="H2876" s="15">
        <v>127718</v>
      </c>
      <c r="I2876" s="13">
        <v>46</v>
      </c>
    </row>
    <row r="2877" ht="15.75" spans="6:9">
      <c r="F2877" s="12" t="s">
        <v>6998</v>
      </c>
      <c r="G2877" s="12" t="s">
        <v>391</v>
      </c>
      <c r="H2877" s="15">
        <v>92831</v>
      </c>
      <c r="I2877" s="13">
        <v>46</v>
      </c>
    </row>
    <row r="2878" ht="15.75" spans="6:9">
      <c r="F2878" s="12" t="s">
        <v>3752</v>
      </c>
      <c r="G2878" s="12" t="s">
        <v>391</v>
      </c>
      <c r="H2878" s="15">
        <v>291053</v>
      </c>
      <c r="I2878" s="13">
        <v>46</v>
      </c>
    </row>
    <row r="2879" ht="15.75" spans="6:9">
      <c r="F2879" s="12" t="s">
        <v>4601</v>
      </c>
      <c r="G2879" s="12" t="s">
        <v>391</v>
      </c>
      <c r="H2879" s="15">
        <v>100930</v>
      </c>
      <c r="I2879" s="13">
        <v>46</v>
      </c>
    </row>
    <row r="2880" ht="15.75" spans="6:9">
      <c r="F2880" s="12" t="s">
        <v>3754</v>
      </c>
      <c r="G2880" s="12" t="s">
        <v>391</v>
      </c>
      <c r="H2880" s="15">
        <v>437134</v>
      </c>
      <c r="I2880" s="13">
        <v>46</v>
      </c>
    </row>
    <row r="2881" ht="15.75" spans="6:9">
      <c r="F2881" s="12" t="s">
        <v>4276</v>
      </c>
      <c r="G2881" s="12" t="s">
        <v>391</v>
      </c>
      <c r="H2881" s="15">
        <v>106287</v>
      </c>
      <c r="I2881" s="13">
        <v>46</v>
      </c>
    </row>
    <row r="2882" ht="15.75" spans="6:9">
      <c r="F2882" s="12" t="s">
        <v>6999</v>
      </c>
      <c r="G2882" s="12" t="s">
        <v>391</v>
      </c>
      <c r="H2882" s="15">
        <v>62613</v>
      </c>
      <c r="I2882" s="13">
        <v>46</v>
      </c>
    </row>
    <row r="2883" ht="15.75" spans="6:9">
      <c r="F2883" s="12" t="s">
        <v>4279</v>
      </c>
      <c r="G2883" s="12" t="s">
        <v>391</v>
      </c>
      <c r="H2883" s="15">
        <v>271497</v>
      </c>
      <c r="I2883" s="13">
        <v>46</v>
      </c>
    </row>
    <row r="2884" ht="15.75" spans="6:9">
      <c r="F2884" s="12" t="s">
        <v>3756</v>
      </c>
      <c r="G2884" s="12" t="s">
        <v>391</v>
      </c>
      <c r="H2884" s="15">
        <v>423290</v>
      </c>
      <c r="I2884" s="13">
        <v>46</v>
      </c>
    </row>
    <row r="2885" ht="15.75" spans="6:9">
      <c r="F2885" s="12" t="s">
        <v>7000</v>
      </c>
      <c r="G2885" s="12" t="s">
        <v>392</v>
      </c>
      <c r="H2885" s="15">
        <v>526100</v>
      </c>
      <c r="I2885" s="13">
        <v>46</v>
      </c>
    </row>
    <row r="2886" ht="15.75" spans="6:9">
      <c r="F2886" s="12" t="s">
        <v>3758</v>
      </c>
      <c r="G2886" s="12" t="s">
        <v>391</v>
      </c>
      <c r="H2886" s="15">
        <v>288661</v>
      </c>
      <c r="I2886" s="13">
        <v>46</v>
      </c>
    </row>
    <row r="2887" ht="15.75" spans="6:9">
      <c r="F2887" s="12" t="s">
        <v>7001</v>
      </c>
      <c r="G2887" s="12" t="s">
        <v>391</v>
      </c>
      <c r="H2887" s="15">
        <v>70501</v>
      </c>
      <c r="I2887" s="13">
        <v>46</v>
      </c>
    </row>
    <row r="2888" ht="15.75" spans="6:9">
      <c r="F2888" s="12" t="s">
        <v>5359</v>
      </c>
      <c r="G2888" s="12" t="s">
        <v>391</v>
      </c>
      <c r="H2888" s="15">
        <v>18923</v>
      </c>
      <c r="I2888" s="13">
        <v>46</v>
      </c>
    </row>
    <row r="2889" ht="15.75" spans="6:9">
      <c r="F2889" s="12" t="s">
        <v>3254</v>
      </c>
      <c r="G2889" s="12" t="s">
        <v>391</v>
      </c>
      <c r="H2889" s="15">
        <v>116843</v>
      </c>
      <c r="I2889" s="13">
        <v>46</v>
      </c>
    </row>
    <row r="2890" ht="15.75" spans="6:9">
      <c r="F2890" s="12" t="s">
        <v>3761</v>
      </c>
      <c r="G2890" s="12" t="s">
        <v>392</v>
      </c>
      <c r="H2890" s="15">
        <v>259400</v>
      </c>
      <c r="I2890" s="13">
        <v>46</v>
      </c>
    </row>
    <row r="2891" ht="15.75" spans="6:9">
      <c r="F2891" s="12" t="s">
        <v>7002</v>
      </c>
      <c r="G2891" s="12" t="s">
        <v>392</v>
      </c>
      <c r="H2891" s="15">
        <v>50400</v>
      </c>
      <c r="I2891" s="13">
        <v>45</v>
      </c>
    </row>
    <row r="2892" ht="15.75" spans="6:9">
      <c r="F2892" s="12" t="s">
        <v>7003</v>
      </c>
      <c r="G2892" s="12" t="s">
        <v>391</v>
      </c>
      <c r="H2892" s="15">
        <v>40609</v>
      </c>
      <c r="I2892" s="13">
        <v>45</v>
      </c>
    </row>
    <row r="2893" ht="15.75" spans="6:9">
      <c r="F2893" s="12" t="s">
        <v>7004</v>
      </c>
      <c r="G2893" s="12" t="s">
        <v>392</v>
      </c>
      <c r="H2893" s="15">
        <v>58200</v>
      </c>
      <c r="I2893" s="13">
        <v>45</v>
      </c>
    </row>
    <row r="2894" ht="15.75" spans="6:9">
      <c r="F2894" s="12" t="s">
        <v>7005</v>
      </c>
      <c r="G2894" s="12" t="s">
        <v>391</v>
      </c>
      <c r="H2894" s="15">
        <v>20230</v>
      </c>
      <c r="I2894" s="13">
        <v>45</v>
      </c>
    </row>
    <row r="2895" ht="15.75" spans="6:9">
      <c r="F2895" s="12" t="s">
        <v>4854</v>
      </c>
      <c r="G2895" s="12" t="s">
        <v>391</v>
      </c>
      <c r="H2895" s="15">
        <v>65861</v>
      </c>
      <c r="I2895" s="13">
        <v>45</v>
      </c>
    </row>
    <row r="2896" ht="15.75" spans="6:9">
      <c r="F2896" s="12" t="s">
        <v>3763</v>
      </c>
      <c r="G2896" s="12" t="s">
        <v>392</v>
      </c>
      <c r="H2896" s="15">
        <v>626100</v>
      </c>
      <c r="I2896" s="13">
        <v>45</v>
      </c>
    </row>
    <row r="2897" ht="15.75" spans="6:9">
      <c r="F2897" s="12" t="s">
        <v>7006</v>
      </c>
      <c r="G2897" s="12" t="s">
        <v>392</v>
      </c>
      <c r="H2897" s="15">
        <v>84800</v>
      </c>
      <c r="I2897" s="13">
        <v>45</v>
      </c>
    </row>
    <row r="2898" ht="15.75" spans="6:9">
      <c r="F2898" s="12" t="s">
        <v>3765</v>
      </c>
      <c r="G2898" s="12" t="s">
        <v>392</v>
      </c>
      <c r="H2898" s="15">
        <v>113700</v>
      </c>
      <c r="I2898" s="13">
        <v>45</v>
      </c>
    </row>
    <row r="2899" ht="15.75" spans="6:9">
      <c r="F2899" s="12" t="s">
        <v>4291</v>
      </c>
      <c r="G2899" s="12" t="s">
        <v>391</v>
      </c>
      <c r="H2899" s="15">
        <v>341411</v>
      </c>
      <c r="I2899" s="13">
        <v>45</v>
      </c>
    </row>
    <row r="2900" ht="15.75" spans="6:9">
      <c r="F2900" s="12" t="s">
        <v>3768</v>
      </c>
      <c r="G2900" s="12" t="s">
        <v>391</v>
      </c>
      <c r="H2900" s="15">
        <v>146770</v>
      </c>
      <c r="I2900" s="13">
        <v>45</v>
      </c>
    </row>
    <row r="2901" ht="15.75" spans="6:9">
      <c r="F2901" s="12" t="s">
        <v>7007</v>
      </c>
      <c r="G2901" s="12" t="s">
        <v>392</v>
      </c>
      <c r="H2901" s="15">
        <v>52700</v>
      </c>
      <c r="I2901" s="13">
        <v>45</v>
      </c>
    </row>
    <row r="2902" ht="15.75" spans="6:9">
      <c r="F2902" s="12" t="s">
        <v>4293</v>
      </c>
      <c r="G2902" s="12" t="s">
        <v>392</v>
      </c>
      <c r="H2902" s="15">
        <v>316100</v>
      </c>
      <c r="I2902" s="13">
        <v>45</v>
      </c>
    </row>
    <row r="2903" ht="15.75" spans="6:9">
      <c r="F2903" s="12" t="s">
        <v>4164</v>
      </c>
      <c r="G2903" s="12" t="s">
        <v>391</v>
      </c>
      <c r="H2903" s="15">
        <v>156144</v>
      </c>
      <c r="I2903" s="13">
        <v>45</v>
      </c>
    </row>
    <row r="2904" ht="15.75" spans="6:9">
      <c r="F2904" s="12" t="s">
        <v>4801</v>
      </c>
      <c r="G2904" s="12" t="s">
        <v>391</v>
      </c>
      <c r="H2904" s="15">
        <v>68736</v>
      </c>
      <c r="I2904" s="13">
        <v>45</v>
      </c>
    </row>
    <row r="2905" ht="15.75" spans="6:9">
      <c r="F2905" s="12" t="s">
        <v>3315</v>
      </c>
      <c r="G2905" s="12" t="s">
        <v>391</v>
      </c>
      <c r="H2905" s="15">
        <v>42486</v>
      </c>
      <c r="I2905" s="13">
        <v>45</v>
      </c>
    </row>
    <row r="2906" ht="15.75" spans="6:9">
      <c r="F2906" s="12" t="s">
        <v>4864</v>
      </c>
      <c r="G2906" s="12" t="s">
        <v>391</v>
      </c>
      <c r="H2906" s="15">
        <v>43548</v>
      </c>
      <c r="I2906" s="13">
        <v>45</v>
      </c>
    </row>
    <row r="2907" ht="15.75" spans="6:9">
      <c r="F2907" s="12" t="s">
        <v>4301</v>
      </c>
      <c r="G2907" s="12" t="s">
        <v>391</v>
      </c>
      <c r="H2907" s="15">
        <v>106722</v>
      </c>
      <c r="I2907" s="13">
        <v>45</v>
      </c>
    </row>
    <row r="2908" ht="15.75" spans="6:9">
      <c r="F2908" s="12" t="s">
        <v>4304</v>
      </c>
      <c r="G2908" s="12" t="s">
        <v>392</v>
      </c>
      <c r="H2908" s="15">
        <v>876600</v>
      </c>
      <c r="I2908" s="13">
        <v>45</v>
      </c>
    </row>
    <row r="2909" ht="15.75" spans="6:9">
      <c r="F2909" s="12" t="s">
        <v>3770</v>
      </c>
      <c r="G2909" s="12" t="s">
        <v>392</v>
      </c>
      <c r="H2909" s="15">
        <v>839300</v>
      </c>
      <c r="I2909" s="13">
        <v>45</v>
      </c>
    </row>
    <row r="2910" ht="15.75" spans="6:9">
      <c r="F2910" s="12" t="s">
        <v>4309</v>
      </c>
      <c r="G2910" s="12" t="s">
        <v>391</v>
      </c>
      <c r="H2910" s="15">
        <v>312384</v>
      </c>
      <c r="I2910" s="13">
        <v>45</v>
      </c>
    </row>
    <row r="2911" ht="15.75" spans="6:9">
      <c r="F2911" s="12" t="s">
        <v>3772</v>
      </c>
      <c r="G2911" s="12" t="s">
        <v>391</v>
      </c>
      <c r="H2911" s="15">
        <v>101706</v>
      </c>
      <c r="I2911" s="13">
        <v>45</v>
      </c>
    </row>
    <row r="2912" ht="15.75" spans="6:9">
      <c r="F2912" s="12" t="s">
        <v>7008</v>
      </c>
      <c r="G2912" s="12" t="s">
        <v>392</v>
      </c>
      <c r="H2912" s="15">
        <v>91400</v>
      </c>
      <c r="I2912" s="13">
        <v>45</v>
      </c>
    </row>
    <row r="2913" ht="15.75" spans="6:9">
      <c r="F2913" s="12" t="s">
        <v>5424</v>
      </c>
      <c r="G2913" s="12" t="s">
        <v>391</v>
      </c>
      <c r="H2913" s="15">
        <v>58613</v>
      </c>
      <c r="I2913" s="13">
        <v>45</v>
      </c>
    </row>
    <row r="2914" ht="15.75" spans="6:9">
      <c r="F2914" s="12" t="s">
        <v>7009</v>
      </c>
      <c r="G2914" s="12" t="s">
        <v>392</v>
      </c>
      <c r="H2914" s="15">
        <v>88500</v>
      </c>
      <c r="I2914" s="13">
        <v>45</v>
      </c>
    </row>
    <row r="2915" ht="15.75" spans="6:9">
      <c r="F2915" s="12" t="s">
        <v>4317</v>
      </c>
      <c r="G2915" s="12" t="s">
        <v>392</v>
      </c>
      <c r="H2915" s="15">
        <v>109300</v>
      </c>
      <c r="I2915" s="13">
        <v>45</v>
      </c>
    </row>
    <row r="2916" ht="15.75" spans="6:9">
      <c r="F2916" s="12" t="s">
        <v>3778</v>
      </c>
      <c r="G2916" s="12" t="s">
        <v>391</v>
      </c>
      <c r="H2916" s="15">
        <v>152826</v>
      </c>
      <c r="I2916" s="13">
        <v>45</v>
      </c>
    </row>
    <row r="2917" ht="15.75" spans="6:9">
      <c r="F2917" s="12" t="s">
        <v>7010</v>
      </c>
      <c r="G2917" s="12" t="s">
        <v>391</v>
      </c>
      <c r="H2917" s="15">
        <v>73920</v>
      </c>
      <c r="I2917" s="13">
        <v>45</v>
      </c>
    </row>
    <row r="2918" ht="15.75" spans="6:9">
      <c r="F2918" s="12" t="s">
        <v>3784</v>
      </c>
      <c r="G2918" s="12" t="s">
        <v>391</v>
      </c>
      <c r="H2918" s="15">
        <v>3768396</v>
      </c>
      <c r="I2918" s="13">
        <v>45</v>
      </c>
    </row>
    <row r="2919" ht="15.75" spans="6:9">
      <c r="F2919" s="12" t="s">
        <v>7011</v>
      </c>
      <c r="G2919" s="12" t="s">
        <v>391</v>
      </c>
      <c r="H2919" s="15">
        <v>97257</v>
      </c>
      <c r="I2919" s="13">
        <v>45</v>
      </c>
    </row>
    <row r="2920" ht="15.75" spans="6:9">
      <c r="F2920" s="12" t="s">
        <v>3786</v>
      </c>
      <c r="G2920" s="12" t="s">
        <v>392</v>
      </c>
      <c r="H2920" s="15">
        <v>105700</v>
      </c>
      <c r="I2920" s="13">
        <v>45</v>
      </c>
    </row>
    <row r="2921" ht="15.75" spans="6:9">
      <c r="F2921" s="12" t="s">
        <v>4870</v>
      </c>
      <c r="G2921" s="12" t="s">
        <v>391</v>
      </c>
      <c r="H2921" s="15">
        <v>55947</v>
      </c>
      <c r="I2921" s="13">
        <v>45</v>
      </c>
    </row>
    <row r="2922" ht="15.75" spans="6:9">
      <c r="F2922" s="12" t="s">
        <v>4322</v>
      </c>
      <c r="G2922" s="12" t="s">
        <v>391</v>
      </c>
      <c r="H2922" s="15">
        <v>225500</v>
      </c>
      <c r="I2922" s="13">
        <v>45</v>
      </c>
    </row>
    <row r="2923" ht="15.75" spans="6:9">
      <c r="F2923" s="12" t="s">
        <v>3790</v>
      </c>
      <c r="G2923" s="12" t="s">
        <v>392</v>
      </c>
      <c r="H2923" s="15">
        <v>125800</v>
      </c>
      <c r="I2923" s="13">
        <v>45</v>
      </c>
    </row>
    <row r="2924" ht="15.75" spans="6:9">
      <c r="F2924" s="12" t="s">
        <v>4325</v>
      </c>
      <c r="G2924" s="12" t="s">
        <v>391</v>
      </c>
      <c r="H2924" s="15">
        <v>211019</v>
      </c>
      <c r="I2924" s="13">
        <v>45</v>
      </c>
    </row>
    <row r="2925" ht="15.75" spans="6:9">
      <c r="F2925" s="12" t="s">
        <v>3793</v>
      </c>
      <c r="G2925" s="12" t="s">
        <v>392</v>
      </c>
      <c r="H2925" s="15">
        <v>147900</v>
      </c>
      <c r="I2925" s="13">
        <v>45</v>
      </c>
    </row>
    <row r="2926" ht="15.75" spans="6:9">
      <c r="F2926" s="12" t="s">
        <v>7012</v>
      </c>
      <c r="G2926" s="12" t="s">
        <v>392</v>
      </c>
      <c r="H2926" s="15">
        <v>55800</v>
      </c>
      <c r="I2926" s="13">
        <v>45</v>
      </c>
    </row>
    <row r="2927" ht="15.75" spans="6:9">
      <c r="F2927" s="12" t="s">
        <v>4330</v>
      </c>
      <c r="G2927" s="12" t="s">
        <v>392</v>
      </c>
      <c r="H2927" s="15">
        <v>176100</v>
      </c>
      <c r="I2927" s="13">
        <v>45</v>
      </c>
    </row>
    <row r="2928" ht="15.75" spans="6:9">
      <c r="F2928" s="12" t="s">
        <v>3796</v>
      </c>
      <c r="G2928" s="12" t="s">
        <v>392</v>
      </c>
      <c r="H2928" s="15">
        <v>138900</v>
      </c>
      <c r="I2928" s="13">
        <v>45</v>
      </c>
    </row>
    <row r="2929" ht="15.75" spans="6:9">
      <c r="F2929" s="12" t="s">
        <v>4336</v>
      </c>
      <c r="G2929" s="12" t="s">
        <v>391</v>
      </c>
      <c r="H2929" s="15">
        <v>267982</v>
      </c>
      <c r="I2929" s="13">
        <v>45</v>
      </c>
    </row>
    <row r="2930" ht="15.75" spans="6:9">
      <c r="F2930" s="12" t="s">
        <v>7013</v>
      </c>
      <c r="G2930" s="12" t="s">
        <v>392</v>
      </c>
      <c r="H2930" s="15">
        <v>71700</v>
      </c>
      <c r="I2930" s="13">
        <v>45</v>
      </c>
    </row>
    <row r="2931" ht="15.75" spans="6:9">
      <c r="F2931" s="12" t="s">
        <v>4339</v>
      </c>
      <c r="G2931" s="12" t="s">
        <v>391</v>
      </c>
      <c r="H2931" s="15">
        <v>208540</v>
      </c>
      <c r="I2931" s="13">
        <v>45</v>
      </c>
    </row>
    <row r="2932" ht="15.75" spans="6:9">
      <c r="F2932" s="12" t="s">
        <v>7014</v>
      </c>
      <c r="G2932" s="12" t="s">
        <v>392</v>
      </c>
      <c r="H2932" s="15">
        <v>53400</v>
      </c>
      <c r="I2932" s="13">
        <v>45</v>
      </c>
    </row>
    <row r="2933" ht="15.75" spans="6:9">
      <c r="F2933" s="12" t="s">
        <v>3799</v>
      </c>
      <c r="G2933" s="12" t="s">
        <v>391</v>
      </c>
      <c r="H2933" s="15">
        <v>561102</v>
      </c>
      <c r="I2933" s="13">
        <v>45</v>
      </c>
    </row>
    <row r="2934" ht="15.75" spans="6:9">
      <c r="F2934" s="12" t="s">
        <v>4876</v>
      </c>
      <c r="G2934" s="12" t="s">
        <v>391</v>
      </c>
      <c r="H2934" s="15">
        <v>97713</v>
      </c>
      <c r="I2934" s="13">
        <v>45</v>
      </c>
    </row>
    <row r="2935" ht="15.75" spans="6:9">
      <c r="F2935" s="12" t="s">
        <v>7015</v>
      </c>
      <c r="G2935" s="12" t="s">
        <v>391</v>
      </c>
      <c r="H2935" s="15">
        <v>53880</v>
      </c>
      <c r="I2935" s="13">
        <v>45</v>
      </c>
    </row>
    <row r="2936" ht="15.75" spans="6:9">
      <c r="F2936" s="12" t="s">
        <v>3802</v>
      </c>
      <c r="G2936" s="12" t="s">
        <v>392</v>
      </c>
      <c r="H2936" s="15">
        <v>359800</v>
      </c>
      <c r="I2936" s="13">
        <v>45</v>
      </c>
    </row>
    <row r="2937" ht="15.75" spans="6:9">
      <c r="F2937" s="12" t="s">
        <v>3804</v>
      </c>
      <c r="G2937" s="12" t="s">
        <v>391</v>
      </c>
      <c r="H2937" s="15">
        <v>142483</v>
      </c>
      <c r="I2937" s="13">
        <v>45</v>
      </c>
    </row>
    <row r="2938" ht="15.75" spans="6:9">
      <c r="F2938" s="12" t="s">
        <v>7016</v>
      </c>
      <c r="G2938" s="12" t="s">
        <v>391</v>
      </c>
      <c r="H2938" s="15">
        <v>13002</v>
      </c>
      <c r="I2938" s="13">
        <v>44</v>
      </c>
    </row>
    <row r="2939" ht="15.75" spans="6:9">
      <c r="F2939" s="12" t="s">
        <v>4878</v>
      </c>
      <c r="G2939" s="12" t="s">
        <v>391</v>
      </c>
      <c r="H2939" s="15">
        <v>14768</v>
      </c>
      <c r="I2939" s="13">
        <v>44</v>
      </c>
    </row>
    <row r="2940" ht="15.75" spans="6:9">
      <c r="F2940" s="12" t="s">
        <v>4880</v>
      </c>
      <c r="G2940" s="12" t="s">
        <v>391</v>
      </c>
      <c r="H2940" s="15">
        <v>10594</v>
      </c>
      <c r="I2940" s="13">
        <v>44</v>
      </c>
    </row>
    <row r="2941" ht="15.75" spans="6:9">
      <c r="F2941" s="12" t="s">
        <v>4882</v>
      </c>
      <c r="G2941" s="12" t="s">
        <v>391</v>
      </c>
      <c r="H2941" s="15">
        <v>13640</v>
      </c>
      <c r="I2941" s="13">
        <v>44</v>
      </c>
    </row>
    <row r="2942" ht="15.75" spans="6:9">
      <c r="F2942" s="12" t="s">
        <v>7017</v>
      </c>
      <c r="G2942" s="12" t="s">
        <v>392</v>
      </c>
      <c r="H2942" s="15">
        <v>11900</v>
      </c>
      <c r="I2942" s="13">
        <v>44</v>
      </c>
    </row>
    <row r="2943" ht="15.75" spans="6:9">
      <c r="F2943" s="12" t="s">
        <v>7018</v>
      </c>
      <c r="G2943" s="12" t="s">
        <v>392</v>
      </c>
      <c r="H2943" s="15">
        <v>37200</v>
      </c>
      <c r="I2943" s="13">
        <v>44</v>
      </c>
    </row>
    <row r="2944" ht="15.75" spans="6:9">
      <c r="F2944" s="12" t="s">
        <v>7019</v>
      </c>
      <c r="G2944" s="12" t="s">
        <v>392</v>
      </c>
      <c r="H2944" s="15">
        <v>91300</v>
      </c>
      <c r="I2944" s="13">
        <v>44</v>
      </c>
    </row>
    <row r="2945" ht="15.75" spans="6:9">
      <c r="F2945" s="12" t="s">
        <v>7020</v>
      </c>
      <c r="G2945" s="12" t="s">
        <v>392</v>
      </c>
      <c r="H2945" s="15">
        <v>140000</v>
      </c>
      <c r="I2945" s="13">
        <v>44</v>
      </c>
    </row>
    <row r="2946" ht="15.75" spans="6:9">
      <c r="F2946" s="12" t="s">
        <v>7021</v>
      </c>
      <c r="G2946" s="12" t="s">
        <v>392</v>
      </c>
      <c r="H2946" s="15">
        <v>711400</v>
      </c>
      <c r="I2946" s="13">
        <v>44</v>
      </c>
    </row>
    <row r="2947" ht="15.75" spans="6:9">
      <c r="F2947" s="12" t="s">
        <v>4885</v>
      </c>
      <c r="G2947" s="12" t="s">
        <v>391</v>
      </c>
      <c r="H2947" s="15">
        <v>11585</v>
      </c>
      <c r="I2947" s="13">
        <v>44</v>
      </c>
    </row>
    <row r="2948" ht="15.75" spans="6:9">
      <c r="F2948" s="12" t="s">
        <v>4887</v>
      </c>
      <c r="G2948" s="12" t="s">
        <v>391</v>
      </c>
      <c r="H2948" s="15">
        <v>20284</v>
      </c>
      <c r="I2948" s="13">
        <v>44</v>
      </c>
    </row>
    <row r="2949" ht="15.75" spans="6:9">
      <c r="F2949" s="12" t="s">
        <v>4889</v>
      </c>
      <c r="G2949" s="12" t="s">
        <v>391</v>
      </c>
      <c r="H2949" s="15">
        <v>10900</v>
      </c>
      <c r="I2949" s="13">
        <v>44</v>
      </c>
    </row>
    <row r="2950" ht="15.75" spans="6:9">
      <c r="F2950" s="12" t="s">
        <v>7022</v>
      </c>
      <c r="G2950" s="12" t="s">
        <v>392</v>
      </c>
      <c r="H2950" s="15">
        <v>84700</v>
      </c>
      <c r="I2950" s="13">
        <v>44</v>
      </c>
    </row>
    <row r="2951" ht="15.75" spans="6:9">
      <c r="F2951" s="12" t="s">
        <v>4891</v>
      </c>
      <c r="G2951" s="12" t="s">
        <v>391</v>
      </c>
      <c r="H2951" s="15">
        <v>12046</v>
      </c>
      <c r="I2951" s="13">
        <v>44</v>
      </c>
    </row>
    <row r="2952" ht="15.75" spans="6:9">
      <c r="F2952" s="12" t="s">
        <v>4893</v>
      </c>
      <c r="G2952" s="12" t="s">
        <v>391</v>
      </c>
      <c r="H2952" s="15">
        <v>10941</v>
      </c>
      <c r="I2952" s="13">
        <v>44</v>
      </c>
    </row>
    <row r="2953" ht="15.75" spans="6:9">
      <c r="F2953" s="12" t="s">
        <v>3806</v>
      </c>
      <c r="G2953" s="12" t="s">
        <v>391</v>
      </c>
      <c r="H2953" s="15">
        <v>100829</v>
      </c>
      <c r="I2953" s="13">
        <v>44</v>
      </c>
    </row>
    <row r="2954" ht="15.75" spans="6:9">
      <c r="F2954" s="12" t="s">
        <v>7023</v>
      </c>
      <c r="G2954" s="12" t="s">
        <v>391</v>
      </c>
      <c r="H2954" s="15">
        <v>10548</v>
      </c>
      <c r="I2954" s="13">
        <v>44</v>
      </c>
    </row>
    <row r="2955" ht="15.75" spans="6:9">
      <c r="F2955" s="12" t="s">
        <v>7024</v>
      </c>
      <c r="G2955" s="12" t="s">
        <v>392</v>
      </c>
      <c r="H2955" s="15">
        <v>86200</v>
      </c>
      <c r="I2955" s="13">
        <v>44</v>
      </c>
    </row>
    <row r="2956" ht="15.75" spans="6:9">
      <c r="F2956" s="12" t="s">
        <v>4897</v>
      </c>
      <c r="G2956" s="12" t="s">
        <v>391</v>
      </c>
      <c r="H2956" s="15">
        <v>12055</v>
      </c>
      <c r="I2956" s="13">
        <v>44</v>
      </c>
    </row>
    <row r="2957" ht="15.75" spans="6:9">
      <c r="F2957" s="12" t="s">
        <v>4901</v>
      </c>
      <c r="G2957" s="12" t="s">
        <v>391</v>
      </c>
      <c r="H2957" s="15">
        <v>19566</v>
      </c>
      <c r="I2957" s="13">
        <v>44</v>
      </c>
    </row>
    <row r="2958" ht="15.75" spans="6:9">
      <c r="F2958" s="12" t="s">
        <v>7025</v>
      </c>
      <c r="G2958" s="12" t="s">
        <v>392</v>
      </c>
      <c r="H2958" s="15">
        <v>931700</v>
      </c>
      <c r="I2958" s="13">
        <v>44</v>
      </c>
    </row>
    <row r="2959" ht="15.75" spans="6:9">
      <c r="F2959" s="12" t="s">
        <v>4905</v>
      </c>
      <c r="G2959" s="12" t="s">
        <v>391</v>
      </c>
      <c r="H2959" s="15">
        <v>27520</v>
      </c>
      <c r="I2959" s="13">
        <v>44</v>
      </c>
    </row>
    <row r="2960" ht="15.75" spans="6:9">
      <c r="F2960" s="12" t="s">
        <v>7026</v>
      </c>
      <c r="G2960" s="12" t="s">
        <v>392</v>
      </c>
      <c r="H2960" s="15">
        <v>12800</v>
      </c>
      <c r="I2960" s="13">
        <v>44</v>
      </c>
    </row>
    <row r="2961" ht="15.75" spans="6:9">
      <c r="F2961" s="12" t="s">
        <v>7027</v>
      </c>
      <c r="G2961" s="12" t="s">
        <v>392</v>
      </c>
      <c r="H2961" s="15">
        <v>37700</v>
      </c>
      <c r="I2961" s="13">
        <v>44</v>
      </c>
    </row>
    <row r="2962" ht="15.75" spans="6:9">
      <c r="F2962" s="12" t="s">
        <v>4906</v>
      </c>
      <c r="G2962" s="12" t="s">
        <v>391</v>
      </c>
      <c r="H2962" s="15">
        <v>16977</v>
      </c>
      <c r="I2962" s="13">
        <v>44</v>
      </c>
    </row>
    <row r="2963" ht="15.75" spans="6:9">
      <c r="F2963" s="12" t="s">
        <v>7028</v>
      </c>
      <c r="G2963" s="12" t="s">
        <v>392</v>
      </c>
      <c r="H2963" s="15">
        <v>35100</v>
      </c>
      <c r="I2963" s="13">
        <v>44</v>
      </c>
    </row>
    <row r="2964" ht="15.75" spans="6:9">
      <c r="F2964" s="12" t="s">
        <v>7029</v>
      </c>
      <c r="G2964" s="12" t="s">
        <v>392</v>
      </c>
      <c r="H2964" s="15">
        <v>42400</v>
      </c>
      <c r="I2964" s="13">
        <v>44</v>
      </c>
    </row>
    <row r="2965" ht="15.75" spans="6:9">
      <c r="F2965" s="12" t="s">
        <v>4908</v>
      </c>
      <c r="G2965" s="12" t="s">
        <v>391</v>
      </c>
      <c r="H2965" s="15">
        <v>14296</v>
      </c>
      <c r="I2965" s="13">
        <v>44</v>
      </c>
    </row>
    <row r="2966" ht="15.75" spans="6:9">
      <c r="F2966" s="12" t="s">
        <v>4910</v>
      </c>
      <c r="G2966" s="12" t="s">
        <v>391</v>
      </c>
      <c r="H2966" s="15">
        <v>25065</v>
      </c>
      <c r="I2966" s="13">
        <v>44</v>
      </c>
    </row>
    <row r="2967" ht="15.75" spans="6:9">
      <c r="F2967" s="12" t="s">
        <v>7030</v>
      </c>
      <c r="G2967" s="12" t="s">
        <v>392</v>
      </c>
      <c r="H2967" s="15">
        <v>30900</v>
      </c>
      <c r="I2967" s="13">
        <v>44</v>
      </c>
    </row>
    <row r="2968" ht="15.75" spans="6:9">
      <c r="F2968" s="12" t="s">
        <v>3204</v>
      </c>
      <c r="G2968" s="12" t="s">
        <v>391</v>
      </c>
      <c r="H2968" s="15">
        <v>165218</v>
      </c>
      <c r="I2968" s="13">
        <v>44</v>
      </c>
    </row>
    <row r="2969" ht="15.75" spans="6:9">
      <c r="F2969" s="12" t="s">
        <v>7031</v>
      </c>
      <c r="G2969" s="12" t="s">
        <v>392</v>
      </c>
      <c r="H2969" s="15">
        <v>235100</v>
      </c>
      <c r="I2969" s="13">
        <v>44</v>
      </c>
    </row>
    <row r="2970" ht="15.75" spans="6:9">
      <c r="F2970" s="12" t="s">
        <v>3808</v>
      </c>
      <c r="G2970" s="12" t="s">
        <v>392</v>
      </c>
      <c r="H2970" s="15">
        <v>221300</v>
      </c>
      <c r="I2970" s="13">
        <v>44</v>
      </c>
    </row>
    <row r="2971" ht="15.75" spans="6:9">
      <c r="F2971" s="12" t="s">
        <v>4912</v>
      </c>
      <c r="G2971" s="12" t="s">
        <v>391</v>
      </c>
      <c r="H2971" s="15">
        <v>33573</v>
      </c>
      <c r="I2971" s="13">
        <v>44</v>
      </c>
    </row>
    <row r="2972" ht="15.75" spans="6:9">
      <c r="F2972" s="12" t="s">
        <v>4914</v>
      </c>
      <c r="G2972" s="12" t="s">
        <v>391</v>
      </c>
      <c r="H2972" s="15">
        <v>29231</v>
      </c>
      <c r="I2972" s="13">
        <v>44</v>
      </c>
    </row>
    <row r="2973" ht="15.75" spans="6:9">
      <c r="F2973" s="12" t="s">
        <v>7032</v>
      </c>
      <c r="G2973" s="12" t="s">
        <v>392</v>
      </c>
      <c r="H2973" s="15">
        <v>1100000</v>
      </c>
      <c r="I2973" s="13">
        <v>44</v>
      </c>
    </row>
    <row r="2974" ht="15.75" spans="6:9">
      <c r="F2974" s="12" t="s">
        <v>4916</v>
      </c>
      <c r="G2974" s="12" t="s">
        <v>391</v>
      </c>
      <c r="H2974" s="15">
        <v>19399</v>
      </c>
      <c r="I2974" s="13">
        <v>44</v>
      </c>
    </row>
    <row r="2975" ht="15.75" spans="6:9">
      <c r="F2975" s="12" t="s">
        <v>7033</v>
      </c>
      <c r="G2975" s="12" t="s">
        <v>392</v>
      </c>
      <c r="H2975" s="15">
        <v>1100000</v>
      </c>
      <c r="I2975" s="13">
        <v>44</v>
      </c>
    </row>
    <row r="2976" ht="15.75" spans="6:9">
      <c r="F2976" s="12" t="s">
        <v>4921</v>
      </c>
      <c r="G2976" s="12" t="s">
        <v>391</v>
      </c>
      <c r="H2976" s="15">
        <v>19471</v>
      </c>
      <c r="I2976" s="13">
        <v>44</v>
      </c>
    </row>
    <row r="2977" ht="15.75" spans="6:9">
      <c r="F2977" s="12" t="s">
        <v>4926</v>
      </c>
      <c r="G2977" s="12" t="s">
        <v>391</v>
      </c>
      <c r="H2977" s="15">
        <v>10862</v>
      </c>
      <c r="I2977" s="13">
        <v>44</v>
      </c>
    </row>
    <row r="2978" ht="15.75" spans="6:9">
      <c r="F2978" s="12" t="s">
        <v>4928</v>
      </c>
      <c r="G2978" s="12" t="s">
        <v>391</v>
      </c>
      <c r="H2978" s="15">
        <v>15491</v>
      </c>
      <c r="I2978" s="13">
        <v>44</v>
      </c>
    </row>
    <row r="2979" ht="15.75" spans="6:9">
      <c r="F2979" s="12" t="s">
        <v>3581</v>
      </c>
      <c r="G2979" s="12" t="s">
        <v>391</v>
      </c>
      <c r="H2979" s="15">
        <v>4874978</v>
      </c>
      <c r="I2979" s="13">
        <v>44</v>
      </c>
    </row>
    <row r="2980" ht="15.75" spans="6:9">
      <c r="F2980" s="12" t="s">
        <v>4930</v>
      </c>
      <c r="G2980" s="12" t="s">
        <v>391</v>
      </c>
      <c r="H2980" s="15">
        <v>22629</v>
      </c>
      <c r="I2980" s="13">
        <v>44</v>
      </c>
    </row>
    <row r="2981" ht="15.75" spans="6:9">
      <c r="F2981" s="12" t="s">
        <v>7034</v>
      </c>
      <c r="G2981" s="12" t="s">
        <v>391</v>
      </c>
      <c r="H2981" s="15">
        <v>26240</v>
      </c>
      <c r="I2981" s="13">
        <v>44</v>
      </c>
    </row>
    <row r="2982" ht="15.75" spans="6:9">
      <c r="F2982" s="12" t="s">
        <v>4934</v>
      </c>
      <c r="G2982" s="12" t="s">
        <v>391</v>
      </c>
      <c r="H2982" s="15">
        <v>13842</v>
      </c>
      <c r="I2982" s="13">
        <v>44</v>
      </c>
    </row>
    <row r="2983" ht="15.75" spans="6:9">
      <c r="F2983" s="12" t="s">
        <v>4936</v>
      </c>
      <c r="G2983" s="12" t="s">
        <v>391</v>
      </c>
      <c r="H2983" s="15">
        <v>11938</v>
      </c>
      <c r="I2983" s="13">
        <v>44</v>
      </c>
    </row>
    <row r="2984" ht="15.75" spans="6:9">
      <c r="F2984" s="12" t="s">
        <v>4938</v>
      </c>
      <c r="G2984" s="12" t="s">
        <v>391</v>
      </c>
      <c r="H2984" s="15">
        <v>31699</v>
      </c>
      <c r="I2984" s="13">
        <v>44</v>
      </c>
    </row>
    <row r="2985" ht="15.75" spans="6:9">
      <c r="F2985" s="12" t="s">
        <v>4940</v>
      </c>
      <c r="G2985" s="12" t="s">
        <v>391</v>
      </c>
      <c r="H2985" s="15">
        <v>10350</v>
      </c>
      <c r="I2985" s="13">
        <v>44</v>
      </c>
    </row>
    <row r="2986" ht="15.75" spans="6:9">
      <c r="F2986" s="12" t="s">
        <v>4941</v>
      </c>
      <c r="G2986" s="12" t="s">
        <v>391</v>
      </c>
      <c r="H2986" s="15">
        <v>12281</v>
      </c>
      <c r="I2986" s="13">
        <v>44</v>
      </c>
    </row>
    <row r="2987" ht="15.75" spans="6:9">
      <c r="F2987" s="12" t="s">
        <v>4943</v>
      </c>
      <c r="G2987" s="12" t="s">
        <v>391</v>
      </c>
      <c r="H2987" s="15">
        <v>12007</v>
      </c>
      <c r="I2987" s="13">
        <v>44</v>
      </c>
    </row>
    <row r="2988" ht="15.75" spans="6:9">
      <c r="F2988" s="12" t="s">
        <v>4945</v>
      </c>
      <c r="G2988" s="12" t="s">
        <v>391</v>
      </c>
      <c r="H2988" s="15">
        <v>14532</v>
      </c>
      <c r="I2988" s="13">
        <v>44</v>
      </c>
    </row>
    <row r="2989" ht="15.75" spans="6:9">
      <c r="F2989" s="12" t="s">
        <v>4946</v>
      </c>
      <c r="G2989" s="12" t="s">
        <v>391</v>
      </c>
      <c r="H2989" s="15">
        <v>16690</v>
      </c>
      <c r="I2989" s="13">
        <v>44</v>
      </c>
    </row>
    <row r="2990" ht="15.75" spans="6:9">
      <c r="F2990" s="12" t="s">
        <v>4950</v>
      </c>
      <c r="G2990" s="12" t="s">
        <v>391</v>
      </c>
      <c r="H2990" s="15">
        <v>10441</v>
      </c>
      <c r="I2990" s="13">
        <v>44</v>
      </c>
    </row>
    <row r="2991" ht="15.75" spans="6:9">
      <c r="F2991" s="12" t="s">
        <v>7035</v>
      </c>
      <c r="G2991" s="12" t="s">
        <v>391</v>
      </c>
      <c r="H2991" s="15">
        <v>29091</v>
      </c>
      <c r="I2991" s="13">
        <v>44</v>
      </c>
    </row>
    <row r="2992" ht="15.75" spans="6:9">
      <c r="F2992" s="12" t="s">
        <v>7036</v>
      </c>
      <c r="G2992" s="12" t="s">
        <v>392</v>
      </c>
      <c r="H2992" s="15">
        <v>12100</v>
      </c>
      <c r="I2992" s="13">
        <v>44</v>
      </c>
    </row>
    <row r="2993" ht="15.75" spans="6:9">
      <c r="F2993" s="12" t="s">
        <v>7037</v>
      </c>
      <c r="G2993" s="12" t="s">
        <v>392</v>
      </c>
      <c r="H2993" s="15">
        <v>54900</v>
      </c>
      <c r="I2993" s="13">
        <v>44</v>
      </c>
    </row>
    <row r="2994" ht="15.75" spans="6:9">
      <c r="F2994" s="12" t="s">
        <v>7038</v>
      </c>
      <c r="G2994" s="12" t="s">
        <v>392</v>
      </c>
      <c r="H2994" s="15">
        <v>129200</v>
      </c>
      <c r="I2994" s="13">
        <v>44</v>
      </c>
    </row>
    <row r="2995" ht="15.75" spans="6:9">
      <c r="F2995" s="12" t="s">
        <v>7039</v>
      </c>
      <c r="G2995" s="12" t="s">
        <v>392</v>
      </c>
      <c r="H2995" s="15">
        <v>26800</v>
      </c>
      <c r="I2995" s="13">
        <v>44</v>
      </c>
    </row>
    <row r="2996" ht="15.75" spans="6:9">
      <c r="F2996" s="12" t="s">
        <v>7040</v>
      </c>
      <c r="G2996" s="12" t="s">
        <v>392</v>
      </c>
      <c r="H2996" s="15">
        <v>86200</v>
      </c>
      <c r="I2996" s="13">
        <v>44</v>
      </c>
    </row>
    <row r="2997" ht="15.75" spans="6:9">
      <c r="F2997" s="12" t="s">
        <v>4953</v>
      </c>
      <c r="G2997" s="12" t="s">
        <v>391</v>
      </c>
      <c r="H2997" s="15">
        <v>11710</v>
      </c>
      <c r="I2997" s="13">
        <v>44</v>
      </c>
    </row>
    <row r="2998" ht="15.75" spans="6:9">
      <c r="F2998" s="12" t="s">
        <v>4955</v>
      </c>
      <c r="G2998" s="12" t="s">
        <v>391</v>
      </c>
      <c r="H2998" s="15">
        <v>32279</v>
      </c>
      <c r="I2998" s="13">
        <v>44</v>
      </c>
    </row>
    <row r="2999" ht="15.75" spans="6:9">
      <c r="F2999" s="12" t="s">
        <v>4956</v>
      </c>
      <c r="G2999" s="12" t="s">
        <v>391</v>
      </c>
      <c r="H2999" s="15">
        <v>24969</v>
      </c>
      <c r="I2999" s="13">
        <v>44</v>
      </c>
    </row>
    <row r="3000" ht="15.75" spans="6:9">
      <c r="F3000" s="12" t="s">
        <v>4958</v>
      </c>
      <c r="G3000" s="12" t="s">
        <v>391</v>
      </c>
      <c r="H3000" s="15">
        <v>27655</v>
      </c>
      <c r="I3000" s="13">
        <v>44</v>
      </c>
    </row>
    <row r="3001" ht="15.75" spans="6:9">
      <c r="F3001" s="12" t="s">
        <v>7041</v>
      </c>
      <c r="G3001" s="12" t="s">
        <v>391</v>
      </c>
      <c r="H3001" s="15">
        <v>33821</v>
      </c>
      <c r="I3001" s="13">
        <v>44</v>
      </c>
    </row>
    <row r="3002" ht="15.75" spans="6:9">
      <c r="F3002" s="12" t="s">
        <v>4960</v>
      </c>
      <c r="G3002" s="12" t="s">
        <v>391</v>
      </c>
      <c r="H3002" s="15">
        <v>13969</v>
      </c>
      <c r="I3002" s="13">
        <v>44</v>
      </c>
    </row>
    <row r="3003" ht="15.75" spans="6:9">
      <c r="F3003" s="12" t="s">
        <v>4962</v>
      </c>
      <c r="G3003" s="12" t="s">
        <v>391</v>
      </c>
      <c r="H3003" s="15">
        <v>13348</v>
      </c>
      <c r="I3003" s="13">
        <v>44</v>
      </c>
    </row>
    <row r="3004" ht="15.75" spans="6:9">
      <c r="F3004" s="12" t="s">
        <v>4963</v>
      </c>
      <c r="G3004" s="12" t="s">
        <v>391</v>
      </c>
      <c r="H3004" s="15">
        <v>10049</v>
      </c>
      <c r="I3004" s="13">
        <v>44</v>
      </c>
    </row>
    <row r="3005" ht="15.75" spans="6:9">
      <c r="F3005" s="12" t="s">
        <v>4965</v>
      </c>
      <c r="G3005" s="12" t="s">
        <v>391</v>
      </c>
      <c r="H3005" s="15">
        <v>32582</v>
      </c>
      <c r="I3005" s="13">
        <v>44</v>
      </c>
    </row>
    <row r="3006" ht="15.75" spans="6:9">
      <c r="F3006" s="12" t="s">
        <v>3812</v>
      </c>
      <c r="G3006" s="12" t="s">
        <v>391</v>
      </c>
      <c r="H3006" s="15">
        <v>751257</v>
      </c>
      <c r="I3006" s="13">
        <v>44</v>
      </c>
    </row>
    <row r="3007" ht="15.75" spans="6:9">
      <c r="F3007" s="12" t="s">
        <v>7042</v>
      </c>
      <c r="G3007" s="12" t="s">
        <v>391</v>
      </c>
      <c r="H3007" s="15">
        <v>33967</v>
      </c>
      <c r="I3007" s="13">
        <v>44</v>
      </c>
    </row>
    <row r="3008" ht="15.75" spans="6:9">
      <c r="F3008" s="12" t="s">
        <v>4968</v>
      </c>
      <c r="G3008" s="12" t="s">
        <v>391</v>
      </c>
      <c r="H3008" s="15">
        <v>13004</v>
      </c>
      <c r="I3008" s="13">
        <v>44</v>
      </c>
    </row>
    <row r="3009" ht="15.75" spans="6:9">
      <c r="F3009" s="12" t="s">
        <v>4970</v>
      </c>
      <c r="G3009" s="12" t="s">
        <v>391</v>
      </c>
      <c r="H3009" s="15">
        <v>10434</v>
      </c>
      <c r="I3009" s="13">
        <v>44</v>
      </c>
    </row>
    <row r="3010" ht="15.75" spans="6:9">
      <c r="F3010" s="12" t="s">
        <v>4972</v>
      </c>
      <c r="G3010" s="12" t="s">
        <v>391</v>
      </c>
      <c r="H3010" s="15">
        <v>25369</v>
      </c>
      <c r="I3010" s="13">
        <v>44</v>
      </c>
    </row>
    <row r="3011" ht="15.75" spans="6:9">
      <c r="F3011" s="12" t="s">
        <v>7043</v>
      </c>
      <c r="G3011" s="12" t="s">
        <v>392</v>
      </c>
      <c r="H3011" s="15">
        <v>43500</v>
      </c>
      <c r="I3011" s="13">
        <v>44</v>
      </c>
    </row>
    <row r="3012" ht="15.75" spans="6:9">
      <c r="F3012" s="12" t="s">
        <v>4974</v>
      </c>
      <c r="G3012" s="12" t="s">
        <v>391</v>
      </c>
      <c r="H3012" s="15">
        <v>16508</v>
      </c>
      <c r="I3012" s="13">
        <v>44</v>
      </c>
    </row>
    <row r="3013" ht="15.75" spans="6:9">
      <c r="F3013" s="12" t="s">
        <v>7044</v>
      </c>
      <c r="G3013" s="12" t="s">
        <v>392</v>
      </c>
      <c r="H3013" s="15">
        <v>20100</v>
      </c>
      <c r="I3013" s="13">
        <v>44</v>
      </c>
    </row>
    <row r="3014" ht="15.75" spans="6:9">
      <c r="F3014" s="12" t="s">
        <v>7045</v>
      </c>
      <c r="G3014" s="12" t="s">
        <v>392</v>
      </c>
      <c r="H3014" s="15">
        <v>3800000</v>
      </c>
      <c r="I3014" s="13">
        <v>44</v>
      </c>
    </row>
    <row r="3015" ht="15.75" spans="6:9">
      <c r="F3015" s="12" t="s">
        <v>4976</v>
      </c>
      <c r="G3015" s="12" t="s">
        <v>391</v>
      </c>
      <c r="H3015" s="15">
        <v>10156</v>
      </c>
      <c r="I3015" s="13">
        <v>44</v>
      </c>
    </row>
    <row r="3016" ht="15.75" spans="6:9">
      <c r="F3016" s="12" t="s">
        <v>7046</v>
      </c>
      <c r="G3016" s="12" t="s">
        <v>392</v>
      </c>
      <c r="H3016" s="15">
        <v>939800</v>
      </c>
      <c r="I3016" s="13">
        <v>44</v>
      </c>
    </row>
    <row r="3017" ht="15.75" spans="6:9">
      <c r="F3017" s="12" t="s">
        <v>7047</v>
      </c>
      <c r="G3017" s="12" t="s">
        <v>392</v>
      </c>
      <c r="H3017" s="15">
        <v>80200</v>
      </c>
      <c r="I3017" s="13">
        <v>44</v>
      </c>
    </row>
    <row r="3018" ht="15.75" spans="6:9">
      <c r="F3018" s="12" t="s">
        <v>4978</v>
      </c>
      <c r="G3018" s="12" t="s">
        <v>391</v>
      </c>
      <c r="H3018" s="15">
        <v>11450</v>
      </c>
      <c r="I3018" s="13">
        <v>44</v>
      </c>
    </row>
    <row r="3019" ht="15.75" spans="6:9">
      <c r="F3019" s="12" t="s">
        <v>7048</v>
      </c>
      <c r="G3019" s="12" t="s">
        <v>392</v>
      </c>
      <c r="H3019" s="15">
        <v>1300000</v>
      </c>
      <c r="I3019" s="13">
        <v>44</v>
      </c>
    </row>
    <row r="3020" ht="15.75" spans="6:9">
      <c r="F3020" s="12" t="s">
        <v>4982</v>
      </c>
      <c r="G3020" s="12" t="s">
        <v>391</v>
      </c>
      <c r="H3020" s="15">
        <v>10098</v>
      </c>
      <c r="I3020" s="13">
        <v>44</v>
      </c>
    </row>
    <row r="3021" ht="15.75" spans="6:9">
      <c r="F3021" s="12" t="s">
        <v>7049</v>
      </c>
      <c r="G3021" s="12" t="s">
        <v>392</v>
      </c>
      <c r="H3021" s="15">
        <v>110200</v>
      </c>
      <c r="I3021" s="13">
        <v>44</v>
      </c>
    </row>
    <row r="3022" ht="15.75" spans="6:9">
      <c r="F3022" s="12" t="s">
        <v>4350</v>
      </c>
      <c r="G3022" s="12" t="s">
        <v>391</v>
      </c>
      <c r="H3022" s="15">
        <v>239094</v>
      </c>
      <c r="I3022" s="13">
        <v>44</v>
      </c>
    </row>
    <row r="3023" ht="15.75" spans="6:9">
      <c r="F3023" s="12" t="s">
        <v>4985</v>
      </c>
      <c r="G3023" s="12" t="s">
        <v>391</v>
      </c>
      <c r="H3023" s="15">
        <v>12291</v>
      </c>
      <c r="I3023" s="13">
        <v>44</v>
      </c>
    </row>
    <row r="3024" ht="15.75" spans="6:9">
      <c r="F3024" s="12" t="s">
        <v>4987</v>
      </c>
      <c r="G3024" s="12" t="s">
        <v>391</v>
      </c>
      <c r="H3024" s="15">
        <v>34589</v>
      </c>
      <c r="I3024" s="13">
        <v>44</v>
      </c>
    </row>
    <row r="3025" ht="15.75" spans="6:9">
      <c r="F3025" s="12" t="s">
        <v>4988</v>
      </c>
      <c r="G3025" s="12" t="s">
        <v>391</v>
      </c>
      <c r="H3025" s="15">
        <v>12992</v>
      </c>
      <c r="I3025" s="13">
        <v>44</v>
      </c>
    </row>
    <row r="3026" ht="15.75" spans="6:9">
      <c r="F3026" s="12" t="s">
        <v>7050</v>
      </c>
      <c r="G3026" s="12" t="s">
        <v>392</v>
      </c>
      <c r="H3026" s="15">
        <v>2100000</v>
      </c>
      <c r="I3026" s="13">
        <v>44</v>
      </c>
    </row>
    <row r="3027" ht="15.75" spans="6:9">
      <c r="F3027" s="12" t="s">
        <v>7051</v>
      </c>
      <c r="G3027" s="12" t="s">
        <v>391</v>
      </c>
      <c r="H3027" s="15">
        <v>10403</v>
      </c>
      <c r="I3027" s="13">
        <v>44</v>
      </c>
    </row>
    <row r="3028" ht="15.75" spans="6:9">
      <c r="F3028" s="12" t="s">
        <v>7052</v>
      </c>
      <c r="G3028" s="12" t="s">
        <v>392</v>
      </c>
      <c r="H3028" s="15">
        <v>74600</v>
      </c>
      <c r="I3028" s="13">
        <v>44</v>
      </c>
    </row>
    <row r="3029" ht="15.75" spans="6:9">
      <c r="F3029" s="12" t="s">
        <v>4991</v>
      </c>
      <c r="G3029" s="12" t="s">
        <v>391</v>
      </c>
      <c r="H3029" s="15">
        <v>11188</v>
      </c>
      <c r="I3029" s="13">
        <v>44</v>
      </c>
    </row>
    <row r="3030" ht="15.75" spans="6:9">
      <c r="F3030" s="12" t="s">
        <v>3815</v>
      </c>
      <c r="G3030" s="12" t="s">
        <v>391</v>
      </c>
      <c r="H3030" s="15">
        <v>177213</v>
      </c>
      <c r="I3030" s="13">
        <v>44</v>
      </c>
    </row>
    <row r="3031" ht="15.75" spans="6:9">
      <c r="F3031" s="12" t="s">
        <v>4994</v>
      </c>
      <c r="G3031" s="12" t="s">
        <v>391</v>
      </c>
      <c r="H3031" s="15">
        <v>19019</v>
      </c>
      <c r="I3031" s="13">
        <v>44</v>
      </c>
    </row>
    <row r="3032" ht="15.75" spans="6:9">
      <c r="F3032" s="12" t="s">
        <v>7053</v>
      </c>
      <c r="G3032" s="12" t="s">
        <v>392</v>
      </c>
      <c r="H3032" s="15">
        <v>267900</v>
      </c>
      <c r="I3032" s="13">
        <v>44</v>
      </c>
    </row>
    <row r="3033" ht="15.75" spans="6:9">
      <c r="F3033" s="12" t="s">
        <v>4996</v>
      </c>
      <c r="G3033" s="12" t="s">
        <v>391</v>
      </c>
      <c r="H3033" s="15">
        <v>35244</v>
      </c>
      <c r="I3033" s="13">
        <v>44</v>
      </c>
    </row>
    <row r="3034" ht="15.75" spans="6:9">
      <c r="F3034" s="12" t="s">
        <v>5002</v>
      </c>
      <c r="G3034" s="12" t="s">
        <v>391</v>
      </c>
      <c r="H3034" s="15">
        <v>14544</v>
      </c>
      <c r="I3034" s="13">
        <v>44</v>
      </c>
    </row>
    <row r="3035" ht="15.75" spans="6:9">
      <c r="F3035" s="12" t="s">
        <v>7054</v>
      </c>
      <c r="G3035" s="12" t="s">
        <v>392</v>
      </c>
      <c r="H3035" s="15">
        <v>15100</v>
      </c>
      <c r="I3035" s="13">
        <v>44</v>
      </c>
    </row>
    <row r="3036" ht="15.75" spans="6:9">
      <c r="F3036" s="12" t="s">
        <v>7055</v>
      </c>
      <c r="G3036" s="12" t="s">
        <v>392</v>
      </c>
      <c r="H3036" s="15">
        <v>5400000</v>
      </c>
      <c r="I3036" s="13">
        <v>44</v>
      </c>
    </row>
    <row r="3037" ht="15.75" spans="6:9">
      <c r="F3037" s="12" t="s">
        <v>5003</v>
      </c>
      <c r="G3037" s="12" t="s">
        <v>391</v>
      </c>
      <c r="H3037" s="15">
        <v>15815</v>
      </c>
      <c r="I3037" s="13">
        <v>44</v>
      </c>
    </row>
    <row r="3038" ht="15.75" spans="6:9">
      <c r="F3038" s="12" t="s">
        <v>5005</v>
      </c>
      <c r="G3038" s="12" t="s">
        <v>391</v>
      </c>
      <c r="H3038" s="15">
        <v>12312</v>
      </c>
      <c r="I3038" s="13">
        <v>44</v>
      </c>
    </row>
    <row r="3039" ht="15.75" spans="6:9">
      <c r="F3039" s="12" t="s">
        <v>7056</v>
      </c>
      <c r="G3039" s="12" t="s">
        <v>391</v>
      </c>
      <c r="H3039" s="15">
        <v>18415</v>
      </c>
      <c r="I3039" s="13">
        <v>44</v>
      </c>
    </row>
    <row r="3040" ht="15.75" spans="6:9">
      <c r="F3040" s="12" t="s">
        <v>5007</v>
      </c>
      <c r="G3040" s="12" t="s">
        <v>391</v>
      </c>
      <c r="H3040" s="15">
        <v>12062</v>
      </c>
      <c r="I3040" s="13">
        <v>44</v>
      </c>
    </row>
    <row r="3041" ht="15.75" spans="6:9">
      <c r="F3041" s="12" t="s">
        <v>3818</v>
      </c>
      <c r="G3041" s="12" t="s">
        <v>391</v>
      </c>
      <c r="H3041" s="15">
        <v>331089</v>
      </c>
      <c r="I3041" s="13">
        <v>44</v>
      </c>
    </row>
    <row r="3042" ht="15.75" spans="6:9">
      <c r="F3042" s="12" t="s">
        <v>7057</v>
      </c>
      <c r="G3042" s="12" t="s">
        <v>392</v>
      </c>
      <c r="H3042" s="15">
        <v>273300</v>
      </c>
      <c r="I3042" s="13">
        <v>44</v>
      </c>
    </row>
    <row r="3043" ht="15.75" spans="6:9">
      <c r="F3043" s="12" t="s">
        <v>5504</v>
      </c>
      <c r="G3043" s="12" t="s">
        <v>391</v>
      </c>
      <c r="H3043" s="15">
        <v>12601</v>
      </c>
      <c r="I3043" s="13">
        <v>44</v>
      </c>
    </row>
    <row r="3044" ht="15.75" spans="6:9">
      <c r="F3044" s="12" t="s">
        <v>5009</v>
      </c>
      <c r="G3044" s="12" t="s">
        <v>391</v>
      </c>
      <c r="H3044" s="15">
        <v>24530</v>
      </c>
      <c r="I3044" s="13">
        <v>44</v>
      </c>
    </row>
    <row r="3045" ht="15.75" spans="6:9">
      <c r="F3045" s="12" t="s">
        <v>7058</v>
      </c>
      <c r="G3045" s="12" t="s">
        <v>392</v>
      </c>
      <c r="H3045" s="15">
        <v>20800</v>
      </c>
      <c r="I3045" s="13">
        <v>44</v>
      </c>
    </row>
    <row r="3046" ht="15.75" spans="6:9">
      <c r="F3046" s="12" t="s">
        <v>5011</v>
      </c>
      <c r="G3046" s="12" t="s">
        <v>391</v>
      </c>
      <c r="H3046" s="15">
        <v>16150</v>
      </c>
      <c r="I3046" s="13">
        <v>44</v>
      </c>
    </row>
    <row r="3047" ht="15.75" spans="6:9">
      <c r="F3047" s="12" t="s">
        <v>7059</v>
      </c>
      <c r="G3047" s="12" t="s">
        <v>392</v>
      </c>
      <c r="H3047" s="15">
        <v>86900</v>
      </c>
      <c r="I3047" s="13">
        <v>44</v>
      </c>
    </row>
    <row r="3048" ht="15.75" spans="6:9">
      <c r="F3048" s="12" t="s">
        <v>5013</v>
      </c>
      <c r="G3048" s="12" t="s">
        <v>391</v>
      </c>
      <c r="H3048" s="15">
        <v>25521</v>
      </c>
      <c r="I3048" s="13">
        <v>44</v>
      </c>
    </row>
    <row r="3049" ht="15.75" spans="6:9">
      <c r="F3049" s="12" t="s">
        <v>7060</v>
      </c>
      <c r="G3049" s="12" t="s">
        <v>392</v>
      </c>
      <c r="H3049" s="15">
        <v>265500</v>
      </c>
      <c r="I3049" s="13">
        <v>44</v>
      </c>
    </row>
    <row r="3050" ht="15.75" spans="6:9">
      <c r="F3050" s="12" t="s">
        <v>3820</v>
      </c>
      <c r="G3050" s="12" t="s">
        <v>391</v>
      </c>
      <c r="H3050" s="15">
        <v>152506</v>
      </c>
      <c r="I3050" s="13">
        <v>44</v>
      </c>
    </row>
    <row r="3051" ht="15.75" spans="6:9">
      <c r="F3051" s="12" t="s">
        <v>3822</v>
      </c>
      <c r="G3051" s="12" t="s">
        <v>391</v>
      </c>
      <c r="H3051" s="15">
        <v>889184</v>
      </c>
      <c r="I3051" s="13">
        <v>44</v>
      </c>
    </row>
    <row r="3052" ht="15.75" spans="6:9">
      <c r="F3052" s="12" t="s">
        <v>5017</v>
      </c>
      <c r="G3052" s="12" t="s">
        <v>391</v>
      </c>
      <c r="H3052" s="15">
        <v>12600</v>
      </c>
      <c r="I3052" s="13">
        <v>44</v>
      </c>
    </row>
    <row r="3053" ht="15.75" spans="6:9">
      <c r="F3053" s="12" t="s">
        <v>5019</v>
      </c>
      <c r="G3053" s="12" t="s">
        <v>391</v>
      </c>
      <c r="H3053" s="15">
        <v>13350</v>
      </c>
      <c r="I3053" s="13">
        <v>44</v>
      </c>
    </row>
    <row r="3054" ht="15.75" spans="6:9">
      <c r="F3054" s="12" t="s">
        <v>5021</v>
      </c>
      <c r="G3054" s="12" t="s">
        <v>391</v>
      </c>
      <c r="H3054" s="15">
        <v>20622</v>
      </c>
      <c r="I3054" s="13">
        <v>44</v>
      </c>
    </row>
    <row r="3055" ht="15.75" spans="6:9">
      <c r="F3055" s="12" t="s">
        <v>5023</v>
      </c>
      <c r="G3055" s="12" t="s">
        <v>391</v>
      </c>
      <c r="H3055" s="15">
        <v>22121</v>
      </c>
      <c r="I3055" s="13">
        <v>44</v>
      </c>
    </row>
    <row r="3056" ht="15.75" spans="6:9">
      <c r="F3056" s="12" t="s">
        <v>5025</v>
      </c>
      <c r="G3056" s="12" t="s">
        <v>391</v>
      </c>
      <c r="H3056" s="15">
        <v>17737</v>
      </c>
      <c r="I3056" s="13">
        <v>44</v>
      </c>
    </row>
    <row r="3057" ht="15.75" spans="6:9">
      <c r="F3057" s="12" t="s">
        <v>5026</v>
      </c>
      <c r="G3057" s="12" t="s">
        <v>391</v>
      </c>
      <c r="H3057" s="15">
        <v>21155</v>
      </c>
      <c r="I3057" s="13">
        <v>44</v>
      </c>
    </row>
    <row r="3058" ht="15.75" spans="6:9">
      <c r="F3058" s="12" t="s">
        <v>5028</v>
      </c>
      <c r="G3058" s="12" t="s">
        <v>391</v>
      </c>
      <c r="H3058" s="15">
        <v>15496</v>
      </c>
      <c r="I3058" s="13">
        <v>44</v>
      </c>
    </row>
    <row r="3059" ht="15.75" spans="6:9">
      <c r="F3059" s="12" t="s">
        <v>5030</v>
      </c>
      <c r="G3059" s="12" t="s">
        <v>391</v>
      </c>
      <c r="H3059" s="15">
        <v>18851</v>
      </c>
      <c r="I3059" s="13">
        <v>44</v>
      </c>
    </row>
    <row r="3060" ht="15.75" spans="6:9">
      <c r="F3060" s="12" t="s">
        <v>7061</v>
      </c>
      <c r="G3060" s="12" t="s">
        <v>391</v>
      </c>
      <c r="H3060" s="15">
        <v>32437</v>
      </c>
      <c r="I3060" s="13">
        <v>44</v>
      </c>
    </row>
    <row r="3061" ht="15.75" spans="6:9">
      <c r="F3061" s="12" t="s">
        <v>7062</v>
      </c>
      <c r="G3061" s="12" t="s">
        <v>392</v>
      </c>
      <c r="H3061" s="15">
        <v>86900</v>
      </c>
      <c r="I3061" s="13">
        <v>44</v>
      </c>
    </row>
    <row r="3062" ht="15.75" spans="6:9">
      <c r="F3062" s="12" t="s">
        <v>7063</v>
      </c>
      <c r="G3062" s="12" t="s">
        <v>392</v>
      </c>
      <c r="H3062" s="15">
        <v>2400000</v>
      </c>
      <c r="I3062" s="13">
        <v>44</v>
      </c>
    </row>
    <row r="3063" ht="15.75" spans="6:9">
      <c r="F3063" s="12" t="s">
        <v>4244</v>
      </c>
      <c r="G3063" s="12" t="s">
        <v>391</v>
      </c>
      <c r="H3063" s="15">
        <v>112095</v>
      </c>
      <c r="I3063" s="13">
        <v>44</v>
      </c>
    </row>
    <row r="3064" ht="15.75" spans="6:9">
      <c r="F3064" s="12" t="s">
        <v>5034</v>
      </c>
      <c r="G3064" s="12" t="s">
        <v>391</v>
      </c>
      <c r="H3064" s="15">
        <v>20942</v>
      </c>
      <c r="I3064" s="13">
        <v>44</v>
      </c>
    </row>
    <row r="3065" ht="15.75" spans="6:9">
      <c r="F3065" s="12" t="s">
        <v>7064</v>
      </c>
      <c r="G3065" s="12" t="s">
        <v>392</v>
      </c>
      <c r="H3065" s="15">
        <v>49100</v>
      </c>
      <c r="I3065" s="13">
        <v>44</v>
      </c>
    </row>
    <row r="3066" ht="15.75" spans="6:9">
      <c r="F3066" s="12" t="s">
        <v>7065</v>
      </c>
      <c r="G3066" s="12" t="s">
        <v>392</v>
      </c>
      <c r="H3066" s="15">
        <v>262300</v>
      </c>
      <c r="I3066" s="13">
        <v>44</v>
      </c>
    </row>
    <row r="3067" ht="15.75" spans="6:9">
      <c r="F3067" s="12" t="s">
        <v>5036</v>
      </c>
      <c r="G3067" s="12" t="s">
        <v>391</v>
      </c>
      <c r="H3067" s="15">
        <v>78429</v>
      </c>
      <c r="I3067" s="13">
        <v>44</v>
      </c>
    </row>
    <row r="3068" ht="15.75" spans="6:9">
      <c r="F3068" s="12" t="s">
        <v>7066</v>
      </c>
      <c r="G3068" s="12" t="s">
        <v>392</v>
      </c>
      <c r="H3068" s="15">
        <v>127000</v>
      </c>
      <c r="I3068" s="13">
        <v>44</v>
      </c>
    </row>
    <row r="3069" ht="15.75" spans="6:9">
      <c r="F3069" s="12" t="s">
        <v>7067</v>
      </c>
      <c r="G3069" s="12" t="s">
        <v>392</v>
      </c>
      <c r="H3069" s="15">
        <v>144700</v>
      </c>
      <c r="I3069" s="13">
        <v>44</v>
      </c>
    </row>
    <row r="3070" ht="15.75" spans="6:9">
      <c r="F3070" s="12" t="s">
        <v>7068</v>
      </c>
      <c r="G3070" s="12" t="s">
        <v>392</v>
      </c>
      <c r="H3070" s="15">
        <v>10200</v>
      </c>
      <c r="I3070" s="13">
        <v>44</v>
      </c>
    </row>
    <row r="3071" ht="15.75" spans="6:9">
      <c r="F3071" s="12" t="s">
        <v>3824</v>
      </c>
      <c r="G3071" s="12" t="s">
        <v>392</v>
      </c>
      <c r="H3071" s="15">
        <v>120700</v>
      </c>
      <c r="I3071" s="13">
        <v>44</v>
      </c>
    </row>
    <row r="3072" ht="15.75" spans="6:9">
      <c r="F3072" s="12" t="s">
        <v>7069</v>
      </c>
      <c r="G3072" s="12" t="s">
        <v>392</v>
      </c>
      <c r="H3072" s="15">
        <v>360500</v>
      </c>
      <c r="I3072" s="13">
        <v>44</v>
      </c>
    </row>
    <row r="3073" ht="15.75" spans="6:9">
      <c r="F3073" s="12" t="s">
        <v>5038</v>
      </c>
      <c r="G3073" s="12" t="s">
        <v>391</v>
      </c>
      <c r="H3073" s="15">
        <v>10198</v>
      </c>
      <c r="I3073" s="13">
        <v>44</v>
      </c>
    </row>
    <row r="3074" ht="15.75" spans="6:9">
      <c r="F3074" s="12" t="s">
        <v>5039</v>
      </c>
      <c r="G3074" s="12" t="s">
        <v>391</v>
      </c>
      <c r="H3074" s="15">
        <v>11291</v>
      </c>
      <c r="I3074" s="13">
        <v>44</v>
      </c>
    </row>
    <row r="3075" ht="15.75" spans="6:9">
      <c r="F3075" s="12" t="s">
        <v>5043</v>
      </c>
      <c r="G3075" s="12" t="s">
        <v>391</v>
      </c>
      <c r="H3075" s="15">
        <v>20310</v>
      </c>
      <c r="I3075" s="13">
        <v>44</v>
      </c>
    </row>
    <row r="3076" ht="15.75" spans="6:9">
      <c r="F3076" s="12" t="s">
        <v>7070</v>
      </c>
      <c r="G3076" s="12" t="s">
        <v>392</v>
      </c>
      <c r="H3076" s="15">
        <v>1300000</v>
      </c>
      <c r="I3076" s="13">
        <v>44</v>
      </c>
    </row>
    <row r="3077" ht="15.75" spans="6:9">
      <c r="F3077" s="12" t="s">
        <v>5047</v>
      </c>
      <c r="G3077" s="12" t="s">
        <v>391</v>
      </c>
      <c r="H3077" s="15">
        <v>15885</v>
      </c>
      <c r="I3077" s="13">
        <v>44</v>
      </c>
    </row>
    <row r="3078" ht="15.75" spans="6:9">
      <c r="F3078" s="12" t="s">
        <v>5049</v>
      </c>
      <c r="G3078" s="12" t="s">
        <v>391</v>
      </c>
      <c r="H3078" s="15">
        <v>14154</v>
      </c>
      <c r="I3078" s="13">
        <v>44</v>
      </c>
    </row>
    <row r="3079" ht="15.75" spans="6:9">
      <c r="F3079" s="12" t="s">
        <v>5050</v>
      </c>
      <c r="G3079" s="12" t="s">
        <v>391</v>
      </c>
      <c r="H3079" s="15">
        <v>11803</v>
      </c>
      <c r="I3079" s="13">
        <v>44</v>
      </c>
    </row>
    <row r="3080" ht="15.75" spans="6:9">
      <c r="F3080" s="12" t="s">
        <v>5052</v>
      </c>
      <c r="G3080" s="12" t="s">
        <v>391</v>
      </c>
      <c r="H3080" s="15">
        <v>15371</v>
      </c>
      <c r="I3080" s="13">
        <v>44</v>
      </c>
    </row>
    <row r="3081" ht="15.75" spans="6:9">
      <c r="F3081" s="12" t="s">
        <v>5054</v>
      </c>
      <c r="G3081" s="12" t="s">
        <v>391</v>
      </c>
      <c r="H3081" s="15">
        <v>14628</v>
      </c>
      <c r="I3081" s="13">
        <v>44</v>
      </c>
    </row>
    <row r="3082" ht="15.75" spans="6:9">
      <c r="F3082" s="12" t="s">
        <v>5056</v>
      </c>
      <c r="G3082" s="12" t="s">
        <v>391</v>
      </c>
      <c r="H3082" s="15">
        <v>23782</v>
      </c>
      <c r="I3082" s="13">
        <v>44</v>
      </c>
    </row>
    <row r="3083" ht="15.75" spans="6:9">
      <c r="F3083" s="12" t="s">
        <v>7071</v>
      </c>
      <c r="G3083" s="12" t="s">
        <v>391</v>
      </c>
      <c r="H3083" s="15">
        <v>35104</v>
      </c>
      <c r="I3083" s="13">
        <v>44</v>
      </c>
    </row>
    <row r="3084" ht="15.75" spans="6:9">
      <c r="F3084" s="12" t="s">
        <v>4352</v>
      </c>
      <c r="G3084" s="12" t="s">
        <v>391</v>
      </c>
      <c r="H3084" s="15">
        <v>106287</v>
      </c>
      <c r="I3084" s="13">
        <v>44</v>
      </c>
    </row>
    <row r="3085" ht="15.75" spans="6:9">
      <c r="F3085" s="12" t="s">
        <v>7072</v>
      </c>
      <c r="G3085" s="12" t="s">
        <v>392</v>
      </c>
      <c r="H3085" s="15">
        <v>129000</v>
      </c>
      <c r="I3085" s="13">
        <v>44</v>
      </c>
    </row>
    <row r="3086" ht="15.75" spans="6:9">
      <c r="F3086" s="12" t="s">
        <v>7073</v>
      </c>
      <c r="G3086" s="12" t="s">
        <v>392</v>
      </c>
      <c r="H3086" s="15">
        <v>12900</v>
      </c>
      <c r="I3086" s="13">
        <v>44</v>
      </c>
    </row>
    <row r="3087" ht="15.75" spans="6:9">
      <c r="F3087" s="12" t="s">
        <v>7074</v>
      </c>
      <c r="G3087" s="12" t="s">
        <v>392</v>
      </c>
      <c r="H3087" s="15">
        <v>176700</v>
      </c>
      <c r="I3087" s="13">
        <v>44</v>
      </c>
    </row>
    <row r="3088" ht="15.75" spans="6:9">
      <c r="F3088" s="12" t="s">
        <v>5505</v>
      </c>
      <c r="G3088" s="12" t="s">
        <v>391</v>
      </c>
      <c r="H3088" s="15">
        <v>13887</v>
      </c>
      <c r="I3088" s="13">
        <v>44</v>
      </c>
    </row>
    <row r="3089" ht="15.75" spans="6:9">
      <c r="F3089" s="12" t="s">
        <v>5060</v>
      </c>
      <c r="G3089" s="12" t="s">
        <v>391</v>
      </c>
      <c r="H3089" s="15">
        <v>27731</v>
      </c>
      <c r="I3089" s="13">
        <v>44</v>
      </c>
    </row>
    <row r="3090" ht="15.75" spans="6:9">
      <c r="F3090" s="12" t="s">
        <v>7075</v>
      </c>
      <c r="G3090" s="12" t="s">
        <v>392</v>
      </c>
      <c r="H3090" s="15">
        <v>2500000</v>
      </c>
      <c r="I3090" s="13">
        <v>44</v>
      </c>
    </row>
    <row r="3091" ht="15.75" spans="6:9">
      <c r="F3091" s="12" t="s">
        <v>5062</v>
      </c>
      <c r="G3091" s="12" t="s">
        <v>391</v>
      </c>
      <c r="H3091" s="15">
        <v>12923</v>
      </c>
      <c r="I3091" s="13">
        <v>44</v>
      </c>
    </row>
    <row r="3092" ht="15.75" spans="6:9">
      <c r="F3092" s="12" t="s">
        <v>7076</v>
      </c>
      <c r="G3092" s="12" t="s">
        <v>391</v>
      </c>
      <c r="H3092" s="15">
        <v>29000</v>
      </c>
      <c r="I3092" s="13">
        <v>44</v>
      </c>
    </row>
    <row r="3093" ht="15.75" spans="6:9">
      <c r="F3093" s="12" t="s">
        <v>7077</v>
      </c>
      <c r="G3093" s="12" t="s">
        <v>392</v>
      </c>
      <c r="H3093" s="15">
        <v>14900</v>
      </c>
      <c r="I3093" s="13">
        <v>44</v>
      </c>
    </row>
    <row r="3094" ht="15.75" spans="6:9">
      <c r="F3094" s="12" t="s">
        <v>5065</v>
      </c>
      <c r="G3094" s="12" t="s">
        <v>391</v>
      </c>
      <c r="H3094" s="15">
        <v>20023</v>
      </c>
      <c r="I3094" s="13">
        <v>44</v>
      </c>
    </row>
    <row r="3095" ht="15.75" spans="6:9">
      <c r="F3095" s="12" t="s">
        <v>4355</v>
      </c>
      <c r="G3095" s="12" t="s">
        <v>391</v>
      </c>
      <c r="H3095" s="15">
        <v>841376</v>
      </c>
      <c r="I3095" s="13">
        <v>44</v>
      </c>
    </row>
    <row r="3096" ht="15.75" spans="6:9">
      <c r="F3096" s="12" t="s">
        <v>7078</v>
      </c>
      <c r="G3096" s="12" t="s">
        <v>392</v>
      </c>
      <c r="H3096" s="15">
        <v>10500</v>
      </c>
      <c r="I3096" s="13">
        <v>44</v>
      </c>
    </row>
    <row r="3097" ht="15.75" spans="6:9">
      <c r="F3097" s="12" t="s">
        <v>7079</v>
      </c>
      <c r="G3097" s="12" t="s">
        <v>391</v>
      </c>
      <c r="H3097" s="15">
        <v>13964</v>
      </c>
      <c r="I3097" s="13">
        <v>44</v>
      </c>
    </row>
    <row r="3098" ht="15.75" spans="6:9">
      <c r="F3098" s="12" t="s">
        <v>5070</v>
      </c>
      <c r="G3098" s="12" t="s">
        <v>391</v>
      </c>
      <c r="H3098" s="15">
        <v>18514</v>
      </c>
      <c r="I3098" s="13">
        <v>44</v>
      </c>
    </row>
    <row r="3099" ht="15.75" spans="6:9">
      <c r="F3099" s="12" t="s">
        <v>7080</v>
      </c>
      <c r="G3099" s="12" t="s">
        <v>392</v>
      </c>
      <c r="H3099" s="15">
        <v>56100</v>
      </c>
      <c r="I3099" s="13">
        <v>44</v>
      </c>
    </row>
    <row r="3100" ht="15.75" spans="6:9">
      <c r="F3100" s="12" t="s">
        <v>7081</v>
      </c>
      <c r="G3100" s="12" t="s">
        <v>392</v>
      </c>
      <c r="H3100" s="15">
        <v>580600</v>
      </c>
      <c r="I3100" s="13">
        <v>44</v>
      </c>
    </row>
    <row r="3101" ht="15.75" spans="6:9">
      <c r="F3101" s="12" t="s">
        <v>7082</v>
      </c>
      <c r="G3101" s="12" t="s">
        <v>391</v>
      </c>
      <c r="H3101" s="15">
        <v>27635</v>
      </c>
      <c r="I3101" s="13">
        <v>44</v>
      </c>
    </row>
    <row r="3102" ht="15.75" spans="6:9">
      <c r="F3102" s="12" t="s">
        <v>3827</v>
      </c>
      <c r="G3102" s="12" t="s">
        <v>391</v>
      </c>
      <c r="H3102" s="15">
        <v>299497</v>
      </c>
      <c r="I3102" s="13">
        <v>44</v>
      </c>
    </row>
    <row r="3103" ht="15.75" spans="6:9">
      <c r="F3103" s="12" t="s">
        <v>7083</v>
      </c>
      <c r="G3103" s="12" t="s">
        <v>392</v>
      </c>
      <c r="H3103" s="15">
        <v>799300</v>
      </c>
      <c r="I3103" s="13">
        <v>44</v>
      </c>
    </row>
    <row r="3104" ht="15.75" spans="6:9">
      <c r="F3104" s="12" t="s">
        <v>7084</v>
      </c>
      <c r="G3104" s="12" t="s">
        <v>392</v>
      </c>
      <c r="H3104" s="15">
        <v>84900</v>
      </c>
      <c r="I3104" s="13">
        <v>44</v>
      </c>
    </row>
    <row r="3105" ht="15.75" spans="6:9">
      <c r="F3105" s="12" t="s">
        <v>5072</v>
      </c>
      <c r="G3105" s="12" t="s">
        <v>391</v>
      </c>
      <c r="H3105" s="15">
        <v>14591</v>
      </c>
      <c r="I3105" s="13">
        <v>44</v>
      </c>
    </row>
    <row r="3106" ht="15.75" spans="6:9">
      <c r="F3106" s="12" t="s">
        <v>5074</v>
      </c>
      <c r="G3106" s="12" t="s">
        <v>391</v>
      </c>
      <c r="H3106" s="15">
        <v>16122</v>
      </c>
      <c r="I3106" s="13">
        <v>44</v>
      </c>
    </row>
    <row r="3107" ht="15.75" spans="6:9">
      <c r="F3107" s="12" t="s">
        <v>7085</v>
      </c>
      <c r="G3107" s="12" t="s">
        <v>392</v>
      </c>
      <c r="H3107" s="15">
        <v>11300</v>
      </c>
      <c r="I3107" s="13">
        <v>44</v>
      </c>
    </row>
    <row r="3108" ht="15.75" spans="6:9">
      <c r="F3108" s="12" t="s">
        <v>3829</v>
      </c>
      <c r="G3108" s="12" t="s">
        <v>391</v>
      </c>
      <c r="H3108" s="15">
        <v>104116</v>
      </c>
      <c r="I3108" s="13">
        <v>44</v>
      </c>
    </row>
    <row r="3109" ht="15.75" spans="6:9">
      <c r="F3109" s="12" t="s">
        <v>7086</v>
      </c>
      <c r="G3109" s="12" t="s">
        <v>392</v>
      </c>
      <c r="H3109" s="15">
        <v>811900</v>
      </c>
      <c r="I3109" s="13">
        <v>44</v>
      </c>
    </row>
    <row r="3110" ht="15.75" spans="6:9">
      <c r="F3110" s="12" t="s">
        <v>7087</v>
      </c>
      <c r="G3110" s="12" t="s">
        <v>392</v>
      </c>
      <c r="H3110" s="15">
        <v>31300</v>
      </c>
      <c r="I3110" s="13">
        <v>44</v>
      </c>
    </row>
    <row r="3111" ht="15.75" spans="6:9">
      <c r="F3111" s="12" t="s">
        <v>5076</v>
      </c>
      <c r="G3111" s="12" t="s">
        <v>391</v>
      </c>
      <c r="H3111" s="15">
        <v>27683</v>
      </c>
      <c r="I3111" s="13">
        <v>44</v>
      </c>
    </row>
    <row r="3112" ht="15.75" spans="6:9">
      <c r="F3112" s="12" t="s">
        <v>5078</v>
      </c>
      <c r="G3112" s="12" t="s">
        <v>391</v>
      </c>
      <c r="H3112" s="15">
        <v>10988</v>
      </c>
      <c r="I3112" s="13">
        <v>44</v>
      </c>
    </row>
    <row r="3113" ht="15.75" spans="6:9">
      <c r="F3113" s="12" t="s">
        <v>7088</v>
      </c>
      <c r="G3113" s="12" t="s">
        <v>392</v>
      </c>
      <c r="H3113" s="15">
        <v>287500</v>
      </c>
      <c r="I3113" s="13">
        <v>44</v>
      </c>
    </row>
    <row r="3114" ht="15.75" spans="6:9">
      <c r="F3114" s="12" t="s">
        <v>5079</v>
      </c>
      <c r="G3114" s="12" t="s">
        <v>391</v>
      </c>
      <c r="H3114" s="15">
        <v>26589</v>
      </c>
      <c r="I3114" s="13">
        <v>44</v>
      </c>
    </row>
    <row r="3115" ht="15.75" spans="6:9">
      <c r="F3115" s="12" t="s">
        <v>4358</v>
      </c>
      <c r="G3115" s="12" t="s">
        <v>392</v>
      </c>
      <c r="H3115" s="15">
        <v>632200</v>
      </c>
      <c r="I3115" s="13">
        <v>44</v>
      </c>
    </row>
    <row r="3116" ht="15.75" spans="6:9">
      <c r="F3116" s="12" t="s">
        <v>5081</v>
      </c>
      <c r="G3116" s="12" t="s">
        <v>391</v>
      </c>
      <c r="H3116" s="15">
        <v>17113</v>
      </c>
      <c r="I3116" s="13">
        <v>44</v>
      </c>
    </row>
    <row r="3117" ht="15.75" spans="6:9">
      <c r="F3117" s="12" t="s">
        <v>5083</v>
      </c>
      <c r="G3117" s="12" t="s">
        <v>391</v>
      </c>
      <c r="H3117" s="15">
        <v>22040</v>
      </c>
      <c r="I3117" s="13">
        <v>44</v>
      </c>
    </row>
    <row r="3118" ht="15.75" spans="6:9">
      <c r="F3118" s="12" t="s">
        <v>7089</v>
      </c>
      <c r="G3118" s="12" t="s">
        <v>391</v>
      </c>
      <c r="H3118" s="15">
        <v>25228</v>
      </c>
      <c r="I3118" s="13">
        <v>44</v>
      </c>
    </row>
    <row r="3119" ht="15.75" spans="6:9">
      <c r="F3119" s="12" t="s">
        <v>7090</v>
      </c>
      <c r="G3119" s="12" t="s">
        <v>392</v>
      </c>
      <c r="H3119" s="15">
        <v>248500</v>
      </c>
      <c r="I3119" s="13">
        <v>44</v>
      </c>
    </row>
    <row r="3120" ht="15.75" spans="6:9">
      <c r="F3120" s="12" t="s">
        <v>5084</v>
      </c>
      <c r="G3120" s="12" t="s">
        <v>391</v>
      </c>
      <c r="H3120" s="15">
        <v>11170</v>
      </c>
      <c r="I3120" s="13">
        <v>44</v>
      </c>
    </row>
    <row r="3121" ht="15.75" spans="6:9">
      <c r="F3121" s="12" t="s">
        <v>5086</v>
      </c>
      <c r="G3121" s="12" t="s">
        <v>391</v>
      </c>
      <c r="H3121" s="15">
        <v>22229</v>
      </c>
      <c r="I3121" s="13">
        <v>44</v>
      </c>
    </row>
    <row r="3122" ht="15.75" spans="6:9">
      <c r="F3122" s="12" t="s">
        <v>5088</v>
      </c>
      <c r="G3122" s="12" t="s">
        <v>391</v>
      </c>
      <c r="H3122" s="15">
        <v>11242</v>
      </c>
      <c r="I3122" s="13">
        <v>44</v>
      </c>
    </row>
    <row r="3123" ht="15.75" spans="6:9">
      <c r="F3123" s="12" t="s">
        <v>5090</v>
      </c>
      <c r="G3123" s="12" t="s">
        <v>391</v>
      </c>
      <c r="H3123" s="15">
        <v>11122</v>
      </c>
      <c r="I3123" s="13">
        <v>44</v>
      </c>
    </row>
    <row r="3124" ht="15.75" spans="6:9">
      <c r="F3124" s="12" t="s">
        <v>5092</v>
      </c>
      <c r="G3124" s="12" t="s">
        <v>391</v>
      </c>
      <c r="H3124" s="15">
        <v>11764</v>
      </c>
      <c r="I3124" s="13">
        <v>44</v>
      </c>
    </row>
    <row r="3125" ht="15.75" spans="6:9">
      <c r="F3125" s="12" t="s">
        <v>3832</v>
      </c>
      <c r="G3125" s="12" t="s">
        <v>392</v>
      </c>
      <c r="H3125" s="15">
        <v>102400</v>
      </c>
      <c r="I3125" s="13">
        <v>44</v>
      </c>
    </row>
    <row r="3126" ht="15.75" spans="6:9">
      <c r="F3126" s="12" t="s">
        <v>5094</v>
      </c>
      <c r="G3126" s="12" t="s">
        <v>391</v>
      </c>
      <c r="H3126" s="15">
        <v>25099</v>
      </c>
      <c r="I3126" s="13">
        <v>44</v>
      </c>
    </row>
    <row r="3127" ht="15.75" spans="6:9">
      <c r="F3127" s="12" t="s">
        <v>5096</v>
      </c>
      <c r="G3127" s="12" t="s">
        <v>391</v>
      </c>
      <c r="H3127" s="15">
        <v>17041</v>
      </c>
      <c r="I3127" s="13">
        <v>44</v>
      </c>
    </row>
    <row r="3128" ht="15.75" spans="6:9">
      <c r="F3128" s="12" t="s">
        <v>7091</v>
      </c>
      <c r="G3128" s="12" t="s">
        <v>391</v>
      </c>
      <c r="H3128" s="15">
        <v>31291</v>
      </c>
      <c r="I3128" s="13">
        <v>44</v>
      </c>
    </row>
    <row r="3129" ht="15.75" spans="6:9">
      <c r="F3129" s="12" t="s">
        <v>7092</v>
      </c>
      <c r="G3129" s="12" t="s">
        <v>392</v>
      </c>
      <c r="H3129" s="15">
        <v>40000</v>
      </c>
      <c r="I3129" s="13">
        <v>44</v>
      </c>
    </row>
    <row r="3130" ht="15.75" spans="6:9">
      <c r="F3130" s="12" t="s">
        <v>7093</v>
      </c>
      <c r="G3130" s="12" t="s">
        <v>392</v>
      </c>
      <c r="H3130" s="15">
        <v>436900</v>
      </c>
      <c r="I3130" s="13">
        <v>44</v>
      </c>
    </row>
    <row r="3131" ht="15.75" spans="6:9">
      <c r="F3131" s="12" t="s">
        <v>5098</v>
      </c>
      <c r="G3131" s="12" t="s">
        <v>391</v>
      </c>
      <c r="H3131" s="15">
        <v>11717</v>
      </c>
      <c r="I3131" s="13">
        <v>44</v>
      </c>
    </row>
    <row r="3132" ht="15.75" spans="6:9">
      <c r="F3132" s="12" t="s">
        <v>5100</v>
      </c>
      <c r="G3132" s="12" t="s">
        <v>391</v>
      </c>
      <c r="H3132" s="15">
        <v>20993</v>
      </c>
      <c r="I3132" s="13">
        <v>44</v>
      </c>
    </row>
    <row r="3133" ht="15.75" spans="6:9">
      <c r="F3133" s="12" t="s">
        <v>7094</v>
      </c>
      <c r="G3133" s="12" t="s">
        <v>392</v>
      </c>
      <c r="H3133" s="15">
        <v>1200000</v>
      </c>
      <c r="I3133" s="13">
        <v>44</v>
      </c>
    </row>
    <row r="3134" ht="15.75" spans="6:9">
      <c r="F3134" s="12" t="s">
        <v>5102</v>
      </c>
      <c r="G3134" s="12" t="s">
        <v>391</v>
      </c>
      <c r="H3134" s="15">
        <v>23714</v>
      </c>
      <c r="I3134" s="13">
        <v>44</v>
      </c>
    </row>
    <row r="3135" ht="15.75" spans="6:9">
      <c r="F3135" s="12" t="s">
        <v>5104</v>
      </c>
      <c r="G3135" s="12" t="s">
        <v>391</v>
      </c>
      <c r="H3135" s="15">
        <v>15023</v>
      </c>
      <c r="I3135" s="13">
        <v>44</v>
      </c>
    </row>
    <row r="3136" ht="15.75" spans="6:9">
      <c r="F3136" s="12" t="s">
        <v>5106</v>
      </c>
      <c r="G3136" s="12" t="s">
        <v>391</v>
      </c>
      <c r="H3136" s="15">
        <v>14099</v>
      </c>
      <c r="I3136" s="13">
        <v>44</v>
      </c>
    </row>
    <row r="3137" ht="15.75" spans="6:9">
      <c r="F3137" s="12" t="s">
        <v>5108</v>
      </c>
      <c r="G3137" s="12" t="s">
        <v>391</v>
      </c>
      <c r="H3137" s="15">
        <v>12485</v>
      </c>
      <c r="I3137" s="13">
        <v>44</v>
      </c>
    </row>
    <row r="3138" ht="15.75" spans="6:9">
      <c r="F3138" s="12" t="s">
        <v>7095</v>
      </c>
      <c r="G3138" s="12" t="s">
        <v>391</v>
      </c>
      <c r="H3138" s="15">
        <v>11173</v>
      </c>
      <c r="I3138" s="13">
        <v>44</v>
      </c>
    </row>
    <row r="3139" ht="15.75" spans="6:9">
      <c r="F3139" s="12" t="s">
        <v>5109</v>
      </c>
      <c r="G3139" s="12" t="s">
        <v>391</v>
      </c>
      <c r="H3139" s="15">
        <v>16030</v>
      </c>
      <c r="I3139" s="13">
        <v>44</v>
      </c>
    </row>
    <row r="3140" ht="15.75" spans="6:9">
      <c r="F3140" s="12" t="s">
        <v>5111</v>
      </c>
      <c r="G3140" s="12" t="s">
        <v>391</v>
      </c>
      <c r="H3140" s="15">
        <v>18772</v>
      </c>
      <c r="I3140" s="13">
        <v>44</v>
      </c>
    </row>
    <row r="3141" ht="15.75" spans="6:9">
      <c r="F3141" s="12" t="s">
        <v>7096</v>
      </c>
      <c r="G3141" s="12" t="s">
        <v>392</v>
      </c>
      <c r="H3141" s="15">
        <v>682700</v>
      </c>
      <c r="I3141" s="13">
        <v>44</v>
      </c>
    </row>
    <row r="3142" ht="15.75" spans="6:9">
      <c r="F3142" s="12" t="s">
        <v>5113</v>
      </c>
      <c r="G3142" s="12" t="s">
        <v>391</v>
      </c>
      <c r="H3142" s="15">
        <v>12837</v>
      </c>
      <c r="I3142" s="13">
        <v>44</v>
      </c>
    </row>
    <row r="3143" ht="15.75" spans="6:9">
      <c r="F3143" s="12" t="s">
        <v>3834</v>
      </c>
      <c r="G3143" s="12" t="s">
        <v>391</v>
      </c>
      <c r="H3143" s="15">
        <v>125296</v>
      </c>
      <c r="I3143" s="13">
        <v>44</v>
      </c>
    </row>
    <row r="3144" ht="15.75" spans="6:9">
      <c r="F3144" s="12" t="s">
        <v>5114</v>
      </c>
      <c r="G3144" s="12" t="s">
        <v>391</v>
      </c>
      <c r="H3144" s="15">
        <v>12160</v>
      </c>
      <c r="I3144" s="13">
        <v>44</v>
      </c>
    </row>
    <row r="3145" ht="15.75" spans="6:9">
      <c r="F3145" s="12" t="s">
        <v>5116</v>
      </c>
      <c r="G3145" s="12" t="s">
        <v>391</v>
      </c>
      <c r="H3145" s="15">
        <v>12904</v>
      </c>
      <c r="I3145" s="13">
        <v>44</v>
      </c>
    </row>
    <row r="3146" ht="15.75" spans="6:9">
      <c r="F3146" s="12" t="s">
        <v>7097</v>
      </c>
      <c r="G3146" s="12" t="s">
        <v>392</v>
      </c>
      <c r="H3146" s="15">
        <v>14900</v>
      </c>
      <c r="I3146" s="13">
        <v>44</v>
      </c>
    </row>
    <row r="3147" ht="15.75" spans="6:9">
      <c r="F3147" s="12" t="s">
        <v>3836</v>
      </c>
      <c r="G3147" s="12" t="s">
        <v>392</v>
      </c>
      <c r="H3147" s="15">
        <v>141900</v>
      </c>
      <c r="I3147" s="13">
        <v>44</v>
      </c>
    </row>
    <row r="3148" ht="15.75" spans="6:9">
      <c r="F3148" s="12" t="s">
        <v>3839</v>
      </c>
      <c r="G3148" s="12" t="s">
        <v>391</v>
      </c>
      <c r="H3148" s="15">
        <v>385025</v>
      </c>
      <c r="I3148" s="13">
        <v>44</v>
      </c>
    </row>
    <row r="3149" ht="15.75" spans="6:9">
      <c r="F3149" s="12" t="s">
        <v>7098</v>
      </c>
      <c r="G3149" s="12" t="s">
        <v>391</v>
      </c>
      <c r="H3149" s="15">
        <v>28771</v>
      </c>
      <c r="I3149" s="13">
        <v>44</v>
      </c>
    </row>
    <row r="3150" ht="15.75" spans="6:9">
      <c r="F3150" s="12" t="s">
        <v>7099</v>
      </c>
      <c r="G3150" s="12" t="s">
        <v>391</v>
      </c>
      <c r="H3150" s="15">
        <v>35091</v>
      </c>
      <c r="I3150" s="13">
        <v>44</v>
      </c>
    </row>
    <row r="3151" ht="15.75" spans="6:9">
      <c r="F3151" s="12" t="s">
        <v>7100</v>
      </c>
      <c r="G3151" s="12" t="s">
        <v>392</v>
      </c>
      <c r="H3151" s="15">
        <v>785200</v>
      </c>
      <c r="I3151" s="13">
        <v>44</v>
      </c>
    </row>
    <row r="3152" ht="15.75" spans="6:9">
      <c r="F3152" s="12" t="s">
        <v>5119</v>
      </c>
      <c r="G3152" s="12" t="s">
        <v>391</v>
      </c>
      <c r="H3152" s="15">
        <v>21306</v>
      </c>
      <c r="I3152" s="13">
        <v>44</v>
      </c>
    </row>
    <row r="3153" ht="15.75" spans="6:9">
      <c r="F3153" s="12" t="s">
        <v>7101</v>
      </c>
      <c r="G3153" s="12" t="s">
        <v>392</v>
      </c>
      <c r="H3153" s="15">
        <v>2300000</v>
      </c>
      <c r="I3153" s="13">
        <v>44</v>
      </c>
    </row>
    <row r="3154" ht="15.75" spans="6:9">
      <c r="F3154" s="12" t="s">
        <v>7102</v>
      </c>
      <c r="G3154" s="12" t="s">
        <v>391</v>
      </c>
      <c r="H3154" s="15">
        <v>27707</v>
      </c>
      <c r="I3154" s="13">
        <v>44</v>
      </c>
    </row>
    <row r="3155" ht="15.75" spans="6:9">
      <c r="F3155" s="12" t="s">
        <v>3842</v>
      </c>
      <c r="G3155" s="12" t="s">
        <v>391</v>
      </c>
      <c r="H3155" s="15">
        <v>239792</v>
      </c>
      <c r="I3155" s="13">
        <v>44</v>
      </c>
    </row>
    <row r="3156" ht="15.75" spans="6:9">
      <c r="F3156" s="12" t="s">
        <v>7103</v>
      </c>
      <c r="G3156" s="12" t="s">
        <v>392</v>
      </c>
      <c r="H3156" s="15">
        <v>16500</v>
      </c>
      <c r="I3156" s="13">
        <v>44</v>
      </c>
    </row>
    <row r="3157" ht="15.75" spans="6:9">
      <c r="F3157" s="12" t="s">
        <v>7104</v>
      </c>
      <c r="G3157" s="12" t="s">
        <v>391</v>
      </c>
      <c r="H3157" s="15">
        <v>14251</v>
      </c>
      <c r="I3157" s="13">
        <v>44</v>
      </c>
    </row>
    <row r="3158" ht="15.75" spans="6:9">
      <c r="F3158" s="12" t="s">
        <v>3844</v>
      </c>
      <c r="G3158" s="12" t="s">
        <v>391</v>
      </c>
      <c r="H3158" s="15">
        <v>157080</v>
      </c>
      <c r="I3158" s="13">
        <v>44</v>
      </c>
    </row>
    <row r="3159" ht="15.75" spans="6:9">
      <c r="F3159" s="12" t="s">
        <v>5121</v>
      </c>
      <c r="G3159" s="12" t="s">
        <v>391</v>
      </c>
      <c r="H3159" s="15">
        <v>25432</v>
      </c>
      <c r="I3159" s="13">
        <v>44</v>
      </c>
    </row>
    <row r="3160" ht="15.75" spans="6:9">
      <c r="F3160" s="12" t="s">
        <v>7105</v>
      </c>
      <c r="G3160" s="12" t="s">
        <v>392</v>
      </c>
      <c r="H3160" s="15">
        <v>10400</v>
      </c>
      <c r="I3160" s="13">
        <v>44</v>
      </c>
    </row>
    <row r="3161" ht="15.75" spans="6:9">
      <c r="F3161" s="12" t="s">
        <v>7106</v>
      </c>
      <c r="G3161" s="12" t="s">
        <v>392</v>
      </c>
      <c r="H3161" s="15">
        <v>501900</v>
      </c>
      <c r="I3161" s="13">
        <v>44</v>
      </c>
    </row>
    <row r="3162" ht="15.75" spans="6:9">
      <c r="F3162" s="12" t="s">
        <v>7107</v>
      </c>
      <c r="G3162" s="12" t="s">
        <v>392</v>
      </c>
      <c r="H3162" s="15">
        <v>371800</v>
      </c>
      <c r="I3162" s="13">
        <v>44</v>
      </c>
    </row>
    <row r="3163" ht="15.75" spans="6:9">
      <c r="F3163" s="12" t="s">
        <v>7108</v>
      </c>
      <c r="G3163" s="12" t="s">
        <v>392</v>
      </c>
      <c r="H3163" s="15">
        <v>88800</v>
      </c>
      <c r="I3163" s="13">
        <v>44</v>
      </c>
    </row>
    <row r="3164" ht="15.75" spans="6:9">
      <c r="F3164" s="12" t="s">
        <v>5123</v>
      </c>
      <c r="G3164" s="12" t="s">
        <v>391</v>
      </c>
      <c r="H3164" s="15">
        <v>27710</v>
      </c>
      <c r="I3164" s="13">
        <v>44</v>
      </c>
    </row>
    <row r="3165" ht="15.75" spans="6:9">
      <c r="F3165" s="12" t="s">
        <v>5125</v>
      </c>
      <c r="G3165" s="12" t="s">
        <v>391</v>
      </c>
      <c r="H3165" s="15">
        <v>10918</v>
      </c>
      <c r="I3165" s="13">
        <v>44</v>
      </c>
    </row>
    <row r="3166" ht="15.75" spans="6:9">
      <c r="F3166" s="12" t="s">
        <v>7109</v>
      </c>
      <c r="G3166" s="12" t="s">
        <v>392</v>
      </c>
      <c r="H3166" s="15">
        <v>94900</v>
      </c>
      <c r="I3166" s="13">
        <v>44</v>
      </c>
    </row>
    <row r="3167" ht="15.75" spans="6:9">
      <c r="F3167" s="12" t="s">
        <v>7110</v>
      </c>
      <c r="G3167" s="12" t="s">
        <v>392</v>
      </c>
      <c r="H3167" s="15">
        <v>3200000</v>
      </c>
      <c r="I3167" s="13">
        <v>44</v>
      </c>
    </row>
    <row r="3168" ht="15.75" spans="6:9">
      <c r="F3168" s="12" t="s">
        <v>7111</v>
      </c>
      <c r="G3168" s="12" t="s">
        <v>392</v>
      </c>
      <c r="H3168" s="15">
        <v>132400</v>
      </c>
      <c r="I3168" s="13">
        <v>44</v>
      </c>
    </row>
    <row r="3169" ht="15.75" spans="6:9">
      <c r="F3169" s="12" t="s">
        <v>5127</v>
      </c>
      <c r="G3169" s="12" t="s">
        <v>391</v>
      </c>
      <c r="H3169" s="15">
        <v>17229</v>
      </c>
      <c r="I3169" s="13">
        <v>44</v>
      </c>
    </row>
    <row r="3170" ht="15.75" spans="6:9">
      <c r="F3170" s="12" t="s">
        <v>7112</v>
      </c>
      <c r="G3170" s="12" t="s">
        <v>392</v>
      </c>
      <c r="H3170" s="15">
        <v>268200</v>
      </c>
      <c r="I3170" s="13">
        <v>44</v>
      </c>
    </row>
    <row r="3171" ht="15.75" spans="6:9">
      <c r="F3171" s="12" t="s">
        <v>5129</v>
      </c>
      <c r="G3171" s="12" t="s">
        <v>391</v>
      </c>
      <c r="H3171" s="15">
        <v>11859</v>
      </c>
      <c r="I3171" s="13">
        <v>44</v>
      </c>
    </row>
    <row r="3172" ht="15.75" spans="6:9">
      <c r="F3172" s="12" t="s">
        <v>7113</v>
      </c>
      <c r="G3172" s="12" t="s">
        <v>392</v>
      </c>
      <c r="H3172" s="15">
        <v>476400</v>
      </c>
      <c r="I3172" s="13">
        <v>44</v>
      </c>
    </row>
    <row r="3173" ht="15.75" spans="6:9">
      <c r="F3173" s="12" t="s">
        <v>7114</v>
      </c>
      <c r="G3173" s="12" t="s">
        <v>392</v>
      </c>
      <c r="H3173" s="15">
        <v>29000</v>
      </c>
      <c r="I3173" s="13">
        <v>44</v>
      </c>
    </row>
    <row r="3174" ht="15.75" spans="6:9">
      <c r="F3174" s="12" t="s">
        <v>7115</v>
      </c>
      <c r="G3174" s="12" t="s">
        <v>391</v>
      </c>
      <c r="H3174" s="15">
        <v>17271</v>
      </c>
      <c r="I3174" s="13">
        <v>44</v>
      </c>
    </row>
    <row r="3175" ht="15.75" spans="6:9">
      <c r="F3175" s="12" t="s">
        <v>5131</v>
      </c>
      <c r="G3175" s="12" t="s">
        <v>391</v>
      </c>
      <c r="H3175" s="15">
        <v>13357</v>
      </c>
      <c r="I3175" s="13">
        <v>44</v>
      </c>
    </row>
    <row r="3176" ht="15.75" spans="6:9">
      <c r="F3176" s="12" t="s">
        <v>7116</v>
      </c>
      <c r="G3176" s="12" t="s">
        <v>392</v>
      </c>
      <c r="H3176" s="15">
        <v>183600</v>
      </c>
      <c r="I3176" s="13">
        <v>44</v>
      </c>
    </row>
    <row r="3177" ht="15.75" spans="6:9">
      <c r="F3177" s="12" t="s">
        <v>3847</v>
      </c>
      <c r="G3177" s="12" t="s">
        <v>391</v>
      </c>
      <c r="H3177" s="15">
        <v>139678</v>
      </c>
      <c r="I3177" s="13">
        <v>44</v>
      </c>
    </row>
    <row r="3178" ht="15.75" spans="6:9">
      <c r="F3178" s="12" t="s">
        <v>5133</v>
      </c>
      <c r="G3178" s="12" t="s">
        <v>391</v>
      </c>
      <c r="H3178" s="15">
        <v>17594</v>
      </c>
      <c r="I3178" s="13">
        <v>44</v>
      </c>
    </row>
    <row r="3179" ht="15.75" spans="6:9">
      <c r="F3179" s="12" t="s">
        <v>5135</v>
      </c>
      <c r="G3179" s="12" t="s">
        <v>391</v>
      </c>
      <c r="H3179" s="15">
        <v>25717</v>
      </c>
      <c r="I3179" s="13">
        <v>44</v>
      </c>
    </row>
    <row r="3180" ht="15.75" spans="6:9">
      <c r="F3180" s="12" t="s">
        <v>3850</v>
      </c>
      <c r="G3180" s="12" t="s">
        <v>392</v>
      </c>
      <c r="H3180" s="15">
        <v>127600</v>
      </c>
      <c r="I3180" s="13">
        <v>44</v>
      </c>
    </row>
    <row r="3181" ht="15.75" spans="6:9">
      <c r="F3181" s="12" t="s">
        <v>5137</v>
      </c>
      <c r="G3181" s="12" t="s">
        <v>391</v>
      </c>
      <c r="H3181" s="15">
        <v>25688</v>
      </c>
      <c r="I3181" s="13">
        <v>44</v>
      </c>
    </row>
    <row r="3182" ht="15.75" spans="6:9">
      <c r="F3182" s="12" t="s">
        <v>5507</v>
      </c>
      <c r="G3182" s="12" t="s">
        <v>391</v>
      </c>
      <c r="H3182" s="15">
        <v>20424</v>
      </c>
      <c r="I3182" s="13">
        <v>44</v>
      </c>
    </row>
    <row r="3183" ht="15.75" spans="6:9">
      <c r="F3183" s="12" t="s">
        <v>7117</v>
      </c>
      <c r="G3183" s="12" t="s">
        <v>392</v>
      </c>
      <c r="H3183" s="15">
        <v>116800</v>
      </c>
      <c r="I3183" s="13">
        <v>44</v>
      </c>
    </row>
    <row r="3184" ht="15.75" spans="6:9">
      <c r="F3184" s="12" t="s">
        <v>4369</v>
      </c>
      <c r="G3184" s="12" t="s">
        <v>391</v>
      </c>
      <c r="H3184" s="15">
        <v>544484</v>
      </c>
      <c r="I3184" s="13">
        <v>44</v>
      </c>
    </row>
    <row r="3185" ht="15.75" spans="6:9">
      <c r="F3185" s="12" t="s">
        <v>7118</v>
      </c>
      <c r="G3185" s="12" t="s">
        <v>392</v>
      </c>
      <c r="H3185" s="15">
        <v>15800</v>
      </c>
      <c r="I3185" s="13">
        <v>44</v>
      </c>
    </row>
    <row r="3186" ht="15.75" spans="6:9">
      <c r="F3186" s="12" t="s">
        <v>7119</v>
      </c>
      <c r="G3186" s="12" t="s">
        <v>392</v>
      </c>
      <c r="H3186" s="15">
        <v>25400</v>
      </c>
      <c r="I3186" s="13">
        <v>44</v>
      </c>
    </row>
    <row r="3187" ht="15.75" spans="6:9">
      <c r="F3187" s="12" t="s">
        <v>5140</v>
      </c>
      <c r="G3187" s="12" t="s">
        <v>391</v>
      </c>
      <c r="H3187" s="15">
        <v>20306</v>
      </c>
      <c r="I3187" s="13">
        <v>44</v>
      </c>
    </row>
    <row r="3188" ht="15.75" spans="6:9">
      <c r="F3188" s="12" t="s">
        <v>7120</v>
      </c>
      <c r="G3188" s="12" t="s">
        <v>392</v>
      </c>
      <c r="H3188" s="15">
        <v>429100</v>
      </c>
      <c r="I3188" s="13">
        <v>44</v>
      </c>
    </row>
    <row r="3189" ht="15.75" spans="6:9">
      <c r="F3189" s="12" t="s">
        <v>7121</v>
      </c>
      <c r="G3189" s="12" t="s">
        <v>392</v>
      </c>
      <c r="H3189" s="15">
        <v>8900000</v>
      </c>
      <c r="I3189" s="13">
        <v>44</v>
      </c>
    </row>
    <row r="3190" ht="15.75" spans="6:9">
      <c r="F3190" s="12" t="s">
        <v>7122</v>
      </c>
      <c r="G3190" s="12" t="s">
        <v>392</v>
      </c>
      <c r="H3190" s="15">
        <v>31300</v>
      </c>
      <c r="I3190" s="13">
        <v>44</v>
      </c>
    </row>
    <row r="3191" ht="15.75" spans="6:9">
      <c r="F3191" s="12" t="s">
        <v>7123</v>
      </c>
      <c r="G3191" s="12" t="s">
        <v>392</v>
      </c>
      <c r="H3191" s="15">
        <v>202600</v>
      </c>
      <c r="I3191" s="13">
        <v>44</v>
      </c>
    </row>
    <row r="3192" ht="15.75" spans="6:9">
      <c r="F3192" s="12" t="s">
        <v>7124</v>
      </c>
      <c r="G3192" s="12" t="s">
        <v>392</v>
      </c>
      <c r="H3192" s="15">
        <v>74100</v>
      </c>
      <c r="I3192" s="13">
        <v>44</v>
      </c>
    </row>
    <row r="3193" ht="15.75" spans="6:9">
      <c r="F3193" s="12" t="s">
        <v>5142</v>
      </c>
      <c r="G3193" s="12" t="s">
        <v>391</v>
      </c>
      <c r="H3193" s="15">
        <v>22476</v>
      </c>
      <c r="I3193" s="13">
        <v>44</v>
      </c>
    </row>
    <row r="3194" ht="15.75" spans="6:9">
      <c r="F3194" s="12" t="s">
        <v>2474</v>
      </c>
      <c r="G3194" s="12" t="s">
        <v>391</v>
      </c>
      <c r="H3194" s="15">
        <v>12163586</v>
      </c>
      <c r="I3194" s="13">
        <v>44</v>
      </c>
    </row>
    <row r="3195" ht="15.75" spans="6:9">
      <c r="F3195" s="12" t="s">
        <v>5144</v>
      </c>
      <c r="G3195" s="12" t="s">
        <v>391</v>
      </c>
      <c r="H3195" s="15">
        <v>20714</v>
      </c>
      <c r="I3195" s="13">
        <v>44</v>
      </c>
    </row>
    <row r="3196" ht="15.75" spans="6:9">
      <c r="F3196" s="12" t="s">
        <v>7125</v>
      </c>
      <c r="G3196" s="12" t="s">
        <v>392</v>
      </c>
      <c r="H3196" s="15">
        <v>1500000</v>
      </c>
      <c r="I3196" s="13">
        <v>44</v>
      </c>
    </row>
    <row r="3197" ht="15.75" spans="6:9">
      <c r="F3197" s="12" t="s">
        <v>7126</v>
      </c>
      <c r="G3197" s="12" t="s">
        <v>392</v>
      </c>
      <c r="H3197" s="15">
        <v>1900000</v>
      </c>
      <c r="I3197" s="13">
        <v>44</v>
      </c>
    </row>
    <row r="3198" ht="15.75" spans="6:9">
      <c r="F3198" s="12" t="s">
        <v>5149</v>
      </c>
      <c r="G3198" s="12" t="s">
        <v>391</v>
      </c>
      <c r="H3198" s="15">
        <v>11080</v>
      </c>
      <c r="I3198" s="13">
        <v>44</v>
      </c>
    </row>
    <row r="3199" ht="15.75" spans="6:9">
      <c r="F3199" s="12" t="s">
        <v>5151</v>
      </c>
      <c r="G3199" s="12" t="s">
        <v>391</v>
      </c>
      <c r="H3199" s="15">
        <v>14159</v>
      </c>
      <c r="I3199" s="13">
        <v>44</v>
      </c>
    </row>
    <row r="3200" ht="15.75" spans="6:9">
      <c r="F3200" s="12" t="s">
        <v>5153</v>
      </c>
      <c r="G3200" s="12" t="s">
        <v>391</v>
      </c>
      <c r="H3200" s="15">
        <v>28424</v>
      </c>
      <c r="I3200" s="13">
        <v>44</v>
      </c>
    </row>
    <row r="3201" ht="15.75" spans="6:9">
      <c r="F3201" s="12" t="s">
        <v>5155</v>
      </c>
      <c r="G3201" s="12" t="s">
        <v>391</v>
      </c>
      <c r="H3201" s="15">
        <v>32500</v>
      </c>
      <c r="I3201" s="13">
        <v>44</v>
      </c>
    </row>
    <row r="3202" ht="15.75" spans="6:9">
      <c r="F3202" s="12" t="s">
        <v>5156</v>
      </c>
      <c r="G3202" s="12" t="s">
        <v>391</v>
      </c>
      <c r="H3202" s="15">
        <v>21853</v>
      </c>
      <c r="I3202" s="13">
        <v>44</v>
      </c>
    </row>
    <row r="3203" ht="15.75" spans="6:9">
      <c r="F3203" s="12" t="s">
        <v>5158</v>
      </c>
      <c r="G3203" s="12" t="s">
        <v>391</v>
      </c>
      <c r="H3203" s="15">
        <v>11625</v>
      </c>
      <c r="I3203" s="13">
        <v>44</v>
      </c>
    </row>
    <row r="3204" ht="15.75" spans="6:9">
      <c r="F3204" s="12" t="s">
        <v>5162</v>
      </c>
      <c r="G3204" s="12" t="s">
        <v>391</v>
      </c>
      <c r="H3204" s="15">
        <v>21948</v>
      </c>
      <c r="I3204" s="13">
        <v>44</v>
      </c>
    </row>
    <row r="3205" ht="15.75" spans="6:9">
      <c r="F3205" s="12" t="s">
        <v>5164</v>
      </c>
      <c r="G3205" s="12" t="s">
        <v>391</v>
      </c>
      <c r="H3205" s="15">
        <v>10038</v>
      </c>
      <c r="I3205" s="13">
        <v>44</v>
      </c>
    </row>
    <row r="3206" ht="15.75" spans="6:9">
      <c r="F3206" s="12" t="s">
        <v>5166</v>
      </c>
      <c r="G3206" s="12" t="s">
        <v>391</v>
      </c>
      <c r="H3206" s="15">
        <v>27765</v>
      </c>
      <c r="I3206" s="13">
        <v>44</v>
      </c>
    </row>
    <row r="3207" ht="15.75" spans="6:9">
      <c r="F3207" s="12" t="s">
        <v>7127</v>
      </c>
      <c r="G3207" s="12" t="s">
        <v>391</v>
      </c>
      <c r="H3207" s="15">
        <v>97566</v>
      </c>
      <c r="I3207" s="13">
        <v>44</v>
      </c>
    </row>
    <row r="3208" ht="15.75" spans="6:9">
      <c r="F3208" s="12" t="s">
        <v>7128</v>
      </c>
      <c r="G3208" s="12" t="s">
        <v>392</v>
      </c>
      <c r="H3208" s="15">
        <v>18100</v>
      </c>
      <c r="I3208" s="13">
        <v>44</v>
      </c>
    </row>
    <row r="3209" ht="15.75" spans="6:9">
      <c r="F3209" s="12" t="s">
        <v>7129</v>
      </c>
      <c r="G3209" s="12" t="s">
        <v>392</v>
      </c>
      <c r="H3209" s="15">
        <v>13800</v>
      </c>
      <c r="I3209" s="13">
        <v>44</v>
      </c>
    </row>
    <row r="3210" ht="15.75" spans="6:9">
      <c r="F3210" s="12" t="s">
        <v>5168</v>
      </c>
      <c r="G3210" s="12" t="s">
        <v>391</v>
      </c>
      <c r="H3210" s="15">
        <v>12202</v>
      </c>
      <c r="I3210" s="13">
        <v>44</v>
      </c>
    </row>
    <row r="3211" ht="15.75" spans="6:9">
      <c r="F3211" s="12" t="s">
        <v>5170</v>
      </c>
      <c r="G3211" s="12" t="s">
        <v>391</v>
      </c>
      <c r="H3211" s="15">
        <v>21653</v>
      </c>
      <c r="I3211" s="13">
        <v>44</v>
      </c>
    </row>
    <row r="3212" ht="15.75" spans="6:9">
      <c r="F3212" s="12" t="s">
        <v>5172</v>
      </c>
      <c r="G3212" s="12" t="s">
        <v>391</v>
      </c>
      <c r="H3212" s="15">
        <v>16044</v>
      </c>
      <c r="I3212" s="13">
        <v>44</v>
      </c>
    </row>
    <row r="3213" ht="15.75" spans="6:9">
      <c r="F3213" s="12" t="s">
        <v>5176</v>
      </c>
      <c r="G3213" s="12" t="s">
        <v>391</v>
      </c>
      <c r="H3213" s="15">
        <v>10282</v>
      </c>
      <c r="I3213" s="13">
        <v>44</v>
      </c>
    </row>
    <row r="3214" ht="15.75" spans="6:9">
      <c r="F3214" s="12" t="s">
        <v>5178</v>
      </c>
      <c r="G3214" s="12" t="s">
        <v>391</v>
      </c>
      <c r="H3214" s="15">
        <v>11076</v>
      </c>
      <c r="I3214" s="13">
        <v>44</v>
      </c>
    </row>
    <row r="3215" ht="15.75" spans="6:9">
      <c r="F3215" s="12" t="s">
        <v>5180</v>
      </c>
      <c r="G3215" s="12" t="s">
        <v>391</v>
      </c>
      <c r="H3215" s="15">
        <v>21706</v>
      </c>
      <c r="I3215" s="13">
        <v>44</v>
      </c>
    </row>
    <row r="3216" ht="15.75" spans="6:9">
      <c r="F3216" s="12" t="s">
        <v>5182</v>
      </c>
      <c r="G3216" s="12" t="s">
        <v>391</v>
      </c>
      <c r="H3216" s="15">
        <v>15095</v>
      </c>
      <c r="I3216" s="13">
        <v>44</v>
      </c>
    </row>
    <row r="3217" ht="15.75" spans="6:9">
      <c r="F3217" s="12" t="s">
        <v>7130</v>
      </c>
      <c r="G3217" s="12" t="s">
        <v>392</v>
      </c>
      <c r="H3217" s="15">
        <v>6700000</v>
      </c>
      <c r="I3217" s="13">
        <v>44</v>
      </c>
    </row>
    <row r="3218" ht="15.75" spans="6:9">
      <c r="F3218" s="12" t="s">
        <v>7131</v>
      </c>
      <c r="G3218" s="12" t="s">
        <v>392</v>
      </c>
      <c r="H3218" s="15">
        <v>251800</v>
      </c>
      <c r="I3218" s="13">
        <v>44</v>
      </c>
    </row>
    <row r="3219" ht="15.75" spans="6:9">
      <c r="F3219" s="12" t="s">
        <v>5184</v>
      </c>
      <c r="G3219" s="12" t="s">
        <v>391</v>
      </c>
      <c r="H3219" s="15">
        <v>10160</v>
      </c>
      <c r="I3219" s="13">
        <v>44</v>
      </c>
    </row>
    <row r="3220" ht="15.75" spans="6:9">
      <c r="F3220" s="12" t="s">
        <v>5186</v>
      </c>
      <c r="G3220" s="12" t="s">
        <v>391</v>
      </c>
      <c r="H3220" s="15">
        <v>12638</v>
      </c>
      <c r="I3220" s="13">
        <v>44</v>
      </c>
    </row>
    <row r="3221" ht="15.75" spans="6:9">
      <c r="F3221" s="12" t="s">
        <v>5188</v>
      </c>
      <c r="G3221" s="12" t="s">
        <v>391</v>
      </c>
      <c r="H3221" s="15">
        <v>12682</v>
      </c>
      <c r="I3221" s="13">
        <v>44</v>
      </c>
    </row>
    <row r="3222" ht="15.75" spans="6:9">
      <c r="F3222" s="12" t="s">
        <v>5189</v>
      </c>
      <c r="G3222" s="12" t="s">
        <v>391</v>
      </c>
      <c r="H3222" s="15">
        <v>12198</v>
      </c>
      <c r="I3222" s="13">
        <v>44</v>
      </c>
    </row>
    <row r="3223" ht="15.75" spans="6:9">
      <c r="F3223" s="12" t="s">
        <v>5191</v>
      </c>
      <c r="G3223" s="12" t="s">
        <v>391</v>
      </c>
      <c r="H3223" s="15">
        <v>12945</v>
      </c>
      <c r="I3223" s="13">
        <v>44</v>
      </c>
    </row>
    <row r="3224" ht="15.75" spans="6:9">
      <c r="F3224" s="12" t="s">
        <v>7132</v>
      </c>
      <c r="G3224" s="12" t="s">
        <v>392</v>
      </c>
      <c r="H3224" s="15">
        <v>15800</v>
      </c>
      <c r="I3224" s="13">
        <v>44</v>
      </c>
    </row>
    <row r="3225" ht="15.75" spans="6:9">
      <c r="F3225" s="12" t="s">
        <v>5193</v>
      </c>
      <c r="G3225" s="12" t="s">
        <v>391</v>
      </c>
      <c r="H3225" s="15">
        <v>12490</v>
      </c>
      <c r="I3225" s="13">
        <v>44</v>
      </c>
    </row>
    <row r="3226" ht="15.75" spans="6:9">
      <c r="F3226" s="12" t="s">
        <v>7133</v>
      </c>
      <c r="G3226" s="12" t="s">
        <v>392</v>
      </c>
      <c r="H3226" s="15">
        <v>102700</v>
      </c>
      <c r="I3226" s="13">
        <v>44</v>
      </c>
    </row>
    <row r="3227" ht="15.75" spans="6:9">
      <c r="F3227" s="12" t="s">
        <v>5195</v>
      </c>
      <c r="G3227" s="12" t="s">
        <v>391</v>
      </c>
      <c r="H3227" s="15">
        <v>16507</v>
      </c>
      <c r="I3227" s="13">
        <v>44</v>
      </c>
    </row>
    <row r="3228" ht="15.75" spans="6:9">
      <c r="F3228" s="12" t="s">
        <v>5197</v>
      </c>
      <c r="G3228" s="12" t="s">
        <v>391</v>
      </c>
      <c r="H3228" s="15">
        <v>12199</v>
      </c>
      <c r="I3228" s="13">
        <v>44</v>
      </c>
    </row>
    <row r="3229" ht="15.75" spans="6:9">
      <c r="F3229" s="12" t="s">
        <v>3854</v>
      </c>
      <c r="G3229" s="12" t="s">
        <v>391</v>
      </c>
      <c r="H3229" s="15">
        <v>104924</v>
      </c>
      <c r="I3229" s="13">
        <v>44</v>
      </c>
    </row>
    <row r="3230" ht="15.75" spans="6:9">
      <c r="F3230" s="12" t="s">
        <v>5198</v>
      </c>
      <c r="G3230" s="12" t="s">
        <v>391</v>
      </c>
      <c r="H3230" s="15">
        <v>23989</v>
      </c>
      <c r="I3230" s="13">
        <v>44</v>
      </c>
    </row>
    <row r="3231" ht="15.75" spans="6:9">
      <c r="F3231" s="12" t="s">
        <v>4374</v>
      </c>
      <c r="G3231" s="12" t="s">
        <v>392</v>
      </c>
      <c r="H3231" s="15">
        <v>167800</v>
      </c>
      <c r="I3231" s="13">
        <v>44</v>
      </c>
    </row>
    <row r="3232" ht="15.75" spans="6:9">
      <c r="F3232" s="12" t="s">
        <v>7134</v>
      </c>
      <c r="G3232" s="12" t="s">
        <v>392</v>
      </c>
      <c r="H3232" s="15">
        <v>27400</v>
      </c>
      <c r="I3232" s="13">
        <v>44</v>
      </c>
    </row>
    <row r="3233" ht="15.75" spans="6:9">
      <c r="F3233" s="12" t="s">
        <v>7135</v>
      </c>
      <c r="G3233" s="12" t="s">
        <v>392</v>
      </c>
      <c r="H3233" s="15">
        <v>75800</v>
      </c>
      <c r="I3233" s="13">
        <v>44</v>
      </c>
    </row>
    <row r="3234" ht="15.75" spans="6:9">
      <c r="F3234" s="12" t="s">
        <v>7136</v>
      </c>
      <c r="G3234" s="12" t="s">
        <v>392</v>
      </c>
      <c r="H3234" s="15">
        <v>10100</v>
      </c>
      <c r="I3234" s="13">
        <v>44</v>
      </c>
    </row>
    <row r="3235" ht="15.75" spans="6:9">
      <c r="F3235" s="12" t="s">
        <v>7137</v>
      </c>
      <c r="G3235" s="12" t="s">
        <v>392</v>
      </c>
      <c r="H3235" s="15">
        <v>166700</v>
      </c>
      <c r="I3235" s="13">
        <v>44</v>
      </c>
    </row>
    <row r="3236" ht="15.75" spans="6:9">
      <c r="F3236" s="12" t="s">
        <v>5202</v>
      </c>
      <c r="G3236" s="12" t="s">
        <v>391</v>
      </c>
      <c r="H3236" s="15">
        <v>13347</v>
      </c>
      <c r="I3236" s="13">
        <v>44</v>
      </c>
    </row>
    <row r="3237" ht="15.75" spans="6:9">
      <c r="F3237" s="12" t="s">
        <v>5204</v>
      </c>
      <c r="G3237" s="12" t="s">
        <v>391</v>
      </c>
      <c r="H3237" s="15">
        <v>30110</v>
      </c>
      <c r="I3237" s="13">
        <v>44</v>
      </c>
    </row>
    <row r="3238" ht="15.75" spans="6:9">
      <c r="F3238" s="12" t="s">
        <v>5206</v>
      </c>
      <c r="G3238" s="12" t="s">
        <v>391</v>
      </c>
      <c r="H3238" s="15">
        <v>23999</v>
      </c>
      <c r="I3238" s="13">
        <v>44</v>
      </c>
    </row>
    <row r="3239" ht="15.75" spans="6:9">
      <c r="F3239" s="12" t="s">
        <v>5208</v>
      </c>
      <c r="G3239" s="12" t="s">
        <v>391</v>
      </c>
      <c r="H3239" s="15">
        <v>31994</v>
      </c>
      <c r="I3239" s="13">
        <v>44</v>
      </c>
    </row>
    <row r="3240" ht="15.75" spans="6:9">
      <c r="F3240" s="12" t="s">
        <v>7138</v>
      </c>
      <c r="G3240" s="12" t="s">
        <v>392</v>
      </c>
      <c r="H3240" s="15">
        <v>19000</v>
      </c>
      <c r="I3240" s="13">
        <v>44</v>
      </c>
    </row>
    <row r="3241" ht="15.75" spans="6:9">
      <c r="F3241" s="12" t="s">
        <v>5209</v>
      </c>
      <c r="G3241" s="12" t="s">
        <v>391</v>
      </c>
      <c r="H3241" s="15">
        <v>24927</v>
      </c>
      <c r="I3241" s="13">
        <v>44</v>
      </c>
    </row>
    <row r="3242" ht="15.75" spans="6:9">
      <c r="F3242" s="12" t="s">
        <v>7139</v>
      </c>
      <c r="G3242" s="12" t="s">
        <v>392</v>
      </c>
      <c r="H3242" s="15">
        <v>10200</v>
      </c>
      <c r="I3242" s="13">
        <v>44</v>
      </c>
    </row>
    <row r="3243" ht="15.75" spans="6:9">
      <c r="F3243" s="12" t="s">
        <v>7140</v>
      </c>
      <c r="G3243" s="12" t="s">
        <v>392</v>
      </c>
      <c r="H3243" s="15">
        <v>1400000</v>
      </c>
      <c r="I3243" s="13">
        <v>44</v>
      </c>
    </row>
    <row r="3244" ht="15.75" spans="6:9">
      <c r="F3244" s="12" t="s">
        <v>7141</v>
      </c>
      <c r="G3244" s="12" t="s">
        <v>392</v>
      </c>
      <c r="H3244" s="15">
        <v>29900</v>
      </c>
      <c r="I3244" s="13">
        <v>44</v>
      </c>
    </row>
    <row r="3245" ht="15.75" spans="6:9">
      <c r="F3245" s="12" t="s">
        <v>5213</v>
      </c>
      <c r="G3245" s="12" t="s">
        <v>391</v>
      </c>
      <c r="H3245" s="15">
        <v>30045</v>
      </c>
      <c r="I3245" s="13">
        <v>44</v>
      </c>
    </row>
    <row r="3246" ht="15.75" spans="6:9">
      <c r="F3246" s="12" t="s">
        <v>5214</v>
      </c>
      <c r="G3246" s="12" t="s">
        <v>391</v>
      </c>
      <c r="H3246" s="15">
        <v>14851</v>
      </c>
      <c r="I3246" s="13">
        <v>44</v>
      </c>
    </row>
    <row r="3247" ht="15.75" spans="6:9">
      <c r="F3247" s="12" t="s">
        <v>5216</v>
      </c>
      <c r="G3247" s="12" t="s">
        <v>391</v>
      </c>
      <c r="H3247" s="15">
        <v>20647</v>
      </c>
      <c r="I3247" s="13">
        <v>44</v>
      </c>
    </row>
    <row r="3248" ht="15.75" spans="6:9">
      <c r="F3248" s="12" t="s">
        <v>5217</v>
      </c>
      <c r="G3248" s="12" t="s">
        <v>391</v>
      </c>
      <c r="H3248" s="15">
        <v>29303</v>
      </c>
      <c r="I3248" s="13">
        <v>44</v>
      </c>
    </row>
    <row r="3249" ht="15.75" spans="6:9">
      <c r="F3249" s="12" t="s">
        <v>4377</v>
      </c>
      <c r="G3249" s="12" t="s">
        <v>391</v>
      </c>
      <c r="H3249" s="15">
        <v>129309</v>
      </c>
      <c r="I3249" s="13">
        <v>44</v>
      </c>
    </row>
    <row r="3250" ht="15.75" spans="6:9">
      <c r="F3250" s="12" t="s">
        <v>7142</v>
      </c>
      <c r="G3250" s="12" t="s">
        <v>392</v>
      </c>
      <c r="H3250" s="15">
        <v>69500</v>
      </c>
      <c r="I3250" s="13">
        <v>44</v>
      </c>
    </row>
    <row r="3251" ht="15.75" spans="6:9">
      <c r="F3251" s="12" t="s">
        <v>5220</v>
      </c>
      <c r="G3251" s="12" t="s">
        <v>391</v>
      </c>
      <c r="H3251" s="15">
        <v>31783</v>
      </c>
      <c r="I3251" s="13">
        <v>44</v>
      </c>
    </row>
    <row r="3252" ht="15.75" spans="6:9">
      <c r="F3252" s="12" t="s">
        <v>7143</v>
      </c>
      <c r="G3252" s="12" t="s">
        <v>392</v>
      </c>
      <c r="H3252" s="15">
        <v>5100000</v>
      </c>
      <c r="I3252" s="13">
        <v>44</v>
      </c>
    </row>
    <row r="3253" ht="15.75" spans="6:9">
      <c r="F3253" s="12" t="s">
        <v>5221</v>
      </c>
      <c r="G3253" s="12" t="s">
        <v>391</v>
      </c>
      <c r="H3253" s="15">
        <v>18718</v>
      </c>
      <c r="I3253" s="13">
        <v>44</v>
      </c>
    </row>
    <row r="3254" ht="15.75" spans="6:9">
      <c r="F3254" s="12" t="s">
        <v>7144</v>
      </c>
      <c r="G3254" s="12" t="s">
        <v>392</v>
      </c>
      <c r="H3254" s="15">
        <v>1200000</v>
      </c>
      <c r="I3254" s="13">
        <v>44</v>
      </c>
    </row>
    <row r="3255" ht="15.75" spans="6:9">
      <c r="F3255" s="12" t="s">
        <v>5224</v>
      </c>
      <c r="G3255" s="12" t="s">
        <v>391</v>
      </c>
      <c r="H3255" s="15">
        <v>26143</v>
      </c>
      <c r="I3255" s="13">
        <v>44</v>
      </c>
    </row>
    <row r="3256" ht="15.75" spans="6:9">
      <c r="F3256" s="12" t="s">
        <v>5228</v>
      </c>
      <c r="G3256" s="12" t="s">
        <v>391</v>
      </c>
      <c r="H3256" s="15">
        <v>20154</v>
      </c>
      <c r="I3256" s="13">
        <v>44</v>
      </c>
    </row>
    <row r="3257" ht="15.75" spans="6:9">
      <c r="F3257" s="12" t="s">
        <v>5230</v>
      </c>
      <c r="G3257" s="12" t="s">
        <v>391</v>
      </c>
      <c r="H3257" s="15">
        <v>23572</v>
      </c>
      <c r="I3257" s="13">
        <v>44</v>
      </c>
    </row>
    <row r="3258" ht="15.75" spans="6:9">
      <c r="F3258" s="12" t="s">
        <v>7145</v>
      </c>
      <c r="G3258" s="12" t="s">
        <v>392</v>
      </c>
      <c r="H3258" s="15">
        <v>479100</v>
      </c>
      <c r="I3258" s="13">
        <v>44</v>
      </c>
    </row>
    <row r="3259" ht="15.75" spans="6:9">
      <c r="F3259" s="12" t="s">
        <v>5232</v>
      </c>
      <c r="G3259" s="12" t="s">
        <v>391</v>
      </c>
      <c r="H3259" s="15">
        <v>13750</v>
      </c>
      <c r="I3259" s="13">
        <v>44</v>
      </c>
    </row>
    <row r="3260" ht="15.75" spans="6:9">
      <c r="F3260" s="12" t="s">
        <v>7146</v>
      </c>
      <c r="G3260" s="12" t="s">
        <v>391</v>
      </c>
      <c r="H3260" s="15">
        <v>17789</v>
      </c>
      <c r="I3260" s="13">
        <v>44</v>
      </c>
    </row>
    <row r="3261" ht="15.75" spans="6:9">
      <c r="F3261" s="12" t="s">
        <v>7147</v>
      </c>
      <c r="G3261" s="12" t="s">
        <v>392</v>
      </c>
      <c r="H3261" s="15">
        <v>32600</v>
      </c>
      <c r="I3261" s="13">
        <v>44</v>
      </c>
    </row>
    <row r="3262" ht="15.75" spans="6:9">
      <c r="F3262" s="12" t="s">
        <v>5234</v>
      </c>
      <c r="G3262" s="12" t="s">
        <v>391</v>
      </c>
      <c r="H3262" s="15">
        <v>22479</v>
      </c>
      <c r="I3262" s="13">
        <v>44</v>
      </c>
    </row>
    <row r="3263" ht="15.75" spans="6:9">
      <c r="F3263" s="12" t="s">
        <v>3859</v>
      </c>
      <c r="G3263" s="12" t="s">
        <v>391</v>
      </c>
      <c r="H3263" s="15">
        <v>1183264</v>
      </c>
      <c r="I3263" s="13">
        <v>44</v>
      </c>
    </row>
    <row r="3264" ht="15.75" spans="6:9">
      <c r="F3264" s="12" t="s">
        <v>5236</v>
      </c>
      <c r="G3264" s="12" t="s">
        <v>391</v>
      </c>
      <c r="H3264" s="15">
        <v>37943</v>
      </c>
      <c r="I3264" s="13">
        <v>44</v>
      </c>
    </row>
    <row r="3265" ht="15.75" spans="6:9">
      <c r="F3265" s="12" t="s">
        <v>7148</v>
      </c>
      <c r="G3265" s="12" t="s">
        <v>392</v>
      </c>
      <c r="H3265" s="15">
        <v>49500</v>
      </c>
      <c r="I3265" s="13">
        <v>44</v>
      </c>
    </row>
    <row r="3266" ht="15.75" spans="6:9">
      <c r="F3266" s="12" t="s">
        <v>7149</v>
      </c>
      <c r="G3266" s="12" t="s">
        <v>392</v>
      </c>
      <c r="H3266" s="15">
        <v>618700</v>
      </c>
      <c r="I3266" s="13">
        <v>44</v>
      </c>
    </row>
    <row r="3267" ht="15.75" spans="6:9">
      <c r="F3267" s="12" t="s">
        <v>7150</v>
      </c>
      <c r="G3267" s="12" t="s">
        <v>392</v>
      </c>
      <c r="H3267" s="15">
        <v>17700</v>
      </c>
      <c r="I3267" s="13">
        <v>44</v>
      </c>
    </row>
    <row r="3268" ht="15.75" spans="6:9">
      <c r="F3268" s="12" t="s">
        <v>7151</v>
      </c>
      <c r="G3268" s="12" t="s">
        <v>392</v>
      </c>
      <c r="H3268" s="15">
        <v>29200</v>
      </c>
      <c r="I3268" s="13">
        <v>44</v>
      </c>
    </row>
    <row r="3269" ht="15.75" spans="6:9">
      <c r="F3269" s="12" t="s">
        <v>5237</v>
      </c>
      <c r="G3269" s="12" t="s">
        <v>391</v>
      </c>
      <c r="H3269" s="15">
        <v>14056</v>
      </c>
      <c r="I3269" s="13">
        <v>44</v>
      </c>
    </row>
    <row r="3270" ht="15.75" spans="6:9">
      <c r="F3270" s="12" t="s">
        <v>7152</v>
      </c>
      <c r="G3270" s="12" t="s">
        <v>392</v>
      </c>
      <c r="H3270" s="15">
        <v>10800</v>
      </c>
      <c r="I3270" s="13">
        <v>44</v>
      </c>
    </row>
    <row r="3271" ht="15.75" spans="6:9">
      <c r="F3271" s="12" t="s">
        <v>5511</v>
      </c>
      <c r="G3271" s="12" t="s">
        <v>391</v>
      </c>
      <c r="H3271" s="15">
        <v>32020</v>
      </c>
      <c r="I3271" s="13">
        <v>44</v>
      </c>
    </row>
    <row r="3272" ht="15.75" spans="6:9">
      <c r="F3272" s="12" t="s">
        <v>5238</v>
      </c>
      <c r="G3272" s="12" t="s">
        <v>391</v>
      </c>
      <c r="H3272" s="15">
        <v>11165</v>
      </c>
      <c r="I3272" s="13">
        <v>44</v>
      </c>
    </row>
    <row r="3273" ht="15.75" spans="6:9">
      <c r="F3273" s="12" t="s">
        <v>5240</v>
      </c>
      <c r="G3273" s="12" t="s">
        <v>391</v>
      </c>
      <c r="H3273" s="15">
        <v>23138</v>
      </c>
      <c r="I3273" s="13">
        <v>44</v>
      </c>
    </row>
    <row r="3274" ht="15.75" spans="6:9">
      <c r="F3274" s="12" t="s">
        <v>7153</v>
      </c>
      <c r="G3274" s="12" t="s">
        <v>391</v>
      </c>
      <c r="H3274" s="15">
        <v>10134</v>
      </c>
      <c r="I3274" s="13">
        <v>44</v>
      </c>
    </row>
    <row r="3275" ht="15.75" spans="6:9">
      <c r="F3275" s="12" t="s">
        <v>7154</v>
      </c>
      <c r="G3275" s="12" t="s">
        <v>392</v>
      </c>
      <c r="H3275" s="15">
        <v>10800</v>
      </c>
      <c r="I3275" s="13">
        <v>44</v>
      </c>
    </row>
    <row r="3276" ht="15.75" spans="6:9">
      <c r="F3276" s="12" t="s">
        <v>5241</v>
      </c>
      <c r="G3276" s="12" t="s">
        <v>391</v>
      </c>
      <c r="H3276" s="15">
        <v>15962</v>
      </c>
      <c r="I3276" s="13">
        <v>44</v>
      </c>
    </row>
    <row r="3277" ht="15.75" spans="6:9">
      <c r="F3277" s="12" t="s">
        <v>5245</v>
      </c>
      <c r="G3277" s="12" t="s">
        <v>391</v>
      </c>
      <c r="H3277" s="15">
        <v>22995</v>
      </c>
      <c r="I3277" s="13">
        <v>44</v>
      </c>
    </row>
    <row r="3278" ht="15.75" spans="6:9">
      <c r="F3278" s="12" t="s">
        <v>5246</v>
      </c>
      <c r="G3278" s="12" t="s">
        <v>391</v>
      </c>
      <c r="H3278" s="15">
        <v>97210</v>
      </c>
      <c r="I3278" s="13">
        <v>44</v>
      </c>
    </row>
    <row r="3279" ht="15.75" spans="6:9">
      <c r="F3279" s="12" t="s">
        <v>5248</v>
      </c>
      <c r="G3279" s="12" t="s">
        <v>391</v>
      </c>
      <c r="H3279" s="15">
        <v>12800</v>
      </c>
      <c r="I3279" s="13">
        <v>44</v>
      </c>
    </row>
    <row r="3280" ht="15.75" spans="6:9">
      <c r="F3280" s="12" t="s">
        <v>5250</v>
      </c>
      <c r="G3280" s="12" t="s">
        <v>391</v>
      </c>
      <c r="H3280" s="15">
        <v>18343</v>
      </c>
      <c r="I3280" s="13">
        <v>44</v>
      </c>
    </row>
    <row r="3281" ht="15.75" spans="6:9">
      <c r="F3281" s="12" t="s">
        <v>7155</v>
      </c>
      <c r="G3281" s="12" t="s">
        <v>391</v>
      </c>
      <c r="H3281" s="15">
        <v>27824</v>
      </c>
      <c r="I3281" s="13">
        <v>44</v>
      </c>
    </row>
    <row r="3282" ht="15.75" spans="6:9">
      <c r="F3282" s="12" t="s">
        <v>7156</v>
      </c>
      <c r="G3282" s="12" t="s">
        <v>392</v>
      </c>
      <c r="H3282" s="15">
        <v>11400</v>
      </c>
      <c r="I3282" s="13">
        <v>44</v>
      </c>
    </row>
    <row r="3283" ht="15.75" spans="6:9">
      <c r="F3283" s="12" t="s">
        <v>5251</v>
      </c>
      <c r="G3283" s="12" t="s">
        <v>391</v>
      </c>
      <c r="H3283" s="15">
        <v>30068</v>
      </c>
      <c r="I3283" s="13">
        <v>44</v>
      </c>
    </row>
    <row r="3284" ht="15.75" spans="6:9">
      <c r="F3284" s="12" t="s">
        <v>5253</v>
      </c>
      <c r="G3284" s="12" t="s">
        <v>391</v>
      </c>
      <c r="H3284" s="15">
        <v>11778</v>
      </c>
      <c r="I3284" s="13">
        <v>44</v>
      </c>
    </row>
    <row r="3285" ht="15.75" spans="6:9">
      <c r="F3285" s="12" t="s">
        <v>7157</v>
      </c>
      <c r="G3285" s="12" t="s">
        <v>392</v>
      </c>
      <c r="H3285" s="15">
        <v>385300</v>
      </c>
      <c r="I3285" s="13">
        <v>44</v>
      </c>
    </row>
    <row r="3286" ht="15.75" spans="6:9">
      <c r="F3286" s="12" t="s">
        <v>4386</v>
      </c>
      <c r="G3286" s="12" t="s">
        <v>392</v>
      </c>
      <c r="H3286" s="15">
        <v>256200</v>
      </c>
      <c r="I3286" s="13">
        <v>44</v>
      </c>
    </row>
    <row r="3287" ht="15.75" spans="6:9">
      <c r="F3287" s="12" t="s">
        <v>5255</v>
      </c>
      <c r="G3287" s="12" t="s">
        <v>391</v>
      </c>
      <c r="H3287" s="15">
        <v>18777</v>
      </c>
      <c r="I3287" s="13">
        <v>44</v>
      </c>
    </row>
    <row r="3288" ht="15.75" spans="6:9">
      <c r="F3288" s="12" t="s">
        <v>5257</v>
      </c>
      <c r="G3288" s="12" t="s">
        <v>391</v>
      </c>
      <c r="H3288" s="15">
        <v>25333</v>
      </c>
      <c r="I3288" s="13">
        <v>44</v>
      </c>
    </row>
    <row r="3289" ht="15.75" spans="6:9">
      <c r="F3289" s="12" t="s">
        <v>5513</v>
      </c>
      <c r="G3289" s="12" t="s">
        <v>391</v>
      </c>
      <c r="H3289" s="15">
        <v>27826</v>
      </c>
      <c r="I3289" s="13">
        <v>44</v>
      </c>
    </row>
    <row r="3290" ht="15.75" spans="6:9">
      <c r="F3290" s="12" t="s">
        <v>5261</v>
      </c>
      <c r="G3290" s="12" t="s">
        <v>391</v>
      </c>
      <c r="H3290" s="15">
        <v>16540</v>
      </c>
      <c r="I3290" s="13">
        <v>44</v>
      </c>
    </row>
    <row r="3291" ht="15.75" spans="6:9">
      <c r="F3291" s="12" t="s">
        <v>3862</v>
      </c>
      <c r="G3291" s="12" t="s">
        <v>391</v>
      </c>
      <c r="H3291" s="15">
        <v>491814</v>
      </c>
      <c r="I3291" s="13">
        <v>44</v>
      </c>
    </row>
    <row r="3292" ht="15.75" spans="6:9">
      <c r="F3292" s="12" t="s">
        <v>5262</v>
      </c>
      <c r="G3292" s="12" t="s">
        <v>391</v>
      </c>
      <c r="H3292" s="15">
        <v>24146</v>
      </c>
      <c r="I3292" s="13">
        <v>44</v>
      </c>
    </row>
    <row r="3293" ht="15.75" spans="6:9">
      <c r="F3293" s="12" t="s">
        <v>5265</v>
      </c>
      <c r="G3293" s="12" t="s">
        <v>391</v>
      </c>
      <c r="H3293" s="15">
        <v>11217</v>
      </c>
      <c r="I3293" s="13">
        <v>44</v>
      </c>
    </row>
    <row r="3294" ht="15.75" spans="6:9">
      <c r="F3294" s="12" t="s">
        <v>7158</v>
      </c>
      <c r="G3294" s="12" t="s">
        <v>392</v>
      </c>
      <c r="H3294" s="15">
        <v>116900</v>
      </c>
      <c r="I3294" s="13">
        <v>44</v>
      </c>
    </row>
    <row r="3295" ht="15.75" spans="6:9">
      <c r="F3295" s="12" t="s">
        <v>5515</v>
      </c>
      <c r="G3295" s="12" t="s">
        <v>391</v>
      </c>
      <c r="H3295" s="15">
        <v>12918</v>
      </c>
      <c r="I3295" s="13">
        <v>44</v>
      </c>
    </row>
    <row r="3296" ht="15.75" spans="6:9">
      <c r="F3296" s="12" t="s">
        <v>5267</v>
      </c>
      <c r="G3296" s="12" t="s">
        <v>391</v>
      </c>
      <c r="H3296" s="15">
        <v>20338</v>
      </c>
      <c r="I3296" s="13">
        <v>44</v>
      </c>
    </row>
    <row r="3297" ht="15.75" spans="6:9">
      <c r="F3297" s="12" t="s">
        <v>5269</v>
      </c>
      <c r="G3297" s="12" t="s">
        <v>391</v>
      </c>
      <c r="H3297" s="15">
        <v>10882</v>
      </c>
      <c r="I3297" s="13">
        <v>44</v>
      </c>
    </row>
    <row r="3298" ht="15.75" spans="6:9">
      <c r="F3298" s="12" t="s">
        <v>7159</v>
      </c>
      <c r="G3298" s="12" t="s">
        <v>392</v>
      </c>
      <c r="H3298" s="15">
        <v>16700</v>
      </c>
      <c r="I3298" s="13">
        <v>44</v>
      </c>
    </row>
    <row r="3299" ht="15.75" spans="6:9">
      <c r="F3299" s="12" t="s">
        <v>7160</v>
      </c>
      <c r="G3299" s="12" t="s">
        <v>392</v>
      </c>
      <c r="H3299" s="15">
        <v>36300</v>
      </c>
      <c r="I3299" s="13">
        <v>44</v>
      </c>
    </row>
    <row r="3300" ht="15.75" spans="6:9">
      <c r="F3300" s="12" t="s">
        <v>7161</v>
      </c>
      <c r="G3300" s="12" t="s">
        <v>392</v>
      </c>
      <c r="H3300" s="15">
        <v>129600</v>
      </c>
      <c r="I3300" s="13">
        <v>44</v>
      </c>
    </row>
    <row r="3301" ht="15.75" spans="6:9">
      <c r="F3301" s="12" t="s">
        <v>5271</v>
      </c>
      <c r="G3301" s="12" t="s">
        <v>391</v>
      </c>
      <c r="H3301" s="15">
        <v>12734</v>
      </c>
      <c r="I3301" s="13">
        <v>44</v>
      </c>
    </row>
    <row r="3302" ht="15.75" spans="6:9">
      <c r="F3302" s="12" t="s">
        <v>3865</v>
      </c>
      <c r="G3302" s="12" t="s">
        <v>392</v>
      </c>
      <c r="H3302" s="15">
        <v>940200</v>
      </c>
      <c r="I3302" s="13">
        <v>44</v>
      </c>
    </row>
    <row r="3303" ht="15.75" spans="6:9">
      <c r="F3303" s="12" t="s">
        <v>5273</v>
      </c>
      <c r="G3303" s="12" t="s">
        <v>391</v>
      </c>
      <c r="H3303" s="15">
        <v>10746</v>
      </c>
      <c r="I3303" s="13">
        <v>44</v>
      </c>
    </row>
    <row r="3304" ht="15.75" spans="6:9">
      <c r="F3304" s="12" t="s">
        <v>5275</v>
      </c>
      <c r="G3304" s="12" t="s">
        <v>391</v>
      </c>
      <c r="H3304" s="15">
        <v>20549</v>
      </c>
      <c r="I3304" s="13">
        <v>44</v>
      </c>
    </row>
    <row r="3305" ht="15.75" spans="6:9">
      <c r="F3305" s="12" t="s">
        <v>7162</v>
      </c>
      <c r="G3305" s="12" t="s">
        <v>391</v>
      </c>
      <c r="H3305" s="15">
        <v>12581</v>
      </c>
      <c r="I3305" s="13">
        <v>44</v>
      </c>
    </row>
    <row r="3306" ht="15.75" spans="6:9">
      <c r="F3306" s="12" t="s">
        <v>7163</v>
      </c>
      <c r="G3306" s="12" t="s">
        <v>392</v>
      </c>
      <c r="H3306" s="15">
        <v>35200</v>
      </c>
      <c r="I3306" s="13">
        <v>44</v>
      </c>
    </row>
    <row r="3307" ht="15.75" spans="6:9">
      <c r="F3307" s="12" t="s">
        <v>7164</v>
      </c>
      <c r="G3307" s="12" t="s">
        <v>392</v>
      </c>
      <c r="H3307" s="15">
        <v>729300</v>
      </c>
      <c r="I3307" s="13">
        <v>44</v>
      </c>
    </row>
    <row r="3308" ht="15.75" spans="6:9">
      <c r="F3308" s="12" t="s">
        <v>7165</v>
      </c>
      <c r="G3308" s="12" t="s">
        <v>392</v>
      </c>
      <c r="H3308" s="15">
        <v>10700</v>
      </c>
      <c r="I3308" s="13">
        <v>44</v>
      </c>
    </row>
    <row r="3309" ht="15.75" spans="6:9">
      <c r="F3309" s="12" t="s">
        <v>3867</v>
      </c>
      <c r="G3309" s="12" t="s">
        <v>391</v>
      </c>
      <c r="H3309" s="15">
        <v>134494</v>
      </c>
      <c r="I3309" s="13">
        <v>44</v>
      </c>
    </row>
    <row r="3310" ht="15.75" spans="6:9">
      <c r="F3310" s="12" t="s">
        <v>5277</v>
      </c>
      <c r="G3310" s="12" t="s">
        <v>391</v>
      </c>
      <c r="H3310" s="15">
        <v>23159</v>
      </c>
      <c r="I3310" s="13">
        <v>44</v>
      </c>
    </row>
    <row r="3311" ht="15.75" spans="6:9">
      <c r="F3311" s="12" t="s">
        <v>5279</v>
      </c>
      <c r="G3311" s="12" t="s">
        <v>391</v>
      </c>
      <c r="H3311" s="15">
        <v>20229</v>
      </c>
      <c r="I3311" s="13">
        <v>44</v>
      </c>
    </row>
    <row r="3312" ht="15.75" spans="6:9">
      <c r="F3312" s="12" t="s">
        <v>5280</v>
      </c>
      <c r="G3312" s="12" t="s">
        <v>391</v>
      </c>
      <c r="H3312" s="15">
        <v>12049</v>
      </c>
      <c r="I3312" s="13">
        <v>44</v>
      </c>
    </row>
    <row r="3313" ht="15.75" spans="6:9">
      <c r="F3313" s="12" t="s">
        <v>5281</v>
      </c>
      <c r="G3313" s="12" t="s">
        <v>391</v>
      </c>
      <c r="H3313" s="15">
        <v>11967</v>
      </c>
      <c r="I3313" s="13">
        <v>44</v>
      </c>
    </row>
    <row r="3314" ht="15.75" spans="6:9">
      <c r="F3314" s="12" t="s">
        <v>5283</v>
      </c>
      <c r="G3314" s="12" t="s">
        <v>391</v>
      </c>
      <c r="H3314" s="15">
        <v>18193</v>
      </c>
      <c r="I3314" s="13">
        <v>44</v>
      </c>
    </row>
    <row r="3315" ht="15.75" spans="6:9">
      <c r="F3315" s="12" t="s">
        <v>7166</v>
      </c>
      <c r="G3315" s="12" t="s">
        <v>392</v>
      </c>
      <c r="H3315" s="15">
        <v>11000</v>
      </c>
      <c r="I3315" s="13">
        <v>44</v>
      </c>
    </row>
    <row r="3316" ht="15.75" spans="6:9">
      <c r="F3316" s="12" t="s">
        <v>3624</v>
      </c>
      <c r="G3316" s="12" t="s">
        <v>391</v>
      </c>
      <c r="H3316" s="15">
        <v>119230</v>
      </c>
      <c r="I3316" s="13">
        <v>44</v>
      </c>
    </row>
    <row r="3317" ht="15.75" spans="6:9">
      <c r="F3317" s="12" t="s">
        <v>5285</v>
      </c>
      <c r="G3317" s="12" t="s">
        <v>391</v>
      </c>
      <c r="H3317" s="15">
        <v>11292</v>
      </c>
      <c r="I3317" s="13">
        <v>44</v>
      </c>
    </row>
    <row r="3318" ht="15.75" spans="6:9">
      <c r="F3318" s="12" t="s">
        <v>5287</v>
      </c>
      <c r="G3318" s="12" t="s">
        <v>391</v>
      </c>
      <c r="H3318" s="15">
        <v>12489</v>
      </c>
      <c r="I3318" s="13">
        <v>44</v>
      </c>
    </row>
    <row r="3319" ht="15.75" spans="6:9">
      <c r="F3319" s="12" t="s">
        <v>5289</v>
      </c>
      <c r="G3319" s="12" t="s">
        <v>391</v>
      </c>
      <c r="H3319" s="15">
        <v>16940</v>
      </c>
      <c r="I3319" s="13">
        <v>44</v>
      </c>
    </row>
    <row r="3320" ht="15.75" spans="6:9">
      <c r="F3320" s="12" t="s">
        <v>5291</v>
      </c>
      <c r="G3320" s="12" t="s">
        <v>391</v>
      </c>
      <c r="H3320" s="15">
        <v>12113</v>
      </c>
      <c r="I3320" s="13">
        <v>44</v>
      </c>
    </row>
    <row r="3321" ht="15.75" spans="6:9">
      <c r="F3321" s="12" t="s">
        <v>5293</v>
      </c>
      <c r="G3321" s="12" t="s">
        <v>391</v>
      </c>
      <c r="H3321" s="15">
        <v>20194</v>
      </c>
      <c r="I3321" s="13">
        <v>44</v>
      </c>
    </row>
    <row r="3322" ht="15.75" spans="6:9">
      <c r="F3322" s="12" t="s">
        <v>5295</v>
      </c>
      <c r="G3322" s="12" t="s">
        <v>391</v>
      </c>
      <c r="H3322" s="15">
        <v>10009</v>
      </c>
      <c r="I3322" s="13">
        <v>44</v>
      </c>
    </row>
    <row r="3323" ht="15.75" spans="6:9">
      <c r="F3323" s="12" t="s">
        <v>5297</v>
      </c>
      <c r="G3323" s="12" t="s">
        <v>391</v>
      </c>
      <c r="H3323" s="15">
        <v>27004</v>
      </c>
      <c r="I3323" s="13">
        <v>44</v>
      </c>
    </row>
    <row r="3324" ht="15.75" spans="6:9">
      <c r="F3324" s="12" t="s">
        <v>5299</v>
      </c>
      <c r="G3324" s="12" t="s">
        <v>391</v>
      </c>
      <c r="H3324" s="15">
        <v>17838</v>
      </c>
      <c r="I3324" s="13">
        <v>44</v>
      </c>
    </row>
    <row r="3325" ht="15.75" spans="6:9">
      <c r="F3325" s="12" t="s">
        <v>5300</v>
      </c>
      <c r="G3325" s="12" t="s">
        <v>391</v>
      </c>
      <c r="H3325" s="15">
        <v>13603</v>
      </c>
      <c r="I3325" s="13">
        <v>44</v>
      </c>
    </row>
    <row r="3326" ht="15.75" spans="6:9">
      <c r="F3326" s="12" t="s">
        <v>7167</v>
      </c>
      <c r="G3326" s="12" t="s">
        <v>392</v>
      </c>
      <c r="H3326" s="15">
        <v>1400000</v>
      </c>
      <c r="I3326" s="13">
        <v>44</v>
      </c>
    </row>
    <row r="3327" ht="15.75" spans="6:9">
      <c r="F3327" s="12" t="s">
        <v>7168</v>
      </c>
      <c r="G3327" s="12" t="s">
        <v>392</v>
      </c>
      <c r="H3327" s="15">
        <v>681600</v>
      </c>
      <c r="I3327" s="13">
        <v>44</v>
      </c>
    </row>
    <row r="3328" ht="15.75" spans="6:9">
      <c r="F3328" s="12" t="s">
        <v>5301</v>
      </c>
      <c r="G3328" s="12" t="s">
        <v>391</v>
      </c>
      <c r="H3328" s="15">
        <v>20638</v>
      </c>
      <c r="I3328" s="13">
        <v>44</v>
      </c>
    </row>
    <row r="3329" ht="15.75" spans="6:9">
      <c r="F3329" s="12" t="s">
        <v>5303</v>
      </c>
      <c r="G3329" s="12" t="s">
        <v>391</v>
      </c>
      <c r="H3329" s="15">
        <v>62706</v>
      </c>
      <c r="I3329" s="13">
        <v>44</v>
      </c>
    </row>
    <row r="3330" ht="15.75" spans="6:9">
      <c r="F3330" s="12" t="s">
        <v>7169</v>
      </c>
      <c r="G3330" s="12" t="s">
        <v>392</v>
      </c>
      <c r="H3330" s="15">
        <v>688900</v>
      </c>
      <c r="I3330" s="13">
        <v>44</v>
      </c>
    </row>
    <row r="3331" ht="15.75" spans="6:9">
      <c r="F3331" s="12" t="s">
        <v>5305</v>
      </c>
      <c r="G3331" s="12" t="s">
        <v>391</v>
      </c>
      <c r="H3331" s="15">
        <v>27150</v>
      </c>
      <c r="I3331" s="13">
        <v>44</v>
      </c>
    </row>
    <row r="3332" ht="15.75" spans="6:9">
      <c r="F3332" s="12" t="s">
        <v>5306</v>
      </c>
      <c r="G3332" s="12" t="s">
        <v>391</v>
      </c>
      <c r="H3332" s="15">
        <v>20111</v>
      </c>
      <c r="I3332" s="13">
        <v>44</v>
      </c>
    </row>
    <row r="3333" ht="15.75" spans="6:9">
      <c r="F3333" s="12" t="s">
        <v>5308</v>
      </c>
      <c r="G3333" s="12" t="s">
        <v>391</v>
      </c>
      <c r="H3333" s="15">
        <v>16029</v>
      </c>
      <c r="I3333" s="13">
        <v>44</v>
      </c>
    </row>
    <row r="3334" ht="15.75" spans="6:9">
      <c r="F3334" s="12" t="s">
        <v>5310</v>
      </c>
      <c r="G3334" s="12" t="s">
        <v>391</v>
      </c>
      <c r="H3334" s="15">
        <v>22000</v>
      </c>
      <c r="I3334" s="13">
        <v>44</v>
      </c>
    </row>
    <row r="3335" ht="15.75" spans="6:9">
      <c r="F3335" s="12" t="s">
        <v>7170</v>
      </c>
      <c r="G3335" s="12" t="s">
        <v>392</v>
      </c>
      <c r="H3335" s="15">
        <v>10300</v>
      </c>
      <c r="I3335" s="13">
        <v>44</v>
      </c>
    </row>
    <row r="3336" ht="15.75" spans="6:9">
      <c r="F3336" s="12" t="s">
        <v>5312</v>
      </c>
      <c r="G3336" s="12" t="s">
        <v>391</v>
      </c>
      <c r="H3336" s="15">
        <v>11780</v>
      </c>
      <c r="I3336" s="13">
        <v>44</v>
      </c>
    </row>
    <row r="3337" ht="15.75" spans="6:9">
      <c r="F3337" s="12" t="s">
        <v>5314</v>
      </c>
      <c r="G3337" s="12" t="s">
        <v>391</v>
      </c>
      <c r="H3337" s="15">
        <v>13675</v>
      </c>
      <c r="I3337" s="13">
        <v>44</v>
      </c>
    </row>
    <row r="3338" ht="15.75" spans="6:9">
      <c r="F3338" s="12" t="s">
        <v>5316</v>
      </c>
      <c r="G3338" s="12" t="s">
        <v>391</v>
      </c>
      <c r="H3338" s="15">
        <v>16857</v>
      </c>
      <c r="I3338" s="13">
        <v>44</v>
      </c>
    </row>
    <row r="3339" ht="15.75" spans="6:9">
      <c r="F3339" s="12" t="s">
        <v>3875</v>
      </c>
      <c r="G3339" s="12" t="s">
        <v>391</v>
      </c>
      <c r="H3339" s="15">
        <v>166689</v>
      </c>
      <c r="I3339" s="13">
        <v>44</v>
      </c>
    </row>
    <row r="3340" ht="15.75" spans="6:9">
      <c r="F3340" s="12" t="s">
        <v>7171</v>
      </c>
      <c r="G3340" s="12" t="s">
        <v>391</v>
      </c>
      <c r="H3340" s="15">
        <v>25201</v>
      </c>
      <c r="I3340" s="13">
        <v>44</v>
      </c>
    </row>
    <row r="3341" ht="15.75" spans="6:9">
      <c r="F3341" s="12" t="s">
        <v>7172</v>
      </c>
      <c r="G3341" s="12" t="s">
        <v>392</v>
      </c>
      <c r="H3341" s="15">
        <v>43400</v>
      </c>
      <c r="I3341" s="13">
        <v>44</v>
      </c>
    </row>
    <row r="3342" ht="15.75" spans="6:9">
      <c r="F3342" s="12" t="s">
        <v>7173</v>
      </c>
      <c r="G3342" s="12" t="s">
        <v>392</v>
      </c>
      <c r="H3342" s="15">
        <v>76600</v>
      </c>
      <c r="I3342" s="13">
        <v>44</v>
      </c>
    </row>
    <row r="3343" ht="15.75" spans="6:9">
      <c r="F3343" s="12" t="s">
        <v>5319</v>
      </c>
      <c r="G3343" s="12" t="s">
        <v>391</v>
      </c>
      <c r="H3343" s="15">
        <v>19757</v>
      </c>
      <c r="I3343" s="13">
        <v>44</v>
      </c>
    </row>
    <row r="3344" ht="15.75" spans="6:9">
      <c r="F3344" s="12" t="s">
        <v>5320</v>
      </c>
      <c r="G3344" s="12" t="s">
        <v>391</v>
      </c>
      <c r="H3344" s="15">
        <v>15929</v>
      </c>
      <c r="I3344" s="13">
        <v>44</v>
      </c>
    </row>
    <row r="3345" ht="15.75" spans="6:9">
      <c r="F3345" s="12" t="s">
        <v>5322</v>
      </c>
      <c r="G3345" s="12" t="s">
        <v>391</v>
      </c>
      <c r="H3345" s="15">
        <v>12051</v>
      </c>
      <c r="I3345" s="13">
        <v>44</v>
      </c>
    </row>
    <row r="3346" ht="15.75" spans="6:9">
      <c r="F3346" s="12" t="s">
        <v>5324</v>
      </c>
      <c r="G3346" s="12" t="s">
        <v>391</v>
      </c>
      <c r="H3346" s="15">
        <v>10458</v>
      </c>
      <c r="I3346" s="13">
        <v>44</v>
      </c>
    </row>
    <row r="3347" ht="15.75" spans="6:9">
      <c r="F3347" s="12" t="s">
        <v>7174</v>
      </c>
      <c r="G3347" s="12" t="s">
        <v>392</v>
      </c>
      <c r="H3347" s="15">
        <v>46600</v>
      </c>
      <c r="I3347" s="13">
        <v>44</v>
      </c>
    </row>
    <row r="3348" ht="15.75" spans="6:9">
      <c r="F3348" s="12" t="s">
        <v>3878</v>
      </c>
      <c r="G3348" s="12" t="s">
        <v>392</v>
      </c>
      <c r="H3348" s="15">
        <v>107800</v>
      </c>
      <c r="I3348" s="13">
        <v>44</v>
      </c>
    </row>
    <row r="3349" ht="15.75" spans="6:9">
      <c r="F3349" s="12" t="s">
        <v>5326</v>
      </c>
      <c r="G3349" s="12" t="s">
        <v>391</v>
      </c>
      <c r="H3349" s="15">
        <v>15323</v>
      </c>
      <c r="I3349" s="13">
        <v>44</v>
      </c>
    </row>
    <row r="3350" ht="15.75" spans="6:9">
      <c r="F3350" s="12" t="s">
        <v>7175</v>
      </c>
      <c r="G3350" s="12" t="s">
        <v>392</v>
      </c>
      <c r="H3350" s="15">
        <v>70700</v>
      </c>
      <c r="I3350" s="13">
        <v>44</v>
      </c>
    </row>
    <row r="3351" ht="15.75" spans="6:9">
      <c r="F3351" s="12" t="s">
        <v>7176</v>
      </c>
      <c r="G3351" s="12" t="s">
        <v>392</v>
      </c>
      <c r="H3351" s="15">
        <v>28600</v>
      </c>
      <c r="I3351" s="13">
        <v>44</v>
      </c>
    </row>
    <row r="3352" ht="15.75" spans="6:9">
      <c r="F3352" s="12" t="s">
        <v>5328</v>
      </c>
      <c r="G3352" s="12" t="s">
        <v>391</v>
      </c>
      <c r="H3352" s="15">
        <v>10083</v>
      </c>
      <c r="I3352" s="13">
        <v>44</v>
      </c>
    </row>
    <row r="3353" ht="15.75" spans="6:9">
      <c r="F3353" s="12" t="s">
        <v>7177</v>
      </c>
      <c r="G3353" s="12" t="s">
        <v>392</v>
      </c>
      <c r="H3353" s="15">
        <v>2100000</v>
      </c>
      <c r="I3353" s="13">
        <v>44</v>
      </c>
    </row>
    <row r="3354" ht="15.75" spans="6:9">
      <c r="F3354" s="12" t="s">
        <v>5330</v>
      </c>
      <c r="G3354" s="12" t="s">
        <v>391</v>
      </c>
      <c r="H3354" s="15">
        <v>29121</v>
      </c>
      <c r="I3354" s="13">
        <v>44</v>
      </c>
    </row>
    <row r="3355" ht="15.75" spans="6:9">
      <c r="F3355" s="12" t="s">
        <v>7178</v>
      </c>
      <c r="G3355" s="12" t="s">
        <v>391</v>
      </c>
      <c r="H3355" s="15">
        <v>10515</v>
      </c>
      <c r="I3355" s="13">
        <v>44</v>
      </c>
    </row>
    <row r="3356" ht="15.75" spans="6:9">
      <c r="F3356" s="12" t="s">
        <v>5332</v>
      </c>
      <c r="G3356" s="12" t="s">
        <v>391</v>
      </c>
      <c r="H3356" s="15">
        <v>33673</v>
      </c>
      <c r="I3356" s="13">
        <v>44</v>
      </c>
    </row>
    <row r="3357" ht="15.75" spans="6:9">
      <c r="F3357" s="12" t="s">
        <v>7179</v>
      </c>
      <c r="G3357" s="12" t="s">
        <v>392</v>
      </c>
      <c r="H3357" s="15">
        <v>11700</v>
      </c>
      <c r="I3357" s="13">
        <v>44</v>
      </c>
    </row>
    <row r="3358" ht="15.75" spans="6:9">
      <c r="F3358" s="12" t="s">
        <v>5334</v>
      </c>
      <c r="G3358" s="12" t="s">
        <v>391</v>
      </c>
      <c r="H3358" s="15">
        <v>19348</v>
      </c>
      <c r="I3358" s="13">
        <v>44</v>
      </c>
    </row>
    <row r="3359" ht="15.75" spans="6:9">
      <c r="F3359" s="12" t="s">
        <v>5336</v>
      </c>
      <c r="G3359" s="12" t="s">
        <v>391</v>
      </c>
      <c r="H3359" s="15">
        <v>25166</v>
      </c>
      <c r="I3359" s="13">
        <v>44</v>
      </c>
    </row>
    <row r="3360" ht="15.75" spans="6:9">
      <c r="F3360" s="12" t="s">
        <v>5337</v>
      </c>
      <c r="G3360" s="12" t="s">
        <v>391</v>
      </c>
      <c r="H3360" s="15">
        <v>19143</v>
      </c>
      <c r="I3360" s="13">
        <v>44</v>
      </c>
    </row>
    <row r="3361" ht="15.75" spans="6:9">
      <c r="F3361" s="12" t="s">
        <v>5517</v>
      </c>
      <c r="G3361" s="12" t="s">
        <v>391</v>
      </c>
      <c r="H3361" s="15">
        <v>24912</v>
      </c>
      <c r="I3361" s="13">
        <v>44</v>
      </c>
    </row>
    <row r="3362" ht="15.75" spans="6:9">
      <c r="F3362" s="12" t="s">
        <v>5339</v>
      </c>
      <c r="G3362" s="12" t="s">
        <v>391</v>
      </c>
      <c r="H3362" s="15">
        <v>10262</v>
      </c>
      <c r="I3362" s="13">
        <v>44</v>
      </c>
    </row>
    <row r="3363" ht="15.75" spans="6:9">
      <c r="F3363" s="12" t="s">
        <v>7180</v>
      </c>
      <c r="G3363" s="12" t="s">
        <v>392</v>
      </c>
      <c r="H3363" s="15">
        <v>20800</v>
      </c>
      <c r="I3363" s="13">
        <v>44</v>
      </c>
    </row>
    <row r="3364" ht="15.75" spans="6:9">
      <c r="F3364" s="12" t="s">
        <v>5341</v>
      </c>
      <c r="G3364" s="12" t="s">
        <v>391</v>
      </c>
      <c r="H3364" s="15">
        <v>12334</v>
      </c>
      <c r="I3364" s="13">
        <v>44</v>
      </c>
    </row>
    <row r="3365" ht="15.75" spans="6:9">
      <c r="F3365" s="12" t="s">
        <v>7181</v>
      </c>
      <c r="G3365" s="12" t="s">
        <v>392</v>
      </c>
      <c r="H3365" s="15">
        <v>44600</v>
      </c>
      <c r="I3365" s="13">
        <v>44</v>
      </c>
    </row>
    <row r="3366" ht="15.75" spans="6:9">
      <c r="F3366" s="12" t="s">
        <v>5343</v>
      </c>
      <c r="G3366" s="12" t="s">
        <v>391</v>
      </c>
      <c r="H3366" s="15">
        <v>25101</v>
      </c>
      <c r="I3366" s="13">
        <v>44</v>
      </c>
    </row>
    <row r="3367" ht="15.75" spans="6:9">
      <c r="F3367" s="12" t="s">
        <v>5345</v>
      </c>
      <c r="G3367" s="12" t="s">
        <v>391</v>
      </c>
      <c r="H3367" s="15">
        <v>10419</v>
      </c>
      <c r="I3367" s="13">
        <v>44</v>
      </c>
    </row>
    <row r="3368" ht="15.75" spans="6:9">
      <c r="F3368" s="12" t="s">
        <v>7182</v>
      </c>
      <c r="G3368" s="12" t="s">
        <v>392</v>
      </c>
      <c r="H3368" s="15">
        <v>102600</v>
      </c>
      <c r="I3368" s="13">
        <v>44</v>
      </c>
    </row>
    <row r="3369" ht="15.75" spans="6:9">
      <c r="F3369" s="12" t="s">
        <v>7183</v>
      </c>
      <c r="G3369" s="12" t="s">
        <v>392</v>
      </c>
      <c r="H3369" s="15">
        <v>10600</v>
      </c>
      <c r="I3369" s="13">
        <v>44</v>
      </c>
    </row>
    <row r="3370" ht="15.75" spans="6:9">
      <c r="F3370" s="12" t="s">
        <v>7184</v>
      </c>
      <c r="G3370" s="12" t="s">
        <v>391</v>
      </c>
      <c r="H3370" s="15">
        <v>14606</v>
      </c>
      <c r="I3370" s="13">
        <v>44</v>
      </c>
    </row>
    <row r="3371" ht="15.75" spans="6:9">
      <c r="F3371" s="12" t="s">
        <v>5347</v>
      </c>
      <c r="G3371" s="12" t="s">
        <v>391</v>
      </c>
      <c r="H3371" s="15">
        <v>12558</v>
      </c>
      <c r="I3371" s="13">
        <v>44</v>
      </c>
    </row>
    <row r="3372" ht="15.75" spans="6:9">
      <c r="F3372" s="12" t="s">
        <v>7185</v>
      </c>
      <c r="G3372" s="12" t="s">
        <v>392</v>
      </c>
      <c r="H3372" s="15">
        <v>15800</v>
      </c>
      <c r="I3372" s="13">
        <v>44</v>
      </c>
    </row>
    <row r="3373" ht="15.75" spans="6:9">
      <c r="F3373" s="12" t="s">
        <v>7186</v>
      </c>
      <c r="G3373" s="12" t="s">
        <v>392</v>
      </c>
      <c r="H3373" s="15">
        <v>202700</v>
      </c>
      <c r="I3373" s="13">
        <v>44</v>
      </c>
    </row>
    <row r="3374" ht="15.75" spans="6:9">
      <c r="F3374" s="12" t="s">
        <v>5348</v>
      </c>
      <c r="G3374" s="12" t="s">
        <v>391</v>
      </c>
      <c r="H3374" s="15">
        <v>20219</v>
      </c>
      <c r="I3374" s="13">
        <v>44</v>
      </c>
    </row>
    <row r="3375" ht="15.75" spans="6:9">
      <c r="F3375" s="12" t="s">
        <v>7187</v>
      </c>
      <c r="G3375" s="12" t="s">
        <v>392</v>
      </c>
      <c r="H3375" s="15">
        <v>10100</v>
      </c>
      <c r="I3375" s="13">
        <v>44</v>
      </c>
    </row>
    <row r="3376" ht="15.75" spans="6:9">
      <c r="F3376" s="12" t="s">
        <v>7188</v>
      </c>
      <c r="G3376" s="12" t="s">
        <v>392</v>
      </c>
      <c r="H3376" s="15">
        <v>88800</v>
      </c>
      <c r="I3376" s="13">
        <v>44</v>
      </c>
    </row>
    <row r="3377" ht="15.75" spans="6:9">
      <c r="F3377" s="12" t="s">
        <v>7189</v>
      </c>
      <c r="G3377" s="12" t="s">
        <v>391</v>
      </c>
      <c r="H3377" s="15">
        <v>17497</v>
      </c>
      <c r="I3377" s="13">
        <v>44</v>
      </c>
    </row>
    <row r="3378" ht="15.75" spans="6:9">
      <c r="F3378" s="12" t="s">
        <v>5352</v>
      </c>
      <c r="G3378" s="12" t="s">
        <v>391</v>
      </c>
      <c r="H3378" s="15">
        <v>10050</v>
      </c>
      <c r="I3378" s="13">
        <v>44</v>
      </c>
    </row>
    <row r="3379" ht="15.75" spans="6:9">
      <c r="F3379" s="12" t="s">
        <v>5354</v>
      </c>
      <c r="G3379" s="12" t="s">
        <v>391</v>
      </c>
      <c r="H3379" s="15">
        <v>12010</v>
      </c>
      <c r="I3379" s="13">
        <v>44</v>
      </c>
    </row>
    <row r="3380" ht="15.75" spans="6:9">
      <c r="F3380" s="12" t="s">
        <v>5355</v>
      </c>
      <c r="G3380" s="12" t="s">
        <v>391</v>
      </c>
      <c r="H3380" s="15">
        <v>12097</v>
      </c>
      <c r="I3380" s="13">
        <v>44</v>
      </c>
    </row>
    <row r="3381" ht="15.75" spans="6:9">
      <c r="F3381" s="12" t="s">
        <v>5357</v>
      </c>
      <c r="G3381" s="12" t="s">
        <v>391</v>
      </c>
      <c r="H3381" s="15">
        <v>11396</v>
      </c>
      <c r="I3381" s="13">
        <v>44</v>
      </c>
    </row>
    <row r="3382" ht="15.75" spans="6:9">
      <c r="F3382" s="12" t="s">
        <v>7190</v>
      </c>
      <c r="G3382" s="12" t="s">
        <v>392</v>
      </c>
      <c r="H3382" s="15">
        <v>66900</v>
      </c>
      <c r="I3382" s="13">
        <v>44</v>
      </c>
    </row>
    <row r="3383" ht="15.75" spans="6:9">
      <c r="F3383" s="12" t="s">
        <v>7191</v>
      </c>
      <c r="G3383" s="12" t="s">
        <v>392</v>
      </c>
      <c r="H3383" s="15">
        <v>13100</v>
      </c>
      <c r="I3383" s="13">
        <v>44</v>
      </c>
    </row>
    <row r="3384" ht="15.75" spans="6:9">
      <c r="F3384" s="12" t="s">
        <v>7192</v>
      </c>
      <c r="G3384" s="12" t="s">
        <v>392</v>
      </c>
      <c r="H3384" s="15">
        <v>530800</v>
      </c>
      <c r="I3384" s="13">
        <v>44</v>
      </c>
    </row>
    <row r="3385" ht="15.75" spans="6:9">
      <c r="F3385" s="12" t="s">
        <v>3882</v>
      </c>
      <c r="G3385" s="12" t="s">
        <v>391</v>
      </c>
      <c r="H3385" s="15">
        <v>837587</v>
      </c>
      <c r="I3385" s="13">
        <v>44</v>
      </c>
    </row>
    <row r="3386" ht="15.75" spans="6:9">
      <c r="F3386" s="12" t="s">
        <v>7193</v>
      </c>
      <c r="G3386" s="12" t="s">
        <v>391</v>
      </c>
      <c r="H3386" s="15">
        <v>66484</v>
      </c>
      <c r="I3386" s="13">
        <v>44</v>
      </c>
    </row>
    <row r="3387" ht="15.75" spans="6:9">
      <c r="F3387" s="12" t="s">
        <v>7194</v>
      </c>
      <c r="G3387" s="12" t="s">
        <v>391</v>
      </c>
      <c r="H3387" s="15">
        <v>14530</v>
      </c>
      <c r="I3387" s="13">
        <v>44</v>
      </c>
    </row>
    <row r="3388" ht="15.75" spans="6:9">
      <c r="F3388" s="12" t="s">
        <v>5361</v>
      </c>
      <c r="G3388" s="12" t="s">
        <v>391</v>
      </c>
      <c r="H3388" s="15">
        <v>11977</v>
      </c>
      <c r="I3388" s="13">
        <v>44</v>
      </c>
    </row>
    <row r="3389" ht="15.75" spans="6:9">
      <c r="F3389" s="12" t="s">
        <v>7195</v>
      </c>
      <c r="G3389" s="12" t="s">
        <v>391</v>
      </c>
      <c r="H3389" s="15">
        <v>17560</v>
      </c>
      <c r="I3389" s="13">
        <v>44</v>
      </c>
    </row>
    <row r="3390" ht="15.75" spans="6:9">
      <c r="F3390" s="12" t="s">
        <v>7196</v>
      </c>
      <c r="G3390" s="12" t="s">
        <v>392</v>
      </c>
      <c r="H3390" s="15">
        <v>80600</v>
      </c>
      <c r="I3390" s="13">
        <v>44</v>
      </c>
    </row>
    <row r="3391" ht="15.75" spans="6:9">
      <c r="F3391" s="12" t="s">
        <v>5363</v>
      </c>
      <c r="G3391" s="12" t="s">
        <v>391</v>
      </c>
      <c r="H3391" s="15">
        <v>13834</v>
      </c>
      <c r="I3391" s="13">
        <v>44</v>
      </c>
    </row>
    <row r="3392" ht="15.75" spans="6:9">
      <c r="F3392" s="12" t="s">
        <v>5365</v>
      </c>
      <c r="G3392" s="12" t="s">
        <v>391</v>
      </c>
      <c r="H3392" s="15">
        <v>10686</v>
      </c>
      <c r="I3392" s="13">
        <v>44</v>
      </c>
    </row>
    <row r="3393" ht="15.75" spans="6:9">
      <c r="F3393" s="12" t="s">
        <v>5367</v>
      </c>
      <c r="G3393" s="12" t="s">
        <v>391</v>
      </c>
      <c r="H3393" s="15">
        <v>99412</v>
      </c>
      <c r="I3393" s="13">
        <v>44</v>
      </c>
    </row>
    <row r="3394" ht="15.75" spans="6:9">
      <c r="F3394" s="12" t="s">
        <v>5368</v>
      </c>
      <c r="G3394" s="12" t="s">
        <v>391</v>
      </c>
      <c r="H3394" s="15">
        <v>28179</v>
      </c>
      <c r="I3394" s="13">
        <v>44</v>
      </c>
    </row>
    <row r="3395" ht="15.75" spans="6:9">
      <c r="F3395" s="12" t="s">
        <v>7197</v>
      </c>
      <c r="G3395" s="12" t="s">
        <v>392</v>
      </c>
      <c r="H3395" s="15">
        <v>14900</v>
      </c>
      <c r="I3395" s="13">
        <v>44</v>
      </c>
    </row>
    <row r="3396" ht="15.75" spans="6:9">
      <c r="F3396" s="12" t="s">
        <v>3884</v>
      </c>
      <c r="G3396" s="12" t="s">
        <v>391</v>
      </c>
      <c r="H3396" s="15">
        <v>393654</v>
      </c>
      <c r="I3396" s="13">
        <v>44</v>
      </c>
    </row>
    <row r="3397" ht="15.75" spans="6:9">
      <c r="F3397" s="12" t="s">
        <v>7198</v>
      </c>
      <c r="G3397" s="12" t="s">
        <v>392</v>
      </c>
      <c r="H3397" s="15">
        <v>14500</v>
      </c>
      <c r="I3397" s="13">
        <v>44</v>
      </c>
    </row>
    <row r="3398" ht="15.75" spans="6:9">
      <c r="F3398" s="12" t="s">
        <v>5522</v>
      </c>
      <c r="G3398" s="12" t="s">
        <v>391</v>
      </c>
      <c r="H3398" s="15">
        <v>43999</v>
      </c>
      <c r="I3398" s="13">
        <v>44</v>
      </c>
    </row>
    <row r="3399" ht="15.75" spans="6:9">
      <c r="F3399" s="12" t="s">
        <v>7199</v>
      </c>
      <c r="G3399" s="12" t="s">
        <v>392</v>
      </c>
      <c r="H3399" s="15">
        <v>5400000</v>
      </c>
      <c r="I3399" s="13">
        <v>44</v>
      </c>
    </row>
    <row r="3400" ht="15.75" spans="6:9">
      <c r="F3400" s="12" t="s">
        <v>7200</v>
      </c>
      <c r="G3400" s="12" t="s">
        <v>392</v>
      </c>
      <c r="H3400" s="15">
        <v>81100</v>
      </c>
      <c r="I3400" s="13">
        <v>44</v>
      </c>
    </row>
    <row r="3401" ht="15.75" spans="6:9">
      <c r="F3401" s="12" t="s">
        <v>7201</v>
      </c>
      <c r="G3401" s="12" t="s">
        <v>392</v>
      </c>
      <c r="H3401" s="15">
        <v>26200</v>
      </c>
      <c r="I3401" s="13">
        <v>44</v>
      </c>
    </row>
    <row r="3402" ht="15.75" spans="6:9">
      <c r="F3402" s="12" t="s">
        <v>4402</v>
      </c>
      <c r="G3402" s="12" t="s">
        <v>392</v>
      </c>
      <c r="H3402" s="15">
        <v>2600000</v>
      </c>
      <c r="I3402" s="13">
        <v>44</v>
      </c>
    </row>
    <row r="3403" ht="15.75" spans="6:9">
      <c r="F3403" s="12" t="s">
        <v>5370</v>
      </c>
      <c r="G3403" s="12" t="s">
        <v>391</v>
      </c>
      <c r="H3403" s="15">
        <v>24549</v>
      </c>
      <c r="I3403" s="13">
        <v>44</v>
      </c>
    </row>
    <row r="3404" ht="15.75" spans="6:9">
      <c r="F3404" s="12" t="s">
        <v>5371</v>
      </c>
      <c r="G3404" s="12" t="s">
        <v>391</v>
      </c>
      <c r="H3404" s="15">
        <v>20538</v>
      </c>
      <c r="I3404" s="13">
        <v>44</v>
      </c>
    </row>
    <row r="3405" ht="15.75" spans="6:9">
      <c r="F3405" s="12" t="s">
        <v>7202</v>
      </c>
      <c r="G3405" s="12" t="s">
        <v>392</v>
      </c>
      <c r="H3405" s="15">
        <v>24600</v>
      </c>
      <c r="I3405" s="13">
        <v>44</v>
      </c>
    </row>
    <row r="3406" ht="15.75" spans="6:9">
      <c r="F3406" s="12" t="s">
        <v>5373</v>
      </c>
      <c r="G3406" s="12" t="s">
        <v>391</v>
      </c>
      <c r="H3406" s="15">
        <v>12558</v>
      </c>
      <c r="I3406" s="13">
        <v>44</v>
      </c>
    </row>
    <row r="3407" ht="15.75" spans="6:9">
      <c r="F3407" s="12" t="s">
        <v>5375</v>
      </c>
      <c r="G3407" s="12" t="s">
        <v>391</v>
      </c>
      <c r="H3407" s="15">
        <v>29041</v>
      </c>
      <c r="I3407" s="13">
        <v>44</v>
      </c>
    </row>
    <row r="3408" ht="15.75" spans="6:9">
      <c r="F3408" s="12" t="s">
        <v>5379</v>
      </c>
      <c r="G3408" s="12" t="s">
        <v>391</v>
      </c>
      <c r="H3408" s="15">
        <v>29406</v>
      </c>
      <c r="I3408" s="13">
        <v>44</v>
      </c>
    </row>
    <row r="3409" ht="15.75" spans="6:9">
      <c r="F3409" s="12" t="s">
        <v>5381</v>
      </c>
      <c r="G3409" s="12" t="s">
        <v>391</v>
      </c>
      <c r="H3409" s="15">
        <v>11693</v>
      </c>
      <c r="I3409" s="13">
        <v>44</v>
      </c>
    </row>
    <row r="3410" ht="15.75" spans="6:9">
      <c r="F3410" s="12" t="s">
        <v>7203</v>
      </c>
      <c r="G3410" s="12" t="s">
        <v>391</v>
      </c>
      <c r="H3410" s="15">
        <v>10165</v>
      </c>
      <c r="I3410" s="13">
        <v>44</v>
      </c>
    </row>
    <row r="3411" ht="15.75" spans="6:9">
      <c r="F3411" s="12" t="s">
        <v>5385</v>
      </c>
      <c r="G3411" s="12" t="s">
        <v>391</v>
      </c>
      <c r="H3411" s="15">
        <v>44957</v>
      </c>
      <c r="I3411" s="13">
        <v>44</v>
      </c>
    </row>
    <row r="3412" ht="15.75" spans="6:9">
      <c r="F3412" s="12" t="s">
        <v>5386</v>
      </c>
      <c r="G3412" s="12" t="s">
        <v>391</v>
      </c>
      <c r="H3412" s="15">
        <v>12606</v>
      </c>
      <c r="I3412" s="13">
        <v>44</v>
      </c>
    </row>
    <row r="3413" ht="15.75" spans="6:9">
      <c r="F3413" s="12" t="s">
        <v>5388</v>
      </c>
      <c r="G3413" s="12" t="s">
        <v>391</v>
      </c>
      <c r="H3413" s="15">
        <v>21969</v>
      </c>
      <c r="I3413" s="13">
        <v>44</v>
      </c>
    </row>
    <row r="3414" ht="15.75" spans="6:9">
      <c r="F3414" s="12" t="s">
        <v>5389</v>
      </c>
      <c r="G3414" s="12" t="s">
        <v>391</v>
      </c>
      <c r="H3414" s="15">
        <v>14711</v>
      </c>
      <c r="I3414" s="13">
        <v>44</v>
      </c>
    </row>
    <row r="3415" ht="15.75" spans="6:9">
      <c r="F3415" s="12" t="s">
        <v>7204</v>
      </c>
      <c r="G3415" s="12" t="s">
        <v>392</v>
      </c>
      <c r="H3415" s="15">
        <v>12200</v>
      </c>
      <c r="I3415" s="13">
        <v>44</v>
      </c>
    </row>
    <row r="3416" ht="15.75" spans="6:9">
      <c r="F3416" s="12" t="s">
        <v>5390</v>
      </c>
      <c r="G3416" s="12" t="s">
        <v>391</v>
      </c>
      <c r="H3416" s="15">
        <v>11159</v>
      </c>
      <c r="I3416" s="13">
        <v>44</v>
      </c>
    </row>
    <row r="3417" ht="15.75" spans="6:9">
      <c r="F3417" s="12" t="s">
        <v>7205</v>
      </c>
      <c r="G3417" s="12" t="s">
        <v>392</v>
      </c>
      <c r="H3417" s="15">
        <v>10300</v>
      </c>
      <c r="I3417" s="13">
        <v>44</v>
      </c>
    </row>
    <row r="3418" ht="15.75" spans="6:9">
      <c r="F3418" s="12" t="s">
        <v>5392</v>
      </c>
      <c r="G3418" s="12" t="s">
        <v>391</v>
      </c>
      <c r="H3418" s="15">
        <v>11098</v>
      </c>
      <c r="I3418" s="13">
        <v>44</v>
      </c>
    </row>
    <row r="3419" ht="15.75" spans="6:9">
      <c r="F3419" s="12" t="s">
        <v>5393</v>
      </c>
      <c r="G3419" s="12" t="s">
        <v>391</v>
      </c>
      <c r="H3419" s="15">
        <v>27676</v>
      </c>
      <c r="I3419" s="13">
        <v>44</v>
      </c>
    </row>
    <row r="3420" ht="15.75" spans="6:9">
      <c r="F3420" s="12" t="s">
        <v>5395</v>
      </c>
      <c r="G3420" s="12" t="s">
        <v>391</v>
      </c>
      <c r="H3420" s="15">
        <v>11739</v>
      </c>
      <c r="I3420" s="13">
        <v>44</v>
      </c>
    </row>
    <row r="3421" ht="15.75" spans="6:9">
      <c r="F3421" s="12" t="s">
        <v>5397</v>
      </c>
      <c r="G3421" s="12" t="s">
        <v>391</v>
      </c>
      <c r="H3421" s="15">
        <v>18177</v>
      </c>
      <c r="I3421" s="13">
        <v>44</v>
      </c>
    </row>
    <row r="3422" ht="15.75" spans="6:9">
      <c r="F3422" s="12" t="s">
        <v>7206</v>
      </c>
      <c r="G3422" s="12" t="s">
        <v>392</v>
      </c>
      <c r="H3422" s="15">
        <v>10300</v>
      </c>
      <c r="I3422" s="13">
        <v>44</v>
      </c>
    </row>
    <row r="3423" ht="15.75" spans="6:9">
      <c r="F3423" s="12" t="s">
        <v>7207</v>
      </c>
      <c r="G3423" s="12" t="s">
        <v>392</v>
      </c>
      <c r="H3423" s="15">
        <v>10400</v>
      </c>
      <c r="I3423" s="13">
        <v>44</v>
      </c>
    </row>
    <row r="3424" ht="15.75" spans="6:9">
      <c r="F3424" s="12" t="s">
        <v>7208</v>
      </c>
      <c r="G3424" s="12" t="s">
        <v>392</v>
      </c>
      <c r="H3424" s="15">
        <v>61300</v>
      </c>
      <c r="I3424" s="13">
        <v>44</v>
      </c>
    </row>
    <row r="3425" ht="15.75" spans="6:9">
      <c r="F3425" s="12" t="s">
        <v>7209</v>
      </c>
      <c r="G3425" s="12" t="s">
        <v>392</v>
      </c>
      <c r="H3425" s="15">
        <v>53000</v>
      </c>
      <c r="I3425" s="13">
        <v>44</v>
      </c>
    </row>
    <row r="3426" ht="15.75" spans="6:9">
      <c r="F3426" s="12" t="s">
        <v>7210</v>
      </c>
      <c r="G3426" s="12" t="s">
        <v>392</v>
      </c>
      <c r="H3426" s="15">
        <v>216200</v>
      </c>
      <c r="I3426" s="13">
        <v>44</v>
      </c>
    </row>
    <row r="3427" ht="15.75" spans="6:9">
      <c r="F3427" s="12" t="s">
        <v>7211</v>
      </c>
      <c r="G3427" s="12" t="s">
        <v>391</v>
      </c>
      <c r="H3427" s="15">
        <v>54787</v>
      </c>
      <c r="I3427" s="13">
        <v>43</v>
      </c>
    </row>
    <row r="3428" ht="15.75" spans="6:9">
      <c r="F3428" s="12" t="s">
        <v>4405</v>
      </c>
      <c r="G3428" s="12" t="s">
        <v>392</v>
      </c>
      <c r="H3428" s="15">
        <v>113600</v>
      </c>
      <c r="I3428" s="13">
        <v>43</v>
      </c>
    </row>
    <row r="3429" ht="15.75" spans="6:9">
      <c r="F3429" s="12" t="s">
        <v>7212</v>
      </c>
      <c r="G3429" s="12" t="s">
        <v>392</v>
      </c>
      <c r="H3429" s="15">
        <v>22100</v>
      </c>
      <c r="I3429" s="13">
        <v>43</v>
      </c>
    </row>
    <row r="3430" ht="15.75" spans="6:9">
      <c r="F3430" s="12" t="s">
        <v>7213</v>
      </c>
      <c r="G3430" s="12" t="s">
        <v>392</v>
      </c>
      <c r="H3430" s="15">
        <v>53500</v>
      </c>
      <c r="I3430" s="13">
        <v>43</v>
      </c>
    </row>
    <row r="3431" ht="15.75" spans="6:9">
      <c r="F3431" s="12" t="s">
        <v>3270</v>
      </c>
      <c r="G3431" s="12" t="s">
        <v>391</v>
      </c>
      <c r="H3431" s="15">
        <v>174816</v>
      </c>
      <c r="I3431" s="13">
        <v>43</v>
      </c>
    </row>
    <row r="3432" ht="15.75" spans="6:9">
      <c r="F3432" s="12" t="s">
        <v>7214</v>
      </c>
      <c r="G3432" s="12" t="s">
        <v>392</v>
      </c>
      <c r="H3432" s="15">
        <v>15500</v>
      </c>
      <c r="I3432" s="13">
        <v>43</v>
      </c>
    </row>
    <row r="3433" ht="15.75" spans="6:9">
      <c r="F3433" s="12" t="s">
        <v>5401</v>
      </c>
      <c r="G3433" s="12" t="s">
        <v>391</v>
      </c>
      <c r="H3433" s="15">
        <v>34043</v>
      </c>
      <c r="I3433" s="13">
        <v>43</v>
      </c>
    </row>
    <row r="3434" ht="15.75" spans="6:9">
      <c r="F3434" s="12" t="s">
        <v>7215</v>
      </c>
      <c r="G3434" s="12" t="s">
        <v>392</v>
      </c>
      <c r="H3434" s="15">
        <v>14800</v>
      </c>
      <c r="I3434" s="13">
        <v>43</v>
      </c>
    </row>
    <row r="3435" ht="15.75" spans="6:9">
      <c r="F3435" s="12" t="s">
        <v>5403</v>
      </c>
      <c r="G3435" s="12" t="s">
        <v>391</v>
      </c>
      <c r="H3435" s="15">
        <v>14193</v>
      </c>
      <c r="I3435" s="13">
        <v>43</v>
      </c>
    </row>
    <row r="3436" ht="15.75" spans="6:9">
      <c r="F3436" s="12" t="s">
        <v>7216</v>
      </c>
      <c r="G3436" s="12" t="s">
        <v>392</v>
      </c>
      <c r="H3436" s="15">
        <v>15400</v>
      </c>
      <c r="I3436" s="13">
        <v>43</v>
      </c>
    </row>
    <row r="3437" ht="15.75" spans="6:9">
      <c r="F3437" s="12" t="s">
        <v>7217</v>
      </c>
      <c r="G3437" s="12" t="s">
        <v>391</v>
      </c>
      <c r="H3437" s="15">
        <v>54418</v>
      </c>
      <c r="I3437" s="13">
        <v>43</v>
      </c>
    </row>
    <row r="3438" ht="15.75" spans="6:9">
      <c r="F3438" s="12" t="s">
        <v>7218</v>
      </c>
      <c r="G3438" s="12" t="s">
        <v>392</v>
      </c>
      <c r="H3438" s="15">
        <v>20500</v>
      </c>
      <c r="I3438" s="13">
        <v>43</v>
      </c>
    </row>
    <row r="3439" ht="15.75" spans="6:9">
      <c r="F3439" s="12" t="s">
        <v>3888</v>
      </c>
      <c r="G3439" s="12" t="s">
        <v>391</v>
      </c>
      <c r="H3439" s="15">
        <v>226435</v>
      </c>
      <c r="I3439" s="13">
        <v>43</v>
      </c>
    </row>
    <row r="3440" ht="15.75" spans="6:9">
      <c r="F3440" s="12" t="s">
        <v>3890</v>
      </c>
      <c r="G3440" s="12" t="s">
        <v>392</v>
      </c>
      <c r="H3440" s="15">
        <v>210600</v>
      </c>
      <c r="I3440" s="13">
        <v>43</v>
      </c>
    </row>
    <row r="3441" ht="15.75" spans="6:9">
      <c r="F3441" s="12" t="s">
        <v>3892</v>
      </c>
      <c r="G3441" s="12" t="s">
        <v>391</v>
      </c>
      <c r="H3441" s="15">
        <v>272803</v>
      </c>
      <c r="I3441" s="13">
        <v>43</v>
      </c>
    </row>
    <row r="3442" ht="15.75" spans="6:9">
      <c r="F3442" s="12" t="s">
        <v>7219</v>
      </c>
      <c r="G3442" s="12" t="s">
        <v>391</v>
      </c>
      <c r="H3442" s="15">
        <v>10876</v>
      </c>
      <c r="I3442" s="13">
        <v>43</v>
      </c>
    </row>
    <row r="3443" ht="15.75" spans="6:9">
      <c r="F3443" s="12" t="s">
        <v>7220</v>
      </c>
      <c r="G3443" s="12" t="s">
        <v>391</v>
      </c>
      <c r="H3443" s="15">
        <v>10800</v>
      </c>
      <c r="I3443" s="13">
        <v>43</v>
      </c>
    </row>
    <row r="3444" ht="15.75" spans="6:9">
      <c r="F3444" s="12" t="s">
        <v>4408</v>
      </c>
      <c r="G3444" s="12" t="s">
        <v>392</v>
      </c>
      <c r="H3444" s="15">
        <v>123000</v>
      </c>
      <c r="I3444" s="13">
        <v>43</v>
      </c>
    </row>
    <row r="3445" ht="15.75" spans="6:9">
      <c r="F3445" s="12" t="s">
        <v>7221</v>
      </c>
      <c r="G3445" s="12" t="s">
        <v>392</v>
      </c>
      <c r="H3445" s="15">
        <v>25700</v>
      </c>
      <c r="I3445" s="13">
        <v>43</v>
      </c>
    </row>
    <row r="3446" ht="15.75" spans="6:9">
      <c r="F3446" s="12" t="s">
        <v>7222</v>
      </c>
      <c r="G3446" s="12" t="s">
        <v>392</v>
      </c>
      <c r="H3446" s="15">
        <v>11700</v>
      </c>
      <c r="I3446" s="13">
        <v>43</v>
      </c>
    </row>
    <row r="3447" ht="15.75" spans="6:9">
      <c r="F3447" s="12" t="s">
        <v>3894</v>
      </c>
      <c r="G3447" s="12" t="s">
        <v>391</v>
      </c>
      <c r="H3447" s="15">
        <v>644524</v>
      </c>
      <c r="I3447" s="13">
        <v>43</v>
      </c>
    </row>
    <row r="3448" ht="15.75" spans="6:9">
      <c r="F3448" s="12" t="s">
        <v>7223</v>
      </c>
      <c r="G3448" s="12" t="s">
        <v>391</v>
      </c>
      <c r="H3448" s="15">
        <v>14291</v>
      </c>
      <c r="I3448" s="13">
        <v>43</v>
      </c>
    </row>
    <row r="3449" ht="15.75" spans="6:9">
      <c r="F3449" s="12" t="s">
        <v>7224</v>
      </c>
      <c r="G3449" s="12" t="s">
        <v>391</v>
      </c>
      <c r="H3449" s="15">
        <v>28695</v>
      </c>
      <c r="I3449" s="13">
        <v>43</v>
      </c>
    </row>
    <row r="3450" ht="15.75" spans="6:9">
      <c r="F3450" s="12" t="s">
        <v>5406</v>
      </c>
      <c r="G3450" s="12" t="s">
        <v>391</v>
      </c>
      <c r="H3450" s="15">
        <v>32124</v>
      </c>
      <c r="I3450" s="13">
        <v>43</v>
      </c>
    </row>
    <row r="3451" ht="15.75" spans="6:9">
      <c r="F3451" s="12" t="s">
        <v>7225</v>
      </c>
      <c r="G3451" s="12" t="s">
        <v>391</v>
      </c>
      <c r="H3451" s="15">
        <v>70762</v>
      </c>
      <c r="I3451" s="13">
        <v>43</v>
      </c>
    </row>
    <row r="3452" ht="15.75" spans="6:9">
      <c r="F3452" s="12" t="s">
        <v>7226</v>
      </c>
      <c r="G3452" s="12" t="s">
        <v>391</v>
      </c>
      <c r="H3452" s="15">
        <v>96163</v>
      </c>
      <c r="I3452" s="13">
        <v>43</v>
      </c>
    </row>
    <row r="3453" ht="15.75" spans="6:9">
      <c r="F3453" s="12" t="s">
        <v>7227</v>
      </c>
      <c r="G3453" s="12" t="s">
        <v>392</v>
      </c>
      <c r="H3453" s="15">
        <v>11200</v>
      </c>
      <c r="I3453" s="13">
        <v>43</v>
      </c>
    </row>
    <row r="3454" ht="15.75" spans="6:9">
      <c r="F3454" s="12" t="s">
        <v>7228</v>
      </c>
      <c r="G3454" s="12" t="s">
        <v>392</v>
      </c>
      <c r="H3454" s="15">
        <v>16300</v>
      </c>
      <c r="I3454" s="13">
        <v>43</v>
      </c>
    </row>
    <row r="3455" ht="15.75" spans="6:9">
      <c r="F3455" s="12" t="s">
        <v>7229</v>
      </c>
      <c r="G3455" s="12" t="s">
        <v>391</v>
      </c>
      <c r="H3455" s="15">
        <v>26329</v>
      </c>
      <c r="I3455" s="13">
        <v>43</v>
      </c>
    </row>
    <row r="3456" ht="15.75" spans="6:9">
      <c r="F3456" s="12" t="s">
        <v>7230</v>
      </c>
      <c r="G3456" s="12" t="s">
        <v>392</v>
      </c>
      <c r="H3456" s="15">
        <v>13900</v>
      </c>
      <c r="I3456" s="13">
        <v>43</v>
      </c>
    </row>
    <row r="3457" ht="15.75" spans="6:9">
      <c r="F3457" s="12" t="s">
        <v>7231</v>
      </c>
      <c r="G3457" s="12" t="s">
        <v>392</v>
      </c>
      <c r="H3457" s="15">
        <v>10200</v>
      </c>
      <c r="I3457" s="13">
        <v>43</v>
      </c>
    </row>
    <row r="3458" ht="15.75" spans="6:9">
      <c r="F3458" s="12" t="s">
        <v>7232</v>
      </c>
      <c r="G3458" s="12" t="s">
        <v>391</v>
      </c>
      <c r="H3458" s="15">
        <v>24257</v>
      </c>
      <c r="I3458" s="13">
        <v>43</v>
      </c>
    </row>
    <row r="3459" ht="15.75" spans="6:9">
      <c r="F3459" s="12" t="s">
        <v>7233</v>
      </c>
      <c r="G3459" s="12" t="s">
        <v>392</v>
      </c>
      <c r="H3459" s="15">
        <v>78700</v>
      </c>
      <c r="I3459" s="13">
        <v>43</v>
      </c>
    </row>
    <row r="3460" ht="15.75" spans="6:9">
      <c r="F3460" s="12" t="s">
        <v>5407</v>
      </c>
      <c r="G3460" s="12" t="s">
        <v>391</v>
      </c>
      <c r="H3460" s="15">
        <v>10579</v>
      </c>
      <c r="I3460" s="13">
        <v>43</v>
      </c>
    </row>
    <row r="3461" ht="15.75" spans="6:9">
      <c r="F3461" s="12" t="s">
        <v>7234</v>
      </c>
      <c r="G3461" s="12" t="s">
        <v>392</v>
      </c>
      <c r="H3461" s="15">
        <v>20300</v>
      </c>
      <c r="I3461" s="13">
        <v>43</v>
      </c>
    </row>
    <row r="3462" ht="15.75" spans="6:9">
      <c r="F3462" s="12" t="s">
        <v>7235</v>
      </c>
      <c r="G3462" s="12" t="s">
        <v>391</v>
      </c>
      <c r="H3462" s="15">
        <v>21864</v>
      </c>
      <c r="I3462" s="13">
        <v>43</v>
      </c>
    </row>
    <row r="3463" ht="15.75" spans="6:9">
      <c r="F3463" s="12" t="s">
        <v>5408</v>
      </c>
      <c r="G3463" s="12" t="s">
        <v>391</v>
      </c>
      <c r="H3463" s="15">
        <v>29749</v>
      </c>
      <c r="I3463" s="13">
        <v>43</v>
      </c>
    </row>
    <row r="3464" ht="15.75" spans="6:9">
      <c r="F3464" s="12" t="s">
        <v>7236</v>
      </c>
      <c r="G3464" s="12" t="s">
        <v>392</v>
      </c>
      <c r="H3464" s="15">
        <v>47200</v>
      </c>
      <c r="I3464" s="13">
        <v>43</v>
      </c>
    </row>
    <row r="3465" ht="15.75" spans="6:9">
      <c r="F3465" s="12" t="s">
        <v>4423</v>
      </c>
      <c r="G3465" s="12" t="s">
        <v>392</v>
      </c>
      <c r="H3465" s="15">
        <v>320500</v>
      </c>
      <c r="I3465" s="13">
        <v>43</v>
      </c>
    </row>
    <row r="3466" ht="15.75" spans="6:9">
      <c r="F3466" s="12" t="s">
        <v>7237</v>
      </c>
      <c r="G3466" s="12" t="s">
        <v>392</v>
      </c>
      <c r="H3466" s="15">
        <v>38200</v>
      </c>
      <c r="I3466" s="13">
        <v>43</v>
      </c>
    </row>
    <row r="3467" ht="15.75" spans="6:9">
      <c r="F3467" s="12" t="s">
        <v>3897</v>
      </c>
      <c r="G3467" s="12" t="s">
        <v>392</v>
      </c>
      <c r="H3467" s="15">
        <v>106000</v>
      </c>
      <c r="I3467" s="13">
        <v>43</v>
      </c>
    </row>
    <row r="3468" ht="15.75" spans="6:9">
      <c r="F3468" s="12" t="s">
        <v>5410</v>
      </c>
      <c r="G3468" s="12" t="s">
        <v>391</v>
      </c>
      <c r="H3468" s="15">
        <v>20557</v>
      </c>
      <c r="I3468" s="13">
        <v>43</v>
      </c>
    </row>
    <row r="3469" ht="15.75" spans="6:9">
      <c r="F3469" s="12" t="s">
        <v>7238</v>
      </c>
      <c r="G3469" s="12" t="s">
        <v>392</v>
      </c>
      <c r="H3469" s="15">
        <v>47900</v>
      </c>
      <c r="I3469" s="13">
        <v>43</v>
      </c>
    </row>
    <row r="3470" ht="15.75" spans="6:9">
      <c r="F3470" s="12" t="s">
        <v>3899</v>
      </c>
      <c r="G3470" s="12" t="s">
        <v>392</v>
      </c>
      <c r="H3470" s="15">
        <v>331900</v>
      </c>
      <c r="I3470" s="13">
        <v>43</v>
      </c>
    </row>
    <row r="3471" ht="15.75" spans="6:9">
      <c r="F3471" s="12" t="s">
        <v>7239</v>
      </c>
      <c r="G3471" s="12" t="s">
        <v>392</v>
      </c>
      <c r="H3471" s="15">
        <v>95800</v>
      </c>
      <c r="I3471" s="13">
        <v>43</v>
      </c>
    </row>
    <row r="3472" ht="15.75" spans="6:9">
      <c r="F3472" s="12" t="s">
        <v>5412</v>
      </c>
      <c r="G3472" s="12" t="s">
        <v>391</v>
      </c>
      <c r="H3472" s="15">
        <v>22174</v>
      </c>
      <c r="I3472" s="13">
        <v>43</v>
      </c>
    </row>
    <row r="3473" ht="15.75" spans="6:9">
      <c r="F3473" s="12" t="s">
        <v>7240</v>
      </c>
      <c r="G3473" s="12" t="s">
        <v>392</v>
      </c>
      <c r="H3473" s="15">
        <v>45400</v>
      </c>
      <c r="I3473" s="13">
        <v>43</v>
      </c>
    </row>
    <row r="3474" ht="15.75" spans="6:9">
      <c r="F3474" s="12" t="s">
        <v>3901</v>
      </c>
      <c r="G3474" s="12" t="s">
        <v>391</v>
      </c>
      <c r="H3474" s="15">
        <v>191664</v>
      </c>
      <c r="I3474" s="13">
        <v>43</v>
      </c>
    </row>
    <row r="3475" ht="15.75" spans="6:9">
      <c r="F3475" s="12" t="s">
        <v>7241</v>
      </c>
      <c r="G3475" s="12" t="s">
        <v>391</v>
      </c>
      <c r="H3475" s="15">
        <v>12446</v>
      </c>
      <c r="I3475" s="13">
        <v>43</v>
      </c>
    </row>
    <row r="3476" ht="15.75" spans="6:9">
      <c r="F3476" s="12" t="s">
        <v>5414</v>
      </c>
      <c r="G3476" s="12" t="s">
        <v>391</v>
      </c>
      <c r="H3476" s="15">
        <v>57592</v>
      </c>
      <c r="I3476" s="13">
        <v>43</v>
      </c>
    </row>
    <row r="3477" ht="15.75" spans="6:9">
      <c r="F3477" s="12" t="s">
        <v>7242</v>
      </c>
      <c r="G3477" s="12" t="s">
        <v>391</v>
      </c>
      <c r="H3477" s="15">
        <v>19512</v>
      </c>
      <c r="I3477" s="13">
        <v>43</v>
      </c>
    </row>
    <row r="3478" ht="15.75" spans="6:9">
      <c r="F3478" s="12" t="s">
        <v>3904</v>
      </c>
      <c r="G3478" s="12" t="s">
        <v>392</v>
      </c>
      <c r="H3478" s="15">
        <v>107500</v>
      </c>
      <c r="I3478" s="13">
        <v>43</v>
      </c>
    </row>
    <row r="3479" ht="15.75" spans="6:9">
      <c r="F3479" s="12" t="s">
        <v>3906</v>
      </c>
      <c r="G3479" s="12" t="s">
        <v>392</v>
      </c>
      <c r="H3479" s="15">
        <v>150100</v>
      </c>
      <c r="I3479" s="13">
        <v>43</v>
      </c>
    </row>
    <row r="3480" ht="15.75" spans="6:9">
      <c r="F3480" s="12" t="s">
        <v>3910</v>
      </c>
      <c r="G3480" s="12" t="s">
        <v>392</v>
      </c>
      <c r="H3480" s="15">
        <v>401600</v>
      </c>
      <c r="I3480" s="13">
        <v>43</v>
      </c>
    </row>
    <row r="3481" ht="15.75" spans="6:9">
      <c r="F3481" s="12" t="s">
        <v>7243</v>
      </c>
      <c r="G3481" s="12" t="s">
        <v>392</v>
      </c>
      <c r="H3481" s="15">
        <v>30100</v>
      </c>
      <c r="I3481" s="13">
        <v>43</v>
      </c>
    </row>
    <row r="3482" ht="15.75" spans="6:9">
      <c r="F3482" s="12" t="s">
        <v>7244</v>
      </c>
      <c r="G3482" s="12" t="s">
        <v>392</v>
      </c>
      <c r="H3482" s="15">
        <v>53800</v>
      </c>
      <c r="I3482" s="13">
        <v>43</v>
      </c>
    </row>
    <row r="3483" ht="15.75" spans="6:9">
      <c r="F3483" s="12" t="s">
        <v>4298</v>
      </c>
      <c r="G3483" s="12" t="s">
        <v>391</v>
      </c>
      <c r="H3483" s="15">
        <v>239826</v>
      </c>
      <c r="I3483" s="13">
        <v>43</v>
      </c>
    </row>
    <row r="3484" ht="15.75" spans="6:9">
      <c r="F3484" s="12" t="s">
        <v>7245</v>
      </c>
      <c r="G3484" s="12" t="s">
        <v>392</v>
      </c>
      <c r="H3484" s="15">
        <v>20300</v>
      </c>
      <c r="I3484" s="13">
        <v>43</v>
      </c>
    </row>
    <row r="3485" ht="15.75" spans="6:9">
      <c r="F3485" s="12" t="s">
        <v>7246</v>
      </c>
      <c r="G3485" s="12" t="s">
        <v>391</v>
      </c>
      <c r="H3485" s="15">
        <v>21930</v>
      </c>
      <c r="I3485" s="13">
        <v>43</v>
      </c>
    </row>
    <row r="3486" ht="15.75" spans="6:9">
      <c r="F3486" s="12" t="s">
        <v>7247</v>
      </c>
      <c r="G3486" s="12" t="s">
        <v>391</v>
      </c>
      <c r="H3486" s="15">
        <v>18893</v>
      </c>
      <c r="I3486" s="13">
        <v>43</v>
      </c>
    </row>
    <row r="3487" ht="15.75" spans="6:9">
      <c r="F3487" s="12" t="s">
        <v>7248</v>
      </c>
      <c r="G3487" s="12" t="s">
        <v>392</v>
      </c>
      <c r="H3487" s="15">
        <v>86200</v>
      </c>
      <c r="I3487" s="13">
        <v>43</v>
      </c>
    </row>
    <row r="3488" ht="15.75" spans="6:9">
      <c r="F3488" s="12" t="s">
        <v>4429</v>
      </c>
      <c r="G3488" s="12" t="s">
        <v>392</v>
      </c>
      <c r="H3488" s="15">
        <v>248100</v>
      </c>
      <c r="I3488" s="13">
        <v>43</v>
      </c>
    </row>
    <row r="3489" ht="15.75" spans="6:9">
      <c r="F3489" s="12" t="s">
        <v>7249</v>
      </c>
      <c r="G3489" s="12" t="s">
        <v>391</v>
      </c>
      <c r="H3489" s="15">
        <v>10190</v>
      </c>
      <c r="I3489" s="13">
        <v>43</v>
      </c>
    </row>
    <row r="3490" ht="15.75" spans="6:9">
      <c r="F3490" s="12" t="s">
        <v>5416</v>
      </c>
      <c r="G3490" s="12" t="s">
        <v>391</v>
      </c>
      <c r="H3490" s="15">
        <v>37032</v>
      </c>
      <c r="I3490" s="13">
        <v>43</v>
      </c>
    </row>
    <row r="3491" ht="15.75" spans="6:9">
      <c r="F3491" s="12" t="s">
        <v>5418</v>
      </c>
      <c r="G3491" s="12" t="s">
        <v>391</v>
      </c>
      <c r="H3491" s="15">
        <v>17765</v>
      </c>
      <c r="I3491" s="13">
        <v>43</v>
      </c>
    </row>
    <row r="3492" ht="15.75" spans="6:9">
      <c r="F3492" s="12" t="s">
        <v>7250</v>
      </c>
      <c r="G3492" s="12" t="s">
        <v>391</v>
      </c>
      <c r="H3492" s="15">
        <v>16504</v>
      </c>
      <c r="I3492" s="13">
        <v>43</v>
      </c>
    </row>
    <row r="3493" ht="15.75" spans="6:9">
      <c r="F3493" s="12" t="s">
        <v>5419</v>
      </c>
      <c r="G3493" s="12" t="s">
        <v>391</v>
      </c>
      <c r="H3493" s="15">
        <v>43795</v>
      </c>
      <c r="I3493" s="13">
        <v>43</v>
      </c>
    </row>
    <row r="3494" ht="15.75" spans="6:9">
      <c r="F3494" s="12" t="s">
        <v>4432</v>
      </c>
      <c r="G3494" s="12" t="s">
        <v>392</v>
      </c>
      <c r="H3494" s="15">
        <v>295000</v>
      </c>
      <c r="I3494" s="13">
        <v>43</v>
      </c>
    </row>
    <row r="3495" ht="15.75" spans="6:9">
      <c r="F3495" s="12" t="s">
        <v>4435</v>
      </c>
      <c r="G3495" s="12" t="s">
        <v>392</v>
      </c>
      <c r="H3495" s="15">
        <v>208500</v>
      </c>
      <c r="I3495" s="13">
        <v>43</v>
      </c>
    </row>
    <row r="3496" ht="15.75" spans="6:9">
      <c r="F3496" s="12" t="s">
        <v>7251</v>
      </c>
      <c r="G3496" s="12" t="s">
        <v>392</v>
      </c>
      <c r="H3496" s="15">
        <v>10600</v>
      </c>
      <c r="I3496" s="13">
        <v>43</v>
      </c>
    </row>
    <row r="3497" ht="15.75" spans="6:9">
      <c r="F3497" s="12" t="s">
        <v>7252</v>
      </c>
      <c r="G3497" s="12" t="s">
        <v>391</v>
      </c>
      <c r="H3497" s="15">
        <v>10737</v>
      </c>
      <c r="I3497" s="13">
        <v>43</v>
      </c>
    </row>
    <row r="3498" ht="15.75" spans="6:9">
      <c r="F3498" s="12" t="s">
        <v>7253</v>
      </c>
      <c r="G3498" s="12" t="s">
        <v>392</v>
      </c>
      <c r="H3498" s="15">
        <v>75700</v>
      </c>
      <c r="I3498" s="13">
        <v>43</v>
      </c>
    </row>
    <row r="3499" ht="15.75" spans="6:9">
      <c r="F3499" s="12" t="s">
        <v>3913</v>
      </c>
      <c r="G3499" s="12" t="s">
        <v>391</v>
      </c>
      <c r="H3499" s="15">
        <v>178537</v>
      </c>
      <c r="I3499" s="13">
        <v>43</v>
      </c>
    </row>
    <row r="3500" ht="15.75" spans="6:9">
      <c r="F3500" s="12" t="s">
        <v>3916</v>
      </c>
      <c r="G3500" s="12" t="s">
        <v>392</v>
      </c>
      <c r="H3500" s="15">
        <v>241600</v>
      </c>
      <c r="I3500" s="13">
        <v>43</v>
      </c>
    </row>
    <row r="3501" ht="15.75" spans="6:9">
      <c r="F3501" s="12" t="s">
        <v>7254</v>
      </c>
      <c r="G3501" s="12" t="s">
        <v>392</v>
      </c>
      <c r="H3501" s="15">
        <v>11700</v>
      </c>
      <c r="I3501" s="13">
        <v>43</v>
      </c>
    </row>
    <row r="3502" ht="15.75" spans="6:9">
      <c r="F3502" s="12" t="s">
        <v>7255</v>
      </c>
      <c r="G3502" s="12" t="s">
        <v>391</v>
      </c>
      <c r="H3502" s="15">
        <v>11025</v>
      </c>
      <c r="I3502" s="13">
        <v>43</v>
      </c>
    </row>
    <row r="3503" ht="15.75" spans="6:9">
      <c r="F3503" s="12" t="s">
        <v>2425</v>
      </c>
      <c r="G3503" s="12" t="s">
        <v>391</v>
      </c>
      <c r="H3503" s="15">
        <v>14916540</v>
      </c>
      <c r="I3503" s="13">
        <v>43</v>
      </c>
    </row>
    <row r="3504" ht="15.75" spans="6:9">
      <c r="F3504" s="12" t="s">
        <v>3919</v>
      </c>
      <c r="G3504" s="12" t="s">
        <v>392</v>
      </c>
      <c r="H3504" s="15">
        <v>312400</v>
      </c>
      <c r="I3504" s="13">
        <v>43</v>
      </c>
    </row>
    <row r="3505" ht="15.75" spans="6:9">
      <c r="F3505" s="12" t="s">
        <v>7256</v>
      </c>
      <c r="G3505" s="12" t="s">
        <v>391</v>
      </c>
      <c r="H3505" s="15">
        <v>76512</v>
      </c>
      <c r="I3505" s="13">
        <v>43</v>
      </c>
    </row>
    <row r="3506" ht="15.75" spans="6:9">
      <c r="F3506" s="12" t="s">
        <v>5421</v>
      </c>
      <c r="G3506" s="12" t="s">
        <v>391</v>
      </c>
      <c r="H3506" s="15">
        <v>11709</v>
      </c>
      <c r="I3506" s="13">
        <v>43</v>
      </c>
    </row>
    <row r="3507" ht="15.75" spans="6:9">
      <c r="F3507" s="12" t="s">
        <v>3922</v>
      </c>
      <c r="G3507" s="12" t="s">
        <v>392</v>
      </c>
      <c r="H3507" s="15">
        <v>195400</v>
      </c>
      <c r="I3507" s="13">
        <v>43</v>
      </c>
    </row>
    <row r="3508" ht="15.75" spans="6:9">
      <c r="F3508" s="12" t="s">
        <v>7257</v>
      </c>
      <c r="G3508" s="12" t="s">
        <v>392</v>
      </c>
      <c r="H3508" s="15">
        <v>19900</v>
      </c>
      <c r="I3508" s="13">
        <v>43</v>
      </c>
    </row>
    <row r="3509" ht="15.75" spans="6:9">
      <c r="F3509" s="12" t="s">
        <v>7258</v>
      </c>
      <c r="G3509" s="12" t="s">
        <v>392</v>
      </c>
      <c r="H3509" s="15">
        <v>17700</v>
      </c>
      <c r="I3509" s="13">
        <v>43</v>
      </c>
    </row>
    <row r="3510" ht="15.75" spans="6:9">
      <c r="F3510" s="12" t="s">
        <v>7259</v>
      </c>
      <c r="G3510" s="12" t="s">
        <v>392</v>
      </c>
      <c r="H3510" s="15">
        <v>39900</v>
      </c>
      <c r="I3510" s="13">
        <v>43</v>
      </c>
    </row>
    <row r="3511" ht="15.75" spans="6:9">
      <c r="F3511" s="12" t="s">
        <v>7260</v>
      </c>
      <c r="G3511" s="12" t="s">
        <v>391</v>
      </c>
      <c r="H3511" s="15">
        <v>16056</v>
      </c>
      <c r="I3511" s="13">
        <v>43</v>
      </c>
    </row>
    <row r="3512" ht="15.75" spans="6:9">
      <c r="F3512" s="12" t="s">
        <v>7261</v>
      </c>
      <c r="G3512" s="12" t="s">
        <v>392</v>
      </c>
      <c r="H3512" s="15">
        <v>12800</v>
      </c>
      <c r="I3512" s="13">
        <v>43</v>
      </c>
    </row>
    <row r="3513" ht="15.75" spans="6:9">
      <c r="F3513" s="12" t="s">
        <v>7262</v>
      </c>
      <c r="G3513" s="12" t="s">
        <v>392</v>
      </c>
      <c r="H3513" s="15">
        <v>38100</v>
      </c>
      <c r="I3513" s="13">
        <v>43</v>
      </c>
    </row>
    <row r="3514" ht="15.75" spans="6:9">
      <c r="F3514" s="12" t="s">
        <v>7263</v>
      </c>
      <c r="G3514" s="12" t="s">
        <v>391</v>
      </c>
      <c r="H3514" s="15">
        <v>11681</v>
      </c>
      <c r="I3514" s="13">
        <v>43</v>
      </c>
    </row>
    <row r="3515" ht="15.75" spans="6:9">
      <c r="F3515" s="12" t="s">
        <v>7264</v>
      </c>
      <c r="G3515" s="12" t="s">
        <v>392</v>
      </c>
      <c r="H3515" s="15">
        <v>11600</v>
      </c>
      <c r="I3515" s="13">
        <v>43</v>
      </c>
    </row>
    <row r="3516" ht="15.75" spans="6:9">
      <c r="F3516" s="12" t="s">
        <v>7265</v>
      </c>
      <c r="G3516" s="12" t="s">
        <v>391</v>
      </c>
      <c r="H3516" s="15">
        <v>20039</v>
      </c>
      <c r="I3516" s="13">
        <v>43</v>
      </c>
    </row>
    <row r="3517" ht="15.75" spans="6:9">
      <c r="F3517" s="12" t="s">
        <v>4441</v>
      </c>
      <c r="G3517" s="12" t="s">
        <v>391</v>
      </c>
      <c r="H3517" s="15">
        <v>118979</v>
      </c>
      <c r="I3517" s="13">
        <v>43</v>
      </c>
    </row>
    <row r="3518" ht="15.75" spans="6:9">
      <c r="F3518" s="12" t="s">
        <v>7266</v>
      </c>
      <c r="G3518" s="12" t="s">
        <v>391</v>
      </c>
      <c r="H3518" s="15">
        <v>16472</v>
      </c>
      <c r="I3518" s="13">
        <v>43</v>
      </c>
    </row>
    <row r="3519" ht="15.75" spans="6:9">
      <c r="F3519" s="12" t="s">
        <v>7267</v>
      </c>
      <c r="G3519" s="12" t="s">
        <v>391</v>
      </c>
      <c r="H3519" s="15">
        <v>54224</v>
      </c>
      <c r="I3519" s="13">
        <v>43</v>
      </c>
    </row>
    <row r="3520" ht="15.75" spans="6:9">
      <c r="F3520" s="12" t="s">
        <v>4444</v>
      </c>
      <c r="G3520" s="12" t="s">
        <v>391</v>
      </c>
      <c r="H3520" s="15">
        <v>105340</v>
      </c>
      <c r="I3520" s="13">
        <v>43</v>
      </c>
    </row>
    <row r="3521" ht="15.75" spans="6:9">
      <c r="F3521" s="12" t="s">
        <v>5429</v>
      </c>
      <c r="G3521" s="12" t="s">
        <v>391</v>
      </c>
      <c r="H3521" s="15">
        <v>33164</v>
      </c>
      <c r="I3521" s="13">
        <v>43</v>
      </c>
    </row>
    <row r="3522" ht="15.75" spans="6:9">
      <c r="F3522" s="12" t="s">
        <v>7268</v>
      </c>
      <c r="G3522" s="12" t="s">
        <v>392</v>
      </c>
      <c r="H3522" s="15">
        <v>41900</v>
      </c>
      <c r="I3522" s="13">
        <v>43</v>
      </c>
    </row>
    <row r="3523" ht="15.75" spans="6:9">
      <c r="F3523" s="12" t="s">
        <v>7269</v>
      </c>
      <c r="G3523" s="12" t="s">
        <v>392</v>
      </c>
      <c r="H3523" s="15">
        <v>31700</v>
      </c>
      <c r="I3523" s="13">
        <v>43</v>
      </c>
    </row>
    <row r="3524" ht="15.75" spans="6:9">
      <c r="F3524" s="12" t="s">
        <v>7270</v>
      </c>
      <c r="G3524" s="12" t="s">
        <v>392</v>
      </c>
      <c r="H3524" s="15">
        <v>31500</v>
      </c>
      <c r="I3524" s="13">
        <v>43</v>
      </c>
    </row>
    <row r="3525" ht="15.75" spans="6:9">
      <c r="F3525" s="12" t="s">
        <v>7271</v>
      </c>
      <c r="G3525" s="12" t="s">
        <v>392</v>
      </c>
      <c r="H3525" s="15">
        <v>34100</v>
      </c>
      <c r="I3525" s="13">
        <v>43</v>
      </c>
    </row>
    <row r="3526" ht="15.75" spans="6:9">
      <c r="F3526" s="12" t="s">
        <v>3924</v>
      </c>
      <c r="G3526" s="12" t="s">
        <v>391</v>
      </c>
      <c r="H3526" s="15">
        <v>244860</v>
      </c>
      <c r="I3526" s="13">
        <v>43</v>
      </c>
    </row>
    <row r="3527" ht="15.75" spans="6:9">
      <c r="F3527" s="12" t="s">
        <v>3926</v>
      </c>
      <c r="G3527" s="12" t="s">
        <v>391</v>
      </c>
      <c r="H3527" s="15">
        <v>110311</v>
      </c>
      <c r="I3527" s="13">
        <v>43</v>
      </c>
    </row>
    <row r="3528" ht="15.75" spans="6:9">
      <c r="F3528" s="12" t="s">
        <v>7272</v>
      </c>
      <c r="G3528" s="12" t="s">
        <v>391</v>
      </c>
      <c r="H3528" s="15">
        <v>21033</v>
      </c>
      <c r="I3528" s="13">
        <v>43</v>
      </c>
    </row>
    <row r="3529" ht="15.75" spans="6:9">
      <c r="F3529" s="12" t="s">
        <v>7273</v>
      </c>
      <c r="G3529" s="12" t="s">
        <v>392</v>
      </c>
      <c r="H3529" s="15">
        <v>16700</v>
      </c>
      <c r="I3529" s="13">
        <v>43</v>
      </c>
    </row>
    <row r="3530" ht="15.75" spans="6:9">
      <c r="F3530" s="12" t="s">
        <v>7274</v>
      </c>
      <c r="G3530" s="12" t="s">
        <v>392</v>
      </c>
      <c r="H3530" s="15">
        <v>48600</v>
      </c>
      <c r="I3530" s="13">
        <v>43</v>
      </c>
    </row>
    <row r="3531" ht="15.75" spans="6:9">
      <c r="F3531" s="12" t="s">
        <v>7275</v>
      </c>
      <c r="G3531" s="12" t="s">
        <v>391</v>
      </c>
      <c r="H3531" s="15">
        <v>34325</v>
      </c>
      <c r="I3531" s="13">
        <v>43</v>
      </c>
    </row>
    <row r="3532" ht="15.75" spans="6:9">
      <c r="F3532" s="12" t="s">
        <v>7276</v>
      </c>
      <c r="G3532" s="12" t="s">
        <v>391</v>
      </c>
      <c r="H3532" s="15">
        <v>24952</v>
      </c>
      <c r="I3532" s="13">
        <v>43</v>
      </c>
    </row>
    <row r="3533" ht="15.75" spans="6:9">
      <c r="F3533" s="12" t="s">
        <v>7277</v>
      </c>
      <c r="G3533" s="12" t="s">
        <v>392</v>
      </c>
      <c r="H3533" s="15">
        <v>45900</v>
      </c>
      <c r="I3533" s="13">
        <v>43</v>
      </c>
    </row>
    <row r="3534" ht="15.75" spans="6:9">
      <c r="F3534" s="12" t="s">
        <v>7278</v>
      </c>
      <c r="G3534" s="12" t="s">
        <v>392</v>
      </c>
      <c r="H3534" s="15">
        <v>10100</v>
      </c>
      <c r="I3534" s="13">
        <v>43</v>
      </c>
    </row>
    <row r="3535" ht="15.75" spans="6:9">
      <c r="F3535" s="12" t="s">
        <v>4446</v>
      </c>
      <c r="G3535" s="12" t="s">
        <v>392</v>
      </c>
      <c r="H3535" s="15">
        <v>705400</v>
      </c>
      <c r="I3535" s="13">
        <v>43</v>
      </c>
    </row>
    <row r="3536" ht="15.75" spans="6:9">
      <c r="F3536" s="12" t="s">
        <v>7279</v>
      </c>
      <c r="G3536" s="12" t="s">
        <v>392</v>
      </c>
      <c r="H3536" s="15">
        <v>10800</v>
      </c>
      <c r="I3536" s="13">
        <v>43</v>
      </c>
    </row>
    <row r="3537" ht="15.75" spans="6:9">
      <c r="F3537" s="12" t="s">
        <v>7280</v>
      </c>
      <c r="G3537" s="12" t="s">
        <v>391</v>
      </c>
      <c r="H3537" s="15">
        <v>14995</v>
      </c>
      <c r="I3537" s="13">
        <v>43</v>
      </c>
    </row>
    <row r="3538" ht="15.75" spans="6:9">
      <c r="F3538" s="12" t="s">
        <v>7281</v>
      </c>
      <c r="G3538" s="12" t="s">
        <v>391</v>
      </c>
      <c r="H3538" s="15">
        <v>10640</v>
      </c>
      <c r="I3538" s="13">
        <v>43</v>
      </c>
    </row>
    <row r="3539" ht="15.75" spans="6:9">
      <c r="F3539" s="12" t="s">
        <v>4850</v>
      </c>
      <c r="G3539" s="12" t="s">
        <v>391</v>
      </c>
      <c r="H3539" s="15">
        <v>219189</v>
      </c>
      <c r="I3539" s="13">
        <v>43</v>
      </c>
    </row>
    <row r="3540" ht="15.75" spans="6:9">
      <c r="F3540" s="12" t="s">
        <v>7282</v>
      </c>
      <c r="G3540" s="12" t="s">
        <v>391</v>
      </c>
      <c r="H3540" s="15">
        <v>34532</v>
      </c>
      <c r="I3540" s="13">
        <v>43</v>
      </c>
    </row>
    <row r="3541" ht="15.75" spans="6:9">
      <c r="F3541" s="12" t="s">
        <v>7283</v>
      </c>
      <c r="G3541" s="12" t="s">
        <v>392</v>
      </c>
      <c r="H3541" s="15">
        <v>23100</v>
      </c>
      <c r="I3541" s="13">
        <v>43</v>
      </c>
    </row>
    <row r="3542" ht="15.75" spans="6:9">
      <c r="F3542" s="12" t="s">
        <v>5431</v>
      </c>
      <c r="G3542" s="12" t="s">
        <v>391</v>
      </c>
      <c r="H3542" s="15">
        <v>29462</v>
      </c>
      <c r="I3542" s="13">
        <v>43</v>
      </c>
    </row>
    <row r="3543" ht="15.75" spans="6:9">
      <c r="F3543" s="12" t="s">
        <v>5433</v>
      </c>
      <c r="G3543" s="12" t="s">
        <v>391</v>
      </c>
      <c r="H3543" s="15">
        <v>15515</v>
      </c>
      <c r="I3543" s="13">
        <v>43</v>
      </c>
    </row>
    <row r="3544" ht="15.75" spans="6:9">
      <c r="F3544" s="12" t="s">
        <v>5435</v>
      </c>
      <c r="G3544" s="12" t="s">
        <v>391</v>
      </c>
      <c r="H3544" s="15">
        <v>12138</v>
      </c>
      <c r="I3544" s="13">
        <v>43</v>
      </c>
    </row>
    <row r="3545" ht="15.75" spans="6:9">
      <c r="F3545" s="12" t="s">
        <v>3932</v>
      </c>
      <c r="G3545" s="12" t="s">
        <v>392</v>
      </c>
      <c r="H3545" s="15">
        <v>241900</v>
      </c>
      <c r="I3545" s="13">
        <v>43</v>
      </c>
    </row>
    <row r="3546" ht="15.75" spans="6:9">
      <c r="F3546" s="12" t="s">
        <v>5437</v>
      </c>
      <c r="G3546" s="12" t="s">
        <v>391</v>
      </c>
      <c r="H3546" s="15">
        <v>54704</v>
      </c>
      <c r="I3546" s="13">
        <v>43</v>
      </c>
    </row>
    <row r="3547" ht="15.75" spans="6:9">
      <c r="F3547" s="12" t="s">
        <v>7284</v>
      </c>
      <c r="G3547" s="12" t="s">
        <v>392</v>
      </c>
      <c r="H3547" s="15">
        <v>20600</v>
      </c>
      <c r="I3547" s="13">
        <v>43</v>
      </c>
    </row>
    <row r="3548" ht="15.75" spans="6:9">
      <c r="F3548" s="12" t="s">
        <v>5438</v>
      </c>
      <c r="G3548" s="12" t="s">
        <v>391</v>
      </c>
      <c r="H3548" s="15">
        <v>19160</v>
      </c>
      <c r="I3548" s="13">
        <v>43</v>
      </c>
    </row>
    <row r="3549" ht="15.75" spans="6:9">
      <c r="F3549" s="12" t="s">
        <v>5440</v>
      </c>
      <c r="G3549" s="12" t="s">
        <v>391</v>
      </c>
      <c r="H3549" s="15">
        <v>25379</v>
      </c>
      <c r="I3549" s="13">
        <v>43</v>
      </c>
    </row>
    <row r="3550" ht="15.75" spans="6:9">
      <c r="F3550" s="12" t="s">
        <v>7285</v>
      </c>
      <c r="G3550" s="12" t="s">
        <v>391</v>
      </c>
      <c r="H3550" s="15">
        <v>15370</v>
      </c>
      <c r="I3550" s="13">
        <v>43</v>
      </c>
    </row>
    <row r="3551" ht="15.75" spans="6:9">
      <c r="F3551" s="12" t="s">
        <v>7286</v>
      </c>
      <c r="G3551" s="12" t="s">
        <v>392</v>
      </c>
      <c r="H3551" s="15">
        <v>14000</v>
      </c>
      <c r="I3551" s="13">
        <v>43</v>
      </c>
    </row>
    <row r="3552" ht="15.75" spans="6:9">
      <c r="F3552" s="12" t="s">
        <v>7287</v>
      </c>
      <c r="G3552" s="12" t="s">
        <v>392</v>
      </c>
      <c r="H3552" s="15">
        <v>41900</v>
      </c>
      <c r="I3552" s="13">
        <v>43</v>
      </c>
    </row>
    <row r="3553" ht="15.75" spans="6:9">
      <c r="F3553" s="12" t="s">
        <v>7288</v>
      </c>
      <c r="G3553" s="12" t="s">
        <v>392</v>
      </c>
      <c r="H3553" s="15">
        <v>10000</v>
      </c>
      <c r="I3553" s="13">
        <v>43</v>
      </c>
    </row>
    <row r="3554" ht="15.75" spans="6:9">
      <c r="F3554" s="12" t="s">
        <v>7289</v>
      </c>
      <c r="G3554" s="12" t="s">
        <v>391</v>
      </c>
      <c r="H3554" s="15">
        <v>15131</v>
      </c>
      <c r="I3554" s="13">
        <v>43</v>
      </c>
    </row>
    <row r="3555" ht="15.75" spans="6:9">
      <c r="F3555" s="12" t="s">
        <v>7290</v>
      </c>
      <c r="G3555" s="12" t="s">
        <v>391</v>
      </c>
      <c r="H3555" s="15">
        <v>12192</v>
      </c>
      <c r="I3555" s="13">
        <v>43</v>
      </c>
    </row>
    <row r="3556" ht="15.75" spans="6:9">
      <c r="F3556" s="12" t="s">
        <v>7291</v>
      </c>
      <c r="G3556" s="12" t="s">
        <v>391</v>
      </c>
      <c r="H3556" s="15">
        <v>53801</v>
      </c>
      <c r="I3556" s="13">
        <v>43</v>
      </c>
    </row>
    <row r="3557" ht="15.75" spans="6:9">
      <c r="F3557" s="12" t="s">
        <v>7292</v>
      </c>
      <c r="G3557" s="12" t="s">
        <v>392</v>
      </c>
      <c r="H3557" s="15">
        <v>62800</v>
      </c>
      <c r="I3557" s="13">
        <v>43</v>
      </c>
    </row>
    <row r="3558" ht="15.75" spans="6:9">
      <c r="F3558" s="12" t="s">
        <v>4449</v>
      </c>
      <c r="G3558" s="12" t="s">
        <v>391</v>
      </c>
      <c r="H3558" s="15">
        <v>100458</v>
      </c>
      <c r="I3558" s="13">
        <v>43</v>
      </c>
    </row>
    <row r="3559" ht="15.75" spans="6:9">
      <c r="F3559" s="12" t="s">
        <v>4842</v>
      </c>
      <c r="G3559" s="12" t="s">
        <v>391</v>
      </c>
      <c r="H3559" s="15">
        <v>208798</v>
      </c>
      <c r="I3559" s="13">
        <v>43</v>
      </c>
    </row>
    <row r="3560" ht="15.75" spans="6:9">
      <c r="F3560" s="12" t="s">
        <v>7293</v>
      </c>
      <c r="G3560" s="12" t="s">
        <v>391</v>
      </c>
      <c r="H3560" s="15">
        <v>25110</v>
      </c>
      <c r="I3560" s="13">
        <v>43</v>
      </c>
    </row>
    <row r="3561" ht="15.75" spans="6:9">
      <c r="F3561" s="12" t="s">
        <v>7294</v>
      </c>
      <c r="G3561" s="12" t="s">
        <v>391</v>
      </c>
      <c r="H3561" s="15">
        <v>91417</v>
      </c>
      <c r="I3561" s="13">
        <v>43</v>
      </c>
    </row>
    <row r="3562" ht="15.75" spans="6:9">
      <c r="F3562" s="12" t="s">
        <v>7295</v>
      </c>
      <c r="G3562" s="12" t="s">
        <v>391</v>
      </c>
      <c r="H3562" s="15">
        <v>12924</v>
      </c>
      <c r="I3562" s="13">
        <v>43</v>
      </c>
    </row>
    <row r="3563" ht="15.75" spans="6:9">
      <c r="F3563" s="12" t="s">
        <v>7296</v>
      </c>
      <c r="G3563" s="12" t="s">
        <v>392</v>
      </c>
      <c r="H3563" s="15">
        <v>15900</v>
      </c>
      <c r="I3563" s="13">
        <v>43</v>
      </c>
    </row>
    <row r="3564" ht="15.75" spans="6:9">
      <c r="F3564" s="12" t="s">
        <v>7297</v>
      </c>
      <c r="G3564" s="12" t="s">
        <v>392</v>
      </c>
      <c r="H3564" s="15">
        <v>15600</v>
      </c>
      <c r="I3564" s="13">
        <v>43</v>
      </c>
    </row>
    <row r="3565" ht="15.75" spans="6:9">
      <c r="F3565" s="12" t="s">
        <v>7298</v>
      </c>
      <c r="G3565" s="12" t="s">
        <v>392</v>
      </c>
      <c r="H3565" s="15">
        <v>10900</v>
      </c>
      <c r="I3565" s="13">
        <v>43</v>
      </c>
    </row>
    <row r="3566" ht="15.75" spans="6:9">
      <c r="F3566" s="12" t="s">
        <v>7299</v>
      </c>
      <c r="G3566" s="12" t="s">
        <v>392</v>
      </c>
      <c r="H3566" s="15">
        <v>12300</v>
      </c>
      <c r="I3566" s="13">
        <v>43</v>
      </c>
    </row>
    <row r="3567" ht="15.75" spans="6:9">
      <c r="F3567" s="12" t="s">
        <v>3934</v>
      </c>
      <c r="G3567" s="12" t="s">
        <v>391</v>
      </c>
      <c r="H3567" s="15">
        <v>3495969</v>
      </c>
      <c r="I3567" s="13">
        <v>43</v>
      </c>
    </row>
    <row r="3568" ht="15.75" spans="6:9">
      <c r="F3568" s="12" t="s">
        <v>7300</v>
      </c>
      <c r="G3568" s="12" t="s">
        <v>392</v>
      </c>
      <c r="H3568" s="15">
        <v>11400</v>
      </c>
      <c r="I3568" s="13">
        <v>43</v>
      </c>
    </row>
    <row r="3569" ht="15.75" spans="6:9">
      <c r="F3569" s="12" t="s">
        <v>7301</v>
      </c>
      <c r="G3569" s="12" t="s">
        <v>391</v>
      </c>
      <c r="H3569" s="15">
        <v>77895</v>
      </c>
      <c r="I3569" s="13">
        <v>43</v>
      </c>
    </row>
    <row r="3570" ht="15.75" spans="6:9">
      <c r="F3570" s="12" t="s">
        <v>3937</v>
      </c>
      <c r="G3570" s="12" t="s">
        <v>391</v>
      </c>
      <c r="H3570" s="15">
        <v>102382</v>
      </c>
      <c r="I3570" s="13">
        <v>43</v>
      </c>
    </row>
    <row r="3571" ht="15.75" spans="6:9">
      <c r="F3571" s="12" t="s">
        <v>3939</v>
      </c>
      <c r="G3571" s="12" t="s">
        <v>392</v>
      </c>
      <c r="H3571" s="15">
        <v>160000</v>
      </c>
      <c r="I3571" s="13">
        <v>43</v>
      </c>
    </row>
    <row r="3572" ht="15.75" spans="6:9">
      <c r="F3572" s="12" t="s">
        <v>5443</v>
      </c>
      <c r="G3572" s="12" t="s">
        <v>391</v>
      </c>
      <c r="H3572" s="15">
        <v>12443</v>
      </c>
      <c r="I3572" s="13">
        <v>43</v>
      </c>
    </row>
    <row r="3573" ht="15.75" spans="6:9">
      <c r="F3573" s="12" t="s">
        <v>5445</v>
      </c>
      <c r="G3573" s="12" t="s">
        <v>391</v>
      </c>
      <c r="H3573" s="15">
        <v>87245</v>
      </c>
      <c r="I3573" s="13">
        <v>43</v>
      </c>
    </row>
    <row r="3574" ht="15.75" spans="6:9">
      <c r="F3574" s="12" t="s">
        <v>7302</v>
      </c>
      <c r="G3574" s="12" t="s">
        <v>391</v>
      </c>
      <c r="H3574" s="15">
        <v>21917</v>
      </c>
      <c r="I3574" s="13">
        <v>43</v>
      </c>
    </row>
    <row r="3575" ht="15.75" spans="6:9">
      <c r="F3575" s="12" t="s">
        <v>7303</v>
      </c>
      <c r="G3575" s="12" t="s">
        <v>392</v>
      </c>
      <c r="H3575" s="15">
        <v>10700</v>
      </c>
      <c r="I3575" s="13">
        <v>43</v>
      </c>
    </row>
    <row r="3576" ht="15.75" spans="6:9">
      <c r="F3576" s="12" t="s">
        <v>7304</v>
      </c>
      <c r="G3576" s="12" t="s">
        <v>391</v>
      </c>
      <c r="H3576" s="15">
        <v>23402</v>
      </c>
      <c r="I3576" s="13">
        <v>43</v>
      </c>
    </row>
    <row r="3577" ht="15.75" spans="6:9">
      <c r="F3577" s="12" t="s">
        <v>7305</v>
      </c>
      <c r="G3577" s="12" t="s">
        <v>392</v>
      </c>
      <c r="H3577" s="15">
        <v>19800</v>
      </c>
      <c r="I3577" s="13">
        <v>43</v>
      </c>
    </row>
    <row r="3578" ht="15.75" spans="6:9">
      <c r="F3578" s="12" t="s">
        <v>7306</v>
      </c>
      <c r="G3578" s="12" t="s">
        <v>391</v>
      </c>
      <c r="H3578" s="15">
        <v>10634</v>
      </c>
      <c r="I3578" s="13">
        <v>43</v>
      </c>
    </row>
    <row r="3579" ht="15.75" spans="6:9">
      <c r="F3579" s="12" t="s">
        <v>7307</v>
      </c>
      <c r="G3579" s="12" t="s">
        <v>392</v>
      </c>
      <c r="H3579" s="15">
        <v>60800</v>
      </c>
      <c r="I3579" s="13">
        <v>43</v>
      </c>
    </row>
    <row r="3580" ht="15.75" spans="6:9">
      <c r="F3580" s="12" t="s">
        <v>4454</v>
      </c>
      <c r="G3580" s="12" t="s">
        <v>392</v>
      </c>
      <c r="H3580" s="15">
        <v>297300</v>
      </c>
      <c r="I3580" s="13">
        <v>43</v>
      </c>
    </row>
    <row r="3581" ht="15.75" spans="6:9">
      <c r="F3581" s="12" t="s">
        <v>3940</v>
      </c>
      <c r="G3581" s="12" t="s">
        <v>391</v>
      </c>
      <c r="H3581" s="15">
        <v>971904</v>
      </c>
      <c r="I3581" s="13">
        <v>43</v>
      </c>
    </row>
    <row r="3582" ht="15.75" spans="6:9">
      <c r="F3582" s="12" t="s">
        <v>4457</v>
      </c>
      <c r="G3582" s="12" t="s">
        <v>392</v>
      </c>
      <c r="H3582" s="15">
        <v>197200</v>
      </c>
      <c r="I3582" s="13">
        <v>43</v>
      </c>
    </row>
    <row r="3583" ht="15.75" spans="6:9">
      <c r="F3583" s="12" t="s">
        <v>7308</v>
      </c>
      <c r="G3583" s="12" t="s">
        <v>391</v>
      </c>
      <c r="H3583" s="15">
        <v>29235</v>
      </c>
      <c r="I3583" s="13">
        <v>43</v>
      </c>
    </row>
    <row r="3584" ht="15.75" spans="6:9">
      <c r="F3584" s="12" t="s">
        <v>7309</v>
      </c>
      <c r="G3584" s="12" t="s">
        <v>392</v>
      </c>
      <c r="H3584" s="15">
        <v>16600</v>
      </c>
      <c r="I3584" s="13">
        <v>43</v>
      </c>
    </row>
    <row r="3585" ht="15.75" spans="6:9">
      <c r="F3585" s="12" t="s">
        <v>5447</v>
      </c>
      <c r="G3585" s="12" t="s">
        <v>391</v>
      </c>
      <c r="H3585" s="15">
        <v>32198</v>
      </c>
      <c r="I3585" s="13">
        <v>43</v>
      </c>
    </row>
    <row r="3586" ht="15.75" spans="6:9">
      <c r="F3586" s="12" t="s">
        <v>7310</v>
      </c>
      <c r="G3586" s="12" t="s">
        <v>391</v>
      </c>
      <c r="H3586" s="15">
        <v>14953</v>
      </c>
      <c r="I3586" s="13">
        <v>43</v>
      </c>
    </row>
    <row r="3587" ht="15.75" spans="6:9">
      <c r="F3587" s="12" t="s">
        <v>3943</v>
      </c>
      <c r="G3587" s="12" t="s">
        <v>392</v>
      </c>
      <c r="H3587" s="15">
        <v>303300</v>
      </c>
      <c r="I3587" s="13">
        <v>43</v>
      </c>
    </row>
    <row r="3588" ht="15.75" spans="6:9">
      <c r="F3588" s="12" t="s">
        <v>7311</v>
      </c>
      <c r="G3588" s="12" t="s">
        <v>391</v>
      </c>
      <c r="H3588" s="15">
        <v>14257</v>
      </c>
      <c r="I3588" s="13">
        <v>43</v>
      </c>
    </row>
    <row r="3589" ht="15.75" spans="6:9">
      <c r="F3589" s="12" t="s">
        <v>3945</v>
      </c>
      <c r="G3589" s="12" t="s">
        <v>392</v>
      </c>
      <c r="H3589" s="15">
        <v>492400</v>
      </c>
      <c r="I3589" s="13">
        <v>43</v>
      </c>
    </row>
    <row r="3590" ht="15.75" spans="6:9">
      <c r="F3590" s="12" t="s">
        <v>7312</v>
      </c>
      <c r="G3590" s="12" t="s">
        <v>392</v>
      </c>
      <c r="H3590" s="15">
        <v>17900</v>
      </c>
      <c r="I3590" s="13">
        <v>43</v>
      </c>
    </row>
    <row r="3591" ht="15.75" spans="6:9">
      <c r="F3591" s="12" t="s">
        <v>7313</v>
      </c>
      <c r="G3591" s="12" t="s">
        <v>392</v>
      </c>
      <c r="H3591" s="15">
        <v>12400</v>
      </c>
      <c r="I3591" s="13">
        <v>43</v>
      </c>
    </row>
    <row r="3592" ht="15.75" spans="6:9">
      <c r="F3592" s="12" t="s">
        <v>5449</v>
      </c>
      <c r="G3592" s="12" t="s">
        <v>391</v>
      </c>
      <c r="H3592" s="15">
        <v>30310</v>
      </c>
      <c r="I3592" s="13">
        <v>43</v>
      </c>
    </row>
    <row r="3593" ht="15.75" spans="6:9">
      <c r="F3593" s="12" t="s">
        <v>7314</v>
      </c>
      <c r="G3593" s="12" t="s">
        <v>392</v>
      </c>
      <c r="H3593" s="15">
        <v>10200</v>
      </c>
      <c r="I3593" s="13">
        <v>43</v>
      </c>
    </row>
    <row r="3594" ht="15.75" spans="6:9">
      <c r="F3594" s="12" t="s">
        <v>7315</v>
      </c>
      <c r="G3594" s="12" t="s">
        <v>391</v>
      </c>
      <c r="H3594" s="15">
        <v>25074</v>
      </c>
      <c r="I3594" s="13">
        <v>43</v>
      </c>
    </row>
    <row r="3595" ht="15.75" spans="6:9">
      <c r="F3595" s="12" t="s">
        <v>7316</v>
      </c>
      <c r="G3595" s="12" t="s">
        <v>392</v>
      </c>
      <c r="H3595" s="15">
        <v>31000</v>
      </c>
      <c r="I3595" s="13">
        <v>42</v>
      </c>
    </row>
    <row r="3596" ht="15.75" spans="6:9">
      <c r="F3596" s="12" t="s">
        <v>7317</v>
      </c>
      <c r="G3596" s="12" t="s">
        <v>391</v>
      </c>
      <c r="H3596" s="15">
        <v>22501</v>
      </c>
      <c r="I3596" s="13">
        <v>42</v>
      </c>
    </row>
    <row r="3597" ht="15.75" spans="6:9">
      <c r="F3597" s="12" t="s">
        <v>3947</v>
      </c>
      <c r="G3597" s="12" t="s">
        <v>391</v>
      </c>
      <c r="H3597" s="15">
        <v>1194675</v>
      </c>
      <c r="I3597" s="13">
        <v>42</v>
      </c>
    </row>
    <row r="3598" ht="15.75" spans="6:9">
      <c r="F3598" s="12" t="s">
        <v>7318</v>
      </c>
      <c r="G3598" s="12" t="s">
        <v>392</v>
      </c>
      <c r="H3598" s="15">
        <v>83900</v>
      </c>
      <c r="I3598" s="13">
        <v>42</v>
      </c>
    </row>
    <row r="3599" ht="15.75" spans="6:9">
      <c r="F3599" s="12" t="s">
        <v>4460</v>
      </c>
      <c r="G3599" s="12" t="s">
        <v>392</v>
      </c>
      <c r="H3599" s="15">
        <v>668700</v>
      </c>
      <c r="I3599" s="13">
        <v>42</v>
      </c>
    </row>
    <row r="3600" ht="15.75" spans="6:9">
      <c r="F3600" s="12" t="s">
        <v>3949</v>
      </c>
      <c r="G3600" s="12" t="s">
        <v>392</v>
      </c>
      <c r="H3600" s="15">
        <v>371800</v>
      </c>
      <c r="I3600" s="13">
        <v>42</v>
      </c>
    </row>
    <row r="3601" ht="15.75" spans="6:9">
      <c r="F3601" s="12" t="s">
        <v>7319</v>
      </c>
      <c r="G3601" s="12" t="s">
        <v>392</v>
      </c>
      <c r="H3601" s="15">
        <v>25900</v>
      </c>
      <c r="I3601" s="13">
        <v>42</v>
      </c>
    </row>
    <row r="3602" ht="15.75" spans="6:9">
      <c r="F3602" s="12" t="s">
        <v>7320</v>
      </c>
      <c r="G3602" s="12" t="s">
        <v>392</v>
      </c>
      <c r="H3602" s="15">
        <v>13700</v>
      </c>
      <c r="I3602" s="13">
        <v>42</v>
      </c>
    </row>
    <row r="3603" ht="15.75" spans="6:9">
      <c r="F3603" s="12" t="s">
        <v>7321</v>
      </c>
      <c r="G3603" s="12" t="s">
        <v>392</v>
      </c>
      <c r="H3603" s="15">
        <v>23100</v>
      </c>
      <c r="I3603" s="13">
        <v>42</v>
      </c>
    </row>
    <row r="3604" ht="15.75" spans="6:9">
      <c r="F3604" s="12" t="s">
        <v>3297</v>
      </c>
      <c r="G3604" s="12" t="s">
        <v>391</v>
      </c>
      <c r="H3604" s="15">
        <v>107893</v>
      </c>
      <c r="I3604" s="13">
        <v>42</v>
      </c>
    </row>
    <row r="3605" ht="15.75" spans="6:9">
      <c r="F3605" s="12" t="s">
        <v>7322</v>
      </c>
      <c r="G3605" s="12" t="s">
        <v>392</v>
      </c>
      <c r="H3605" s="15">
        <v>43400</v>
      </c>
      <c r="I3605" s="13">
        <v>42</v>
      </c>
    </row>
    <row r="3606" ht="15.75" spans="6:9">
      <c r="F3606" s="12" t="s">
        <v>7323</v>
      </c>
      <c r="G3606" s="12" t="s">
        <v>392</v>
      </c>
      <c r="H3606" s="15">
        <v>10200</v>
      </c>
      <c r="I3606" s="13">
        <v>42</v>
      </c>
    </row>
    <row r="3607" ht="15.75" spans="6:9">
      <c r="F3607" s="12" t="s">
        <v>5451</v>
      </c>
      <c r="G3607" s="12" t="s">
        <v>391</v>
      </c>
      <c r="H3607" s="15">
        <v>30463</v>
      </c>
      <c r="I3607" s="13">
        <v>42</v>
      </c>
    </row>
    <row r="3608" ht="15.75" spans="6:9">
      <c r="F3608" s="12" t="s">
        <v>5453</v>
      </c>
      <c r="G3608" s="12" t="s">
        <v>391</v>
      </c>
      <c r="H3608" s="15">
        <v>11227</v>
      </c>
      <c r="I3608" s="13">
        <v>42</v>
      </c>
    </row>
    <row r="3609" ht="15.75" spans="6:9">
      <c r="F3609" s="12" t="s">
        <v>5455</v>
      </c>
      <c r="G3609" s="12" t="s">
        <v>391</v>
      </c>
      <c r="H3609" s="15">
        <v>22498</v>
      </c>
      <c r="I3609" s="13">
        <v>42</v>
      </c>
    </row>
    <row r="3610" ht="15.75" spans="6:9">
      <c r="F3610" s="12" t="s">
        <v>7324</v>
      </c>
      <c r="G3610" s="12" t="s">
        <v>392</v>
      </c>
      <c r="H3610" s="15">
        <v>20400</v>
      </c>
      <c r="I3610" s="13">
        <v>42</v>
      </c>
    </row>
    <row r="3611" ht="15.75" spans="6:9">
      <c r="F3611" s="12" t="s">
        <v>7325</v>
      </c>
      <c r="G3611" s="12" t="s">
        <v>392</v>
      </c>
      <c r="H3611" s="15">
        <v>14700</v>
      </c>
      <c r="I3611" s="13">
        <v>42</v>
      </c>
    </row>
    <row r="3612" ht="15.75" spans="6:9">
      <c r="F3612" s="12" t="s">
        <v>7326</v>
      </c>
      <c r="G3612" s="12" t="s">
        <v>392</v>
      </c>
      <c r="H3612" s="15">
        <v>24400</v>
      </c>
      <c r="I3612" s="13">
        <v>42</v>
      </c>
    </row>
    <row r="3613" ht="15.75" spans="6:9">
      <c r="F3613" s="12" t="s">
        <v>3951</v>
      </c>
      <c r="G3613" s="12" t="s">
        <v>392</v>
      </c>
      <c r="H3613" s="15">
        <v>229500</v>
      </c>
      <c r="I3613" s="13">
        <v>42</v>
      </c>
    </row>
    <row r="3614" ht="15.75" spans="6:9">
      <c r="F3614" s="12" t="s">
        <v>7327</v>
      </c>
      <c r="G3614" s="12" t="s">
        <v>392</v>
      </c>
      <c r="H3614" s="15">
        <v>83600</v>
      </c>
      <c r="I3614" s="13">
        <v>42</v>
      </c>
    </row>
    <row r="3615" ht="15.75" spans="6:9">
      <c r="F3615" s="12" t="s">
        <v>3300</v>
      </c>
      <c r="G3615" s="12" t="s">
        <v>391</v>
      </c>
      <c r="H3615" s="15">
        <v>64009</v>
      </c>
      <c r="I3615" s="13">
        <v>42</v>
      </c>
    </row>
    <row r="3616" ht="15.75" spans="6:9">
      <c r="F3616" s="12" t="s">
        <v>3953</v>
      </c>
      <c r="G3616" s="12" t="s">
        <v>392</v>
      </c>
      <c r="H3616" s="15">
        <v>133200</v>
      </c>
      <c r="I3616" s="13">
        <v>42</v>
      </c>
    </row>
    <row r="3617" ht="15.75" spans="6:9">
      <c r="F3617" s="12" t="s">
        <v>7328</v>
      </c>
      <c r="G3617" s="12" t="s">
        <v>391</v>
      </c>
      <c r="H3617" s="15">
        <v>20962</v>
      </c>
      <c r="I3617" s="13">
        <v>42</v>
      </c>
    </row>
    <row r="3618" ht="15.75" spans="6:9">
      <c r="F3618" s="12" t="s">
        <v>4464</v>
      </c>
      <c r="G3618" s="12" t="s">
        <v>392</v>
      </c>
      <c r="H3618" s="15">
        <v>144800</v>
      </c>
      <c r="I3618" s="13">
        <v>42</v>
      </c>
    </row>
    <row r="3619" ht="15.75" spans="6:9">
      <c r="F3619" s="12" t="s">
        <v>3303</v>
      </c>
      <c r="G3619" s="12" t="s">
        <v>391</v>
      </c>
      <c r="H3619" s="15">
        <v>35595</v>
      </c>
      <c r="I3619" s="13">
        <v>42</v>
      </c>
    </row>
    <row r="3620" ht="15.75" spans="6:9">
      <c r="F3620" s="12" t="s">
        <v>7329</v>
      </c>
      <c r="G3620" s="12" t="s">
        <v>392</v>
      </c>
      <c r="H3620" s="15">
        <v>43600</v>
      </c>
      <c r="I3620" s="13">
        <v>42</v>
      </c>
    </row>
    <row r="3621" ht="15.75" spans="6:9">
      <c r="F3621" s="12" t="s">
        <v>3957</v>
      </c>
      <c r="G3621" s="12" t="s">
        <v>391</v>
      </c>
      <c r="H3621" s="15">
        <v>132863</v>
      </c>
      <c r="I3621" s="13">
        <v>42</v>
      </c>
    </row>
    <row r="3622" ht="15.75" spans="6:9">
      <c r="F3622" s="12" t="s">
        <v>3959</v>
      </c>
      <c r="G3622" s="12" t="s">
        <v>391</v>
      </c>
      <c r="H3622" s="15">
        <v>845673</v>
      </c>
      <c r="I3622" s="13">
        <v>42</v>
      </c>
    </row>
    <row r="3623" ht="15.75" spans="6:9">
      <c r="F3623" s="12" t="s">
        <v>4469</v>
      </c>
      <c r="G3623" s="12" t="s">
        <v>392</v>
      </c>
      <c r="H3623" s="15">
        <v>159900</v>
      </c>
      <c r="I3623" s="13">
        <v>42</v>
      </c>
    </row>
    <row r="3624" ht="15.75" spans="6:9">
      <c r="F3624" s="12" t="s">
        <v>7330</v>
      </c>
      <c r="G3624" s="12" t="s">
        <v>391</v>
      </c>
      <c r="H3624" s="15">
        <v>72679</v>
      </c>
      <c r="I3624" s="13">
        <v>42</v>
      </c>
    </row>
    <row r="3625" ht="15.75" spans="6:9">
      <c r="F3625" s="12" t="s">
        <v>7331</v>
      </c>
      <c r="G3625" s="12" t="s">
        <v>392</v>
      </c>
      <c r="H3625" s="15">
        <v>27700</v>
      </c>
      <c r="I3625" s="13">
        <v>42</v>
      </c>
    </row>
    <row r="3626" ht="15.75" spans="6:9">
      <c r="F3626" s="12" t="s">
        <v>3306</v>
      </c>
      <c r="G3626" s="12" t="s">
        <v>391</v>
      </c>
      <c r="H3626" s="15">
        <v>140891</v>
      </c>
      <c r="I3626" s="13">
        <v>42</v>
      </c>
    </row>
    <row r="3627" ht="15.75" spans="6:9">
      <c r="F3627" s="12" t="s">
        <v>7332</v>
      </c>
      <c r="G3627" s="12" t="s">
        <v>392</v>
      </c>
      <c r="H3627" s="15">
        <v>51600</v>
      </c>
      <c r="I3627" s="13">
        <v>42</v>
      </c>
    </row>
    <row r="3628" ht="15.75" spans="6:9">
      <c r="F3628" s="12" t="s">
        <v>7333</v>
      </c>
      <c r="G3628" s="12" t="s">
        <v>392</v>
      </c>
      <c r="H3628" s="15">
        <v>43400</v>
      </c>
      <c r="I3628" s="13">
        <v>42</v>
      </c>
    </row>
    <row r="3629" ht="15.75" spans="6:9">
      <c r="F3629" s="12" t="s">
        <v>7334</v>
      </c>
      <c r="G3629" s="12" t="s">
        <v>391</v>
      </c>
      <c r="H3629" s="15">
        <v>29962</v>
      </c>
      <c r="I3629" s="13">
        <v>42</v>
      </c>
    </row>
    <row r="3630" ht="15.75" spans="6:9">
      <c r="F3630" s="12" t="s">
        <v>7335</v>
      </c>
      <c r="G3630" s="12" t="s">
        <v>391</v>
      </c>
      <c r="H3630" s="15">
        <v>82794</v>
      </c>
      <c r="I3630" s="13">
        <v>42</v>
      </c>
    </row>
    <row r="3631" ht="15.75" spans="6:9">
      <c r="F3631" s="12" t="s">
        <v>7336</v>
      </c>
      <c r="G3631" s="12" t="s">
        <v>391</v>
      </c>
      <c r="H3631" s="15">
        <v>28067</v>
      </c>
      <c r="I3631" s="13">
        <v>42</v>
      </c>
    </row>
    <row r="3632" ht="15.75" spans="6:9">
      <c r="F3632" s="12" t="s">
        <v>3309</v>
      </c>
      <c r="G3632" s="12" t="s">
        <v>391</v>
      </c>
      <c r="H3632" s="15">
        <v>57800</v>
      </c>
      <c r="I3632" s="13">
        <v>42</v>
      </c>
    </row>
    <row r="3633" ht="15.75" spans="6:9">
      <c r="F3633" s="12" t="s">
        <v>7337</v>
      </c>
      <c r="G3633" s="12" t="s">
        <v>392</v>
      </c>
      <c r="H3633" s="15">
        <v>54600</v>
      </c>
      <c r="I3633" s="13">
        <v>42</v>
      </c>
    </row>
    <row r="3634" ht="15.75" spans="6:9">
      <c r="F3634" s="12" t="s">
        <v>7338</v>
      </c>
      <c r="G3634" s="12" t="s">
        <v>391</v>
      </c>
      <c r="H3634" s="15">
        <v>90880</v>
      </c>
      <c r="I3634" s="13">
        <v>42</v>
      </c>
    </row>
    <row r="3635" ht="15.75" spans="6:9">
      <c r="F3635" s="12" t="s">
        <v>7339</v>
      </c>
      <c r="G3635" s="12" t="s">
        <v>391</v>
      </c>
      <c r="H3635" s="15">
        <v>19664</v>
      </c>
      <c r="I3635" s="13">
        <v>42</v>
      </c>
    </row>
    <row r="3636" ht="15.75" spans="6:9">
      <c r="F3636" s="12" t="s">
        <v>5456</v>
      </c>
      <c r="G3636" s="12" t="s">
        <v>391</v>
      </c>
      <c r="H3636" s="15">
        <v>11345</v>
      </c>
      <c r="I3636" s="13">
        <v>42</v>
      </c>
    </row>
    <row r="3637" ht="15.75" spans="6:9">
      <c r="F3637" s="12" t="s">
        <v>3961</v>
      </c>
      <c r="G3637" s="12" t="s">
        <v>391</v>
      </c>
      <c r="H3637" s="15">
        <v>289981</v>
      </c>
      <c r="I3637" s="13">
        <v>42</v>
      </c>
    </row>
    <row r="3638" ht="15.75" spans="6:9">
      <c r="F3638" s="12" t="s">
        <v>7340</v>
      </c>
      <c r="G3638" s="12" t="s">
        <v>391</v>
      </c>
      <c r="H3638" s="15">
        <v>51037</v>
      </c>
      <c r="I3638" s="13">
        <v>42</v>
      </c>
    </row>
    <row r="3639" ht="15.75" spans="6:9">
      <c r="F3639" s="12" t="s">
        <v>7341</v>
      </c>
      <c r="G3639" s="12" t="s">
        <v>391</v>
      </c>
      <c r="H3639" s="15">
        <v>10445</v>
      </c>
      <c r="I3639" s="13">
        <v>42</v>
      </c>
    </row>
    <row r="3640" ht="15.75" spans="6:9">
      <c r="F3640" s="12" t="s">
        <v>5457</v>
      </c>
      <c r="G3640" s="12" t="s">
        <v>391</v>
      </c>
      <c r="H3640" s="15">
        <v>112397</v>
      </c>
      <c r="I3640" s="13">
        <v>42</v>
      </c>
    </row>
    <row r="3641" ht="15.75" spans="6:9">
      <c r="F3641" s="12" t="s">
        <v>7342</v>
      </c>
      <c r="G3641" s="12" t="s">
        <v>392</v>
      </c>
      <c r="H3641" s="15">
        <v>32700</v>
      </c>
      <c r="I3641" s="13">
        <v>42</v>
      </c>
    </row>
    <row r="3642" ht="15.75" spans="6:9">
      <c r="F3642" s="12" t="s">
        <v>5459</v>
      </c>
      <c r="G3642" s="12" t="s">
        <v>391</v>
      </c>
      <c r="H3642" s="15">
        <v>21807</v>
      </c>
      <c r="I3642" s="13">
        <v>42</v>
      </c>
    </row>
    <row r="3643" ht="15.75" spans="6:9">
      <c r="F3643" s="12" t="s">
        <v>3964</v>
      </c>
      <c r="G3643" s="12" t="s">
        <v>391</v>
      </c>
      <c r="H3643" s="15">
        <v>3236332</v>
      </c>
      <c r="I3643" s="13">
        <v>42</v>
      </c>
    </row>
    <row r="3644" ht="15.75" spans="6:9">
      <c r="F3644" s="12" t="s">
        <v>7343</v>
      </c>
      <c r="G3644" s="12" t="s">
        <v>392</v>
      </c>
      <c r="H3644" s="15">
        <v>39500</v>
      </c>
      <c r="I3644" s="13">
        <v>42</v>
      </c>
    </row>
    <row r="3645" ht="15.75" spans="6:9">
      <c r="F3645" s="12" t="s">
        <v>4799</v>
      </c>
      <c r="G3645" s="12" t="s">
        <v>391</v>
      </c>
      <c r="H3645" s="15">
        <v>103202</v>
      </c>
      <c r="I3645" s="13">
        <v>42</v>
      </c>
    </row>
    <row r="3646" ht="15.75" spans="6:9">
      <c r="F3646" s="12" t="s">
        <v>7344</v>
      </c>
      <c r="G3646" s="12" t="s">
        <v>391</v>
      </c>
      <c r="H3646" s="15">
        <v>95671</v>
      </c>
      <c r="I3646" s="13">
        <v>42</v>
      </c>
    </row>
    <row r="3647" ht="15.75" spans="6:9">
      <c r="F3647" s="12" t="s">
        <v>4472</v>
      </c>
      <c r="G3647" s="12" t="s">
        <v>392</v>
      </c>
      <c r="H3647" s="15">
        <v>417900</v>
      </c>
      <c r="I3647" s="13">
        <v>42</v>
      </c>
    </row>
    <row r="3648" ht="15.75" spans="6:9">
      <c r="F3648" s="12" t="s">
        <v>3966</v>
      </c>
      <c r="G3648" s="12" t="s">
        <v>392</v>
      </c>
      <c r="H3648" s="15">
        <v>1200000</v>
      </c>
      <c r="I3648" s="13">
        <v>42</v>
      </c>
    </row>
    <row r="3649" ht="15.75" spans="6:9">
      <c r="F3649" s="12" t="s">
        <v>7345</v>
      </c>
      <c r="G3649" s="12" t="s">
        <v>392</v>
      </c>
      <c r="H3649" s="15">
        <v>32000</v>
      </c>
      <c r="I3649" s="13">
        <v>42</v>
      </c>
    </row>
    <row r="3650" ht="15.75" spans="6:9">
      <c r="F3650" s="12" t="s">
        <v>5461</v>
      </c>
      <c r="G3650" s="12" t="s">
        <v>391</v>
      </c>
      <c r="H3650" s="15">
        <v>20287</v>
      </c>
      <c r="I3650" s="13">
        <v>42</v>
      </c>
    </row>
    <row r="3651" ht="15.75" spans="6:9">
      <c r="F3651" s="12" t="s">
        <v>7346</v>
      </c>
      <c r="G3651" s="12" t="s">
        <v>392</v>
      </c>
      <c r="H3651" s="15">
        <v>81300</v>
      </c>
      <c r="I3651" s="13">
        <v>42</v>
      </c>
    </row>
    <row r="3652" ht="15.75" spans="6:9">
      <c r="F3652" s="12" t="s">
        <v>7347</v>
      </c>
      <c r="G3652" s="12" t="s">
        <v>391</v>
      </c>
      <c r="H3652" s="15">
        <v>26249</v>
      </c>
      <c r="I3652" s="13">
        <v>42</v>
      </c>
    </row>
    <row r="3653" ht="15.75" spans="6:9">
      <c r="F3653" s="12" t="s">
        <v>5463</v>
      </c>
      <c r="G3653" s="12" t="s">
        <v>391</v>
      </c>
      <c r="H3653" s="15">
        <v>15499</v>
      </c>
      <c r="I3653" s="13">
        <v>42</v>
      </c>
    </row>
    <row r="3654" ht="15.75" spans="6:9">
      <c r="F3654" s="12" t="s">
        <v>7348</v>
      </c>
      <c r="G3654" s="12" t="s">
        <v>392</v>
      </c>
      <c r="H3654" s="15">
        <v>32800</v>
      </c>
      <c r="I3654" s="13">
        <v>42</v>
      </c>
    </row>
    <row r="3655" ht="15.75" spans="6:9">
      <c r="F3655" s="12" t="s">
        <v>7349</v>
      </c>
      <c r="G3655" s="12" t="s">
        <v>392</v>
      </c>
      <c r="H3655" s="15">
        <v>11400</v>
      </c>
      <c r="I3655" s="13">
        <v>42</v>
      </c>
    </row>
    <row r="3656" ht="15.75" spans="6:9">
      <c r="F3656" s="12" t="s">
        <v>7350</v>
      </c>
      <c r="G3656" s="12" t="s">
        <v>391</v>
      </c>
      <c r="H3656" s="15">
        <v>15164</v>
      </c>
      <c r="I3656" s="13">
        <v>42</v>
      </c>
    </row>
    <row r="3657" ht="15.75" spans="6:9">
      <c r="F3657" s="12" t="s">
        <v>3969</v>
      </c>
      <c r="G3657" s="12" t="s">
        <v>392</v>
      </c>
      <c r="H3657" s="15">
        <v>214600</v>
      </c>
      <c r="I3657" s="13">
        <v>42</v>
      </c>
    </row>
    <row r="3658" ht="15.75" spans="6:9">
      <c r="F3658" s="12" t="s">
        <v>7351</v>
      </c>
      <c r="G3658" s="12" t="s">
        <v>391</v>
      </c>
      <c r="H3658" s="15">
        <v>21771</v>
      </c>
      <c r="I3658" s="13">
        <v>42</v>
      </c>
    </row>
    <row r="3659" ht="15.75" spans="6:9">
      <c r="F3659" s="12" t="s">
        <v>7352</v>
      </c>
      <c r="G3659" s="12" t="s">
        <v>392</v>
      </c>
      <c r="H3659" s="15">
        <v>17900</v>
      </c>
      <c r="I3659" s="13">
        <v>42</v>
      </c>
    </row>
    <row r="3660" ht="15.75" spans="6:9">
      <c r="F3660" s="12" t="s">
        <v>7353</v>
      </c>
      <c r="G3660" s="12" t="s">
        <v>392</v>
      </c>
      <c r="H3660" s="15">
        <v>61000</v>
      </c>
      <c r="I3660" s="13">
        <v>42</v>
      </c>
    </row>
    <row r="3661" ht="15.75" spans="6:9">
      <c r="F3661" s="12" t="s">
        <v>3972</v>
      </c>
      <c r="G3661" s="12" t="s">
        <v>392</v>
      </c>
      <c r="H3661" s="15">
        <v>138100</v>
      </c>
      <c r="I3661" s="13">
        <v>42</v>
      </c>
    </row>
    <row r="3662" ht="15.75" spans="6:9">
      <c r="F3662" s="12" t="s">
        <v>7354</v>
      </c>
      <c r="G3662" s="12" t="s">
        <v>392</v>
      </c>
      <c r="H3662" s="15">
        <v>11500</v>
      </c>
      <c r="I3662" s="13">
        <v>42</v>
      </c>
    </row>
    <row r="3663" ht="15.75" spans="6:9">
      <c r="F3663" s="12" t="s">
        <v>3974</v>
      </c>
      <c r="G3663" s="12" t="s">
        <v>391</v>
      </c>
      <c r="H3663" s="15">
        <v>1810952</v>
      </c>
      <c r="I3663" s="13">
        <v>42</v>
      </c>
    </row>
    <row r="3664" ht="15.75" spans="6:9">
      <c r="F3664" s="12" t="s">
        <v>3976</v>
      </c>
      <c r="G3664" s="12" t="s">
        <v>391</v>
      </c>
      <c r="H3664" s="15">
        <v>258057</v>
      </c>
      <c r="I3664" s="13">
        <v>42</v>
      </c>
    </row>
    <row r="3665" ht="15.75" spans="6:9">
      <c r="F3665" s="12" t="s">
        <v>7355</v>
      </c>
      <c r="G3665" s="12" t="s">
        <v>392</v>
      </c>
      <c r="H3665" s="15">
        <v>37800</v>
      </c>
      <c r="I3665" s="13">
        <v>42</v>
      </c>
    </row>
    <row r="3666" ht="15.75" spans="6:9">
      <c r="F3666" s="12" t="s">
        <v>3318</v>
      </c>
      <c r="G3666" s="12" t="s">
        <v>391</v>
      </c>
      <c r="H3666" s="15">
        <v>49994</v>
      </c>
      <c r="I3666" s="13">
        <v>42</v>
      </c>
    </row>
    <row r="3667" ht="15.75" spans="6:9">
      <c r="F3667" s="12" t="s">
        <v>4484</v>
      </c>
      <c r="G3667" s="12" t="s">
        <v>392</v>
      </c>
      <c r="H3667" s="15">
        <v>250700</v>
      </c>
      <c r="I3667" s="13">
        <v>42</v>
      </c>
    </row>
    <row r="3668" ht="15.75" spans="6:9">
      <c r="F3668" s="12" t="s">
        <v>7356</v>
      </c>
      <c r="G3668" s="12" t="s">
        <v>392</v>
      </c>
      <c r="H3668" s="15">
        <v>11300</v>
      </c>
      <c r="I3668" s="13">
        <v>42</v>
      </c>
    </row>
    <row r="3669" ht="15.75" spans="6:9">
      <c r="F3669" s="12" t="s">
        <v>7357</v>
      </c>
      <c r="G3669" s="12" t="s">
        <v>392</v>
      </c>
      <c r="H3669" s="15">
        <v>20800</v>
      </c>
      <c r="I3669" s="13">
        <v>42</v>
      </c>
    </row>
    <row r="3670" ht="15.75" spans="6:9">
      <c r="F3670" s="12" t="s">
        <v>7358</v>
      </c>
      <c r="G3670" s="12" t="s">
        <v>392</v>
      </c>
      <c r="H3670" s="15">
        <v>20400</v>
      </c>
      <c r="I3670" s="13">
        <v>42</v>
      </c>
    </row>
    <row r="3671" ht="15.75" spans="6:9">
      <c r="F3671" s="12" t="s">
        <v>3321</v>
      </c>
      <c r="G3671" s="12" t="s">
        <v>391</v>
      </c>
      <c r="H3671" s="15">
        <v>103627</v>
      </c>
      <c r="I3671" s="13">
        <v>42</v>
      </c>
    </row>
    <row r="3672" ht="15.75" spans="6:9">
      <c r="F3672" s="12" t="s">
        <v>5464</v>
      </c>
      <c r="G3672" s="12" t="s">
        <v>391</v>
      </c>
      <c r="H3672" s="15">
        <v>11051</v>
      </c>
      <c r="I3672" s="13">
        <v>42</v>
      </c>
    </row>
    <row r="3673" ht="15.75" spans="6:9">
      <c r="F3673" s="12" t="s">
        <v>5466</v>
      </c>
      <c r="G3673" s="12" t="s">
        <v>391</v>
      </c>
      <c r="H3673" s="15">
        <v>13049</v>
      </c>
      <c r="I3673" s="13">
        <v>42</v>
      </c>
    </row>
    <row r="3674" ht="15.75" spans="6:9">
      <c r="F3674" s="12" t="s">
        <v>7359</v>
      </c>
      <c r="G3674" s="12" t="s">
        <v>392</v>
      </c>
      <c r="H3674" s="15">
        <v>13900</v>
      </c>
      <c r="I3674" s="13">
        <v>42</v>
      </c>
    </row>
    <row r="3675" ht="15.75" spans="6:9">
      <c r="F3675" s="12" t="s">
        <v>7360</v>
      </c>
      <c r="G3675" s="12" t="s">
        <v>391</v>
      </c>
      <c r="H3675" s="15">
        <v>17853</v>
      </c>
      <c r="I3675" s="13">
        <v>42</v>
      </c>
    </row>
    <row r="3676" ht="15.75" spans="6:9">
      <c r="F3676" s="12" t="s">
        <v>7361</v>
      </c>
      <c r="G3676" s="12" t="s">
        <v>392</v>
      </c>
      <c r="H3676" s="15">
        <v>49100</v>
      </c>
      <c r="I3676" s="13">
        <v>42</v>
      </c>
    </row>
    <row r="3677" ht="15.75" spans="6:9">
      <c r="F3677" s="12" t="s">
        <v>5468</v>
      </c>
      <c r="G3677" s="12" t="s">
        <v>391</v>
      </c>
      <c r="H3677" s="15">
        <v>54235</v>
      </c>
      <c r="I3677" s="13">
        <v>42</v>
      </c>
    </row>
    <row r="3678" ht="15.75" spans="6:9">
      <c r="F3678" s="12" t="s">
        <v>5470</v>
      </c>
      <c r="G3678" s="12" t="s">
        <v>391</v>
      </c>
      <c r="H3678" s="15">
        <v>10425</v>
      </c>
      <c r="I3678" s="13">
        <v>42</v>
      </c>
    </row>
    <row r="3679" ht="15.75" spans="6:9">
      <c r="F3679" s="12" t="s">
        <v>7362</v>
      </c>
      <c r="G3679" s="12" t="s">
        <v>392</v>
      </c>
      <c r="H3679" s="15">
        <v>10300</v>
      </c>
      <c r="I3679" s="13">
        <v>42</v>
      </c>
    </row>
    <row r="3680" ht="15.75" spans="6:9">
      <c r="F3680" s="12" t="s">
        <v>7363</v>
      </c>
      <c r="G3680" s="12" t="s">
        <v>392</v>
      </c>
      <c r="H3680" s="15">
        <v>11400</v>
      </c>
      <c r="I3680" s="13">
        <v>42</v>
      </c>
    </row>
    <row r="3681" ht="15.75" spans="6:9">
      <c r="F3681" s="12" t="s">
        <v>7364</v>
      </c>
      <c r="G3681" s="12" t="s">
        <v>392</v>
      </c>
      <c r="H3681" s="15">
        <v>21400</v>
      </c>
      <c r="I3681" s="13">
        <v>42</v>
      </c>
    </row>
    <row r="3682" ht="15.75" spans="6:9">
      <c r="F3682" s="12" t="s">
        <v>7365</v>
      </c>
      <c r="G3682" s="12" t="s">
        <v>392</v>
      </c>
      <c r="H3682" s="15">
        <v>15900</v>
      </c>
      <c r="I3682" s="13">
        <v>42</v>
      </c>
    </row>
    <row r="3683" ht="15.75" spans="6:9">
      <c r="F3683" s="12" t="s">
        <v>7366</v>
      </c>
      <c r="G3683" s="12" t="s">
        <v>392</v>
      </c>
      <c r="H3683" s="15">
        <v>38400</v>
      </c>
      <c r="I3683" s="13">
        <v>42</v>
      </c>
    </row>
    <row r="3684" ht="15.75" spans="6:9">
      <c r="F3684" s="12" t="s">
        <v>3981</v>
      </c>
      <c r="G3684" s="12" t="s">
        <v>392</v>
      </c>
      <c r="H3684" s="15">
        <v>117400</v>
      </c>
      <c r="I3684" s="13">
        <v>42</v>
      </c>
    </row>
    <row r="3685" ht="15.75" spans="6:9">
      <c r="F3685" s="12" t="s">
        <v>3984</v>
      </c>
      <c r="G3685" s="12" t="s">
        <v>391</v>
      </c>
      <c r="H3685" s="15">
        <v>332216</v>
      </c>
      <c r="I3685" s="13">
        <v>42</v>
      </c>
    </row>
    <row r="3686" ht="15.75" spans="6:9">
      <c r="F3686" s="12" t="s">
        <v>7367</v>
      </c>
      <c r="G3686" s="12" t="s">
        <v>392</v>
      </c>
      <c r="H3686" s="15">
        <v>70000</v>
      </c>
      <c r="I3686" s="13">
        <v>42</v>
      </c>
    </row>
    <row r="3687" ht="15.75" spans="6:9">
      <c r="F3687" s="12" t="s">
        <v>3986</v>
      </c>
      <c r="G3687" s="12" t="s">
        <v>391</v>
      </c>
      <c r="H3687" s="15">
        <v>154632</v>
      </c>
      <c r="I3687" s="13">
        <v>42</v>
      </c>
    </row>
    <row r="3688" ht="15.75" spans="6:9">
      <c r="F3688" s="12" t="s">
        <v>7368</v>
      </c>
      <c r="G3688" s="12" t="s">
        <v>392</v>
      </c>
      <c r="H3688" s="15">
        <v>21700</v>
      </c>
      <c r="I3688" s="13">
        <v>42</v>
      </c>
    </row>
    <row r="3689" ht="15.75" spans="6:9">
      <c r="F3689" s="12" t="s">
        <v>5473</v>
      </c>
      <c r="G3689" s="12" t="s">
        <v>391</v>
      </c>
      <c r="H3689" s="15">
        <v>12317</v>
      </c>
      <c r="I3689" s="13">
        <v>42</v>
      </c>
    </row>
    <row r="3690" ht="15.75" spans="6:9">
      <c r="F3690" s="12" t="s">
        <v>7369</v>
      </c>
      <c r="G3690" s="12" t="s">
        <v>392</v>
      </c>
      <c r="H3690" s="15">
        <v>27400</v>
      </c>
      <c r="I3690" s="13">
        <v>42</v>
      </c>
    </row>
    <row r="3691" ht="15.75" spans="6:9">
      <c r="F3691" s="12" t="s">
        <v>4312</v>
      </c>
      <c r="G3691" s="12" t="s">
        <v>391</v>
      </c>
      <c r="H3691" s="15">
        <v>106920</v>
      </c>
      <c r="I3691" s="13">
        <v>42</v>
      </c>
    </row>
    <row r="3692" ht="15.75" spans="6:9">
      <c r="F3692" s="12" t="s">
        <v>7370</v>
      </c>
      <c r="G3692" s="12" t="s">
        <v>392</v>
      </c>
      <c r="H3692" s="15">
        <v>10100</v>
      </c>
      <c r="I3692" s="13">
        <v>42</v>
      </c>
    </row>
    <row r="3693" ht="15.75" spans="6:9">
      <c r="F3693" s="12" t="s">
        <v>7371</v>
      </c>
      <c r="G3693" s="12" t="s">
        <v>392</v>
      </c>
      <c r="H3693" s="15">
        <v>14900</v>
      </c>
      <c r="I3693" s="13">
        <v>42</v>
      </c>
    </row>
    <row r="3694" ht="15.75" spans="6:9">
      <c r="F3694" s="12" t="s">
        <v>3988</v>
      </c>
      <c r="G3694" s="12" t="s">
        <v>391</v>
      </c>
      <c r="H3694" s="15">
        <v>287970</v>
      </c>
      <c r="I3694" s="13">
        <v>42</v>
      </c>
    </row>
    <row r="3695" ht="15.75" spans="6:9">
      <c r="F3695" s="12" t="s">
        <v>3323</v>
      </c>
      <c r="G3695" s="12" t="s">
        <v>391</v>
      </c>
      <c r="H3695" s="15">
        <v>83341</v>
      </c>
      <c r="I3695" s="13">
        <v>42</v>
      </c>
    </row>
    <row r="3696" ht="15.75" spans="6:9">
      <c r="F3696" s="12" t="s">
        <v>7372</v>
      </c>
      <c r="G3696" s="12" t="s">
        <v>392</v>
      </c>
      <c r="H3696" s="15">
        <v>18500</v>
      </c>
      <c r="I3696" s="13">
        <v>42</v>
      </c>
    </row>
    <row r="3697" ht="15.75" spans="6:9">
      <c r="F3697" s="12" t="s">
        <v>5476</v>
      </c>
      <c r="G3697" s="12" t="s">
        <v>391</v>
      </c>
      <c r="H3697" s="15">
        <v>20899</v>
      </c>
      <c r="I3697" s="13">
        <v>42</v>
      </c>
    </row>
    <row r="3698" ht="15.75" spans="6:9">
      <c r="F3698" s="12" t="s">
        <v>3991</v>
      </c>
      <c r="G3698" s="12" t="s">
        <v>391</v>
      </c>
      <c r="H3698" s="15">
        <v>336041</v>
      </c>
      <c r="I3698" s="13">
        <v>42</v>
      </c>
    </row>
    <row r="3699" ht="15.75" spans="6:9">
      <c r="F3699" s="12" t="s">
        <v>7373</v>
      </c>
      <c r="G3699" s="12" t="s">
        <v>392</v>
      </c>
      <c r="H3699" s="15">
        <v>17900</v>
      </c>
      <c r="I3699" s="13">
        <v>42</v>
      </c>
    </row>
    <row r="3700" ht="15.75" spans="6:9">
      <c r="F3700" s="12" t="s">
        <v>7374</v>
      </c>
      <c r="G3700" s="12" t="s">
        <v>392</v>
      </c>
      <c r="H3700" s="15">
        <v>32100</v>
      </c>
      <c r="I3700" s="13">
        <v>42</v>
      </c>
    </row>
    <row r="3701" ht="15.75" spans="6:9">
      <c r="F3701" s="12" t="s">
        <v>3993</v>
      </c>
      <c r="G3701" s="12" t="s">
        <v>391</v>
      </c>
      <c r="H3701" s="15">
        <v>3783998</v>
      </c>
      <c r="I3701" s="13">
        <v>42</v>
      </c>
    </row>
    <row r="3702" ht="15.75" spans="6:9">
      <c r="F3702" s="12" t="s">
        <v>3996</v>
      </c>
      <c r="G3702" s="12" t="s">
        <v>392</v>
      </c>
      <c r="H3702" s="15">
        <v>521200</v>
      </c>
      <c r="I3702" s="13">
        <v>42</v>
      </c>
    </row>
    <row r="3703" ht="15.75" spans="6:9">
      <c r="F3703" s="12" t="s">
        <v>7375</v>
      </c>
      <c r="G3703" s="12" t="s">
        <v>392</v>
      </c>
      <c r="H3703" s="15">
        <v>14200</v>
      </c>
      <c r="I3703" s="13">
        <v>42</v>
      </c>
    </row>
    <row r="3704" ht="15.75" spans="6:9">
      <c r="F3704" s="12" t="s">
        <v>4859</v>
      </c>
      <c r="G3704" s="12" t="s">
        <v>391</v>
      </c>
      <c r="H3704" s="15">
        <v>191383</v>
      </c>
      <c r="I3704" s="13">
        <v>42</v>
      </c>
    </row>
    <row r="3705" ht="15.75" spans="6:9">
      <c r="F3705" s="12" t="s">
        <v>7376</v>
      </c>
      <c r="G3705" s="12" t="s">
        <v>392</v>
      </c>
      <c r="H3705" s="15">
        <v>10700</v>
      </c>
      <c r="I3705" s="13">
        <v>42</v>
      </c>
    </row>
    <row r="3706" ht="15.75" spans="6:9">
      <c r="F3706" s="12" t="s">
        <v>7377</v>
      </c>
      <c r="G3706" s="12" t="s">
        <v>392</v>
      </c>
      <c r="H3706" s="15">
        <v>27400</v>
      </c>
      <c r="I3706" s="13">
        <v>42</v>
      </c>
    </row>
    <row r="3707" ht="15.75" spans="6:9">
      <c r="F3707" s="12" t="s">
        <v>4004</v>
      </c>
      <c r="G3707" s="12" t="s">
        <v>391</v>
      </c>
      <c r="H3707" s="15">
        <v>232987</v>
      </c>
      <c r="I3707" s="13">
        <v>42</v>
      </c>
    </row>
    <row r="3708" ht="15.75" spans="6:9">
      <c r="F3708" s="12" t="s">
        <v>7378</v>
      </c>
      <c r="G3708" s="12" t="s">
        <v>392</v>
      </c>
      <c r="H3708" s="15">
        <v>15200</v>
      </c>
      <c r="I3708" s="13">
        <v>42</v>
      </c>
    </row>
    <row r="3709" ht="15.75" spans="6:9">
      <c r="F3709" s="12" t="s">
        <v>7379</v>
      </c>
      <c r="G3709" s="12" t="s">
        <v>391</v>
      </c>
      <c r="H3709" s="15">
        <v>25003</v>
      </c>
      <c r="I3709" s="13">
        <v>42</v>
      </c>
    </row>
    <row r="3710" ht="15.75" spans="6:9">
      <c r="F3710" s="12" t="s">
        <v>5479</v>
      </c>
      <c r="G3710" s="12" t="s">
        <v>391</v>
      </c>
      <c r="H3710" s="15">
        <v>10910</v>
      </c>
      <c r="I3710" s="13">
        <v>42</v>
      </c>
    </row>
    <row r="3711" ht="15.75" spans="6:9">
      <c r="F3711" s="12" t="s">
        <v>7380</v>
      </c>
      <c r="G3711" s="12" t="s">
        <v>392</v>
      </c>
      <c r="H3711" s="15">
        <v>76800</v>
      </c>
      <c r="I3711" s="13">
        <v>42</v>
      </c>
    </row>
    <row r="3712" ht="15.75" spans="6:9">
      <c r="F3712" s="12" t="s">
        <v>7381</v>
      </c>
      <c r="G3712" s="12" t="s">
        <v>391</v>
      </c>
      <c r="H3712" s="15">
        <v>50724</v>
      </c>
      <c r="I3712" s="13">
        <v>42</v>
      </c>
    </row>
    <row r="3713" ht="15.75" spans="6:9">
      <c r="F3713" s="12" t="s">
        <v>4008</v>
      </c>
      <c r="G3713" s="12" t="s">
        <v>391</v>
      </c>
      <c r="H3713" s="15">
        <v>205822</v>
      </c>
      <c r="I3713" s="13">
        <v>42</v>
      </c>
    </row>
    <row r="3714" ht="15.75" spans="6:9">
      <c r="F3714" s="12" t="s">
        <v>4011</v>
      </c>
      <c r="G3714" s="12" t="s">
        <v>391</v>
      </c>
      <c r="H3714" s="15">
        <v>1239375</v>
      </c>
      <c r="I3714" s="13">
        <v>42</v>
      </c>
    </row>
    <row r="3715" ht="15.75" spans="6:9">
      <c r="F3715" s="12" t="s">
        <v>4014</v>
      </c>
      <c r="G3715" s="12" t="s">
        <v>392</v>
      </c>
      <c r="H3715" s="15">
        <v>331000</v>
      </c>
      <c r="I3715" s="13">
        <v>42</v>
      </c>
    </row>
    <row r="3716" ht="15.75" spans="6:9">
      <c r="F3716" s="12" t="s">
        <v>7382</v>
      </c>
      <c r="G3716" s="12" t="s">
        <v>392</v>
      </c>
      <c r="H3716" s="15">
        <v>11200</v>
      </c>
      <c r="I3716" s="13">
        <v>42</v>
      </c>
    </row>
    <row r="3717" ht="15.75" spans="6:9">
      <c r="F3717" s="12" t="s">
        <v>7383</v>
      </c>
      <c r="G3717" s="12" t="s">
        <v>392</v>
      </c>
      <c r="H3717" s="15">
        <v>11600</v>
      </c>
      <c r="I3717" s="13">
        <v>42</v>
      </c>
    </row>
    <row r="3718" ht="15.75" spans="6:9">
      <c r="F3718" s="12" t="s">
        <v>7384</v>
      </c>
      <c r="G3718" s="12" t="s">
        <v>391</v>
      </c>
      <c r="H3718" s="15">
        <v>17961</v>
      </c>
      <c r="I3718" s="13">
        <v>42</v>
      </c>
    </row>
    <row r="3719" ht="15.75" spans="6:9">
      <c r="F3719" s="12" t="s">
        <v>7385</v>
      </c>
      <c r="G3719" s="12" t="s">
        <v>391</v>
      </c>
      <c r="H3719" s="15">
        <v>21673</v>
      </c>
      <c r="I3719" s="13">
        <v>42</v>
      </c>
    </row>
    <row r="3720" ht="15.75" spans="6:9">
      <c r="F3720" s="12" t="s">
        <v>7386</v>
      </c>
      <c r="G3720" s="12" t="s">
        <v>391</v>
      </c>
      <c r="H3720" s="15">
        <v>57687</v>
      </c>
      <c r="I3720" s="13">
        <v>42</v>
      </c>
    </row>
    <row r="3721" ht="15.75" spans="6:9">
      <c r="F3721" s="12" t="s">
        <v>3328</v>
      </c>
      <c r="G3721" s="12" t="s">
        <v>391</v>
      </c>
      <c r="H3721" s="15">
        <v>48643</v>
      </c>
      <c r="I3721" s="13">
        <v>42</v>
      </c>
    </row>
    <row r="3722" ht="15.75" spans="6:9">
      <c r="F3722" s="12" t="s">
        <v>7387</v>
      </c>
      <c r="G3722" s="12" t="s">
        <v>392</v>
      </c>
      <c r="H3722" s="15">
        <v>11100</v>
      </c>
      <c r="I3722" s="13">
        <v>42</v>
      </c>
    </row>
    <row r="3723" ht="15.75" spans="6:9">
      <c r="F3723" s="12" t="s">
        <v>7388</v>
      </c>
      <c r="G3723" s="12" t="s">
        <v>392</v>
      </c>
      <c r="H3723" s="15">
        <v>56900</v>
      </c>
      <c r="I3723" s="13">
        <v>42</v>
      </c>
    </row>
    <row r="3724" ht="15.75" spans="6:9">
      <c r="F3724" s="12" t="s">
        <v>3331</v>
      </c>
      <c r="G3724" s="12" t="s">
        <v>391</v>
      </c>
      <c r="H3724" s="15">
        <v>50202</v>
      </c>
      <c r="I3724" s="13">
        <v>42</v>
      </c>
    </row>
    <row r="3725" ht="15.75" spans="6:9">
      <c r="F3725" s="12" t="s">
        <v>4019</v>
      </c>
      <c r="G3725" s="12" t="s">
        <v>392</v>
      </c>
      <c r="H3725" s="15">
        <v>130000</v>
      </c>
      <c r="I3725" s="13">
        <v>42</v>
      </c>
    </row>
    <row r="3726" ht="15.75" spans="6:9">
      <c r="F3726" s="12" t="s">
        <v>5481</v>
      </c>
      <c r="G3726" s="12" t="s">
        <v>391</v>
      </c>
      <c r="H3726" s="15">
        <v>35322</v>
      </c>
      <c r="I3726" s="13">
        <v>42</v>
      </c>
    </row>
    <row r="3727" ht="15.75" spans="6:9">
      <c r="F3727" s="12" t="s">
        <v>7389</v>
      </c>
      <c r="G3727" s="12" t="s">
        <v>392</v>
      </c>
      <c r="H3727" s="15">
        <v>24700</v>
      </c>
      <c r="I3727" s="13">
        <v>42</v>
      </c>
    </row>
    <row r="3728" ht="15.75" spans="6:9">
      <c r="F3728" s="12" t="s">
        <v>3251</v>
      </c>
      <c r="G3728" s="12" t="s">
        <v>391</v>
      </c>
      <c r="H3728" s="15">
        <v>74448</v>
      </c>
      <c r="I3728" s="13">
        <v>42</v>
      </c>
    </row>
    <row r="3729" ht="15.75" spans="6:9">
      <c r="F3729" s="12" t="s">
        <v>7390</v>
      </c>
      <c r="G3729" s="12" t="s">
        <v>392</v>
      </c>
      <c r="H3729" s="15">
        <v>11900</v>
      </c>
      <c r="I3729" s="13">
        <v>42</v>
      </c>
    </row>
    <row r="3730" ht="15.75" spans="6:9">
      <c r="F3730" s="12" t="s">
        <v>7391</v>
      </c>
      <c r="G3730" s="12" t="s">
        <v>392</v>
      </c>
      <c r="H3730" s="15">
        <v>79800</v>
      </c>
      <c r="I3730" s="13">
        <v>42</v>
      </c>
    </row>
    <row r="3731" ht="15.75" spans="6:9">
      <c r="F3731" s="12" t="s">
        <v>7392</v>
      </c>
      <c r="G3731" s="12" t="s">
        <v>391</v>
      </c>
      <c r="H3731" s="15">
        <v>29198</v>
      </c>
      <c r="I3731" s="13">
        <v>42</v>
      </c>
    </row>
    <row r="3732" ht="15.75" spans="6:9">
      <c r="F3732" s="12" t="s">
        <v>7393</v>
      </c>
      <c r="G3732" s="12" t="s">
        <v>392</v>
      </c>
      <c r="H3732" s="15">
        <v>11500</v>
      </c>
      <c r="I3732" s="13">
        <v>42</v>
      </c>
    </row>
    <row r="3733" ht="15.75" spans="6:9">
      <c r="F3733" s="12" t="s">
        <v>7394</v>
      </c>
      <c r="G3733" s="12" t="s">
        <v>392</v>
      </c>
      <c r="H3733" s="15">
        <v>40100</v>
      </c>
      <c r="I3733" s="13">
        <v>42</v>
      </c>
    </row>
    <row r="3734" ht="15.75" spans="6:9">
      <c r="F3734" s="12" t="s">
        <v>4022</v>
      </c>
      <c r="G3734" s="12" t="s">
        <v>392</v>
      </c>
      <c r="H3734" s="15">
        <v>214900</v>
      </c>
      <c r="I3734" s="13">
        <v>42</v>
      </c>
    </row>
    <row r="3735" ht="15.75" spans="6:9">
      <c r="F3735" s="12" t="s">
        <v>4025</v>
      </c>
      <c r="G3735" s="12" t="s">
        <v>392</v>
      </c>
      <c r="H3735" s="15">
        <v>274700</v>
      </c>
      <c r="I3735" s="13">
        <v>42</v>
      </c>
    </row>
    <row r="3736" ht="15.75" spans="6:9">
      <c r="F3736" s="12" t="s">
        <v>4497</v>
      </c>
      <c r="G3736" s="12" t="s">
        <v>391</v>
      </c>
      <c r="H3736" s="15">
        <v>126673</v>
      </c>
      <c r="I3736" s="13">
        <v>42</v>
      </c>
    </row>
    <row r="3737" ht="15.75" spans="6:9">
      <c r="F3737" s="12" t="s">
        <v>5483</v>
      </c>
      <c r="G3737" s="12" t="s">
        <v>391</v>
      </c>
      <c r="H3737" s="15">
        <v>12596</v>
      </c>
      <c r="I3737" s="13">
        <v>42</v>
      </c>
    </row>
    <row r="3738" ht="15.75" spans="6:9">
      <c r="F3738" s="12" t="s">
        <v>3333</v>
      </c>
      <c r="G3738" s="12" t="s">
        <v>391</v>
      </c>
      <c r="H3738" s="15">
        <v>125880</v>
      </c>
      <c r="I3738" s="13">
        <v>42</v>
      </c>
    </row>
    <row r="3739" ht="15.75" spans="6:9">
      <c r="F3739" s="12" t="s">
        <v>7395</v>
      </c>
      <c r="G3739" s="12" t="s">
        <v>392</v>
      </c>
      <c r="H3739" s="15">
        <v>22900</v>
      </c>
      <c r="I3739" s="13">
        <v>42</v>
      </c>
    </row>
    <row r="3740" ht="15.75" spans="6:9">
      <c r="F3740" s="12" t="s">
        <v>7396</v>
      </c>
      <c r="G3740" s="12" t="s">
        <v>392</v>
      </c>
      <c r="H3740" s="15">
        <v>13100</v>
      </c>
      <c r="I3740" s="13">
        <v>42</v>
      </c>
    </row>
    <row r="3741" ht="15.75" spans="6:9">
      <c r="F3741" s="12" t="s">
        <v>4030</v>
      </c>
      <c r="G3741" s="12" t="s">
        <v>392</v>
      </c>
      <c r="H3741" s="15">
        <v>319400</v>
      </c>
      <c r="I3741" s="13">
        <v>42</v>
      </c>
    </row>
    <row r="3742" ht="15.75" spans="6:9">
      <c r="F3742" s="12" t="s">
        <v>5537</v>
      </c>
      <c r="G3742" s="12" t="s">
        <v>391</v>
      </c>
      <c r="H3742" s="15">
        <v>36497</v>
      </c>
      <c r="I3742" s="13">
        <v>42</v>
      </c>
    </row>
    <row r="3743" ht="15.75" spans="6:9">
      <c r="F3743" s="12" t="s">
        <v>7397</v>
      </c>
      <c r="G3743" s="12" t="s">
        <v>392</v>
      </c>
      <c r="H3743" s="15">
        <v>10600</v>
      </c>
      <c r="I3743" s="13">
        <v>42</v>
      </c>
    </row>
    <row r="3744" ht="15.75" spans="6:9">
      <c r="F3744" s="12" t="s">
        <v>4499</v>
      </c>
      <c r="G3744" s="12" t="s">
        <v>392</v>
      </c>
      <c r="H3744" s="15">
        <v>432800</v>
      </c>
      <c r="I3744" s="13">
        <v>42</v>
      </c>
    </row>
    <row r="3745" ht="15.75" spans="6:9">
      <c r="F3745" s="12" t="s">
        <v>5484</v>
      </c>
      <c r="G3745" s="12" t="s">
        <v>391</v>
      </c>
      <c r="H3745" s="15">
        <v>18036</v>
      </c>
      <c r="I3745" s="13">
        <v>42</v>
      </c>
    </row>
    <row r="3746" ht="15.75" spans="6:9">
      <c r="F3746" s="12" t="s">
        <v>4033</v>
      </c>
      <c r="G3746" s="12" t="s">
        <v>391</v>
      </c>
      <c r="H3746" s="15">
        <v>8408364</v>
      </c>
      <c r="I3746" s="13">
        <v>42</v>
      </c>
    </row>
    <row r="3747" ht="15.75" spans="6:9">
      <c r="F3747" s="12" t="s">
        <v>7398</v>
      </c>
      <c r="G3747" s="12" t="s">
        <v>391</v>
      </c>
      <c r="H3747" s="15">
        <v>16538</v>
      </c>
      <c r="I3747" s="13">
        <v>42</v>
      </c>
    </row>
    <row r="3748" ht="15.75" spans="6:9">
      <c r="F3748" s="12" t="s">
        <v>7399</v>
      </c>
      <c r="G3748" s="12" t="s">
        <v>392</v>
      </c>
      <c r="H3748" s="15">
        <v>12900</v>
      </c>
      <c r="I3748" s="13">
        <v>42</v>
      </c>
    </row>
    <row r="3749" ht="15.75" spans="6:9">
      <c r="F3749" s="12" t="s">
        <v>7400</v>
      </c>
      <c r="G3749" s="12" t="s">
        <v>392</v>
      </c>
      <c r="H3749" s="15">
        <v>10600</v>
      </c>
      <c r="I3749" s="13">
        <v>42</v>
      </c>
    </row>
    <row r="3750" ht="15.75" spans="6:9">
      <c r="F3750" s="12" t="s">
        <v>4502</v>
      </c>
      <c r="G3750" s="12" t="s">
        <v>392</v>
      </c>
      <c r="H3750" s="15">
        <v>675300</v>
      </c>
      <c r="I3750" s="13">
        <v>42</v>
      </c>
    </row>
    <row r="3751" ht="15.75" spans="6:9">
      <c r="F3751" s="12" t="s">
        <v>4805</v>
      </c>
      <c r="G3751" s="12" t="s">
        <v>391</v>
      </c>
      <c r="H3751" s="15">
        <v>143150</v>
      </c>
      <c r="I3751" s="13">
        <v>42</v>
      </c>
    </row>
    <row r="3752" ht="15.75" spans="6:9">
      <c r="F3752" s="12" t="s">
        <v>7401</v>
      </c>
      <c r="G3752" s="12" t="s">
        <v>392</v>
      </c>
      <c r="H3752" s="15">
        <v>11300</v>
      </c>
      <c r="I3752" s="13">
        <v>42</v>
      </c>
    </row>
    <row r="3753" ht="15.75" spans="6:9">
      <c r="F3753" s="12" t="s">
        <v>7402</v>
      </c>
      <c r="G3753" s="12" t="s">
        <v>392</v>
      </c>
      <c r="H3753" s="15">
        <v>65700</v>
      </c>
      <c r="I3753" s="13">
        <v>42</v>
      </c>
    </row>
    <row r="3754" ht="15.75" spans="6:9">
      <c r="F3754" s="12" t="s">
        <v>7403</v>
      </c>
      <c r="G3754" s="12" t="s">
        <v>392</v>
      </c>
      <c r="H3754" s="15">
        <v>24800</v>
      </c>
      <c r="I3754" s="13">
        <v>42</v>
      </c>
    </row>
    <row r="3755" ht="15.75" spans="6:9">
      <c r="F3755" s="12" t="s">
        <v>7404</v>
      </c>
      <c r="G3755" s="12" t="s">
        <v>392</v>
      </c>
      <c r="H3755" s="15">
        <v>45100</v>
      </c>
      <c r="I3755" s="13">
        <v>42</v>
      </c>
    </row>
    <row r="3756" ht="15.75" spans="6:9">
      <c r="F3756" s="12" t="s">
        <v>4505</v>
      </c>
      <c r="G3756" s="12" t="s">
        <v>392</v>
      </c>
      <c r="H3756" s="15">
        <v>158400</v>
      </c>
      <c r="I3756" s="13">
        <v>42</v>
      </c>
    </row>
    <row r="3757" ht="15.75" spans="6:9">
      <c r="F3757" s="12" t="s">
        <v>7405</v>
      </c>
      <c r="G3757" s="12" t="s">
        <v>392</v>
      </c>
      <c r="H3757" s="15">
        <v>27900</v>
      </c>
      <c r="I3757" s="13">
        <v>42</v>
      </c>
    </row>
    <row r="3758" ht="15.75" spans="6:9">
      <c r="F3758" s="12" t="s">
        <v>7406</v>
      </c>
      <c r="G3758" s="12" t="s">
        <v>391</v>
      </c>
      <c r="H3758" s="15">
        <v>27010</v>
      </c>
      <c r="I3758" s="13">
        <v>42</v>
      </c>
    </row>
    <row r="3759" ht="15.75" spans="6:9">
      <c r="F3759" s="12" t="s">
        <v>7407</v>
      </c>
      <c r="G3759" s="12" t="s">
        <v>392</v>
      </c>
      <c r="H3759" s="15">
        <v>10600</v>
      </c>
      <c r="I3759" s="13">
        <v>42</v>
      </c>
    </row>
    <row r="3760" ht="15.75" spans="6:9">
      <c r="F3760" s="12" t="s">
        <v>5486</v>
      </c>
      <c r="G3760" s="12" t="s">
        <v>391</v>
      </c>
      <c r="H3760" s="15">
        <v>16733</v>
      </c>
      <c r="I3760" s="13">
        <v>42</v>
      </c>
    </row>
    <row r="3761" ht="15.75" spans="6:9">
      <c r="F3761" s="12" t="s">
        <v>7408</v>
      </c>
      <c r="G3761" s="12" t="s">
        <v>392</v>
      </c>
      <c r="H3761" s="15">
        <v>31200</v>
      </c>
      <c r="I3761" s="13">
        <v>42</v>
      </c>
    </row>
    <row r="3762" ht="15.75" spans="6:9">
      <c r="F3762" s="12" t="s">
        <v>7409</v>
      </c>
      <c r="G3762" s="12" t="s">
        <v>391</v>
      </c>
      <c r="H3762" s="15">
        <v>47411</v>
      </c>
      <c r="I3762" s="13">
        <v>42</v>
      </c>
    </row>
    <row r="3763" ht="15.75" spans="6:9">
      <c r="F3763" s="12" t="s">
        <v>5487</v>
      </c>
      <c r="G3763" s="12" t="s">
        <v>391</v>
      </c>
      <c r="H3763" s="15">
        <v>58629</v>
      </c>
      <c r="I3763" s="13">
        <v>42</v>
      </c>
    </row>
    <row r="3764" ht="15.75" spans="6:9">
      <c r="F3764" s="12" t="s">
        <v>7410</v>
      </c>
      <c r="G3764" s="12" t="s">
        <v>391</v>
      </c>
      <c r="H3764" s="15">
        <v>67431</v>
      </c>
      <c r="I3764" s="13">
        <v>42</v>
      </c>
    </row>
    <row r="3765" ht="15.75" spans="6:9">
      <c r="F3765" s="12" t="s">
        <v>7411</v>
      </c>
      <c r="G3765" s="12" t="s">
        <v>392</v>
      </c>
      <c r="H3765" s="15">
        <v>24200</v>
      </c>
      <c r="I3765" s="13">
        <v>42</v>
      </c>
    </row>
    <row r="3766" ht="15.75" spans="6:9">
      <c r="F3766" s="12" t="s">
        <v>7412</v>
      </c>
      <c r="G3766" s="12" t="s">
        <v>391</v>
      </c>
      <c r="H3766" s="15">
        <v>22857</v>
      </c>
      <c r="I3766" s="13">
        <v>42</v>
      </c>
    </row>
    <row r="3767" ht="15.75" spans="6:9">
      <c r="F3767" s="12" t="s">
        <v>4861</v>
      </c>
      <c r="G3767" s="12" t="s">
        <v>391</v>
      </c>
      <c r="H3767" s="15">
        <v>907809</v>
      </c>
      <c r="I3767" s="13">
        <v>42</v>
      </c>
    </row>
    <row r="3768" ht="15.75" spans="6:9">
      <c r="F3768" s="12" t="s">
        <v>5489</v>
      </c>
      <c r="G3768" s="12" t="s">
        <v>391</v>
      </c>
      <c r="H3768" s="15">
        <v>14190</v>
      </c>
      <c r="I3768" s="13">
        <v>42</v>
      </c>
    </row>
    <row r="3769" ht="15.75" spans="6:9">
      <c r="F3769" s="12" t="s">
        <v>4038</v>
      </c>
      <c r="G3769" s="12" t="s">
        <v>391</v>
      </c>
      <c r="H3769" s="15">
        <v>156226</v>
      </c>
      <c r="I3769" s="13">
        <v>42</v>
      </c>
    </row>
    <row r="3770" ht="15.75" spans="6:9">
      <c r="F3770" s="12" t="s">
        <v>4508</v>
      </c>
      <c r="G3770" s="12" t="s">
        <v>392</v>
      </c>
      <c r="H3770" s="15">
        <v>167600</v>
      </c>
      <c r="I3770" s="13">
        <v>42</v>
      </c>
    </row>
    <row r="3771" ht="15.75" spans="6:9">
      <c r="F3771" s="12" t="s">
        <v>7413</v>
      </c>
      <c r="G3771" s="12" t="s">
        <v>392</v>
      </c>
      <c r="H3771" s="15">
        <v>98900</v>
      </c>
      <c r="I3771" s="13">
        <v>42</v>
      </c>
    </row>
    <row r="3772" ht="15.75" spans="6:9">
      <c r="F3772" s="12" t="s">
        <v>3339</v>
      </c>
      <c r="G3772" s="12" t="s">
        <v>391</v>
      </c>
      <c r="H3772" s="15">
        <v>45326</v>
      </c>
      <c r="I3772" s="13">
        <v>42</v>
      </c>
    </row>
    <row r="3773" ht="15.75" spans="6:9">
      <c r="F3773" s="12" t="s">
        <v>4040</v>
      </c>
      <c r="G3773" s="12" t="s">
        <v>392</v>
      </c>
      <c r="H3773" s="15">
        <v>108000</v>
      </c>
      <c r="I3773" s="13">
        <v>42</v>
      </c>
    </row>
    <row r="3774" ht="15.75" spans="6:9">
      <c r="F3774" s="12" t="s">
        <v>7414</v>
      </c>
      <c r="G3774" s="12" t="s">
        <v>392</v>
      </c>
      <c r="H3774" s="15">
        <v>21100</v>
      </c>
      <c r="I3774" s="13">
        <v>42</v>
      </c>
    </row>
    <row r="3775" ht="15.75" spans="6:9">
      <c r="F3775" s="12" t="s">
        <v>4511</v>
      </c>
      <c r="G3775" s="12" t="s">
        <v>392</v>
      </c>
      <c r="H3775" s="15">
        <v>111000</v>
      </c>
      <c r="I3775" s="13">
        <v>42</v>
      </c>
    </row>
    <row r="3776" ht="15.75" spans="6:9">
      <c r="F3776" s="12" t="s">
        <v>7415</v>
      </c>
      <c r="G3776" s="12" t="s">
        <v>391</v>
      </c>
      <c r="H3776" s="15">
        <v>93538</v>
      </c>
      <c r="I3776" s="13">
        <v>42</v>
      </c>
    </row>
    <row r="3777" ht="15.75" spans="6:9">
      <c r="F3777" s="12" t="s">
        <v>4396</v>
      </c>
      <c r="G3777" s="12" t="s">
        <v>391</v>
      </c>
      <c r="H3777" s="15">
        <v>221708</v>
      </c>
      <c r="I3777" s="13">
        <v>42</v>
      </c>
    </row>
    <row r="3778" ht="15.75" spans="6:9">
      <c r="F3778" s="12" t="s">
        <v>7416</v>
      </c>
      <c r="G3778" s="12" t="s">
        <v>392</v>
      </c>
      <c r="H3778" s="15">
        <v>15500</v>
      </c>
      <c r="I3778" s="13">
        <v>42</v>
      </c>
    </row>
    <row r="3779" ht="15.75" spans="6:9">
      <c r="F3779" s="12" t="s">
        <v>4514</v>
      </c>
      <c r="G3779" s="12" t="s">
        <v>392</v>
      </c>
      <c r="H3779" s="15">
        <v>128500</v>
      </c>
      <c r="I3779" s="13">
        <v>42</v>
      </c>
    </row>
    <row r="3780" ht="15.75" spans="6:9">
      <c r="F3780" s="12" t="s">
        <v>7417</v>
      </c>
      <c r="G3780" s="12" t="s">
        <v>391</v>
      </c>
      <c r="H3780" s="15">
        <v>14755</v>
      </c>
      <c r="I3780" s="13">
        <v>42</v>
      </c>
    </row>
    <row r="3781" ht="15.75" spans="6:9">
      <c r="F3781" s="12" t="s">
        <v>5492</v>
      </c>
      <c r="G3781" s="12" t="s">
        <v>391</v>
      </c>
      <c r="H3781" s="15">
        <v>21219</v>
      </c>
      <c r="I3781" s="13">
        <v>42</v>
      </c>
    </row>
    <row r="3782" ht="15.75" spans="6:9">
      <c r="F3782" s="12" t="s">
        <v>4043</v>
      </c>
      <c r="G3782" s="12" t="s">
        <v>392</v>
      </c>
      <c r="H3782" s="15">
        <v>306200</v>
      </c>
      <c r="I3782" s="13">
        <v>42</v>
      </c>
    </row>
    <row r="3783" ht="15.75" spans="6:9">
      <c r="F3783" s="12" t="s">
        <v>7418</v>
      </c>
      <c r="G3783" s="12" t="s">
        <v>392</v>
      </c>
      <c r="H3783" s="15">
        <v>11300</v>
      </c>
      <c r="I3783" s="13">
        <v>42</v>
      </c>
    </row>
    <row r="3784" ht="15.75" spans="6:9">
      <c r="F3784" s="12" t="s">
        <v>4046</v>
      </c>
      <c r="G3784" s="12" t="s">
        <v>392</v>
      </c>
      <c r="H3784" s="15">
        <v>105200</v>
      </c>
      <c r="I3784" s="13">
        <v>42</v>
      </c>
    </row>
    <row r="3785" ht="15.75" spans="6:9">
      <c r="F3785" s="12" t="s">
        <v>7419</v>
      </c>
      <c r="G3785" s="12" t="s">
        <v>392</v>
      </c>
      <c r="H3785" s="15">
        <v>94800</v>
      </c>
      <c r="I3785" s="13">
        <v>42</v>
      </c>
    </row>
    <row r="3786" ht="15.75" spans="6:9">
      <c r="F3786" s="12" t="s">
        <v>4049</v>
      </c>
      <c r="G3786" s="12" t="s">
        <v>391</v>
      </c>
      <c r="H3786" s="15">
        <v>227371</v>
      </c>
      <c r="I3786" s="13">
        <v>42</v>
      </c>
    </row>
    <row r="3787" ht="15.75" spans="6:9">
      <c r="F3787" s="12" t="s">
        <v>7420</v>
      </c>
      <c r="G3787" s="12" t="s">
        <v>392</v>
      </c>
      <c r="H3787" s="15">
        <v>43900</v>
      </c>
      <c r="I3787" s="13">
        <v>42</v>
      </c>
    </row>
    <row r="3788" ht="15.75" spans="6:9">
      <c r="F3788" s="12" t="s">
        <v>5494</v>
      </c>
      <c r="G3788" s="12" t="s">
        <v>391</v>
      </c>
      <c r="H3788" s="15">
        <v>77146</v>
      </c>
      <c r="I3788" s="13">
        <v>42</v>
      </c>
    </row>
    <row r="3789" ht="15.75" spans="6:9">
      <c r="F3789" s="12" t="s">
        <v>4052</v>
      </c>
      <c r="G3789" s="12" t="s">
        <v>391</v>
      </c>
      <c r="H3789" s="15">
        <v>201027</v>
      </c>
      <c r="I3789" s="13">
        <v>42</v>
      </c>
    </row>
    <row r="3790" ht="15.75" spans="6:9">
      <c r="F3790" s="12" t="s">
        <v>5496</v>
      </c>
      <c r="G3790" s="12" t="s">
        <v>391</v>
      </c>
      <c r="H3790" s="15">
        <v>32352</v>
      </c>
      <c r="I3790" s="13">
        <v>42</v>
      </c>
    </row>
    <row r="3791" ht="15.75" spans="6:9">
      <c r="F3791" s="12" t="s">
        <v>4055</v>
      </c>
      <c r="G3791" s="12" t="s">
        <v>392</v>
      </c>
      <c r="H3791" s="15">
        <v>171400</v>
      </c>
      <c r="I3791" s="13">
        <v>42</v>
      </c>
    </row>
    <row r="3792" ht="15.75" spans="6:9">
      <c r="F3792" s="12" t="s">
        <v>7421</v>
      </c>
      <c r="G3792" s="12" t="s">
        <v>391</v>
      </c>
      <c r="H3792" s="15">
        <v>15077</v>
      </c>
      <c r="I3792" s="13">
        <v>42</v>
      </c>
    </row>
    <row r="3793" ht="15.75" spans="6:9">
      <c r="F3793" s="12" t="s">
        <v>7422</v>
      </c>
      <c r="G3793" s="12" t="s">
        <v>392</v>
      </c>
      <c r="H3793" s="15">
        <v>18300</v>
      </c>
      <c r="I3793" s="13">
        <v>42</v>
      </c>
    </row>
    <row r="3794" ht="15.75" spans="6:9">
      <c r="F3794" s="12" t="s">
        <v>4516</v>
      </c>
      <c r="G3794" s="12" t="s">
        <v>391</v>
      </c>
      <c r="H3794" s="15">
        <v>100034</v>
      </c>
      <c r="I3794" s="13">
        <v>42</v>
      </c>
    </row>
    <row r="3795" ht="15.75" spans="6:9">
      <c r="F3795" s="12" t="s">
        <v>7423</v>
      </c>
      <c r="G3795" s="12" t="s">
        <v>392</v>
      </c>
      <c r="H3795" s="15">
        <v>36500</v>
      </c>
      <c r="I3795" s="13">
        <v>42</v>
      </c>
    </row>
    <row r="3796" ht="15.75" spans="6:9">
      <c r="F3796" s="12" t="s">
        <v>7424</v>
      </c>
      <c r="G3796" s="12" t="s">
        <v>392</v>
      </c>
      <c r="H3796" s="15">
        <v>11800</v>
      </c>
      <c r="I3796" s="13">
        <v>41</v>
      </c>
    </row>
    <row r="3797" ht="15.75" spans="6:9">
      <c r="F3797" s="12" t="s">
        <v>7425</v>
      </c>
      <c r="G3797" s="12" t="s">
        <v>392</v>
      </c>
      <c r="H3797" s="15">
        <v>19000</v>
      </c>
      <c r="I3797" s="13">
        <v>41</v>
      </c>
    </row>
    <row r="3798" ht="15.75" spans="6:9">
      <c r="F3798" s="12" t="s">
        <v>7426</v>
      </c>
      <c r="G3798" s="12" t="s">
        <v>392</v>
      </c>
      <c r="H3798" s="15">
        <v>223600</v>
      </c>
      <c r="I3798" s="13">
        <v>41</v>
      </c>
    </row>
    <row r="3799" ht="15.75" spans="6:9">
      <c r="F3799" s="12" t="s">
        <v>7427</v>
      </c>
      <c r="G3799" s="12" t="s">
        <v>392</v>
      </c>
      <c r="H3799" s="15">
        <v>24600</v>
      </c>
      <c r="I3799" s="13">
        <v>41</v>
      </c>
    </row>
    <row r="3800" ht="15.75" spans="6:9">
      <c r="F3800" s="12" t="s">
        <v>7428</v>
      </c>
      <c r="G3800" s="12" t="s">
        <v>392</v>
      </c>
      <c r="H3800" s="15">
        <v>17300</v>
      </c>
      <c r="I3800" s="13">
        <v>41</v>
      </c>
    </row>
    <row r="3801" ht="15.75" spans="6:9">
      <c r="F3801" s="12" t="s">
        <v>7429</v>
      </c>
      <c r="G3801" s="12" t="s">
        <v>392</v>
      </c>
      <c r="H3801" s="15">
        <v>113700</v>
      </c>
      <c r="I3801" s="13">
        <v>41</v>
      </c>
    </row>
    <row r="3802" ht="15.75" spans="6:9">
      <c r="F3802" s="12" t="s">
        <v>4285</v>
      </c>
      <c r="G3802" s="12" t="s">
        <v>392</v>
      </c>
      <c r="H3802" s="15">
        <v>257000</v>
      </c>
      <c r="I3802" s="13">
        <v>41</v>
      </c>
    </row>
    <row r="3803" ht="15.75" spans="6:9">
      <c r="F3803" s="12" t="s">
        <v>7430</v>
      </c>
      <c r="G3803" s="12" t="s">
        <v>392</v>
      </c>
      <c r="H3803" s="15">
        <v>15400</v>
      </c>
      <c r="I3803" s="13">
        <v>41</v>
      </c>
    </row>
    <row r="3804" ht="15.75" spans="6:9">
      <c r="F3804" s="12" t="s">
        <v>5568</v>
      </c>
      <c r="G3804" s="12" t="s">
        <v>391</v>
      </c>
      <c r="H3804" s="15">
        <v>10513</v>
      </c>
      <c r="I3804" s="13">
        <v>41</v>
      </c>
    </row>
    <row r="3805" ht="15.75" spans="6:9">
      <c r="F3805" s="12" t="s">
        <v>4796</v>
      </c>
      <c r="G3805" s="12" t="s">
        <v>391</v>
      </c>
      <c r="H3805" s="15">
        <v>2244644</v>
      </c>
      <c r="I3805" s="13">
        <v>41</v>
      </c>
    </row>
    <row r="3806" ht="15.75" spans="6:9">
      <c r="F3806" s="12" t="s">
        <v>7431</v>
      </c>
      <c r="G3806" s="12" t="s">
        <v>392</v>
      </c>
      <c r="H3806" s="15">
        <v>52000</v>
      </c>
      <c r="I3806" s="13">
        <v>41</v>
      </c>
    </row>
    <row r="3807" ht="15.75" spans="6:9">
      <c r="F3807" s="12" t="s">
        <v>4348</v>
      </c>
      <c r="G3807" s="12" t="s">
        <v>392</v>
      </c>
      <c r="H3807" s="15">
        <v>985900</v>
      </c>
      <c r="I3807" s="13">
        <v>41</v>
      </c>
    </row>
    <row r="3808" ht="15.75" spans="6:9">
      <c r="F3808" s="12" t="s">
        <v>7432</v>
      </c>
      <c r="G3808" s="12" t="s">
        <v>391</v>
      </c>
      <c r="H3808" s="15">
        <v>96202</v>
      </c>
      <c r="I3808" s="13">
        <v>41</v>
      </c>
    </row>
    <row r="3809" ht="15.75" spans="6:9">
      <c r="F3809" s="12" t="s">
        <v>7433</v>
      </c>
      <c r="G3809" s="12" t="s">
        <v>391</v>
      </c>
      <c r="H3809" s="15">
        <v>42912</v>
      </c>
      <c r="I3809" s="13">
        <v>41</v>
      </c>
    </row>
    <row r="3810" ht="15.75" spans="6:9">
      <c r="F3810" s="12" t="s">
        <v>7434</v>
      </c>
      <c r="G3810" s="12" t="s">
        <v>391</v>
      </c>
      <c r="H3810" s="15">
        <v>42402</v>
      </c>
      <c r="I3810" s="13">
        <v>41</v>
      </c>
    </row>
    <row r="3811" ht="15.75" spans="6:9">
      <c r="F3811" s="12" t="s">
        <v>5499</v>
      </c>
      <c r="G3811" s="12" t="s">
        <v>391</v>
      </c>
      <c r="H3811" s="15">
        <v>52863</v>
      </c>
      <c r="I3811" s="13">
        <v>41</v>
      </c>
    </row>
    <row r="3812" ht="15.75" spans="6:9">
      <c r="F3812" s="12" t="s">
        <v>4066</v>
      </c>
      <c r="G3812" s="12" t="s">
        <v>391</v>
      </c>
      <c r="H3812" s="15">
        <v>396605</v>
      </c>
      <c r="I3812" s="13">
        <v>41</v>
      </c>
    </row>
    <row r="3813" ht="15.75" spans="6:9">
      <c r="F3813" s="12" t="s">
        <v>5501</v>
      </c>
      <c r="G3813" s="12" t="s">
        <v>391</v>
      </c>
      <c r="H3813" s="15">
        <v>47636</v>
      </c>
      <c r="I3813" s="13">
        <v>41</v>
      </c>
    </row>
    <row r="3814" ht="15.75" spans="6:9">
      <c r="F3814" s="12" t="s">
        <v>7435</v>
      </c>
      <c r="G3814" s="12" t="s">
        <v>392</v>
      </c>
      <c r="H3814" s="15">
        <v>92300</v>
      </c>
      <c r="I3814" s="13">
        <v>41</v>
      </c>
    </row>
    <row r="3815" ht="15.75" spans="6:9">
      <c r="F3815" s="12" t="s">
        <v>7436</v>
      </c>
      <c r="G3815" s="12" t="s">
        <v>391</v>
      </c>
      <c r="H3815" s="15">
        <v>60244</v>
      </c>
      <c r="I3815" s="13">
        <v>41</v>
      </c>
    </row>
    <row r="3816" ht="15.75" spans="6:9">
      <c r="F3816" s="12" t="s">
        <v>7437</v>
      </c>
      <c r="G3816" s="12" t="s">
        <v>392</v>
      </c>
      <c r="H3816" s="15">
        <v>10600</v>
      </c>
      <c r="I3816" s="13">
        <v>41</v>
      </c>
    </row>
    <row r="3817" ht="15.75" spans="6:9">
      <c r="F3817" s="12" t="s">
        <v>7438</v>
      </c>
      <c r="G3817" s="12" t="s">
        <v>392</v>
      </c>
      <c r="H3817" s="15">
        <v>27600</v>
      </c>
      <c r="I3817" s="13">
        <v>41</v>
      </c>
    </row>
    <row r="3818" ht="15.75" spans="6:9">
      <c r="F3818" s="12" t="s">
        <v>7439</v>
      </c>
      <c r="G3818" s="12" t="s">
        <v>392</v>
      </c>
      <c r="H3818" s="15">
        <v>93500</v>
      </c>
      <c r="I3818" s="13">
        <v>41</v>
      </c>
    </row>
    <row r="3819" ht="15.75" spans="6:9">
      <c r="F3819" s="12" t="s">
        <v>7440</v>
      </c>
      <c r="G3819" s="12" t="s">
        <v>392</v>
      </c>
      <c r="H3819" s="15">
        <v>12300</v>
      </c>
      <c r="I3819" s="13">
        <v>41</v>
      </c>
    </row>
    <row r="3820" ht="15.75" spans="6:9">
      <c r="F3820" s="12" t="s">
        <v>4070</v>
      </c>
      <c r="G3820" s="12" t="s">
        <v>391</v>
      </c>
      <c r="H3820" s="15">
        <v>1983877</v>
      </c>
      <c r="I3820" s="13">
        <v>41</v>
      </c>
    </row>
    <row r="3821" ht="15.75" spans="6:9">
      <c r="F3821" s="12" t="s">
        <v>4524</v>
      </c>
      <c r="G3821" s="12" t="s">
        <v>391</v>
      </c>
      <c r="H3821" s="15">
        <v>102308</v>
      </c>
      <c r="I3821" s="13">
        <v>41</v>
      </c>
    </row>
    <row r="3822" ht="15.75" spans="6:9">
      <c r="F3822" s="12" t="s">
        <v>7441</v>
      </c>
      <c r="G3822" s="12" t="s">
        <v>392</v>
      </c>
      <c r="H3822" s="15">
        <v>20400</v>
      </c>
      <c r="I3822" s="13">
        <v>41</v>
      </c>
    </row>
    <row r="3823" ht="15.75" spans="6:9">
      <c r="F3823" s="12" t="s">
        <v>4073</v>
      </c>
      <c r="G3823" s="12" t="s">
        <v>391</v>
      </c>
      <c r="H3823" s="15">
        <v>327616</v>
      </c>
      <c r="I3823" s="13">
        <v>41</v>
      </c>
    </row>
    <row r="3824" ht="15.75" spans="6:9">
      <c r="F3824" s="12" t="s">
        <v>7442</v>
      </c>
      <c r="G3824" s="12" t="s">
        <v>392</v>
      </c>
      <c r="H3824" s="15">
        <v>42300</v>
      </c>
      <c r="I3824" s="13">
        <v>41</v>
      </c>
    </row>
    <row r="3825" ht="15.75" spans="6:9">
      <c r="F3825" s="12" t="s">
        <v>4076</v>
      </c>
      <c r="G3825" s="12" t="s">
        <v>391</v>
      </c>
      <c r="H3825" s="15">
        <v>272217</v>
      </c>
      <c r="I3825" s="13">
        <v>41</v>
      </c>
    </row>
    <row r="3826" ht="15.75" spans="6:9">
      <c r="F3826" s="12" t="s">
        <v>7443</v>
      </c>
      <c r="G3826" s="12" t="s">
        <v>392</v>
      </c>
      <c r="H3826" s="15">
        <v>123200</v>
      </c>
      <c r="I3826" s="13">
        <v>41</v>
      </c>
    </row>
    <row r="3827" ht="15.75" spans="6:9">
      <c r="F3827" s="12" t="s">
        <v>7444</v>
      </c>
      <c r="G3827" s="12" t="s">
        <v>392</v>
      </c>
      <c r="H3827" s="15">
        <v>87200</v>
      </c>
      <c r="I3827" s="13">
        <v>41</v>
      </c>
    </row>
    <row r="3828" ht="15.75" spans="6:9">
      <c r="F3828" s="12" t="s">
        <v>7445</v>
      </c>
      <c r="G3828" s="12" t="s">
        <v>392</v>
      </c>
      <c r="H3828" s="15">
        <v>38900</v>
      </c>
      <c r="I3828" s="13">
        <v>41</v>
      </c>
    </row>
    <row r="3829" ht="15.75" spans="6:9">
      <c r="F3829" s="12" t="s">
        <v>7446</v>
      </c>
      <c r="G3829" s="12" t="s">
        <v>392</v>
      </c>
      <c r="H3829" s="15">
        <v>17800</v>
      </c>
      <c r="I3829" s="13">
        <v>41</v>
      </c>
    </row>
    <row r="3830" ht="15.75" spans="6:9">
      <c r="F3830" s="12" t="s">
        <v>4079</v>
      </c>
      <c r="G3830" s="12" t="s">
        <v>391</v>
      </c>
      <c r="H3830" s="15">
        <v>200615</v>
      </c>
      <c r="I3830" s="13">
        <v>41</v>
      </c>
    </row>
    <row r="3831" ht="15.75" spans="6:9">
      <c r="F3831" s="12" t="s">
        <v>7447</v>
      </c>
      <c r="G3831" s="12" t="s">
        <v>392</v>
      </c>
      <c r="H3831" s="15">
        <v>25800</v>
      </c>
      <c r="I3831" s="13">
        <v>41</v>
      </c>
    </row>
    <row r="3832" ht="15.75" spans="6:9">
      <c r="F3832" s="12" t="s">
        <v>7448</v>
      </c>
      <c r="G3832" s="12" t="s">
        <v>392</v>
      </c>
      <c r="H3832" s="15">
        <v>242700</v>
      </c>
      <c r="I3832" s="13">
        <v>41</v>
      </c>
    </row>
    <row r="3833" ht="15.75" spans="6:9">
      <c r="F3833" s="12" t="s">
        <v>7449</v>
      </c>
      <c r="G3833" s="12" t="s">
        <v>392</v>
      </c>
      <c r="H3833" s="15">
        <v>12300</v>
      </c>
      <c r="I3833" s="13">
        <v>41</v>
      </c>
    </row>
    <row r="3834" ht="15.75" spans="6:9">
      <c r="F3834" s="12" t="s">
        <v>7450</v>
      </c>
      <c r="G3834" s="12" t="s">
        <v>392</v>
      </c>
      <c r="H3834" s="15">
        <v>52200</v>
      </c>
      <c r="I3834" s="13">
        <v>41</v>
      </c>
    </row>
    <row r="3835" ht="15.75" spans="6:9">
      <c r="F3835" s="12" t="s">
        <v>7451</v>
      </c>
      <c r="G3835" s="12" t="s">
        <v>392</v>
      </c>
      <c r="H3835" s="15">
        <v>13400</v>
      </c>
      <c r="I3835" s="13">
        <v>41</v>
      </c>
    </row>
    <row r="3836" ht="15.75" spans="6:9">
      <c r="F3836" s="12" t="s">
        <v>7452</v>
      </c>
      <c r="G3836" s="12" t="s">
        <v>392</v>
      </c>
      <c r="H3836" s="15">
        <v>11400</v>
      </c>
      <c r="I3836" s="13">
        <v>41</v>
      </c>
    </row>
    <row r="3837" ht="15.75" spans="6:9">
      <c r="F3837" s="12" t="s">
        <v>7453</v>
      </c>
      <c r="G3837" s="12" t="s">
        <v>392</v>
      </c>
      <c r="H3837" s="15">
        <v>207000</v>
      </c>
      <c r="I3837" s="13">
        <v>41</v>
      </c>
    </row>
    <row r="3838" ht="15.75" spans="6:9">
      <c r="F3838" s="12" t="s">
        <v>7454</v>
      </c>
      <c r="G3838" s="12" t="s">
        <v>392</v>
      </c>
      <c r="H3838" s="15">
        <v>13300</v>
      </c>
      <c r="I3838" s="13">
        <v>41</v>
      </c>
    </row>
    <row r="3839" ht="15.75" spans="6:9">
      <c r="F3839" s="12" t="s">
        <v>7455</v>
      </c>
      <c r="G3839" s="12" t="s">
        <v>392</v>
      </c>
      <c r="H3839" s="15">
        <v>11400</v>
      </c>
      <c r="I3839" s="13">
        <v>41</v>
      </c>
    </row>
    <row r="3840" ht="15.75" spans="6:9">
      <c r="F3840" s="12" t="s">
        <v>7456</v>
      </c>
      <c r="G3840" s="12" t="s">
        <v>392</v>
      </c>
      <c r="H3840" s="15">
        <v>39600</v>
      </c>
      <c r="I3840" s="13">
        <v>41</v>
      </c>
    </row>
    <row r="3841" ht="15.75" spans="6:9">
      <c r="F3841" s="12" t="s">
        <v>3550</v>
      </c>
      <c r="G3841" s="12" t="s">
        <v>391</v>
      </c>
      <c r="H3841" s="15">
        <v>82015</v>
      </c>
      <c r="I3841" s="13">
        <v>41</v>
      </c>
    </row>
    <row r="3842" ht="15.75" spans="6:9">
      <c r="F3842" s="12" t="s">
        <v>4803</v>
      </c>
      <c r="G3842" s="12" t="s">
        <v>391</v>
      </c>
      <c r="H3842" s="15">
        <v>14361</v>
      </c>
      <c r="I3842" s="13">
        <v>41</v>
      </c>
    </row>
    <row r="3843" ht="15.75" spans="6:9">
      <c r="F3843" s="12" t="s">
        <v>4082</v>
      </c>
      <c r="G3843" s="12" t="s">
        <v>391</v>
      </c>
      <c r="H3843" s="15">
        <v>209905</v>
      </c>
      <c r="I3843" s="13">
        <v>41</v>
      </c>
    </row>
    <row r="3844" ht="15.75" spans="6:9">
      <c r="F3844" s="12" t="s">
        <v>7457</v>
      </c>
      <c r="G3844" s="12" t="s">
        <v>392</v>
      </c>
      <c r="H3844" s="15">
        <v>12200</v>
      </c>
      <c r="I3844" s="13">
        <v>41</v>
      </c>
    </row>
    <row r="3845" ht="15.75" spans="6:9">
      <c r="F3845" s="12" t="s">
        <v>4085</v>
      </c>
      <c r="G3845" s="12" t="s">
        <v>391</v>
      </c>
      <c r="H3845" s="15">
        <v>192311</v>
      </c>
      <c r="I3845" s="13">
        <v>41</v>
      </c>
    </row>
    <row r="3846" ht="15.75" spans="6:9">
      <c r="F3846" s="12" t="s">
        <v>4087</v>
      </c>
      <c r="G3846" s="12" t="s">
        <v>391</v>
      </c>
      <c r="H3846" s="15">
        <v>2308270</v>
      </c>
      <c r="I3846" s="13">
        <v>41</v>
      </c>
    </row>
    <row r="3847" ht="15.75" spans="6:9">
      <c r="F3847" s="12" t="s">
        <v>7458</v>
      </c>
      <c r="G3847" s="12" t="s">
        <v>392</v>
      </c>
      <c r="H3847" s="15">
        <v>23300</v>
      </c>
      <c r="I3847" s="13">
        <v>41</v>
      </c>
    </row>
    <row r="3848" ht="15.75" spans="6:9">
      <c r="F3848" s="12" t="s">
        <v>7459</v>
      </c>
      <c r="G3848" s="12" t="s">
        <v>392</v>
      </c>
      <c r="H3848" s="15">
        <v>43600</v>
      </c>
      <c r="I3848" s="13">
        <v>41</v>
      </c>
    </row>
    <row r="3849" ht="15.75" spans="6:9">
      <c r="F3849" s="12" t="s">
        <v>4092</v>
      </c>
      <c r="G3849" s="12" t="s">
        <v>391</v>
      </c>
      <c r="H3849" s="15">
        <v>836024</v>
      </c>
      <c r="I3849" s="13">
        <v>41</v>
      </c>
    </row>
    <row r="3850" ht="15.75" spans="6:9">
      <c r="F3850" s="12" t="s">
        <v>7460</v>
      </c>
      <c r="G3850" s="12" t="s">
        <v>392</v>
      </c>
      <c r="H3850" s="15">
        <v>32400</v>
      </c>
      <c r="I3850" s="13">
        <v>41</v>
      </c>
    </row>
    <row r="3851" ht="15.75" spans="6:9">
      <c r="F3851" s="12" t="s">
        <v>7461</v>
      </c>
      <c r="G3851" s="12" t="s">
        <v>392</v>
      </c>
      <c r="H3851" s="15">
        <v>16400</v>
      </c>
      <c r="I3851" s="13">
        <v>41</v>
      </c>
    </row>
    <row r="3852" ht="15.75" spans="6:9">
      <c r="F3852" s="12" t="s">
        <v>7462</v>
      </c>
      <c r="G3852" s="12" t="s">
        <v>392</v>
      </c>
      <c r="H3852" s="15">
        <v>157700</v>
      </c>
      <c r="I3852" s="13">
        <v>41</v>
      </c>
    </row>
    <row r="3853" ht="15.75" spans="6:9">
      <c r="F3853" s="12" t="s">
        <v>5555</v>
      </c>
      <c r="G3853" s="12" t="s">
        <v>391</v>
      </c>
      <c r="H3853" s="15">
        <v>21692</v>
      </c>
      <c r="I3853" s="13">
        <v>41</v>
      </c>
    </row>
    <row r="3854" ht="15.75" spans="6:9">
      <c r="F3854" s="12" t="s">
        <v>2372</v>
      </c>
      <c r="G3854" s="12" t="s">
        <v>391</v>
      </c>
      <c r="H3854" s="15">
        <v>516185245</v>
      </c>
      <c r="I3854" s="13">
        <v>41</v>
      </c>
    </row>
    <row r="3855" ht="15.75" spans="6:9">
      <c r="F3855" s="12" t="s">
        <v>7463</v>
      </c>
      <c r="G3855" s="12" t="s">
        <v>392</v>
      </c>
      <c r="H3855" s="15">
        <v>10300</v>
      </c>
      <c r="I3855" s="13">
        <v>41</v>
      </c>
    </row>
    <row r="3856" ht="15.75" spans="6:9">
      <c r="F3856" s="12" t="s">
        <v>5509</v>
      </c>
      <c r="G3856" s="12" t="s">
        <v>391</v>
      </c>
      <c r="H3856" s="15">
        <v>57994</v>
      </c>
      <c r="I3856" s="13">
        <v>41</v>
      </c>
    </row>
    <row r="3857" ht="15.75" spans="6:9">
      <c r="F3857" s="12" t="s">
        <v>7464</v>
      </c>
      <c r="G3857" s="12" t="s">
        <v>392</v>
      </c>
      <c r="H3857" s="15">
        <v>25900</v>
      </c>
      <c r="I3857" s="13">
        <v>41</v>
      </c>
    </row>
    <row r="3858" ht="15.75" spans="6:9">
      <c r="F3858" s="12" t="s">
        <v>7465</v>
      </c>
      <c r="G3858" s="12" t="s">
        <v>392</v>
      </c>
      <c r="H3858" s="15">
        <v>278200</v>
      </c>
      <c r="I3858" s="13">
        <v>41</v>
      </c>
    </row>
    <row r="3859" ht="15.75" spans="6:9">
      <c r="F3859" s="12" t="s">
        <v>4095</v>
      </c>
      <c r="G3859" s="12" t="s">
        <v>391</v>
      </c>
      <c r="H3859" s="15">
        <v>123942</v>
      </c>
      <c r="I3859" s="13">
        <v>41</v>
      </c>
    </row>
    <row r="3860" ht="15.75" spans="6:9">
      <c r="F3860" s="12" t="s">
        <v>7466</v>
      </c>
      <c r="G3860" s="12" t="s">
        <v>392</v>
      </c>
      <c r="H3860" s="15">
        <v>16800</v>
      </c>
      <c r="I3860" s="13">
        <v>41</v>
      </c>
    </row>
    <row r="3861" ht="15.75" spans="6:9">
      <c r="F3861" s="12" t="s">
        <v>3780</v>
      </c>
      <c r="G3861" s="12" t="s">
        <v>391</v>
      </c>
      <c r="H3861" s="15">
        <v>1210698</v>
      </c>
      <c r="I3861" s="13">
        <v>41</v>
      </c>
    </row>
    <row r="3862" ht="15.75" spans="6:9">
      <c r="F3862" s="12" t="s">
        <v>4097</v>
      </c>
      <c r="G3862" s="12" t="s">
        <v>391</v>
      </c>
      <c r="H3862" s="15">
        <v>344256</v>
      </c>
      <c r="I3862" s="13">
        <v>41</v>
      </c>
    </row>
    <row r="3863" ht="15.75" spans="6:9">
      <c r="F3863" s="12" t="s">
        <v>7467</v>
      </c>
      <c r="G3863" s="12" t="s">
        <v>392</v>
      </c>
      <c r="H3863" s="15">
        <v>23200</v>
      </c>
      <c r="I3863" s="13">
        <v>41</v>
      </c>
    </row>
    <row r="3864" ht="15.75" spans="6:9">
      <c r="F3864" s="12" t="s">
        <v>7468</v>
      </c>
      <c r="G3864" s="12" t="s">
        <v>392</v>
      </c>
      <c r="H3864" s="15">
        <v>57100</v>
      </c>
      <c r="I3864" s="13">
        <v>41</v>
      </c>
    </row>
    <row r="3865" ht="15.75" spans="6:9">
      <c r="F3865" s="12" t="s">
        <v>4815</v>
      </c>
      <c r="G3865" s="12" t="s">
        <v>391</v>
      </c>
      <c r="H3865" s="15">
        <v>259551</v>
      </c>
      <c r="I3865" s="13">
        <v>41</v>
      </c>
    </row>
    <row r="3866" ht="15.75" spans="6:9">
      <c r="F3866" s="12" t="s">
        <v>3782</v>
      </c>
      <c r="G3866" s="12" t="s">
        <v>391</v>
      </c>
      <c r="H3866" s="15">
        <v>106754</v>
      </c>
      <c r="I3866" s="13">
        <v>41</v>
      </c>
    </row>
    <row r="3867" ht="15.75" spans="6:9">
      <c r="F3867" s="12" t="s">
        <v>7469</v>
      </c>
      <c r="G3867" s="12" t="s">
        <v>392</v>
      </c>
      <c r="H3867" s="15">
        <v>755900</v>
      </c>
      <c r="I3867" s="13">
        <v>41</v>
      </c>
    </row>
    <row r="3868" ht="15.75" spans="6:9">
      <c r="F3868" s="12" t="s">
        <v>4100</v>
      </c>
      <c r="G3868" s="12" t="s">
        <v>391</v>
      </c>
      <c r="H3868" s="15">
        <v>615866</v>
      </c>
      <c r="I3868" s="13">
        <v>41</v>
      </c>
    </row>
    <row r="3869" ht="15.75" spans="6:9">
      <c r="F3869" s="12" t="s">
        <v>4819</v>
      </c>
      <c r="G3869" s="12" t="s">
        <v>391</v>
      </c>
      <c r="H3869" s="15">
        <v>167976</v>
      </c>
      <c r="I3869" s="13">
        <v>41</v>
      </c>
    </row>
    <row r="3870" ht="15.75" spans="6:9">
      <c r="F3870" s="12" t="s">
        <v>7470</v>
      </c>
      <c r="G3870" s="12" t="s">
        <v>392</v>
      </c>
      <c r="H3870" s="15">
        <v>30400</v>
      </c>
      <c r="I3870" s="13">
        <v>41</v>
      </c>
    </row>
    <row r="3871" ht="15.75" spans="6:9">
      <c r="F3871" s="12" t="s">
        <v>4103</v>
      </c>
      <c r="G3871" s="12" t="s">
        <v>391</v>
      </c>
      <c r="H3871" s="15">
        <v>287963</v>
      </c>
      <c r="I3871" s="13">
        <v>41</v>
      </c>
    </row>
    <row r="3872" ht="15.75" spans="6:9">
      <c r="F3872" s="12" t="s">
        <v>7471</v>
      </c>
      <c r="G3872" s="12" t="s">
        <v>392</v>
      </c>
      <c r="H3872" s="15">
        <v>54100</v>
      </c>
      <c r="I3872" s="13">
        <v>41</v>
      </c>
    </row>
    <row r="3873" ht="15.75" spans="6:9">
      <c r="F3873" s="12" t="s">
        <v>7472</v>
      </c>
      <c r="G3873" s="12" t="s">
        <v>392</v>
      </c>
      <c r="H3873" s="15">
        <v>20600</v>
      </c>
      <c r="I3873" s="13">
        <v>41</v>
      </c>
    </row>
    <row r="3874" ht="15.75" spans="6:9">
      <c r="F3874" s="12" t="s">
        <v>7473</v>
      </c>
      <c r="G3874" s="12" t="s">
        <v>392</v>
      </c>
      <c r="H3874" s="15">
        <v>42800</v>
      </c>
      <c r="I3874" s="13">
        <v>41</v>
      </c>
    </row>
    <row r="3875" ht="15.75" spans="6:9">
      <c r="F3875" s="12" t="s">
        <v>4106</v>
      </c>
      <c r="G3875" s="12" t="s">
        <v>391</v>
      </c>
      <c r="H3875" s="15">
        <v>109555</v>
      </c>
      <c r="I3875" s="13">
        <v>41</v>
      </c>
    </row>
    <row r="3876" ht="15.75" spans="6:9">
      <c r="F3876" s="12" t="s">
        <v>7474</v>
      </c>
      <c r="G3876" s="12" t="s">
        <v>392</v>
      </c>
      <c r="H3876" s="15">
        <v>10200</v>
      </c>
      <c r="I3876" s="13">
        <v>41</v>
      </c>
    </row>
    <row r="3877" ht="15.75" spans="6:9">
      <c r="F3877" s="12" t="s">
        <v>4109</v>
      </c>
      <c r="G3877" s="12" t="s">
        <v>391</v>
      </c>
      <c r="H3877" s="15">
        <v>438045</v>
      </c>
      <c r="I3877" s="13">
        <v>41</v>
      </c>
    </row>
    <row r="3878" ht="15.75" spans="6:9">
      <c r="F3878" s="12" t="s">
        <v>7475</v>
      </c>
      <c r="G3878" s="12" t="s">
        <v>392</v>
      </c>
      <c r="H3878" s="15">
        <v>10100</v>
      </c>
      <c r="I3878" s="13">
        <v>41</v>
      </c>
    </row>
    <row r="3879" ht="15.75" spans="6:9">
      <c r="F3879" s="12" t="s">
        <v>4112</v>
      </c>
      <c r="G3879" s="12" t="s">
        <v>391</v>
      </c>
      <c r="H3879" s="15">
        <v>103144</v>
      </c>
      <c r="I3879" s="13">
        <v>41</v>
      </c>
    </row>
    <row r="3880" ht="15.75" spans="6:9">
      <c r="F3880" s="12" t="s">
        <v>7476</v>
      </c>
      <c r="G3880" s="12" t="s">
        <v>392</v>
      </c>
      <c r="H3880" s="15">
        <v>26800</v>
      </c>
      <c r="I3880" s="13">
        <v>41</v>
      </c>
    </row>
    <row r="3881" ht="15.75" spans="6:9">
      <c r="F3881" s="12" t="s">
        <v>7477</v>
      </c>
      <c r="G3881" s="12" t="s">
        <v>392</v>
      </c>
      <c r="H3881" s="15">
        <v>28100</v>
      </c>
      <c r="I3881" s="13">
        <v>41</v>
      </c>
    </row>
    <row r="3882" ht="15.75" spans="6:9">
      <c r="F3882" s="12" t="s">
        <v>7478</v>
      </c>
      <c r="G3882" s="12" t="s">
        <v>392</v>
      </c>
      <c r="H3882" s="15">
        <v>21400</v>
      </c>
      <c r="I3882" s="13">
        <v>41</v>
      </c>
    </row>
    <row r="3883" ht="15.75" spans="6:9">
      <c r="F3883" s="12" t="s">
        <v>7479</v>
      </c>
      <c r="G3883" s="12" t="s">
        <v>392</v>
      </c>
      <c r="H3883" s="15">
        <v>22000</v>
      </c>
      <c r="I3883" s="13">
        <v>41</v>
      </c>
    </row>
    <row r="3884" ht="15.75" spans="6:9">
      <c r="F3884" s="12" t="s">
        <v>7480</v>
      </c>
      <c r="G3884" s="12" t="s">
        <v>392</v>
      </c>
      <c r="H3884" s="15">
        <v>40500</v>
      </c>
      <c r="I3884" s="13">
        <v>41</v>
      </c>
    </row>
    <row r="3885" ht="15.75" spans="6:9">
      <c r="F3885" s="12" t="s">
        <v>7481</v>
      </c>
      <c r="G3885" s="12" t="s">
        <v>392</v>
      </c>
      <c r="H3885" s="15">
        <v>194100</v>
      </c>
      <c r="I3885" s="13">
        <v>41</v>
      </c>
    </row>
    <row r="3886" ht="15.75" spans="6:9">
      <c r="F3886" s="12" t="s">
        <v>4118</v>
      </c>
      <c r="G3886" s="12" t="s">
        <v>391</v>
      </c>
      <c r="H3886" s="15">
        <v>149966</v>
      </c>
      <c r="I3886" s="13">
        <v>41</v>
      </c>
    </row>
    <row r="3887" ht="15.75" spans="6:9">
      <c r="F3887" s="12" t="s">
        <v>7482</v>
      </c>
      <c r="G3887" s="12" t="s">
        <v>392</v>
      </c>
      <c r="H3887" s="15">
        <v>10300</v>
      </c>
      <c r="I3887" s="13">
        <v>41</v>
      </c>
    </row>
    <row r="3888" ht="15.75" spans="6:9">
      <c r="F3888" s="12" t="s">
        <v>4333</v>
      </c>
      <c r="G3888" s="12" t="s">
        <v>392</v>
      </c>
      <c r="H3888" s="15">
        <v>770000</v>
      </c>
      <c r="I3888" s="13">
        <v>41</v>
      </c>
    </row>
    <row r="3889" ht="15.75" spans="6:9">
      <c r="F3889" s="12" t="s">
        <v>7483</v>
      </c>
      <c r="G3889" s="12" t="s">
        <v>392</v>
      </c>
      <c r="H3889" s="15">
        <v>118700</v>
      </c>
      <c r="I3889" s="13">
        <v>41</v>
      </c>
    </row>
    <row r="3890" ht="15.75" spans="6:9">
      <c r="F3890" s="12" t="s">
        <v>7484</v>
      </c>
      <c r="G3890" s="12" t="s">
        <v>392</v>
      </c>
      <c r="H3890" s="15">
        <v>20600</v>
      </c>
      <c r="I3890" s="13">
        <v>41</v>
      </c>
    </row>
    <row r="3891" ht="15.75" spans="6:9">
      <c r="F3891" s="12" t="s">
        <v>7485</v>
      </c>
      <c r="G3891" s="12" t="s">
        <v>391</v>
      </c>
      <c r="H3891" s="15">
        <v>60938</v>
      </c>
      <c r="I3891" s="13">
        <v>41</v>
      </c>
    </row>
    <row r="3892" ht="15.75" spans="6:9">
      <c r="F3892" s="12" t="s">
        <v>4555</v>
      </c>
      <c r="G3892" s="12" t="s">
        <v>391</v>
      </c>
      <c r="H3892" s="15">
        <v>101960</v>
      </c>
      <c r="I3892" s="13">
        <v>41</v>
      </c>
    </row>
    <row r="3893" ht="15.75" spans="6:9">
      <c r="F3893" s="12" t="s">
        <v>7486</v>
      </c>
      <c r="G3893" s="12" t="s">
        <v>392</v>
      </c>
      <c r="H3893" s="15">
        <v>97600</v>
      </c>
      <c r="I3893" s="13">
        <v>41</v>
      </c>
    </row>
    <row r="3894" ht="15.75" spans="6:9">
      <c r="F3894" s="12" t="s">
        <v>4121</v>
      </c>
      <c r="G3894" s="12" t="s">
        <v>391</v>
      </c>
      <c r="H3894" s="15">
        <v>1737829</v>
      </c>
      <c r="I3894" s="13">
        <v>41</v>
      </c>
    </row>
    <row r="3895" ht="15.75" spans="6:9">
      <c r="F3895" s="12" t="s">
        <v>7487</v>
      </c>
      <c r="G3895" s="12" t="s">
        <v>392</v>
      </c>
      <c r="H3895" s="15">
        <v>33300</v>
      </c>
      <c r="I3895" s="13">
        <v>41</v>
      </c>
    </row>
    <row r="3896" ht="15.75" spans="6:9">
      <c r="F3896" s="12" t="s">
        <v>4124</v>
      </c>
      <c r="G3896" s="12" t="s">
        <v>391</v>
      </c>
      <c r="H3896" s="15">
        <v>7358061</v>
      </c>
      <c r="I3896" s="13">
        <v>41</v>
      </c>
    </row>
    <row r="3897" ht="15.75" spans="6:9">
      <c r="F3897" s="12" t="s">
        <v>7488</v>
      </c>
      <c r="G3897" s="12" t="s">
        <v>392</v>
      </c>
      <c r="H3897" s="15">
        <v>36400</v>
      </c>
      <c r="I3897" s="13">
        <v>41</v>
      </c>
    </row>
    <row r="3898" ht="15.75" spans="6:9">
      <c r="F3898" s="12" t="s">
        <v>7489</v>
      </c>
      <c r="G3898" s="12" t="s">
        <v>392</v>
      </c>
      <c r="H3898" s="15">
        <v>25600</v>
      </c>
      <c r="I3898" s="13">
        <v>41</v>
      </c>
    </row>
    <row r="3899" ht="15.75" spans="6:9">
      <c r="F3899" s="12" t="s">
        <v>4399</v>
      </c>
      <c r="G3899" s="12" t="s">
        <v>391</v>
      </c>
      <c r="H3899" s="15">
        <v>182982</v>
      </c>
      <c r="I3899" s="13">
        <v>41</v>
      </c>
    </row>
    <row r="3900" ht="15.75" spans="6:9">
      <c r="F3900" s="12" t="s">
        <v>7490</v>
      </c>
      <c r="G3900" s="12" t="s">
        <v>392</v>
      </c>
      <c r="H3900" s="15">
        <v>11500</v>
      </c>
      <c r="I3900" s="13">
        <v>41</v>
      </c>
    </row>
    <row r="3901" ht="15.75" spans="6:9">
      <c r="F3901" s="12" t="s">
        <v>4127</v>
      </c>
      <c r="G3901" s="12" t="s">
        <v>391</v>
      </c>
      <c r="H3901" s="15">
        <v>6133691</v>
      </c>
      <c r="I3901" s="13">
        <v>41</v>
      </c>
    </row>
    <row r="3902" ht="15.75" spans="6:9">
      <c r="F3902" s="12" t="s">
        <v>7491</v>
      </c>
      <c r="G3902" s="12" t="s">
        <v>392</v>
      </c>
      <c r="H3902" s="15">
        <v>102100</v>
      </c>
      <c r="I3902" s="13">
        <v>41</v>
      </c>
    </row>
    <row r="3903" ht="15.75" spans="6:9">
      <c r="F3903" s="12" t="s">
        <v>7492</v>
      </c>
      <c r="G3903" s="12" t="s">
        <v>392</v>
      </c>
      <c r="H3903" s="15">
        <v>10200</v>
      </c>
      <c r="I3903" s="13">
        <v>41</v>
      </c>
    </row>
    <row r="3904" ht="15.75" spans="6:9">
      <c r="F3904" s="12" t="s">
        <v>7493</v>
      </c>
      <c r="G3904" s="12" t="s">
        <v>392</v>
      </c>
      <c r="H3904" s="15">
        <v>667800</v>
      </c>
      <c r="I3904" s="13">
        <v>41</v>
      </c>
    </row>
    <row r="3905" ht="15.75" spans="6:9">
      <c r="F3905" s="12" t="s">
        <v>7494</v>
      </c>
      <c r="G3905" s="12" t="s">
        <v>391</v>
      </c>
      <c r="H3905" s="15">
        <v>42472</v>
      </c>
      <c r="I3905" s="13">
        <v>40</v>
      </c>
    </row>
    <row r="3906" ht="15.75" spans="6:9">
      <c r="F3906" s="12" t="s">
        <v>4136</v>
      </c>
      <c r="G3906" s="12" t="s">
        <v>391</v>
      </c>
      <c r="H3906" s="15">
        <v>437793</v>
      </c>
      <c r="I3906" s="13">
        <v>40</v>
      </c>
    </row>
    <row r="3907" ht="15.75" spans="6:9">
      <c r="F3907" s="12" t="s">
        <v>4139</v>
      </c>
      <c r="G3907" s="12" t="s">
        <v>391</v>
      </c>
      <c r="H3907" s="15">
        <v>547844</v>
      </c>
      <c r="I3907" s="13">
        <v>40</v>
      </c>
    </row>
    <row r="3908" ht="15.75" spans="6:9">
      <c r="F3908" s="12" t="s">
        <v>5524</v>
      </c>
      <c r="G3908" s="12" t="s">
        <v>391</v>
      </c>
      <c r="H3908" s="15">
        <v>37926</v>
      </c>
      <c r="I3908" s="13">
        <v>40</v>
      </c>
    </row>
    <row r="3909" ht="15.75" spans="6:9">
      <c r="F3909" s="12" t="s">
        <v>5576</v>
      </c>
      <c r="G3909" s="12" t="s">
        <v>391</v>
      </c>
      <c r="H3909" s="15">
        <v>20912</v>
      </c>
      <c r="I3909" s="13">
        <v>40</v>
      </c>
    </row>
    <row r="3910" ht="15.75" spans="6:9">
      <c r="F3910" s="12" t="s">
        <v>4150</v>
      </c>
      <c r="G3910" s="12" t="s">
        <v>391</v>
      </c>
      <c r="H3910" s="15">
        <v>1878680</v>
      </c>
      <c r="I3910" s="13">
        <v>40</v>
      </c>
    </row>
    <row r="3911" ht="15.75" spans="6:9">
      <c r="F3911" s="12" t="s">
        <v>4153</v>
      </c>
      <c r="G3911" s="12" t="s">
        <v>391</v>
      </c>
      <c r="H3911" s="15">
        <v>341661</v>
      </c>
      <c r="I3911" s="13">
        <v>40</v>
      </c>
    </row>
    <row r="3912" ht="15.75" spans="6:9">
      <c r="F3912" s="12" t="s">
        <v>4156</v>
      </c>
      <c r="G3912" s="12" t="s">
        <v>391</v>
      </c>
      <c r="H3912" s="15">
        <v>232826</v>
      </c>
      <c r="I3912" s="13">
        <v>40</v>
      </c>
    </row>
    <row r="3913" ht="15.75" spans="6:9">
      <c r="F3913" s="12" t="s">
        <v>7495</v>
      </c>
      <c r="G3913" s="12" t="s">
        <v>391</v>
      </c>
      <c r="H3913" s="15">
        <v>52861</v>
      </c>
      <c r="I3913" s="13">
        <v>40</v>
      </c>
    </row>
    <row r="3914" ht="15.75" spans="6:9">
      <c r="F3914" s="12" t="s">
        <v>4159</v>
      </c>
      <c r="G3914" s="12" t="s">
        <v>391</v>
      </c>
      <c r="H3914" s="15">
        <v>186180</v>
      </c>
      <c r="I3914" s="13">
        <v>40</v>
      </c>
    </row>
    <row r="3915" ht="15.75" spans="6:9">
      <c r="F3915" s="12" t="s">
        <v>7496</v>
      </c>
      <c r="G3915" s="12" t="s">
        <v>391</v>
      </c>
      <c r="H3915" s="15">
        <v>71755</v>
      </c>
      <c r="I3915" s="13">
        <v>40</v>
      </c>
    </row>
    <row r="3916" ht="15.75" spans="6:9">
      <c r="F3916" s="12" t="s">
        <v>4763</v>
      </c>
      <c r="G3916" s="12" t="s">
        <v>392</v>
      </c>
      <c r="H3916" s="15">
        <v>115300</v>
      </c>
      <c r="I3916" s="13">
        <v>40</v>
      </c>
    </row>
    <row r="3917" ht="15.75" spans="6:9">
      <c r="F3917" s="12" t="s">
        <v>5525</v>
      </c>
      <c r="G3917" s="12" t="s">
        <v>391</v>
      </c>
      <c r="H3917" s="15">
        <v>51512</v>
      </c>
      <c r="I3917" s="13">
        <v>40</v>
      </c>
    </row>
    <row r="3918" ht="15.75" spans="6:9">
      <c r="F3918" s="12" t="s">
        <v>4161</v>
      </c>
      <c r="G3918" s="12" t="s">
        <v>391</v>
      </c>
      <c r="H3918" s="15">
        <v>298432</v>
      </c>
      <c r="I3918" s="13">
        <v>40</v>
      </c>
    </row>
    <row r="3919" ht="15.75" spans="6:9">
      <c r="F3919" s="12" t="s">
        <v>5586</v>
      </c>
      <c r="G3919" s="12" t="s">
        <v>391</v>
      </c>
      <c r="H3919" s="15">
        <v>50427</v>
      </c>
      <c r="I3919" s="13">
        <v>40</v>
      </c>
    </row>
    <row r="3920" ht="15.75" spans="6:9">
      <c r="F3920" s="12" t="s">
        <v>7497</v>
      </c>
      <c r="G3920" s="12" t="s">
        <v>391</v>
      </c>
      <c r="H3920" s="15">
        <v>89423</v>
      </c>
      <c r="I3920" s="13">
        <v>40</v>
      </c>
    </row>
    <row r="3921" ht="15.75" spans="6:9">
      <c r="F3921" s="12" t="s">
        <v>4167</v>
      </c>
      <c r="G3921" s="12" t="s">
        <v>391</v>
      </c>
      <c r="H3921" s="15">
        <v>349108</v>
      </c>
      <c r="I3921" s="13">
        <v>40</v>
      </c>
    </row>
    <row r="3922" ht="15.75" spans="6:9">
      <c r="F3922" s="12" t="s">
        <v>4169</v>
      </c>
      <c r="G3922" s="12" t="s">
        <v>391</v>
      </c>
      <c r="H3922" s="15">
        <v>182900</v>
      </c>
      <c r="I3922" s="13">
        <v>40</v>
      </c>
    </row>
    <row r="3923" ht="15.75" spans="6:9">
      <c r="F3923" s="12" t="s">
        <v>4171</v>
      </c>
      <c r="G3923" s="12" t="s">
        <v>391</v>
      </c>
      <c r="H3923" s="15">
        <v>112733</v>
      </c>
      <c r="I3923" s="13">
        <v>40</v>
      </c>
    </row>
    <row r="3924" ht="15.75" spans="6:9">
      <c r="F3924" s="12" t="s">
        <v>5527</v>
      </c>
      <c r="G3924" s="12" t="s">
        <v>391</v>
      </c>
      <c r="H3924" s="15">
        <v>69341</v>
      </c>
      <c r="I3924" s="13">
        <v>40</v>
      </c>
    </row>
    <row r="3925" ht="15.75" spans="6:9">
      <c r="F3925" s="12" t="s">
        <v>4179</v>
      </c>
      <c r="G3925" s="12" t="s">
        <v>391</v>
      </c>
      <c r="H3925" s="15">
        <v>102537</v>
      </c>
      <c r="I3925" s="13">
        <v>40</v>
      </c>
    </row>
    <row r="3926" ht="15.75" spans="6:9">
      <c r="F3926" s="12" t="s">
        <v>5530</v>
      </c>
      <c r="G3926" s="12" t="s">
        <v>391</v>
      </c>
      <c r="H3926" s="15">
        <v>47482</v>
      </c>
      <c r="I3926" s="13">
        <v>40</v>
      </c>
    </row>
    <row r="3927" ht="15.75" spans="6:9">
      <c r="F3927" s="12" t="s">
        <v>5532</v>
      </c>
      <c r="G3927" s="12" t="s">
        <v>391</v>
      </c>
      <c r="H3927" s="15">
        <v>45147</v>
      </c>
      <c r="I3927" s="13">
        <v>40</v>
      </c>
    </row>
    <row r="3928" ht="15.75" spans="6:9">
      <c r="F3928" s="12" t="s">
        <v>4185</v>
      </c>
      <c r="G3928" s="12" t="s">
        <v>391</v>
      </c>
      <c r="H3928" s="15">
        <v>1995254</v>
      </c>
      <c r="I3928" s="13">
        <v>40</v>
      </c>
    </row>
    <row r="3929" ht="15.75" spans="6:9">
      <c r="F3929" s="12" t="s">
        <v>4191</v>
      </c>
      <c r="G3929" s="12" t="s">
        <v>391</v>
      </c>
      <c r="H3929" s="15">
        <v>204995</v>
      </c>
      <c r="I3929" s="13">
        <v>40</v>
      </c>
    </row>
    <row r="3930" ht="15.75" spans="6:9">
      <c r="F3930" s="12" t="s">
        <v>7498</v>
      </c>
      <c r="G3930" s="12" t="s">
        <v>391</v>
      </c>
      <c r="H3930" s="15">
        <v>47114</v>
      </c>
      <c r="I3930" s="13">
        <v>40</v>
      </c>
    </row>
    <row r="3931" ht="15.75" spans="6:9">
      <c r="F3931" s="12" t="s">
        <v>5534</v>
      </c>
      <c r="G3931" s="12" t="s">
        <v>391</v>
      </c>
      <c r="H3931" s="15">
        <v>47673</v>
      </c>
      <c r="I3931" s="13">
        <v>40</v>
      </c>
    </row>
    <row r="3932" ht="15.75" spans="6:9">
      <c r="F3932" s="12" t="s">
        <v>4197</v>
      </c>
      <c r="G3932" s="12" t="s">
        <v>391</v>
      </c>
      <c r="H3932" s="15">
        <v>1129785</v>
      </c>
      <c r="I3932" s="13">
        <v>40</v>
      </c>
    </row>
    <row r="3933" ht="15.75" spans="6:9">
      <c r="F3933" s="12" t="s">
        <v>5535</v>
      </c>
      <c r="G3933" s="12" t="s">
        <v>391</v>
      </c>
      <c r="H3933" s="15">
        <v>33215</v>
      </c>
      <c r="I3933" s="13">
        <v>40</v>
      </c>
    </row>
    <row r="3934" ht="15.75" spans="6:9">
      <c r="F3934" s="12" t="s">
        <v>5602</v>
      </c>
      <c r="G3934" s="12" t="s">
        <v>391</v>
      </c>
      <c r="H3934" s="15">
        <v>67131</v>
      </c>
      <c r="I3934" s="13">
        <v>40</v>
      </c>
    </row>
    <row r="3935" ht="15.75" spans="6:9">
      <c r="F3935" s="12" t="s">
        <v>4208</v>
      </c>
      <c r="G3935" s="12" t="s">
        <v>391</v>
      </c>
      <c r="H3935" s="15">
        <v>128122</v>
      </c>
      <c r="I3935" s="13">
        <v>40</v>
      </c>
    </row>
    <row r="3936" ht="15.75" spans="6:9">
      <c r="F3936" s="12" t="s">
        <v>7499</v>
      </c>
      <c r="G3936" s="12" t="s">
        <v>391</v>
      </c>
      <c r="H3936" s="15">
        <v>53394</v>
      </c>
      <c r="I3936" s="13">
        <v>40</v>
      </c>
    </row>
    <row r="3937" ht="15.75" spans="6:9">
      <c r="F3937" s="12" t="s">
        <v>5539</v>
      </c>
      <c r="G3937" s="12" t="s">
        <v>391</v>
      </c>
      <c r="H3937" s="15">
        <v>53202</v>
      </c>
      <c r="I3937" s="13">
        <v>40</v>
      </c>
    </row>
    <row r="3938" ht="15.75" spans="6:9">
      <c r="F3938" s="12" t="s">
        <v>4211</v>
      </c>
      <c r="G3938" s="12" t="s">
        <v>391</v>
      </c>
      <c r="H3938" s="15">
        <v>254204</v>
      </c>
      <c r="I3938" s="13">
        <v>40</v>
      </c>
    </row>
    <row r="3939" ht="15.75" spans="6:9">
      <c r="F3939" s="12" t="s">
        <v>4214</v>
      </c>
      <c r="G3939" s="12" t="s">
        <v>391</v>
      </c>
      <c r="H3939" s="15">
        <v>327388</v>
      </c>
      <c r="I3939" s="13">
        <v>40</v>
      </c>
    </row>
    <row r="3940" ht="15.75" spans="6:9">
      <c r="F3940" s="12" t="s">
        <v>5613</v>
      </c>
      <c r="G3940" s="12" t="s">
        <v>391</v>
      </c>
      <c r="H3940" s="15">
        <v>38415</v>
      </c>
      <c r="I3940" s="13">
        <v>40</v>
      </c>
    </row>
    <row r="3941" ht="15.75" spans="6:9">
      <c r="F3941" s="12" t="s">
        <v>4611</v>
      </c>
      <c r="G3941" s="12" t="s">
        <v>391</v>
      </c>
      <c r="H3941" s="15">
        <v>102498</v>
      </c>
      <c r="I3941" s="13">
        <v>40</v>
      </c>
    </row>
    <row r="3942" ht="15.75" spans="6:9">
      <c r="F3942" s="12" t="s">
        <v>4832</v>
      </c>
      <c r="G3942" s="12" t="s">
        <v>391</v>
      </c>
      <c r="H3942" s="15">
        <v>216962</v>
      </c>
      <c r="I3942" s="13">
        <v>40</v>
      </c>
    </row>
    <row r="3943" ht="15.75" spans="6:9">
      <c r="F3943" s="12" t="s">
        <v>7500</v>
      </c>
      <c r="G3943" s="12" t="s">
        <v>392</v>
      </c>
      <c r="H3943" s="15">
        <v>10100</v>
      </c>
      <c r="I3943" s="13">
        <v>40</v>
      </c>
    </row>
    <row r="3944" ht="15.75" spans="6:9">
      <c r="F3944" s="12" t="s">
        <v>7501</v>
      </c>
      <c r="G3944" s="12" t="s">
        <v>392</v>
      </c>
      <c r="H3944" s="15">
        <v>10800</v>
      </c>
      <c r="I3944" s="13">
        <v>40</v>
      </c>
    </row>
    <row r="3945" ht="15.75" spans="6:9">
      <c r="F3945" s="12" t="s">
        <v>4222</v>
      </c>
      <c r="G3945" s="12" t="s">
        <v>391</v>
      </c>
      <c r="H3945" s="15">
        <v>130414</v>
      </c>
      <c r="I3945" s="13">
        <v>40</v>
      </c>
    </row>
    <row r="3946" ht="15.75" spans="6:9">
      <c r="F3946" s="12" t="s">
        <v>5541</v>
      </c>
      <c r="G3946" s="12" t="s">
        <v>391</v>
      </c>
      <c r="H3946" s="15">
        <v>81654</v>
      </c>
      <c r="I3946" s="13">
        <v>39</v>
      </c>
    </row>
    <row r="3947" ht="15.75" spans="6:9">
      <c r="F3947" s="12" t="s">
        <v>4225</v>
      </c>
      <c r="G3947" s="12" t="s">
        <v>391</v>
      </c>
      <c r="H3947" s="15">
        <v>1377379</v>
      </c>
      <c r="I3947" s="13">
        <v>39</v>
      </c>
    </row>
    <row r="3948" ht="15.75" spans="6:9">
      <c r="F3948" s="12" t="s">
        <v>5543</v>
      </c>
      <c r="G3948" s="12" t="s">
        <v>391</v>
      </c>
      <c r="H3948" s="15">
        <v>56880</v>
      </c>
      <c r="I3948" s="13">
        <v>39</v>
      </c>
    </row>
    <row r="3949" ht="15.75" spans="6:9">
      <c r="F3949" s="12" t="s">
        <v>7502</v>
      </c>
      <c r="G3949" s="12" t="s">
        <v>392</v>
      </c>
      <c r="H3949" s="15">
        <v>32300</v>
      </c>
      <c r="I3949" s="13">
        <v>39</v>
      </c>
    </row>
    <row r="3950" ht="15.75" spans="6:9">
      <c r="F3950" s="12" t="s">
        <v>5621</v>
      </c>
      <c r="G3950" s="12" t="s">
        <v>391</v>
      </c>
      <c r="H3950" s="15">
        <v>26047</v>
      </c>
      <c r="I3950" s="13">
        <v>39</v>
      </c>
    </row>
    <row r="3951" ht="15.75" spans="6:9">
      <c r="F3951" s="12" t="s">
        <v>7503</v>
      </c>
      <c r="G3951" s="12" t="s">
        <v>391</v>
      </c>
      <c r="H3951" s="15">
        <v>41264</v>
      </c>
      <c r="I3951" s="13">
        <v>39</v>
      </c>
    </row>
    <row r="3952" ht="15.75" spans="6:9">
      <c r="F3952" s="12" t="s">
        <v>4834</v>
      </c>
      <c r="G3952" s="12" t="s">
        <v>391</v>
      </c>
      <c r="H3952" s="15">
        <v>116072</v>
      </c>
      <c r="I3952" s="13">
        <v>39</v>
      </c>
    </row>
    <row r="3953" ht="15.75" spans="6:9">
      <c r="F3953" s="12" t="s">
        <v>4235</v>
      </c>
      <c r="G3953" s="12" t="s">
        <v>391</v>
      </c>
      <c r="H3953" s="15">
        <v>1879833</v>
      </c>
      <c r="I3953" s="13">
        <v>39</v>
      </c>
    </row>
    <row r="3954" ht="15.75" spans="6:9">
      <c r="F3954" s="12" t="s">
        <v>4238</v>
      </c>
      <c r="G3954" s="12" t="s">
        <v>391</v>
      </c>
      <c r="H3954" s="15">
        <v>100159</v>
      </c>
      <c r="I3954" s="13">
        <v>39</v>
      </c>
    </row>
    <row r="3955" ht="15.75" spans="6:9">
      <c r="F3955" s="12" t="s">
        <v>7504</v>
      </c>
      <c r="G3955" s="12" t="s">
        <v>391</v>
      </c>
      <c r="H3955" s="15">
        <v>94739</v>
      </c>
      <c r="I3955" s="13">
        <v>39</v>
      </c>
    </row>
    <row r="3956" ht="15.75" spans="6:9">
      <c r="F3956" s="12" t="s">
        <v>2365</v>
      </c>
      <c r="G3956" s="12" t="s">
        <v>391</v>
      </c>
      <c r="H3956" s="15">
        <v>679264838</v>
      </c>
      <c r="I3956" s="13">
        <v>39</v>
      </c>
    </row>
    <row r="3957" ht="15.75" spans="6:9">
      <c r="F3957" s="12" t="s">
        <v>7505</v>
      </c>
      <c r="G3957" s="12" t="s">
        <v>392</v>
      </c>
      <c r="H3957" s="15">
        <v>49700</v>
      </c>
      <c r="I3957" s="13">
        <v>39</v>
      </c>
    </row>
    <row r="3958" ht="15.75" spans="6:9">
      <c r="F3958" s="12" t="s">
        <v>7506</v>
      </c>
      <c r="G3958" s="12" t="s">
        <v>392</v>
      </c>
      <c r="H3958" s="15">
        <v>50400</v>
      </c>
      <c r="I3958" s="13">
        <v>39</v>
      </c>
    </row>
    <row r="3959" ht="15.75" spans="6:9">
      <c r="F3959" s="12" t="s">
        <v>7507</v>
      </c>
      <c r="G3959" s="12" t="s">
        <v>392</v>
      </c>
      <c r="H3959" s="15">
        <v>21700</v>
      </c>
      <c r="I3959" s="13">
        <v>39</v>
      </c>
    </row>
    <row r="3960" ht="15.75" spans="6:9">
      <c r="F3960" s="12" t="s">
        <v>5545</v>
      </c>
      <c r="G3960" s="12" t="s">
        <v>391</v>
      </c>
      <c r="H3960" s="15">
        <v>69111</v>
      </c>
      <c r="I3960" s="13">
        <v>39</v>
      </c>
    </row>
    <row r="3961" ht="15.75" spans="6:9">
      <c r="F3961" s="12" t="s">
        <v>7508</v>
      </c>
      <c r="G3961" s="12" t="s">
        <v>392</v>
      </c>
      <c r="H3961" s="15">
        <v>53700</v>
      </c>
      <c r="I3961" s="13">
        <v>39</v>
      </c>
    </row>
    <row r="3962" ht="15.75" spans="6:9">
      <c r="F3962" s="12" t="s">
        <v>7509</v>
      </c>
      <c r="G3962" s="12" t="s">
        <v>391</v>
      </c>
      <c r="H3962" s="15">
        <v>51210</v>
      </c>
      <c r="I3962" s="13">
        <v>39</v>
      </c>
    </row>
    <row r="3963" ht="15.75" spans="6:9">
      <c r="F3963" s="12" t="s">
        <v>4532</v>
      </c>
      <c r="G3963" s="12" t="s">
        <v>391</v>
      </c>
      <c r="H3963" s="15">
        <v>153922</v>
      </c>
      <c r="I3963" s="13">
        <v>39</v>
      </c>
    </row>
    <row r="3964" ht="15.75" spans="6:9">
      <c r="F3964" s="12" t="s">
        <v>4766</v>
      </c>
      <c r="G3964" s="12" t="s">
        <v>391</v>
      </c>
      <c r="H3964" s="15">
        <v>104536</v>
      </c>
      <c r="I3964" s="13">
        <v>39</v>
      </c>
    </row>
    <row r="3965" ht="15.75" spans="6:9">
      <c r="F3965" s="12" t="s">
        <v>4644</v>
      </c>
      <c r="G3965" s="12" t="s">
        <v>391</v>
      </c>
      <c r="H3965" s="15">
        <v>107820</v>
      </c>
      <c r="I3965" s="13">
        <v>39</v>
      </c>
    </row>
    <row r="3966" ht="15.75" spans="6:9">
      <c r="F3966" s="12" t="s">
        <v>7510</v>
      </c>
      <c r="G3966" s="12" t="s">
        <v>391</v>
      </c>
      <c r="H3966" s="15">
        <v>67273</v>
      </c>
      <c r="I3966" s="13">
        <v>39</v>
      </c>
    </row>
    <row r="3967" ht="15.75" spans="6:9">
      <c r="F3967" s="12" t="s">
        <v>5549</v>
      </c>
      <c r="G3967" s="12" t="s">
        <v>391</v>
      </c>
      <c r="H3967" s="15">
        <v>49143</v>
      </c>
      <c r="I3967" s="13">
        <v>39</v>
      </c>
    </row>
    <row r="3968" ht="15.75" spans="6:9">
      <c r="F3968" s="12" t="s">
        <v>4249</v>
      </c>
      <c r="G3968" s="12" t="s">
        <v>391</v>
      </c>
      <c r="H3968" s="15">
        <v>976998</v>
      </c>
      <c r="I3968" s="13">
        <v>39</v>
      </c>
    </row>
    <row r="3969" ht="15.75" spans="6:9">
      <c r="F3969" s="12" t="s">
        <v>4252</v>
      </c>
      <c r="G3969" s="12" t="s">
        <v>391</v>
      </c>
      <c r="H3969" s="15">
        <v>683308</v>
      </c>
      <c r="I3969" s="13">
        <v>39</v>
      </c>
    </row>
    <row r="3970" ht="15.75" spans="6:9">
      <c r="F3970" s="12" t="s">
        <v>4255</v>
      </c>
      <c r="G3970" s="12" t="s">
        <v>391</v>
      </c>
      <c r="H3970" s="15">
        <v>927378</v>
      </c>
      <c r="I3970" s="13">
        <v>39</v>
      </c>
    </row>
    <row r="3971" ht="15.75" spans="6:9">
      <c r="F3971" s="12" t="s">
        <v>4258</v>
      </c>
      <c r="G3971" s="12" t="s">
        <v>391</v>
      </c>
      <c r="H3971" s="15">
        <v>134879</v>
      </c>
      <c r="I3971" s="13">
        <v>39</v>
      </c>
    </row>
    <row r="3972" ht="15.75" spans="6:9">
      <c r="F3972" s="12" t="s">
        <v>5550</v>
      </c>
      <c r="G3972" s="12" t="s">
        <v>391</v>
      </c>
      <c r="H3972" s="15">
        <v>95947</v>
      </c>
      <c r="I3972" s="13">
        <v>39</v>
      </c>
    </row>
    <row r="3973" ht="15.75" spans="6:9">
      <c r="F3973" s="12" t="s">
        <v>7511</v>
      </c>
      <c r="G3973" s="12" t="s">
        <v>391</v>
      </c>
      <c r="H3973" s="15">
        <v>50931</v>
      </c>
      <c r="I3973" s="13">
        <v>39</v>
      </c>
    </row>
    <row r="3974" ht="15.75" spans="6:9">
      <c r="F3974" s="12" t="s">
        <v>7512</v>
      </c>
      <c r="G3974" s="12" t="s">
        <v>391</v>
      </c>
      <c r="H3974" s="15">
        <v>85168</v>
      </c>
      <c r="I3974" s="13">
        <v>39</v>
      </c>
    </row>
    <row r="3975" ht="15.75" spans="6:9">
      <c r="F3975" s="12" t="s">
        <v>4261</v>
      </c>
      <c r="G3975" s="12" t="s">
        <v>391</v>
      </c>
      <c r="H3975" s="15">
        <v>567527</v>
      </c>
      <c r="I3975" s="13">
        <v>39</v>
      </c>
    </row>
    <row r="3976" ht="15.75" spans="6:9">
      <c r="F3976" s="12" t="s">
        <v>4264</v>
      </c>
      <c r="G3976" s="12" t="s">
        <v>391</v>
      </c>
      <c r="H3976" s="15">
        <v>1878057</v>
      </c>
      <c r="I3976" s="13">
        <v>39</v>
      </c>
    </row>
    <row r="3977" ht="15.75" spans="6:9">
      <c r="F3977" s="12" t="s">
        <v>4267</v>
      </c>
      <c r="G3977" s="12" t="s">
        <v>391</v>
      </c>
      <c r="H3977" s="15">
        <v>327524</v>
      </c>
      <c r="I3977" s="13">
        <v>39</v>
      </c>
    </row>
    <row r="3978" ht="15.75" spans="6:9">
      <c r="F3978" s="12" t="s">
        <v>5552</v>
      </c>
      <c r="G3978" s="12" t="s">
        <v>391</v>
      </c>
      <c r="H3978" s="15">
        <v>16946</v>
      </c>
      <c r="I3978" s="13">
        <v>39</v>
      </c>
    </row>
    <row r="3979" ht="15.75" spans="6:9">
      <c r="F3979" s="12" t="s">
        <v>7513</v>
      </c>
      <c r="G3979" s="12" t="s">
        <v>391</v>
      </c>
      <c r="H3979" s="15">
        <v>48252</v>
      </c>
      <c r="I3979" s="13">
        <v>39</v>
      </c>
    </row>
    <row r="3980" ht="15.75" spans="6:9">
      <c r="F3980" s="12" t="s">
        <v>4270</v>
      </c>
      <c r="G3980" s="12" t="s">
        <v>391</v>
      </c>
      <c r="H3980" s="15">
        <v>178279</v>
      </c>
      <c r="I3980" s="13">
        <v>39</v>
      </c>
    </row>
    <row r="3981" ht="15.75" spans="6:9">
      <c r="F3981" s="12" t="s">
        <v>4273</v>
      </c>
      <c r="G3981" s="12" t="s">
        <v>391</v>
      </c>
      <c r="H3981" s="15">
        <v>286029</v>
      </c>
      <c r="I3981" s="13">
        <v>39</v>
      </c>
    </row>
    <row r="3982" ht="15.75" spans="6:9">
      <c r="F3982" s="12" t="s">
        <v>5554</v>
      </c>
      <c r="G3982" s="12" t="s">
        <v>391</v>
      </c>
      <c r="H3982" s="15">
        <v>76519</v>
      </c>
      <c r="I3982" s="13">
        <v>39</v>
      </c>
    </row>
    <row r="3983" ht="15.75" spans="6:9">
      <c r="F3983" s="12" t="s">
        <v>7514</v>
      </c>
      <c r="G3983" s="12" t="s">
        <v>391</v>
      </c>
      <c r="H3983" s="15">
        <v>70458</v>
      </c>
      <c r="I3983" s="13">
        <v>39</v>
      </c>
    </row>
    <row r="3984" ht="15.75" spans="6:9">
      <c r="F3984" s="12" t="s">
        <v>4836</v>
      </c>
      <c r="G3984" s="12" t="s">
        <v>391</v>
      </c>
      <c r="H3984" s="15">
        <v>697233</v>
      </c>
      <c r="I3984" s="13">
        <v>39</v>
      </c>
    </row>
    <row r="3985" ht="15.75" spans="6:9">
      <c r="F3985" s="12" t="s">
        <v>5676</v>
      </c>
      <c r="G3985" s="12" t="s">
        <v>391</v>
      </c>
      <c r="H3985" s="15">
        <v>48245</v>
      </c>
      <c r="I3985" s="13">
        <v>39</v>
      </c>
    </row>
    <row r="3986" ht="15.75" spans="6:9">
      <c r="F3986" s="12" t="s">
        <v>7515</v>
      </c>
      <c r="G3986" s="12" t="s">
        <v>391</v>
      </c>
      <c r="H3986" s="15">
        <v>73710</v>
      </c>
      <c r="I3986" s="13">
        <v>39</v>
      </c>
    </row>
    <row r="3987" ht="15.75" spans="6:9">
      <c r="F3987" s="12" t="s">
        <v>5719</v>
      </c>
      <c r="G3987" s="12" t="s">
        <v>391</v>
      </c>
      <c r="H3987" s="15">
        <v>74427</v>
      </c>
      <c r="I3987" s="13">
        <v>39</v>
      </c>
    </row>
    <row r="3988" ht="15.75" spans="6:9">
      <c r="F3988" s="12" t="s">
        <v>7516</v>
      </c>
      <c r="G3988" s="12" t="s">
        <v>391</v>
      </c>
      <c r="H3988" s="15">
        <v>68338</v>
      </c>
      <c r="I3988" s="13">
        <v>39</v>
      </c>
    </row>
    <row r="3989" ht="15.75" spans="6:9">
      <c r="F3989" s="12" t="s">
        <v>7517</v>
      </c>
      <c r="G3989" s="12" t="s">
        <v>392</v>
      </c>
      <c r="H3989" s="15">
        <v>44400</v>
      </c>
      <c r="I3989" s="13">
        <v>39</v>
      </c>
    </row>
    <row r="3990" ht="15.75" spans="6:9">
      <c r="F3990" s="12" t="s">
        <v>7518</v>
      </c>
      <c r="G3990" s="12" t="s">
        <v>391</v>
      </c>
      <c r="H3990" s="15">
        <v>48719</v>
      </c>
      <c r="I3990" s="13">
        <v>39</v>
      </c>
    </row>
    <row r="3991" ht="15.75" spans="6:9">
      <c r="F3991" s="12" t="s">
        <v>3928</v>
      </c>
      <c r="G3991" s="12" t="s">
        <v>391</v>
      </c>
      <c r="H3991" s="15">
        <v>106023</v>
      </c>
      <c r="I3991" s="13">
        <v>39</v>
      </c>
    </row>
    <row r="3992" ht="15.75" spans="6:9">
      <c r="F3992" s="12" t="s">
        <v>5557</v>
      </c>
      <c r="G3992" s="12" t="s">
        <v>391</v>
      </c>
      <c r="H3992" s="15">
        <v>22743</v>
      </c>
      <c r="I3992" s="13">
        <v>39</v>
      </c>
    </row>
    <row r="3993" ht="15.75" spans="6:9">
      <c r="F3993" s="12" t="s">
        <v>4784</v>
      </c>
      <c r="G3993" s="12" t="s">
        <v>392</v>
      </c>
      <c r="H3993" s="15">
        <v>108900</v>
      </c>
      <c r="I3993" s="13">
        <v>39</v>
      </c>
    </row>
    <row r="3994" ht="15.75" spans="6:9">
      <c r="F3994" s="12" t="s">
        <v>7519</v>
      </c>
      <c r="G3994" s="12" t="s">
        <v>391</v>
      </c>
      <c r="H3994" s="15">
        <v>99390</v>
      </c>
      <c r="I3994" s="13">
        <v>39</v>
      </c>
    </row>
    <row r="3995" ht="15.75" spans="6:9">
      <c r="F3995" s="12" t="s">
        <v>5559</v>
      </c>
      <c r="G3995" s="12" t="s">
        <v>391</v>
      </c>
      <c r="H3995" s="15">
        <v>12126</v>
      </c>
      <c r="I3995" s="13">
        <v>39</v>
      </c>
    </row>
    <row r="3996" ht="15.75" spans="6:9">
      <c r="F3996" s="12" t="s">
        <v>5560</v>
      </c>
      <c r="G3996" s="12" t="s">
        <v>391</v>
      </c>
      <c r="H3996" s="15">
        <v>10203</v>
      </c>
      <c r="I3996" s="13">
        <v>39</v>
      </c>
    </row>
    <row r="3997" ht="15.75" spans="6:9">
      <c r="F3997" s="12" t="s">
        <v>5688</v>
      </c>
      <c r="G3997" s="12" t="s">
        <v>391</v>
      </c>
      <c r="H3997" s="15">
        <v>42342</v>
      </c>
      <c r="I3997" s="13">
        <v>39</v>
      </c>
    </row>
    <row r="3998" ht="15.75" spans="6:9">
      <c r="F3998" s="12" t="s">
        <v>7520</v>
      </c>
      <c r="G3998" s="12" t="s">
        <v>392</v>
      </c>
      <c r="H3998" s="15">
        <v>16100</v>
      </c>
      <c r="I3998" s="13">
        <v>39</v>
      </c>
    </row>
    <row r="3999" ht="15.75" spans="6:9">
      <c r="F3999" s="12" t="s">
        <v>4667</v>
      </c>
      <c r="G3999" s="12" t="s">
        <v>391</v>
      </c>
      <c r="H3999" s="15">
        <v>100283</v>
      </c>
      <c r="I3999" s="13">
        <v>39</v>
      </c>
    </row>
    <row r="4000" ht="15.75" spans="6:9">
      <c r="F4000" s="12" t="s">
        <v>5652</v>
      </c>
      <c r="G4000" s="12" t="s">
        <v>391</v>
      </c>
      <c r="H4000" s="15">
        <v>13451</v>
      </c>
      <c r="I4000" s="13">
        <v>39</v>
      </c>
    </row>
    <row r="4001" ht="15.75" spans="6:9">
      <c r="F4001" s="12" t="s">
        <v>7521</v>
      </c>
      <c r="G4001" s="12" t="s">
        <v>391</v>
      </c>
      <c r="H4001" s="15">
        <v>52602</v>
      </c>
      <c r="I4001" s="13">
        <v>39</v>
      </c>
    </row>
    <row r="4002" ht="15.75" spans="6:9">
      <c r="F4002" s="12" t="s">
        <v>7522</v>
      </c>
      <c r="G4002" s="12" t="s">
        <v>391</v>
      </c>
      <c r="H4002" s="15">
        <v>50381</v>
      </c>
      <c r="I4002" s="13">
        <v>39</v>
      </c>
    </row>
    <row r="4003" ht="15.75" spans="6:9">
      <c r="F4003" s="12" t="s">
        <v>7523</v>
      </c>
      <c r="G4003" s="12" t="s">
        <v>391</v>
      </c>
      <c r="H4003" s="15">
        <v>52434</v>
      </c>
      <c r="I4003" s="13">
        <v>39</v>
      </c>
    </row>
    <row r="4004" ht="15.75" spans="6:9">
      <c r="F4004" s="12" t="s">
        <v>4789</v>
      </c>
      <c r="G4004" s="12" t="s">
        <v>392</v>
      </c>
      <c r="H4004" s="15">
        <v>340000</v>
      </c>
      <c r="I4004" s="13">
        <v>39</v>
      </c>
    </row>
    <row r="4005" ht="15.75" spans="6:9">
      <c r="F4005" s="12" t="s">
        <v>7524</v>
      </c>
      <c r="G4005" s="12" t="s">
        <v>392</v>
      </c>
      <c r="H4005" s="15">
        <v>17600</v>
      </c>
      <c r="I4005" s="13">
        <v>39</v>
      </c>
    </row>
    <row r="4006" ht="15.75" spans="6:9">
      <c r="F4006" s="12" t="s">
        <v>7525</v>
      </c>
      <c r="G4006" s="12" t="s">
        <v>391</v>
      </c>
      <c r="H4006" s="15">
        <v>77742</v>
      </c>
      <c r="I4006" s="13">
        <v>39</v>
      </c>
    </row>
    <row r="4007" ht="15.75" spans="6:9">
      <c r="F4007" s="12" t="s">
        <v>4565</v>
      </c>
      <c r="G4007" s="12" t="s">
        <v>391</v>
      </c>
      <c r="H4007" s="15">
        <v>131541</v>
      </c>
      <c r="I4007" s="13">
        <v>39</v>
      </c>
    </row>
    <row r="4008" ht="15.75" spans="6:9">
      <c r="F4008" s="12" t="s">
        <v>4282</v>
      </c>
      <c r="G4008" s="12" t="s">
        <v>391</v>
      </c>
      <c r="H4008" s="15">
        <v>1776337</v>
      </c>
      <c r="I4008" s="13">
        <v>39</v>
      </c>
    </row>
    <row r="4009" ht="15.75" spans="6:9">
      <c r="F4009" s="12" t="s">
        <v>5563</v>
      </c>
      <c r="G4009" s="12" t="s">
        <v>391</v>
      </c>
      <c r="H4009" s="15">
        <v>24189</v>
      </c>
      <c r="I4009" s="13">
        <v>39</v>
      </c>
    </row>
    <row r="4010" ht="15.75" spans="6:9">
      <c r="F4010" s="12" t="s">
        <v>4678</v>
      </c>
      <c r="G4010" s="12" t="s">
        <v>391</v>
      </c>
      <c r="H4010" s="15">
        <v>107204</v>
      </c>
      <c r="I4010" s="13">
        <v>39</v>
      </c>
    </row>
    <row r="4011" ht="15.75" spans="6:9">
      <c r="F4011" s="12" t="s">
        <v>4568</v>
      </c>
      <c r="G4011" s="12" t="s">
        <v>392</v>
      </c>
      <c r="H4011" s="15">
        <v>1200000</v>
      </c>
      <c r="I4011" s="13">
        <v>38</v>
      </c>
    </row>
    <row r="4012" ht="15.75" spans="6:9">
      <c r="F4012" s="12" t="s">
        <v>7526</v>
      </c>
      <c r="G4012" s="12" t="s">
        <v>392</v>
      </c>
      <c r="H4012" s="15">
        <v>12700</v>
      </c>
      <c r="I4012" s="13">
        <v>38</v>
      </c>
    </row>
    <row r="4013" ht="15.75" spans="6:9">
      <c r="F4013" s="12" t="s">
        <v>3342</v>
      </c>
      <c r="G4013" s="12" t="s">
        <v>391</v>
      </c>
      <c r="H4013" s="15">
        <v>12193</v>
      </c>
      <c r="I4013" s="13">
        <v>38</v>
      </c>
    </row>
    <row r="4014" ht="15.75" spans="6:9">
      <c r="F4014" s="12" t="s">
        <v>7527</v>
      </c>
      <c r="G4014" s="12" t="s">
        <v>392</v>
      </c>
      <c r="H4014" s="15">
        <v>48700</v>
      </c>
      <c r="I4014" s="13">
        <v>38</v>
      </c>
    </row>
    <row r="4015" ht="15.75" spans="6:9">
      <c r="F4015" s="12" t="s">
        <v>7528</v>
      </c>
      <c r="G4015" s="12" t="s">
        <v>392</v>
      </c>
      <c r="H4015" s="15">
        <v>26300</v>
      </c>
      <c r="I4015" s="13">
        <v>38</v>
      </c>
    </row>
    <row r="4016" ht="15.75" spans="6:9">
      <c r="F4016" s="12" t="s">
        <v>7529</v>
      </c>
      <c r="G4016" s="12" t="s">
        <v>392</v>
      </c>
      <c r="H4016" s="15">
        <v>118444</v>
      </c>
      <c r="I4016" s="13">
        <v>38</v>
      </c>
    </row>
    <row r="4017" ht="15.75" spans="6:9">
      <c r="F4017" s="12" t="s">
        <v>7530</v>
      </c>
      <c r="G4017" s="12" t="s">
        <v>392</v>
      </c>
      <c r="H4017" s="15">
        <v>145000</v>
      </c>
      <c r="I4017" s="13">
        <v>38</v>
      </c>
    </row>
    <row r="4018" ht="15.75" spans="6:9">
      <c r="F4018" s="12" t="s">
        <v>7531</v>
      </c>
      <c r="G4018" s="12" t="s">
        <v>392</v>
      </c>
      <c r="H4018" s="15">
        <v>49600</v>
      </c>
      <c r="I4018" s="13">
        <v>38</v>
      </c>
    </row>
    <row r="4019" ht="15.75" spans="6:9">
      <c r="F4019" s="12" t="s">
        <v>7532</v>
      </c>
      <c r="G4019" s="12" t="s">
        <v>392</v>
      </c>
      <c r="H4019" s="15">
        <v>28100</v>
      </c>
      <c r="I4019" s="13">
        <v>38</v>
      </c>
    </row>
    <row r="4020" ht="15.75" spans="6:9">
      <c r="F4020" s="12" t="s">
        <v>7533</v>
      </c>
      <c r="G4020" s="12" t="s">
        <v>392</v>
      </c>
      <c r="H4020" s="15">
        <v>34000</v>
      </c>
      <c r="I4020" s="13">
        <v>38</v>
      </c>
    </row>
    <row r="4021" ht="15.75" spans="6:9">
      <c r="F4021" s="12" t="s">
        <v>7534</v>
      </c>
      <c r="G4021" s="12" t="s">
        <v>392</v>
      </c>
      <c r="H4021" s="15">
        <v>89700</v>
      </c>
      <c r="I4021" s="13">
        <v>38</v>
      </c>
    </row>
    <row r="4022" ht="15.75" spans="6:9">
      <c r="F4022" s="12" t="s">
        <v>7535</v>
      </c>
      <c r="G4022" s="12" t="s">
        <v>392</v>
      </c>
      <c r="H4022" s="15">
        <v>14400</v>
      </c>
      <c r="I4022" s="13">
        <v>38</v>
      </c>
    </row>
    <row r="4023" ht="15.75" spans="6:9">
      <c r="F4023" s="12" t="s">
        <v>7536</v>
      </c>
      <c r="G4023" s="12" t="s">
        <v>392</v>
      </c>
      <c r="H4023" s="15">
        <v>42200</v>
      </c>
      <c r="I4023" s="13">
        <v>38</v>
      </c>
    </row>
    <row r="4024" ht="15.75" spans="6:9">
      <c r="F4024" s="12" t="s">
        <v>7537</v>
      </c>
      <c r="G4024" s="12" t="s">
        <v>392</v>
      </c>
      <c r="H4024" s="15">
        <v>35800</v>
      </c>
      <c r="I4024" s="13">
        <v>38</v>
      </c>
    </row>
    <row r="4025" ht="15.75" spans="6:9">
      <c r="F4025" s="12" t="s">
        <v>7538</v>
      </c>
      <c r="G4025" s="12" t="s">
        <v>392</v>
      </c>
      <c r="H4025" s="15">
        <v>31300</v>
      </c>
      <c r="I4025" s="13">
        <v>38</v>
      </c>
    </row>
    <row r="4026" ht="15.75" spans="6:9">
      <c r="F4026" s="12" t="s">
        <v>7539</v>
      </c>
      <c r="G4026" s="12" t="s">
        <v>392</v>
      </c>
      <c r="H4026" s="15">
        <v>448500</v>
      </c>
      <c r="I4026" s="13">
        <v>38</v>
      </c>
    </row>
    <row r="4027" ht="15.75" spans="6:9">
      <c r="F4027" s="12" t="s">
        <v>7540</v>
      </c>
      <c r="G4027" s="12" t="s">
        <v>392</v>
      </c>
      <c r="H4027" s="15">
        <v>15100</v>
      </c>
      <c r="I4027" s="13">
        <v>38</v>
      </c>
    </row>
    <row r="4028" ht="15.75" spans="6:9">
      <c r="F4028" s="12" t="s">
        <v>7541</v>
      </c>
      <c r="G4028" s="12" t="s">
        <v>392</v>
      </c>
      <c r="H4028" s="15">
        <v>26400</v>
      </c>
      <c r="I4028" s="13">
        <v>38</v>
      </c>
    </row>
    <row r="4029" ht="15.75" spans="6:9">
      <c r="F4029" s="12" t="s">
        <v>7542</v>
      </c>
      <c r="G4029" s="12" t="s">
        <v>392</v>
      </c>
      <c r="H4029" s="15">
        <v>1700000</v>
      </c>
      <c r="I4029" s="13">
        <v>38</v>
      </c>
    </row>
    <row r="4030" ht="15.75" spans="6:9">
      <c r="F4030" s="12" t="s">
        <v>7543</v>
      </c>
      <c r="G4030" s="12" t="s">
        <v>392</v>
      </c>
      <c r="H4030" s="15">
        <v>183077</v>
      </c>
      <c r="I4030" s="13">
        <v>38</v>
      </c>
    </row>
    <row r="4031" ht="15.75" spans="6:9">
      <c r="F4031" s="12" t="s">
        <v>7544</v>
      </c>
      <c r="G4031" s="12" t="s">
        <v>392</v>
      </c>
      <c r="H4031" s="15">
        <v>425300</v>
      </c>
      <c r="I4031" s="13">
        <v>38</v>
      </c>
    </row>
    <row r="4032" ht="15.75" spans="6:9">
      <c r="F4032" s="12" t="s">
        <v>7545</v>
      </c>
      <c r="G4032" s="12" t="s">
        <v>392</v>
      </c>
      <c r="H4032" s="15">
        <v>24300</v>
      </c>
      <c r="I4032" s="13">
        <v>38</v>
      </c>
    </row>
    <row r="4033" ht="15.75" spans="6:9">
      <c r="F4033" s="12" t="s">
        <v>7546</v>
      </c>
      <c r="G4033" s="12" t="s">
        <v>392</v>
      </c>
      <c r="H4033" s="15">
        <v>60900</v>
      </c>
      <c r="I4033" s="13">
        <v>38</v>
      </c>
    </row>
    <row r="4034" ht="15.75" spans="6:9">
      <c r="F4034" s="12" t="s">
        <v>7547</v>
      </c>
      <c r="G4034" s="12" t="s">
        <v>392</v>
      </c>
      <c r="H4034" s="15">
        <v>40100</v>
      </c>
      <c r="I4034" s="13">
        <v>38</v>
      </c>
    </row>
    <row r="4035" ht="15.75" spans="6:9">
      <c r="F4035" s="12" t="s">
        <v>7548</v>
      </c>
      <c r="G4035" s="12" t="s">
        <v>392</v>
      </c>
      <c r="H4035" s="15">
        <v>10500</v>
      </c>
      <c r="I4035" s="13">
        <v>38</v>
      </c>
    </row>
    <row r="4036" ht="15.75" spans="6:9">
      <c r="F4036" s="12" t="s">
        <v>7549</v>
      </c>
      <c r="G4036" s="12" t="s">
        <v>392</v>
      </c>
      <c r="H4036" s="15">
        <v>51800</v>
      </c>
      <c r="I4036" s="13">
        <v>38</v>
      </c>
    </row>
    <row r="4037" ht="15.75" spans="6:9">
      <c r="F4037" s="12" t="s">
        <v>7550</v>
      </c>
      <c r="G4037" s="12" t="s">
        <v>391</v>
      </c>
      <c r="H4037" s="15">
        <v>67663</v>
      </c>
      <c r="I4037" s="13">
        <v>38</v>
      </c>
    </row>
    <row r="4038" ht="15.75" spans="6:9">
      <c r="F4038" s="12" t="s">
        <v>7551</v>
      </c>
      <c r="G4038" s="12" t="s">
        <v>392</v>
      </c>
      <c r="H4038" s="15">
        <v>820500</v>
      </c>
      <c r="I4038" s="13">
        <v>38</v>
      </c>
    </row>
    <row r="4039" ht="15.75" spans="6:9">
      <c r="F4039" s="12" t="s">
        <v>7552</v>
      </c>
      <c r="G4039" s="12" t="s">
        <v>392</v>
      </c>
      <c r="H4039" s="15">
        <v>154592</v>
      </c>
      <c r="I4039" s="13">
        <v>38</v>
      </c>
    </row>
    <row r="4040" ht="15.75" spans="6:9">
      <c r="F4040" s="12" t="s">
        <v>5566</v>
      </c>
      <c r="G4040" s="12" t="s">
        <v>391</v>
      </c>
      <c r="H4040" s="15">
        <v>10212</v>
      </c>
      <c r="I4040" s="13">
        <v>38</v>
      </c>
    </row>
    <row r="4041" ht="15.75" spans="6:9">
      <c r="F4041" s="12" t="s">
        <v>7553</v>
      </c>
      <c r="G4041" s="12" t="s">
        <v>392</v>
      </c>
      <c r="H4041" s="15">
        <v>77000</v>
      </c>
      <c r="I4041" s="13">
        <v>38</v>
      </c>
    </row>
    <row r="4042" ht="15.75" spans="6:9">
      <c r="F4042" s="12" t="s">
        <v>7554</v>
      </c>
      <c r="G4042" s="12" t="s">
        <v>392</v>
      </c>
      <c r="H4042" s="15">
        <v>260200</v>
      </c>
      <c r="I4042" s="13">
        <v>38</v>
      </c>
    </row>
    <row r="4043" ht="15.75" spans="6:9">
      <c r="F4043" s="12" t="s">
        <v>7555</v>
      </c>
      <c r="G4043" s="12" t="s">
        <v>392</v>
      </c>
      <c r="H4043" s="15">
        <v>22000</v>
      </c>
      <c r="I4043" s="13">
        <v>38</v>
      </c>
    </row>
    <row r="4044" ht="15.75" spans="6:9">
      <c r="F4044" s="12" t="s">
        <v>7556</v>
      </c>
      <c r="G4044" s="12" t="s">
        <v>392</v>
      </c>
      <c r="H4044" s="15">
        <v>28800</v>
      </c>
      <c r="I4044" s="13">
        <v>38</v>
      </c>
    </row>
    <row r="4045" ht="15.75" spans="6:9">
      <c r="F4045" s="12" t="s">
        <v>7557</v>
      </c>
      <c r="G4045" s="12" t="s">
        <v>392</v>
      </c>
      <c r="H4045" s="15">
        <v>11600</v>
      </c>
      <c r="I4045" s="13">
        <v>38</v>
      </c>
    </row>
    <row r="4046" ht="15.75" spans="6:9">
      <c r="F4046" s="12" t="s">
        <v>7558</v>
      </c>
      <c r="G4046" s="12" t="s">
        <v>392</v>
      </c>
      <c r="H4046" s="15">
        <v>18500</v>
      </c>
      <c r="I4046" s="13">
        <v>38</v>
      </c>
    </row>
    <row r="4047" ht="15.75" spans="6:9">
      <c r="F4047" s="12" t="s">
        <v>7559</v>
      </c>
      <c r="G4047" s="12" t="s">
        <v>392</v>
      </c>
      <c r="H4047" s="15">
        <v>116900</v>
      </c>
      <c r="I4047" s="13">
        <v>38</v>
      </c>
    </row>
    <row r="4048" ht="15.75" spans="6:9">
      <c r="F4048" s="12" t="s">
        <v>7560</v>
      </c>
      <c r="G4048" s="12" t="s">
        <v>392</v>
      </c>
      <c r="H4048" s="15">
        <v>39300</v>
      </c>
      <c r="I4048" s="13">
        <v>38</v>
      </c>
    </row>
    <row r="4049" ht="15.75" spans="6:9">
      <c r="F4049" s="12" t="s">
        <v>7561</v>
      </c>
      <c r="G4049" s="12" t="s">
        <v>392</v>
      </c>
      <c r="H4049" s="15">
        <v>1400000</v>
      </c>
      <c r="I4049" s="13">
        <v>38</v>
      </c>
    </row>
    <row r="4050" ht="15.75" spans="6:9">
      <c r="F4050" s="12" t="s">
        <v>7562</v>
      </c>
      <c r="G4050" s="12" t="s">
        <v>392</v>
      </c>
      <c r="H4050" s="15">
        <v>249700</v>
      </c>
      <c r="I4050" s="13">
        <v>38</v>
      </c>
    </row>
    <row r="4051" ht="15.75" spans="6:9">
      <c r="F4051" s="12" t="s">
        <v>3345</v>
      </c>
      <c r="G4051" s="12" t="s">
        <v>391</v>
      </c>
      <c r="H4051" s="15">
        <v>16494</v>
      </c>
      <c r="I4051" s="13">
        <v>38</v>
      </c>
    </row>
    <row r="4052" ht="15.75" spans="6:9">
      <c r="F4052" s="12" t="s">
        <v>7563</v>
      </c>
      <c r="G4052" s="12" t="s">
        <v>392</v>
      </c>
      <c r="H4052" s="15">
        <v>36500</v>
      </c>
      <c r="I4052" s="13">
        <v>38</v>
      </c>
    </row>
    <row r="4053" ht="15.75" spans="6:9">
      <c r="F4053" s="12" t="s">
        <v>3348</v>
      </c>
      <c r="G4053" s="12" t="s">
        <v>391</v>
      </c>
      <c r="H4053" s="15">
        <v>12443</v>
      </c>
      <c r="I4053" s="13">
        <v>38</v>
      </c>
    </row>
    <row r="4054" ht="15.75" spans="6:9">
      <c r="F4054" s="12" t="s">
        <v>7564</v>
      </c>
      <c r="G4054" s="12" t="s">
        <v>392</v>
      </c>
      <c r="H4054" s="15">
        <v>57500</v>
      </c>
      <c r="I4054" s="13">
        <v>38</v>
      </c>
    </row>
    <row r="4055" ht="15.75" spans="6:9">
      <c r="F4055" s="12" t="s">
        <v>7565</v>
      </c>
      <c r="G4055" s="12" t="s">
        <v>392</v>
      </c>
      <c r="H4055" s="15">
        <v>18400</v>
      </c>
      <c r="I4055" s="13">
        <v>38</v>
      </c>
    </row>
    <row r="4056" ht="15.75" spans="6:9">
      <c r="F4056" s="12" t="s">
        <v>7566</v>
      </c>
      <c r="G4056" s="12" t="s">
        <v>392</v>
      </c>
      <c r="H4056" s="15">
        <v>51000</v>
      </c>
      <c r="I4056" s="13">
        <v>38</v>
      </c>
    </row>
    <row r="4057" ht="15.75" spans="6:9">
      <c r="F4057" s="12" t="s">
        <v>7567</v>
      </c>
      <c r="G4057" s="12" t="s">
        <v>392</v>
      </c>
      <c r="H4057" s="15">
        <v>43800</v>
      </c>
      <c r="I4057" s="13">
        <v>38</v>
      </c>
    </row>
    <row r="4058" ht="15.75" spans="6:9">
      <c r="F4058" s="12" t="s">
        <v>7568</v>
      </c>
      <c r="G4058" s="12" t="s">
        <v>392</v>
      </c>
      <c r="H4058" s="15">
        <v>14700</v>
      </c>
      <c r="I4058" s="13">
        <v>38</v>
      </c>
    </row>
    <row r="4059" ht="15.75" spans="6:9">
      <c r="F4059" s="12" t="s">
        <v>7569</v>
      </c>
      <c r="G4059" s="12" t="s">
        <v>392</v>
      </c>
      <c r="H4059" s="15">
        <v>52400</v>
      </c>
      <c r="I4059" s="13">
        <v>38</v>
      </c>
    </row>
    <row r="4060" ht="15.75" spans="6:9">
      <c r="F4060" s="12" t="s">
        <v>7570</v>
      </c>
      <c r="G4060" s="12" t="s">
        <v>392</v>
      </c>
      <c r="H4060" s="15">
        <v>59900</v>
      </c>
      <c r="I4060" s="13">
        <v>38</v>
      </c>
    </row>
    <row r="4061" ht="15.75" spans="6:9">
      <c r="F4061" s="12" t="s">
        <v>7571</v>
      </c>
      <c r="G4061" s="12" t="s">
        <v>392</v>
      </c>
      <c r="H4061" s="15">
        <v>118400</v>
      </c>
      <c r="I4061" s="13">
        <v>38</v>
      </c>
    </row>
    <row r="4062" ht="15.75" spans="6:9">
      <c r="F4062" s="12" t="s">
        <v>7572</v>
      </c>
      <c r="G4062" s="12" t="s">
        <v>392</v>
      </c>
      <c r="H4062" s="15">
        <v>289000</v>
      </c>
      <c r="I4062" s="13">
        <v>38</v>
      </c>
    </row>
    <row r="4063" ht="15.75" spans="6:9">
      <c r="F4063" s="12" t="s">
        <v>7573</v>
      </c>
      <c r="G4063" s="12" t="s">
        <v>392</v>
      </c>
      <c r="H4063" s="15">
        <v>33800</v>
      </c>
      <c r="I4063" s="13">
        <v>38</v>
      </c>
    </row>
    <row r="4064" ht="15.75" spans="6:9">
      <c r="F4064" s="12" t="s">
        <v>7574</v>
      </c>
      <c r="G4064" s="12" t="s">
        <v>392</v>
      </c>
      <c r="H4064" s="15">
        <v>151700</v>
      </c>
      <c r="I4064" s="13">
        <v>38</v>
      </c>
    </row>
    <row r="4065" ht="15.75" spans="6:9">
      <c r="F4065" s="12" t="s">
        <v>7575</v>
      </c>
      <c r="G4065" s="12" t="s">
        <v>392</v>
      </c>
      <c r="H4065" s="15">
        <v>239500</v>
      </c>
      <c r="I4065" s="13">
        <v>38</v>
      </c>
    </row>
    <row r="4066" ht="15.75" spans="6:9">
      <c r="F4066" s="12" t="s">
        <v>5570</v>
      </c>
      <c r="G4066" s="12" t="s">
        <v>391</v>
      </c>
      <c r="H4066" s="15">
        <v>63859</v>
      </c>
      <c r="I4066" s="13">
        <v>38</v>
      </c>
    </row>
    <row r="4067" ht="15.75" spans="6:9">
      <c r="F4067" s="12" t="s">
        <v>5571</v>
      </c>
      <c r="G4067" s="12" t="s">
        <v>391</v>
      </c>
      <c r="H4067" s="15">
        <v>15645</v>
      </c>
      <c r="I4067" s="13">
        <v>38</v>
      </c>
    </row>
    <row r="4068" ht="15.75" spans="6:9">
      <c r="F4068" s="12" t="s">
        <v>3351</v>
      </c>
      <c r="G4068" s="12" t="s">
        <v>391</v>
      </c>
      <c r="H4068" s="15">
        <v>24809</v>
      </c>
      <c r="I4068" s="13">
        <v>38</v>
      </c>
    </row>
    <row r="4069" ht="15.75" spans="6:9">
      <c r="F4069" s="12" t="s">
        <v>7576</v>
      </c>
      <c r="G4069" s="12" t="s">
        <v>392</v>
      </c>
      <c r="H4069" s="15">
        <v>130400</v>
      </c>
      <c r="I4069" s="13">
        <v>38</v>
      </c>
    </row>
    <row r="4070" ht="15.75" spans="6:9">
      <c r="F4070" s="12" t="s">
        <v>4288</v>
      </c>
      <c r="G4070" s="12" t="s">
        <v>391</v>
      </c>
      <c r="H4070" s="15">
        <v>221080</v>
      </c>
      <c r="I4070" s="13">
        <v>38</v>
      </c>
    </row>
    <row r="4071" ht="15.75" spans="6:9">
      <c r="F4071" s="12" t="s">
        <v>7577</v>
      </c>
      <c r="G4071" s="12" t="s">
        <v>392</v>
      </c>
      <c r="H4071" s="15">
        <v>21500</v>
      </c>
      <c r="I4071" s="13">
        <v>38</v>
      </c>
    </row>
    <row r="4072" ht="15.75" spans="6:9">
      <c r="F4072" s="12" t="s">
        <v>7578</v>
      </c>
      <c r="G4072" s="12" t="s">
        <v>392</v>
      </c>
      <c r="H4072" s="15">
        <v>110000</v>
      </c>
      <c r="I4072" s="13">
        <v>38</v>
      </c>
    </row>
    <row r="4073" ht="15.75" spans="6:9">
      <c r="F4073" s="12" t="s">
        <v>4683</v>
      </c>
      <c r="G4073" s="12" t="s">
        <v>391</v>
      </c>
      <c r="H4073" s="15">
        <v>105143</v>
      </c>
      <c r="I4073" s="13">
        <v>38</v>
      </c>
    </row>
    <row r="4074" ht="15.75" spans="6:9">
      <c r="F4074" s="12" t="s">
        <v>3354</v>
      </c>
      <c r="G4074" s="12" t="s">
        <v>391</v>
      </c>
      <c r="H4074" s="15">
        <v>12499</v>
      </c>
      <c r="I4074" s="13">
        <v>38</v>
      </c>
    </row>
    <row r="4075" ht="15.75" spans="6:9">
      <c r="F4075" s="12" t="s">
        <v>3357</v>
      </c>
      <c r="G4075" s="12" t="s">
        <v>391</v>
      </c>
      <c r="H4075" s="15">
        <v>11593</v>
      </c>
      <c r="I4075" s="13">
        <v>38</v>
      </c>
    </row>
    <row r="4076" ht="15.75" spans="6:9">
      <c r="F4076" s="12" t="s">
        <v>7579</v>
      </c>
      <c r="G4076" s="12" t="s">
        <v>392</v>
      </c>
      <c r="H4076" s="15">
        <v>27800</v>
      </c>
      <c r="I4076" s="13">
        <v>38</v>
      </c>
    </row>
    <row r="4077" ht="15.75" spans="6:9">
      <c r="F4077" s="12" t="s">
        <v>7580</v>
      </c>
      <c r="G4077" s="12" t="s">
        <v>392</v>
      </c>
      <c r="H4077" s="15">
        <v>156300</v>
      </c>
      <c r="I4077" s="13">
        <v>38</v>
      </c>
    </row>
    <row r="4078" ht="15.75" spans="6:9">
      <c r="F4078" s="12" t="s">
        <v>7581</v>
      </c>
      <c r="G4078" s="12" t="s">
        <v>392</v>
      </c>
      <c r="H4078" s="15">
        <v>33100</v>
      </c>
      <c r="I4078" s="13">
        <v>38</v>
      </c>
    </row>
    <row r="4079" ht="15.75" spans="6:9">
      <c r="F4079" s="12" t="s">
        <v>7582</v>
      </c>
      <c r="G4079" s="12" t="s">
        <v>392</v>
      </c>
      <c r="H4079" s="15">
        <v>873700</v>
      </c>
      <c r="I4079" s="13">
        <v>38</v>
      </c>
    </row>
    <row r="4080" ht="15.75" spans="6:9">
      <c r="F4080" s="12" t="s">
        <v>3360</v>
      </c>
      <c r="G4080" s="12" t="s">
        <v>391</v>
      </c>
      <c r="H4080" s="15">
        <v>30477</v>
      </c>
      <c r="I4080" s="13">
        <v>38</v>
      </c>
    </row>
    <row r="4081" ht="15.75" spans="6:9">
      <c r="F4081" s="12" t="s">
        <v>7583</v>
      </c>
      <c r="G4081" s="12" t="s">
        <v>392</v>
      </c>
      <c r="H4081" s="15">
        <v>522300</v>
      </c>
      <c r="I4081" s="13">
        <v>38</v>
      </c>
    </row>
    <row r="4082" ht="15.75" spans="6:9">
      <c r="F4082" s="12" t="s">
        <v>7584</v>
      </c>
      <c r="G4082" s="12" t="s">
        <v>392</v>
      </c>
      <c r="H4082" s="15">
        <v>162900</v>
      </c>
      <c r="I4082" s="13">
        <v>38</v>
      </c>
    </row>
    <row r="4083" ht="15.75" spans="6:9">
      <c r="F4083" s="12" t="s">
        <v>7585</v>
      </c>
      <c r="G4083" s="12" t="s">
        <v>392</v>
      </c>
      <c r="H4083" s="15">
        <v>285900</v>
      </c>
      <c r="I4083" s="13">
        <v>38</v>
      </c>
    </row>
    <row r="4084" ht="15.75" spans="6:9">
      <c r="F4084" s="12" t="s">
        <v>7586</v>
      </c>
      <c r="G4084" s="12" t="s">
        <v>392</v>
      </c>
      <c r="H4084" s="15">
        <v>27400</v>
      </c>
      <c r="I4084" s="13">
        <v>38</v>
      </c>
    </row>
    <row r="4085" ht="15.75" spans="6:9">
      <c r="F4085" s="12" t="s">
        <v>3363</v>
      </c>
      <c r="G4085" s="12" t="s">
        <v>391</v>
      </c>
      <c r="H4085" s="15">
        <v>12537</v>
      </c>
      <c r="I4085" s="13">
        <v>38</v>
      </c>
    </row>
    <row r="4086" ht="15.75" spans="6:9">
      <c r="F4086" s="12" t="s">
        <v>7587</v>
      </c>
      <c r="G4086" s="12" t="s">
        <v>392</v>
      </c>
      <c r="H4086" s="15">
        <v>1100000</v>
      </c>
      <c r="I4086" s="13">
        <v>38</v>
      </c>
    </row>
    <row r="4087" ht="15.75" spans="6:9">
      <c r="F4087" s="12" t="s">
        <v>3365</v>
      </c>
      <c r="G4087" s="12" t="s">
        <v>391</v>
      </c>
      <c r="H4087" s="15">
        <v>12327</v>
      </c>
      <c r="I4087" s="13">
        <v>38</v>
      </c>
    </row>
    <row r="4088" ht="15.75" spans="6:9">
      <c r="F4088" s="12" t="s">
        <v>7588</v>
      </c>
      <c r="G4088" s="12" t="s">
        <v>392</v>
      </c>
      <c r="H4088" s="15">
        <v>425100</v>
      </c>
      <c r="I4088" s="13">
        <v>38</v>
      </c>
    </row>
    <row r="4089" ht="15.75" spans="6:9">
      <c r="F4089" s="12" t="s">
        <v>7589</v>
      </c>
      <c r="G4089" s="12" t="s">
        <v>392</v>
      </c>
      <c r="H4089" s="15">
        <v>183000</v>
      </c>
      <c r="I4089" s="13">
        <v>38</v>
      </c>
    </row>
    <row r="4090" ht="15.75" spans="6:9">
      <c r="F4090" s="12" t="s">
        <v>7590</v>
      </c>
      <c r="G4090" s="12" t="s">
        <v>392</v>
      </c>
      <c r="H4090" s="15">
        <v>90600</v>
      </c>
      <c r="I4090" s="13">
        <v>38</v>
      </c>
    </row>
    <row r="4091" ht="15.75" spans="6:9">
      <c r="F4091" s="12" t="s">
        <v>7591</v>
      </c>
      <c r="G4091" s="12" t="s">
        <v>392</v>
      </c>
      <c r="H4091" s="15">
        <v>55300</v>
      </c>
      <c r="I4091" s="13">
        <v>38</v>
      </c>
    </row>
    <row r="4092" ht="15.75" spans="6:9">
      <c r="F4092" s="12" t="s">
        <v>7592</v>
      </c>
      <c r="G4092" s="12" t="s">
        <v>392</v>
      </c>
      <c r="H4092" s="15">
        <v>61400</v>
      </c>
      <c r="I4092" s="13">
        <v>38</v>
      </c>
    </row>
    <row r="4093" ht="15.75" spans="6:9">
      <c r="F4093" s="12" t="s">
        <v>7593</v>
      </c>
      <c r="G4093" s="12" t="s">
        <v>392</v>
      </c>
      <c r="H4093" s="15">
        <v>157200</v>
      </c>
      <c r="I4093" s="13">
        <v>38</v>
      </c>
    </row>
    <row r="4094" ht="15.75" spans="6:9">
      <c r="F4094" s="12" t="s">
        <v>7594</v>
      </c>
      <c r="G4094" s="12" t="s">
        <v>392</v>
      </c>
      <c r="H4094" s="15">
        <v>60700</v>
      </c>
      <c r="I4094" s="13">
        <v>38</v>
      </c>
    </row>
    <row r="4095" ht="15.75" spans="6:9">
      <c r="F4095" s="12" t="s">
        <v>7595</v>
      </c>
      <c r="G4095" s="12" t="s">
        <v>392</v>
      </c>
      <c r="H4095" s="15">
        <v>115000</v>
      </c>
      <c r="I4095" s="13">
        <v>38</v>
      </c>
    </row>
    <row r="4096" ht="15.75" spans="6:9">
      <c r="F4096" s="12" t="s">
        <v>7596</v>
      </c>
      <c r="G4096" s="12" t="s">
        <v>392</v>
      </c>
      <c r="H4096" s="15">
        <v>23300</v>
      </c>
      <c r="I4096" s="13">
        <v>38</v>
      </c>
    </row>
    <row r="4097" ht="15.75" spans="6:9">
      <c r="F4097" s="12" t="s">
        <v>7597</v>
      </c>
      <c r="G4097" s="12" t="s">
        <v>392</v>
      </c>
      <c r="H4097" s="15">
        <v>82100</v>
      </c>
      <c r="I4097" s="13">
        <v>38</v>
      </c>
    </row>
    <row r="4098" ht="15.75" spans="6:9">
      <c r="F4098" s="12" t="s">
        <v>7598</v>
      </c>
      <c r="G4098" s="12" t="s">
        <v>392</v>
      </c>
      <c r="H4098" s="15">
        <v>440600</v>
      </c>
      <c r="I4098" s="13">
        <v>38</v>
      </c>
    </row>
    <row r="4099" ht="15.75" spans="6:9">
      <c r="F4099" s="12" t="s">
        <v>7599</v>
      </c>
      <c r="G4099" s="12" t="s">
        <v>392</v>
      </c>
      <c r="H4099" s="15">
        <v>12900</v>
      </c>
      <c r="I4099" s="13">
        <v>38</v>
      </c>
    </row>
    <row r="4100" ht="15.75" spans="6:9">
      <c r="F4100" s="12" t="s">
        <v>7600</v>
      </c>
      <c r="G4100" s="12" t="s">
        <v>392</v>
      </c>
      <c r="H4100" s="15">
        <v>20600</v>
      </c>
      <c r="I4100" s="13">
        <v>38</v>
      </c>
    </row>
    <row r="4101" ht="15.75" spans="6:9">
      <c r="F4101" s="12" t="s">
        <v>7601</v>
      </c>
      <c r="G4101" s="12" t="s">
        <v>392</v>
      </c>
      <c r="H4101" s="15">
        <v>294500</v>
      </c>
      <c r="I4101" s="13">
        <v>38</v>
      </c>
    </row>
    <row r="4102" ht="15.75" spans="6:9">
      <c r="F4102" s="12" t="s">
        <v>7602</v>
      </c>
      <c r="G4102" s="12" t="s">
        <v>392</v>
      </c>
      <c r="H4102" s="15">
        <v>158600</v>
      </c>
      <c r="I4102" s="13">
        <v>38</v>
      </c>
    </row>
    <row r="4103" ht="15.75" spans="6:9">
      <c r="F4103" s="12" t="s">
        <v>7603</v>
      </c>
      <c r="G4103" s="12" t="s">
        <v>392</v>
      </c>
      <c r="H4103" s="15">
        <v>105100</v>
      </c>
      <c r="I4103" s="13">
        <v>38</v>
      </c>
    </row>
    <row r="4104" ht="15.75" spans="6:9">
      <c r="F4104" s="12" t="s">
        <v>7604</v>
      </c>
      <c r="G4104" s="12" t="s">
        <v>392</v>
      </c>
      <c r="H4104" s="15">
        <v>104300</v>
      </c>
      <c r="I4104" s="13">
        <v>38</v>
      </c>
    </row>
    <row r="4105" ht="15.75" spans="6:9">
      <c r="F4105" s="12" t="s">
        <v>7605</v>
      </c>
      <c r="G4105" s="12" t="s">
        <v>392</v>
      </c>
      <c r="H4105" s="15">
        <v>19100</v>
      </c>
      <c r="I4105" s="13">
        <v>38</v>
      </c>
    </row>
    <row r="4106" ht="15.75" spans="6:9">
      <c r="F4106" s="12" t="s">
        <v>7606</v>
      </c>
      <c r="G4106" s="12" t="s">
        <v>392</v>
      </c>
      <c r="H4106" s="15">
        <v>109300</v>
      </c>
      <c r="I4106" s="13">
        <v>38</v>
      </c>
    </row>
    <row r="4107" ht="15.75" spans="6:9">
      <c r="F4107" s="12" t="s">
        <v>7607</v>
      </c>
      <c r="G4107" s="12" t="s">
        <v>392</v>
      </c>
      <c r="H4107" s="15">
        <v>122000</v>
      </c>
      <c r="I4107" s="13">
        <v>38</v>
      </c>
    </row>
    <row r="4108" ht="15.75" spans="6:9">
      <c r="F4108" s="12" t="s">
        <v>7608</v>
      </c>
      <c r="G4108" s="12" t="s">
        <v>392</v>
      </c>
      <c r="H4108" s="15">
        <v>57100</v>
      </c>
      <c r="I4108" s="13">
        <v>38</v>
      </c>
    </row>
    <row r="4109" ht="15.75" spans="6:9">
      <c r="F4109" s="12" t="s">
        <v>7609</v>
      </c>
      <c r="G4109" s="12" t="s">
        <v>392</v>
      </c>
      <c r="H4109" s="15">
        <v>23500</v>
      </c>
      <c r="I4109" s="13">
        <v>38</v>
      </c>
    </row>
    <row r="4110" ht="15.75" spans="6:9">
      <c r="F4110" s="12" t="s">
        <v>7610</v>
      </c>
      <c r="G4110" s="12" t="s">
        <v>392</v>
      </c>
      <c r="H4110" s="15">
        <v>15300</v>
      </c>
      <c r="I4110" s="13">
        <v>38</v>
      </c>
    </row>
    <row r="4111" ht="15.75" spans="6:9">
      <c r="F4111" s="12" t="s">
        <v>3368</v>
      </c>
      <c r="G4111" s="12" t="s">
        <v>391</v>
      </c>
      <c r="H4111" s="15">
        <v>18038</v>
      </c>
      <c r="I4111" s="13">
        <v>38</v>
      </c>
    </row>
    <row r="4112" ht="15.75" spans="6:9">
      <c r="F4112" s="12" t="s">
        <v>7611</v>
      </c>
      <c r="G4112" s="12" t="s">
        <v>392</v>
      </c>
      <c r="H4112" s="15">
        <v>282000</v>
      </c>
      <c r="I4112" s="13">
        <v>38</v>
      </c>
    </row>
    <row r="4113" ht="15.75" spans="6:9">
      <c r="F4113" s="12" t="s">
        <v>7612</v>
      </c>
      <c r="G4113" s="12" t="s">
        <v>392</v>
      </c>
      <c r="H4113" s="15">
        <v>54400</v>
      </c>
      <c r="I4113" s="13">
        <v>38</v>
      </c>
    </row>
    <row r="4114" ht="15.75" spans="6:9">
      <c r="F4114" s="12" t="s">
        <v>7613</v>
      </c>
      <c r="G4114" s="12" t="s">
        <v>392</v>
      </c>
      <c r="H4114" s="15">
        <v>99100</v>
      </c>
      <c r="I4114" s="13">
        <v>38</v>
      </c>
    </row>
    <row r="4115" ht="15.75" spans="6:9">
      <c r="F4115" s="12" t="s">
        <v>7614</v>
      </c>
      <c r="G4115" s="12" t="s">
        <v>392</v>
      </c>
      <c r="H4115" s="15">
        <v>33700</v>
      </c>
      <c r="I4115" s="13">
        <v>38</v>
      </c>
    </row>
    <row r="4116" ht="15.75" spans="6:9">
      <c r="F4116" s="12" t="s">
        <v>7615</v>
      </c>
      <c r="G4116" s="12" t="s">
        <v>392</v>
      </c>
      <c r="H4116" s="15">
        <v>50100</v>
      </c>
      <c r="I4116" s="13">
        <v>38</v>
      </c>
    </row>
    <row r="4117" ht="15.75" spans="6:9">
      <c r="F4117" s="12" t="s">
        <v>7616</v>
      </c>
      <c r="G4117" s="12" t="s">
        <v>392</v>
      </c>
      <c r="H4117" s="15">
        <v>53400</v>
      </c>
      <c r="I4117" s="13">
        <v>38</v>
      </c>
    </row>
    <row r="4118" ht="15.75" spans="6:9">
      <c r="F4118" s="12" t="s">
        <v>7617</v>
      </c>
      <c r="G4118" s="12" t="s">
        <v>392</v>
      </c>
      <c r="H4118" s="15">
        <v>22800</v>
      </c>
      <c r="I4118" s="13">
        <v>38</v>
      </c>
    </row>
    <row r="4119" ht="15.75" spans="6:9">
      <c r="F4119" s="12" t="s">
        <v>7618</v>
      </c>
      <c r="G4119" s="12" t="s">
        <v>392</v>
      </c>
      <c r="H4119" s="15">
        <v>1900000</v>
      </c>
      <c r="I4119" s="13">
        <v>38</v>
      </c>
    </row>
    <row r="4120" ht="15.75" spans="6:9">
      <c r="F4120" s="12" t="s">
        <v>7619</v>
      </c>
      <c r="G4120" s="12" t="s">
        <v>392</v>
      </c>
      <c r="H4120" s="15">
        <v>192300</v>
      </c>
      <c r="I4120" s="13">
        <v>38</v>
      </c>
    </row>
    <row r="4121" ht="15.75" spans="6:9">
      <c r="F4121" s="12" t="s">
        <v>7620</v>
      </c>
      <c r="G4121" s="12" t="s">
        <v>392</v>
      </c>
      <c r="H4121" s="15">
        <v>34000</v>
      </c>
      <c r="I4121" s="13">
        <v>38</v>
      </c>
    </row>
    <row r="4122" ht="15.75" spans="6:9">
      <c r="F4122" s="12" t="s">
        <v>7621</v>
      </c>
      <c r="G4122" s="12" t="s">
        <v>392</v>
      </c>
      <c r="H4122" s="15">
        <v>320300</v>
      </c>
      <c r="I4122" s="13">
        <v>38</v>
      </c>
    </row>
    <row r="4123" ht="15.75" spans="6:9">
      <c r="F4123" s="12" t="s">
        <v>7622</v>
      </c>
      <c r="G4123" s="12" t="s">
        <v>392</v>
      </c>
      <c r="H4123" s="15">
        <v>12700</v>
      </c>
      <c r="I4123" s="13">
        <v>38</v>
      </c>
    </row>
    <row r="4124" ht="15.75" spans="6:9">
      <c r="F4124" s="12" t="s">
        <v>7623</v>
      </c>
      <c r="G4124" s="12" t="s">
        <v>392</v>
      </c>
      <c r="H4124" s="15">
        <v>107300</v>
      </c>
      <c r="I4124" s="13">
        <v>38</v>
      </c>
    </row>
    <row r="4125" ht="15.75" spans="6:9">
      <c r="F4125" s="12" t="s">
        <v>7624</v>
      </c>
      <c r="G4125" s="12" t="s">
        <v>392</v>
      </c>
      <c r="H4125" s="15">
        <v>19300</v>
      </c>
      <c r="I4125" s="13">
        <v>38</v>
      </c>
    </row>
    <row r="4126" ht="15.75" spans="6:9">
      <c r="F4126" s="12" t="s">
        <v>7625</v>
      </c>
      <c r="G4126" s="12" t="s">
        <v>392</v>
      </c>
      <c r="H4126" s="15">
        <v>484300</v>
      </c>
      <c r="I4126" s="13">
        <v>38</v>
      </c>
    </row>
    <row r="4127" ht="15.75" spans="6:9">
      <c r="F4127" s="12" t="s">
        <v>7626</v>
      </c>
      <c r="G4127" s="12" t="s">
        <v>392</v>
      </c>
      <c r="H4127" s="15">
        <v>30300</v>
      </c>
      <c r="I4127" s="13">
        <v>38</v>
      </c>
    </row>
    <row r="4128" ht="15.75" spans="6:9">
      <c r="F4128" s="12" t="s">
        <v>7627</v>
      </c>
      <c r="G4128" s="12" t="s">
        <v>392</v>
      </c>
      <c r="H4128" s="15">
        <v>17200</v>
      </c>
      <c r="I4128" s="13">
        <v>38</v>
      </c>
    </row>
    <row r="4129" ht="15.75" spans="6:9">
      <c r="F4129" s="12" t="s">
        <v>7628</v>
      </c>
      <c r="G4129" s="12" t="s">
        <v>392</v>
      </c>
      <c r="H4129" s="15">
        <v>11000</v>
      </c>
      <c r="I4129" s="13">
        <v>38</v>
      </c>
    </row>
    <row r="4130" ht="15.75" spans="6:9">
      <c r="F4130" s="12" t="s">
        <v>7629</v>
      </c>
      <c r="G4130" s="12" t="s">
        <v>392</v>
      </c>
      <c r="H4130" s="15">
        <v>18100</v>
      </c>
      <c r="I4130" s="13">
        <v>38</v>
      </c>
    </row>
    <row r="4131" ht="15.75" spans="6:9">
      <c r="F4131" s="12" t="s">
        <v>7630</v>
      </c>
      <c r="G4131" s="12" t="s">
        <v>392</v>
      </c>
      <c r="H4131" s="15">
        <v>613300</v>
      </c>
      <c r="I4131" s="13">
        <v>38</v>
      </c>
    </row>
    <row r="4132" ht="15.75" spans="6:9">
      <c r="F4132" s="12" t="s">
        <v>7631</v>
      </c>
      <c r="G4132" s="12" t="s">
        <v>392</v>
      </c>
      <c r="H4132" s="15">
        <v>162800</v>
      </c>
      <c r="I4132" s="13">
        <v>38</v>
      </c>
    </row>
    <row r="4133" ht="15.75" spans="6:9">
      <c r="F4133" s="12" t="s">
        <v>7632</v>
      </c>
      <c r="G4133" s="12" t="s">
        <v>392</v>
      </c>
      <c r="H4133" s="15">
        <v>18800</v>
      </c>
      <c r="I4133" s="13">
        <v>38</v>
      </c>
    </row>
    <row r="4134" ht="15.75" spans="6:9">
      <c r="F4134" s="12" t="s">
        <v>7633</v>
      </c>
      <c r="G4134" s="12" t="s">
        <v>392</v>
      </c>
      <c r="H4134" s="15">
        <v>19800</v>
      </c>
      <c r="I4134" s="13">
        <v>38</v>
      </c>
    </row>
    <row r="4135" ht="15.75" spans="6:9">
      <c r="F4135" s="12" t="s">
        <v>3370</v>
      </c>
      <c r="G4135" s="12" t="s">
        <v>391</v>
      </c>
      <c r="H4135" s="15">
        <v>16032</v>
      </c>
      <c r="I4135" s="13">
        <v>38</v>
      </c>
    </row>
    <row r="4136" ht="15.75" spans="6:9">
      <c r="F4136" s="12" t="s">
        <v>7634</v>
      </c>
      <c r="G4136" s="12" t="s">
        <v>392</v>
      </c>
      <c r="H4136" s="15">
        <v>38400</v>
      </c>
      <c r="I4136" s="13">
        <v>38</v>
      </c>
    </row>
    <row r="4137" ht="15.75" spans="6:9">
      <c r="F4137" s="12" t="s">
        <v>7635</v>
      </c>
      <c r="G4137" s="12" t="s">
        <v>392</v>
      </c>
      <c r="H4137" s="15">
        <v>461500</v>
      </c>
      <c r="I4137" s="13">
        <v>38</v>
      </c>
    </row>
    <row r="4138" ht="15.75" spans="6:9">
      <c r="F4138" s="12" t="s">
        <v>7636</v>
      </c>
      <c r="G4138" s="12" t="s">
        <v>392</v>
      </c>
      <c r="H4138" s="15">
        <v>116500</v>
      </c>
      <c r="I4138" s="13">
        <v>38</v>
      </c>
    </row>
    <row r="4139" ht="15.75" spans="6:9">
      <c r="F4139" s="12" t="s">
        <v>7637</v>
      </c>
      <c r="G4139" s="12" t="s">
        <v>392</v>
      </c>
      <c r="H4139" s="15">
        <v>413500</v>
      </c>
      <c r="I4139" s="13">
        <v>38</v>
      </c>
    </row>
    <row r="4140" ht="15.75" spans="6:9">
      <c r="F4140" s="12" t="s">
        <v>3373</v>
      </c>
      <c r="G4140" s="12" t="s">
        <v>391</v>
      </c>
      <c r="H4140" s="15">
        <v>13716</v>
      </c>
      <c r="I4140" s="13">
        <v>38</v>
      </c>
    </row>
    <row r="4141" ht="15.75" spans="6:9">
      <c r="F4141" s="12" t="s">
        <v>7638</v>
      </c>
      <c r="G4141" s="12" t="s">
        <v>392</v>
      </c>
      <c r="H4141" s="15">
        <v>60000</v>
      </c>
      <c r="I4141" s="13">
        <v>38</v>
      </c>
    </row>
    <row r="4142" ht="15.75" spans="6:9">
      <c r="F4142" s="12" t="s">
        <v>7639</v>
      </c>
      <c r="G4142" s="12" t="s">
        <v>392</v>
      </c>
      <c r="H4142" s="15">
        <v>250600</v>
      </c>
      <c r="I4142" s="13">
        <v>38</v>
      </c>
    </row>
    <row r="4143" ht="15.75" spans="6:9">
      <c r="F4143" s="12" t="s">
        <v>7640</v>
      </c>
      <c r="G4143" s="12" t="s">
        <v>392</v>
      </c>
      <c r="H4143" s="15">
        <v>869800</v>
      </c>
      <c r="I4143" s="13">
        <v>38</v>
      </c>
    </row>
    <row r="4144" ht="15.75" spans="6:9">
      <c r="F4144" s="12" t="s">
        <v>7641</v>
      </c>
      <c r="G4144" s="12" t="s">
        <v>392</v>
      </c>
      <c r="H4144" s="15">
        <v>31700</v>
      </c>
      <c r="I4144" s="13">
        <v>38</v>
      </c>
    </row>
    <row r="4145" ht="15.75" spans="6:9">
      <c r="F4145" s="12" t="s">
        <v>7642</v>
      </c>
      <c r="G4145" s="12" t="s">
        <v>392</v>
      </c>
      <c r="H4145" s="15">
        <v>112000</v>
      </c>
      <c r="I4145" s="13">
        <v>38</v>
      </c>
    </row>
    <row r="4146" ht="15.75" spans="6:9">
      <c r="F4146" s="12" t="s">
        <v>7643</v>
      </c>
      <c r="G4146" s="12" t="s">
        <v>392</v>
      </c>
      <c r="H4146" s="15">
        <v>254200</v>
      </c>
      <c r="I4146" s="13">
        <v>38</v>
      </c>
    </row>
    <row r="4147" ht="15.75" spans="6:9">
      <c r="F4147" s="12" t="s">
        <v>7644</v>
      </c>
      <c r="G4147" s="12" t="s">
        <v>391</v>
      </c>
      <c r="H4147" s="15">
        <v>49807</v>
      </c>
      <c r="I4147" s="13">
        <v>38</v>
      </c>
    </row>
    <row r="4148" ht="15.75" spans="6:9">
      <c r="F4148" s="12" t="s">
        <v>4695</v>
      </c>
      <c r="G4148" s="12" t="s">
        <v>392</v>
      </c>
      <c r="H4148" s="15">
        <v>149100</v>
      </c>
      <c r="I4148" s="13">
        <v>38</v>
      </c>
    </row>
    <row r="4149" ht="15.75" spans="6:9">
      <c r="F4149" s="12" t="s">
        <v>7645</v>
      </c>
      <c r="G4149" s="12" t="s">
        <v>392</v>
      </c>
      <c r="H4149" s="15">
        <v>181800</v>
      </c>
      <c r="I4149" s="13">
        <v>38</v>
      </c>
    </row>
    <row r="4150" ht="15.75" spans="6:9">
      <c r="F4150" s="12" t="s">
        <v>5701</v>
      </c>
      <c r="G4150" s="12" t="s">
        <v>391</v>
      </c>
      <c r="H4150" s="15">
        <v>49576</v>
      </c>
      <c r="I4150" s="13">
        <v>38</v>
      </c>
    </row>
    <row r="4151" ht="15.75" spans="6:9">
      <c r="F4151" s="12" t="s">
        <v>7646</v>
      </c>
      <c r="G4151" s="12" t="s">
        <v>392</v>
      </c>
      <c r="H4151" s="15">
        <v>42000</v>
      </c>
      <c r="I4151" s="13">
        <v>38</v>
      </c>
    </row>
    <row r="4152" ht="15.75" spans="6:9">
      <c r="F4152" s="12" t="s">
        <v>7647</v>
      </c>
      <c r="G4152" s="12" t="s">
        <v>392</v>
      </c>
      <c r="H4152" s="15">
        <v>677200</v>
      </c>
      <c r="I4152" s="13">
        <v>38</v>
      </c>
    </row>
    <row r="4153" ht="15.75" spans="6:9">
      <c r="F4153" s="12" t="s">
        <v>7648</v>
      </c>
      <c r="G4153" s="12" t="s">
        <v>392</v>
      </c>
      <c r="H4153" s="15">
        <v>231500</v>
      </c>
      <c r="I4153" s="13">
        <v>38</v>
      </c>
    </row>
    <row r="4154" ht="15.75" spans="6:9">
      <c r="F4154" s="12" t="s">
        <v>7649</v>
      </c>
      <c r="G4154" s="12" t="s">
        <v>392</v>
      </c>
      <c r="H4154" s="15">
        <v>60800</v>
      </c>
      <c r="I4154" s="13">
        <v>38</v>
      </c>
    </row>
    <row r="4155" ht="15.75" spans="6:9">
      <c r="F4155" s="12" t="s">
        <v>7650</v>
      </c>
      <c r="G4155" s="12" t="s">
        <v>392</v>
      </c>
      <c r="H4155" s="15">
        <v>74600</v>
      </c>
      <c r="I4155" s="13">
        <v>38</v>
      </c>
    </row>
    <row r="4156" ht="15.75" spans="6:9">
      <c r="F4156" s="12" t="s">
        <v>7651</v>
      </c>
      <c r="G4156" s="12" t="s">
        <v>392</v>
      </c>
      <c r="H4156" s="15">
        <v>140300</v>
      </c>
      <c r="I4156" s="13">
        <v>38</v>
      </c>
    </row>
    <row r="4157" ht="15.75" spans="6:9">
      <c r="F4157" s="12" t="s">
        <v>7652</v>
      </c>
      <c r="G4157" s="12" t="s">
        <v>392</v>
      </c>
      <c r="H4157" s="15">
        <v>89700</v>
      </c>
      <c r="I4157" s="13">
        <v>38</v>
      </c>
    </row>
    <row r="4158" ht="15.75" spans="6:9">
      <c r="F4158" s="12" t="s">
        <v>7653</v>
      </c>
      <c r="G4158" s="12" t="s">
        <v>392</v>
      </c>
      <c r="H4158" s="15">
        <v>738700</v>
      </c>
      <c r="I4158" s="13">
        <v>38</v>
      </c>
    </row>
    <row r="4159" ht="15.75" spans="6:9">
      <c r="F4159" s="12" t="s">
        <v>3376</v>
      </c>
      <c r="G4159" s="12" t="s">
        <v>391</v>
      </c>
      <c r="H4159" s="15">
        <v>12379</v>
      </c>
      <c r="I4159" s="13">
        <v>38</v>
      </c>
    </row>
    <row r="4160" ht="15.75" spans="6:9">
      <c r="F4160" s="12" t="s">
        <v>7654</v>
      </c>
      <c r="G4160" s="12" t="s">
        <v>392</v>
      </c>
      <c r="H4160" s="15">
        <v>54303</v>
      </c>
      <c r="I4160" s="13">
        <v>38</v>
      </c>
    </row>
    <row r="4161" ht="15.75" spans="6:9">
      <c r="F4161" s="12" t="s">
        <v>7655</v>
      </c>
      <c r="G4161" s="12" t="s">
        <v>392</v>
      </c>
      <c r="H4161" s="15">
        <v>43700</v>
      </c>
      <c r="I4161" s="13">
        <v>38</v>
      </c>
    </row>
    <row r="4162" ht="15.75" spans="6:9">
      <c r="F4162" s="12" t="s">
        <v>7656</v>
      </c>
      <c r="G4162" s="12" t="s">
        <v>392</v>
      </c>
      <c r="H4162" s="15">
        <v>34400</v>
      </c>
      <c r="I4162" s="13">
        <v>38</v>
      </c>
    </row>
    <row r="4163" ht="15.75" spans="6:9">
      <c r="F4163" s="12" t="s">
        <v>7657</v>
      </c>
      <c r="G4163" s="12" t="s">
        <v>392</v>
      </c>
      <c r="H4163" s="15">
        <v>25600</v>
      </c>
      <c r="I4163" s="13">
        <v>38</v>
      </c>
    </row>
    <row r="4164" ht="15.75" spans="6:9">
      <c r="F4164" s="12" t="s">
        <v>7658</v>
      </c>
      <c r="G4164" s="12" t="s">
        <v>392</v>
      </c>
      <c r="H4164" s="15">
        <v>103100</v>
      </c>
      <c r="I4164" s="13">
        <v>38</v>
      </c>
    </row>
    <row r="4165" ht="15.75" spans="6:9">
      <c r="F4165" s="12" t="s">
        <v>7659</v>
      </c>
      <c r="G4165" s="12" t="s">
        <v>392</v>
      </c>
      <c r="H4165" s="15">
        <v>84600</v>
      </c>
      <c r="I4165" s="13">
        <v>38</v>
      </c>
    </row>
    <row r="4166" ht="15.75" spans="6:9">
      <c r="F4166" s="12" t="s">
        <v>7660</v>
      </c>
      <c r="G4166" s="12" t="s">
        <v>392</v>
      </c>
      <c r="H4166" s="15">
        <v>80700</v>
      </c>
      <c r="I4166" s="13">
        <v>38</v>
      </c>
    </row>
    <row r="4167" ht="15.75" spans="6:9">
      <c r="F4167" s="12" t="s">
        <v>7661</v>
      </c>
      <c r="G4167" s="12" t="s">
        <v>392</v>
      </c>
      <c r="H4167" s="15">
        <v>374400</v>
      </c>
      <c r="I4167" s="13">
        <v>38</v>
      </c>
    </row>
    <row r="4168" ht="15.75" spans="6:9">
      <c r="F4168" s="12" t="s">
        <v>7662</v>
      </c>
      <c r="G4168" s="12" t="s">
        <v>392</v>
      </c>
      <c r="H4168" s="15">
        <v>219600</v>
      </c>
      <c r="I4168" s="13">
        <v>38</v>
      </c>
    </row>
    <row r="4169" ht="15.75" spans="6:9">
      <c r="F4169" s="12" t="s">
        <v>7663</v>
      </c>
      <c r="G4169" s="12" t="s">
        <v>392</v>
      </c>
      <c r="H4169" s="15">
        <v>44500</v>
      </c>
      <c r="I4169" s="13">
        <v>38</v>
      </c>
    </row>
    <row r="4170" ht="15.75" spans="6:9">
      <c r="F4170" s="12" t="s">
        <v>7664</v>
      </c>
      <c r="G4170" s="12" t="s">
        <v>392</v>
      </c>
      <c r="H4170" s="15">
        <v>211500</v>
      </c>
      <c r="I4170" s="13">
        <v>38</v>
      </c>
    </row>
    <row r="4171" ht="15.75" spans="6:9">
      <c r="F4171" s="12" t="s">
        <v>7665</v>
      </c>
      <c r="G4171" s="12" t="s">
        <v>392</v>
      </c>
      <c r="H4171" s="15">
        <v>33700</v>
      </c>
      <c r="I4171" s="13">
        <v>38</v>
      </c>
    </row>
    <row r="4172" ht="15.75" spans="6:9">
      <c r="F4172" s="12" t="s">
        <v>7666</v>
      </c>
      <c r="G4172" s="12" t="s">
        <v>392</v>
      </c>
      <c r="H4172" s="15">
        <v>18600</v>
      </c>
      <c r="I4172" s="13">
        <v>38</v>
      </c>
    </row>
    <row r="4173" ht="15.75" spans="6:9">
      <c r="F4173" s="12" t="s">
        <v>7667</v>
      </c>
      <c r="G4173" s="12" t="s">
        <v>392</v>
      </c>
      <c r="H4173" s="15">
        <v>47200</v>
      </c>
      <c r="I4173" s="13">
        <v>38</v>
      </c>
    </row>
    <row r="4174" ht="15.75" spans="6:9">
      <c r="F4174" s="12" t="s">
        <v>7668</v>
      </c>
      <c r="G4174" s="12" t="s">
        <v>392</v>
      </c>
      <c r="H4174" s="15">
        <v>26400</v>
      </c>
      <c r="I4174" s="13">
        <v>38</v>
      </c>
    </row>
    <row r="4175" ht="15.75" spans="6:9">
      <c r="F4175" s="12" t="s">
        <v>7669</v>
      </c>
      <c r="G4175" s="12" t="s">
        <v>392</v>
      </c>
      <c r="H4175" s="15">
        <v>1800000</v>
      </c>
      <c r="I4175" s="13">
        <v>38</v>
      </c>
    </row>
    <row r="4176" ht="15.75" spans="6:9">
      <c r="F4176" s="12" t="s">
        <v>7670</v>
      </c>
      <c r="G4176" s="12" t="s">
        <v>392</v>
      </c>
      <c r="H4176" s="15">
        <v>25700</v>
      </c>
      <c r="I4176" s="13">
        <v>38</v>
      </c>
    </row>
    <row r="4177" ht="15.75" spans="6:9">
      <c r="F4177" s="12" t="s">
        <v>7671</v>
      </c>
      <c r="G4177" s="12" t="s">
        <v>392</v>
      </c>
      <c r="H4177" s="15">
        <v>157000</v>
      </c>
      <c r="I4177" s="13">
        <v>38</v>
      </c>
    </row>
    <row r="4178" ht="15.75" spans="6:9">
      <c r="F4178" s="12" t="s">
        <v>7672</v>
      </c>
      <c r="G4178" s="12" t="s">
        <v>392</v>
      </c>
      <c r="H4178" s="15">
        <v>130900</v>
      </c>
      <c r="I4178" s="13">
        <v>38</v>
      </c>
    </row>
    <row r="4179" ht="15.75" spans="6:9">
      <c r="F4179" s="12" t="s">
        <v>4701</v>
      </c>
      <c r="G4179" s="12" t="s">
        <v>391</v>
      </c>
      <c r="H4179" s="15">
        <v>105931</v>
      </c>
      <c r="I4179" s="13">
        <v>38</v>
      </c>
    </row>
    <row r="4180" ht="15.75" spans="6:9">
      <c r="F4180" s="12" t="s">
        <v>3379</v>
      </c>
      <c r="G4180" s="12" t="s">
        <v>391</v>
      </c>
      <c r="H4180" s="15">
        <v>17047</v>
      </c>
      <c r="I4180" s="13">
        <v>38</v>
      </c>
    </row>
    <row r="4181" ht="15.75" spans="6:9">
      <c r="F4181" s="12" t="s">
        <v>7673</v>
      </c>
      <c r="G4181" s="12" t="s">
        <v>392</v>
      </c>
      <c r="H4181" s="15">
        <v>81500</v>
      </c>
      <c r="I4181" s="13">
        <v>38</v>
      </c>
    </row>
    <row r="4182" ht="15.75" spans="6:9">
      <c r="F4182" s="12" t="s">
        <v>7674</v>
      </c>
      <c r="G4182" s="12" t="s">
        <v>392</v>
      </c>
      <c r="H4182" s="15">
        <v>481500</v>
      </c>
      <c r="I4182" s="13">
        <v>38</v>
      </c>
    </row>
    <row r="4183" ht="15.75" spans="6:9">
      <c r="F4183" s="12" t="s">
        <v>7675</v>
      </c>
      <c r="G4183" s="12" t="s">
        <v>392</v>
      </c>
      <c r="H4183" s="15">
        <v>58900</v>
      </c>
      <c r="I4183" s="13">
        <v>38</v>
      </c>
    </row>
    <row r="4184" ht="15.75" spans="6:9">
      <c r="F4184" s="12" t="s">
        <v>7676</v>
      </c>
      <c r="G4184" s="12" t="s">
        <v>392</v>
      </c>
      <c r="H4184" s="15">
        <v>58300</v>
      </c>
      <c r="I4184" s="13">
        <v>38</v>
      </c>
    </row>
    <row r="4185" ht="15.75" spans="6:9">
      <c r="F4185" s="12" t="s">
        <v>7677</v>
      </c>
      <c r="G4185" s="12" t="s">
        <v>392</v>
      </c>
      <c r="H4185" s="15">
        <v>178200</v>
      </c>
      <c r="I4185" s="13">
        <v>38</v>
      </c>
    </row>
    <row r="4186" ht="15.75" spans="6:9">
      <c r="F4186" s="12" t="s">
        <v>7678</v>
      </c>
      <c r="G4186" s="12" t="s">
        <v>392</v>
      </c>
      <c r="H4186" s="15">
        <v>937400</v>
      </c>
      <c r="I4186" s="13">
        <v>38</v>
      </c>
    </row>
    <row r="4187" ht="15.75" spans="6:9">
      <c r="F4187" s="12" t="s">
        <v>7679</v>
      </c>
      <c r="G4187" s="12" t="s">
        <v>392</v>
      </c>
      <c r="H4187" s="15">
        <v>262400</v>
      </c>
      <c r="I4187" s="13">
        <v>38</v>
      </c>
    </row>
    <row r="4188" ht="15.75" spans="6:9">
      <c r="F4188" s="12" t="s">
        <v>5579</v>
      </c>
      <c r="G4188" s="12" t="s">
        <v>391</v>
      </c>
      <c r="H4188" s="15">
        <v>18855</v>
      </c>
      <c r="I4188" s="13">
        <v>38</v>
      </c>
    </row>
    <row r="4189" ht="15.75" spans="6:9">
      <c r="F4189" s="12" t="s">
        <v>7680</v>
      </c>
      <c r="G4189" s="12" t="s">
        <v>392</v>
      </c>
      <c r="H4189" s="15">
        <v>139900</v>
      </c>
      <c r="I4189" s="13">
        <v>38</v>
      </c>
    </row>
    <row r="4190" ht="15.75" spans="6:9">
      <c r="F4190" s="12" t="s">
        <v>3382</v>
      </c>
      <c r="G4190" s="12" t="s">
        <v>391</v>
      </c>
      <c r="H4190" s="15">
        <v>10711</v>
      </c>
      <c r="I4190" s="13">
        <v>38</v>
      </c>
    </row>
    <row r="4191" ht="15.75" spans="6:9">
      <c r="F4191" s="12" t="s">
        <v>3385</v>
      </c>
      <c r="G4191" s="12" t="s">
        <v>391</v>
      </c>
      <c r="H4191" s="15">
        <v>13969</v>
      </c>
      <c r="I4191" s="13">
        <v>38</v>
      </c>
    </row>
    <row r="4192" ht="15.75" spans="6:9">
      <c r="F4192" s="12" t="s">
        <v>7681</v>
      </c>
      <c r="G4192" s="12" t="s">
        <v>392</v>
      </c>
      <c r="H4192" s="15">
        <v>98800</v>
      </c>
      <c r="I4192" s="13">
        <v>38</v>
      </c>
    </row>
    <row r="4193" ht="15.75" spans="6:9">
      <c r="F4193" s="12" t="s">
        <v>7682</v>
      </c>
      <c r="G4193" s="12" t="s">
        <v>392</v>
      </c>
      <c r="H4193" s="15">
        <v>378100</v>
      </c>
      <c r="I4193" s="13">
        <v>38</v>
      </c>
    </row>
    <row r="4194" ht="15.75" spans="6:9">
      <c r="F4194" s="12" t="s">
        <v>3388</v>
      </c>
      <c r="G4194" s="12" t="s">
        <v>391</v>
      </c>
      <c r="H4194" s="15">
        <v>23298</v>
      </c>
      <c r="I4194" s="13">
        <v>38</v>
      </c>
    </row>
    <row r="4195" ht="15.75" spans="6:9">
      <c r="F4195" s="12" t="s">
        <v>7683</v>
      </c>
      <c r="G4195" s="12" t="s">
        <v>392</v>
      </c>
      <c r="H4195" s="15">
        <v>129600</v>
      </c>
      <c r="I4195" s="13">
        <v>38</v>
      </c>
    </row>
    <row r="4196" ht="15.75" spans="6:9">
      <c r="F4196" s="12" t="s">
        <v>3391</v>
      </c>
      <c r="G4196" s="12" t="s">
        <v>391</v>
      </c>
      <c r="H4196" s="15">
        <v>18147</v>
      </c>
      <c r="I4196" s="13">
        <v>38</v>
      </c>
    </row>
    <row r="4197" ht="15.75" spans="6:9">
      <c r="F4197" s="12" t="s">
        <v>7684</v>
      </c>
      <c r="G4197" s="12" t="s">
        <v>392</v>
      </c>
      <c r="H4197" s="15">
        <v>21400</v>
      </c>
      <c r="I4197" s="13">
        <v>38</v>
      </c>
    </row>
    <row r="4198" ht="15.75" spans="6:9">
      <c r="F4198" s="12" t="s">
        <v>5582</v>
      </c>
      <c r="G4198" s="12" t="s">
        <v>391</v>
      </c>
      <c r="H4198" s="15">
        <v>14140</v>
      </c>
      <c r="I4198" s="13">
        <v>38</v>
      </c>
    </row>
    <row r="4199" ht="15.75" spans="6:9">
      <c r="F4199" s="12" t="s">
        <v>7685</v>
      </c>
      <c r="G4199" s="12" t="s">
        <v>392</v>
      </c>
      <c r="H4199" s="15">
        <v>48300</v>
      </c>
      <c r="I4199" s="13">
        <v>38</v>
      </c>
    </row>
    <row r="4200" ht="15.75" spans="6:9">
      <c r="F4200" s="12" t="s">
        <v>7686</v>
      </c>
      <c r="G4200" s="12" t="s">
        <v>392</v>
      </c>
      <c r="H4200" s="15">
        <v>201800</v>
      </c>
      <c r="I4200" s="13">
        <v>38</v>
      </c>
    </row>
    <row r="4201" ht="15.75" spans="6:9">
      <c r="F4201" s="12" t="s">
        <v>7687</v>
      </c>
      <c r="G4201" s="12" t="s">
        <v>392</v>
      </c>
      <c r="H4201" s="15">
        <v>93200</v>
      </c>
      <c r="I4201" s="13">
        <v>38</v>
      </c>
    </row>
    <row r="4202" ht="15.75" spans="6:9">
      <c r="F4202" s="12" t="s">
        <v>7688</v>
      </c>
      <c r="G4202" s="12" t="s">
        <v>392</v>
      </c>
      <c r="H4202" s="15">
        <v>958200</v>
      </c>
      <c r="I4202" s="13">
        <v>38</v>
      </c>
    </row>
    <row r="4203" ht="15.75" spans="6:9">
      <c r="F4203" s="12" t="s">
        <v>7689</v>
      </c>
      <c r="G4203" s="12" t="s">
        <v>392</v>
      </c>
      <c r="H4203" s="15">
        <v>415300</v>
      </c>
      <c r="I4203" s="13">
        <v>38</v>
      </c>
    </row>
    <row r="4204" ht="15.75" spans="6:9">
      <c r="F4204" s="12" t="s">
        <v>7690</v>
      </c>
      <c r="G4204" s="12" t="s">
        <v>392</v>
      </c>
      <c r="H4204" s="15">
        <v>154700</v>
      </c>
      <c r="I4204" s="13">
        <v>38</v>
      </c>
    </row>
    <row r="4205" ht="15.75" spans="6:9">
      <c r="F4205" s="12" t="s">
        <v>7691</v>
      </c>
      <c r="G4205" s="12" t="s">
        <v>392</v>
      </c>
      <c r="H4205" s="15">
        <v>116500</v>
      </c>
      <c r="I4205" s="13">
        <v>38</v>
      </c>
    </row>
    <row r="4206" ht="15.75" spans="6:9">
      <c r="F4206" s="12" t="s">
        <v>7692</v>
      </c>
      <c r="G4206" s="12" t="s">
        <v>392</v>
      </c>
      <c r="H4206" s="15">
        <v>35200</v>
      </c>
      <c r="I4206" s="13">
        <v>38</v>
      </c>
    </row>
    <row r="4207" ht="15.75" spans="6:9">
      <c r="F4207" s="12" t="s">
        <v>7693</v>
      </c>
      <c r="G4207" s="12" t="s">
        <v>392</v>
      </c>
      <c r="H4207" s="15">
        <v>131500</v>
      </c>
      <c r="I4207" s="13">
        <v>38</v>
      </c>
    </row>
    <row r="4208" ht="15.75" spans="6:9">
      <c r="F4208" s="12" t="s">
        <v>7694</v>
      </c>
      <c r="G4208" s="12" t="s">
        <v>392</v>
      </c>
      <c r="H4208" s="15">
        <v>12000</v>
      </c>
      <c r="I4208" s="13">
        <v>38</v>
      </c>
    </row>
    <row r="4209" ht="15.75" spans="6:9">
      <c r="F4209" s="12" t="s">
        <v>7695</v>
      </c>
      <c r="G4209" s="12" t="s">
        <v>392</v>
      </c>
      <c r="H4209" s="15">
        <v>47300</v>
      </c>
      <c r="I4209" s="13">
        <v>38</v>
      </c>
    </row>
    <row r="4210" ht="15.75" spans="6:9">
      <c r="F4210" s="12" t="s">
        <v>3393</v>
      </c>
      <c r="G4210" s="12" t="s">
        <v>391</v>
      </c>
      <c r="H4210" s="15">
        <v>10785</v>
      </c>
      <c r="I4210" s="13">
        <v>38</v>
      </c>
    </row>
    <row r="4211" ht="15.75" spans="6:9">
      <c r="F4211" s="12" t="s">
        <v>5583</v>
      </c>
      <c r="G4211" s="12" t="s">
        <v>391</v>
      </c>
      <c r="H4211" s="15">
        <v>51909</v>
      </c>
      <c r="I4211" s="13">
        <v>38</v>
      </c>
    </row>
    <row r="4212" ht="15.75" spans="6:9">
      <c r="F4212" s="12" t="s">
        <v>7696</v>
      </c>
      <c r="G4212" s="12" t="s">
        <v>392</v>
      </c>
      <c r="H4212" s="15">
        <v>47100</v>
      </c>
      <c r="I4212" s="13">
        <v>38</v>
      </c>
    </row>
    <row r="4213" ht="15.75" spans="6:9">
      <c r="F4213" s="12" t="s">
        <v>5585</v>
      </c>
      <c r="G4213" s="12" t="s">
        <v>391</v>
      </c>
      <c r="H4213" s="15">
        <v>64684</v>
      </c>
      <c r="I4213" s="13">
        <v>38</v>
      </c>
    </row>
    <row r="4214" ht="15.75" spans="6:9">
      <c r="F4214" s="12" t="s">
        <v>7697</v>
      </c>
      <c r="G4214" s="12" t="s">
        <v>392</v>
      </c>
      <c r="H4214" s="15">
        <v>165500</v>
      </c>
      <c r="I4214" s="13">
        <v>38</v>
      </c>
    </row>
    <row r="4215" ht="15.75" spans="6:9">
      <c r="F4215" s="12" t="s">
        <v>3396</v>
      </c>
      <c r="G4215" s="12" t="s">
        <v>391</v>
      </c>
      <c r="H4215" s="15">
        <v>24336</v>
      </c>
      <c r="I4215" s="13">
        <v>38</v>
      </c>
    </row>
    <row r="4216" ht="15.75" spans="6:9">
      <c r="F4216" s="12" t="s">
        <v>7698</v>
      </c>
      <c r="G4216" s="12" t="s">
        <v>392</v>
      </c>
      <c r="H4216" s="15">
        <v>185100</v>
      </c>
      <c r="I4216" s="13">
        <v>38</v>
      </c>
    </row>
    <row r="4217" ht="15.75" spans="6:9">
      <c r="F4217" s="12" t="s">
        <v>7699</v>
      </c>
      <c r="G4217" s="12" t="s">
        <v>392</v>
      </c>
      <c r="H4217" s="15">
        <v>37000</v>
      </c>
      <c r="I4217" s="13">
        <v>38</v>
      </c>
    </row>
    <row r="4218" ht="15.75" spans="6:9">
      <c r="F4218" s="12" t="s">
        <v>7700</v>
      </c>
      <c r="G4218" s="12" t="s">
        <v>392</v>
      </c>
      <c r="H4218" s="15">
        <v>183400</v>
      </c>
      <c r="I4218" s="13">
        <v>38</v>
      </c>
    </row>
    <row r="4219" ht="15.75" spans="6:9">
      <c r="F4219" s="12" t="s">
        <v>7701</v>
      </c>
      <c r="G4219" s="12" t="s">
        <v>392</v>
      </c>
      <c r="H4219" s="15">
        <v>250800</v>
      </c>
      <c r="I4219" s="13">
        <v>38</v>
      </c>
    </row>
    <row r="4220" ht="15.75" spans="6:9">
      <c r="F4220" s="12" t="s">
        <v>7702</v>
      </c>
      <c r="G4220" s="12" t="s">
        <v>392</v>
      </c>
      <c r="H4220" s="15">
        <v>55300</v>
      </c>
      <c r="I4220" s="13">
        <v>38</v>
      </c>
    </row>
    <row r="4221" ht="15.75" spans="6:9">
      <c r="F4221" s="12" t="s">
        <v>7703</v>
      </c>
      <c r="G4221" s="12" t="s">
        <v>392</v>
      </c>
      <c r="H4221" s="15">
        <v>15300</v>
      </c>
      <c r="I4221" s="13">
        <v>38</v>
      </c>
    </row>
    <row r="4222" ht="15.75" spans="6:9">
      <c r="F4222" s="12" t="s">
        <v>3399</v>
      </c>
      <c r="G4222" s="12" t="s">
        <v>391</v>
      </c>
      <c r="H4222" s="15">
        <v>10089</v>
      </c>
      <c r="I4222" s="13">
        <v>38</v>
      </c>
    </row>
    <row r="4223" ht="15.75" spans="6:9">
      <c r="F4223" s="12" t="s">
        <v>7704</v>
      </c>
      <c r="G4223" s="12" t="s">
        <v>392</v>
      </c>
      <c r="H4223" s="15">
        <v>53900</v>
      </c>
      <c r="I4223" s="13">
        <v>38</v>
      </c>
    </row>
    <row r="4224" ht="15.75" spans="6:9">
      <c r="F4224" s="12" t="s">
        <v>7705</v>
      </c>
      <c r="G4224" s="12" t="s">
        <v>392</v>
      </c>
      <c r="H4224" s="15">
        <v>17400</v>
      </c>
      <c r="I4224" s="13">
        <v>38</v>
      </c>
    </row>
    <row r="4225" ht="15.75" spans="6:9">
      <c r="F4225" s="12" t="s">
        <v>7706</v>
      </c>
      <c r="G4225" s="12" t="s">
        <v>392</v>
      </c>
      <c r="H4225" s="15">
        <v>15500</v>
      </c>
      <c r="I4225" s="13">
        <v>38</v>
      </c>
    </row>
    <row r="4226" ht="15.75" spans="6:9">
      <c r="F4226" s="12" t="s">
        <v>7707</v>
      </c>
      <c r="G4226" s="12" t="s">
        <v>392</v>
      </c>
      <c r="H4226" s="15">
        <v>314300</v>
      </c>
      <c r="I4226" s="13">
        <v>38</v>
      </c>
    </row>
    <row r="4227" ht="15.75" spans="6:9">
      <c r="F4227" s="12" t="s">
        <v>7708</v>
      </c>
      <c r="G4227" s="12" t="s">
        <v>392</v>
      </c>
      <c r="H4227" s="15">
        <v>35900</v>
      </c>
      <c r="I4227" s="13">
        <v>38</v>
      </c>
    </row>
    <row r="4228" ht="15.75" spans="6:9">
      <c r="F4228" s="12" t="s">
        <v>7709</v>
      </c>
      <c r="G4228" s="12" t="s">
        <v>392</v>
      </c>
      <c r="H4228" s="15">
        <v>59100</v>
      </c>
      <c r="I4228" s="13">
        <v>38</v>
      </c>
    </row>
    <row r="4229" ht="15.75" spans="6:9">
      <c r="F4229" s="12" t="s">
        <v>7710</v>
      </c>
      <c r="G4229" s="12" t="s">
        <v>392</v>
      </c>
      <c r="H4229" s="15">
        <v>472300</v>
      </c>
      <c r="I4229" s="13">
        <v>38</v>
      </c>
    </row>
    <row r="4230" ht="15.75" spans="6:9">
      <c r="F4230" s="12" t="s">
        <v>7711</v>
      </c>
      <c r="G4230" s="12" t="s">
        <v>392</v>
      </c>
      <c r="H4230" s="15">
        <v>40000</v>
      </c>
      <c r="I4230" s="13">
        <v>38</v>
      </c>
    </row>
    <row r="4231" ht="15.75" spans="6:9">
      <c r="F4231" s="12" t="s">
        <v>7712</v>
      </c>
      <c r="G4231" s="12" t="s">
        <v>392</v>
      </c>
      <c r="H4231" s="15">
        <v>31100</v>
      </c>
      <c r="I4231" s="13">
        <v>38</v>
      </c>
    </row>
    <row r="4232" ht="15.75" spans="6:9">
      <c r="F4232" s="12" t="s">
        <v>7713</v>
      </c>
      <c r="G4232" s="12" t="s">
        <v>392</v>
      </c>
      <c r="H4232" s="15">
        <v>80000</v>
      </c>
      <c r="I4232" s="13">
        <v>38</v>
      </c>
    </row>
    <row r="4233" ht="15.75" spans="6:9">
      <c r="F4233" s="12" t="s">
        <v>3403</v>
      </c>
      <c r="G4233" s="12" t="s">
        <v>391</v>
      </c>
      <c r="H4233" s="15">
        <v>21665</v>
      </c>
      <c r="I4233" s="13">
        <v>38</v>
      </c>
    </row>
    <row r="4234" ht="15.75" spans="6:9">
      <c r="F4234" s="12" t="s">
        <v>7714</v>
      </c>
      <c r="G4234" s="12" t="s">
        <v>392</v>
      </c>
      <c r="H4234" s="15">
        <v>15100</v>
      </c>
      <c r="I4234" s="13">
        <v>38</v>
      </c>
    </row>
    <row r="4235" ht="15.75" spans="6:9">
      <c r="F4235" s="12" t="s">
        <v>7715</v>
      </c>
      <c r="G4235" s="12" t="s">
        <v>392</v>
      </c>
      <c r="H4235" s="15">
        <v>81200</v>
      </c>
      <c r="I4235" s="13">
        <v>38</v>
      </c>
    </row>
    <row r="4236" ht="15.75" spans="6:9">
      <c r="F4236" s="12" t="s">
        <v>7716</v>
      </c>
      <c r="G4236" s="12" t="s">
        <v>392</v>
      </c>
      <c r="H4236" s="15">
        <v>20200</v>
      </c>
      <c r="I4236" s="13">
        <v>38</v>
      </c>
    </row>
    <row r="4237" ht="15.75" spans="6:9">
      <c r="F4237" s="12" t="s">
        <v>7717</v>
      </c>
      <c r="G4237" s="12" t="s">
        <v>392</v>
      </c>
      <c r="H4237" s="15">
        <v>38700</v>
      </c>
      <c r="I4237" s="13">
        <v>38</v>
      </c>
    </row>
    <row r="4238" ht="15.75" spans="6:9">
      <c r="F4238" s="12" t="s">
        <v>7718</v>
      </c>
      <c r="G4238" s="12" t="s">
        <v>392</v>
      </c>
      <c r="H4238" s="15">
        <v>107600</v>
      </c>
      <c r="I4238" s="13">
        <v>38</v>
      </c>
    </row>
    <row r="4239" ht="15.75" spans="6:9">
      <c r="F4239" s="12" t="s">
        <v>7719</v>
      </c>
      <c r="G4239" s="12" t="s">
        <v>392</v>
      </c>
      <c r="H4239" s="15">
        <v>133600</v>
      </c>
      <c r="I4239" s="13">
        <v>38</v>
      </c>
    </row>
    <row r="4240" ht="15.75" spans="6:9">
      <c r="F4240" s="12" t="s">
        <v>4800</v>
      </c>
      <c r="G4240" s="12" t="s">
        <v>391</v>
      </c>
      <c r="H4240" s="15">
        <v>112800</v>
      </c>
      <c r="I4240" s="13">
        <v>38</v>
      </c>
    </row>
    <row r="4241" ht="15.75" spans="6:9">
      <c r="F4241" s="12" t="s">
        <v>7720</v>
      </c>
      <c r="G4241" s="12" t="s">
        <v>392</v>
      </c>
      <c r="H4241" s="15">
        <v>168600</v>
      </c>
      <c r="I4241" s="13">
        <v>38</v>
      </c>
    </row>
    <row r="4242" ht="15.75" spans="6:9">
      <c r="F4242" s="12" t="s">
        <v>7721</v>
      </c>
      <c r="G4242" s="12" t="s">
        <v>392</v>
      </c>
      <c r="H4242" s="15">
        <v>44400</v>
      </c>
      <c r="I4242" s="13">
        <v>38</v>
      </c>
    </row>
    <row r="4243" ht="15.75" spans="6:9">
      <c r="F4243" s="12" t="s">
        <v>7722</v>
      </c>
      <c r="G4243" s="12" t="s">
        <v>392</v>
      </c>
      <c r="H4243" s="15">
        <v>116300</v>
      </c>
      <c r="I4243" s="13">
        <v>38</v>
      </c>
    </row>
    <row r="4244" ht="15.75" spans="6:9">
      <c r="F4244" s="12" t="s">
        <v>7723</v>
      </c>
      <c r="G4244" s="12" t="s">
        <v>392</v>
      </c>
      <c r="H4244" s="15">
        <v>407000</v>
      </c>
      <c r="I4244" s="13">
        <v>38</v>
      </c>
    </row>
    <row r="4245" ht="15.75" spans="6:9">
      <c r="F4245" s="12" t="s">
        <v>7724</v>
      </c>
      <c r="G4245" s="12" t="s">
        <v>392</v>
      </c>
      <c r="H4245" s="15">
        <v>1100000</v>
      </c>
      <c r="I4245" s="13">
        <v>38</v>
      </c>
    </row>
    <row r="4246" ht="15.75" spans="6:9">
      <c r="F4246" s="12" t="s">
        <v>3406</v>
      </c>
      <c r="G4246" s="12" t="s">
        <v>391</v>
      </c>
      <c r="H4246" s="15">
        <v>27603</v>
      </c>
      <c r="I4246" s="13">
        <v>38</v>
      </c>
    </row>
    <row r="4247" ht="15.75" spans="6:9">
      <c r="F4247" s="12" t="s">
        <v>7725</v>
      </c>
      <c r="G4247" s="12" t="s">
        <v>392</v>
      </c>
      <c r="H4247" s="15">
        <v>27100</v>
      </c>
      <c r="I4247" s="13">
        <v>38</v>
      </c>
    </row>
    <row r="4248" ht="15.75" spans="6:9">
      <c r="F4248" s="12" t="s">
        <v>7726</v>
      </c>
      <c r="G4248" s="12" t="s">
        <v>392</v>
      </c>
      <c r="H4248" s="15">
        <v>106300</v>
      </c>
      <c r="I4248" s="13">
        <v>38</v>
      </c>
    </row>
    <row r="4249" ht="15.75" spans="6:9">
      <c r="F4249" s="12" t="s">
        <v>7727</v>
      </c>
      <c r="G4249" s="12" t="s">
        <v>392</v>
      </c>
      <c r="H4249" s="15">
        <v>251600</v>
      </c>
      <c r="I4249" s="13">
        <v>38</v>
      </c>
    </row>
    <row r="4250" ht="15.75" spans="6:9">
      <c r="F4250" s="12" t="s">
        <v>7728</v>
      </c>
      <c r="G4250" s="12" t="s">
        <v>392</v>
      </c>
      <c r="H4250" s="15">
        <v>115200</v>
      </c>
      <c r="I4250" s="13">
        <v>38</v>
      </c>
    </row>
    <row r="4251" ht="15.75" spans="6:9">
      <c r="F4251" s="12" t="s">
        <v>7729</v>
      </c>
      <c r="G4251" s="12" t="s">
        <v>392</v>
      </c>
      <c r="H4251" s="15">
        <v>89100</v>
      </c>
      <c r="I4251" s="13">
        <v>38</v>
      </c>
    </row>
    <row r="4252" ht="15.75" spans="6:9">
      <c r="F4252" s="12" t="s">
        <v>7730</v>
      </c>
      <c r="G4252" s="12" t="s">
        <v>392</v>
      </c>
      <c r="H4252" s="15">
        <v>24100</v>
      </c>
      <c r="I4252" s="13">
        <v>38</v>
      </c>
    </row>
    <row r="4253" ht="15.75" spans="6:9">
      <c r="F4253" s="12" t="s">
        <v>5588</v>
      </c>
      <c r="G4253" s="12" t="s">
        <v>391</v>
      </c>
      <c r="H4253" s="15">
        <v>11474</v>
      </c>
      <c r="I4253" s="13">
        <v>38</v>
      </c>
    </row>
    <row r="4254" ht="15.75" spans="6:9">
      <c r="F4254" s="12" t="s">
        <v>7731</v>
      </c>
      <c r="G4254" s="12" t="s">
        <v>392</v>
      </c>
      <c r="H4254" s="15">
        <v>1100000</v>
      </c>
      <c r="I4254" s="13">
        <v>38</v>
      </c>
    </row>
    <row r="4255" ht="15.75" spans="6:9">
      <c r="F4255" s="12" t="s">
        <v>7732</v>
      </c>
      <c r="G4255" s="12" t="s">
        <v>392</v>
      </c>
      <c r="H4255" s="15">
        <v>154700</v>
      </c>
      <c r="I4255" s="13">
        <v>38</v>
      </c>
    </row>
    <row r="4256" ht="15.75" spans="6:9">
      <c r="F4256" s="12" t="s">
        <v>3409</v>
      </c>
      <c r="G4256" s="12" t="s">
        <v>391</v>
      </c>
      <c r="H4256" s="15">
        <v>12317</v>
      </c>
      <c r="I4256" s="13">
        <v>38</v>
      </c>
    </row>
    <row r="4257" ht="15.75" spans="6:9">
      <c r="F4257" s="12" t="s">
        <v>7733</v>
      </c>
      <c r="G4257" s="12" t="s">
        <v>392</v>
      </c>
      <c r="H4257" s="15">
        <v>99200</v>
      </c>
      <c r="I4257" s="13">
        <v>38</v>
      </c>
    </row>
    <row r="4258" ht="15.75" spans="6:9">
      <c r="F4258" s="12" t="s">
        <v>7734</v>
      </c>
      <c r="G4258" s="12" t="s">
        <v>392</v>
      </c>
      <c r="H4258" s="15">
        <v>25300</v>
      </c>
      <c r="I4258" s="13">
        <v>38</v>
      </c>
    </row>
    <row r="4259" ht="15.75" spans="6:9">
      <c r="F4259" s="12" t="s">
        <v>7735</v>
      </c>
      <c r="G4259" s="12" t="s">
        <v>392</v>
      </c>
      <c r="H4259" s="15">
        <v>12800</v>
      </c>
      <c r="I4259" s="13">
        <v>38</v>
      </c>
    </row>
    <row r="4260" ht="15.75" spans="6:9">
      <c r="F4260" s="12" t="s">
        <v>7736</v>
      </c>
      <c r="G4260" s="12" t="s">
        <v>392</v>
      </c>
      <c r="H4260" s="15">
        <v>42200</v>
      </c>
      <c r="I4260" s="13">
        <v>38</v>
      </c>
    </row>
    <row r="4261" ht="15.75" spans="6:9">
      <c r="F4261" s="12" t="s">
        <v>5670</v>
      </c>
      <c r="G4261" s="12" t="s">
        <v>391</v>
      </c>
      <c r="H4261" s="15">
        <v>36299</v>
      </c>
      <c r="I4261" s="13">
        <v>38</v>
      </c>
    </row>
    <row r="4262" ht="15.75" spans="6:9">
      <c r="F4262" s="12" t="s">
        <v>7737</v>
      </c>
      <c r="G4262" s="12" t="s">
        <v>392</v>
      </c>
      <c r="H4262" s="15">
        <v>39300</v>
      </c>
      <c r="I4262" s="13">
        <v>38</v>
      </c>
    </row>
    <row r="4263" ht="15.75" spans="6:9">
      <c r="F4263" s="12" t="s">
        <v>7738</v>
      </c>
      <c r="G4263" s="12" t="s">
        <v>392</v>
      </c>
      <c r="H4263" s="15">
        <v>143800</v>
      </c>
      <c r="I4263" s="13">
        <v>38</v>
      </c>
    </row>
    <row r="4264" ht="15.75" spans="6:9">
      <c r="F4264" s="12" t="s">
        <v>3412</v>
      </c>
      <c r="G4264" s="12" t="s">
        <v>391</v>
      </c>
      <c r="H4264" s="15">
        <v>33415</v>
      </c>
      <c r="I4264" s="13">
        <v>38</v>
      </c>
    </row>
    <row r="4265" ht="15.75" spans="6:9">
      <c r="F4265" s="12" t="s">
        <v>7739</v>
      </c>
      <c r="G4265" s="12" t="s">
        <v>392</v>
      </c>
      <c r="H4265" s="15">
        <v>30400</v>
      </c>
      <c r="I4265" s="13">
        <v>38</v>
      </c>
    </row>
    <row r="4266" ht="15.75" spans="6:9">
      <c r="F4266" s="12" t="s">
        <v>7740</v>
      </c>
      <c r="G4266" s="12" t="s">
        <v>392</v>
      </c>
      <c r="H4266" s="15">
        <v>12500</v>
      </c>
      <c r="I4266" s="13">
        <v>38</v>
      </c>
    </row>
    <row r="4267" ht="15.75" spans="6:9">
      <c r="F4267" s="12" t="s">
        <v>7741</v>
      </c>
      <c r="G4267" s="12" t="s">
        <v>392</v>
      </c>
      <c r="H4267" s="15">
        <v>41300</v>
      </c>
      <c r="I4267" s="13">
        <v>38</v>
      </c>
    </row>
    <row r="4268" ht="15.75" spans="6:9">
      <c r="F4268" s="12" t="s">
        <v>7742</v>
      </c>
      <c r="G4268" s="12" t="s">
        <v>392</v>
      </c>
      <c r="H4268" s="15">
        <v>1400000</v>
      </c>
      <c r="I4268" s="13">
        <v>38</v>
      </c>
    </row>
    <row r="4269" ht="15.75" spans="6:9">
      <c r="F4269" s="12" t="s">
        <v>7743</v>
      </c>
      <c r="G4269" s="12" t="s">
        <v>392</v>
      </c>
      <c r="H4269" s="15">
        <v>42300</v>
      </c>
      <c r="I4269" s="13">
        <v>38</v>
      </c>
    </row>
    <row r="4270" ht="15.75" spans="6:9">
      <c r="F4270" s="12" t="s">
        <v>7744</v>
      </c>
      <c r="G4270" s="12" t="s">
        <v>392</v>
      </c>
      <c r="H4270" s="15">
        <v>247800</v>
      </c>
      <c r="I4270" s="13">
        <v>38</v>
      </c>
    </row>
    <row r="4271" ht="15.75" spans="6:9">
      <c r="F4271" s="12" t="s">
        <v>7745</v>
      </c>
      <c r="G4271" s="12" t="s">
        <v>392</v>
      </c>
      <c r="H4271" s="15">
        <v>162800</v>
      </c>
      <c r="I4271" s="13">
        <v>38</v>
      </c>
    </row>
    <row r="4272" ht="15.75" spans="6:9">
      <c r="F4272" s="12" t="s">
        <v>7746</v>
      </c>
      <c r="G4272" s="12" t="s">
        <v>392</v>
      </c>
      <c r="H4272" s="15">
        <v>21300</v>
      </c>
      <c r="I4272" s="13">
        <v>38</v>
      </c>
    </row>
    <row r="4273" ht="15.75" spans="6:9">
      <c r="F4273" s="12" t="s">
        <v>7747</v>
      </c>
      <c r="G4273" s="12" t="s">
        <v>392</v>
      </c>
      <c r="H4273" s="15">
        <v>80300</v>
      </c>
      <c r="I4273" s="13">
        <v>38</v>
      </c>
    </row>
    <row r="4274" ht="15.75" spans="6:9">
      <c r="F4274" s="12" t="s">
        <v>3421</v>
      </c>
      <c r="G4274" s="12" t="s">
        <v>391</v>
      </c>
      <c r="H4274" s="15">
        <v>20017</v>
      </c>
      <c r="I4274" s="13">
        <v>38</v>
      </c>
    </row>
    <row r="4275" ht="15.75" spans="6:9">
      <c r="F4275" s="12" t="s">
        <v>7748</v>
      </c>
      <c r="G4275" s="12" t="s">
        <v>392</v>
      </c>
      <c r="H4275" s="15">
        <v>63400</v>
      </c>
      <c r="I4275" s="13">
        <v>38</v>
      </c>
    </row>
    <row r="4276" ht="15.75" spans="6:9">
      <c r="F4276" s="12" t="s">
        <v>7749</v>
      </c>
      <c r="G4276" s="12" t="s">
        <v>392</v>
      </c>
      <c r="H4276" s="15">
        <v>38300</v>
      </c>
      <c r="I4276" s="13">
        <v>38</v>
      </c>
    </row>
    <row r="4277" ht="15.75" spans="6:9">
      <c r="F4277" s="12" t="s">
        <v>7750</v>
      </c>
      <c r="G4277" s="12" t="s">
        <v>392</v>
      </c>
      <c r="H4277" s="15">
        <v>174000</v>
      </c>
      <c r="I4277" s="13">
        <v>38</v>
      </c>
    </row>
    <row r="4278" ht="15.75" spans="6:9">
      <c r="F4278" s="12" t="s">
        <v>7751</v>
      </c>
      <c r="G4278" s="12" t="s">
        <v>392</v>
      </c>
      <c r="H4278" s="15">
        <v>19700</v>
      </c>
      <c r="I4278" s="13">
        <v>38</v>
      </c>
    </row>
    <row r="4279" ht="15.75" spans="6:9">
      <c r="F4279" s="12" t="s">
        <v>7752</v>
      </c>
      <c r="G4279" s="12" t="s">
        <v>392</v>
      </c>
      <c r="H4279" s="15">
        <v>14500</v>
      </c>
      <c r="I4279" s="13">
        <v>38</v>
      </c>
    </row>
    <row r="4280" ht="15.75" spans="6:9">
      <c r="F4280" s="12" t="s">
        <v>7753</v>
      </c>
      <c r="G4280" s="12" t="s">
        <v>392</v>
      </c>
      <c r="H4280" s="15">
        <v>11000</v>
      </c>
      <c r="I4280" s="13">
        <v>38</v>
      </c>
    </row>
    <row r="4281" ht="15.75" spans="6:9">
      <c r="F4281" s="12" t="s">
        <v>7754</v>
      </c>
      <c r="G4281" s="12" t="s">
        <v>392</v>
      </c>
      <c r="H4281" s="15">
        <v>324300</v>
      </c>
      <c r="I4281" s="13">
        <v>38</v>
      </c>
    </row>
    <row r="4282" ht="15.75" spans="6:9">
      <c r="F4282" s="12" t="s">
        <v>7755</v>
      </c>
      <c r="G4282" s="12" t="s">
        <v>392</v>
      </c>
      <c r="H4282" s="15">
        <v>27100</v>
      </c>
      <c r="I4282" s="13">
        <v>38</v>
      </c>
    </row>
    <row r="4283" ht="15.75" spans="6:9">
      <c r="F4283" s="12" t="s">
        <v>7756</v>
      </c>
      <c r="G4283" s="12" t="s">
        <v>392</v>
      </c>
      <c r="H4283" s="15">
        <v>125700</v>
      </c>
      <c r="I4283" s="13">
        <v>38</v>
      </c>
    </row>
    <row r="4284" ht="15.75" spans="6:9">
      <c r="F4284" s="12" t="s">
        <v>7757</v>
      </c>
      <c r="G4284" s="12" t="s">
        <v>392</v>
      </c>
      <c r="H4284" s="15">
        <v>54300</v>
      </c>
      <c r="I4284" s="13">
        <v>38</v>
      </c>
    </row>
    <row r="4285" ht="15.75" spans="6:9">
      <c r="F4285" s="12" t="s">
        <v>7758</v>
      </c>
      <c r="G4285" s="12" t="s">
        <v>392</v>
      </c>
      <c r="H4285" s="15">
        <v>627200</v>
      </c>
      <c r="I4285" s="13">
        <v>38</v>
      </c>
    </row>
    <row r="4286" ht="15.75" spans="6:9">
      <c r="F4286" s="12" t="s">
        <v>7759</v>
      </c>
      <c r="G4286" s="12" t="s">
        <v>392</v>
      </c>
      <c r="H4286" s="15">
        <v>119900</v>
      </c>
      <c r="I4286" s="13">
        <v>38</v>
      </c>
    </row>
    <row r="4287" ht="15.75" spans="6:9">
      <c r="F4287" s="12" t="s">
        <v>7760</v>
      </c>
      <c r="G4287" s="12" t="s">
        <v>392</v>
      </c>
      <c r="H4287" s="15">
        <v>70200</v>
      </c>
      <c r="I4287" s="13">
        <v>38</v>
      </c>
    </row>
    <row r="4288" ht="15.75" spans="6:9">
      <c r="F4288" s="12" t="s">
        <v>7761</v>
      </c>
      <c r="G4288" s="12" t="s">
        <v>392</v>
      </c>
      <c r="H4288" s="15">
        <v>118400</v>
      </c>
      <c r="I4288" s="13">
        <v>38</v>
      </c>
    </row>
    <row r="4289" ht="15.75" spans="6:9">
      <c r="F4289" s="12" t="s">
        <v>7762</v>
      </c>
      <c r="G4289" s="12" t="s">
        <v>392</v>
      </c>
      <c r="H4289" s="15">
        <v>99700</v>
      </c>
      <c r="I4289" s="13">
        <v>38</v>
      </c>
    </row>
    <row r="4290" ht="15.75" spans="6:9">
      <c r="F4290" s="12" t="s">
        <v>7763</v>
      </c>
      <c r="G4290" s="12" t="s">
        <v>392</v>
      </c>
      <c r="H4290" s="15">
        <v>119400</v>
      </c>
      <c r="I4290" s="13">
        <v>38</v>
      </c>
    </row>
    <row r="4291" ht="15.75" spans="6:9">
      <c r="F4291" s="12" t="s">
        <v>7764</v>
      </c>
      <c r="G4291" s="12" t="s">
        <v>392</v>
      </c>
      <c r="H4291" s="15">
        <v>20300</v>
      </c>
      <c r="I4291" s="13">
        <v>38</v>
      </c>
    </row>
    <row r="4292" ht="15.75" spans="6:9">
      <c r="F4292" s="12" t="s">
        <v>3424</v>
      </c>
      <c r="G4292" s="12" t="s">
        <v>391</v>
      </c>
      <c r="H4292" s="15">
        <v>19849</v>
      </c>
      <c r="I4292" s="13">
        <v>38</v>
      </c>
    </row>
    <row r="4293" ht="15.75" spans="6:9">
      <c r="F4293" s="12" t="s">
        <v>3427</v>
      </c>
      <c r="G4293" s="12" t="s">
        <v>391</v>
      </c>
      <c r="H4293" s="15">
        <v>14636</v>
      </c>
      <c r="I4293" s="13">
        <v>38</v>
      </c>
    </row>
    <row r="4294" ht="15.75" spans="6:9">
      <c r="F4294" s="12" t="s">
        <v>7765</v>
      </c>
      <c r="G4294" s="12" t="s">
        <v>392</v>
      </c>
      <c r="H4294" s="15">
        <v>408400</v>
      </c>
      <c r="I4294" s="13">
        <v>38</v>
      </c>
    </row>
    <row r="4295" ht="15.75" spans="6:9">
      <c r="F4295" s="12" t="s">
        <v>7766</v>
      </c>
      <c r="G4295" s="12" t="s">
        <v>392</v>
      </c>
      <c r="H4295" s="15">
        <v>13200</v>
      </c>
      <c r="I4295" s="13">
        <v>38</v>
      </c>
    </row>
    <row r="4296" ht="15.75" spans="6:9">
      <c r="F4296" s="12" t="s">
        <v>7767</v>
      </c>
      <c r="G4296" s="12" t="s">
        <v>392</v>
      </c>
      <c r="H4296" s="15">
        <v>120800</v>
      </c>
      <c r="I4296" s="13">
        <v>38</v>
      </c>
    </row>
    <row r="4297" ht="15.75" spans="6:9">
      <c r="F4297" s="12" t="s">
        <v>7768</v>
      </c>
      <c r="G4297" s="12" t="s">
        <v>392</v>
      </c>
      <c r="H4297" s="15">
        <v>170100</v>
      </c>
      <c r="I4297" s="13">
        <v>38</v>
      </c>
    </row>
    <row r="4298" ht="15.75" spans="6:9">
      <c r="F4298" s="12" t="s">
        <v>7769</v>
      </c>
      <c r="G4298" s="12" t="s">
        <v>392</v>
      </c>
      <c r="H4298" s="15">
        <v>32200</v>
      </c>
      <c r="I4298" s="13">
        <v>38</v>
      </c>
    </row>
    <row r="4299" ht="15.75" spans="6:9">
      <c r="F4299" s="12" t="s">
        <v>7770</v>
      </c>
      <c r="G4299" s="12" t="s">
        <v>392</v>
      </c>
      <c r="H4299" s="15">
        <v>137400</v>
      </c>
      <c r="I4299" s="13">
        <v>38</v>
      </c>
    </row>
    <row r="4300" ht="15.75" spans="6:9">
      <c r="F4300" s="12" t="s">
        <v>7771</v>
      </c>
      <c r="G4300" s="12" t="s">
        <v>392</v>
      </c>
      <c r="H4300" s="15">
        <v>37300</v>
      </c>
      <c r="I4300" s="13">
        <v>38</v>
      </c>
    </row>
    <row r="4301" ht="15.75" spans="6:9">
      <c r="F4301" s="12" t="s">
        <v>7772</v>
      </c>
      <c r="G4301" s="12" t="s">
        <v>392</v>
      </c>
      <c r="H4301" s="15">
        <v>66600</v>
      </c>
      <c r="I4301" s="13">
        <v>38</v>
      </c>
    </row>
    <row r="4302" ht="15.75" spans="6:9">
      <c r="F4302" s="12" t="s">
        <v>3430</v>
      </c>
      <c r="G4302" s="12" t="s">
        <v>391</v>
      </c>
      <c r="H4302" s="15">
        <v>16933</v>
      </c>
      <c r="I4302" s="13">
        <v>38</v>
      </c>
    </row>
    <row r="4303" ht="15.75" spans="6:9">
      <c r="F4303" s="12" t="s">
        <v>7773</v>
      </c>
      <c r="G4303" s="12" t="s">
        <v>391</v>
      </c>
      <c r="H4303" s="15">
        <v>72221</v>
      </c>
      <c r="I4303" s="13">
        <v>38</v>
      </c>
    </row>
    <row r="4304" ht="15.75" spans="6:9">
      <c r="F4304" s="12" t="s">
        <v>3433</v>
      </c>
      <c r="G4304" s="12" t="s">
        <v>391</v>
      </c>
      <c r="H4304" s="15">
        <v>11078</v>
      </c>
      <c r="I4304" s="13">
        <v>38</v>
      </c>
    </row>
    <row r="4305" ht="15.75" spans="6:9">
      <c r="F4305" s="12" t="s">
        <v>7774</v>
      </c>
      <c r="G4305" s="12" t="s">
        <v>392</v>
      </c>
      <c r="H4305" s="15">
        <v>123700</v>
      </c>
      <c r="I4305" s="13">
        <v>38</v>
      </c>
    </row>
    <row r="4306" ht="15.75" spans="6:9">
      <c r="F4306" s="12" t="s">
        <v>7775</v>
      </c>
      <c r="G4306" s="12" t="s">
        <v>392</v>
      </c>
      <c r="H4306" s="15">
        <v>16300</v>
      </c>
      <c r="I4306" s="13">
        <v>38</v>
      </c>
    </row>
    <row r="4307" ht="15.75" spans="6:9">
      <c r="F4307" s="12" t="s">
        <v>7776</v>
      </c>
      <c r="G4307" s="12" t="s">
        <v>392</v>
      </c>
      <c r="H4307" s="15">
        <v>108700</v>
      </c>
      <c r="I4307" s="13">
        <v>38</v>
      </c>
    </row>
    <row r="4308" ht="15.75" spans="6:9">
      <c r="F4308" s="12" t="s">
        <v>7777</v>
      </c>
      <c r="G4308" s="12" t="s">
        <v>392</v>
      </c>
      <c r="H4308" s="15">
        <v>26100</v>
      </c>
      <c r="I4308" s="13">
        <v>38</v>
      </c>
    </row>
    <row r="4309" ht="15.75" spans="6:9">
      <c r="F4309" s="12" t="s">
        <v>7778</v>
      </c>
      <c r="G4309" s="12" t="s">
        <v>392</v>
      </c>
      <c r="H4309" s="15">
        <v>34400</v>
      </c>
      <c r="I4309" s="13">
        <v>38</v>
      </c>
    </row>
    <row r="4310" ht="15.75" spans="6:9">
      <c r="F4310" s="12" t="s">
        <v>7779</v>
      </c>
      <c r="G4310" s="12" t="s">
        <v>392</v>
      </c>
      <c r="H4310" s="15">
        <v>14000</v>
      </c>
      <c r="I4310" s="13">
        <v>38</v>
      </c>
    </row>
    <row r="4311" ht="15.75" spans="6:9">
      <c r="F4311" s="12" t="s">
        <v>7780</v>
      </c>
      <c r="G4311" s="12" t="s">
        <v>392</v>
      </c>
      <c r="H4311" s="15">
        <v>64200</v>
      </c>
      <c r="I4311" s="13">
        <v>38</v>
      </c>
    </row>
    <row r="4312" ht="15.75" spans="6:9">
      <c r="F4312" s="12" t="s">
        <v>7781</v>
      </c>
      <c r="G4312" s="12" t="s">
        <v>392</v>
      </c>
      <c r="H4312" s="15">
        <v>10400</v>
      </c>
      <c r="I4312" s="13">
        <v>38</v>
      </c>
    </row>
    <row r="4313" ht="15.75" spans="6:9">
      <c r="F4313" s="12" t="s">
        <v>7782</v>
      </c>
      <c r="G4313" s="12" t="s">
        <v>392</v>
      </c>
      <c r="H4313" s="15">
        <v>3700000</v>
      </c>
      <c r="I4313" s="13">
        <v>38</v>
      </c>
    </row>
    <row r="4314" ht="15.75" spans="6:9">
      <c r="F4314" s="12" t="s">
        <v>3436</v>
      </c>
      <c r="G4314" s="12" t="s">
        <v>391</v>
      </c>
      <c r="H4314" s="15">
        <v>10380</v>
      </c>
      <c r="I4314" s="13">
        <v>38</v>
      </c>
    </row>
    <row r="4315" ht="15.75" spans="6:9">
      <c r="F4315" s="12" t="s">
        <v>7783</v>
      </c>
      <c r="G4315" s="12" t="s">
        <v>392</v>
      </c>
      <c r="H4315" s="15">
        <v>18600</v>
      </c>
      <c r="I4315" s="13">
        <v>38</v>
      </c>
    </row>
    <row r="4316" ht="15.75" spans="6:9">
      <c r="F4316" s="12" t="s">
        <v>7784</v>
      </c>
      <c r="G4316" s="12" t="s">
        <v>392</v>
      </c>
      <c r="H4316" s="15">
        <v>20400</v>
      </c>
      <c r="I4316" s="13">
        <v>38</v>
      </c>
    </row>
    <row r="4317" ht="15.75" spans="6:9">
      <c r="F4317" s="12" t="s">
        <v>7785</v>
      </c>
      <c r="G4317" s="12" t="s">
        <v>392</v>
      </c>
      <c r="H4317" s="15">
        <v>243000</v>
      </c>
      <c r="I4317" s="13">
        <v>38</v>
      </c>
    </row>
    <row r="4318" ht="15.75" spans="6:9">
      <c r="F4318" s="12" t="s">
        <v>7786</v>
      </c>
      <c r="G4318" s="12" t="s">
        <v>392</v>
      </c>
      <c r="H4318" s="15">
        <v>10600</v>
      </c>
      <c r="I4318" s="13">
        <v>38</v>
      </c>
    </row>
    <row r="4319" ht="15.75" spans="6:9">
      <c r="F4319" s="12" t="s">
        <v>7787</v>
      </c>
      <c r="G4319" s="12" t="s">
        <v>392</v>
      </c>
      <c r="H4319" s="15">
        <v>200000</v>
      </c>
      <c r="I4319" s="13">
        <v>38</v>
      </c>
    </row>
    <row r="4320" ht="15.75" spans="6:9">
      <c r="F4320" s="12" t="s">
        <v>5591</v>
      </c>
      <c r="G4320" s="12" t="s">
        <v>391</v>
      </c>
      <c r="H4320" s="15">
        <v>35947</v>
      </c>
      <c r="I4320" s="13">
        <v>38</v>
      </c>
    </row>
    <row r="4321" ht="15.75" spans="6:9">
      <c r="F4321" s="12" t="s">
        <v>7788</v>
      </c>
      <c r="G4321" s="12" t="s">
        <v>392</v>
      </c>
      <c r="H4321" s="15">
        <v>27400</v>
      </c>
      <c r="I4321" s="13">
        <v>38</v>
      </c>
    </row>
    <row r="4322" ht="15.75" spans="6:9">
      <c r="F4322" s="12" t="s">
        <v>7789</v>
      </c>
      <c r="G4322" s="12" t="s">
        <v>392</v>
      </c>
      <c r="H4322" s="15">
        <v>342000</v>
      </c>
      <c r="I4322" s="13">
        <v>38</v>
      </c>
    </row>
    <row r="4323" ht="15.75" spans="6:9">
      <c r="F4323" s="12" t="s">
        <v>7790</v>
      </c>
      <c r="G4323" s="12" t="s">
        <v>392</v>
      </c>
      <c r="H4323" s="15">
        <v>63100</v>
      </c>
      <c r="I4323" s="13">
        <v>38</v>
      </c>
    </row>
    <row r="4324" ht="15.75" spans="6:9">
      <c r="F4324" s="12" t="s">
        <v>3439</v>
      </c>
      <c r="G4324" s="12" t="s">
        <v>391</v>
      </c>
      <c r="H4324" s="15">
        <v>17488</v>
      </c>
      <c r="I4324" s="13">
        <v>38</v>
      </c>
    </row>
    <row r="4325" ht="15.75" spans="6:9">
      <c r="F4325" s="12" t="s">
        <v>7791</v>
      </c>
      <c r="G4325" s="12" t="s">
        <v>392</v>
      </c>
      <c r="H4325" s="15">
        <v>20100</v>
      </c>
      <c r="I4325" s="13">
        <v>38</v>
      </c>
    </row>
    <row r="4326" ht="15.75" spans="6:9">
      <c r="F4326" s="12" t="s">
        <v>7792</v>
      </c>
      <c r="G4326" s="12" t="s">
        <v>392</v>
      </c>
      <c r="H4326" s="15">
        <v>203800</v>
      </c>
      <c r="I4326" s="13">
        <v>38</v>
      </c>
    </row>
    <row r="4327" ht="15.75" spans="6:9">
      <c r="F4327" s="12" t="s">
        <v>7793</v>
      </c>
      <c r="G4327" s="12" t="s">
        <v>392</v>
      </c>
      <c r="H4327" s="15">
        <v>4600000</v>
      </c>
      <c r="I4327" s="13">
        <v>38</v>
      </c>
    </row>
    <row r="4328" ht="15.75" spans="6:9">
      <c r="F4328" s="12" t="s">
        <v>5593</v>
      </c>
      <c r="G4328" s="12" t="s">
        <v>391</v>
      </c>
      <c r="H4328" s="15">
        <v>19132</v>
      </c>
      <c r="I4328" s="13">
        <v>38</v>
      </c>
    </row>
    <row r="4329" ht="15.75" spans="6:9">
      <c r="F4329" s="12" t="s">
        <v>7794</v>
      </c>
      <c r="G4329" s="12" t="s">
        <v>392</v>
      </c>
      <c r="H4329" s="15">
        <v>48100</v>
      </c>
      <c r="I4329" s="13">
        <v>38</v>
      </c>
    </row>
    <row r="4330" ht="15.75" spans="6:9">
      <c r="F4330" s="12" t="s">
        <v>7795</v>
      </c>
      <c r="G4330" s="12" t="s">
        <v>392</v>
      </c>
      <c r="H4330" s="15">
        <v>18900</v>
      </c>
      <c r="I4330" s="13">
        <v>38</v>
      </c>
    </row>
    <row r="4331" ht="15.75" spans="6:9">
      <c r="F4331" s="12" t="s">
        <v>7796</v>
      </c>
      <c r="G4331" s="12" t="s">
        <v>392</v>
      </c>
      <c r="H4331" s="15">
        <v>46900</v>
      </c>
      <c r="I4331" s="13">
        <v>38</v>
      </c>
    </row>
    <row r="4332" ht="15.75" spans="6:9">
      <c r="F4332" s="12" t="s">
        <v>7797</v>
      </c>
      <c r="G4332" s="12" t="s">
        <v>392</v>
      </c>
      <c r="H4332" s="15">
        <v>119400</v>
      </c>
      <c r="I4332" s="13">
        <v>38</v>
      </c>
    </row>
    <row r="4333" ht="15.75" spans="6:9">
      <c r="F4333" s="12" t="s">
        <v>7798</v>
      </c>
      <c r="G4333" s="12" t="s">
        <v>392</v>
      </c>
      <c r="H4333" s="15">
        <v>44400</v>
      </c>
      <c r="I4333" s="13">
        <v>38</v>
      </c>
    </row>
    <row r="4334" ht="15.75" spans="6:9">
      <c r="F4334" s="12" t="s">
        <v>7799</v>
      </c>
      <c r="G4334" s="12" t="s">
        <v>392</v>
      </c>
      <c r="H4334" s="15">
        <v>13800</v>
      </c>
      <c r="I4334" s="13">
        <v>38</v>
      </c>
    </row>
    <row r="4335" ht="15.75" spans="6:9">
      <c r="F4335" s="12" t="s">
        <v>3442</v>
      </c>
      <c r="G4335" s="12" t="s">
        <v>391</v>
      </c>
      <c r="H4335" s="15">
        <v>33514</v>
      </c>
      <c r="I4335" s="13">
        <v>38</v>
      </c>
    </row>
    <row r="4336" ht="15.75" spans="6:9">
      <c r="F4336" s="12" t="s">
        <v>7800</v>
      </c>
      <c r="G4336" s="12" t="s">
        <v>392</v>
      </c>
      <c r="H4336" s="15">
        <v>91900</v>
      </c>
      <c r="I4336" s="13">
        <v>38</v>
      </c>
    </row>
    <row r="4337" ht="15.75" spans="6:9">
      <c r="F4337" s="12" t="s">
        <v>7801</v>
      </c>
      <c r="G4337" s="12" t="s">
        <v>392</v>
      </c>
      <c r="H4337" s="15">
        <v>1600000</v>
      </c>
      <c r="I4337" s="13">
        <v>38</v>
      </c>
    </row>
    <row r="4338" ht="15.75" spans="6:9">
      <c r="F4338" s="12" t="s">
        <v>7802</v>
      </c>
      <c r="G4338" s="12" t="s">
        <v>392</v>
      </c>
      <c r="H4338" s="15">
        <v>141300</v>
      </c>
      <c r="I4338" s="13">
        <v>38</v>
      </c>
    </row>
    <row r="4339" ht="15.75" spans="6:9">
      <c r="F4339" s="12" t="s">
        <v>3444</v>
      </c>
      <c r="G4339" s="12" t="s">
        <v>391</v>
      </c>
      <c r="H4339" s="15">
        <v>15251</v>
      </c>
      <c r="I4339" s="13">
        <v>38</v>
      </c>
    </row>
    <row r="4340" ht="15.75" spans="6:9">
      <c r="F4340" s="12" t="s">
        <v>3446</v>
      </c>
      <c r="G4340" s="12" t="s">
        <v>391</v>
      </c>
      <c r="H4340" s="15">
        <v>11842</v>
      </c>
      <c r="I4340" s="13">
        <v>38</v>
      </c>
    </row>
    <row r="4341" ht="15.75" spans="6:9">
      <c r="F4341" s="12" t="s">
        <v>7803</v>
      </c>
      <c r="G4341" s="12" t="s">
        <v>392</v>
      </c>
      <c r="H4341" s="15">
        <v>54400</v>
      </c>
      <c r="I4341" s="13">
        <v>38</v>
      </c>
    </row>
    <row r="4342" ht="15.75" spans="6:9">
      <c r="F4342" s="12" t="s">
        <v>7804</v>
      </c>
      <c r="G4342" s="12" t="s">
        <v>392</v>
      </c>
      <c r="H4342" s="15">
        <v>1300000</v>
      </c>
      <c r="I4342" s="13">
        <v>38</v>
      </c>
    </row>
    <row r="4343" ht="15.75" spans="6:9">
      <c r="F4343" s="12" t="s">
        <v>3448</v>
      </c>
      <c r="G4343" s="12" t="s">
        <v>391</v>
      </c>
      <c r="H4343" s="15">
        <v>22375</v>
      </c>
      <c r="I4343" s="13">
        <v>38</v>
      </c>
    </row>
    <row r="4344" ht="15.75" spans="6:9">
      <c r="F4344" s="12" t="s">
        <v>7805</v>
      </c>
      <c r="G4344" s="12" t="s">
        <v>392</v>
      </c>
      <c r="H4344" s="15">
        <v>942100</v>
      </c>
      <c r="I4344" s="13">
        <v>38</v>
      </c>
    </row>
    <row r="4345" ht="15.75" spans="6:9">
      <c r="F4345" s="12" t="s">
        <v>7806</v>
      </c>
      <c r="G4345" s="12" t="s">
        <v>392</v>
      </c>
      <c r="H4345" s="15">
        <v>156000</v>
      </c>
      <c r="I4345" s="13">
        <v>38</v>
      </c>
    </row>
    <row r="4346" ht="15.75" spans="6:9">
      <c r="F4346" s="12" t="s">
        <v>7807</v>
      </c>
      <c r="G4346" s="12" t="s">
        <v>392</v>
      </c>
      <c r="H4346" s="15">
        <v>62700</v>
      </c>
      <c r="I4346" s="13">
        <v>38</v>
      </c>
    </row>
    <row r="4347" ht="15.75" spans="6:9">
      <c r="F4347" s="12" t="s">
        <v>2448</v>
      </c>
      <c r="G4347" s="12" t="s">
        <v>392</v>
      </c>
      <c r="H4347" s="15">
        <v>13200000</v>
      </c>
      <c r="I4347" s="13">
        <v>38</v>
      </c>
    </row>
    <row r="4348" ht="15.75" spans="6:9">
      <c r="F4348" s="12" t="s">
        <v>7808</v>
      </c>
      <c r="G4348" s="12" t="s">
        <v>392</v>
      </c>
      <c r="H4348" s="15">
        <v>478500</v>
      </c>
      <c r="I4348" s="13">
        <v>38</v>
      </c>
    </row>
    <row r="4349" ht="15.75" spans="6:9">
      <c r="F4349" s="12" t="s">
        <v>7809</v>
      </c>
      <c r="G4349" s="12" t="s">
        <v>392</v>
      </c>
      <c r="H4349" s="15">
        <v>55900</v>
      </c>
      <c r="I4349" s="13">
        <v>38</v>
      </c>
    </row>
    <row r="4350" ht="15.75" spans="6:9">
      <c r="F4350" s="12" t="s">
        <v>7810</v>
      </c>
      <c r="G4350" s="12" t="s">
        <v>392</v>
      </c>
      <c r="H4350" s="15">
        <v>23500</v>
      </c>
      <c r="I4350" s="13">
        <v>38</v>
      </c>
    </row>
    <row r="4351" ht="15.75" spans="6:9">
      <c r="F4351" s="12" t="s">
        <v>7811</v>
      </c>
      <c r="G4351" s="12" t="s">
        <v>392</v>
      </c>
      <c r="H4351" s="15">
        <v>156500</v>
      </c>
      <c r="I4351" s="13">
        <v>38</v>
      </c>
    </row>
    <row r="4352" ht="15.75" spans="6:9">
      <c r="F4352" s="12" t="s">
        <v>7812</v>
      </c>
      <c r="G4352" s="12" t="s">
        <v>392</v>
      </c>
      <c r="H4352" s="15">
        <v>230600</v>
      </c>
      <c r="I4352" s="13">
        <v>38</v>
      </c>
    </row>
    <row r="4353" ht="15.75" spans="6:9">
      <c r="F4353" s="12" t="s">
        <v>7813</v>
      </c>
      <c r="G4353" s="12" t="s">
        <v>392</v>
      </c>
      <c r="H4353" s="15">
        <v>36500</v>
      </c>
      <c r="I4353" s="13">
        <v>38</v>
      </c>
    </row>
    <row r="4354" ht="15.75" spans="6:9">
      <c r="F4354" s="12" t="s">
        <v>7814</v>
      </c>
      <c r="G4354" s="12" t="s">
        <v>392</v>
      </c>
      <c r="H4354" s="15">
        <v>22700</v>
      </c>
      <c r="I4354" s="13">
        <v>38</v>
      </c>
    </row>
    <row r="4355" ht="15.75" spans="6:9">
      <c r="F4355" s="12" t="s">
        <v>7815</v>
      </c>
      <c r="G4355" s="12" t="s">
        <v>392</v>
      </c>
      <c r="H4355" s="15">
        <v>36900</v>
      </c>
      <c r="I4355" s="13">
        <v>38</v>
      </c>
    </row>
    <row r="4356" ht="15.75" spans="6:9">
      <c r="F4356" s="12" t="s">
        <v>7816</v>
      </c>
      <c r="G4356" s="12" t="s">
        <v>392</v>
      </c>
      <c r="H4356" s="15">
        <v>117900</v>
      </c>
      <c r="I4356" s="13">
        <v>38</v>
      </c>
    </row>
    <row r="4357" ht="15.75" spans="6:9">
      <c r="F4357" s="12" t="s">
        <v>7817</v>
      </c>
      <c r="G4357" s="12" t="s">
        <v>392</v>
      </c>
      <c r="H4357" s="15">
        <v>54100</v>
      </c>
      <c r="I4357" s="13">
        <v>38</v>
      </c>
    </row>
    <row r="4358" ht="15.75" spans="6:9">
      <c r="F4358" s="12" t="s">
        <v>7818</v>
      </c>
      <c r="G4358" s="12" t="s">
        <v>392</v>
      </c>
      <c r="H4358" s="15">
        <v>214700</v>
      </c>
      <c r="I4358" s="13">
        <v>38</v>
      </c>
    </row>
    <row r="4359" ht="15.75" spans="6:9">
      <c r="F4359" s="12" t="s">
        <v>7819</v>
      </c>
      <c r="G4359" s="12" t="s">
        <v>392</v>
      </c>
      <c r="H4359" s="15">
        <v>13700</v>
      </c>
      <c r="I4359" s="13">
        <v>38</v>
      </c>
    </row>
    <row r="4360" ht="15.75" spans="6:9">
      <c r="F4360" s="12" t="s">
        <v>7820</v>
      </c>
      <c r="G4360" s="12" t="s">
        <v>392</v>
      </c>
      <c r="H4360" s="15">
        <v>73400</v>
      </c>
      <c r="I4360" s="13">
        <v>38</v>
      </c>
    </row>
    <row r="4361" ht="15.75" spans="6:9">
      <c r="F4361" s="12" t="s">
        <v>7821</v>
      </c>
      <c r="G4361" s="12" t="s">
        <v>392</v>
      </c>
      <c r="H4361" s="15">
        <v>234200</v>
      </c>
      <c r="I4361" s="13">
        <v>38</v>
      </c>
    </row>
    <row r="4362" ht="15.75" spans="6:9">
      <c r="F4362" s="12" t="s">
        <v>7822</v>
      </c>
      <c r="G4362" s="12" t="s">
        <v>392</v>
      </c>
      <c r="H4362" s="15">
        <v>18500</v>
      </c>
      <c r="I4362" s="13">
        <v>38</v>
      </c>
    </row>
    <row r="4363" ht="15.75" spans="6:9">
      <c r="F4363" s="12" t="s">
        <v>5595</v>
      </c>
      <c r="G4363" s="12" t="s">
        <v>391</v>
      </c>
      <c r="H4363" s="15">
        <v>13493</v>
      </c>
      <c r="I4363" s="13">
        <v>38</v>
      </c>
    </row>
    <row r="4364" ht="15.75" spans="6:9">
      <c r="F4364" s="12" t="s">
        <v>7823</v>
      </c>
      <c r="G4364" s="12" t="s">
        <v>392</v>
      </c>
      <c r="H4364" s="15">
        <v>15100</v>
      </c>
      <c r="I4364" s="13">
        <v>38</v>
      </c>
    </row>
    <row r="4365" ht="15.75" spans="6:9">
      <c r="F4365" s="12" t="s">
        <v>3452</v>
      </c>
      <c r="G4365" s="12" t="s">
        <v>391</v>
      </c>
      <c r="H4365" s="15">
        <v>30803</v>
      </c>
      <c r="I4365" s="13">
        <v>38</v>
      </c>
    </row>
    <row r="4366" ht="15.75" spans="6:9">
      <c r="F4366" s="12" t="s">
        <v>3453</v>
      </c>
      <c r="G4366" s="12" t="s">
        <v>391</v>
      </c>
      <c r="H4366" s="15">
        <v>33218</v>
      </c>
      <c r="I4366" s="13">
        <v>38</v>
      </c>
    </row>
    <row r="4367" ht="15.75" spans="6:9">
      <c r="F4367" s="12" t="s">
        <v>7824</v>
      </c>
      <c r="G4367" s="12" t="s">
        <v>392</v>
      </c>
      <c r="H4367" s="15">
        <v>14100</v>
      </c>
      <c r="I4367" s="13">
        <v>38</v>
      </c>
    </row>
    <row r="4368" ht="15.75" spans="6:9">
      <c r="F4368" s="12" t="s">
        <v>3455</v>
      </c>
      <c r="G4368" s="12" t="s">
        <v>391</v>
      </c>
      <c r="H4368" s="15">
        <v>16714</v>
      </c>
      <c r="I4368" s="13">
        <v>38</v>
      </c>
    </row>
    <row r="4369" ht="15.75" spans="6:9">
      <c r="F4369" s="12" t="s">
        <v>7825</v>
      </c>
      <c r="G4369" s="12" t="s">
        <v>392</v>
      </c>
      <c r="H4369" s="15">
        <v>2800000</v>
      </c>
      <c r="I4369" s="13">
        <v>38</v>
      </c>
    </row>
    <row r="4370" ht="15.75" spans="6:9">
      <c r="F4370" s="12" t="s">
        <v>4314</v>
      </c>
      <c r="G4370" s="12" t="s">
        <v>391</v>
      </c>
      <c r="H4370" s="15">
        <v>276007</v>
      </c>
      <c r="I4370" s="13">
        <v>38</v>
      </c>
    </row>
    <row r="4371" ht="15.75" spans="6:9">
      <c r="F4371" s="12" t="s">
        <v>7826</v>
      </c>
      <c r="G4371" s="12" t="s">
        <v>392</v>
      </c>
      <c r="H4371" s="15">
        <v>64400</v>
      </c>
      <c r="I4371" s="13">
        <v>38</v>
      </c>
    </row>
    <row r="4372" ht="15.75" spans="6:9">
      <c r="F4372" s="12" t="s">
        <v>7827</v>
      </c>
      <c r="G4372" s="12" t="s">
        <v>392</v>
      </c>
      <c r="H4372" s="15">
        <v>213100</v>
      </c>
      <c r="I4372" s="13">
        <v>38</v>
      </c>
    </row>
    <row r="4373" ht="15.75" spans="6:9">
      <c r="F4373" s="12" t="s">
        <v>7828</v>
      </c>
      <c r="G4373" s="12" t="s">
        <v>392</v>
      </c>
      <c r="H4373" s="15">
        <v>71200</v>
      </c>
      <c r="I4373" s="13">
        <v>38</v>
      </c>
    </row>
    <row r="4374" ht="15.75" spans="6:9">
      <c r="F4374" s="12" t="s">
        <v>3456</v>
      </c>
      <c r="G4374" s="12" t="s">
        <v>391</v>
      </c>
      <c r="H4374" s="15">
        <v>17130</v>
      </c>
      <c r="I4374" s="13">
        <v>38</v>
      </c>
    </row>
    <row r="4375" ht="15.75" spans="6:9">
      <c r="F4375" s="12" t="s">
        <v>7829</v>
      </c>
      <c r="G4375" s="12" t="s">
        <v>392</v>
      </c>
      <c r="H4375" s="15">
        <v>20500</v>
      </c>
      <c r="I4375" s="13">
        <v>38</v>
      </c>
    </row>
    <row r="4376" ht="15.75" spans="6:9">
      <c r="F4376" s="12" t="s">
        <v>7830</v>
      </c>
      <c r="G4376" s="12" t="s">
        <v>392</v>
      </c>
      <c r="H4376" s="15">
        <v>57700</v>
      </c>
      <c r="I4376" s="13">
        <v>38</v>
      </c>
    </row>
    <row r="4377" ht="15.75" spans="6:9">
      <c r="F4377" s="12" t="s">
        <v>7831</v>
      </c>
      <c r="G4377" s="12" t="s">
        <v>392</v>
      </c>
      <c r="H4377" s="15">
        <v>132500</v>
      </c>
      <c r="I4377" s="13">
        <v>38</v>
      </c>
    </row>
    <row r="4378" ht="15.75" spans="6:9">
      <c r="F4378" s="12" t="s">
        <v>3457</v>
      </c>
      <c r="G4378" s="12" t="s">
        <v>391</v>
      </c>
      <c r="H4378" s="15">
        <v>21319</v>
      </c>
      <c r="I4378" s="13">
        <v>38</v>
      </c>
    </row>
    <row r="4379" ht="15.75" spans="6:9">
      <c r="F4379" s="12" t="s">
        <v>7832</v>
      </c>
      <c r="G4379" s="12" t="s">
        <v>392</v>
      </c>
      <c r="H4379" s="15">
        <v>48400</v>
      </c>
      <c r="I4379" s="13">
        <v>38</v>
      </c>
    </row>
    <row r="4380" ht="15.75" spans="6:9">
      <c r="F4380" s="12" t="s">
        <v>7833</v>
      </c>
      <c r="G4380" s="12" t="s">
        <v>392</v>
      </c>
      <c r="H4380" s="15">
        <v>10900</v>
      </c>
      <c r="I4380" s="13">
        <v>38</v>
      </c>
    </row>
    <row r="4381" ht="15.75" spans="6:9">
      <c r="F4381" s="12" t="s">
        <v>7834</v>
      </c>
      <c r="G4381" s="12" t="s">
        <v>392</v>
      </c>
      <c r="H4381" s="15">
        <v>3400000</v>
      </c>
      <c r="I4381" s="13">
        <v>38</v>
      </c>
    </row>
    <row r="4382" ht="15.75" spans="6:9">
      <c r="F4382" s="12" t="s">
        <v>7835</v>
      </c>
      <c r="G4382" s="12" t="s">
        <v>392</v>
      </c>
      <c r="H4382" s="15">
        <v>197079</v>
      </c>
      <c r="I4382" s="13">
        <v>38</v>
      </c>
    </row>
    <row r="4383" ht="15.75" spans="6:9">
      <c r="F4383" s="12" t="s">
        <v>7836</v>
      </c>
      <c r="G4383" s="12" t="s">
        <v>392</v>
      </c>
      <c r="H4383" s="15">
        <v>176000</v>
      </c>
      <c r="I4383" s="13">
        <v>38</v>
      </c>
    </row>
    <row r="4384" ht="15.75" spans="6:9">
      <c r="F4384" s="12" t="s">
        <v>7837</v>
      </c>
      <c r="G4384" s="12" t="s">
        <v>392</v>
      </c>
      <c r="H4384" s="15">
        <v>15300</v>
      </c>
      <c r="I4384" s="13">
        <v>38</v>
      </c>
    </row>
    <row r="4385" ht="15.75" spans="6:9">
      <c r="F4385" s="12" t="s">
        <v>3459</v>
      </c>
      <c r="G4385" s="12" t="s">
        <v>391</v>
      </c>
      <c r="H4385" s="15">
        <v>32093</v>
      </c>
      <c r="I4385" s="13">
        <v>38</v>
      </c>
    </row>
    <row r="4386" ht="15.75" spans="6:9">
      <c r="F4386" s="12" t="s">
        <v>7838</v>
      </c>
      <c r="G4386" s="12" t="s">
        <v>392</v>
      </c>
      <c r="H4386" s="15">
        <v>141100</v>
      </c>
      <c r="I4386" s="13">
        <v>38</v>
      </c>
    </row>
    <row r="4387" ht="15.75" spans="6:9">
      <c r="F4387" s="12" t="s">
        <v>7839</v>
      </c>
      <c r="G4387" s="12" t="s">
        <v>392</v>
      </c>
      <c r="H4387" s="15">
        <v>72800</v>
      </c>
      <c r="I4387" s="13">
        <v>38</v>
      </c>
    </row>
    <row r="4388" ht="15.75" spans="6:9">
      <c r="F4388" s="12" t="s">
        <v>3461</v>
      </c>
      <c r="G4388" s="12" t="s">
        <v>391</v>
      </c>
      <c r="H4388" s="15">
        <v>55538</v>
      </c>
      <c r="I4388" s="13">
        <v>38</v>
      </c>
    </row>
    <row r="4389" ht="15.75" spans="6:9">
      <c r="F4389" s="12" t="s">
        <v>7840</v>
      </c>
      <c r="G4389" s="12" t="s">
        <v>392</v>
      </c>
      <c r="H4389" s="15">
        <v>174100</v>
      </c>
      <c r="I4389" s="13">
        <v>38</v>
      </c>
    </row>
    <row r="4390" ht="15.75" spans="6:9">
      <c r="F4390" s="12" t="s">
        <v>7841</v>
      </c>
      <c r="G4390" s="12" t="s">
        <v>392</v>
      </c>
      <c r="H4390" s="15">
        <v>98800</v>
      </c>
      <c r="I4390" s="13">
        <v>38</v>
      </c>
    </row>
    <row r="4391" ht="15.75" spans="6:9">
      <c r="F4391" s="12" t="s">
        <v>7842</v>
      </c>
      <c r="G4391" s="12" t="s">
        <v>392</v>
      </c>
      <c r="H4391" s="15">
        <v>34100</v>
      </c>
      <c r="I4391" s="13">
        <v>38</v>
      </c>
    </row>
    <row r="4392" ht="15.75" spans="6:9">
      <c r="F4392" s="12" t="s">
        <v>7843</v>
      </c>
      <c r="G4392" s="12" t="s">
        <v>392</v>
      </c>
      <c r="H4392" s="15">
        <v>27300</v>
      </c>
      <c r="I4392" s="13">
        <v>38</v>
      </c>
    </row>
    <row r="4393" ht="15.75" spans="6:9">
      <c r="F4393" s="12" t="s">
        <v>7844</v>
      </c>
      <c r="G4393" s="12" t="s">
        <v>392</v>
      </c>
      <c r="H4393" s="15">
        <v>102500</v>
      </c>
      <c r="I4393" s="13">
        <v>38</v>
      </c>
    </row>
    <row r="4394" ht="15.75" spans="6:9">
      <c r="F4394" s="12" t="s">
        <v>7845</v>
      </c>
      <c r="G4394" s="12" t="s">
        <v>392</v>
      </c>
      <c r="H4394" s="15">
        <v>56500</v>
      </c>
      <c r="I4394" s="13">
        <v>38</v>
      </c>
    </row>
    <row r="4395" ht="15.75" spans="6:9">
      <c r="F4395" s="12" t="s">
        <v>7846</v>
      </c>
      <c r="G4395" s="12" t="s">
        <v>392</v>
      </c>
      <c r="H4395" s="15">
        <v>57500</v>
      </c>
      <c r="I4395" s="13">
        <v>38</v>
      </c>
    </row>
    <row r="4396" ht="15.75" spans="6:9">
      <c r="F4396" s="12" t="s">
        <v>7847</v>
      </c>
      <c r="G4396" s="12" t="s">
        <v>392</v>
      </c>
      <c r="H4396" s="15">
        <v>167800</v>
      </c>
      <c r="I4396" s="13">
        <v>38</v>
      </c>
    </row>
    <row r="4397" ht="15.75" spans="6:9">
      <c r="F4397" s="12" t="s">
        <v>7848</v>
      </c>
      <c r="G4397" s="12" t="s">
        <v>392</v>
      </c>
      <c r="H4397" s="15">
        <v>25300</v>
      </c>
      <c r="I4397" s="13">
        <v>38</v>
      </c>
    </row>
    <row r="4398" ht="15.75" spans="6:9">
      <c r="F4398" s="12" t="s">
        <v>7849</v>
      </c>
      <c r="G4398" s="12" t="s">
        <v>392</v>
      </c>
      <c r="H4398" s="15">
        <v>126900</v>
      </c>
      <c r="I4398" s="13">
        <v>38</v>
      </c>
    </row>
    <row r="4399" ht="15.75" spans="6:9">
      <c r="F4399" s="12" t="s">
        <v>7850</v>
      </c>
      <c r="G4399" s="12" t="s">
        <v>392</v>
      </c>
      <c r="H4399" s="15">
        <v>16900</v>
      </c>
      <c r="I4399" s="13">
        <v>38</v>
      </c>
    </row>
    <row r="4400" ht="15.75" spans="6:9">
      <c r="F4400" s="12" t="s">
        <v>7851</v>
      </c>
      <c r="G4400" s="12" t="s">
        <v>392</v>
      </c>
      <c r="H4400" s="15">
        <v>15700</v>
      </c>
      <c r="I4400" s="13">
        <v>38</v>
      </c>
    </row>
    <row r="4401" ht="15.75" spans="6:9">
      <c r="F4401" s="12" t="s">
        <v>7852</v>
      </c>
      <c r="G4401" s="12" t="s">
        <v>392</v>
      </c>
      <c r="H4401" s="15">
        <v>683900</v>
      </c>
      <c r="I4401" s="13">
        <v>38</v>
      </c>
    </row>
    <row r="4402" ht="15.75" spans="6:9">
      <c r="F4402" s="12" t="s">
        <v>7853</v>
      </c>
      <c r="G4402" s="12" t="s">
        <v>392</v>
      </c>
      <c r="H4402" s="15">
        <v>23200</v>
      </c>
      <c r="I4402" s="13">
        <v>38</v>
      </c>
    </row>
    <row r="4403" ht="15.75" spans="6:9">
      <c r="F4403" s="12" t="s">
        <v>7854</v>
      </c>
      <c r="G4403" s="12" t="s">
        <v>392</v>
      </c>
      <c r="H4403" s="15">
        <v>31000</v>
      </c>
      <c r="I4403" s="13">
        <v>38</v>
      </c>
    </row>
    <row r="4404" ht="15.75" spans="6:9">
      <c r="F4404" s="12" t="s">
        <v>3464</v>
      </c>
      <c r="G4404" s="12" t="s">
        <v>391</v>
      </c>
      <c r="H4404" s="15">
        <v>15586</v>
      </c>
      <c r="I4404" s="13">
        <v>38</v>
      </c>
    </row>
    <row r="4405" ht="15.75" spans="6:9">
      <c r="F4405" s="12" t="s">
        <v>5597</v>
      </c>
      <c r="G4405" s="12" t="s">
        <v>391</v>
      </c>
      <c r="H4405" s="15">
        <v>71099</v>
      </c>
      <c r="I4405" s="13">
        <v>38</v>
      </c>
    </row>
    <row r="4406" ht="15.75" spans="6:9">
      <c r="F4406" s="12" t="s">
        <v>7855</v>
      </c>
      <c r="G4406" s="12" t="s">
        <v>392</v>
      </c>
      <c r="H4406" s="15">
        <v>103200</v>
      </c>
      <c r="I4406" s="13">
        <v>38</v>
      </c>
    </row>
    <row r="4407" ht="15.75" spans="6:9">
      <c r="F4407" s="12" t="s">
        <v>7856</v>
      </c>
      <c r="G4407" s="12" t="s">
        <v>392</v>
      </c>
      <c r="H4407" s="15">
        <v>290000</v>
      </c>
      <c r="I4407" s="13">
        <v>38</v>
      </c>
    </row>
    <row r="4408" ht="15.75" spans="6:9">
      <c r="F4408" s="12" t="s">
        <v>7857</v>
      </c>
      <c r="G4408" s="12" t="s">
        <v>392</v>
      </c>
      <c r="H4408" s="15">
        <v>58200</v>
      </c>
      <c r="I4408" s="13">
        <v>38</v>
      </c>
    </row>
    <row r="4409" ht="15.75" spans="6:9">
      <c r="F4409" s="12" t="s">
        <v>7858</v>
      </c>
      <c r="G4409" s="12" t="s">
        <v>392</v>
      </c>
      <c r="H4409" s="15">
        <v>654300</v>
      </c>
      <c r="I4409" s="13">
        <v>38</v>
      </c>
    </row>
    <row r="4410" ht="15.75" spans="6:9">
      <c r="F4410" s="12" t="s">
        <v>7859</v>
      </c>
      <c r="G4410" s="12" t="s">
        <v>392</v>
      </c>
      <c r="H4410" s="15">
        <v>127800</v>
      </c>
      <c r="I4410" s="13">
        <v>38</v>
      </c>
    </row>
    <row r="4411" ht="15.75" spans="6:9">
      <c r="F4411" s="12" t="s">
        <v>3467</v>
      </c>
      <c r="G4411" s="12" t="s">
        <v>391</v>
      </c>
      <c r="H4411" s="15">
        <v>17076</v>
      </c>
      <c r="I4411" s="13">
        <v>38</v>
      </c>
    </row>
    <row r="4412" ht="15.75" spans="6:9">
      <c r="F4412" s="12" t="s">
        <v>7860</v>
      </c>
      <c r="G4412" s="12" t="s">
        <v>391</v>
      </c>
      <c r="H4412" s="15">
        <v>54451</v>
      </c>
      <c r="I4412" s="13">
        <v>38</v>
      </c>
    </row>
    <row r="4413" ht="15.75" spans="6:9">
      <c r="F4413" s="12" t="s">
        <v>3469</v>
      </c>
      <c r="G4413" s="12" t="s">
        <v>391</v>
      </c>
      <c r="H4413" s="15">
        <v>20606</v>
      </c>
      <c r="I4413" s="13">
        <v>38</v>
      </c>
    </row>
    <row r="4414" ht="15.75" spans="6:9">
      <c r="F4414" s="12" t="s">
        <v>3472</v>
      </c>
      <c r="G4414" s="12" t="s">
        <v>391</v>
      </c>
      <c r="H4414" s="15">
        <v>30166</v>
      </c>
      <c r="I4414" s="13">
        <v>38</v>
      </c>
    </row>
    <row r="4415" ht="15.75" spans="6:9">
      <c r="F4415" s="12" t="s">
        <v>7861</v>
      </c>
      <c r="G4415" s="12" t="s">
        <v>392</v>
      </c>
      <c r="H4415" s="15">
        <v>25900</v>
      </c>
      <c r="I4415" s="13">
        <v>38</v>
      </c>
    </row>
    <row r="4416" ht="15.75" spans="6:9">
      <c r="F4416" s="12" t="s">
        <v>7862</v>
      </c>
      <c r="G4416" s="12" t="s">
        <v>392</v>
      </c>
      <c r="H4416" s="15">
        <v>21300</v>
      </c>
      <c r="I4416" s="13">
        <v>38</v>
      </c>
    </row>
    <row r="4417" ht="15.75" spans="6:9">
      <c r="F4417" s="12" t="s">
        <v>7863</v>
      </c>
      <c r="G4417" s="12" t="s">
        <v>392</v>
      </c>
      <c r="H4417" s="15">
        <v>10600</v>
      </c>
      <c r="I4417" s="13">
        <v>38</v>
      </c>
    </row>
    <row r="4418" ht="15.75" spans="6:9">
      <c r="F4418" s="12" t="s">
        <v>7864</v>
      </c>
      <c r="G4418" s="12" t="s">
        <v>392</v>
      </c>
      <c r="H4418" s="15">
        <v>33600</v>
      </c>
      <c r="I4418" s="13">
        <v>38</v>
      </c>
    </row>
    <row r="4419" ht="15.75" spans="6:9">
      <c r="F4419" s="12" t="s">
        <v>7865</v>
      </c>
      <c r="G4419" s="12" t="s">
        <v>392</v>
      </c>
      <c r="H4419" s="15">
        <v>430800</v>
      </c>
      <c r="I4419" s="13">
        <v>38</v>
      </c>
    </row>
    <row r="4420" ht="15.75" spans="6:9">
      <c r="F4420" s="12" t="s">
        <v>7866</v>
      </c>
      <c r="G4420" s="12" t="s">
        <v>392</v>
      </c>
      <c r="H4420" s="15">
        <v>501300</v>
      </c>
      <c r="I4420" s="13">
        <v>38</v>
      </c>
    </row>
    <row r="4421" ht="15.75" spans="6:9">
      <c r="F4421" s="12" t="s">
        <v>3475</v>
      </c>
      <c r="G4421" s="12" t="s">
        <v>391</v>
      </c>
      <c r="H4421" s="15">
        <v>11955</v>
      </c>
      <c r="I4421" s="13">
        <v>38</v>
      </c>
    </row>
    <row r="4422" ht="15.75" spans="6:9">
      <c r="F4422" s="12" t="s">
        <v>7867</v>
      </c>
      <c r="G4422" s="12" t="s">
        <v>392</v>
      </c>
      <c r="H4422" s="15">
        <v>70000</v>
      </c>
      <c r="I4422" s="13">
        <v>38</v>
      </c>
    </row>
    <row r="4423" ht="15.75" spans="6:9">
      <c r="F4423" s="12" t="s">
        <v>7868</v>
      </c>
      <c r="G4423" s="12" t="s">
        <v>392</v>
      </c>
      <c r="H4423" s="15">
        <v>137800</v>
      </c>
      <c r="I4423" s="13">
        <v>38</v>
      </c>
    </row>
    <row r="4424" ht="15.75" spans="6:9">
      <c r="F4424" s="12" t="s">
        <v>7869</v>
      </c>
      <c r="G4424" s="12" t="s">
        <v>392</v>
      </c>
      <c r="H4424" s="15">
        <v>117400</v>
      </c>
      <c r="I4424" s="13">
        <v>38</v>
      </c>
    </row>
    <row r="4425" ht="15.75" spans="6:9">
      <c r="F4425" s="12" t="s">
        <v>7870</v>
      </c>
      <c r="G4425" s="12" t="s">
        <v>392</v>
      </c>
      <c r="H4425" s="15">
        <v>26900</v>
      </c>
      <c r="I4425" s="13">
        <v>38</v>
      </c>
    </row>
    <row r="4426" ht="15.75" spans="6:9">
      <c r="F4426" s="12" t="s">
        <v>7871</v>
      </c>
      <c r="G4426" s="12" t="s">
        <v>392</v>
      </c>
      <c r="H4426" s="15">
        <v>50700</v>
      </c>
      <c r="I4426" s="13">
        <v>38</v>
      </c>
    </row>
    <row r="4427" ht="15.75" spans="6:9">
      <c r="F4427" s="12" t="s">
        <v>4738</v>
      </c>
      <c r="G4427" s="12" t="s">
        <v>391</v>
      </c>
      <c r="H4427" s="15">
        <v>152840</v>
      </c>
      <c r="I4427" s="13">
        <v>38</v>
      </c>
    </row>
    <row r="4428" ht="15.75" spans="6:9">
      <c r="F4428" s="12" t="s">
        <v>7872</v>
      </c>
      <c r="G4428" s="12" t="s">
        <v>392</v>
      </c>
      <c r="H4428" s="15">
        <v>72500</v>
      </c>
      <c r="I4428" s="13">
        <v>38</v>
      </c>
    </row>
    <row r="4429" ht="15.75" spans="6:9">
      <c r="F4429" s="12" t="s">
        <v>7873</v>
      </c>
      <c r="G4429" s="12" t="s">
        <v>392</v>
      </c>
      <c r="H4429" s="15">
        <v>142500</v>
      </c>
      <c r="I4429" s="13">
        <v>38</v>
      </c>
    </row>
    <row r="4430" ht="15.75" spans="6:9">
      <c r="F4430" s="12" t="s">
        <v>7874</v>
      </c>
      <c r="G4430" s="12" t="s">
        <v>392</v>
      </c>
      <c r="H4430" s="15">
        <v>56900</v>
      </c>
      <c r="I4430" s="13">
        <v>38</v>
      </c>
    </row>
    <row r="4431" ht="15.75" spans="6:9">
      <c r="F4431" s="12" t="s">
        <v>7875</v>
      </c>
      <c r="G4431" s="12" t="s">
        <v>392</v>
      </c>
      <c r="H4431" s="15">
        <v>398200</v>
      </c>
      <c r="I4431" s="13">
        <v>38</v>
      </c>
    </row>
    <row r="4432" ht="15.75" spans="6:9">
      <c r="F4432" s="12" t="s">
        <v>7876</v>
      </c>
      <c r="G4432" s="12" t="s">
        <v>392</v>
      </c>
      <c r="H4432" s="15">
        <v>76600</v>
      </c>
      <c r="I4432" s="13">
        <v>38</v>
      </c>
    </row>
    <row r="4433" ht="15.75" spans="6:9">
      <c r="F4433" s="12" t="s">
        <v>7877</v>
      </c>
      <c r="G4433" s="12" t="s">
        <v>392</v>
      </c>
      <c r="H4433" s="15">
        <v>29500</v>
      </c>
      <c r="I4433" s="13">
        <v>38</v>
      </c>
    </row>
    <row r="4434" ht="15.75" spans="6:9">
      <c r="F4434" s="12" t="s">
        <v>7878</v>
      </c>
      <c r="G4434" s="12" t="s">
        <v>392</v>
      </c>
      <c r="H4434" s="15">
        <v>84300</v>
      </c>
      <c r="I4434" s="13">
        <v>38</v>
      </c>
    </row>
    <row r="4435" ht="15.75" spans="6:9">
      <c r="F4435" s="12" t="s">
        <v>7879</v>
      </c>
      <c r="G4435" s="12" t="s">
        <v>392</v>
      </c>
      <c r="H4435" s="15">
        <v>544700</v>
      </c>
      <c r="I4435" s="13">
        <v>38</v>
      </c>
    </row>
    <row r="4436" ht="15.75" spans="6:9">
      <c r="F4436" s="12" t="s">
        <v>7880</v>
      </c>
      <c r="G4436" s="12" t="s">
        <v>392</v>
      </c>
      <c r="H4436" s="15">
        <v>15600</v>
      </c>
      <c r="I4436" s="13">
        <v>38</v>
      </c>
    </row>
    <row r="4437" ht="15.75" spans="6:9">
      <c r="F4437" s="12" t="s">
        <v>7881</v>
      </c>
      <c r="G4437" s="12" t="s">
        <v>392</v>
      </c>
      <c r="H4437" s="15">
        <v>17900</v>
      </c>
      <c r="I4437" s="13">
        <v>38</v>
      </c>
    </row>
    <row r="4438" ht="15.75" spans="6:9">
      <c r="F4438" s="12" t="s">
        <v>7882</v>
      </c>
      <c r="G4438" s="12" t="s">
        <v>392</v>
      </c>
      <c r="H4438" s="15">
        <v>105100</v>
      </c>
      <c r="I4438" s="13">
        <v>38</v>
      </c>
    </row>
    <row r="4439" ht="15.75" spans="6:9">
      <c r="F4439" s="12" t="s">
        <v>7883</v>
      </c>
      <c r="G4439" s="12" t="s">
        <v>392</v>
      </c>
      <c r="H4439" s="15">
        <v>35100</v>
      </c>
      <c r="I4439" s="13">
        <v>38</v>
      </c>
    </row>
    <row r="4440" ht="15.75" spans="6:9">
      <c r="F4440" s="12" t="s">
        <v>7884</v>
      </c>
      <c r="G4440" s="12" t="s">
        <v>392</v>
      </c>
      <c r="H4440" s="15">
        <v>12100</v>
      </c>
      <c r="I4440" s="13">
        <v>38</v>
      </c>
    </row>
    <row r="4441" ht="15.75" spans="6:9">
      <c r="F4441" s="12" t="s">
        <v>7885</v>
      </c>
      <c r="G4441" s="12" t="s">
        <v>392</v>
      </c>
      <c r="H4441" s="15">
        <v>16900</v>
      </c>
      <c r="I4441" s="13">
        <v>38</v>
      </c>
    </row>
    <row r="4442" ht="15.75" spans="6:9">
      <c r="F4442" s="12" t="s">
        <v>7886</v>
      </c>
      <c r="G4442" s="12" t="s">
        <v>392</v>
      </c>
      <c r="H4442" s="15">
        <v>115700</v>
      </c>
      <c r="I4442" s="13">
        <v>38</v>
      </c>
    </row>
    <row r="4443" ht="15.75" spans="6:9">
      <c r="F4443" s="12" t="s">
        <v>7887</v>
      </c>
      <c r="G4443" s="12" t="s">
        <v>392</v>
      </c>
      <c r="H4443" s="15">
        <v>201100</v>
      </c>
      <c r="I4443" s="13">
        <v>38</v>
      </c>
    </row>
    <row r="4444" ht="15.75" spans="6:9">
      <c r="F4444" s="12" t="s">
        <v>3478</v>
      </c>
      <c r="G4444" s="12" t="s">
        <v>391</v>
      </c>
      <c r="H4444" s="15">
        <v>21589</v>
      </c>
      <c r="I4444" s="13">
        <v>38</v>
      </c>
    </row>
    <row r="4445" ht="15.75" spans="6:9">
      <c r="F4445" s="12" t="s">
        <v>7888</v>
      </c>
      <c r="G4445" s="12" t="s">
        <v>392</v>
      </c>
      <c r="H4445" s="15">
        <v>16800</v>
      </c>
      <c r="I4445" s="13">
        <v>38</v>
      </c>
    </row>
    <row r="4446" ht="15.75" spans="6:9">
      <c r="F4446" s="12" t="s">
        <v>7889</v>
      </c>
      <c r="G4446" s="12" t="s">
        <v>392</v>
      </c>
      <c r="H4446" s="15">
        <v>118300</v>
      </c>
      <c r="I4446" s="13">
        <v>38</v>
      </c>
    </row>
    <row r="4447" ht="15.75" spans="6:9">
      <c r="F4447" s="12" t="s">
        <v>3481</v>
      </c>
      <c r="G4447" s="12" t="s">
        <v>391</v>
      </c>
      <c r="H4447" s="15">
        <v>23288</v>
      </c>
      <c r="I4447" s="13">
        <v>38</v>
      </c>
    </row>
    <row r="4448" ht="15.75" spans="6:9">
      <c r="F4448" s="12" t="s">
        <v>7890</v>
      </c>
      <c r="G4448" s="12" t="s">
        <v>392</v>
      </c>
      <c r="H4448" s="15">
        <v>56800</v>
      </c>
      <c r="I4448" s="13">
        <v>38</v>
      </c>
    </row>
    <row r="4449" ht="15.75" spans="6:9">
      <c r="F4449" s="12" t="s">
        <v>5678</v>
      </c>
      <c r="G4449" s="12" t="s">
        <v>391</v>
      </c>
      <c r="H4449" s="15">
        <v>50437</v>
      </c>
      <c r="I4449" s="13">
        <v>38</v>
      </c>
    </row>
    <row r="4450" ht="15.75" spans="6:9">
      <c r="F4450" s="12" t="s">
        <v>7891</v>
      </c>
      <c r="G4450" s="12" t="s">
        <v>392</v>
      </c>
      <c r="H4450" s="15">
        <v>235500</v>
      </c>
      <c r="I4450" s="13">
        <v>38</v>
      </c>
    </row>
    <row r="4451" ht="15.75" spans="6:9">
      <c r="F4451" s="12" t="s">
        <v>7892</v>
      </c>
      <c r="G4451" s="12" t="s">
        <v>392</v>
      </c>
      <c r="H4451" s="15">
        <v>150100</v>
      </c>
      <c r="I4451" s="13">
        <v>38</v>
      </c>
    </row>
    <row r="4452" ht="15.75" spans="6:9">
      <c r="F4452" s="12" t="s">
        <v>7893</v>
      </c>
      <c r="G4452" s="12" t="s">
        <v>392</v>
      </c>
      <c r="H4452" s="15">
        <v>222100</v>
      </c>
      <c r="I4452" s="13">
        <v>38</v>
      </c>
    </row>
    <row r="4453" ht="15.75" spans="6:9">
      <c r="F4453" s="12" t="s">
        <v>7894</v>
      </c>
      <c r="G4453" s="12" t="s">
        <v>392</v>
      </c>
      <c r="H4453" s="15">
        <v>993200</v>
      </c>
      <c r="I4453" s="13">
        <v>38</v>
      </c>
    </row>
    <row r="4454" ht="15.75" spans="6:9">
      <c r="F4454" s="12" t="s">
        <v>7895</v>
      </c>
      <c r="G4454" s="12" t="s">
        <v>392</v>
      </c>
      <c r="H4454" s="15">
        <v>108000</v>
      </c>
      <c r="I4454" s="13">
        <v>38</v>
      </c>
    </row>
    <row r="4455" ht="15.75" spans="6:9">
      <c r="F4455" s="12" t="s">
        <v>7896</v>
      </c>
      <c r="G4455" s="12" t="s">
        <v>392</v>
      </c>
      <c r="H4455" s="15">
        <v>119700</v>
      </c>
      <c r="I4455" s="13">
        <v>38</v>
      </c>
    </row>
    <row r="4456" ht="15.75" spans="6:9">
      <c r="F4456" s="12" t="s">
        <v>7897</v>
      </c>
      <c r="G4456" s="12" t="s">
        <v>392</v>
      </c>
      <c r="H4456" s="15">
        <v>71100</v>
      </c>
      <c r="I4456" s="13">
        <v>38</v>
      </c>
    </row>
    <row r="4457" ht="15.75" spans="6:9">
      <c r="F4457" s="12" t="s">
        <v>5723</v>
      </c>
      <c r="G4457" s="12" t="s">
        <v>391</v>
      </c>
      <c r="H4457" s="15">
        <v>46898</v>
      </c>
      <c r="I4457" s="13">
        <v>38</v>
      </c>
    </row>
    <row r="4458" ht="15.75" spans="6:9">
      <c r="F4458" s="12" t="s">
        <v>7898</v>
      </c>
      <c r="G4458" s="12" t="s">
        <v>392</v>
      </c>
      <c r="H4458" s="15">
        <v>29400</v>
      </c>
      <c r="I4458" s="13">
        <v>38</v>
      </c>
    </row>
    <row r="4459" ht="15.75" spans="6:9">
      <c r="F4459" s="12" t="s">
        <v>3484</v>
      </c>
      <c r="G4459" s="12" t="s">
        <v>391</v>
      </c>
      <c r="H4459" s="15">
        <v>22925</v>
      </c>
      <c r="I4459" s="13">
        <v>38</v>
      </c>
    </row>
    <row r="4460" ht="15.75" spans="6:9">
      <c r="F4460" s="12" t="s">
        <v>7899</v>
      </c>
      <c r="G4460" s="12" t="s">
        <v>392</v>
      </c>
      <c r="H4460" s="15">
        <v>11200</v>
      </c>
      <c r="I4460" s="13">
        <v>38</v>
      </c>
    </row>
    <row r="4461" ht="15.75" spans="6:9">
      <c r="F4461" s="12" t="s">
        <v>7900</v>
      </c>
      <c r="G4461" s="12" t="s">
        <v>392</v>
      </c>
      <c r="H4461" s="15">
        <v>187500</v>
      </c>
      <c r="I4461" s="13">
        <v>38</v>
      </c>
    </row>
    <row r="4462" ht="15.75" spans="6:9">
      <c r="F4462" s="12" t="s">
        <v>7901</v>
      </c>
      <c r="G4462" s="12" t="s">
        <v>392</v>
      </c>
      <c r="H4462" s="15">
        <v>30300</v>
      </c>
      <c r="I4462" s="13">
        <v>38</v>
      </c>
    </row>
    <row r="4463" ht="15.75" spans="6:9">
      <c r="F4463" s="12" t="s">
        <v>7902</v>
      </c>
      <c r="G4463" s="12" t="s">
        <v>392</v>
      </c>
      <c r="H4463" s="15">
        <v>16800</v>
      </c>
      <c r="I4463" s="13">
        <v>38</v>
      </c>
    </row>
    <row r="4464" ht="15.75" spans="6:9">
      <c r="F4464" s="12" t="s">
        <v>7903</v>
      </c>
      <c r="G4464" s="12" t="s">
        <v>392</v>
      </c>
      <c r="H4464" s="15">
        <v>14100</v>
      </c>
      <c r="I4464" s="13">
        <v>38</v>
      </c>
    </row>
    <row r="4465" ht="15.75" spans="6:9">
      <c r="F4465" s="12" t="s">
        <v>7904</v>
      </c>
      <c r="G4465" s="12" t="s">
        <v>392</v>
      </c>
      <c r="H4465" s="15">
        <v>26900</v>
      </c>
      <c r="I4465" s="13">
        <v>38</v>
      </c>
    </row>
    <row r="4466" ht="15.75" spans="6:9">
      <c r="F4466" s="12" t="s">
        <v>7905</v>
      </c>
      <c r="G4466" s="12" t="s">
        <v>392</v>
      </c>
      <c r="H4466" s="15">
        <v>64400</v>
      </c>
      <c r="I4466" s="13">
        <v>38</v>
      </c>
    </row>
    <row r="4467" ht="15.75" spans="6:9">
      <c r="F4467" s="12" t="s">
        <v>5600</v>
      </c>
      <c r="G4467" s="12" t="s">
        <v>391</v>
      </c>
      <c r="H4467" s="15">
        <v>47652</v>
      </c>
      <c r="I4467" s="13">
        <v>38</v>
      </c>
    </row>
    <row r="4468" ht="15.75" spans="6:9">
      <c r="F4468" s="12" t="s">
        <v>7906</v>
      </c>
      <c r="G4468" s="12" t="s">
        <v>392</v>
      </c>
      <c r="H4468" s="15">
        <v>59300</v>
      </c>
      <c r="I4468" s="13">
        <v>38</v>
      </c>
    </row>
    <row r="4469" ht="15.75" spans="6:9">
      <c r="F4469" s="12" t="s">
        <v>7907</v>
      </c>
      <c r="G4469" s="12" t="s">
        <v>392</v>
      </c>
      <c r="H4469" s="15">
        <v>44300</v>
      </c>
      <c r="I4469" s="13">
        <v>38</v>
      </c>
    </row>
    <row r="4470" ht="15.75" spans="6:9">
      <c r="F4470" s="12" t="s">
        <v>7908</v>
      </c>
      <c r="G4470" s="12" t="s">
        <v>392</v>
      </c>
      <c r="H4470" s="15">
        <v>1600000</v>
      </c>
      <c r="I4470" s="13">
        <v>38</v>
      </c>
    </row>
    <row r="4471" ht="15.75" spans="6:9">
      <c r="F4471" s="12" t="s">
        <v>7909</v>
      </c>
      <c r="G4471" s="12" t="s">
        <v>392</v>
      </c>
      <c r="H4471" s="15">
        <v>41800</v>
      </c>
      <c r="I4471" s="13">
        <v>38</v>
      </c>
    </row>
    <row r="4472" ht="15.75" spans="6:9">
      <c r="F4472" s="12" t="s">
        <v>7910</v>
      </c>
      <c r="G4472" s="12" t="s">
        <v>392</v>
      </c>
      <c r="H4472" s="15">
        <v>59500</v>
      </c>
      <c r="I4472" s="13">
        <v>38</v>
      </c>
    </row>
    <row r="4473" ht="15.75" spans="6:9">
      <c r="F4473" s="12" t="s">
        <v>7911</v>
      </c>
      <c r="G4473" s="12" t="s">
        <v>392</v>
      </c>
      <c r="H4473" s="15">
        <v>79800</v>
      </c>
      <c r="I4473" s="13">
        <v>38</v>
      </c>
    </row>
    <row r="4474" ht="15.75" spans="6:9">
      <c r="F4474" s="12" t="s">
        <v>7912</v>
      </c>
      <c r="G4474" s="12" t="s">
        <v>392</v>
      </c>
      <c r="H4474" s="15">
        <v>102000</v>
      </c>
      <c r="I4474" s="13">
        <v>38</v>
      </c>
    </row>
    <row r="4475" ht="15.75" spans="6:9">
      <c r="F4475" s="12" t="s">
        <v>7913</v>
      </c>
      <c r="G4475" s="12" t="s">
        <v>392</v>
      </c>
      <c r="H4475" s="15">
        <v>25000</v>
      </c>
      <c r="I4475" s="13">
        <v>38</v>
      </c>
    </row>
    <row r="4476" ht="15.75" spans="6:9">
      <c r="F4476" s="12" t="s">
        <v>7914</v>
      </c>
      <c r="G4476" s="12" t="s">
        <v>392</v>
      </c>
      <c r="H4476" s="15">
        <v>132700</v>
      </c>
      <c r="I4476" s="13">
        <v>38</v>
      </c>
    </row>
    <row r="4477" ht="15.75" spans="6:9">
      <c r="F4477" s="12" t="s">
        <v>7915</v>
      </c>
      <c r="G4477" s="12" t="s">
        <v>392</v>
      </c>
      <c r="H4477" s="15">
        <v>77600</v>
      </c>
      <c r="I4477" s="13">
        <v>38</v>
      </c>
    </row>
    <row r="4478" ht="15.75" spans="6:9">
      <c r="F4478" s="12" t="s">
        <v>7916</v>
      </c>
      <c r="G4478" s="12" t="s">
        <v>392</v>
      </c>
      <c r="H4478" s="15">
        <v>21700</v>
      </c>
      <c r="I4478" s="13">
        <v>38</v>
      </c>
    </row>
    <row r="4479" ht="15.75" spans="6:9">
      <c r="F4479" s="12" t="s">
        <v>7917</v>
      </c>
      <c r="G4479" s="12" t="s">
        <v>392</v>
      </c>
      <c r="H4479" s="15">
        <v>332900</v>
      </c>
      <c r="I4479" s="13">
        <v>38</v>
      </c>
    </row>
    <row r="4480" ht="15.75" spans="6:9">
      <c r="F4480" s="12" t="s">
        <v>7918</v>
      </c>
      <c r="G4480" s="12" t="s">
        <v>392</v>
      </c>
      <c r="H4480" s="15">
        <v>84300</v>
      </c>
      <c r="I4480" s="13">
        <v>38</v>
      </c>
    </row>
    <row r="4481" ht="15.75" spans="6:9">
      <c r="F4481" s="12" t="s">
        <v>7919</v>
      </c>
      <c r="G4481" s="12" t="s">
        <v>392</v>
      </c>
      <c r="H4481" s="15">
        <v>44000</v>
      </c>
      <c r="I4481" s="13">
        <v>38</v>
      </c>
    </row>
    <row r="4482" ht="15.75" spans="6:9">
      <c r="F4482" s="12" t="s">
        <v>7920</v>
      </c>
      <c r="G4482" s="12" t="s">
        <v>392</v>
      </c>
      <c r="H4482" s="15">
        <v>11500</v>
      </c>
      <c r="I4482" s="13">
        <v>38</v>
      </c>
    </row>
    <row r="4483" ht="15.75" spans="6:9">
      <c r="F4483" s="12" t="s">
        <v>7921</v>
      </c>
      <c r="G4483" s="12" t="s">
        <v>392</v>
      </c>
      <c r="H4483" s="15">
        <v>20500</v>
      </c>
      <c r="I4483" s="13">
        <v>38</v>
      </c>
    </row>
    <row r="4484" ht="15.75" spans="6:9">
      <c r="F4484" s="12" t="s">
        <v>7922</v>
      </c>
      <c r="G4484" s="12" t="s">
        <v>392</v>
      </c>
      <c r="H4484" s="15">
        <v>11200</v>
      </c>
      <c r="I4484" s="13">
        <v>38</v>
      </c>
    </row>
    <row r="4485" ht="15.75" spans="6:9">
      <c r="F4485" s="12" t="s">
        <v>7923</v>
      </c>
      <c r="G4485" s="12" t="s">
        <v>392</v>
      </c>
      <c r="H4485" s="15">
        <v>10300</v>
      </c>
      <c r="I4485" s="13">
        <v>38</v>
      </c>
    </row>
    <row r="4486" ht="15.75" spans="6:9">
      <c r="F4486" s="12" t="s">
        <v>7924</v>
      </c>
      <c r="G4486" s="12" t="s">
        <v>392</v>
      </c>
      <c r="H4486" s="15">
        <v>22300</v>
      </c>
      <c r="I4486" s="13">
        <v>38</v>
      </c>
    </row>
    <row r="4487" ht="15.75" spans="6:9">
      <c r="F4487" s="12" t="s">
        <v>4320</v>
      </c>
      <c r="G4487" s="12" t="s">
        <v>391</v>
      </c>
      <c r="H4487" s="15">
        <v>208046</v>
      </c>
      <c r="I4487" s="13">
        <v>38</v>
      </c>
    </row>
    <row r="4488" ht="15.75" spans="6:9">
      <c r="F4488" s="12" t="s">
        <v>3486</v>
      </c>
      <c r="G4488" s="12" t="s">
        <v>391</v>
      </c>
      <c r="H4488" s="15">
        <v>27496</v>
      </c>
      <c r="I4488" s="13">
        <v>38</v>
      </c>
    </row>
    <row r="4489" ht="15.75" spans="6:9">
      <c r="F4489" s="12" t="s">
        <v>7925</v>
      </c>
      <c r="G4489" s="12" t="s">
        <v>392</v>
      </c>
      <c r="H4489" s="15">
        <v>61300</v>
      </c>
      <c r="I4489" s="13">
        <v>38</v>
      </c>
    </row>
    <row r="4490" ht="15.75" spans="6:9">
      <c r="F4490" s="12" t="s">
        <v>3489</v>
      </c>
      <c r="G4490" s="12" t="s">
        <v>391</v>
      </c>
      <c r="H4490" s="15">
        <v>42590</v>
      </c>
      <c r="I4490" s="13">
        <v>38</v>
      </c>
    </row>
    <row r="4491" ht="15.75" spans="6:9">
      <c r="F4491" s="12" t="s">
        <v>7926</v>
      </c>
      <c r="G4491" s="12" t="s">
        <v>392</v>
      </c>
      <c r="H4491" s="15">
        <v>80600</v>
      </c>
      <c r="I4491" s="13">
        <v>38</v>
      </c>
    </row>
    <row r="4492" ht="15.75" spans="6:9">
      <c r="F4492" s="12" t="s">
        <v>7927</v>
      </c>
      <c r="G4492" s="12" t="s">
        <v>392</v>
      </c>
      <c r="H4492" s="15">
        <v>10500</v>
      </c>
      <c r="I4492" s="13">
        <v>38</v>
      </c>
    </row>
    <row r="4493" ht="15.75" spans="6:9">
      <c r="F4493" s="12" t="s">
        <v>7928</v>
      </c>
      <c r="G4493" s="12" t="s">
        <v>392</v>
      </c>
      <c r="H4493" s="15">
        <v>316800</v>
      </c>
      <c r="I4493" s="13">
        <v>38</v>
      </c>
    </row>
    <row r="4494" ht="15.75" spans="6:9">
      <c r="F4494" s="12" t="s">
        <v>7929</v>
      </c>
      <c r="G4494" s="12" t="s">
        <v>392</v>
      </c>
      <c r="H4494" s="15">
        <v>35300</v>
      </c>
      <c r="I4494" s="13">
        <v>38</v>
      </c>
    </row>
    <row r="4495" ht="15.75" spans="6:9">
      <c r="F4495" s="12" t="s">
        <v>3492</v>
      </c>
      <c r="G4495" s="12" t="s">
        <v>391</v>
      </c>
      <c r="H4495" s="15">
        <v>11028</v>
      </c>
      <c r="I4495" s="13">
        <v>38</v>
      </c>
    </row>
    <row r="4496" ht="15.75" spans="6:9">
      <c r="F4496" s="12" t="s">
        <v>7930</v>
      </c>
      <c r="G4496" s="12" t="s">
        <v>392</v>
      </c>
      <c r="H4496" s="15">
        <v>56800</v>
      </c>
      <c r="I4496" s="13">
        <v>38</v>
      </c>
    </row>
    <row r="4497" ht="15.75" spans="6:9">
      <c r="F4497" s="12" t="s">
        <v>7931</v>
      </c>
      <c r="G4497" s="12" t="s">
        <v>392</v>
      </c>
      <c r="H4497" s="15">
        <v>26700</v>
      </c>
      <c r="I4497" s="13">
        <v>38</v>
      </c>
    </row>
    <row r="4498" ht="15.75" spans="6:9">
      <c r="F4498" s="12" t="s">
        <v>7932</v>
      </c>
      <c r="G4498" s="12" t="s">
        <v>392</v>
      </c>
      <c r="H4498" s="15">
        <v>76400</v>
      </c>
      <c r="I4498" s="13">
        <v>38</v>
      </c>
    </row>
    <row r="4499" ht="15.75" spans="6:9">
      <c r="F4499" s="12" t="s">
        <v>7933</v>
      </c>
      <c r="G4499" s="12" t="s">
        <v>392</v>
      </c>
      <c r="H4499" s="15">
        <v>148000</v>
      </c>
      <c r="I4499" s="13">
        <v>38</v>
      </c>
    </row>
    <row r="4500" ht="15.75" spans="6:9">
      <c r="F4500" s="12" t="s">
        <v>7934</v>
      </c>
      <c r="G4500" s="12" t="s">
        <v>392</v>
      </c>
      <c r="H4500" s="15">
        <v>21800</v>
      </c>
      <c r="I4500" s="13">
        <v>38</v>
      </c>
    </row>
    <row r="4501" ht="15.75" spans="6:9">
      <c r="F4501" s="12" t="s">
        <v>3494</v>
      </c>
      <c r="G4501" s="12" t="s">
        <v>391</v>
      </c>
      <c r="H4501" s="15">
        <v>11247</v>
      </c>
      <c r="I4501" s="13">
        <v>38</v>
      </c>
    </row>
    <row r="4502" ht="15.75" spans="6:9">
      <c r="F4502" s="12" t="s">
        <v>7935</v>
      </c>
      <c r="G4502" s="12" t="s">
        <v>392</v>
      </c>
      <c r="H4502" s="15">
        <v>334200</v>
      </c>
      <c r="I4502" s="13">
        <v>38</v>
      </c>
    </row>
    <row r="4503" ht="15.75" spans="6:9">
      <c r="F4503" s="12" t="s">
        <v>7936</v>
      </c>
      <c r="G4503" s="12" t="s">
        <v>392</v>
      </c>
      <c r="H4503" s="15">
        <v>34200</v>
      </c>
      <c r="I4503" s="13">
        <v>38</v>
      </c>
    </row>
    <row r="4504" ht="15.75" spans="6:9">
      <c r="F4504" s="12" t="s">
        <v>7937</v>
      </c>
      <c r="G4504" s="12" t="s">
        <v>392</v>
      </c>
      <c r="H4504" s="15">
        <v>39500</v>
      </c>
      <c r="I4504" s="13">
        <v>38</v>
      </c>
    </row>
    <row r="4505" ht="15.75" spans="6:9">
      <c r="F4505" s="12" t="s">
        <v>7938</v>
      </c>
      <c r="G4505" s="12" t="s">
        <v>392</v>
      </c>
      <c r="H4505" s="15">
        <v>215300</v>
      </c>
      <c r="I4505" s="13">
        <v>38</v>
      </c>
    </row>
    <row r="4506" ht="15.75" spans="6:9">
      <c r="F4506" s="12" t="s">
        <v>7939</v>
      </c>
      <c r="G4506" s="12" t="s">
        <v>392</v>
      </c>
      <c r="H4506" s="15">
        <v>244200</v>
      </c>
      <c r="I4506" s="13">
        <v>38</v>
      </c>
    </row>
    <row r="4507" ht="15.75" spans="6:9">
      <c r="F4507" s="12" t="s">
        <v>3497</v>
      </c>
      <c r="G4507" s="12" t="s">
        <v>391</v>
      </c>
      <c r="H4507" s="15">
        <v>21368</v>
      </c>
      <c r="I4507" s="13">
        <v>38</v>
      </c>
    </row>
    <row r="4508" ht="15.75" spans="6:9">
      <c r="F4508" s="12" t="s">
        <v>7940</v>
      </c>
      <c r="G4508" s="12" t="s">
        <v>392</v>
      </c>
      <c r="H4508" s="15">
        <v>54400</v>
      </c>
      <c r="I4508" s="13">
        <v>38</v>
      </c>
    </row>
    <row r="4509" ht="15.75" spans="6:9">
      <c r="F4509" s="12" t="s">
        <v>3499</v>
      </c>
      <c r="G4509" s="12" t="s">
        <v>391</v>
      </c>
      <c r="H4509" s="15">
        <v>14513</v>
      </c>
      <c r="I4509" s="13">
        <v>38</v>
      </c>
    </row>
    <row r="4510" ht="15.75" spans="6:9">
      <c r="F4510" s="12" t="s">
        <v>7941</v>
      </c>
      <c r="G4510" s="12" t="s">
        <v>392</v>
      </c>
      <c r="H4510" s="15">
        <v>97600</v>
      </c>
      <c r="I4510" s="13">
        <v>38</v>
      </c>
    </row>
    <row r="4511" ht="15.75" spans="6:9">
      <c r="F4511" s="12" t="s">
        <v>7942</v>
      </c>
      <c r="G4511" s="12" t="s">
        <v>392</v>
      </c>
      <c r="H4511" s="15">
        <v>12800</v>
      </c>
      <c r="I4511" s="13">
        <v>38</v>
      </c>
    </row>
    <row r="4512" ht="15.75" spans="6:9">
      <c r="F4512" s="12" t="s">
        <v>7943</v>
      </c>
      <c r="G4512" s="12" t="s">
        <v>392</v>
      </c>
      <c r="H4512" s="15">
        <v>39600</v>
      </c>
      <c r="I4512" s="13">
        <v>38</v>
      </c>
    </row>
    <row r="4513" ht="15.75" spans="6:9">
      <c r="F4513" s="12" t="s">
        <v>3501</v>
      </c>
      <c r="G4513" s="12" t="s">
        <v>391</v>
      </c>
      <c r="H4513" s="15">
        <v>10936</v>
      </c>
      <c r="I4513" s="13">
        <v>38</v>
      </c>
    </row>
    <row r="4514" ht="15.75" spans="6:9">
      <c r="F4514" s="12" t="s">
        <v>7944</v>
      </c>
      <c r="G4514" s="12" t="s">
        <v>392</v>
      </c>
      <c r="H4514" s="15">
        <v>377200</v>
      </c>
      <c r="I4514" s="13">
        <v>38</v>
      </c>
    </row>
    <row r="4515" ht="15.75" spans="6:9">
      <c r="F4515" s="12" t="s">
        <v>7945</v>
      </c>
      <c r="G4515" s="12" t="s">
        <v>392</v>
      </c>
      <c r="H4515" s="15">
        <v>689300</v>
      </c>
      <c r="I4515" s="13">
        <v>38</v>
      </c>
    </row>
    <row r="4516" ht="15.75" spans="6:9">
      <c r="F4516" s="12" t="s">
        <v>7946</v>
      </c>
      <c r="G4516" s="12" t="s">
        <v>392</v>
      </c>
      <c r="H4516" s="15">
        <v>25100</v>
      </c>
      <c r="I4516" s="13">
        <v>38</v>
      </c>
    </row>
    <row r="4517" ht="15.75" spans="6:9">
      <c r="F4517" s="12" t="s">
        <v>7947</v>
      </c>
      <c r="G4517" s="12" t="s">
        <v>392</v>
      </c>
      <c r="H4517" s="15">
        <v>23100</v>
      </c>
      <c r="I4517" s="13">
        <v>38</v>
      </c>
    </row>
    <row r="4518" ht="15.75" spans="6:9">
      <c r="F4518" s="12" t="s">
        <v>7948</v>
      </c>
      <c r="G4518" s="12" t="s">
        <v>392</v>
      </c>
      <c r="H4518" s="15">
        <v>76200</v>
      </c>
      <c r="I4518" s="13">
        <v>38</v>
      </c>
    </row>
    <row r="4519" ht="15.75" spans="6:9">
      <c r="F4519" s="12" t="s">
        <v>7949</v>
      </c>
      <c r="G4519" s="12" t="s">
        <v>392</v>
      </c>
      <c r="H4519" s="15">
        <v>440000</v>
      </c>
      <c r="I4519" s="13">
        <v>38</v>
      </c>
    </row>
    <row r="4520" ht="15.75" spans="6:9">
      <c r="F4520" s="12" t="s">
        <v>7950</v>
      </c>
      <c r="G4520" s="12" t="s">
        <v>392</v>
      </c>
      <c r="H4520" s="15">
        <v>22700</v>
      </c>
      <c r="I4520" s="13">
        <v>38</v>
      </c>
    </row>
    <row r="4521" ht="15.75" spans="6:9">
      <c r="F4521" s="12" t="s">
        <v>7951</v>
      </c>
      <c r="G4521" s="12" t="s">
        <v>392</v>
      </c>
      <c r="H4521" s="15">
        <v>21300</v>
      </c>
      <c r="I4521" s="13">
        <v>38</v>
      </c>
    </row>
    <row r="4522" ht="15.75" spans="6:9">
      <c r="F4522" s="12" t="s">
        <v>7952</v>
      </c>
      <c r="G4522" s="12" t="s">
        <v>392</v>
      </c>
      <c r="H4522" s="15">
        <v>62400</v>
      </c>
      <c r="I4522" s="13">
        <v>38</v>
      </c>
    </row>
    <row r="4523" ht="15.75" spans="6:9">
      <c r="F4523" s="12" t="s">
        <v>7953</v>
      </c>
      <c r="G4523" s="12" t="s">
        <v>392</v>
      </c>
      <c r="H4523" s="15">
        <v>95600</v>
      </c>
      <c r="I4523" s="13">
        <v>38</v>
      </c>
    </row>
    <row r="4524" ht="15.75" spans="6:9">
      <c r="F4524" s="12" t="s">
        <v>7954</v>
      </c>
      <c r="G4524" s="12" t="s">
        <v>392</v>
      </c>
      <c r="H4524" s="15">
        <v>55200</v>
      </c>
      <c r="I4524" s="13">
        <v>38</v>
      </c>
    </row>
    <row r="4525" ht="15.75" spans="6:9">
      <c r="F4525" s="12" t="s">
        <v>7955</v>
      </c>
      <c r="G4525" s="12" t="s">
        <v>392</v>
      </c>
      <c r="H4525" s="15">
        <v>4600000</v>
      </c>
      <c r="I4525" s="13">
        <v>38</v>
      </c>
    </row>
    <row r="4526" ht="15.75" spans="6:9">
      <c r="F4526" s="12" t="s">
        <v>7956</v>
      </c>
      <c r="G4526" s="12" t="s">
        <v>392</v>
      </c>
      <c r="H4526" s="15">
        <v>1200000</v>
      </c>
      <c r="I4526" s="13">
        <v>38</v>
      </c>
    </row>
    <row r="4527" ht="15.75" spans="6:9">
      <c r="F4527" s="12" t="s">
        <v>7957</v>
      </c>
      <c r="G4527" s="12" t="s">
        <v>392</v>
      </c>
      <c r="H4527" s="15">
        <v>64700</v>
      </c>
      <c r="I4527" s="13">
        <v>38</v>
      </c>
    </row>
    <row r="4528" ht="15.75" spans="6:9">
      <c r="F4528" s="12" t="s">
        <v>7958</v>
      </c>
      <c r="G4528" s="12" t="s">
        <v>392</v>
      </c>
      <c r="H4528" s="15">
        <v>89500</v>
      </c>
      <c r="I4528" s="13">
        <v>38</v>
      </c>
    </row>
    <row r="4529" ht="15.75" spans="6:9">
      <c r="F4529" s="12" t="s">
        <v>7959</v>
      </c>
      <c r="G4529" s="12" t="s">
        <v>392</v>
      </c>
      <c r="H4529" s="15">
        <v>181600</v>
      </c>
      <c r="I4529" s="13">
        <v>38</v>
      </c>
    </row>
    <row r="4530" ht="15.75" spans="6:9">
      <c r="F4530" s="12" t="s">
        <v>7960</v>
      </c>
      <c r="G4530" s="12" t="s">
        <v>392</v>
      </c>
      <c r="H4530" s="15">
        <v>30700</v>
      </c>
      <c r="I4530" s="13">
        <v>38</v>
      </c>
    </row>
    <row r="4531" ht="15.75" spans="6:9">
      <c r="F4531" s="12" t="s">
        <v>7961</v>
      </c>
      <c r="G4531" s="12" t="s">
        <v>392</v>
      </c>
      <c r="H4531" s="15">
        <v>725300</v>
      </c>
      <c r="I4531" s="13">
        <v>38</v>
      </c>
    </row>
    <row r="4532" ht="15.75" spans="6:9">
      <c r="F4532" s="12" t="s">
        <v>5604</v>
      </c>
      <c r="G4532" s="12" t="s">
        <v>391</v>
      </c>
      <c r="H4532" s="15">
        <v>57260</v>
      </c>
      <c r="I4532" s="13">
        <v>38</v>
      </c>
    </row>
    <row r="4533" ht="15.75" spans="6:9">
      <c r="F4533" s="12" t="s">
        <v>7962</v>
      </c>
      <c r="G4533" s="12" t="s">
        <v>392</v>
      </c>
      <c r="H4533" s="15">
        <v>57100</v>
      </c>
      <c r="I4533" s="13">
        <v>38</v>
      </c>
    </row>
    <row r="4534" ht="15.75" spans="6:9">
      <c r="F4534" s="12" t="s">
        <v>7963</v>
      </c>
      <c r="G4534" s="12" t="s">
        <v>392</v>
      </c>
      <c r="H4534" s="15">
        <v>61600</v>
      </c>
      <c r="I4534" s="13">
        <v>38</v>
      </c>
    </row>
    <row r="4535" ht="15.75" spans="6:9">
      <c r="F4535" s="12" t="s">
        <v>7964</v>
      </c>
      <c r="G4535" s="12" t="s">
        <v>391</v>
      </c>
      <c r="H4535" s="15">
        <v>87058</v>
      </c>
      <c r="I4535" s="13">
        <v>38</v>
      </c>
    </row>
    <row r="4536" ht="15.75" spans="6:9">
      <c r="F4536" s="12" t="s">
        <v>7965</v>
      </c>
      <c r="G4536" s="12" t="s">
        <v>392</v>
      </c>
      <c r="H4536" s="15">
        <v>1900000</v>
      </c>
      <c r="I4536" s="13">
        <v>38</v>
      </c>
    </row>
    <row r="4537" ht="15.75" spans="6:9">
      <c r="F4537" s="12" t="s">
        <v>7966</v>
      </c>
      <c r="G4537" s="12" t="s">
        <v>392</v>
      </c>
      <c r="H4537" s="15">
        <v>210200</v>
      </c>
      <c r="I4537" s="13">
        <v>38</v>
      </c>
    </row>
    <row r="4538" ht="15.75" spans="6:9">
      <c r="F4538" s="12" t="s">
        <v>7967</v>
      </c>
      <c r="G4538" s="12" t="s">
        <v>392</v>
      </c>
      <c r="H4538" s="15">
        <v>93200</v>
      </c>
      <c r="I4538" s="13">
        <v>38</v>
      </c>
    </row>
    <row r="4539" ht="15.75" spans="6:9">
      <c r="F4539" s="12" t="s">
        <v>7968</v>
      </c>
      <c r="G4539" s="12" t="s">
        <v>392</v>
      </c>
      <c r="H4539" s="15">
        <v>44500</v>
      </c>
      <c r="I4539" s="13">
        <v>38</v>
      </c>
    </row>
    <row r="4540" ht="15.75" spans="6:9">
      <c r="F4540" s="12" t="s">
        <v>3503</v>
      </c>
      <c r="G4540" s="12" t="s">
        <v>391</v>
      </c>
      <c r="H4540" s="15">
        <v>12704</v>
      </c>
      <c r="I4540" s="13">
        <v>38</v>
      </c>
    </row>
    <row r="4541" ht="15.75" spans="6:9">
      <c r="F4541" s="12" t="s">
        <v>7969</v>
      </c>
      <c r="G4541" s="12" t="s">
        <v>392</v>
      </c>
      <c r="H4541" s="15">
        <v>57400</v>
      </c>
      <c r="I4541" s="13">
        <v>38</v>
      </c>
    </row>
    <row r="4542" ht="15.75" spans="6:9">
      <c r="F4542" s="12" t="s">
        <v>7970</v>
      </c>
      <c r="G4542" s="12" t="s">
        <v>392</v>
      </c>
      <c r="H4542" s="15">
        <v>37400</v>
      </c>
      <c r="I4542" s="13">
        <v>38</v>
      </c>
    </row>
    <row r="4543" ht="15.75" spans="6:9">
      <c r="F4543" s="12" t="s">
        <v>7971</v>
      </c>
      <c r="G4543" s="12" t="s">
        <v>392</v>
      </c>
      <c r="H4543" s="15">
        <v>12100</v>
      </c>
      <c r="I4543" s="13">
        <v>38</v>
      </c>
    </row>
    <row r="4544" ht="15.75" spans="6:9">
      <c r="F4544" s="12" t="s">
        <v>7972</v>
      </c>
      <c r="G4544" s="12" t="s">
        <v>392</v>
      </c>
      <c r="H4544" s="15">
        <v>2500000</v>
      </c>
      <c r="I4544" s="13">
        <v>38</v>
      </c>
    </row>
    <row r="4545" ht="15.75" spans="6:9">
      <c r="F4545" s="12" t="s">
        <v>4328</v>
      </c>
      <c r="G4545" s="12" t="s">
        <v>391</v>
      </c>
      <c r="H4545" s="15">
        <v>122155</v>
      </c>
      <c r="I4545" s="13">
        <v>38</v>
      </c>
    </row>
    <row r="4546" ht="15.75" spans="6:9">
      <c r="F4546" s="12" t="s">
        <v>7973</v>
      </c>
      <c r="G4546" s="12" t="s">
        <v>392</v>
      </c>
      <c r="H4546" s="15">
        <v>77400</v>
      </c>
      <c r="I4546" s="13">
        <v>38</v>
      </c>
    </row>
    <row r="4547" ht="15.75" spans="6:9">
      <c r="F4547" s="12" t="s">
        <v>4747</v>
      </c>
      <c r="G4547" s="12" t="s">
        <v>391</v>
      </c>
      <c r="H4547" s="15">
        <v>184974</v>
      </c>
      <c r="I4547" s="13">
        <v>38</v>
      </c>
    </row>
    <row r="4548" ht="15.75" spans="6:9">
      <c r="F4548" s="12" t="s">
        <v>7974</v>
      </c>
      <c r="G4548" s="12" t="s">
        <v>392</v>
      </c>
      <c r="H4548" s="15">
        <v>103200</v>
      </c>
      <c r="I4548" s="13">
        <v>38</v>
      </c>
    </row>
    <row r="4549" ht="15.75" spans="6:9">
      <c r="F4549" s="12" t="s">
        <v>7975</v>
      </c>
      <c r="G4549" s="12" t="s">
        <v>392</v>
      </c>
      <c r="H4549" s="15">
        <v>230200</v>
      </c>
      <c r="I4549" s="13">
        <v>38</v>
      </c>
    </row>
    <row r="4550" ht="15.75" spans="6:9">
      <c r="F4550" s="12" t="s">
        <v>5607</v>
      </c>
      <c r="G4550" s="12" t="s">
        <v>391</v>
      </c>
      <c r="H4550" s="15">
        <v>10294</v>
      </c>
      <c r="I4550" s="13">
        <v>38</v>
      </c>
    </row>
    <row r="4551" ht="15.75" spans="6:9">
      <c r="F4551" s="12" t="s">
        <v>7976</v>
      </c>
      <c r="G4551" s="12" t="s">
        <v>392</v>
      </c>
      <c r="H4551" s="15">
        <v>14500</v>
      </c>
      <c r="I4551" s="13">
        <v>38</v>
      </c>
    </row>
    <row r="4552" ht="15.75" spans="6:9">
      <c r="F4552" s="12" t="s">
        <v>7977</v>
      </c>
      <c r="G4552" s="12" t="s">
        <v>392</v>
      </c>
      <c r="H4552" s="15">
        <v>277600</v>
      </c>
      <c r="I4552" s="13">
        <v>38</v>
      </c>
    </row>
    <row r="4553" ht="15.75" spans="6:9">
      <c r="F4553" s="12" t="s">
        <v>7978</v>
      </c>
      <c r="G4553" s="12" t="s">
        <v>392</v>
      </c>
      <c r="H4553" s="15">
        <v>168000</v>
      </c>
      <c r="I4553" s="13">
        <v>38</v>
      </c>
    </row>
    <row r="4554" ht="15.75" spans="6:9">
      <c r="F4554" s="12" t="s">
        <v>7979</v>
      </c>
      <c r="G4554" s="12" t="s">
        <v>392</v>
      </c>
      <c r="H4554" s="15">
        <v>181500</v>
      </c>
      <c r="I4554" s="13">
        <v>38</v>
      </c>
    </row>
    <row r="4555" ht="15.75" spans="6:9">
      <c r="F4555" s="12" t="s">
        <v>7980</v>
      </c>
      <c r="G4555" s="12" t="s">
        <v>392</v>
      </c>
      <c r="H4555" s="15">
        <v>27800</v>
      </c>
      <c r="I4555" s="13">
        <v>38</v>
      </c>
    </row>
    <row r="4556" ht="15.75" spans="6:9">
      <c r="F4556" s="12" t="s">
        <v>7981</v>
      </c>
      <c r="G4556" s="12" t="s">
        <v>392</v>
      </c>
      <c r="H4556" s="15">
        <v>23400</v>
      </c>
      <c r="I4556" s="13">
        <v>38</v>
      </c>
    </row>
    <row r="4557" ht="15.75" spans="6:9">
      <c r="F4557" s="12" t="s">
        <v>7982</v>
      </c>
      <c r="G4557" s="12" t="s">
        <v>392</v>
      </c>
      <c r="H4557" s="15">
        <v>14500</v>
      </c>
      <c r="I4557" s="13">
        <v>38</v>
      </c>
    </row>
    <row r="4558" ht="15.75" spans="6:9">
      <c r="F4558" s="12" t="s">
        <v>7983</v>
      </c>
      <c r="G4558" s="12" t="s">
        <v>392</v>
      </c>
      <c r="H4558" s="15">
        <v>47600</v>
      </c>
      <c r="I4558" s="13">
        <v>38</v>
      </c>
    </row>
    <row r="4559" ht="15.75" spans="6:9">
      <c r="F4559" s="12" t="s">
        <v>3505</v>
      </c>
      <c r="G4559" s="12" t="s">
        <v>391</v>
      </c>
      <c r="H4559" s="15">
        <v>10727</v>
      </c>
      <c r="I4559" s="13">
        <v>38</v>
      </c>
    </row>
    <row r="4560" ht="15.75" spans="6:9">
      <c r="F4560" s="12" t="s">
        <v>7984</v>
      </c>
      <c r="G4560" s="12" t="s">
        <v>392</v>
      </c>
      <c r="H4560" s="15">
        <v>21300</v>
      </c>
      <c r="I4560" s="13">
        <v>38</v>
      </c>
    </row>
    <row r="4561" ht="15.75" spans="6:9">
      <c r="F4561" s="12" t="s">
        <v>7985</v>
      </c>
      <c r="G4561" s="12" t="s">
        <v>392</v>
      </c>
      <c r="H4561" s="15">
        <v>66400</v>
      </c>
      <c r="I4561" s="13">
        <v>38</v>
      </c>
    </row>
    <row r="4562" ht="15.75" spans="6:9">
      <c r="F4562" s="12" t="s">
        <v>7986</v>
      </c>
      <c r="G4562" s="12" t="s">
        <v>392</v>
      </c>
      <c r="H4562" s="15">
        <v>48700</v>
      </c>
      <c r="I4562" s="13">
        <v>38</v>
      </c>
    </row>
    <row r="4563" ht="15.75" spans="6:9">
      <c r="F4563" s="12" t="s">
        <v>5745</v>
      </c>
      <c r="G4563" s="12" t="s">
        <v>391</v>
      </c>
      <c r="H4563" s="15">
        <v>56863</v>
      </c>
      <c r="I4563" s="13">
        <v>38</v>
      </c>
    </row>
    <row r="4564" ht="15.75" spans="6:9">
      <c r="F4564" s="12" t="s">
        <v>7987</v>
      </c>
      <c r="G4564" s="12" t="s">
        <v>392</v>
      </c>
      <c r="H4564" s="15">
        <v>936300</v>
      </c>
      <c r="I4564" s="13">
        <v>38</v>
      </c>
    </row>
    <row r="4565" ht="15.75" spans="6:9">
      <c r="F4565" s="12" t="s">
        <v>7988</v>
      </c>
      <c r="G4565" s="12" t="s">
        <v>392</v>
      </c>
      <c r="H4565" s="15">
        <v>12700</v>
      </c>
      <c r="I4565" s="13">
        <v>38</v>
      </c>
    </row>
    <row r="4566" ht="15.75" spans="6:9">
      <c r="F4566" s="12" t="s">
        <v>7989</v>
      </c>
      <c r="G4566" s="12" t="s">
        <v>392</v>
      </c>
      <c r="H4566" s="15">
        <v>69100</v>
      </c>
      <c r="I4566" s="13">
        <v>38</v>
      </c>
    </row>
    <row r="4567" ht="15.75" spans="6:9">
      <c r="F4567" s="12" t="s">
        <v>7990</v>
      </c>
      <c r="G4567" s="12" t="s">
        <v>392</v>
      </c>
      <c r="H4567" s="15">
        <v>304500</v>
      </c>
      <c r="I4567" s="13">
        <v>38</v>
      </c>
    </row>
    <row r="4568" ht="15.75" spans="6:9">
      <c r="F4568" s="12" t="s">
        <v>3507</v>
      </c>
      <c r="G4568" s="12" t="s">
        <v>391</v>
      </c>
      <c r="H4568" s="15">
        <v>17289</v>
      </c>
      <c r="I4568" s="13">
        <v>38</v>
      </c>
    </row>
    <row r="4569" ht="15.75" spans="6:9">
      <c r="F4569" s="12" t="s">
        <v>3509</v>
      </c>
      <c r="G4569" s="12" t="s">
        <v>391</v>
      </c>
      <c r="H4569" s="15">
        <v>24896</v>
      </c>
      <c r="I4569" s="13">
        <v>38</v>
      </c>
    </row>
    <row r="4570" ht="15.75" spans="6:9">
      <c r="F4570" s="12" t="s">
        <v>7991</v>
      </c>
      <c r="G4570" s="12" t="s">
        <v>392</v>
      </c>
      <c r="H4570" s="15">
        <v>2400000</v>
      </c>
      <c r="I4570" s="13">
        <v>38</v>
      </c>
    </row>
    <row r="4571" ht="15.75" spans="6:9">
      <c r="F4571" s="12" t="s">
        <v>3511</v>
      </c>
      <c r="G4571" s="12" t="s">
        <v>391</v>
      </c>
      <c r="H4571" s="15">
        <v>15693</v>
      </c>
      <c r="I4571" s="13">
        <v>38</v>
      </c>
    </row>
    <row r="4572" ht="15.75" spans="6:9">
      <c r="F4572" s="12" t="s">
        <v>7992</v>
      </c>
      <c r="G4572" s="12" t="s">
        <v>392</v>
      </c>
      <c r="H4572" s="15">
        <v>33000</v>
      </c>
      <c r="I4572" s="13">
        <v>38</v>
      </c>
    </row>
    <row r="4573" ht="15.75" spans="6:9">
      <c r="F4573" s="12" t="s">
        <v>7993</v>
      </c>
      <c r="G4573" s="12" t="s">
        <v>392</v>
      </c>
      <c r="H4573" s="15">
        <v>123355</v>
      </c>
      <c r="I4573" s="13">
        <v>38</v>
      </c>
    </row>
    <row r="4574" ht="15.75" spans="6:9">
      <c r="F4574" s="12" t="s">
        <v>7994</v>
      </c>
      <c r="G4574" s="12" t="s">
        <v>392</v>
      </c>
      <c r="H4574" s="15">
        <v>22100</v>
      </c>
      <c r="I4574" s="13">
        <v>38</v>
      </c>
    </row>
    <row r="4575" ht="15.75" spans="6:9">
      <c r="F4575" s="12" t="s">
        <v>7995</v>
      </c>
      <c r="G4575" s="12" t="s">
        <v>392</v>
      </c>
      <c r="H4575" s="15">
        <v>88800</v>
      </c>
      <c r="I4575" s="13">
        <v>38</v>
      </c>
    </row>
    <row r="4576" ht="15.75" spans="6:9">
      <c r="F4576" s="12" t="s">
        <v>7996</v>
      </c>
      <c r="G4576" s="12" t="s">
        <v>392</v>
      </c>
      <c r="H4576" s="15">
        <v>477800</v>
      </c>
      <c r="I4576" s="13">
        <v>38</v>
      </c>
    </row>
    <row r="4577" ht="15.75" spans="6:9">
      <c r="F4577" s="12" t="s">
        <v>7997</v>
      </c>
      <c r="G4577" s="12" t="s">
        <v>392</v>
      </c>
      <c r="H4577" s="15">
        <v>222200</v>
      </c>
      <c r="I4577" s="13">
        <v>38</v>
      </c>
    </row>
    <row r="4578" ht="15.75" spans="6:9">
      <c r="F4578" s="12" t="s">
        <v>7998</v>
      </c>
      <c r="G4578" s="12" t="s">
        <v>392</v>
      </c>
      <c r="H4578" s="15">
        <v>20400</v>
      </c>
      <c r="I4578" s="13">
        <v>38</v>
      </c>
    </row>
    <row r="4579" ht="15.75" spans="6:9">
      <c r="F4579" s="12" t="s">
        <v>7999</v>
      </c>
      <c r="G4579" s="12" t="s">
        <v>392</v>
      </c>
      <c r="H4579" s="15">
        <v>92100</v>
      </c>
      <c r="I4579" s="13">
        <v>38</v>
      </c>
    </row>
    <row r="4580" ht="15.75" spans="6:9">
      <c r="F4580" s="12" t="s">
        <v>8000</v>
      </c>
      <c r="G4580" s="12" t="s">
        <v>392</v>
      </c>
      <c r="H4580" s="15">
        <v>29100</v>
      </c>
      <c r="I4580" s="13">
        <v>38</v>
      </c>
    </row>
    <row r="4581" ht="15.75" spans="6:9">
      <c r="F4581" s="12" t="s">
        <v>8001</v>
      </c>
      <c r="G4581" s="12" t="s">
        <v>392</v>
      </c>
      <c r="H4581" s="15">
        <v>135000</v>
      </c>
      <c r="I4581" s="13">
        <v>38</v>
      </c>
    </row>
    <row r="4582" ht="15.75" spans="6:9">
      <c r="F4582" s="12" t="s">
        <v>8002</v>
      </c>
      <c r="G4582" s="12" t="s">
        <v>392</v>
      </c>
      <c r="H4582" s="15">
        <v>10300</v>
      </c>
      <c r="I4582" s="13">
        <v>38</v>
      </c>
    </row>
    <row r="4583" ht="15.75" spans="6:9">
      <c r="F4583" s="12" t="s">
        <v>8003</v>
      </c>
      <c r="G4583" s="12" t="s">
        <v>392</v>
      </c>
      <c r="H4583" s="15">
        <v>13000</v>
      </c>
      <c r="I4583" s="13">
        <v>38</v>
      </c>
    </row>
    <row r="4584" ht="15.75" spans="6:9">
      <c r="F4584" s="12" t="s">
        <v>8004</v>
      </c>
      <c r="G4584" s="12" t="s">
        <v>392</v>
      </c>
      <c r="H4584" s="15">
        <v>47900</v>
      </c>
      <c r="I4584" s="13">
        <v>38</v>
      </c>
    </row>
    <row r="4585" ht="15.75" spans="6:9">
      <c r="F4585" s="12" t="s">
        <v>8005</v>
      </c>
      <c r="G4585" s="12" t="s">
        <v>392</v>
      </c>
      <c r="H4585" s="15">
        <v>313500</v>
      </c>
      <c r="I4585" s="13">
        <v>38</v>
      </c>
    </row>
    <row r="4586" ht="15.75" spans="6:9">
      <c r="F4586" s="12" t="s">
        <v>8006</v>
      </c>
      <c r="G4586" s="12" t="s">
        <v>392</v>
      </c>
      <c r="H4586" s="15">
        <v>11100</v>
      </c>
      <c r="I4586" s="13">
        <v>38</v>
      </c>
    </row>
    <row r="4587" ht="15.75" spans="6:9">
      <c r="F4587" s="12" t="s">
        <v>8007</v>
      </c>
      <c r="G4587" s="12" t="s">
        <v>392</v>
      </c>
      <c r="H4587" s="15">
        <v>364700</v>
      </c>
      <c r="I4587" s="13">
        <v>38</v>
      </c>
    </row>
    <row r="4588" ht="15.75" spans="6:9">
      <c r="F4588" s="12" t="s">
        <v>8008</v>
      </c>
      <c r="G4588" s="12" t="s">
        <v>392</v>
      </c>
      <c r="H4588" s="15">
        <v>24000</v>
      </c>
      <c r="I4588" s="13">
        <v>38</v>
      </c>
    </row>
    <row r="4589" ht="15.75" spans="6:9">
      <c r="F4589" s="12" t="s">
        <v>8009</v>
      </c>
      <c r="G4589" s="12" t="s">
        <v>392</v>
      </c>
      <c r="H4589" s="15">
        <v>270000</v>
      </c>
      <c r="I4589" s="13">
        <v>38</v>
      </c>
    </row>
    <row r="4590" ht="15.75" spans="6:9">
      <c r="F4590" s="12" t="s">
        <v>8010</v>
      </c>
      <c r="G4590" s="12" t="s">
        <v>392</v>
      </c>
      <c r="H4590" s="15">
        <v>155500</v>
      </c>
      <c r="I4590" s="13">
        <v>38</v>
      </c>
    </row>
    <row r="4591" ht="15.75" spans="6:9">
      <c r="F4591" s="12" t="s">
        <v>3514</v>
      </c>
      <c r="G4591" s="12" t="s">
        <v>391</v>
      </c>
      <c r="H4591" s="15">
        <v>21912</v>
      </c>
      <c r="I4591" s="13">
        <v>38</v>
      </c>
    </row>
    <row r="4592" ht="15.75" spans="6:9">
      <c r="F4592" s="12" t="s">
        <v>8011</v>
      </c>
      <c r="G4592" s="12" t="s">
        <v>392</v>
      </c>
      <c r="H4592" s="15">
        <v>31300</v>
      </c>
      <c r="I4592" s="13">
        <v>38</v>
      </c>
    </row>
    <row r="4593" ht="15.75" spans="6:9">
      <c r="F4593" s="12" t="s">
        <v>8012</v>
      </c>
      <c r="G4593" s="12" t="s">
        <v>392</v>
      </c>
      <c r="H4593" s="15">
        <v>11900</v>
      </c>
      <c r="I4593" s="13">
        <v>38</v>
      </c>
    </row>
    <row r="4594" ht="15.75" spans="6:9">
      <c r="F4594" s="12" t="s">
        <v>8013</v>
      </c>
      <c r="G4594" s="12" t="s">
        <v>392</v>
      </c>
      <c r="H4594" s="15">
        <v>482600</v>
      </c>
      <c r="I4594" s="13">
        <v>38</v>
      </c>
    </row>
    <row r="4595" ht="15.75" spans="6:9">
      <c r="F4595" s="12" t="s">
        <v>8014</v>
      </c>
      <c r="G4595" s="12" t="s">
        <v>392</v>
      </c>
      <c r="H4595" s="15">
        <v>241800</v>
      </c>
      <c r="I4595" s="13">
        <v>38</v>
      </c>
    </row>
    <row r="4596" ht="15.75" spans="6:9">
      <c r="F4596" s="12" t="s">
        <v>8015</v>
      </c>
      <c r="G4596" s="12" t="s">
        <v>392</v>
      </c>
      <c r="H4596" s="15">
        <v>37100</v>
      </c>
      <c r="I4596" s="13">
        <v>38</v>
      </c>
    </row>
    <row r="4597" ht="15.75" spans="6:9">
      <c r="F4597" s="12" t="s">
        <v>8016</v>
      </c>
      <c r="G4597" s="12" t="s">
        <v>392</v>
      </c>
      <c r="H4597" s="15">
        <v>13600</v>
      </c>
      <c r="I4597" s="13">
        <v>38</v>
      </c>
    </row>
    <row r="4598" ht="15.75" spans="6:9">
      <c r="F4598" s="12" t="s">
        <v>3516</v>
      </c>
      <c r="G4598" s="12" t="s">
        <v>391</v>
      </c>
      <c r="H4598" s="15">
        <v>10411</v>
      </c>
      <c r="I4598" s="13">
        <v>38</v>
      </c>
    </row>
    <row r="4599" ht="15.75" spans="6:9">
      <c r="F4599" s="12" t="s">
        <v>8017</v>
      </c>
      <c r="G4599" s="12" t="s">
        <v>392</v>
      </c>
      <c r="H4599" s="15">
        <v>31700</v>
      </c>
      <c r="I4599" s="13">
        <v>38</v>
      </c>
    </row>
    <row r="4600" ht="15.75" spans="6:9">
      <c r="F4600" s="12" t="s">
        <v>8018</v>
      </c>
      <c r="G4600" s="12" t="s">
        <v>392</v>
      </c>
      <c r="H4600" s="15">
        <v>230700</v>
      </c>
      <c r="I4600" s="13">
        <v>38</v>
      </c>
    </row>
    <row r="4601" ht="15.75" spans="6:9">
      <c r="F4601" s="12" t="s">
        <v>8019</v>
      </c>
      <c r="G4601" s="12" t="s">
        <v>392</v>
      </c>
      <c r="H4601" s="15">
        <v>255900</v>
      </c>
      <c r="I4601" s="13">
        <v>38</v>
      </c>
    </row>
    <row r="4602" ht="15.75" spans="6:9">
      <c r="F4602" s="12" t="s">
        <v>8020</v>
      </c>
      <c r="G4602" s="12" t="s">
        <v>392</v>
      </c>
      <c r="H4602" s="15">
        <v>46800</v>
      </c>
      <c r="I4602" s="13">
        <v>38</v>
      </c>
    </row>
    <row r="4603" ht="15.75" spans="6:9">
      <c r="F4603" s="12" t="s">
        <v>8021</v>
      </c>
      <c r="G4603" s="12" t="s">
        <v>392</v>
      </c>
      <c r="H4603" s="15">
        <v>53600</v>
      </c>
      <c r="I4603" s="13">
        <v>38</v>
      </c>
    </row>
    <row r="4604" ht="15.75" spans="6:9">
      <c r="F4604" s="12" t="s">
        <v>8022</v>
      </c>
      <c r="G4604" s="12" t="s">
        <v>392</v>
      </c>
      <c r="H4604" s="15">
        <v>65500</v>
      </c>
      <c r="I4604" s="13">
        <v>38</v>
      </c>
    </row>
    <row r="4605" ht="15.75" spans="6:9">
      <c r="F4605" s="12" t="s">
        <v>3519</v>
      </c>
      <c r="G4605" s="12" t="s">
        <v>391</v>
      </c>
      <c r="H4605" s="15">
        <v>11988</v>
      </c>
      <c r="I4605" s="13">
        <v>38</v>
      </c>
    </row>
    <row r="4606" ht="15.75" spans="6:9">
      <c r="F4606" s="12" t="s">
        <v>8023</v>
      </c>
      <c r="G4606" s="12" t="s">
        <v>392</v>
      </c>
      <c r="H4606" s="15">
        <v>12000</v>
      </c>
      <c r="I4606" s="13">
        <v>38</v>
      </c>
    </row>
    <row r="4607" ht="15.75" spans="6:9">
      <c r="F4607" s="12" t="s">
        <v>8024</v>
      </c>
      <c r="G4607" s="12" t="s">
        <v>392</v>
      </c>
      <c r="H4607" s="15">
        <v>425400</v>
      </c>
      <c r="I4607" s="13">
        <v>38</v>
      </c>
    </row>
    <row r="4608" ht="15.75" spans="6:9">
      <c r="F4608" s="12" t="s">
        <v>8025</v>
      </c>
      <c r="G4608" s="12" t="s">
        <v>392</v>
      </c>
      <c r="H4608" s="15">
        <v>499400</v>
      </c>
      <c r="I4608" s="13">
        <v>38</v>
      </c>
    </row>
    <row r="4609" ht="15.75" spans="6:9">
      <c r="F4609" s="12" t="s">
        <v>8026</v>
      </c>
      <c r="G4609" s="12" t="s">
        <v>392</v>
      </c>
      <c r="H4609" s="15">
        <v>21400</v>
      </c>
      <c r="I4609" s="13">
        <v>38</v>
      </c>
    </row>
    <row r="4610" ht="15.75" spans="6:9">
      <c r="F4610" s="12" t="s">
        <v>5609</v>
      </c>
      <c r="G4610" s="12" t="s">
        <v>391</v>
      </c>
      <c r="H4610" s="15">
        <v>13237</v>
      </c>
      <c r="I4610" s="13">
        <v>38</v>
      </c>
    </row>
    <row r="4611" ht="15.75" spans="6:9">
      <c r="F4611" s="12" t="s">
        <v>8027</v>
      </c>
      <c r="G4611" s="12" t="s">
        <v>392</v>
      </c>
      <c r="H4611" s="15">
        <v>17200</v>
      </c>
      <c r="I4611" s="13">
        <v>38</v>
      </c>
    </row>
    <row r="4612" ht="15.75" spans="6:9">
      <c r="F4612" s="12" t="s">
        <v>8028</v>
      </c>
      <c r="G4612" s="12" t="s">
        <v>392</v>
      </c>
      <c r="H4612" s="15">
        <v>85400</v>
      </c>
      <c r="I4612" s="13">
        <v>38</v>
      </c>
    </row>
    <row r="4613" ht="15.75" spans="6:9">
      <c r="F4613" s="12" t="s">
        <v>5611</v>
      </c>
      <c r="G4613" s="12" t="s">
        <v>391</v>
      </c>
      <c r="H4613" s="15">
        <v>38031</v>
      </c>
      <c r="I4613" s="13">
        <v>38</v>
      </c>
    </row>
    <row r="4614" ht="15.75" spans="6:9">
      <c r="F4614" s="12" t="s">
        <v>8029</v>
      </c>
      <c r="G4614" s="12" t="s">
        <v>392</v>
      </c>
      <c r="H4614" s="15">
        <v>13400</v>
      </c>
      <c r="I4614" s="13">
        <v>38</v>
      </c>
    </row>
    <row r="4615" ht="15.75" spans="6:9">
      <c r="F4615" s="12" t="s">
        <v>8030</v>
      </c>
      <c r="G4615" s="12" t="s">
        <v>392</v>
      </c>
      <c r="H4615" s="15">
        <v>756600</v>
      </c>
      <c r="I4615" s="13">
        <v>38</v>
      </c>
    </row>
    <row r="4616" ht="15.75" spans="6:9">
      <c r="F4616" s="12" t="s">
        <v>8031</v>
      </c>
      <c r="G4616" s="12" t="s">
        <v>392</v>
      </c>
      <c r="H4616" s="15">
        <v>16700</v>
      </c>
      <c r="I4616" s="13">
        <v>38</v>
      </c>
    </row>
    <row r="4617" ht="15.75" spans="6:9">
      <c r="F4617" s="12" t="s">
        <v>8032</v>
      </c>
      <c r="G4617" s="12" t="s">
        <v>392</v>
      </c>
      <c r="H4617" s="15">
        <v>30100</v>
      </c>
      <c r="I4617" s="13">
        <v>38</v>
      </c>
    </row>
    <row r="4618" ht="15.75" spans="6:9">
      <c r="F4618" s="12" t="s">
        <v>8033</v>
      </c>
      <c r="G4618" s="12" t="s">
        <v>392</v>
      </c>
      <c r="H4618" s="15">
        <v>151200</v>
      </c>
      <c r="I4618" s="13">
        <v>38</v>
      </c>
    </row>
    <row r="4619" ht="15.75" spans="6:9">
      <c r="F4619" s="12" t="s">
        <v>8034</v>
      </c>
      <c r="G4619" s="12" t="s">
        <v>392</v>
      </c>
      <c r="H4619" s="15">
        <v>40200</v>
      </c>
      <c r="I4619" s="13">
        <v>38</v>
      </c>
    </row>
    <row r="4620" ht="15.75" spans="6:9">
      <c r="F4620" s="12" t="s">
        <v>8035</v>
      </c>
      <c r="G4620" s="12" t="s">
        <v>392</v>
      </c>
      <c r="H4620" s="15">
        <v>21100</v>
      </c>
      <c r="I4620" s="13">
        <v>38</v>
      </c>
    </row>
    <row r="4621" ht="15.75" spans="6:9">
      <c r="F4621" s="12" t="s">
        <v>8036</v>
      </c>
      <c r="G4621" s="12" t="s">
        <v>392</v>
      </c>
      <c r="H4621" s="15">
        <v>153200</v>
      </c>
      <c r="I4621" s="13">
        <v>38</v>
      </c>
    </row>
    <row r="4622" ht="15.75" spans="6:9">
      <c r="F4622" s="12" t="s">
        <v>3521</v>
      </c>
      <c r="G4622" s="12" t="s">
        <v>391</v>
      </c>
      <c r="H4622" s="15">
        <v>10180</v>
      </c>
      <c r="I4622" s="13">
        <v>38</v>
      </c>
    </row>
    <row r="4623" ht="15.75" spans="6:9">
      <c r="F4623" s="12" t="s">
        <v>3523</v>
      </c>
      <c r="G4623" s="12" t="s">
        <v>391</v>
      </c>
      <c r="H4623" s="15">
        <v>21840</v>
      </c>
      <c r="I4623" s="13">
        <v>38</v>
      </c>
    </row>
    <row r="4624" ht="15.75" spans="6:9">
      <c r="F4624" s="12" t="s">
        <v>3525</v>
      </c>
      <c r="G4624" s="12" t="s">
        <v>391</v>
      </c>
      <c r="H4624" s="15">
        <v>10461</v>
      </c>
      <c r="I4624" s="13">
        <v>38</v>
      </c>
    </row>
    <row r="4625" ht="15.75" spans="6:9">
      <c r="F4625" s="12" t="s">
        <v>8037</v>
      </c>
      <c r="G4625" s="12" t="s">
        <v>392</v>
      </c>
      <c r="H4625" s="15">
        <v>243900</v>
      </c>
      <c r="I4625" s="13">
        <v>38</v>
      </c>
    </row>
    <row r="4626" ht="15.75" spans="6:9">
      <c r="F4626" s="12" t="s">
        <v>8038</v>
      </c>
      <c r="G4626" s="12" t="s">
        <v>392</v>
      </c>
      <c r="H4626" s="15">
        <v>90500</v>
      </c>
      <c r="I4626" s="13">
        <v>38</v>
      </c>
    </row>
    <row r="4627" ht="15.75" spans="6:9">
      <c r="F4627" s="12" t="s">
        <v>8039</v>
      </c>
      <c r="G4627" s="12" t="s">
        <v>392</v>
      </c>
      <c r="H4627" s="15">
        <v>49700</v>
      </c>
      <c r="I4627" s="13">
        <v>38</v>
      </c>
    </row>
    <row r="4628" ht="15.75" spans="6:9">
      <c r="F4628" s="12" t="s">
        <v>8040</v>
      </c>
      <c r="G4628" s="12" t="s">
        <v>392</v>
      </c>
      <c r="H4628" s="15">
        <v>205700</v>
      </c>
      <c r="I4628" s="13">
        <v>38</v>
      </c>
    </row>
    <row r="4629" ht="15.75" spans="6:9">
      <c r="F4629" s="12" t="s">
        <v>8041</v>
      </c>
      <c r="G4629" s="12" t="s">
        <v>392</v>
      </c>
      <c r="H4629" s="15">
        <v>33600</v>
      </c>
      <c r="I4629" s="13">
        <v>38</v>
      </c>
    </row>
    <row r="4630" ht="15.75" spans="6:9">
      <c r="F4630" s="12" t="s">
        <v>8042</v>
      </c>
      <c r="G4630" s="12" t="s">
        <v>392</v>
      </c>
      <c r="H4630" s="15">
        <v>39500</v>
      </c>
      <c r="I4630" s="13">
        <v>38</v>
      </c>
    </row>
    <row r="4631" ht="15.75" spans="6:9">
      <c r="F4631" s="12" t="s">
        <v>8043</v>
      </c>
      <c r="G4631" s="12" t="s">
        <v>392</v>
      </c>
      <c r="H4631" s="15">
        <v>825000</v>
      </c>
      <c r="I4631" s="13">
        <v>38</v>
      </c>
    </row>
    <row r="4632" ht="15.75" spans="6:9">
      <c r="F4632" s="12" t="s">
        <v>8044</v>
      </c>
      <c r="G4632" s="12" t="s">
        <v>392</v>
      </c>
      <c r="H4632" s="15">
        <v>16000</v>
      </c>
      <c r="I4632" s="13">
        <v>38</v>
      </c>
    </row>
    <row r="4633" ht="15.75" spans="6:9">
      <c r="F4633" s="12" t="s">
        <v>8045</v>
      </c>
      <c r="G4633" s="12" t="s">
        <v>392</v>
      </c>
      <c r="H4633" s="15">
        <v>65000</v>
      </c>
      <c r="I4633" s="13">
        <v>38</v>
      </c>
    </row>
    <row r="4634" ht="15.75" spans="6:9">
      <c r="F4634" s="12" t="s">
        <v>8046</v>
      </c>
      <c r="G4634" s="12" t="s">
        <v>392</v>
      </c>
      <c r="H4634" s="15">
        <v>225500</v>
      </c>
      <c r="I4634" s="13">
        <v>38</v>
      </c>
    </row>
    <row r="4635" ht="15.75" spans="6:9">
      <c r="F4635" s="12" t="s">
        <v>8047</v>
      </c>
      <c r="G4635" s="12" t="s">
        <v>392</v>
      </c>
      <c r="H4635" s="15">
        <v>975500</v>
      </c>
      <c r="I4635" s="13">
        <v>38</v>
      </c>
    </row>
    <row r="4636" ht="15.75" spans="6:9">
      <c r="F4636" s="12" t="s">
        <v>8048</v>
      </c>
      <c r="G4636" s="12" t="s">
        <v>392</v>
      </c>
      <c r="H4636" s="15">
        <v>16200</v>
      </c>
      <c r="I4636" s="13">
        <v>38</v>
      </c>
    </row>
    <row r="4637" ht="15.75" spans="6:9">
      <c r="F4637" s="12" t="s">
        <v>8049</v>
      </c>
      <c r="G4637" s="12" t="s">
        <v>392</v>
      </c>
      <c r="H4637" s="15">
        <v>15200</v>
      </c>
      <c r="I4637" s="13">
        <v>38</v>
      </c>
    </row>
    <row r="4638" ht="15.75" spans="6:9">
      <c r="F4638" s="12" t="s">
        <v>8050</v>
      </c>
      <c r="G4638" s="12" t="s">
        <v>392</v>
      </c>
      <c r="H4638" s="15">
        <v>90400</v>
      </c>
      <c r="I4638" s="13">
        <v>38</v>
      </c>
    </row>
    <row r="4639" ht="15.75" spans="6:9">
      <c r="F4639" s="12" t="s">
        <v>8051</v>
      </c>
      <c r="G4639" s="12" t="s">
        <v>391</v>
      </c>
      <c r="H4639" s="15">
        <v>55844</v>
      </c>
      <c r="I4639" s="13">
        <v>38</v>
      </c>
    </row>
    <row r="4640" ht="15.75" spans="6:9">
      <c r="F4640" s="12" t="s">
        <v>8052</v>
      </c>
      <c r="G4640" s="12" t="s">
        <v>392</v>
      </c>
      <c r="H4640" s="15">
        <v>118200</v>
      </c>
      <c r="I4640" s="13">
        <v>38</v>
      </c>
    </row>
    <row r="4641" ht="15.75" spans="6:9">
      <c r="F4641" s="12" t="s">
        <v>5615</v>
      </c>
      <c r="G4641" s="12" t="s">
        <v>391</v>
      </c>
      <c r="H4641" s="15">
        <v>10302</v>
      </c>
      <c r="I4641" s="13">
        <v>38</v>
      </c>
    </row>
    <row r="4642" ht="15.75" spans="6:9">
      <c r="F4642" s="12" t="s">
        <v>8053</v>
      </c>
      <c r="G4642" s="12" t="s">
        <v>392</v>
      </c>
      <c r="H4642" s="15">
        <v>281100</v>
      </c>
      <c r="I4642" s="13">
        <v>38</v>
      </c>
    </row>
    <row r="4643" ht="15.75" spans="6:9">
      <c r="F4643" s="12" t="s">
        <v>8054</v>
      </c>
      <c r="G4643" s="12" t="s">
        <v>392</v>
      </c>
      <c r="H4643" s="15">
        <v>26000</v>
      </c>
      <c r="I4643" s="13">
        <v>38</v>
      </c>
    </row>
    <row r="4644" ht="15.75" spans="6:9">
      <c r="F4644" s="12" t="s">
        <v>4753</v>
      </c>
      <c r="G4644" s="12" t="s">
        <v>391</v>
      </c>
      <c r="H4644" s="15">
        <v>1842326</v>
      </c>
      <c r="I4644" s="13">
        <v>38</v>
      </c>
    </row>
    <row r="4645" ht="15.75" spans="6:9">
      <c r="F4645" s="12" t="s">
        <v>8055</v>
      </c>
      <c r="G4645" s="12" t="s">
        <v>392</v>
      </c>
      <c r="H4645" s="15">
        <v>93000</v>
      </c>
      <c r="I4645" s="13">
        <v>38</v>
      </c>
    </row>
    <row r="4646" ht="15.75" spans="6:9">
      <c r="F4646" s="12" t="s">
        <v>8056</v>
      </c>
      <c r="G4646" s="12" t="s">
        <v>392</v>
      </c>
      <c r="H4646" s="15">
        <v>131700</v>
      </c>
      <c r="I4646" s="13">
        <v>38</v>
      </c>
    </row>
    <row r="4647" ht="15.75" spans="6:9">
      <c r="F4647" s="12" t="s">
        <v>8057</v>
      </c>
      <c r="G4647" s="12" t="s">
        <v>392</v>
      </c>
      <c r="H4647" s="15">
        <v>67800</v>
      </c>
      <c r="I4647" s="13">
        <v>38</v>
      </c>
    </row>
    <row r="4648" ht="15.75" spans="6:9">
      <c r="F4648" s="12" t="s">
        <v>8058</v>
      </c>
      <c r="G4648" s="12" t="s">
        <v>392</v>
      </c>
      <c r="H4648" s="15">
        <v>20500</v>
      </c>
      <c r="I4648" s="13">
        <v>38</v>
      </c>
    </row>
    <row r="4649" ht="15.75" spans="6:9">
      <c r="F4649" s="12" t="s">
        <v>8059</v>
      </c>
      <c r="G4649" s="12" t="s">
        <v>392</v>
      </c>
      <c r="H4649" s="15">
        <v>320800</v>
      </c>
      <c r="I4649" s="13">
        <v>38</v>
      </c>
    </row>
    <row r="4650" ht="15.75" spans="6:9">
      <c r="F4650" s="12" t="s">
        <v>3527</v>
      </c>
      <c r="G4650" s="12" t="s">
        <v>391</v>
      </c>
      <c r="H4650" s="15">
        <v>11754</v>
      </c>
      <c r="I4650" s="13">
        <v>38</v>
      </c>
    </row>
    <row r="4651" ht="15.75" spans="6:9">
      <c r="F4651" s="12" t="s">
        <v>8060</v>
      </c>
      <c r="G4651" s="12" t="s">
        <v>392</v>
      </c>
      <c r="H4651" s="15">
        <v>87600</v>
      </c>
      <c r="I4651" s="13">
        <v>38</v>
      </c>
    </row>
    <row r="4652" ht="15.75" spans="6:9">
      <c r="F4652" s="12" t="s">
        <v>8061</v>
      </c>
      <c r="G4652" s="12" t="s">
        <v>392</v>
      </c>
      <c r="H4652" s="15">
        <v>156900</v>
      </c>
      <c r="I4652" s="13">
        <v>38</v>
      </c>
    </row>
    <row r="4653" ht="15.75" spans="6:9">
      <c r="F4653" s="12" t="s">
        <v>8062</v>
      </c>
      <c r="G4653" s="12" t="s">
        <v>392</v>
      </c>
      <c r="H4653" s="15">
        <v>10100</v>
      </c>
      <c r="I4653" s="13">
        <v>38</v>
      </c>
    </row>
    <row r="4654" ht="15.75" spans="6:9">
      <c r="F4654" s="12" t="s">
        <v>5617</v>
      </c>
      <c r="G4654" s="12" t="s">
        <v>391</v>
      </c>
      <c r="H4654" s="15">
        <v>55808</v>
      </c>
      <c r="I4654" s="13">
        <v>38</v>
      </c>
    </row>
    <row r="4655" ht="15.75" spans="6:9">
      <c r="F4655" s="12" t="s">
        <v>8063</v>
      </c>
      <c r="G4655" s="12" t="s">
        <v>392</v>
      </c>
      <c r="H4655" s="15">
        <v>25700</v>
      </c>
      <c r="I4655" s="13">
        <v>38</v>
      </c>
    </row>
    <row r="4656" ht="15.75" spans="6:9">
      <c r="F4656" s="12" t="s">
        <v>8064</v>
      </c>
      <c r="G4656" s="12" t="s">
        <v>392</v>
      </c>
      <c r="H4656" s="15">
        <v>25400</v>
      </c>
      <c r="I4656" s="13">
        <v>38</v>
      </c>
    </row>
    <row r="4657" ht="15.75" spans="6:9">
      <c r="F4657" s="12" t="s">
        <v>4342</v>
      </c>
      <c r="G4657" s="12" t="s">
        <v>391</v>
      </c>
      <c r="H4657" s="15">
        <v>104408</v>
      </c>
      <c r="I4657" s="13">
        <v>38</v>
      </c>
    </row>
    <row r="4658" ht="15.75" spans="6:9">
      <c r="F4658" s="12" t="s">
        <v>8065</v>
      </c>
      <c r="G4658" s="12" t="s">
        <v>392</v>
      </c>
      <c r="H4658" s="15">
        <v>486300</v>
      </c>
      <c r="I4658" s="13">
        <v>38</v>
      </c>
    </row>
    <row r="4659" ht="15.75" spans="6:9">
      <c r="F4659" s="12" t="s">
        <v>8066</v>
      </c>
      <c r="G4659" s="12" t="s">
        <v>392</v>
      </c>
      <c r="H4659" s="15">
        <v>331700</v>
      </c>
      <c r="I4659" s="13">
        <v>38</v>
      </c>
    </row>
    <row r="4660" ht="15.75" spans="6:9">
      <c r="F4660" s="12" t="s">
        <v>8067</v>
      </c>
      <c r="G4660" s="12" t="s">
        <v>392</v>
      </c>
      <c r="H4660" s="15">
        <v>10000</v>
      </c>
      <c r="I4660" s="13">
        <v>38</v>
      </c>
    </row>
    <row r="4661" ht="15.75" spans="6:9">
      <c r="F4661" s="12" t="s">
        <v>8068</v>
      </c>
      <c r="G4661" s="12" t="s">
        <v>392</v>
      </c>
      <c r="H4661" s="15">
        <v>51300</v>
      </c>
      <c r="I4661" s="13">
        <v>38</v>
      </c>
    </row>
    <row r="4662" ht="15.75" spans="6:9">
      <c r="F4662" s="12" t="s">
        <v>8069</v>
      </c>
      <c r="G4662" s="12" t="s">
        <v>392</v>
      </c>
      <c r="H4662" s="15">
        <v>88500</v>
      </c>
      <c r="I4662" s="13">
        <v>38</v>
      </c>
    </row>
    <row r="4663" ht="15.75" spans="6:9">
      <c r="F4663" s="12" t="s">
        <v>8070</v>
      </c>
      <c r="G4663" s="12" t="s">
        <v>392</v>
      </c>
      <c r="H4663" s="15">
        <v>15200</v>
      </c>
      <c r="I4663" s="13">
        <v>38</v>
      </c>
    </row>
    <row r="4664" ht="15.75" spans="6:9">
      <c r="F4664" s="12" t="s">
        <v>8071</v>
      </c>
      <c r="G4664" s="12" t="s">
        <v>392</v>
      </c>
      <c r="H4664" s="15">
        <v>22400</v>
      </c>
      <c r="I4664" s="13">
        <v>38</v>
      </c>
    </row>
    <row r="4665" ht="15.75" spans="6:9">
      <c r="F4665" s="12" t="s">
        <v>8072</v>
      </c>
      <c r="G4665" s="12" t="s">
        <v>392</v>
      </c>
      <c r="H4665" s="15">
        <v>10700</v>
      </c>
      <c r="I4665" s="13">
        <v>38</v>
      </c>
    </row>
    <row r="4666" ht="15.75" spans="6:9">
      <c r="F4666" s="12" t="s">
        <v>3530</v>
      </c>
      <c r="G4666" s="12" t="s">
        <v>391</v>
      </c>
      <c r="H4666" s="15">
        <v>16937</v>
      </c>
      <c r="I4666" s="13">
        <v>38</v>
      </c>
    </row>
    <row r="4667" ht="15.75" spans="6:9">
      <c r="F4667" s="12" t="s">
        <v>3533</v>
      </c>
      <c r="G4667" s="12" t="s">
        <v>391</v>
      </c>
      <c r="H4667" s="15">
        <v>10383</v>
      </c>
      <c r="I4667" s="13">
        <v>38</v>
      </c>
    </row>
    <row r="4668" ht="15.75" spans="6:9">
      <c r="F4668" s="12" t="s">
        <v>8073</v>
      </c>
      <c r="G4668" s="12" t="s">
        <v>392</v>
      </c>
      <c r="H4668" s="15">
        <v>102100</v>
      </c>
      <c r="I4668" s="13">
        <v>38</v>
      </c>
    </row>
    <row r="4669" ht="15.75" spans="6:9">
      <c r="F4669" s="12" t="s">
        <v>8074</v>
      </c>
      <c r="G4669" s="12" t="s">
        <v>392</v>
      </c>
      <c r="H4669" s="15">
        <v>45700</v>
      </c>
      <c r="I4669" s="13">
        <v>38</v>
      </c>
    </row>
    <row r="4670" ht="15.75" spans="6:9">
      <c r="F4670" s="12" t="s">
        <v>8075</v>
      </c>
      <c r="G4670" s="12" t="s">
        <v>392</v>
      </c>
      <c r="H4670" s="15">
        <v>87400</v>
      </c>
      <c r="I4670" s="13">
        <v>38</v>
      </c>
    </row>
    <row r="4671" ht="15.75" spans="6:9">
      <c r="F4671" s="12" t="s">
        <v>8076</v>
      </c>
      <c r="G4671" s="12" t="s">
        <v>392</v>
      </c>
      <c r="H4671" s="15">
        <v>15600</v>
      </c>
      <c r="I4671" s="13">
        <v>38</v>
      </c>
    </row>
    <row r="4672" ht="15.75" spans="6:9">
      <c r="F4672" s="12" t="s">
        <v>8077</v>
      </c>
      <c r="G4672" s="12" t="s">
        <v>392</v>
      </c>
      <c r="H4672" s="15">
        <v>14800</v>
      </c>
      <c r="I4672" s="13">
        <v>38</v>
      </c>
    </row>
    <row r="4673" ht="15.75" spans="6:9">
      <c r="F4673" s="12" t="s">
        <v>8078</v>
      </c>
      <c r="G4673" s="12" t="s">
        <v>392</v>
      </c>
      <c r="H4673" s="15">
        <v>153900</v>
      </c>
      <c r="I4673" s="13">
        <v>38</v>
      </c>
    </row>
    <row r="4674" ht="15.75" spans="6:9">
      <c r="F4674" s="12" t="s">
        <v>3536</v>
      </c>
      <c r="G4674" s="12" t="s">
        <v>391</v>
      </c>
      <c r="H4674" s="15">
        <v>10745</v>
      </c>
      <c r="I4674" s="13">
        <v>38</v>
      </c>
    </row>
    <row r="4675" ht="15.75" spans="6:9">
      <c r="F4675" s="12" t="s">
        <v>8079</v>
      </c>
      <c r="G4675" s="12" t="s">
        <v>392</v>
      </c>
      <c r="H4675" s="15">
        <v>130100</v>
      </c>
      <c r="I4675" s="13">
        <v>38</v>
      </c>
    </row>
    <row r="4676" ht="15.75" spans="6:9">
      <c r="F4676" s="12" t="s">
        <v>8080</v>
      </c>
      <c r="G4676" s="12" t="s">
        <v>392</v>
      </c>
      <c r="H4676" s="15">
        <v>106600</v>
      </c>
      <c r="I4676" s="13">
        <v>38</v>
      </c>
    </row>
    <row r="4677" ht="15.75" spans="6:9">
      <c r="F4677" s="12" t="s">
        <v>8081</v>
      </c>
      <c r="G4677" s="12" t="s">
        <v>392</v>
      </c>
      <c r="H4677" s="15">
        <v>1000000</v>
      </c>
      <c r="I4677" s="13">
        <v>38</v>
      </c>
    </row>
    <row r="4678" ht="15.75" spans="6:9">
      <c r="F4678" s="12" t="s">
        <v>8082</v>
      </c>
      <c r="G4678" s="12" t="s">
        <v>392</v>
      </c>
      <c r="H4678" s="15">
        <v>85300</v>
      </c>
      <c r="I4678" s="13">
        <v>38</v>
      </c>
    </row>
    <row r="4679" ht="15.75" spans="6:9">
      <c r="F4679" s="12" t="s">
        <v>8083</v>
      </c>
      <c r="G4679" s="12" t="s">
        <v>392</v>
      </c>
      <c r="H4679" s="15">
        <v>2500000</v>
      </c>
      <c r="I4679" s="13">
        <v>38</v>
      </c>
    </row>
    <row r="4680" ht="15.75" spans="6:9">
      <c r="F4680" s="12" t="s">
        <v>3539</v>
      </c>
      <c r="G4680" s="12" t="s">
        <v>391</v>
      </c>
      <c r="H4680" s="15">
        <v>28272</v>
      </c>
      <c r="I4680" s="13">
        <v>38</v>
      </c>
    </row>
    <row r="4681" ht="15.75" spans="6:9">
      <c r="F4681" s="12" t="s">
        <v>3542</v>
      </c>
      <c r="G4681" s="12" t="s">
        <v>391</v>
      </c>
      <c r="H4681" s="15">
        <v>14429</v>
      </c>
      <c r="I4681" s="13">
        <v>38</v>
      </c>
    </row>
    <row r="4682" ht="15.75" spans="6:9">
      <c r="F4682" s="12" t="s">
        <v>4756</v>
      </c>
      <c r="G4682" s="12" t="s">
        <v>391</v>
      </c>
      <c r="H4682" s="15">
        <v>121896</v>
      </c>
      <c r="I4682" s="13">
        <v>38</v>
      </c>
    </row>
    <row r="4683" ht="15.75" spans="6:9">
      <c r="F4683" s="12" t="s">
        <v>8084</v>
      </c>
      <c r="G4683" s="12" t="s">
        <v>392</v>
      </c>
      <c r="H4683" s="15">
        <v>55500</v>
      </c>
      <c r="I4683" s="13">
        <v>38</v>
      </c>
    </row>
    <row r="4684" ht="15.75" spans="6:9">
      <c r="F4684" s="12" t="s">
        <v>8085</v>
      </c>
      <c r="G4684" s="12" t="s">
        <v>392</v>
      </c>
      <c r="H4684" s="15">
        <v>1700000</v>
      </c>
      <c r="I4684" s="13">
        <v>38</v>
      </c>
    </row>
    <row r="4685" ht="15.75" spans="6:9">
      <c r="F4685" s="12" t="s">
        <v>8086</v>
      </c>
      <c r="G4685" s="12" t="s">
        <v>392</v>
      </c>
      <c r="H4685" s="15">
        <v>25100</v>
      </c>
      <c r="I4685" s="13">
        <v>38</v>
      </c>
    </row>
    <row r="4686" ht="15.75" spans="6:9">
      <c r="F4686" s="12" t="s">
        <v>5619</v>
      </c>
      <c r="G4686" s="12" t="s">
        <v>391</v>
      </c>
      <c r="H4686" s="15">
        <v>12429</v>
      </c>
      <c r="I4686" s="13">
        <v>38</v>
      </c>
    </row>
    <row r="4687" ht="15.75" spans="6:9">
      <c r="F4687" s="12" t="s">
        <v>8087</v>
      </c>
      <c r="G4687" s="12" t="s">
        <v>392</v>
      </c>
      <c r="H4687" s="15">
        <v>79500</v>
      </c>
      <c r="I4687" s="13">
        <v>38</v>
      </c>
    </row>
    <row r="4688" ht="15.75" spans="6:9">
      <c r="F4688" s="12" t="s">
        <v>8088</v>
      </c>
      <c r="G4688" s="12" t="s">
        <v>392</v>
      </c>
      <c r="H4688" s="15">
        <v>288700</v>
      </c>
      <c r="I4688" s="13">
        <v>38</v>
      </c>
    </row>
    <row r="4689" ht="15.75" spans="6:9">
      <c r="F4689" s="12" t="s">
        <v>8089</v>
      </c>
      <c r="G4689" s="12" t="s">
        <v>392</v>
      </c>
      <c r="H4689" s="15">
        <v>19800</v>
      </c>
      <c r="I4689" s="13">
        <v>38</v>
      </c>
    </row>
    <row r="4690" ht="15.75" spans="6:9">
      <c r="F4690" s="12" t="s">
        <v>8090</v>
      </c>
      <c r="G4690" s="12" t="s">
        <v>392</v>
      </c>
      <c r="H4690" s="15">
        <v>20400</v>
      </c>
      <c r="I4690" s="13">
        <v>38</v>
      </c>
    </row>
    <row r="4691" ht="15.75" spans="6:9">
      <c r="F4691" s="12" t="s">
        <v>8091</v>
      </c>
      <c r="G4691" s="12" t="s">
        <v>392</v>
      </c>
      <c r="H4691" s="15">
        <v>26200</v>
      </c>
      <c r="I4691" s="13">
        <v>38</v>
      </c>
    </row>
    <row r="4692" ht="15.75" spans="6:9">
      <c r="F4692" s="12" t="s">
        <v>8092</v>
      </c>
      <c r="G4692" s="12" t="s">
        <v>392</v>
      </c>
      <c r="H4692" s="15">
        <v>1100000</v>
      </c>
      <c r="I4692" s="13">
        <v>38</v>
      </c>
    </row>
    <row r="4693" ht="15.75" spans="6:9">
      <c r="F4693" s="12" t="s">
        <v>8093</v>
      </c>
      <c r="G4693" s="12" t="s">
        <v>392</v>
      </c>
      <c r="H4693" s="15">
        <v>130100</v>
      </c>
      <c r="I4693" s="13">
        <v>38</v>
      </c>
    </row>
    <row r="4694" ht="15.75" spans="6:9">
      <c r="F4694" s="12" t="s">
        <v>8094</v>
      </c>
      <c r="G4694" s="12" t="s">
        <v>392</v>
      </c>
      <c r="H4694" s="15">
        <v>13700</v>
      </c>
      <c r="I4694" s="13">
        <v>38</v>
      </c>
    </row>
    <row r="4695" ht="15.75" spans="6:9">
      <c r="F4695" s="12" t="s">
        <v>8095</v>
      </c>
      <c r="G4695" s="12" t="s">
        <v>392</v>
      </c>
      <c r="H4695" s="15">
        <v>213200</v>
      </c>
      <c r="I4695" s="13">
        <v>38</v>
      </c>
    </row>
    <row r="4696" ht="15.75" spans="6:9">
      <c r="F4696" s="12" t="s">
        <v>8096</v>
      </c>
      <c r="G4696" s="12" t="s">
        <v>392</v>
      </c>
      <c r="H4696" s="15">
        <v>156500</v>
      </c>
      <c r="I4696" s="13">
        <v>38</v>
      </c>
    </row>
    <row r="4697" ht="15.75" spans="6:9">
      <c r="F4697" s="12" t="s">
        <v>8097</v>
      </c>
      <c r="G4697" s="12" t="s">
        <v>392</v>
      </c>
      <c r="H4697" s="15">
        <v>281300</v>
      </c>
      <c r="I4697" s="13">
        <v>38</v>
      </c>
    </row>
    <row r="4698" ht="15.75" spans="6:9">
      <c r="F4698" s="12" t="s">
        <v>8098</v>
      </c>
      <c r="G4698" s="12" t="s">
        <v>392</v>
      </c>
      <c r="H4698" s="15">
        <v>13600</v>
      </c>
      <c r="I4698" s="13">
        <v>38</v>
      </c>
    </row>
    <row r="4699" ht="15.75" spans="6:9">
      <c r="F4699" s="12" t="s">
        <v>3544</v>
      </c>
      <c r="G4699" s="12" t="s">
        <v>391</v>
      </c>
      <c r="H4699" s="15">
        <v>12923</v>
      </c>
      <c r="I4699" s="13">
        <v>38</v>
      </c>
    </row>
    <row r="4700" ht="15.75" spans="6:9">
      <c r="F4700" s="12" t="s">
        <v>8099</v>
      </c>
      <c r="G4700" s="12" t="s">
        <v>392</v>
      </c>
      <c r="H4700" s="15">
        <v>3500000</v>
      </c>
      <c r="I4700" s="13">
        <v>38</v>
      </c>
    </row>
    <row r="4701" ht="15.75" spans="6:9">
      <c r="F4701" s="12" t="s">
        <v>8100</v>
      </c>
      <c r="G4701" s="12" t="s">
        <v>392</v>
      </c>
      <c r="H4701" s="15">
        <v>73500</v>
      </c>
      <c r="I4701" s="13">
        <v>38</v>
      </c>
    </row>
    <row r="4702" ht="15.75" spans="6:9">
      <c r="F4702" s="12" t="s">
        <v>8101</v>
      </c>
      <c r="G4702" s="12" t="s">
        <v>392</v>
      </c>
      <c r="H4702" s="15">
        <v>110300</v>
      </c>
      <c r="I4702" s="13">
        <v>38</v>
      </c>
    </row>
    <row r="4703" ht="15.75" spans="6:9">
      <c r="F4703" s="12" t="s">
        <v>8102</v>
      </c>
      <c r="G4703" s="12" t="s">
        <v>392</v>
      </c>
      <c r="H4703" s="15">
        <v>1300000</v>
      </c>
      <c r="I4703" s="13">
        <v>38</v>
      </c>
    </row>
    <row r="4704" ht="15.75" spans="6:9">
      <c r="F4704" s="12" t="s">
        <v>8103</v>
      </c>
      <c r="G4704" s="12" t="s">
        <v>392</v>
      </c>
      <c r="H4704" s="15">
        <v>4500000</v>
      </c>
      <c r="I4704" s="13">
        <v>38</v>
      </c>
    </row>
    <row r="4705" ht="15.75" spans="6:9">
      <c r="F4705" s="12" t="s">
        <v>8104</v>
      </c>
      <c r="G4705" s="12" t="s">
        <v>392</v>
      </c>
      <c r="H4705" s="15">
        <v>28700</v>
      </c>
      <c r="I4705" s="13">
        <v>38</v>
      </c>
    </row>
    <row r="4706" ht="15.75" spans="6:9">
      <c r="F4706" s="12" t="s">
        <v>8105</v>
      </c>
      <c r="G4706" s="12" t="s">
        <v>392</v>
      </c>
      <c r="H4706" s="15">
        <v>18800</v>
      </c>
      <c r="I4706" s="13">
        <v>38</v>
      </c>
    </row>
    <row r="4707" ht="15.75" spans="6:9">
      <c r="F4707" s="12" t="s">
        <v>8106</v>
      </c>
      <c r="G4707" s="12" t="s">
        <v>392</v>
      </c>
      <c r="H4707" s="15">
        <v>305400</v>
      </c>
      <c r="I4707" s="13">
        <v>38</v>
      </c>
    </row>
    <row r="4708" ht="15.75" spans="6:9">
      <c r="F4708" s="12" t="s">
        <v>8107</v>
      </c>
      <c r="G4708" s="12" t="s">
        <v>392</v>
      </c>
      <c r="H4708" s="15">
        <v>77000</v>
      </c>
      <c r="I4708" s="13">
        <v>37</v>
      </c>
    </row>
    <row r="4709" ht="15.75" spans="6:9">
      <c r="F4709" s="12" t="s">
        <v>8108</v>
      </c>
      <c r="G4709" s="12" t="s">
        <v>391</v>
      </c>
      <c r="H4709" s="15">
        <v>76866</v>
      </c>
      <c r="I4709" s="13">
        <v>37</v>
      </c>
    </row>
    <row r="4710" ht="15.75" spans="6:9">
      <c r="F4710" s="12" t="s">
        <v>5623</v>
      </c>
      <c r="G4710" s="12" t="s">
        <v>391</v>
      </c>
      <c r="H4710" s="15">
        <v>33686</v>
      </c>
      <c r="I4710" s="13">
        <v>37</v>
      </c>
    </row>
    <row r="4711" ht="15.75" spans="6:9">
      <c r="F4711" s="12" t="s">
        <v>8109</v>
      </c>
      <c r="G4711" s="12" t="s">
        <v>391</v>
      </c>
      <c r="H4711" s="15">
        <v>45074</v>
      </c>
      <c r="I4711" s="13">
        <v>37</v>
      </c>
    </row>
    <row r="4712" ht="15.75" spans="6:9">
      <c r="F4712" s="12" t="s">
        <v>5625</v>
      </c>
      <c r="G4712" s="12" t="s">
        <v>391</v>
      </c>
      <c r="H4712" s="15">
        <v>63881</v>
      </c>
      <c r="I4712" s="13">
        <v>37</v>
      </c>
    </row>
    <row r="4713" ht="15.75" spans="6:9">
      <c r="F4713" s="12" t="s">
        <v>5627</v>
      </c>
      <c r="G4713" s="12" t="s">
        <v>391</v>
      </c>
      <c r="H4713" s="15">
        <v>10408</v>
      </c>
      <c r="I4713" s="13">
        <v>37</v>
      </c>
    </row>
    <row r="4714" ht="15.75" spans="6:9">
      <c r="F4714" s="12" t="s">
        <v>8110</v>
      </c>
      <c r="G4714" s="12" t="s">
        <v>391</v>
      </c>
      <c r="H4714" s="15">
        <v>79549</v>
      </c>
      <c r="I4714" s="13">
        <v>37</v>
      </c>
    </row>
    <row r="4715" ht="15.75" spans="6:9">
      <c r="F4715" s="12" t="s">
        <v>8111</v>
      </c>
      <c r="G4715" s="12" t="s">
        <v>391</v>
      </c>
      <c r="H4715" s="15">
        <v>75163</v>
      </c>
      <c r="I4715" s="13">
        <v>37</v>
      </c>
    </row>
    <row r="4716" ht="15.75" spans="6:9">
      <c r="F4716" s="12" t="s">
        <v>5629</v>
      </c>
      <c r="G4716" s="12" t="s">
        <v>391</v>
      </c>
      <c r="H4716" s="15">
        <v>10064</v>
      </c>
      <c r="I4716" s="13">
        <v>37</v>
      </c>
    </row>
    <row r="4717" ht="15.75" spans="6:9">
      <c r="F4717" s="12" t="s">
        <v>5631</v>
      </c>
      <c r="G4717" s="12" t="s">
        <v>391</v>
      </c>
      <c r="H4717" s="15">
        <v>41005</v>
      </c>
      <c r="I4717" s="13">
        <v>37</v>
      </c>
    </row>
    <row r="4718" ht="15.75" spans="6:9">
      <c r="F4718" s="12" t="s">
        <v>5633</v>
      </c>
      <c r="G4718" s="12" t="s">
        <v>391</v>
      </c>
      <c r="H4718" s="15">
        <v>61962</v>
      </c>
      <c r="I4718" s="13">
        <v>37</v>
      </c>
    </row>
    <row r="4719" ht="15.75" spans="6:9">
      <c r="F4719" s="12" t="s">
        <v>5635</v>
      </c>
      <c r="G4719" s="12" t="s">
        <v>391</v>
      </c>
      <c r="H4719" s="15">
        <v>35952</v>
      </c>
      <c r="I4719" s="13">
        <v>37</v>
      </c>
    </row>
    <row r="4720" ht="15.75" spans="6:9">
      <c r="F4720" s="12" t="s">
        <v>5637</v>
      </c>
      <c r="G4720" s="12" t="s">
        <v>391</v>
      </c>
      <c r="H4720" s="15">
        <v>47481</v>
      </c>
      <c r="I4720" s="13">
        <v>37</v>
      </c>
    </row>
    <row r="4721" ht="15.75" spans="6:9">
      <c r="F4721" s="12" t="s">
        <v>3401</v>
      </c>
      <c r="G4721" s="12" t="s">
        <v>391</v>
      </c>
      <c r="H4721" s="15">
        <v>47138</v>
      </c>
      <c r="I4721" s="13">
        <v>37</v>
      </c>
    </row>
    <row r="4722" ht="15.75" spans="6:9">
      <c r="F4722" s="12" t="s">
        <v>3601</v>
      </c>
      <c r="G4722" s="12" t="s">
        <v>391</v>
      </c>
      <c r="H4722" s="15">
        <v>55152</v>
      </c>
      <c r="I4722" s="13">
        <v>37</v>
      </c>
    </row>
    <row r="4723" ht="15.75" spans="6:9">
      <c r="F4723" s="12" t="s">
        <v>4363</v>
      </c>
      <c r="G4723" s="12" t="s">
        <v>391</v>
      </c>
      <c r="H4723" s="15">
        <v>140211</v>
      </c>
      <c r="I4723" s="13">
        <v>37</v>
      </c>
    </row>
    <row r="4724" ht="15.75" spans="6:9">
      <c r="F4724" s="12" t="s">
        <v>4588</v>
      </c>
      <c r="G4724" s="12" t="s">
        <v>392</v>
      </c>
      <c r="H4724" s="15">
        <v>283300</v>
      </c>
      <c r="I4724" s="13">
        <v>37</v>
      </c>
    </row>
    <row r="4725" ht="15.75" spans="6:9">
      <c r="F4725" s="12" t="s">
        <v>4366</v>
      </c>
      <c r="G4725" s="12" t="s">
        <v>391</v>
      </c>
      <c r="H4725" s="15">
        <v>3954716</v>
      </c>
      <c r="I4725" s="13">
        <v>37</v>
      </c>
    </row>
    <row r="4726" ht="15.75" spans="6:9">
      <c r="F4726" s="12" t="s">
        <v>4776</v>
      </c>
      <c r="G4726" s="12" t="s">
        <v>391</v>
      </c>
      <c r="H4726" s="15">
        <v>108832</v>
      </c>
      <c r="I4726" s="13">
        <v>37</v>
      </c>
    </row>
    <row r="4727" ht="15.75" spans="6:9">
      <c r="F4727" s="12" t="s">
        <v>8112</v>
      </c>
      <c r="G4727" s="12" t="s">
        <v>392</v>
      </c>
      <c r="H4727" s="15">
        <v>43300</v>
      </c>
      <c r="I4727" s="13">
        <v>37</v>
      </c>
    </row>
    <row r="4728" ht="15.75" spans="6:9">
      <c r="F4728" s="12" t="s">
        <v>5642</v>
      </c>
      <c r="G4728" s="12" t="s">
        <v>391</v>
      </c>
      <c r="H4728" s="15">
        <v>52455</v>
      </c>
      <c r="I4728" s="13">
        <v>37</v>
      </c>
    </row>
    <row r="4729" ht="15.75" spans="6:9">
      <c r="F4729" s="12" t="s">
        <v>5644</v>
      </c>
      <c r="G4729" s="12" t="s">
        <v>391</v>
      </c>
      <c r="H4729" s="15">
        <v>30579</v>
      </c>
      <c r="I4729" s="13">
        <v>37</v>
      </c>
    </row>
    <row r="4730" ht="15.75" spans="6:9">
      <c r="F4730" s="12" t="s">
        <v>8113</v>
      </c>
      <c r="G4730" s="12" t="s">
        <v>391</v>
      </c>
      <c r="H4730" s="15">
        <v>51435</v>
      </c>
      <c r="I4730" s="13">
        <v>37</v>
      </c>
    </row>
    <row r="4731" ht="15.75" spans="6:9">
      <c r="F4731" s="12" t="s">
        <v>5646</v>
      </c>
      <c r="G4731" s="12" t="s">
        <v>391</v>
      </c>
      <c r="H4731" s="15">
        <v>16843</v>
      </c>
      <c r="I4731" s="13">
        <v>37</v>
      </c>
    </row>
    <row r="4732" ht="15.75" spans="6:9">
      <c r="F4732" s="12" t="s">
        <v>4781</v>
      </c>
      <c r="G4732" s="12" t="s">
        <v>391</v>
      </c>
      <c r="H4732" s="15">
        <v>117390</v>
      </c>
      <c r="I4732" s="13">
        <v>37</v>
      </c>
    </row>
    <row r="4733" ht="15.75" spans="6:9">
      <c r="F4733" s="12" t="s">
        <v>4380</v>
      </c>
      <c r="G4733" s="12" t="s">
        <v>391</v>
      </c>
      <c r="H4733" s="15">
        <v>146280</v>
      </c>
      <c r="I4733" s="13">
        <v>37</v>
      </c>
    </row>
    <row r="4734" ht="15.75" spans="6:9">
      <c r="F4734" s="12" t="s">
        <v>4383</v>
      </c>
      <c r="G4734" s="12" t="s">
        <v>391</v>
      </c>
      <c r="H4734" s="15">
        <v>171905</v>
      </c>
      <c r="I4734" s="13">
        <v>37</v>
      </c>
    </row>
    <row r="4735" ht="15.75" spans="6:9">
      <c r="F4735" s="12" t="s">
        <v>5649</v>
      </c>
      <c r="G4735" s="12" t="s">
        <v>391</v>
      </c>
      <c r="H4735" s="15">
        <v>79968</v>
      </c>
      <c r="I4735" s="13">
        <v>37</v>
      </c>
    </row>
    <row r="4736" ht="15.75" spans="6:9">
      <c r="F4736" s="12" t="s">
        <v>8114</v>
      </c>
      <c r="G4736" s="12" t="s">
        <v>391</v>
      </c>
      <c r="H4736" s="15">
        <v>50881</v>
      </c>
      <c r="I4736" s="13">
        <v>37</v>
      </c>
    </row>
    <row r="4737" ht="15.75" spans="6:9">
      <c r="F4737" s="12" t="s">
        <v>5650</v>
      </c>
      <c r="G4737" s="12" t="s">
        <v>391</v>
      </c>
      <c r="H4737" s="15">
        <v>11701</v>
      </c>
      <c r="I4737" s="13">
        <v>37</v>
      </c>
    </row>
    <row r="4738" ht="15.75" spans="6:9">
      <c r="F4738" s="12" t="s">
        <v>5729</v>
      </c>
      <c r="G4738" s="12" t="s">
        <v>391</v>
      </c>
      <c r="H4738" s="15">
        <v>36032</v>
      </c>
      <c r="I4738" s="13">
        <v>37</v>
      </c>
    </row>
    <row r="4739" ht="15.75" spans="6:9">
      <c r="F4739" s="12" t="s">
        <v>5654</v>
      </c>
      <c r="G4739" s="12" t="s">
        <v>391</v>
      </c>
      <c r="H4739" s="15">
        <v>81674</v>
      </c>
      <c r="I4739" s="13">
        <v>37</v>
      </c>
    </row>
    <row r="4740" ht="15.75" spans="6:9">
      <c r="F4740" s="12" t="s">
        <v>4387</v>
      </c>
      <c r="G4740" s="12" t="s">
        <v>391</v>
      </c>
      <c r="H4740" s="15">
        <v>123546</v>
      </c>
      <c r="I4740" s="13">
        <v>37</v>
      </c>
    </row>
    <row r="4741" ht="15.75" spans="6:9">
      <c r="F4741" s="12" t="s">
        <v>4390</v>
      </c>
      <c r="G4741" s="12" t="s">
        <v>391</v>
      </c>
      <c r="H4741" s="15">
        <v>103674</v>
      </c>
      <c r="I4741" s="13">
        <v>37</v>
      </c>
    </row>
    <row r="4742" ht="15.75" spans="6:9">
      <c r="F4742" s="12" t="s">
        <v>5656</v>
      </c>
      <c r="G4742" s="12" t="s">
        <v>391</v>
      </c>
      <c r="H4742" s="15">
        <v>16161</v>
      </c>
      <c r="I4742" s="13">
        <v>37</v>
      </c>
    </row>
    <row r="4743" ht="15.75" spans="6:9">
      <c r="F4743" s="12" t="s">
        <v>5658</v>
      </c>
      <c r="G4743" s="12" t="s">
        <v>391</v>
      </c>
      <c r="H4743" s="15">
        <v>77809</v>
      </c>
      <c r="I4743" s="13">
        <v>37</v>
      </c>
    </row>
    <row r="4744" ht="15.75" spans="6:9">
      <c r="F4744" s="12" t="s">
        <v>8115</v>
      </c>
      <c r="G4744" s="12" t="s">
        <v>391</v>
      </c>
      <c r="H4744" s="15">
        <v>36792</v>
      </c>
      <c r="I4744" s="13">
        <v>37</v>
      </c>
    </row>
    <row r="4745" ht="15.75" spans="6:9">
      <c r="F4745" s="12" t="s">
        <v>8116</v>
      </c>
      <c r="G4745" s="12" t="s">
        <v>392</v>
      </c>
      <c r="H4745" s="15">
        <v>89700</v>
      </c>
      <c r="I4745" s="13">
        <v>37</v>
      </c>
    </row>
    <row r="4746" ht="15.75" spans="6:9">
      <c r="F4746" s="12" t="s">
        <v>4793</v>
      </c>
      <c r="G4746" s="12" t="s">
        <v>391</v>
      </c>
      <c r="H4746" s="15">
        <v>102033</v>
      </c>
      <c r="I4746" s="13">
        <v>37</v>
      </c>
    </row>
    <row r="4747" ht="15.75" spans="6:9">
      <c r="F4747" s="12" t="s">
        <v>8117</v>
      </c>
      <c r="G4747" s="12" t="s">
        <v>392</v>
      </c>
      <c r="H4747" s="15">
        <v>10000</v>
      </c>
      <c r="I4747" s="13">
        <v>36</v>
      </c>
    </row>
    <row r="4748" ht="15.75" spans="6:9">
      <c r="F4748" s="12" t="s">
        <v>5661</v>
      </c>
      <c r="G4748" s="12" t="s">
        <v>391</v>
      </c>
      <c r="H4748" s="15">
        <v>49003</v>
      </c>
      <c r="I4748" s="13">
        <v>36</v>
      </c>
    </row>
    <row r="4749" ht="15.75" spans="6:9">
      <c r="F4749" s="12" t="s">
        <v>8118</v>
      </c>
      <c r="G4749" s="12" t="s">
        <v>392</v>
      </c>
      <c r="H4749" s="15">
        <v>669200</v>
      </c>
      <c r="I4749" s="13">
        <v>36</v>
      </c>
    </row>
    <row r="4750" ht="15.75" spans="6:9">
      <c r="F4750" s="12" t="s">
        <v>8119</v>
      </c>
      <c r="G4750" s="12" t="s">
        <v>392</v>
      </c>
      <c r="H4750" s="15">
        <v>80200</v>
      </c>
      <c r="I4750" s="13">
        <v>36</v>
      </c>
    </row>
    <row r="4751" ht="15.75" spans="6:9">
      <c r="F4751" s="12" t="s">
        <v>5663</v>
      </c>
      <c r="G4751" s="12" t="s">
        <v>391</v>
      </c>
      <c r="H4751" s="15">
        <v>47276</v>
      </c>
      <c r="I4751" s="13">
        <v>36</v>
      </c>
    </row>
    <row r="4752" ht="15.75" spans="6:9">
      <c r="F4752" s="12" t="s">
        <v>8120</v>
      </c>
      <c r="G4752" s="12" t="s">
        <v>392</v>
      </c>
      <c r="H4752" s="15">
        <v>28200</v>
      </c>
      <c r="I4752" s="13">
        <v>36</v>
      </c>
    </row>
    <row r="4753" ht="15.75" spans="6:9">
      <c r="F4753" s="12" t="s">
        <v>8121</v>
      </c>
      <c r="G4753" s="12" t="s">
        <v>392</v>
      </c>
      <c r="H4753" s="15">
        <v>62800</v>
      </c>
      <c r="I4753" s="13">
        <v>36</v>
      </c>
    </row>
    <row r="4754" ht="15.75" spans="6:9">
      <c r="F4754" s="12" t="s">
        <v>5664</v>
      </c>
      <c r="G4754" s="12" t="s">
        <v>391</v>
      </c>
      <c r="H4754" s="15">
        <v>43810</v>
      </c>
      <c r="I4754" s="13">
        <v>36</v>
      </c>
    </row>
    <row r="4755" ht="15.75" spans="6:9">
      <c r="F4755" s="12" t="s">
        <v>3629</v>
      </c>
      <c r="G4755" s="12" t="s">
        <v>391</v>
      </c>
      <c r="H4755" s="15">
        <v>20480</v>
      </c>
      <c r="I4755" s="13">
        <v>36</v>
      </c>
    </row>
    <row r="4756" ht="15.75" spans="6:9">
      <c r="F4756" s="12" t="s">
        <v>2416</v>
      </c>
      <c r="G4756" s="12" t="s">
        <v>391</v>
      </c>
      <c r="H4756" s="15">
        <v>18018065</v>
      </c>
      <c r="I4756" s="13">
        <v>36</v>
      </c>
    </row>
    <row r="4757" ht="15.75" spans="6:9">
      <c r="F4757" s="12" t="s">
        <v>4576</v>
      </c>
      <c r="G4757" s="12" t="s">
        <v>392</v>
      </c>
      <c r="H4757" s="15">
        <v>110100</v>
      </c>
      <c r="I4757" s="13">
        <v>36</v>
      </c>
    </row>
    <row r="4758" ht="15.75" spans="6:9">
      <c r="F4758" s="12" t="s">
        <v>4411</v>
      </c>
      <c r="G4758" s="12" t="s">
        <v>391</v>
      </c>
      <c r="H4758" s="15">
        <v>187339</v>
      </c>
      <c r="I4758" s="13">
        <v>36</v>
      </c>
    </row>
    <row r="4759" ht="15.75" spans="6:9">
      <c r="F4759" s="12" t="s">
        <v>4414</v>
      </c>
      <c r="G4759" s="12" t="s">
        <v>391</v>
      </c>
      <c r="H4759" s="15">
        <v>107091</v>
      </c>
      <c r="I4759" s="13">
        <v>36</v>
      </c>
    </row>
    <row r="4760" ht="15.75" spans="6:9">
      <c r="F4760" s="12" t="s">
        <v>4825</v>
      </c>
      <c r="G4760" s="12" t="s">
        <v>391</v>
      </c>
      <c r="H4760" s="15">
        <v>153444</v>
      </c>
      <c r="I4760" s="13">
        <v>36</v>
      </c>
    </row>
    <row r="4761" ht="15.75" spans="6:9">
      <c r="F4761" s="12" t="s">
        <v>4417</v>
      </c>
      <c r="G4761" s="12" t="s">
        <v>391</v>
      </c>
      <c r="H4761" s="15">
        <v>128765</v>
      </c>
      <c r="I4761" s="13">
        <v>36</v>
      </c>
    </row>
    <row r="4762" ht="15.75" spans="6:9">
      <c r="F4762" s="12" t="s">
        <v>4420</v>
      </c>
      <c r="G4762" s="12" t="s">
        <v>391</v>
      </c>
      <c r="H4762" s="15">
        <v>100180</v>
      </c>
      <c r="I4762" s="13">
        <v>36</v>
      </c>
    </row>
    <row r="4763" ht="15.75" spans="6:9">
      <c r="F4763" s="12" t="s">
        <v>8122</v>
      </c>
      <c r="G4763" s="12" t="s">
        <v>392</v>
      </c>
      <c r="H4763" s="15">
        <v>132600</v>
      </c>
      <c r="I4763" s="13">
        <v>36</v>
      </c>
    </row>
    <row r="4764" ht="15.75" spans="6:9">
      <c r="F4764" s="12" t="s">
        <v>5667</v>
      </c>
      <c r="G4764" s="12" t="s">
        <v>391</v>
      </c>
      <c r="H4764" s="15">
        <v>44088</v>
      </c>
      <c r="I4764" s="13">
        <v>36</v>
      </c>
    </row>
    <row r="4765" ht="15.75" spans="6:9">
      <c r="F4765" s="12" t="s">
        <v>4527</v>
      </c>
      <c r="G4765" s="12" t="s">
        <v>392</v>
      </c>
      <c r="H4765" s="15">
        <v>237300</v>
      </c>
      <c r="I4765" s="13">
        <v>36</v>
      </c>
    </row>
    <row r="4766" ht="15.75" spans="6:9">
      <c r="F4766" s="12" t="s">
        <v>8123</v>
      </c>
      <c r="G4766" s="12" t="s">
        <v>392</v>
      </c>
      <c r="H4766" s="15">
        <v>88200</v>
      </c>
      <c r="I4766" s="13">
        <v>36</v>
      </c>
    </row>
    <row r="4767" ht="15.75" spans="6:9">
      <c r="F4767" s="12" t="s">
        <v>8124</v>
      </c>
      <c r="G4767" s="12" t="s">
        <v>391</v>
      </c>
      <c r="H4767" s="15">
        <v>171241</v>
      </c>
      <c r="I4767" s="13">
        <v>36</v>
      </c>
    </row>
    <row r="4768" ht="15.75" spans="6:9">
      <c r="F4768" s="12" t="s">
        <v>8125</v>
      </c>
      <c r="G4768" s="12" t="s">
        <v>392</v>
      </c>
      <c r="H4768" s="15">
        <v>276700</v>
      </c>
      <c r="I4768" s="13">
        <v>36</v>
      </c>
    </row>
    <row r="4769" ht="15.75" spans="6:9">
      <c r="F4769" s="12" t="s">
        <v>8126</v>
      </c>
      <c r="G4769" s="12" t="s">
        <v>391</v>
      </c>
      <c r="H4769" s="15">
        <v>55952</v>
      </c>
      <c r="I4769" s="13">
        <v>36</v>
      </c>
    </row>
    <row r="4770" ht="15.75" spans="6:9">
      <c r="F4770" s="12" t="s">
        <v>8127</v>
      </c>
      <c r="G4770" s="12" t="s">
        <v>391</v>
      </c>
      <c r="H4770" s="15">
        <v>96492</v>
      </c>
      <c r="I4770" s="13">
        <v>36</v>
      </c>
    </row>
    <row r="4771" ht="15.75" spans="6:9">
      <c r="F4771" s="12" t="s">
        <v>8128</v>
      </c>
      <c r="G4771" s="12" t="s">
        <v>392</v>
      </c>
      <c r="H4771" s="15">
        <v>52100</v>
      </c>
      <c r="I4771" s="13">
        <v>36</v>
      </c>
    </row>
    <row r="4772" ht="15.75" spans="6:9">
      <c r="F4772" s="12" t="s">
        <v>8129</v>
      </c>
      <c r="G4772" s="12" t="s">
        <v>391</v>
      </c>
      <c r="H4772" s="15">
        <v>67859</v>
      </c>
      <c r="I4772" s="13">
        <v>36</v>
      </c>
    </row>
    <row r="4773" ht="15.75" spans="6:9">
      <c r="F4773" s="12" t="s">
        <v>8130</v>
      </c>
      <c r="G4773" s="12" t="s">
        <v>392</v>
      </c>
      <c r="H4773" s="15">
        <v>204900</v>
      </c>
      <c r="I4773" s="13">
        <v>36</v>
      </c>
    </row>
    <row r="4774" ht="15.75" spans="6:9">
      <c r="F4774" s="12" t="s">
        <v>8131</v>
      </c>
      <c r="G4774" s="12" t="s">
        <v>391</v>
      </c>
      <c r="H4774" s="15">
        <v>61901</v>
      </c>
      <c r="I4774" s="13">
        <v>36</v>
      </c>
    </row>
    <row r="4775" ht="15.75" spans="6:9">
      <c r="F4775" s="12" t="s">
        <v>8132</v>
      </c>
      <c r="G4775" s="12" t="s">
        <v>392</v>
      </c>
      <c r="H4775" s="15">
        <v>135400</v>
      </c>
      <c r="I4775" s="13">
        <v>36</v>
      </c>
    </row>
    <row r="4776" ht="15.75" spans="6:9">
      <c r="F4776" s="12" t="s">
        <v>8133</v>
      </c>
      <c r="G4776" s="12" t="s">
        <v>392</v>
      </c>
      <c r="H4776" s="15">
        <v>291000</v>
      </c>
      <c r="I4776" s="13">
        <v>36</v>
      </c>
    </row>
    <row r="4777" ht="15.75" spans="6:9">
      <c r="F4777" s="12" t="s">
        <v>8134</v>
      </c>
      <c r="G4777" s="12" t="s">
        <v>391</v>
      </c>
      <c r="H4777" s="15">
        <v>85949</v>
      </c>
      <c r="I4777" s="13">
        <v>36</v>
      </c>
    </row>
    <row r="4778" ht="15.75" spans="6:9">
      <c r="F4778" s="12" t="s">
        <v>8135</v>
      </c>
      <c r="G4778" s="12" t="s">
        <v>392</v>
      </c>
      <c r="H4778" s="15">
        <v>23500</v>
      </c>
      <c r="I4778" s="13">
        <v>36</v>
      </c>
    </row>
    <row r="4779" ht="15.75" spans="6:9">
      <c r="F4779" s="12" t="s">
        <v>4306</v>
      </c>
      <c r="G4779" s="12" t="s">
        <v>392</v>
      </c>
      <c r="H4779" s="15">
        <v>199200</v>
      </c>
      <c r="I4779" s="13">
        <v>36</v>
      </c>
    </row>
    <row r="4780" ht="15.75" spans="6:9">
      <c r="F4780" s="12" t="s">
        <v>8136</v>
      </c>
      <c r="G4780" s="12" t="s">
        <v>392</v>
      </c>
      <c r="H4780" s="15">
        <v>63900</v>
      </c>
      <c r="I4780" s="13">
        <v>36</v>
      </c>
    </row>
    <row r="4781" ht="15.75" spans="6:9">
      <c r="F4781" s="12" t="s">
        <v>5672</v>
      </c>
      <c r="G4781" s="12" t="s">
        <v>391</v>
      </c>
      <c r="H4781" s="15">
        <v>53803</v>
      </c>
      <c r="I4781" s="13">
        <v>36</v>
      </c>
    </row>
    <row r="4782" ht="15.75" spans="6:9">
      <c r="F4782" s="12" t="s">
        <v>8137</v>
      </c>
      <c r="G4782" s="12" t="s">
        <v>391</v>
      </c>
      <c r="H4782" s="15">
        <v>45647</v>
      </c>
      <c r="I4782" s="13">
        <v>36</v>
      </c>
    </row>
    <row r="4783" ht="15.75" spans="6:9">
      <c r="F4783" s="12" t="s">
        <v>3634</v>
      </c>
      <c r="G4783" s="12" t="s">
        <v>391</v>
      </c>
      <c r="H4783" s="15">
        <v>11068</v>
      </c>
      <c r="I4783" s="13">
        <v>36</v>
      </c>
    </row>
    <row r="4784" ht="15.75" spans="6:9">
      <c r="F4784" s="12" t="s">
        <v>3635</v>
      </c>
      <c r="G4784" s="12" t="s">
        <v>391</v>
      </c>
      <c r="H4784" s="15">
        <v>22862</v>
      </c>
      <c r="I4784" s="13">
        <v>36</v>
      </c>
    </row>
    <row r="4785" ht="15.75" spans="6:9">
      <c r="F4785" s="12" t="s">
        <v>8138</v>
      </c>
      <c r="G4785" s="12" t="s">
        <v>392</v>
      </c>
      <c r="H4785" s="15">
        <v>21000</v>
      </c>
      <c r="I4785" s="13">
        <v>36</v>
      </c>
    </row>
    <row r="4786" ht="15.75" spans="6:9">
      <c r="F4786" s="12" t="s">
        <v>4438</v>
      </c>
      <c r="G4786" s="12" t="s">
        <v>391</v>
      </c>
      <c r="H4786" s="15">
        <v>282886</v>
      </c>
      <c r="I4786" s="13">
        <v>36</v>
      </c>
    </row>
    <row r="4787" ht="15.75" spans="6:9">
      <c r="F4787" s="12" t="s">
        <v>3606</v>
      </c>
      <c r="G4787" s="12" t="s">
        <v>391</v>
      </c>
      <c r="H4787" s="15">
        <v>78853</v>
      </c>
      <c r="I4787" s="13">
        <v>36</v>
      </c>
    </row>
    <row r="4788" ht="15.75" spans="6:9">
      <c r="F4788" s="12" t="s">
        <v>8139</v>
      </c>
      <c r="G4788" s="12" t="s">
        <v>391</v>
      </c>
      <c r="H4788" s="15">
        <v>78421</v>
      </c>
      <c r="I4788" s="13">
        <v>36</v>
      </c>
    </row>
    <row r="4789" ht="15.75" spans="6:9">
      <c r="F4789" s="12" t="s">
        <v>8140</v>
      </c>
      <c r="G4789" s="12" t="s">
        <v>391</v>
      </c>
      <c r="H4789" s="15">
        <v>72016</v>
      </c>
      <c r="I4789" s="13">
        <v>36</v>
      </c>
    </row>
    <row r="4790" ht="15.75" spans="6:9">
      <c r="F4790" s="12" t="s">
        <v>8141</v>
      </c>
      <c r="G4790" s="12" t="s">
        <v>391</v>
      </c>
      <c r="H4790" s="15">
        <v>96588</v>
      </c>
      <c r="I4790" s="13">
        <v>36</v>
      </c>
    </row>
    <row r="4791" ht="15.75" spans="6:9">
      <c r="F4791" s="12" t="s">
        <v>8142</v>
      </c>
      <c r="G4791" s="12" t="s">
        <v>392</v>
      </c>
      <c r="H4791" s="15">
        <v>12700</v>
      </c>
      <c r="I4791" s="13">
        <v>36</v>
      </c>
    </row>
    <row r="4792" ht="15.75" spans="6:9">
      <c r="F4792" s="12" t="s">
        <v>3609</v>
      </c>
      <c r="G4792" s="12" t="s">
        <v>391</v>
      </c>
      <c r="H4792" s="15">
        <v>47304</v>
      </c>
      <c r="I4792" s="13">
        <v>36</v>
      </c>
    </row>
    <row r="4793" ht="15.75" spans="6:9">
      <c r="F4793" s="12" t="s">
        <v>8143</v>
      </c>
      <c r="G4793" s="12" t="s">
        <v>391</v>
      </c>
      <c r="H4793" s="15">
        <v>34593</v>
      </c>
      <c r="I4793" s="13">
        <v>36</v>
      </c>
    </row>
    <row r="4794" ht="15.75" spans="6:9">
      <c r="F4794" s="12" t="s">
        <v>8144</v>
      </c>
      <c r="G4794" s="12" t="s">
        <v>392</v>
      </c>
      <c r="H4794" s="15">
        <v>450400</v>
      </c>
      <c r="I4794" s="13">
        <v>36</v>
      </c>
    </row>
    <row r="4795" ht="15.75" spans="6:9">
      <c r="F4795" s="12" t="s">
        <v>5674</v>
      </c>
      <c r="G4795" s="12" t="s">
        <v>391</v>
      </c>
      <c r="H4795" s="15">
        <v>98899</v>
      </c>
      <c r="I4795" s="13">
        <v>36</v>
      </c>
    </row>
    <row r="4796" ht="15.75" spans="6:9">
      <c r="F4796" s="12" t="s">
        <v>3613</v>
      </c>
      <c r="G4796" s="12" t="s">
        <v>391</v>
      </c>
      <c r="H4796" s="15">
        <v>39942</v>
      </c>
      <c r="I4796" s="13">
        <v>36</v>
      </c>
    </row>
    <row r="4797" ht="15.75" spans="6:9">
      <c r="F4797" s="12" t="s">
        <v>3616</v>
      </c>
      <c r="G4797" s="12" t="s">
        <v>391</v>
      </c>
      <c r="H4797" s="15">
        <v>162215</v>
      </c>
      <c r="I4797" s="13">
        <v>36</v>
      </c>
    </row>
    <row r="4798" ht="15.75" spans="6:9">
      <c r="F4798" s="12" t="s">
        <v>3640</v>
      </c>
      <c r="G4798" s="12" t="s">
        <v>391</v>
      </c>
      <c r="H4798" s="15">
        <v>11948</v>
      </c>
      <c r="I4798" s="13">
        <v>36</v>
      </c>
    </row>
    <row r="4799" ht="15.75" spans="6:9">
      <c r="F4799" s="12" t="s">
        <v>5680</v>
      </c>
      <c r="G4799" s="12" t="s">
        <v>391</v>
      </c>
      <c r="H4799" s="15">
        <v>75227</v>
      </c>
      <c r="I4799" s="13">
        <v>36</v>
      </c>
    </row>
    <row r="4800" ht="15.75" spans="6:9">
      <c r="F4800" s="12" t="s">
        <v>8145</v>
      </c>
      <c r="G4800" s="12" t="s">
        <v>392</v>
      </c>
      <c r="H4800" s="15">
        <v>174100</v>
      </c>
      <c r="I4800" s="13">
        <v>36</v>
      </c>
    </row>
    <row r="4801" ht="15.75" spans="6:9">
      <c r="F4801" s="12" t="s">
        <v>8146</v>
      </c>
      <c r="G4801" s="12" t="s">
        <v>392</v>
      </c>
      <c r="H4801" s="15">
        <v>28400</v>
      </c>
      <c r="I4801" s="13">
        <v>36</v>
      </c>
    </row>
    <row r="4802" ht="15.75" spans="6:9">
      <c r="F4802" s="12" t="s">
        <v>5682</v>
      </c>
      <c r="G4802" s="12" t="s">
        <v>391</v>
      </c>
      <c r="H4802" s="15">
        <v>52304</v>
      </c>
      <c r="I4802" s="13">
        <v>36</v>
      </c>
    </row>
    <row r="4803" ht="15.75" spans="6:9">
      <c r="F4803" s="12" t="s">
        <v>4546</v>
      </c>
      <c r="G4803" s="12" t="s">
        <v>391</v>
      </c>
      <c r="H4803" s="15">
        <v>21800065</v>
      </c>
      <c r="I4803" s="13">
        <v>36</v>
      </c>
    </row>
    <row r="4804" ht="15.75" spans="6:9">
      <c r="F4804" s="12" t="s">
        <v>8147</v>
      </c>
      <c r="G4804" s="12" t="s">
        <v>392</v>
      </c>
      <c r="H4804" s="15">
        <v>27800</v>
      </c>
      <c r="I4804" s="13">
        <v>36</v>
      </c>
    </row>
    <row r="4805" ht="15.75" spans="6:9">
      <c r="F4805" s="12" t="s">
        <v>3646</v>
      </c>
      <c r="G4805" s="12" t="s">
        <v>391</v>
      </c>
      <c r="H4805" s="15">
        <v>269064</v>
      </c>
      <c r="I4805" s="13">
        <v>36</v>
      </c>
    </row>
    <row r="4806" ht="15.75" spans="6:9">
      <c r="F4806" s="12" t="s">
        <v>5684</v>
      </c>
      <c r="G4806" s="12" t="s">
        <v>391</v>
      </c>
      <c r="H4806" s="15">
        <v>47782</v>
      </c>
      <c r="I4806" s="13">
        <v>36</v>
      </c>
    </row>
    <row r="4807" ht="15.75" spans="6:9">
      <c r="F4807" s="12" t="s">
        <v>5686</v>
      </c>
      <c r="G4807" s="12" t="s">
        <v>391</v>
      </c>
      <c r="H4807" s="15">
        <v>27901</v>
      </c>
      <c r="I4807" s="13">
        <v>36</v>
      </c>
    </row>
    <row r="4808" ht="15.75" spans="6:9">
      <c r="F4808" s="12" t="s">
        <v>8148</v>
      </c>
      <c r="G4808" s="12" t="s">
        <v>392</v>
      </c>
      <c r="H4808" s="15">
        <v>52200</v>
      </c>
      <c r="I4808" s="13">
        <v>36</v>
      </c>
    </row>
    <row r="4809" ht="15.75" spans="6:9">
      <c r="F4809" s="12" t="s">
        <v>8149</v>
      </c>
      <c r="G4809" s="12" t="s">
        <v>391</v>
      </c>
      <c r="H4809" s="15">
        <v>49170</v>
      </c>
      <c r="I4809" s="13">
        <v>36</v>
      </c>
    </row>
    <row r="4810" ht="15.75" spans="6:9">
      <c r="F4810" s="12" t="s">
        <v>3650</v>
      </c>
      <c r="G4810" s="12" t="s">
        <v>391</v>
      </c>
      <c r="H4810" s="15">
        <v>23624</v>
      </c>
      <c r="I4810" s="13">
        <v>36</v>
      </c>
    </row>
    <row r="4811" ht="15.75" spans="6:9">
      <c r="F4811" s="12" t="s">
        <v>5690</v>
      </c>
      <c r="G4811" s="12" t="s">
        <v>391</v>
      </c>
      <c r="H4811" s="15">
        <v>36998</v>
      </c>
      <c r="I4811" s="13">
        <v>36</v>
      </c>
    </row>
    <row r="4812" ht="15.75" spans="6:9">
      <c r="F4812" s="12" t="s">
        <v>5692</v>
      </c>
      <c r="G4812" s="12" t="s">
        <v>391</v>
      </c>
      <c r="H4812" s="15">
        <v>51636</v>
      </c>
      <c r="I4812" s="13">
        <v>36</v>
      </c>
    </row>
    <row r="4813" ht="15.75" spans="6:9">
      <c r="F4813" s="12" t="s">
        <v>3627</v>
      </c>
      <c r="G4813" s="12" t="s">
        <v>391</v>
      </c>
      <c r="H4813" s="15">
        <v>158500</v>
      </c>
      <c r="I4813" s="13">
        <v>36</v>
      </c>
    </row>
    <row r="4814" ht="15.75" spans="6:9">
      <c r="F4814" s="12" t="s">
        <v>4452</v>
      </c>
      <c r="G4814" s="12" t="s">
        <v>391</v>
      </c>
      <c r="H4814" s="15">
        <v>106535</v>
      </c>
      <c r="I4814" s="13">
        <v>36</v>
      </c>
    </row>
    <row r="4815" ht="15.75" spans="6:9">
      <c r="F4815" s="12" t="s">
        <v>8150</v>
      </c>
      <c r="G4815" s="12" t="s">
        <v>392</v>
      </c>
      <c r="H4815" s="15">
        <v>13200</v>
      </c>
      <c r="I4815" s="13">
        <v>36</v>
      </c>
    </row>
    <row r="4816" ht="15.75" spans="6:9">
      <c r="F4816" s="12" t="s">
        <v>3655</v>
      </c>
      <c r="G4816" s="12" t="s">
        <v>391</v>
      </c>
      <c r="H4816" s="15">
        <v>12694</v>
      </c>
      <c r="I4816" s="13">
        <v>36</v>
      </c>
    </row>
    <row r="4817" ht="15.75" spans="6:9">
      <c r="F4817" s="12" t="s">
        <v>5694</v>
      </c>
      <c r="G4817" s="12" t="s">
        <v>391</v>
      </c>
      <c r="H4817" s="15">
        <v>89267</v>
      </c>
      <c r="I4817" s="13">
        <v>36</v>
      </c>
    </row>
    <row r="4818" ht="15.75" spans="6:9">
      <c r="F4818" s="12" t="s">
        <v>8151</v>
      </c>
      <c r="G4818" s="12" t="s">
        <v>392</v>
      </c>
      <c r="H4818" s="15">
        <v>18600</v>
      </c>
      <c r="I4818" s="13">
        <v>36</v>
      </c>
    </row>
    <row r="4819" ht="15.75" spans="6:9">
      <c r="F4819" s="12" t="s">
        <v>5696</v>
      </c>
      <c r="G4819" s="12" t="s">
        <v>391</v>
      </c>
      <c r="H4819" s="15">
        <v>83488</v>
      </c>
      <c r="I4819" s="13">
        <v>36</v>
      </c>
    </row>
    <row r="4820" ht="15.75" spans="6:9">
      <c r="F4820" s="12" t="s">
        <v>5755</v>
      </c>
      <c r="G4820" s="12" t="s">
        <v>391</v>
      </c>
      <c r="H4820" s="15">
        <v>69656</v>
      </c>
      <c r="I4820" s="13">
        <v>36</v>
      </c>
    </row>
    <row r="4821" ht="15.75" spans="6:9">
      <c r="F4821" s="12" t="s">
        <v>5698</v>
      </c>
      <c r="G4821" s="12" t="s">
        <v>391</v>
      </c>
      <c r="H4821" s="15">
        <v>35806</v>
      </c>
      <c r="I4821" s="13">
        <v>35</v>
      </c>
    </row>
    <row r="4822" ht="15.75" spans="6:9">
      <c r="F4822" s="12" t="s">
        <v>8152</v>
      </c>
      <c r="G4822" s="12" t="s">
        <v>392</v>
      </c>
      <c r="H4822" s="15">
        <v>11200</v>
      </c>
      <c r="I4822" s="13">
        <v>35</v>
      </c>
    </row>
    <row r="4823" ht="15.75" spans="6:9">
      <c r="F4823" s="12" t="s">
        <v>4345</v>
      </c>
      <c r="G4823" s="12" t="s">
        <v>392</v>
      </c>
      <c r="H4823" s="15">
        <v>174200</v>
      </c>
      <c r="I4823" s="13">
        <v>35</v>
      </c>
    </row>
    <row r="4824" ht="15.75" spans="6:9">
      <c r="F4824" s="12" t="s">
        <v>4462</v>
      </c>
      <c r="G4824" s="12" t="s">
        <v>391</v>
      </c>
      <c r="H4824" s="15">
        <v>129124</v>
      </c>
      <c r="I4824" s="13">
        <v>35</v>
      </c>
    </row>
    <row r="4825" ht="15.75" spans="6:9">
      <c r="F4825" s="12" t="s">
        <v>8153</v>
      </c>
      <c r="G4825" s="12" t="s">
        <v>392</v>
      </c>
      <c r="H4825" s="15">
        <v>33600</v>
      </c>
      <c r="I4825" s="13">
        <v>35</v>
      </c>
    </row>
    <row r="4826" ht="15.75" spans="6:9">
      <c r="F4826" s="12" t="s">
        <v>8154</v>
      </c>
      <c r="G4826" s="12" t="s">
        <v>391</v>
      </c>
      <c r="H4826" s="15">
        <v>71498</v>
      </c>
      <c r="I4826" s="13">
        <v>35</v>
      </c>
    </row>
    <row r="4827" ht="15.75" spans="6:9">
      <c r="F4827" s="12" t="s">
        <v>4466</v>
      </c>
      <c r="G4827" s="12" t="s">
        <v>391</v>
      </c>
      <c r="H4827" s="15">
        <v>114412</v>
      </c>
      <c r="I4827" s="13">
        <v>35</v>
      </c>
    </row>
    <row r="4828" ht="15.75" spans="6:9">
      <c r="F4828" s="12" t="s">
        <v>4573</v>
      </c>
      <c r="G4828" s="12" t="s">
        <v>392</v>
      </c>
      <c r="H4828" s="15">
        <v>558800</v>
      </c>
      <c r="I4828" s="13">
        <v>35</v>
      </c>
    </row>
    <row r="4829" ht="15.75" spans="6:9">
      <c r="F4829" s="12" t="s">
        <v>8155</v>
      </c>
      <c r="G4829" s="12" t="s">
        <v>391</v>
      </c>
      <c r="H4829" s="15">
        <v>67240</v>
      </c>
      <c r="I4829" s="13">
        <v>35</v>
      </c>
    </row>
    <row r="4830" ht="15.75" spans="6:9">
      <c r="F4830" s="12" t="s">
        <v>8156</v>
      </c>
      <c r="G4830" s="12" t="s">
        <v>392</v>
      </c>
      <c r="H4830" s="15">
        <v>36600</v>
      </c>
      <c r="I4830" s="13">
        <v>35</v>
      </c>
    </row>
    <row r="4831" ht="15.75" spans="6:9">
      <c r="F4831" s="12" t="s">
        <v>5702</v>
      </c>
      <c r="G4831" s="12" t="s">
        <v>391</v>
      </c>
      <c r="H4831" s="15">
        <v>59672</v>
      </c>
      <c r="I4831" s="13">
        <v>35</v>
      </c>
    </row>
    <row r="4832" ht="15.75" spans="6:9">
      <c r="F4832" s="12" t="s">
        <v>5704</v>
      </c>
      <c r="G4832" s="12" t="s">
        <v>391</v>
      </c>
      <c r="H4832" s="15">
        <v>40290</v>
      </c>
      <c r="I4832" s="13">
        <v>35</v>
      </c>
    </row>
    <row r="4833" ht="15.75" spans="6:9">
      <c r="F4833" s="12" t="s">
        <v>8157</v>
      </c>
      <c r="G4833" s="12" t="s">
        <v>391</v>
      </c>
      <c r="H4833" s="15">
        <v>91571</v>
      </c>
      <c r="I4833" s="13">
        <v>35</v>
      </c>
    </row>
    <row r="4834" ht="15.75" spans="6:9">
      <c r="F4834" s="12" t="s">
        <v>3666</v>
      </c>
      <c r="G4834" s="12" t="s">
        <v>391</v>
      </c>
      <c r="H4834" s="15">
        <v>16157</v>
      </c>
      <c r="I4834" s="13">
        <v>35</v>
      </c>
    </row>
    <row r="4835" ht="15.75" spans="6:9">
      <c r="F4835" s="12" t="s">
        <v>4709</v>
      </c>
      <c r="G4835" s="12" t="s">
        <v>391</v>
      </c>
      <c r="H4835" s="15">
        <v>921004</v>
      </c>
      <c r="I4835" s="13">
        <v>35</v>
      </c>
    </row>
    <row r="4836" ht="15.75" spans="6:9">
      <c r="F4836" s="12" t="s">
        <v>4808</v>
      </c>
      <c r="G4836" s="12" t="s">
        <v>391</v>
      </c>
      <c r="H4836" s="15">
        <v>200688</v>
      </c>
      <c r="I4836" s="13">
        <v>35</v>
      </c>
    </row>
    <row r="4837" ht="15.75" spans="6:9">
      <c r="F4837" s="12" t="s">
        <v>8158</v>
      </c>
      <c r="G4837" s="12" t="s">
        <v>392</v>
      </c>
      <c r="H4837" s="15">
        <v>69000</v>
      </c>
      <c r="I4837" s="13">
        <v>35</v>
      </c>
    </row>
    <row r="4838" ht="15.75" spans="6:9">
      <c r="F4838" s="12" t="s">
        <v>5707</v>
      </c>
      <c r="G4838" s="12" t="s">
        <v>391</v>
      </c>
      <c r="H4838" s="15">
        <v>43865</v>
      </c>
      <c r="I4838" s="13">
        <v>35</v>
      </c>
    </row>
    <row r="4839" ht="15.75" spans="6:9">
      <c r="F4839" s="12" t="s">
        <v>5708</v>
      </c>
      <c r="G4839" s="12" t="s">
        <v>391</v>
      </c>
      <c r="H4839" s="15">
        <v>44798</v>
      </c>
      <c r="I4839" s="13">
        <v>35</v>
      </c>
    </row>
    <row r="4840" ht="15.75" spans="6:9">
      <c r="F4840" s="12" t="s">
        <v>5710</v>
      </c>
      <c r="G4840" s="12" t="s">
        <v>391</v>
      </c>
      <c r="H4840" s="15">
        <v>49207</v>
      </c>
      <c r="I4840" s="13">
        <v>35</v>
      </c>
    </row>
    <row r="4841" ht="15.75" spans="6:9">
      <c r="F4841" s="12" t="s">
        <v>4481</v>
      </c>
      <c r="G4841" s="12" t="s">
        <v>391</v>
      </c>
      <c r="H4841" s="15">
        <v>154596</v>
      </c>
      <c r="I4841" s="13">
        <v>35</v>
      </c>
    </row>
    <row r="4842" ht="15.75" spans="6:9">
      <c r="F4842" s="12" t="s">
        <v>8159</v>
      </c>
      <c r="G4842" s="12" t="s">
        <v>392</v>
      </c>
      <c r="H4842" s="15">
        <v>26100</v>
      </c>
      <c r="I4842" s="13">
        <v>35</v>
      </c>
    </row>
    <row r="4843" ht="15.75" spans="6:9">
      <c r="F4843" s="12" t="s">
        <v>4827</v>
      </c>
      <c r="G4843" s="12" t="s">
        <v>391</v>
      </c>
      <c r="H4843" s="15">
        <v>9199821</v>
      </c>
      <c r="I4843" s="13">
        <v>35</v>
      </c>
    </row>
    <row r="4844" ht="15.75" spans="6:9">
      <c r="F4844" s="12" t="s">
        <v>8160</v>
      </c>
      <c r="G4844" s="12" t="s">
        <v>391</v>
      </c>
      <c r="H4844" s="15">
        <v>89246</v>
      </c>
      <c r="I4844" s="13">
        <v>35</v>
      </c>
    </row>
    <row r="4845" ht="15.75" spans="6:9">
      <c r="F4845" s="12" t="s">
        <v>8161</v>
      </c>
      <c r="G4845" s="12" t="s">
        <v>392</v>
      </c>
      <c r="H4845" s="15">
        <v>10700</v>
      </c>
      <c r="I4845" s="13">
        <v>35</v>
      </c>
    </row>
    <row r="4846" ht="15.75" spans="6:9">
      <c r="F4846" s="12" t="s">
        <v>3675</v>
      </c>
      <c r="G4846" s="12" t="s">
        <v>391</v>
      </c>
      <c r="H4846" s="15">
        <v>24054</v>
      </c>
      <c r="I4846" s="13">
        <v>35</v>
      </c>
    </row>
    <row r="4847" ht="15.75" spans="6:9">
      <c r="F4847" s="12" t="s">
        <v>8162</v>
      </c>
      <c r="G4847" s="12" t="s">
        <v>391</v>
      </c>
      <c r="H4847" s="15">
        <v>62629</v>
      </c>
      <c r="I4847" s="13">
        <v>35</v>
      </c>
    </row>
    <row r="4848" ht="15.75" spans="6:9">
      <c r="F4848" s="12" t="s">
        <v>4487</v>
      </c>
      <c r="G4848" s="12" t="s">
        <v>391</v>
      </c>
      <c r="H4848" s="15">
        <v>101319</v>
      </c>
      <c r="I4848" s="13">
        <v>35</v>
      </c>
    </row>
    <row r="4849" ht="15.75" spans="6:9">
      <c r="F4849" s="12" t="s">
        <v>4490</v>
      </c>
      <c r="G4849" s="12" t="s">
        <v>391</v>
      </c>
      <c r="H4849" s="15">
        <v>194674</v>
      </c>
      <c r="I4849" s="13">
        <v>35</v>
      </c>
    </row>
    <row r="4850" ht="15.75" spans="6:9">
      <c r="F4850" s="12" t="s">
        <v>2469</v>
      </c>
      <c r="G4850" s="12" t="s">
        <v>391</v>
      </c>
      <c r="H4850" s="15">
        <v>12292815</v>
      </c>
      <c r="I4850" s="13">
        <v>35</v>
      </c>
    </row>
    <row r="4851" ht="15.75" spans="6:9">
      <c r="F4851" s="12" t="s">
        <v>8163</v>
      </c>
      <c r="G4851" s="12" t="s">
        <v>392</v>
      </c>
      <c r="H4851" s="15">
        <v>34800</v>
      </c>
      <c r="I4851" s="13">
        <v>35</v>
      </c>
    </row>
    <row r="4852" ht="15.75" spans="6:9">
      <c r="F4852" s="12" t="s">
        <v>8164</v>
      </c>
      <c r="G4852" s="12" t="s">
        <v>391</v>
      </c>
      <c r="H4852" s="15">
        <v>51763</v>
      </c>
      <c r="I4852" s="13">
        <v>35</v>
      </c>
    </row>
    <row r="4853" ht="15.75" spans="6:9">
      <c r="F4853" s="12" t="s">
        <v>8165</v>
      </c>
      <c r="G4853" s="12" t="s">
        <v>392</v>
      </c>
      <c r="H4853" s="15">
        <v>38400</v>
      </c>
      <c r="I4853" s="13">
        <v>35</v>
      </c>
    </row>
    <row r="4854" ht="15.75" spans="6:9">
      <c r="F4854" s="12" t="s">
        <v>3677</v>
      </c>
      <c r="G4854" s="12" t="s">
        <v>391</v>
      </c>
      <c r="H4854" s="15">
        <v>22518</v>
      </c>
      <c r="I4854" s="13">
        <v>35</v>
      </c>
    </row>
    <row r="4855" ht="15.75" spans="6:9">
      <c r="F4855" s="12" t="s">
        <v>8166</v>
      </c>
      <c r="G4855" s="12" t="s">
        <v>392</v>
      </c>
      <c r="H4855" s="15">
        <v>12100</v>
      </c>
      <c r="I4855" s="13">
        <v>35</v>
      </c>
    </row>
    <row r="4856" ht="15.75" spans="6:9">
      <c r="F4856" s="12" t="s">
        <v>5711</v>
      </c>
      <c r="G4856" s="12" t="s">
        <v>391</v>
      </c>
      <c r="H4856" s="15">
        <v>52303</v>
      </c>
      <c r="I4856" s="13">
        <v>35</v>
      </c>
    </row>
    <row r="4857" ht="15.75" spans="6:9">
      <c r="F4857" s="12" t="s">
        <v>5713</v>
      </c>
      <c r="G4857" s="12" t="s">
        <v>391</v>
      </c>
      <c r="H4857" s="15">
        <v>37588</v>
      </c>
      <c r="I4857" s="13">
        <v>35</v>
      </c>
    </row>
    <row r="4858" ht="15.75" spans="6:9">
      <c r="F4858" s="12" t="s">
        <v>8167</v>
      </c>
      <c r="G4858" s="12" t="s">
        <v>392</v>
      </c>
      <c r="H4858" s="15">
        <v>15600</v>
      </c>
      <c r="I4858" s="13">
        <v>35</v>
      </c>
    </row>
    <row r="4859" ht="15.75" spans="6:9">
      <c r="F4859" s="12" t="s">
        <v>3637</v>
      </c>
      <c r="G4859" s="12" t="s">
        <v>391</v>
      </c>
      <c r="H4859" s="15">
        <v>82105</v>
      </c>
      <c r="I4859" s="13">
        <v>35</v>
      </c>
    </row>
    <row r="4860" ht="15.75" spans="6:9">
      <c r="F4860" s="12" t="s">
        <v>4595</v>
      </c>
      <c r="G4860" s="12" t="s">
        <v>392</v>
      </c>
      <c r="H4860" s="15">
        <v>253400</v>
      </c>
      <c r="I4860" s="13">
        <v>35</v>
      </c>
    </row>
    <row r="4861" ht="15.75" spans="6:9">
      <c r="F4861" s="12" t="s">
        <v>4492</v>
      </c>
      <c r="G4861" s="12" t="s">
        <v>391</v>
      </c>
      <c r="H4861" s="15">
        <v>104405</v>
      </c>
      <c r="I4861" s="13">
        <v>35</v>
      </c>
    </row>
    <row r="4862" ht="15.75" spans="6:9">
      <c r="F4862" s="12" t="s">
        <v>4813</v>
      </c>
      <c r="G4862" s="12" t="s">
        <v>391</v>
      </c>
      <c r="H4862" s="15">
        <v>291117</v>
      </c>
      <c r="I4862" s="13">
        <v>35</v>
      </c>
    </row>
    <row r="4863" ht="15.75" spans="6:9">
      <c r="F4863" s="12" t="s">
        <v>5717</v>
      </c>
      <c r="G4863" s="12" t="s">
        <v>391</v>
      </c>
      <c r="H4863" s="15">
        <v>68536</v>
      </c>
      <c r="I4863" s="13">
        <v>35</v>
      </c>
    </row>
    <row r="4864" ht="15.75" spans="6:9">
      <c r="F4864" s="12" t="s">
        <v>4818</v>
      </c>
      <c r="G4864" s="12" t="s">
        <v>391</v>
      </c>
      <c r="H4864" s="15">
        <v>120903</v>
      </c>
      <c r="I4864" s="13">
        <v>35</v>
      </c>
    </row>
    <row r="4865" ht="15.75" spans="6:9">
      <c r="F4865" s="12" t="s">
        <v>5722</v>
      </c>
      <c r="G4865" s="12" t="s">
        <v>391</v>
      </c>
      <c r="H4865" s="15">
        <v>69666</v>
      </c>
      <c r="I4865" s="13">
        <v>35</v>
      </c>
    </row>
    <row r="4866" ht="15.75" spans="6:9">
      <c r="F4866" s="12" t="s">
        <v>4759</v>
      </c>
      <c r="G4866" s="12" t="s">
        <v>391</v>
      </c>
      <c r="H4866" s="15">
        <v>93474</v>
      </c>
      <c r="I4866" s="13">
        <v>35</v>
      </c>
    </row>
    <row r="4867" ht="15.75" spans="6:9">
      <c r="F4867" s="12" t="s">
        <v>8168</v>
      </c>
      <c r="G4867" s="12" t="s">
        <v>392</v>
      </c>
      <c r="H4867" s="15">
        <v>20500</v>
      </c>
      <c r="I4867" s="13">
        <v>35</v>
      </c>
    </row>
    <row r="4868" ht="15.75" spans="6:9">
      <c r="F4868" s="12" t="s">
        <v>5725</v>
      </c>
      <c r="G4868" s="12" t="s">
        <v>391</v>
      </c>
      <c r="H4868" s="15">
        <v>34503</v>
      </c>
      <c r="I4868" s="13">
        <v>35</v>
      </c>
    </row>
    <row r="4869" ht="15.75" spans="6:9">
      <c r="F4869" s="12" t="s">
        <v>8169</v>
      </c>
      <c r="G4869" s="12" t="s">
        <v>392</v>
      </c>
      <c r="H4869" s="15">
        <v>10100</v>
      </c>
      <c r="I4869" s="13">
        <v>35</v>
      </c>
    </row>
    <row r="4870" ht="15.75" spans="6:9">
      <c r="F4870" s="12" t="s">
        <v>8170</v>
      </c>
      <c r="G4870" s="12" t="s">
        <v>392</v>
      </c>
      <c r="H4870" s="15">
        <v>30600</v>
      </c>
      <c r="I4870" s="13">
        <v>35</v>
      </c>
    </row>
    <row r="4871" ht="15.75" spans="6:9">
      <c r="F4871" s="12" t="s">
        <v>3645</v>
      </c>
      <c r="G4871" s="12" t="s">
        <v>391</v>
      </c>
      <c r="H4871" s="15">
        <v>420042</v>
      </c>
      <c r="I4871" s="13">
        <v>35</v>
      </c>
    </row>
    <row r="4872" ht="15.75" spans="6:9">
      <c r="F4872" s="12" t="s">
        <v>4839</v>
      </c>
      <c r="G4872" s="12" t="s">
        <v>391</v>
      </c>
      <c r="H4872" s="15">
        <v>126871</v>
      </c>
      <c r="I4872" s="13">
        <v>35</v>
      </c>
    </row>
    <row r="4873" ht="15.75" spans="6:9">
      <c r="F4873" s="12" t="s">
        <v>8171</v>
      </c>
      <c r="G4873" s="12" t="s">
        <v>392</v>
      </c>
      <c r="H4873" s="15">
        <v>24600</v>
      </c>
      <c r="I4873" s="13">
        <v>35</v>
      </c>
    </row>
    <row r="4874" ht="15.75" spans="6:9">
      <c r="F4874" s="12" t="s">
        <v>8172</v>
      </c>
      <c r="G4874" s="12" t="s">
        <v>391</v>
      </c>
      <c r="H4874" s="15">
        <v>81419</v>
      </c>
      <c r="I4874" s="13">
        <v>35</v>
      </c>
    </row>
    <row r="4875" ht="15.75" spans="6:9">
      <c r="F4875" s="12" t="s">
        <v>5727</v>
      </c>
      <c r="G4875" s="12" t="s">
        <v>391</v>
      </c>
      <c r="H4875" s="15">
        <v>64217</v>
      </c>
      <c r="I4875" s="13">
        <v>35</v>
      </c>
    </row>
    <row r="4876" ht="15.75" spans="6:9">
      <c r="F4876" s="12" t="s">
        <v>8173</v>
      </c>
      <c r="G4876" s="12" t="s">
        <v>392</v>
      </c>
      <c r="H4876" s="15">
        <v>11500</v>
      </c>
      <c r="I4876" s="13">
        <v>35</v>
      </c>
    </row>
    <row r="4877" ht="15.75" spans="6:9">
      <c r="F4877" s="12" t="s">
        <v>8174</v>
      </c>
      <c r="G4877" s="12" t="s">
        <v>392</v>
      </c>
      <c r="H4877" s="15">
        <v>18100</v>
      </c>
      <c r="I4877" s="13">
        <v>35</v>
      </c>
    </row>
    <row r="4878" ht="15.75" spans="6:9">
      <c r="F4878" s="12" t="s">
        <v>4619</v>
      </c>
      <c r="G4878" s="12" t="s">
        <v>392</v>
      </c>
      <c r="H4878" s="15">
        <v>103700</v>
      </c>
      <c r="I4878" s="13">
        <v>35</v>
      </c>
    </row>
    <row r="4879" ht="15.75" spans="6:9">
      <c r="F4879" s="12" t="s">
        <v>8175</v>
      </c>
      <c r="G4879" s="12" t="s">
        <v>391</v>
      </c>
      <c r="H4879" s="15">
        <v>49134</v>
      </c>
      <c r="I4879" s="13">
        <v>35</v>
      </c>
    </row>
    <row r="4880" ht="15.75" spans="6:9">
      <c r="F4880" s="12" t="s">
        <v>5731</v>
      </c>
      <c r="G4880" s="12" t="s">
        <v>391</v>
      </c>
      <c r="H4880" s="15">
        <v>52465</v>
      </c>
      <c r="I4880" s="13">
        <v>35</v>
      </c>
    </row>
    <row r="4881" ht="15.75" spans="6:9">
      <c r="F4881" s="12" t="s">
        <v>8176</v>
      </c>
      <c r="G4881" s="12" t="s">
        <v>392</v>
      </c>
      <c r="H4881" s="15">
        <v>56700</v>
      </c>
      <c r="I4881" s="13">
        <v>35</v>
      </c>
    </row>
    <row r="4882" ht="15.75" spans="6:9">
      <c r="F4882" s="12" t="s">
        <v>8177</v>
      </c>
      <c r="G4882" s="12" t="s">
        <v>391</v>
      </c>
      <c r="H4882" s="15">
        <v>47379</v>
      </c>
      <c r="I4882" s="13">
        <v>34</v>
      </c>
    </row>
    <row r="4883" ht="15.75" spans="6:9">
      <c r="F4883" s="12" t="s">
        <v>4680</v>
      </c>
      <c r="G4883" s="12" t="s">
        <v>392</v>
      </c>
      <c r="H4883" s="15">
        <v>613500</v>
      </c>
      <c r="I4883" s="13">
        <v>34</v>
      </c>
    </row>
    <row r="4884" ht="15.75" spans="6:9">
      <c r="F4884" s="12" t="s">
        <v>8178</v>
      </c>
      <c r="G4884" s="12" t="s">
        <v>392</v>
      </c>
      <c r="H4884" s="15">
        <v>33100</v>
      </c>
      <c r="I4884" s="13">
        <v>34</v>
      </c>
    </row>
    <row r="4885" ht="15.75" spans="6:9">
      <c r="F4885" s="12" t="s">
        <v>8179</v>
      </c>
      <c r="G4885" s="12" t="s">
        <v>391</v>
      </c>
      <c r="H4885" s="15">
        <v>50898</v>
      </c>
      <c r="I4885" s="13">
        <v>34</v>
      </c>
    </row>
    <row r="4886" ht="15.75" spans="6:9">
      <c r="F4886" s="12" t="s">
        <v>4519</v>
      </c>
      <c r="G4886" s="12" t="s">
        <v>391</v>
      </c>
      <c r="H4886" s="15">
        <v>317931</v>
      </c>
      <c r="I4886" s="13">
        <v>34</v>
      </c>
    </row>
    <row r="4887" ht="15.75" spans="6:9">
      <c r="F4887" s="12" t="s">
        <v>8180</v>
      </c>
      <c r="G4887" s="12" t="s">
        <v>392</v>
      </c>
      <c r="H4887" s="15">
        <v>27500</v>
      </c>
      <c r="I4887" s="13">
        <v>34</v>
      </c>
    </row>
    <row r="4888" ht="15.75" spans="6:9">
      <c r="F4888" s="12" t="s">
        <v>4521</v>
      </c>
      <c r="G4888" s="12" t="s">
        <v>391</v>
      </c>
      <c r="H4888" s="15">
        <v>116789</v>
      </c>
      <c r="I4888" s="13">
        <v>34</v>
      </c>
    </row>
    <row r="4889" ht="15.75" spans="6:9">
      <c r="F4889" s="12" t="s">
        <v>3662</v>
      </c>
      <c r="G4889" s="12" t="s">
        <v>391</v>
      </c>
      <c r="H4889" s="15">
        <v>23551</v>
      </c>
      <c r="I4889" s="13">
        <v>34</v>
      </c>
    </row>
    <row r="4890" ht="15.75" spans="6:9">
      <c r="F4890" s="12" t="s">
        <v>5736</v>
      </c>
      <c r="G4890" s="12" t="s">
        <v>391</v>
      </c>
      <c r="H4890" s="15">
        <v>46743</v>
      </c>
      <c r="I4890" s="13">
        <v>34</v>
      </c>
    </row>
    <row r="4891" ht="15.75" spans="6:9">
      <c r="F4891" s="12" t="s">
        <v>8181</v>
      </c>
      <c r="G4891" s="12" t="s">
        <v>392</v>
      </c>
      <c r="H4891" s="15">
        <v>88300</v>
      </c>
      <c r="I4891" s="13">
        <v>34</v>
      </c>
    </row>
    <row r="4892" ht="15.75" spans="6:9">
      <c r="F4892" s="12" t="s">
        <v>4530</v>
      </c>
      <c r="G4892" s="12" t="s">
        <v>391</v>
      </c>
      <c r="H4892" s="15">
        <v>194054</v>
      </c>
      <c r="I4892" s="13">
        <v>34</v>
      </c>
    </row>
    <row r="4893" ht="15.75" spans="6:9">
      <c r="F4893" s="12" t="s">
        <v>4845</v>
      </c>
      <c r="G4893" s="12" t="s">
        <v>391</v>
      </c>
      <c r="H4893" s="15">
        <v>108222</v>
      </c>
      <c r="I4893" s="13">
        <v>34</v>
      </c>
    </row>
    <row r="4894" ht="15.75" spans="6:9">
      <c r="F4894" s="12" t="s">
        <v>8182</v>
      </c>
      <c r="G4894" s="12" t="s">
        <v>392</v>
      </c>
      <c r="H4894" s="15">
        <v>16100</v>
      </c>
      <c r="I4894" s="13">
        <v>34</v>
      </c>
    </row>
    <row r="4895" ht="15.75" spans="6:9">
      <c r="F4895" s="12" t="s">
        <v>8183</v>
      </c>
      <c r="G4895" s="12" t="s">
        <v>392</v>
      </c>
      <c r="H4895" s="15">
        <v>24900</v>
      </c>
      <c r="I4895" s="13">
        <v>34</v>
      </c>
    </row>
    <row r="4896" ht="15.75" spans="6:9">
      <c r="F4896" s="12" t="s">
        <v>8184</v>
      </c>
      <c r="G4896" s="12" t="s">
        <v>391</v>
      </c>
      <c r="H4896" s="15">
        <v>47418</v>
      </c>
      <c r="I4896" s="13">
        <v>34</v>
      </c>
    </row>
    <row r="4897" ht="15.75" spans="6:9">
      <c r="F4897" s="12" t="s">
        <v>4069</v>
      </c>
      <c r="G4897" s="12" t="s">
        <v>391</v>
      </c>
      <c r="H4897" s="15">
        <v>30400</v>
      </c>
      <c r="I4897" s="13">
        <v>34</v>
      </c>
    </row>
    <row r="4898" ht="15.75" spans="6:9">
      <c r="F4898" s="12" t="s">
        <v>4535</v>
      </c>
      <c r="G4898" s="12" t="s">
        <v>391</v>
      </c>
      <c r="H4898" s="15">
        <v>117030</v>
      </c>
      <c r="I4898" s="13">
        <v>34</v>
      </c>
    </row>
    <row r="4899" ht="15.75" spans="6:9">
      <c r="F4899" s="12" t="s">
        <v>8185</v>
      </c>
      <c r="G4899" s="12" t="s">
        <v>391</v>
      </c>
      <c r="H4899" s="15">
        <v>83917</v>
      </c>
      <c r="I4899" s="13">
        <v>34</v>
      </c>
    </row>
    <row r="4900" ht="15.75" spans="6:9">
      <c r="F4900" s="12" t="s">
        <v>4652</v>
      </c>
      <c r="G4900" s="12" t="s">
        <v>392</v>
      </c>
      <c r="H4900" s="15">
        <v>1300000</v>
      </c>
      <c r="I4900" s="13">
        <v>34</v>
      </c>
    </row>
    <row r="4901" ht="15.75" spans="6:9">
      <c r="F4901" s="12" t="s">
        <v>4849</v>
      </c>
      <c r="G4901" s="12" t="s">
        <v>391</v>
      </c>
      <c r="H4901" s="15">
        <v>105892</v>
      </c>
      <c r="I4901" s="13">
        <v>34</v>
      </c>
    </row>
    <row r="4902" ht="15.75" spans="6:9">
      <c r="F4902" s="12" t="s">
        <v>8186</v>
      </c>
      <c r="G4902" s="12" t="s">
        <v>392</v>
      </c>
      <c r="H4902" s="15">
        <v>66200</v>
      </c>
      <c r="I4902" s="13">
        <v>34</v>
      </c>
    </row>
    <row r="4903" ht="15.75" spans="6:9">
      <c r="F4903" s="12" t="s">
        <v>3681</v>
      </c>
      <c r="G4903" s="12" t="s">
        <v>391</v>
      </c>
      <c r="H4903" s="15">
        <v>25658</v>
      </c>
      <c r="I4903" s="13">
        <v>34</v>
      </c>
    </row>
    <row r="4904" ht="15.75" spans="6:9">
      <c r="F4904" s="12" t="s">
        <v>8187</v>
      </c>
      <c r="G4904" s="12" t="s">
        <v>391</v>
      </c>
      <c r="H4904" s="15">
        <v>38604</v>
      </c>
      <c r="I4904" s="13">
        <v>34</v>
      </c>
    </row>
    <row r="4905" ht="15.75" spans="6:9">
      <c r="F4905" s="12" t="s">
        <v>3683</v>
      </c>
      <c r="G4905" s="12" t="s">
        <v>391</v>
      </c>
      <c r="H4905" s="15">
        <v>10661</v>
      </c>
      <c r="I4905" s="13">
        <v>34</v>
      </c>
    </row>
    <row r="4906" ht="15.75" spans="6:9">
      <c r="F4906" s="12" t="s">
        <v>3685</v>
      </c>
      <c r="G4906" s="12" t="s">
        <v>391</v>
      </c>
      <c r="H4906" s="15">
        <v>205371</v>
      </c>
      <c r="I4906" s="13">
        <v>34</v>
      </c>
    </row>
    <row r="4907" ht="15.75" spans="6:9">
      <c r="F4907" s="12" t="s">
        <v>4541</v>
      </c>
      <c r="G4907" s="12" t="s">
        <v>391</v>
      </c>
      <c r="H4907" s="15">
        <v>143830</v>
      </c>
      <c r="I4907" s="13">
        <v>34</v>
      </c>
    </row>
    <row r="4908" ht="15.75" spans="6:9">
      <c r="F4908" s="12" t="s">
        <v>4544</v>
      </c>
      <c r="G4908" s="12" t="s">
        <v>391</v>
      </c>
      <c r="H4908" s="15">
        <v>158353</v>
      </c>
      <c r="I4908" s="13">
        <v>34</v>
      </c>
    </row>
    <row r="4909" ht="15.75" spans="6:9">
      <c r="F4909" s="12" t="s">
        <v>8188</v>
      </c>
      <c r="G4909" s="12" t="s">
        <v>391</v>
      </c>
      <c r="H4909" s="15">
        <v>36115</v>
      </c>
      <c r="I4909" s="13">
        <v>34</v>
      </c>
    </row>
    <row r="4910" ht="15.75" spans="6:9">
      <c r="F4910" s="12" t="s">
        <v>4662</v>
      </c>
      <c r="G4910" s="12" t="s">
        <v>392</v>
      </c>
      <c r="H4910" s="15">
        <v>144600</v>
      </c>
      <c r="I4910" s="13">
        <v>34</v>
      </c>
    </row>
    <row r="4911" ht="15.75" spans="6:9">
      <c r="F4911" s="12" t="s">
        <v>3693</v>
      </c>
      <c r="G4911" s="12" t="s">
        <v>391</v>
      </c>
      <c r="H4911" s="15">
        <v>113909</v>
      </c>
      <c r="I4911" s="13">
        <v>34</v>
      </c>
    </row>
    <row r="4912" ht="15.75" spans="6:9">
      <c r="F4912" s="12" t="s">
        <v>5741</v>
      </c>
      <c r="G4912" s="12" t="s">
        <v>391</v>
      </c>
      <c r="H4912" s="15">
        <v>53101</v>
      </c>
      <c r="I4912" s="13">
        <v>34</v>
      </c>
    </row>
    <row r="4913" ht="15.75" spans="6:9">
      <c r="F4913" s="12" t="s">
        <v>8189</v>
      </c>
      <c r="G4913" s="12" t="s">
        <v>391</v>
      </c>
      <c r="H4913" s="15">
        <v>55898</v>
      </c>
      <c r="I4913" s="13">
        <v>34</v>
      </c>
    </row>
    <row r="4914" ht="15.75" spans="6:9">
      <c r="F4914" s="12" t="s">
        <v>4782</v>
      </c>
      <c r="G4914" s="12" t="s">
        <v>391</v>
      </c>
      <c r="H4914" s="15">
        <v>40203</v>
      </c>
      <c r="I4914" s="13">
        <v>34</v>
      </c>
    </row>
    <row r="4915" ht="15.75" spans="6:9">
      <c r="F4915" s="12" t="s">
        <v>5743</v>
      </c>
      <c r="G4915" s="12" t="s">
        <v>391</v>
      </c>
      <c r="H4915" s="15">
        <v>40648</v>
      </c>
      <c r="I4915" s="13">
        <v>34</v>
      </c>
    </row>
    <row r="4916" ht="15.75" spans="6:9">
      <c r="F4916" s="12" t="s">
        <v>4549</v>
      </c>
      <c r="G4916" s="12" t="s">
        <v>391</v>
      </c>
      <c r="H4916" s="15">
        <v>140906</v>
      </c>
      <c r="I4916" s="13">
        <v>34</v>
      </c>
    </row>
    <row r="4917" ht="15.75" spans="6:9">
      <c r="F4917" s="12" t="s">
        <v>4552</v>
      </c>
      <c r="G4917" s="12" t="s">
        <v>391</v>
      </c>
      <c r="H4917" s="15">
        <v>356088</v>
      </c>
      <c r="I4917" s="13">
        <v>34</v>
      </c>
    </row>
    <row r="4918" ht="15.75" spans="6:9">
      <c r="F4918" s="12" t="s">
        <v>4566</v>
      </c>
      <c r="G4918" s="12" t="s">
        <v>391</v>
      </c>
      <c r="H4918" s="15">
        <v>16812</v>
      </c>
      <c r="I4918" s="13">
        <v>34</v>
      </c>
    </row>
    <row r="4919" ht="15.75" spans="6:9">
      <c r="F4919" s="12" t="s">
        <v>8190</v>
      </c>
      <c r="G4919" s="12" t="s">
        <v>392</v>
      </c>
      <c r="H4919" s="15">
        <v>13300</v>
      </c>
      <c r="I4919" s="13">
        <v>34</v>
      </c>
    </row>
    <row r="4920" ht="15.75" spans="6:9">
      <c r="F4920" s="12" t="s">
        <v>3701</v>
      </c>
      <c r="G4920" s="12" t="s">
        <v>391</v>
      </c>
      <c r="H4920" s="15">
        <v>14730</v>
      </c>
      <c r="I4920" s="13">
        <v>34</v>
      </c>
    </row>
    <row r="4921" ht="15.75" spans="6:9">
      <c r="F4921" s="12" t="s">
        <v>8191</v>
      </c>
      <c r="G4921" s="12" t="s">
        <v>391</v>
      </c>
      <c r="H4921" s="15">
        <v>55383</v>
      </c>
      <c r="I4921" s="13">
        <v>34</v>
      </c>
    </row>
    <row r="4922" ht="15.75" spans="6:9">
      <c r="F4922" s="12" t="s">
        <v>4393</v>
      </c>
      <c r="G4922" s="12" t="s">
        <v>392</v>
      </c>
      <c r="H4922" s="15">
        <v>279800</v>
      </c>
      <c r="I4922" s="13">
        <v>34</v>
      </c>
    </row>
    <row r="4923" ht="15.75" spans="6:9">
      <c r="F4923" s="12" t="s">
        <v>8192</v>
      </c>
      <c r="G4923" s="12" t="s">
        <v>391</v>
      </c>
      <c r="H4923" s="15">
        <v>38011</v>
      </c>
      <c r="I4923" s="13">
        <v>34</v>
      </c>
    </row>
    <row r="4924" ht="15.75" spans="6:9">
      <c r="F4924" s="12" t="s">
        <v>4562</v>
      </c>
      <c r="G4924" s="12" t="s">
        <v>391</v>
      </c>
      <c r="H4924" s="15">
        <v>541741</v>
      </c>
      <c r="I4924" s="13">
        <v>34</v>
      </c>
    </row>
    <row r="4925" ht="15.75" spans="6:9">
      <c r="F4925" s="12" t="s">
        <v>8193</v>
      </c>
      <c r="G4925" s="12" t="s">
        <v>392</v>
      </c>
      <c r="H4925" s="15">
        <v>39100</v>
      </c>
      <c r="I4925" s="13">
        <v>34</v>
      </c>
    </row>
    <row r="4926" ht="15.75" spans="6:9">
      <c r="F4926" s="12" t="s">
        <v>8194</v>
      </c>
      <c r="G4926" s="12" t="s">
        <v>391</v>
      </c>
      <c r="H4926" s="15">
        <v>67244</v>
      </c>
      <c r="I4926" s="13">
        <v>34</v>
      </c>
    </row>
    <row r="4927" ht="15.75" spans="6:9">
      <c r="F4927" s="12" t="s">
        <v>8195</v>
      </c>
      <c r="G4927" s="12" t="s">
        <v>391</v>
      </c>
      <c r="H4927" s="15">
        <v>40279</v>
      </c>
      <c r="I4927" s="13">
        <v>33</v>
      </c>
    </row>
    <row r="4928" ht="15.75" spans="6:9">
      <c r="F4928" s="12" t="s">
        <v>8196</v>
      </c>
      <c r="G4928" s="12" t="s">
        <v>391</v>
      </c>
      <c r="H4928" s="15">
        <v>34862</v>
      </c>
      <c r="I4928" s="13">
        <v>33</v>
      </c>
    </row>
    <row r="4929" ht="15.75" spans="6:9">
      <c r="F4929" s="12" t="s">
        <v>8197</v>
      </c>
      <c r="G4929" s="12" t="s">
        <v>392</v>
      </c>
      <c r="H4929" s="15">
        <v>63800</v>
      </c>
      <c r="I4929" s="13">
        <v>33</v>
      </c>
    </row>
    <row r="4930" ht="15.75" spans="6:9">
      <c r="F4930" s="12" t="s">
        <v>8198</v>
      </c>
      <c r="G4930" s="12" t="s">
        <v>392</v>
      </c>
      <c r="H4930" s="15">
        <v>79700</v>
      </c>
      <c r="I4930" s="13">
        <v>33</v>
      </c>
    </row>
    <row r="4931" ht="15.75" spans="6:9">
      <c r="F4931" s="12" t="s">
        <v>8199</v>
      </c>
      <c r="G4931" s="12" t="s">
        <v>392</v>
      </c>
      <c r="H4931" s="15">
        <v>54100</v>
      </c>
      <c r="I4931" s="13">
        <v>33</v>
      </c>
    </row>
    <row r="4932" ht="15.75" spans="6:9">
      <c r="F4932" s="12" t="s">
        <v>4570</v>
      </c>
      <c r="G4932" s="12" t="s">
        <v>391</v>
      </c>
      <c r="H4932" s="15">
        <v>192986</v>
      </c>
      <c r="I4932" s="13">
        <v>33</v>
      </c>
    </row>
    <row r="4933" ht="15.75" spans="6:9">
      <c r="F4933" s="12" t="s">
        <v>8200</v>
      </c>
      <c r="G4933" s="12" t="s">
        <v>392</v>
      </c>
      <c r="H4933" s="15">
        <v>18100</v>
      </c>
      <c r="I4933" s="13">
        <v>33</v>
      </c>
    </row>
    <row r="4934" ht="15.75" spans="6:9">
      <c r="F4934" s="12" t="s">
        <v>8201</v>
      </c>
      <c r="G4934" s="12" t="s">
        <v>392</v>
      </c>
      <c r="H4934" s="15">
        <v>77600</v>
      </c>
      <c r="I4934" s="13">
        <v>33</v>
      </c>
    </row>
    <row r="4935" ht="15.75" spans="6:9">
      <c r="F4935" s="12" t="s">
        <v>3852</v>
      </c>
      <c r="G4935" s="12" t="s">
        <v>391</v>
      </c>
      <c r="H4935" s="15">
        <v>45067</v>
      </c>
      <c r="I4935" s="13">
        <v>33</v>
      </c>
    </row>
    <row r="4936" ht="15.75" spans="6:9">
      <c r="F4936" s="12" t="s">
        <v>8202</v>
      </c>
      <c r="G4936" s="12" t="s">
        <v>391</v>
      </c>
      <c r="H4936" s="15">
        <v>53631</v>
      </c>
      <c r="I4936" s="13">
        <v>33</v>
      </c>
    </row>
    <row r="4937" ht="15.75" spans="6:9">
      <c r="F4937" s="12" t="s">
        <v>8203</v>
      </c>
      <c r="G4937" s="12" t="s">
        <v>392</v>
      </c>
      <c r="H4937" s="15">
        <v>16600</v>
      </c>
      <c r="I4937" s="13">
        <v>33</v>
      </c>
    </row>
    <row r="4938" ht="15.75" spans="6:9">
      <c r="F4938" s="12" t="s">
        <v>3881</v>
      </c>
      <c r="G4938" s="12" t="s">
        <v>391</v>
      </c>
      <c r="H4938" s="15">
        <v>19832</v>
      </c>
      <c r="I4938" s="13">
        <v>33</v>
      </c>
    </row>
    <row r="4939" ht="15.75" spans="6:9">
      <c r="F4939" s="12" t="s">
        <v>8204</v>
      </c>
      <c r="G4939" s="12" t="s">
        <v>392</v>
      </c>
      <c r="H4939" s="15">
        <v>31800</v>
      </c>
      <c r="I4939" s="13">
        <v>33</v>
      </c>
    </row>
    <row r="4940" ht="15.75" spans="6:9">
      <c r="F4940" s="12" t="s">
        <v>8205</v>
      </c>
      <c r="G4940" s="12" t="s">
        <v>392</v>
      </c>
      <c r="H4940" s="15">
        <v>62000</v>
      </c>
      <c r="I4940" s="13">
        <v>33</v>
      </c>
    </row>
    <row r="4941" ht="15.75" spans="6:9">
      <c r="F4941" s="12" t="s">
        <v>8206</v>
      </c>
      <c r="G4941" s="12" t="s">
        <v>392</v>
      </c>
      <c r="H4941" s="15">
        <v>21300</v>
      </c>
      <c r="I4941" s="13">
        <v>33</v>
      </c>
    </row>
    <row r="4942" ht="15.75" spans="6:9">
      <c r="F4942" s="12" t="s">
        <v>8207</v>
      </c>
      <c r="G4942" s="12" t="s">
        <v>391</v>
      </c>
      <c r="H4942" s="15">
        <v>48314</v>
      </c>
      <c r="I4942" s="13">
        <v>33</v>
      </c>
    </row>
    <row r="4943" ht="15.75" spans="6:9">
      <c r="F4943" s="12" t="s">
        <v>4579</v>
      </c>
      <c r="G4943" s="12" t="s">
        <v>391</v>
      </c>
      <c r="H4943" s="15">
        <v>145130</v>
      </c>
      <c r="I4943" s="13">
        <v>33</v>
      </c>
    </row>
    <row r="4944" ht="15.75" spans="6:9">
      <c r="F4944" s="12" t="s">
        <v>8208</v>
      </c>
      <c r="G4944" s="12" t="s">
        <v>392</v>
      </c>
      <c r="H4944" s="15">
        <v>27200</v>
      </c>
      <c r="I4944" s="13">
        <v>33</v>
      </c>
    </row>
    <row r="4945" ht="15.75" spans="6:9">
      <c r="F4945" s="12" t="s">
        <v>8209</v>
      </c>
      <c r="G4945" s="12" t="s">
        <v>392</v>
      </c>
      <c r="H4945" s="15">
        <v>19700</v>
      </c>
      <c r="I4945" s="13">
        <v>33</v>
      </c>
    </row>
    <row r="4946" ht="15.75" spans="6:9">
      <c r="F4946" s="12" t="s">
        <v>4005</v>
      </c>
      <c r="G4946" s="12" t="s">
        <v>391</v>
      </c>
      <c r="H4946" s="15">
        <v>11551</v>
      </c>
      <c r="I4946" s="13">
        <v>33</v>
      </c>
    </row>
    <row r="4947" ht="15.75" spans="6:9">
      <c r="F4947" s="12" t="s">
        <v>5748</v>
      </c>
      <c r="G4947" s="12" t="s">
        <v>391</v>
      </c>
      <c r="H4947" s="15">
        <v>49651</v>
      </c>
      <c r="I4947" s="13">
        <v>33</v>
      </c>
    </row>
    <row r="4948" ht="15.75" spans="6:9">
      <c r="F4948" s="12" t="s">
        <v>4717</v>
      </c>
      <c r="G4948" s="12" t="s">
        <v>392</v>
      </c>
      <c r="H4948" s="15">
        <v>178000</v>
      </c>
      <c r="I4948" s="13">
        <v>33</v>
      </c>
    </row>
    <row r="4949" ht="15.75" spans="6:9">
      <c r="F4949" s="12" t="s">
        <v>4582</v>
      </c>
      <c r="G4949" s="12" t="s">
        <v>391</v>
      </c>
      <c r="H4949" s="15">
        <v>123936</v>
      </c>
      <c r="I4949" s="13">
        <v>33</v>
      </c>
    </row>
    <row r="4950" ht="15.75" spans="6:9">
      <c r="F4950" s="12" t="s">
        <v>8210</v>
      </c>
      <c r="G4950" s="12" t="s">
        <v>391</v>
      </c>
      <c r="H4950" s="15">
        <v>94655</v>
      </c>
      <c r="I4950" s="13">
        <v>33</v>
      </c>
    </row>
    <row r="4951" ht="15.75" spans="6:9">
      <c r="F4951" s="12" t="s">
        <v>8211</v>
      </c>
      <c r="G4951" s="12" t="s">
        <v>392</v>
      </c>
      <c r="H4951" s="15">
        <v>55600</v>
      </c>
      <c r="I4951" s="13">
        <v>33</v>
      </c>
    </row>
    <row r="4952" ht="15.75" spans="6:9">
      <c r="F4952" s="12" t="s">
        <v>8212</v>
      </c>
      <c r="G4952" s="12" t="s">
        <v>391</v>
      </c>
      <c r="H4952" s="15">
        <v>55734</v>
      </c>
      <c r="I4952" s="13">
        <v>33</v>
      </c>
    </row>
    <row r="4953" ht="15.75" spans="6:9">
      <c r="F4953" s="12" t="s">
        <v>8213</v>
      </c>
      <c r="G4953" s="12" t="s">
        <v>391</v>
      </c>
      <c r="H4953" s="15">
        <v>56512</v>
      </c>
      <c r="I4953" s="13">
        <v>33</v>
      </c>
    </row>
    <row r="4954" ht="15.75" spans="6:9">
      <c r="F4954" s="12" t="s">
        <v>4598</v>
      </c>
      <c r="G4954" s="12" t="s">
        <v>391</v>
      </c>
      <c r="H4954" s="15">
        <v>159585</v>
      </c>
      <c r="I4954" s="13">
        <v>33</v>
      </c>
    </row>
    <row r="4955" ht="15.75" spans="6:9">
      <c r="F4955" s="12" t="s">
        <v>8214</v>
      </c>
      <c r="G4955" s="12" t="s">
        <v>392</v>
      </c>
      <c r="H4955" s="15">
        <v>25100</v>
      </c>
      <c r="I4955" s="13">
        <v>33</v>
      </c>
    </row>
    <row r="4956" ht="15.75" spans="6:9">
      <c r="F4956" s="12" t="s">
        <v>8215</v>
      </c>
      <c r="G4956" s="12" t="s">
        <v>392</v>
      </c>
      <c r="H4956" s="15">
        <v>12400</v>
      </c>
      <c r="I4956" s="13">
        <v>33</v>
      </c>
    </row>
    <row r="4957" ht="15.75" spans="6:9">
      <c r="F4957" s="12" t="s">
        <v>4735</v>
      </c>
      <c r="G4957" s="12" t="s">
        <v>392</v>
      </c>
      <c r="H4957" s="15">
        <v>173400</v>
      </c>
      <c r="I4957" s="13">
        <v>33</v>
      </c>
    </row>
    <row r="4958" ht="15.75" spans="6:9">
      <c r="F4958" s="12" t="s">
        <v>8216</v>
      </c>
      <c r="G4958" s="12" t="s">
        <v>392</v>
      </c>
      <c r="H4958" s="15">
        <v>51300</v>
      </c>
      <c r="I4958" s="13">
        <v>33</v>
      </c>
    </row>
    <row r="4959" ht="15.75" spans="6:9">
      <c r="F4959" s="12" t="s">
        <v>8217</v>
      </c>
      <c r="G4959" s="12" t="s">
        <v>392</v>
      </c>
      <c r="H4959" s="15">
        <v>24900</v>
      </c>
      <c r="I4959" s="13">
        <v>33</v>
      </c>
    </row>
    <row r="4960" ht="15.75" spans="6:9">
      <c r="F4960" s="12" t="s">
        <v>8218</v>
      </c>
      <c r="G4960" s="12" t="s">
        <v>391</v>
      </c>
      <c r="H4960" s="15">
        <v>35337</v>
      </c>
      <c r="I4960" s="13">
        <v>33</v>
      </c>
    </row>
    <row r="4961" ht="15.75" spans="6:9">
      <c r="F4961" s="12" t="s">
        <v>8219</v>
      </c>
      <c r="G4961" s="12" t="s">
        <v>392</v>
      </c>
      <c r="H4961" s="15">
        <v>60300</v>
      </c>
      <c r="I4961" s="13">
        <v>33</v>
      </c>
    </row>
    <row r="4962" ht="15.75" spans="6:9">
      <c r="F4962" s="12" t="s">
        <v>8220</v>
      </c>
      <c r="G4962" s="12" t="s">
        <v>391</v>
      </c>
      <c r="H4962" s="15">
        <v>33579</v>
      </c>
      <c r="I4962" s="13">
        <v>33</v>
      </c>
    </row>
    <row r="4963" ht="15.75" spans="6:9">
      <c r="F4963" s="12" t="s">
        <v>8221</v>
      </c>
      <c r="G4963" s="12" t="s">
        <v>392</v>
      </c>
      <c r="H4963" s="15">
        <v>40600</v>
      </c>
      <c r="I4963" s="13">
        <v>33</v>
      </c>
    </row>
    <row r="4964" ht="15.75" spans="6:9">
      <c r="F4964" s="12" t="s">
        <v>8222</v>
      </c>
      <c r="G4964" s="12" t="s">
        <v>391</v>
      </c>
      <c r="H4964" s="15">
        <v>68662</v>
      </c>
      <c r="I4964" s="13">
        <v>33</v>
      </c>
    </row>
    <row r="4965" ht="15.75" spans="6:9">
      <c r="F4965" s="12" t="s">
        <v>4604</v>
      </c>
      <c r="G4965" s="12" t="s">
        <v>391</v>
      </c>
      <c r="H4965" s="15">
        <v>197399</v>
      </c>
      <c r="I4965" s="13">
        <v>33</v>
      </c>
    </row>
    <row r="4966" ht="15.75" spans="6:9">
      <c r="F4966" s="12" t="s">
        <v>4394</v>
      </c>
      <c r="G4966" s="12" t="s">
        <v>391</v>
      </c>
      <c r="H4966" s="15">
        <v>11556</v>
      </c>
      <c r="I4966" s="13">
        <v>33</v>
      </c>
    </row>
    <row r="4967" ht="15.75" spans="6:9">
      <c r="F4967" s="12" t="s">
        <v>4785</v>
      </c>
      <c r="G4967" s="12" t="s">
        <v>392</v>
      </c>
      <c r="H4967" s="15">
        <v>209200</v>
      </c>
      <c r="I4967" s="13">
        <v>33</v>
      </c>
    </row>
    <row r="4968" ht="15.75" spans="6:9">
      <c r="F4968" s="12" t="s">
        <v>4816</v>
      </c>
      <c r="G4968" s="12" t="s">
        <v>391</v>
      </c>
      <c r="H4968" s="15">
        <v>50427</v>
      </c>
      <c r="I4968" s="13">
        <v>33</v>
      </c>
    </row>
    <row r="4969" ht="15.75" spans="6:9">
      <c r="F4969" s="12" t="s">
        <v>8223</v>
      </c>
      <c r="G4969" s="12" t="s">
        <v>392</v>
      </c>
      <c r="H4969" s="15">
        <v>59300</v>
      </c>
      <c r="I4969" s="13">
        <v>33</v>
      </c>
    </row>
    <row r="4970" ht="15.75" spans="6:9">
      <c r="F4970" s="12" t="s">
        <v>8224</v>
      </c>
      <c r="G4970" s="12" t="s">
        <v>392</v>
      </c>
      <c r="H4970" s="15">
        <v>20500</v>
      </c>
      <c r="I4970" s="13">
        <v>33</v>
      </c>
    </row>
    <row r="4971" ht="15.75" spans="6:9">
      <c r="F4971" s="12" t="s">
        <v>8225</v>
      </c>
      <c r="G4971" s="12" t="s">
        <v>391</v>
      </c>
      <c r="H4971" s="15">
        <v>61011</v>
      </c>
      <c r="I4971" s="13">
        <v>33</v>
      </c>
    </row>
    <row r="4972" ht="15.75" spans="6:9">
      <c r="F4972" s="12" t="s">
        <v>8226</v>
      </c>
      <c r="G4972" s="12" t="s">
        <v>392</v>
      </c>
      <c r="H4972" s="15">
        <v>34200</v>
      </c>
      <c r="I4972" s="13">
        <v>33</v>
      </c>
    </row>
    <row r="4973" ht="15.75" spans="6:9">
      <c r="F4973" s="12" t="s">
        <v>4761</v>
      </c>
      <c r="G4973" s="12" t="s">
        <v>391</v>
      </c>
      <c r="H4973" s="15">
        <v>31388</v>
      </c>
      <c r="I4973" s="13">
        <v>33</v>
      </c>
    </row>
    <row r="4974" ht="15.75" spans="6:9">
      <c r="F4974" s="12" t="s">
        <v>5751</v>
      </c>
      <c r="G4974" s="12" t="s">
        <v>391</v>
      </c>
      <c r="H4974" s="15">
        <v>86480</v>
      </c>
      <c r="I4974" s="13">
        <v>33</v>
      </c>
    </row>
    <row r="4975" ht="15.75" spans="6:9">
      <c r="F4975" s="12" t="s">
        <v>5753</v>
      </c>
      <c r="G4975" s="12" t="s">
        <v>391</v>
      </c>
      <c r="H4975" s="15">
        <v>62476</v>
      </c>
      <c r="I4975" s="13">
        <v>33</v>
      </c>
    </row>
    <row r="4976" ht="15.75" spans="6:9">
      <c r="F4976" s="12" t="s">
        <v>4613</v>
      </c>
      <c r="G4976" s="12" t="s">
        <v>391</v>
      </c>
      <c r="H4976" s="15">
        <v>264379</v>
      </c>
      <c r="I4976" s="13">
        <v>33</v>
      </c>
    </row>
    <row r="4977" ht="15.75" spans="6:9">
      <c r="F4977" s="12" t="s">
        <v>4616</v>
      </c>
      <c r="G4977" s="12" t="s">
        <v>391</v>
      </c>
      <c r="H4977" s="15">
        <v>121272</v>
      </c>
      <c r="I4977" s="13">
        <v>33</v>
      </c>
    </row>
    <row r="4978" ht="15.75" spans="6:9">
      <c r="F4978" s="12" t="s">
        <v>8227</v>
      </c>
      <c r="G4978" s="12" t="s">
        <v>392</v>
      </c>
      <c r="H4978" s="15">
        <v>21400</v>
      </c>
      <c r="I4978" s="13">
        <v>33</v>
      </c>
    </row>
    <row r="4979" ht="15.75" spans="6:9">
      <c r="F4979" s="12" t="s">
        <v>8228</v>
      </c>
      <c r="G4979" s="12" t="s">
        <v>392</v>
      </c>
      <c r="H4979" s="15">
        <v>17800</v>
      </c>
      <c r="I4979" s="13">
        <v>33</v>
      </c>
    </row>
    <row r="4980" ht="15.75" spans="6:9">
      <c r="F4980" s="12" t="s">
        <v>8229</v>
      </c>
      <c r="G4980" s="12" t="s">
        <v>392</v>
      </c>
      <c r="H4980" s="15">
        <v>16700</v>
      </c>
      <c r="I4980" s="13">
        <v>33</v>
      </c>
    </row>
    <row r="4981" ht="15.75" spans="6:9">
      <c r="F4981" s="12" t="s">
        <v>4624</v>
      </c>
      <c r="G4981" s="12" t="s">
        <v>391</v>
      </c>
      <c r="H4981" s="15">
        <v>204433</v>
      </c>
      <c r="I4981" s="13">
        <v>33</v>
      </c>
    </row>
    <row r="4982" ht="15.75" spans="6:9">
      <c r="F4982" s="12" t="s">
        <v>4627</v>
      </c>
      <c r="G4982" s="12" t="s">
        <v>391</v>
      </c>
      <c r="H4982" s="15">
        <v>100675</v>
      </c>
      <c r="I4982" s="13">
        <v>33</v>
      </c>
    </row>
    <row r="4983" ht="15.75" spans="6:9">
      <c r="F4983" s="12" t="s">
        <v>4630</v>
      </c>
      <c r="G4983" s="12" t="s">
        <v>391</v>
      </c>
      <c r="H4983" s="15">
        <v>704942</v>
      </c>
      <c r="I4983" s="13">
        <v>33</v>
      </c>
    </row>
    <row r="4984" ht="15.75" spans="6:9">
      <c r="F4984" s="12" t="s">
        <v>8230</v>
      </c>
      <c r="G4984" s="12" t="s">
        <v>391</v>
      </c>
      <c r="H4984" s="15">
        <v>86485</v>
      </c>
      <c r="I4984" s="13">
        <v>33</v>
      </c>
    </row>
    <row r="4985" ht="15.75" spans="6:9">
      <c r="F4985" s="12" t="s">
        <v>4704</v>
      </c>
      <c r="G4985" s="12" t="s">
        <v>391</v>
      </c>
      <c r="H4985" s="15">
        <v>11587</v>
      </c>
      <c r="I4985" s="13">
        <v>33</v>
      </c>
    </row>
    <row r="4986" ht="15.75" spans="6:9">
      <c r="F4986" s="12" t="s">
        <v>8231</v>
      </c>
      <c r="G4986" s="12" t="s">
        <v>392</v>
      </c>
      <c r="H4986" s="15">
        <v>16900</v>
      </c>
      <c r="I4986" s="13">
        <v>33</v>
      </c>
    </row>
    <row r="4987" ht="15.75" spans="6:9">
      <c r="F4987" s="12" t="s">
        <v>4760</v>
      </c>
      <c r="G4987" s="12" t="s">
        <v>392</v>
      </c>
      <c r="H4987" s="15">
        <v>177900</v>
      </c>
      <c r="I4987" s="13">
        <v>33</v>
      </c>
    </row>
    <row r="4988" ht="15.75" spans="6:9">
      <c r="F4988" s="12" t="s">
        <v>8232</v>
      </c>
      <c r="G4988" s="12" t="s">
        <v>392</v>
      </c>
      <c r="H4988" s="15">
        <v>49900</v>
      </c>
      <c r="I4988" s="13">
        <v>32</v>
      </c>
    </row>
    <row r="4989" ht="15.75" spans="6:9">
      <c r="F4989" s="12" t="s">
        <v>8233</v>
      </c>
      <c r="G4989" s="12" t="s">
        <v>391</v>
      </c>
      <c r="H4989" s="15">
        <v>51856</v>
      </c>
      <c r="I4989" s="13">
        <v>32</v>
      </c>
    </row>
    <row r="4990" ht="15.75" spans="6:9">
      <c r="F4990" s="12" t="s">
        <v>4633</v>
      </c>
      <c r="G4990" s="12" t="s">
        <v>391</v>
      </c>
      <c r="H4990" s="15">
        <v>107102</v>
      </c>
      <c r="I4990" s="13">
        <v>32</v>
      </c>
    </row>
    <row r="4991" ht="15.75" spans="6:9">
      <c r="F4991" s="12" t="s">
        <v>8234</v>
      </c>
      <c r="G4991" s="12" t="s">
        <v>392</v>
      </c>
      <c r="H4991" s="15">
        <v>34800</v>
      </c>
      <c r="I4991" s="13">
        <v>32</v>
      </c>
    </row>
    <row r="4992" ht="15.75" spans="6:9">
      <c r="F4992" s="12" t="s">
        <v>4635</v>
      </c>
      <c r="G4992" s="12" t="s">
        <v>391</v>
      </c>
      <c r="H4992" s="15">
        <v>188292</v>
      </c>
      <c r="I4992" s="13">
        <v>32</v>
      </c>
    </row>
    <row r="4993" ht="15.75" spans="6:9">
      <c r="F4993" s="12" t="s">
        <v>8235</v>
      </c>
      <c r="G4993" s="12" t="s">
        <v>391</v>
      </c>
      <c r="H4993" s="15">
        <v>62981</v>
      </c>
      <c r="I4993" s="13">
        <v>32</v>
      </c>
    </row>
    <row r="4994" ht="15.75" spans="6:9">
      <c r="F4994" s="12" t="s">
        <v>4638</v>
      </c>
      <c r="G4994" s="12" t="s">
        <v>391</v>
      </c>
      <c r="H4994" s="15">
        <v>110261</v>
      </c>
      <c r="I4994" s="13">
        <v>32</v>
      </c>
    </row>
    <row r="4995" ht="15.75" spans="6:9">
      <c r="F4995" s="12" t="s">
        <v>4822</v>
      </c>
      <c r="G4995" s="12" t="s">
        <v>391</v>
      </c>
      <c r="H4995" s="15">
        <v>115511</v>
      </c>
      <c r="I4995" s="13">
        <v>32</v>
      </c>
    </row>
    <row r="4996" ht="15.75" spans="6:9">
      <c r="F4996" s="12" t="s">
        <v>4840</v>
      </c>
      <c r="G4996" s="12" t="s">
        <v>391</v>
      </c>
      <c r="H4996" s="15">
        <v>14018</v>
      </c>
      <c r="I4996" s="13">
        <v>32</v>
      </c>
    </row>
    <row r="4997" ht="15.75" spans="6:9">
      <c r="F4997" s="12" t="s">
        <v>8236</v>
      </c>
      <c r="G4997" s="12" t="s">
        <v>391</v>
      </c>
      <c r="H4997" s="15">
        <v>69546</v>
      </c>
      <c r="I4997" s="13">
        <v>32</v>
      </c>
    </row>
    <row r="4998" ht="15.75" spans="6:9">
      <c r="F4998" s="12" t="s">
        <v>3207</v>
      </c>
      <c r="G4998" s="12" t="s">
        <v>391</v>
      </c>
      <c r="H4998" s="15">
        <v>80404</v>
      </c>
      <c r="I4998" s="13">
        <v>32</v>
      </c>
    </row>
    <row r="4999" ht="15.75" spans="6:9">
      <c r="F4999" s="12" t="s">
        <v>8237</v>
      </c>
      <c r="G4999" s="12" t="s">
        <v>392</v>
      </c>
      <c r="H4999" s="15">
        <v>18500</v>
      </c>
      <c r="I4999" s="13">
        <v>32</v>
      </c>
    </row>
    <row r="5000" ht="15.75" spans="6:9">
      <c r="F5000" s="12" t="s">
        <v>4641</v>
      </c>
      <c r="G5000" s="12" t="s">
        <v>391</v>
      </c>
      <c r="H5000" s="15">
        <v>163563</v>
      </c>
      <c r="I5000" s="13">
        <v>32</v>
      </c>
    </row>
    <row r="5001" ht="15.75" spans="6:9">
      <c r="F5001" s="12" t="s">
        <v>8238</v>
      </c>
      <c r="G5001" s="12" t="s">
        <v>391</v>
      </c>
      <c r="H5001" s="15">
        <v>97658</v>
      </c>
      <c r="I5001" s="13">
        <v>32</v>
      </c>
    </row>
    <row r="5002" ht="15.75" spans="6:9">
      <c r="F5002" s="12" t="s">
        <v>4863</v>
      </c>
      <c r="G5002" s="12" t="s">
        <v>391</v>
      </c>
      <c r="H5002" s="15">
        <v>112810</v>
      </c>
      <c r="I5002" s="13">
        <v>32</v>
      </c>
    </row>
    <row r="5003" ht="15.75" spans="6:9">
      <c r="F5003" s="12" t="s">
        <v>8239</v>
      </c>
      <c r="G5003" s="12" t="s">
        <v>392</v>
      </c>
      <c r="H5003" s="15">
        <v>60500</v>
      </c>
      <c r="I5003" s="13">
        <v>32</v>
      </c>
    </row>
    <row r="5004" ht="15.75" spans="6:9">
      <c r="F5004" s="12" t="s">
        <v>4746</v>
      </c>
      <c r="G5004" s="12" t="s">
        <v>391</v>
      </c>
      <c r="H5004" s="15">
        <v>15219</v>
      </c>
      <c r="I5004" s="13">
        <v>32</v>
      </c>
    </row>
    <row r="5005" ht="15.75" spans="6:9">
      <c r="F5005" s="12" t="s">
        <v>4810</v>
      </c>
      <c r="G5005" s="12" t="s">
        <v>391</v>
      </c>
      <c r="H5005" s="15">
        <v>102492</v>
      </c>
      <c r="I5005" s="13">
        <v>32</v>
      </c>
    </row>
    <row r="5006" ht="15.75" spans="6:9">
      <c r="F5006" s="12" t="s">
        <v>4750</v>
      </c>
      <c r="G5006" s="12" t="s">
        <v>391</v>
      </c>
      <c r="H5006" s="15">
        <v>18257</v>
      </c>
      <c r="I5006" s="13">
        <v>32</v>
      </c>
    </row>
    <row r="5007" ht="15.75" spans="6:9">
      <c r="F5007" s="12" t="s">
        <v>5759</v>
      </c>
      <c r="G5007" s="12" t="s">
        <v>391</v>
      </c>
      <c r="H5007" s="15">
        <v>49781</v>
      </c>
      <c r="I5007" s="13">
        <v>32</v>
      </c>
    </row>
    <row r="5008" ht="15.75" spans="6:9">
      <c r="F5008" s="12" t="s">
        <v>8240</v>
      </c>
      <c r="G5008" s="12" t="s">
        <v>391</v>
      </c>
      <c r="H5008" s="15">
        <v>48447</v>
      </c>
      <c r="I5008" s="13">
        <v>32</v>
      </c>
    </row>
    <row r="5009" ht="15.75" spans="6:9">
      <c r="F5009" s="12" t="s">
        <v>5761</v>
      </c>
      <c r="G5009" s="12" t="s">
        <v>391</v>
      </c>
      <c r="H5009" s="15">
        <v>75558</v>
      </c>
      <c r="I5009" s="13">
        <v>32</v>
      </c>
    </row>
    <row r="5010" ht="15.75" spans="6:9">
      <c r="F5010" s="12" t="s">
        <v>4646</v>
      </c>
      <c r="G5010" s="12" t="s">
        <v>391</v>
      </c>
      <c r="H5010" s="15">
        <v>934301</v>
      </c>
      <c r="I5010" s="13">
        <v>32</v>
      </c>
    </row>
    <row r="5011" ht="15.75" spans="6:9">
      <c r="F5011" s="12" t="s">
        <v>8241</v>
      </c>
      <c r="G5011" s="12" t="s">
        <v>392</v>
      </c>
      <c r="H5011" s="15">
        <v>24200</v>
      </c>
      <c r="I5011" s="13">
        <v>32</v>
      </c>
    </row>
    <row r="5012" ht="15.75" spans="6:9">
      <c r="F5012" s="12" t="s">
        <v>8242</v>
      </c>
      <c r="G5012" s="12" t="s">
        <v>392</v>
      </c>
      <c r="H5012" s="15">
        <v>50700</v>
      </c>
      <c r="I5012" s="13">
        <v>32</v>
      </c>
    </row>
    <row r="5013" ht="15.75" spans="6:9">
      <c r="F5013" s="12" t="s">
        <v>8243</v>
      </c>
      <c r="G5013" s="12" t="s">
        <v>392</v>
      </c>
      <c r="H5013" s="15">
        <v>65100</v>
      </c>
      <c r="I5013" s="13">
        <v>32</v>
      </c>
    </row>
    <row r="5014" ht="15.75" spans="6:9">
      <c r="F5014" s="12" t="s">
        <v>4649</v>
      </c>
      <c r="G5014" s="12" t="s">
        <v>391</v>
      </c>
      <c r="H5014" s="15">
        <v>191044</v>
      </c>
      <c r="I5014" s="13">
        <v>32</v>
      </c>
    </row>
    <row r="5015" ht="15.75" spans="6:9">
      <c r="F5015" s="12" t="s">
        <v>4654</v>
      </c>
      <c r="G5015" s="12" t="s">
        <v>391</v>
      </c>
      <c r="H5015" s="15">
        <v>103861</v>
      </c>
      <c r="I5015" s="13">
        <v>32</v>
      </c>
    </row>
    <row r="5016" ht="15.75" spans="6:9">
      <c r="F5016" s="12" t="s">
        <v>8244</v>
      </c>
      <c r="G5016" s="12" t="s">
        <v>391</v>
      </c>
      <c r="H5016" s="15">
        <v>37064</v>
      </c>
      <c r="I5016" s="13">
        <v>32</v>
      </c>
    </row>
    <row r="5017" ht="15.75" spans="6:9">
      <c r="F5017" s="12" t="s">
        <v>8245</v>
      </c>
      <c r="G5017" s="12" t="s">
        <v>392</v>
      </c>
      <c r="H5017" s="15">
        <v>58100</v>
      </c>
      <c r="I5017" s="13">
        <v>32</v>
      </c>
    </row>
    <row r="5018" ht="15.75" spans="6:9">
      <c r="F5018" s="12" t="s">
        <v>8246</v>
      </c>
      <c r="G5018" s="12" t="s">
        <v>391</v>
      </c>
      <c r="H5018" s="15">
        <v>41645</v>
      </c>
      <c r="I5018" s="13">
        <v>32</v>
      </c>
    </row>
    <row r="5019" ht="15.75" spans="6:9">
      <c r="F5019" s="12" t="s">
        <v>8247</v>
      </c>
      <c r="G5019" s="12" t="s">
        <v>392</v>
      </c>
      <c r="H5019" s="15">
        <v>20300</v>
      </c>
      <c r="I5019" s="13">
        <v>32</v>
      </c>
    </row>
    <row r="5020" ht="15.75" spans="6:9">
      <c r="F5020" s="12" t="s">
        <v>4754</v>
      </c>
      <c r="G5020" s="12" t="s">
        <v>391</v>
      </c>
      <c r="H5020" s="15">
        <v>12439</v>
      </c>
      <c r="I5020" s="13">
        <v>32</v>
      </c>
    </row>
    <row r="5021" ht="15.75" spans="6:9">
      <c r="F5021" s="12" t="s">
        <v>4657</v>
      </c>
      <c r="G5021" s="12" t="s">
        <v>391</v>
      </c>
      <c r="H5021" s="15">
        <v>155628</v>
      </c>
      <c r="I5021" s="13">
        <v>32</v>
      </c>
    </row>
    <row r="5022" ht="15.75" spans="6:9">
      <c r="F5022" s="12" t="s">
        <v>5780</v>
      </c>
      <c r="G5022" s="12" t="s">
        <v>391</v>
      </c>
      <c r="H5022" s="15">
        <v>43485</v>
      </c>
      <c r="I5022" s="13">
        <v>32</v>
      </c>
    </row>
    <row r="5023" ht="15.75" spans="6:9">
      <c r="F5023" s="12" t="s">
        <v>8248</v>
      </c>
      <c r="G5023" s="12" t="s">
        <v>391</v>
      </c>
      <c r="H5023" s="15">
        <v>91328</v>
      </c>
      <c r="I5023" s="13">
        <v>32</v>
      </c>
    </row>
    <row r="5024" ht="15.75" spans="6:9">
      <c r="F5024" s="12" t="s">
        <v>8249</v>
      </c>
      <c r="G5024" s="12" t="s">
        <v>392</v>
      </c>
      <c r="H5024" s="15">
        <v>75200</v>
      </c>
      <c r="I5024" s="13">
        <v>32</v>
      </c>
    </row>
    <row r="5025" ht="15.75" spans="6:9">
      <c r="F5025" s="12" t="s">
        <v>8250</v>
      </c>
      <c r="G5025" s="12" t="s">
        <v>391</v>
      </c>
      <c r="H5025" s="15">
        <v>67186</v>
      </c>
      <c r="I5025" s="13">
        <v>32</v>
      </c>
    </row>
    <row r="5026" ht="15.75" spans="6:9">
      <c r="F5026" s="12" t="s">
        <v>8251</v>
      </c>
      <c r="G5026" s="12" t="s">
        <v>392</v>
      </c>
      <c r="H5026" s="15">
        <v>50100</v>
      </c>
      <c r="I5026" s="13">
        <v>32</v>
      </c>
    </row>
    <row r="5027" ht="15.75" spans="6:9">
      <c r="F5027" s="12" t="s">
        <v>8252</v>
      </c>
      <c r="G5027" s="12" t="s">
        <v>392</v>
      </c>
      <c r="H5027" s="15">
        <v>52600</v>
      </c>
      <c r="I5027" s="13">
        <v>32</v>
      </c>
    </row>
    <row r="5028" ht="15.75" spans="6:9">
      <c r="F5028" s="12" t="s">
        <v>8253</v>
      </c>
      <c r="G5028" s="12" t="s">
        <v>392</v>
      </c>
      <c r="H5028" s="15">
        <v>11300</v>
      </c>
      <c r="I5028" s="13">
        <v>32</v>
      </c>
    </row>
    <row r="5029" ht="15.75" spans="6:9">
      <c r="F5029" s="12" t="s">
        <v>8254</v>
      </c>
      <c r="G5029" s="12" t="s">
        <v>392</v>
      </c>
      <c r="H5029" s="15">
        <v>42400</v>
      </c>
      <c r="I5029" s="13">
        <v>32</v>
      </c>
    </row>
    <row r="5030" ht="15.75" spans="6:9">
      <c r="F5030" s="12" t="s">
        <v>4672</v>
      </c>
      <c r="G5030" s="12" t="s">
        <v>391</v>
      </c>
      <c r="H5030" s="15">
        <v>142167</v>
      </c>
      <c r="I5030" s="13">
        <v>32</v>
      </c>
    </row>
    <row r="5031" ht="15.75" spans="6:9">
      <c r="F5031" s="12" t="s">
        <v>8255</v>
      </c>
      <c r="G5031" s="12" t="s">
        <v>392</v>
      </c>
      <c r="H5031" s="15">
        <v>26200</v>
      </c>
      <c r="I5031" s="13">
        <v>32</v>
      </c>
    </row>
    <row r="5032" ht="15.75" spans="6:9">
      <c r="F5032" s="12" t="s">
        <v>5764</v>
      </c>
      <c r="G5032" s="12" t="s">
        <v>391</v>
      </c>
      <c r="H5032" s="15">
        <v>79928</v>
      </c>
      <c r="I5032" s="13">
        <v>32</v>
      </c>
    </row>
    <row r="5033" ht="15.75" spans="6:9">
      <c r="F5033" s="12" t="s">
        <v>8256</v>
      </c>
      <c r="G5033" s="12" t="s">
        <v>392</v>
      </c>
      <c r="H5033" s="15">
        <v>24600</v>
      </c>
      <c r="I5033" s="13">
        <v>32</v>
      </c>
    </row>
    <row r="5034" ht="15.75" spans="6:9">
      <c r="F5034" s="12" t="s">
        <v>8257</v>
      </c>
      <c r="G5034" s="12" t="s">
        <v>392</v>
      </c>
      <c r="H5034" s="15">
        <v>85300</v>
      </c>
      <c r="I5034" s="13">
        <v>32</v>
      </c>
    </row>
    <row r="5035" ht="15.75" spans="6:9">
      <c r="F5035" s="12" t="s">
        <v>4675</v>
      </c>
      <c r="G5035" s="12" t="s">
        <v>391</v>
      </c>
      <c r="H5035" s="15">
        <v>136150</v>
      </c>
      <c r="I5035" s="13">
        <v>32</v>
      </c>
    </row>
    <row r="5036" ht="15.75" spans="6:9">
      <c r="F5036" s="12" t="s">
        <v>8258</v>
      </c>
      <c r="G5036" s="12" t="s">
        <v>391</v>
      </c>
      <c r="H5036" s="15">
        <v>81497</v>
      </c>
      <c r="I5036" s="13">
        <v>32</v>
      </c>
    </row>
    <row r="5037" ht="15.75" spans="6:9">
      <c r="F5037" s="12" t="s">
        <v>8259</v>
      </c>
      <c r="G5037" s="12" t="s">
        <v>392</v>
      </c>
      <c r="H5037" s="15">
        <v>22400</v>
      </c>
      <c r="I5037" s="13">
        <v>32</v>
      </c>
    </row>
    <row r="5038" ht="15.75" spans="6:9">
      <c r="F5038" s="12" t="s">
        <v>8260</v>
      </c>
      <c r="G5038" s="12" t="s">
        <v>391</v>
      </c>
      <c r="H5038" s="15">
        <v>45879</v>
      </c>
      <c r="I5038" s="13">
        <v>32</v>
      </c>
    </row>
    <row r="5039" ht="15.75" spans="6:9">
      <c r="F5039" s="12" t="s">
        <v>5784</v>
      </c>
      <c r="G5039" s="12" t="s">
        <v>391</v>
      </c>
      <c r="H5039" s="15">
        <v>77374</v>
      </c>
      <c r="I5039" s="13">
        <v>31</v>
      </c>
    </row>
    <row r="5040" ht="15.75" spans="6:9">
      <c r="F5040" s="12" t="s">
        <v>8261</v>
      </c>
      <c r="G5040" s="12" t="s">
        <v>391</v>
      </c>
      <c r="H5040" s="15">
        <v>68368</v>
      </c>
      <c r="I5040" s="13">
        <v>31</v>
      </c>
    </row>
    <row r="5041" ht="15.75" spans="6:9">
      <c r="F5041" s="12" t="s">
        <v>8262</v>
      </c>
      <c r="G5041" s="12" t="s">
        <v>391</v>
      </c>
      <c r="H5041" s="15">
        <v>93994</v>
      </c>
      <c r="I5041" s="13">
        <v>31</v>
      </c>
    </row>
    <row r="5042" ht="15.75" spans="6:9">
      <c r="F5042" s="12" t="s">
        <v>8263</v>
      </c>
      <c r="G5042" s="12" t="s">
        <v>391</v>
      </c>
      <c r="H5042" s="15">
        <v>96891</v>
      </c>
      <c r="I5042" s="13">
        <v>31</v>
      </c>
    </row>
    <row r="5043" ht="15.75" spans="6:9">
      <c r="F5043" s="12" t="s">
        <v>5733</v>
      </c>
      <c r="G5043" s="12" t="s">
        <v>391</v>
      </c>
      <c r="H5043" s="15">
        <v>75709</v>
      </c>
      <c r="I5043" s="13">
        <v>31</v>
      </c>
    </row>
    <row r="5044" ht="15.75" spans="6:9">
      <c r="F5044" s="12" t="s">
        <v>4686</v>
      </c>
      <c r="G5044" s="12" t="s">
        <v>391</v>
      </c>
      <c r="H5044" s="15">
        <v>206887</v>
      </c>
      <c r="I5044" s="13">
        <v>31</v>
      </c>
    </row>
    <row r="5045" ht="15.75" spans="6:9">
      <c r="F5045" s="12" t="s">
        <v>4772</v>
      </c>
      <c r="G5045" s="12" t="s">
        <v>391</v>
      </c>
      <c r="H5045" s="15">
        <v>44146</v>
      </c>
      <c r="I5045" s="13">
        <v>31</v>
      </c>
    </row>
    <row r="5046" ht="15.75" spans="6:9">
      <c r="F5046" s="12" t="s">
        <v>4690</v>
      </c>
      <c r="G5046" s="12" t="s">
        <v>391</v>
      </c>
      <c r="H5046" s="15">
        <v>285213</v>
      </c>
      <c r="I5046" s="13">
        <v>31</v>
      </c>
    </row>
    <row r="5047" ht="15.75" spans="6:9">
      <c r="F5047" s="12" t="s">
        <v>8264</v>
      </c>
      <c r="G5047" s="12" t="s">
        <v>391</v>
      </c>
      <c r="H5047" s="15">
        <v>47457</v>
      </c>
      <c r="I5047" s="13">
        <v>31</v>
      </c>
    </row>
    <row r="5048" ht="15.75" spans="6:9">
      <c r="F5048" s="12" t="s">
        <v>8265</v>
      </c>
      <c r="G5048" s="12" t="s">
        <v>391</v>
      </c>
      <c r="H5048" s="15">
        <v>48218</v>
      </c>
      <c r="I5048" s="13">
        <v>31</v>
      </c>
    </row>
    <row r="5049" ht="15.75" spans="6:9">
      <c r="F5049" s="12" t="s">
        <v>8266</v>
      </c>
      <c r="G5049" s="12" t="s">
        <v>391</v>
      </c>
      <c r="H5049" s="15">
        <v>40190</v>
      </c>
      <c r="I5049" s="13">
        <v>31</v>
      </c>
    </row>
    <row r="5050" ht="15.75" spans="6:9">
      <c r="F5050" s="12" t="s">
        <v>4693</v>
      </c>
      <c r="G5050" s="12" t="s">
        <v>391</v>
      </c>
      <c r="H5050" s="15">
        <v>104393</v>
      </c>
      <c r="I5050" s="13">
        <v>31</v>
      </c>
    </row>
    <row r="5051" ht="15.75" spans="6:9">
      <c r="F5051" s="12" t="s">
        <v>8267</v>
      </c>
      <c r="G5051" s="12" t="s">
        <v>391</v>
      </c>
      <c r="H5051" s="15">
        <v>91822</v>
      </c>
      <c r="I5051" s="13">
        <v>31</v>
      </c>
    </row>
    <row r="5052" ht="15.75" spans="6:9">
      <c r="F5052" s="12" t="s">
        <v>4791</v>
      </c>
      <c r="G5052" s="12" t="s">
        <v>391</v>
      </c>
      <c r="H5052" s="15">
        <v>204747</v>
      </c>
      <c r="I5052" s="13">
        <v>31</v>
      </c>
    </row>
    <row r="5053" ht="15.75" spans="6:9">
      <c r="F5053" s="12" t="s">
        <v>4698</v>
      </c>
      <c r="G5053" s="12" t="s">
        <v>391</v>
      </c>
      <c r="H5053" s="15">
        <v>119838</v>
      </c>
      <c r="I5053" s="13">
        <v>31</v>
      </c>
    </row>
    <row r="5054" ht="15.75" spans="6:9">
      <c r="F5054" s="12" t="s">
        <v>4703</v>
      </c>
      <c r="G5054" s="12" t="s">
        <v>391</v>
      </c>
      <c r="H5054" s="15">
        <v>125452</v>
      </c>
      <c r="I5054" s="13">
        <v>31</v>
      </c>
    </row>
    <row r="5055" ht="15.75" spans="6:9">
      <c r="F5055" s="12" t="s">
        <v>4706</v>
      </c>
      <c r="G5055" s="12" t="s">
        <v>391</v>
      </c>
      <c r="H5055" s="15">
        <v>161152</v>
      </c>
      <c r="I5055" s="13">
        <v>31</v>
      </c>
    </row>
    <row r="5056" ht="15.75" spans="6:9">
      <c r="F5056" s="12" t="s">
        <v>5767</v>
      </c>
      <c r="G5056" s="12" t="s">
        <v>391</v>
      </c>
      <c r="H5056" s="15">
        <v>53345</v>
      </c>
      <c r="I5056" s="13">
        <v>31</v>
      </c>
    </row>
    <row r="5057" ht="15.75" spans="6:9">
      <c r="F5057" s="12" t="s">
        <v>8268</v>
      </c>
      <c r="G5057" s="12" t="s">
        <v>391</v>
      </c>
      <c r="H5057" s="15">
        <v>63439</v>
      </c>
      <c r="I5057" s="13">
        <v>31</v>
      </c>
    </row>
    <row r="5058" ht="15.75" spans="6:9">
      <c r="F5058" s="12" t="s">
        <v>4711</v>
      </c>
      <c r="G5058" s="12" t="s">
        <v>391</v>
      </c>
      <c r="H5058" s="15">
        <v>221064</v>
      </c>
      <c r="I5058" s="13">
        <v>31</v>
      </c>
    </row>
    <row r="5059" ht="15.75" spans="6:9">
      <c r="F5059" s="12" t="s">
        <v>8269</v>
      </c>
      <c r="G5059" s="12" t="s">
        <v>391</v>
      </c>
      <c r="H5059" s="15">
        <v>51642</v>
      </c>
      <c r="I5059" s="13">
        <v>31</v>
      </c>
    </row>
    <row r="5060" ht="15.75" spans="6:9">
      <c r="F5060" s="12" t="s">
        <v>8270</v>
      </c>
      <c r="G5060" s="12" t="s">
        <v>391</v>
      </c>
      <c r="H5060" s="15">
        <v>38528</v>
      </c>
      <c r="I5060" s="13">
        <v>31</v>
      </c>
    </row>
    <row r="5061" ht="15.75" spans="6:9">
      <c r="F5061" s="12" t="s">
        <v>5769</v>
      </c>
      <c r="G5061" s="12" t="s">
        <v>391</v>
      </c>
      <c r="H5061" s="15">
        <v>93466</v>
      </c>
      <c r="I5061" s="13">
        <v>31</v>
      </c>
    </row>
    <row r="5062" ht="15.75" spans="6:9">
      <c r="F5062" s="12" t="s">
        <v>8271</v>
      </c>
      <c r="G5062" s="12" t="s">
        <v>391</v>
      </c>
      <c r="H5062" s="15">
        <v>60932</v>
      </c>
      <c r="I5062" s="13">
        <v>31</v>
      </c>
    </row>
    <row r="5063" ht="15.75" spans="6:9">
      <c r="F5063" s="12" t="s">
        <v>8272</v>
      </c>
      <c r="G5063" s="12" t="s">
        <v>391</v>
      </c>
      <c r="H5063" s="15">
        <v>95900</v>
      </c>
      <c r="I5063" s="13">
        <v>31</v>
      </c>
    </row>
    <row r="5064" ht="15.75" spans="6:9">
      <c r="F5064" s="12" t="s">
        <v>8273</v>
      </c>
      <c r="G5064" s="12" t="s">
        <v>391</v>
      </c>
      <c r="H5064" s="15">
        <v>38171</v>
      </c>
      <c r="I5064" s="13">
        <v>31</v>
      </c>
    </row>
    <row r="5065" ht="15.75" spans="6:9">
      <c r="F5065" s="12" t="s">
        <v>4714</v>
      </c>
      <c r="G5065" s="12" t="s">
        <v>391</v>
      </c>
      <c r="H5065" s="15">
        <v>1458035</v>
      </c>
      <c r="I5065" s="13">
        <v>31</v>
      </c>
    </row>
    <row r="5066" ht="15.75" spans="6:9">
      <c r="F5066" s="12" t="s">
        <v>4720</v>
      </c>
      <c r="G5066" s="12" t="s">
        <v>391</v>
      </c>
      <c r="H5066" s="15">
        <v>150200</v>
      </c>
      <c r="I5066" s="13">
        <v>31</v>
      </c>
    </row>
    <row r="5067" ht="15.75" spans="6:9">
      <c r="F5067" s="12" t="s">
        <v>4723</v>
      </c>
      <c r="G5067" s="12" t="s">
        <v>391</v>
      </c>
      <c r="H5067" s="15">
        <v>751499</v>
      </c>
      <c r="I5067" s="13">
        <v>31</v>
      </c>
    </row>
    <row r="5068" ht="15.75" spans="6:9">
      <c r="F5068" s="12" t="s">
        <v>4726</v>
      </c>
      <c r="G5068" s="12" t="s">
        <v>391</v>
      </c>
      <c r="H5068" s="15">
        <v>493059</v>
      </c>
      <c r="I5068" s="13">
        <v>31</v>
      </c>
    </row>
    <row r="5069" ht="15.75" spans="6:9">
      <c r="F5069" s="12" t="s">
        <v>8274</v>
      </c>
      <c r="G5069" s="12" t="s">
        <v>391</v>
      </c>
      <c r="H5069" s="15">
        <v>35181</v>
      </c>
      <c r="I5069" s="13">
        <v>31</v>
      </c>
    </row>
    <row r="5070" ht="15.75" spans="6:9">
      <c r="F5070" s="12" t="s">
        <v>8275</v>
      </c>
      <c r="G5070" s="12" t="s">
        <v>391</v>
      </c>
      <c r="H5070" s="15">
        <v>92877</v>
      </c>
      <c r="I5070" s="13">
        <v>31</v>
      </c>
    </row>
    <row r="5071" ht="15.75" spans="6:9">
      <c r="F5071" s="12" t="s">
        <v>4729</v>
      </c>
      <c r="G5071" s="12" t="s">
        <v>391</v>
      </c>
      <c r="H5071" s="15">
        <v>213217</v>
      </c>
      <c r="I5071" s="13">
        <v>31</v>
      </c>
    </row>
    <row r="5072" ht="15.75" spans="6:9">
      <c r="F5072" s="12" t="s">
        <v>8276</v>
      </c>
      <c r="G5072" s="12" t="s">
        <v>391</v>
      </c>
      <c r="H5072" s="15">
        <v>58587</v>
      </c>
      <c r="I5072" s="13">
        <v>31</v>
      </c>
    </row>
    <row r="5073" ht="15.75" spans="6:9">
      <c r="F5073" s="12" t="s">
        <v>4830</v>
      </c>
      <c r="G5073" s="12" t="s">
        <v>391</v>
      </c>
      <c r="H5073" s="15">
        <v>313217</v>
      </c>
      <c r="I5073" s="13">
        <v>31</v>
      </c>
    </row>
    <row r="5074" ht="15.75" spans="6:9">
      <c r="F5074" s="12" t="s">
        <v>8277</v>
      </c>
      <c r="G5074" s="12" t="s">
        <v>391</v>
      </c>
      <c r="H5074" s="15">
        <v>75801</v>
      </c>
      <c r="I5074" s="13">
        <v>31</v>
      </c>
    </row>
    <row r="5075" ht="15.75" spans="6:9">
      <c r="F5075" s="12" t="s">
        <v>4732</v>
      </c>
      <c r="G5075" s="12" t="s">
        <v>391</v>
      </c>
      <c r="H5075" s="15">
        <v>338321</v>
      </c>
      <c r="I5075" s="13">
        <v>31</v>
      </c>
    </row>
    <row r="5076" ht="15.75" spans="6:9">
      <c r="F5076" s="12" t="s">
        <v>8278</v>
      </c>
      <c r="G5076" s="12" t="s">
        <v>391</v>
      </c>
      <c r="H5076" s="15">
        <v>49202</v>
      </c>
      <c r="I5076" s="13">
        <v>31</v>
      </c>
    </row>
    <row r="5077" ht="15.75" spans="6:9">
      <c r="F5077" s="12" t="s">
        <v>5774</v>
      </c>
      <c r="G5077" s="12" t="s">
        <v>391</v>
      </c>
      <c r="H5077" s="15">
        <v>32390</v>
      </c>
      <c r="I5077" s="13">
        <v>31</v>
      </c>
    </row>
    <row r="5078" ht="15.75" spans="6:9">
      <c r="F5078" s="12" t="s">
        <v>8279</v>
      </c>
      <c r="G5078" s="12" t="s">
        <v>391</v>
      </c>
      <c r="H5078" s="15">
        <v>40052</v>
      </c>
      <c r="I5078" s="13">
        <v>31</v>
      </c>
    </row>
    <row r="5079" ht="15.75" spans="6:9">
      <c r="F5079" s="12" t="s">
        <v>4740</v>
      </c>
      <c r="G5079" s="12" t="s">
        <v>391</v>
      </c>
      <c r="H5079" s="15">
        <v>103787</v>
      </c>
      <c r="I5079" s="13">
        <v>31</v>
      </c>
    </row>
    <row r="5080" ht="15.75" spans="6:9">
      <c r="F5080" s="12" t="s">
        <v>8280</v>
      </c>
      <c r="G5080" s="12" t="s">
        <v>391</v>
      </c>
      <c r="H5080" s="15">
        <v>45749</v>
      </c>
      <c r="I5080" s="13">
        <v>31</v>
      </c>
    </row>
    <row r="5081" ht="15.75" spans="6:9">
      <c r="F5081" s="12" t="s">
        <v>4779</v>
      </c>
      <c r="G5081" s="12" t="s">
        <v>391</v>
      </c>
      <c r="H5081" s="15">
        <v>155989</v>
      </c>
      <c r="I5081" s="13">
        <v>31</v>
      </c>
    </row>
    <row r="5082" ht="15.75" spans="6:9">
      <c r="F5082" s="12" t="s">
        <v>5775</v>
      </c>
      <c r="G5082" s="12" t="s">
        <v>391</v>
      </c>
      <c r="H5082" s="15">
        <v>82507</v>
      </c>
      <c r="I5082" s="13">
        <v>31</v>
      </c>
    </row>
    <row r="5083" ht="15.75" spans="6:9">
      <c r="F5083" s="12" t="s">
        <v>8281</v>
      </c>
      <c r="G5083" s="12" t="s">
        <v>391</v>
      </c>
      <c r="H5083" s="15">
        <v>78376</v>
      </c>
      <c r="I5083" s="13">
        <v>31</v>
      </c>
    </row>
    <row r="5084" ht="15.75" spans="6:9">
      <c r="F5084" s="12" t="s">
        <v>4742</v>
      </c>
      <c r="G5084" s="12" t="s">
        <v>391</v>
      </c>
      <c r="H5084" s="15">
        <v>117870</v>
      </c>
      <c r="I5084" s="13">
        <v>31</v>
      </c>
    </row>
    <row r="5085" ht="15.75" spans="6:9">
      <c r="F5085" s="12" t="s">
        <v>4745</v>
      </c>
      <c r="G5085" s="12" t="s">
        <v>391</v>
      </c>
      <c r="H5085" s="15">
        <v>151177</v>
      </c>
      <c r="I5085" s="13">
        <v>31</v>
      </c>
    </row>
    <row r="5086" ht="15.75" spans="6:9">
      <c r="F5086" s="12" t="s">
        <v>3577</v>
      </c>
      <c r="G5086" s="12" t="s">
        <v>391</v>
      </c>
      <c r="H5086" s="15">
        <v>33650</v>
      </c>
      <c r="I5086" s="13">
        <v>31</v>
      </c>
    </row>
    <row r="5087" ht="15.75" spans="6:9">
      <c r="F5087" s="12" t="s">
        <v>4749</v>
      </c>
      <c r="G5087" s="12" t="s">
        <v>391</v>
      </c>
      <c r="H5087" s="15">
        <v>227585</v>
      </c>
      <c r="I5087" s="13">
        <v>31</v>
      </c>
    </row>
    <row r="5088" ht="15.75" spans="6:9">
      <c r="F5088" s="12" t="s">
        <v>8282</v>
      </c>
      <c r="G5088" s="12" t="s">
        <v>391</v>
      </c>
      <c r="H5088" s="15">
        <v>50835</v>
      </c>
      <c r="I5088" s="13">
        <v>31</v>
      </c>
    </row>
    <row r="5089" ht="15.75" spans="6:9">
      <c r="F5089" s="12" t="s">
        <v>8283</v>
      </c>
      <c r="G5089" s="12" t="s">
        <v>391</v>
      </c>
      <c r="H5089" s="15">
        <v>89392</v>
      </c>
      <c r="I5089" s="13">
        <v>31</v>
      </c>
    </row>
    <row r="5090" ht="15.75" spans="6:9">
      <c r="F5090" s="12" t="s">
        <v>4752</v>
      </c>
      <c r="G5090" s="12" t="s">
        <v>391</v>
      </c>
      <c r="H5090" s="15">
        <v>242808</v>
      </c>
      <c r="I5090" s="13">
        <v>31</v>
      </c>
    </row>
    <row r="5091" ht="15.75" spans="6:9">
      <c r="F5091" s="12" t="s">
        <v>4758</v>
      </c>
      <c r="G5091" s="12" t="s">
        <v>391</v>
      </c>
      <c r="H5091" s="15">
        <v>279648</v>
      </c>
      <c r="I5091" s="13">
        <v>31</v>
      </c>
    </row>
    <row r="5092" ht="15.75" spans="6:9">
      <c r="F5092" s="12" t="s">
        <v>8284</v>
      </c>
      <c r="G5092" s="12" t="s">
        <v>391</v>
      </c>
      <c r="H5092" s="15">
        <v>50226</v>
      </c>
      <c r="I5092" s="13">
        <v>31</v>
      </c>
    </row>
    <row r="5093" ht="15.75" spans="6:9">
      <c r="F5093" s="12" t="s">
        <v>8285</v>
      </c>
      <c r="G5093" s="12" t="s">
        <v>391</v>
      </c>
      <c r="H5093" s="15">
        <v>34079</v>
      </c>
      <c r="I5093" s="13">
        <v>30</v>
      </c>
    </row>
    <row r="5094" ht="15.75" spans="6:9">
      <c r="F5094" s="12" t="s">
        <v>5777</v>
      </c>
      <c r="G5094" s="12" t="s">
        <v>391</v>
      </c>
      <c r="H5094" s="15">
        <v>37684</v>
      </c>
      <c r="I5094" s="13">
        <v>30</v>
      </c>
    </row>
    <row r="5095" ht="15.75" spans="6:9">
      <c r="F5095" s="12" t="s">
        <v>4786</v>
      </c>
      <c r="G5095" s="12" t="s">
        <v>391</v>
      </c>
      <c r="H5095" s="15">
        <v>88568</v>
      </c>
      <c r="I5095" s="13">
        <v>30</v>
      </c>
    </row>
    <row r="5096" ht="15.75" spans="6:9">
      <c r="F5096" s="12" t="s">
        <v>5739</v>
      </c>
      <c r="G5096" s="12" t="s">
        <v>391</v>
      </c>
      <c r="H5096" s="15">
        <v>34144</v>
      </c>
      <c r="I5096" s="13">
        <v>30</v>
      </c>
    </row>
    <row r="5097" ht="15.75" spans="6:9">
      <c r="F5097" s="12" t="s">
        <v>5059</v>
      </c>
      <c r="G5097" s="12" t="s">
        <v>391</v>
      </c>
      <c r="H5097" s="15">
        <v>11560</v>
      </c>
      <c r="I5097" s="13">
        <v>30</v>
      </c>
    </row>
    <row r="5098" ht="15.75" spans="6:9">
      <c r="F5098" s="12" t="s">
        <v>4768</v>
      </c>
      <c r="G5098" s="12" t="s">
        <v>391</v>
      </c>
      <c r="H5098" s="15">
        <v>162058</v>
      </c>
      <c r="I5098" s="13">
        <v>30</v>
      </c>
    </row>
    <row r="5099" ht="15.75" spans="6:9">
      <c r="F5099" s="12" t="s">
        <v>4771</v>
      </c>
      <c r="G5099" s="12" t="s">
        <v>391</v>
      </c>
      <c r="H5099" s="15">
        <v>640007</v>
      </c>
      <c r="I5099" s="13">
        <v>30</v>
      </c>
    </row>
    <row r="5100" ht="15.75" spans="6:9">
      <c r="F5100" s="12" t="s">
        <v>8286</v>
      </c>
      <c r="G5100" s="12" t="s">
        <v>391</v>
      </c>
      <c r="H5100" s="15">
        <v>90182</v>
      </c>
      <c r="I5100" s="13">
        <v>30</v>
      </c>
    </row>
    <row r="5101" ht="15.75" spans="6:9">
      <c r="F5101" s="12" t="s">
        <v>8287</v>
      </c>
      <c r="G5101" s="12" t="s">
        <v>391</v>
      </c>
      <c r="H5101" s="15">
        <v>36857</v>
      </c>
      <c r="I5101" s="13">
        <v>30</v>
      </c>
    </row>
    <row r="5102" ht="15.75" spans="6:9">
      <c r="F5102" s="12" t="s">
        <v>5782</v>
      </c>
      <c r="G5102" s="12" t="s">
        <v>391</v>
      </c>
      <c r="H5102" s="15">
        <v>85611</v>
      </c>
      <c r="I5102" s="13">
        <v>30</v>
      </c>
    </row>
    <row r="5103" ht="15.75" spans="6:9">
      <c r="F5103" s="12" t="s">
        <v>8288</v>
      </c>
      <c r="G5103" s="12" t="s">
        <v>391</v>
      </c>
      <c r="H5103" s="15">
        <v>63289</v>
      </c>
      <c r="I5103" s="13">
        <v>30</v>
      </c>
    </row>
    <row r="5104" ht="15.75" spans="6:9">
      <c r="F5104" s="12" t="s">
        <v>8289</v>
      </c>
      <c r="G5104" s="12" t="s">
        <v>391</v>
      </c>
      <c r="H5104" s="15">
        <v>20387</v>
      </c>
      <c r="I5104" s="13">
        <v>30</v>
      </c>
    </row>
    <row r="5105" ht="15.75" spans="6:9">
      <c r="F5105" s="12" t="s">
        <v>8290</v>
      </c>
      <c r="G5105" s="12" t="s">
        <v>391</v>
      </c>
      <c r="H5105" s="15">
        <v>58308</v>
      </c>
      <c r="I5105" s="13">
        <v>30</v>
      </c>
    </row>
    <row r="5106" ht="15.75" spans="6:9">
      <c r="F5106" s="12" t="s">
        <v>8291</v>
      </c>
      <c r="G5106" s="12" t="s">
        <v>391</v>
      </c>
      <c r="H5106" s="15">
        <v>36560</v>
      </c>
      <c r="I5106" s="13">
        <v>30</v>
      </c>
    </row>
    <row r="5107" ht="15.75" spans="6:9">
      <c r="F5107" s="12" t="s">
        <v>4574</v>
      </c>
      <c r="G5107" s="12" t="s">
        <v>391</v>
      </c>
      <c r="H5107" s="15">
        <v>32535</v>
      </c>
      <c r="I5107" s="13">
        <v>30</v>
      </c>
    </row>
    <row r="5108" ht="15.75" spans="6:9">
      <c r="F5108" s="12" t="s">
        <v>4787</v>
      </c>
      <c r="G5108" s="12" t="s">
        <v>391</v>
      </c>
      <c r="H5108" s="15">
        <v>177048</v>
      </c>
      <c r="I5108" s="13">
        <v>30</v>
      </c>
    </row>
    <row r="5109" ht="15.75" spans="6:9">
      <c r="F5109" s="12" t="s">
        <v>8292</v>
      </c>
      <c r="G5109" s="12" t="s">
        <v>391</v>
      </c>
      <c r="H5109" s="15">
        <v>48973</v>
      </c>
      <c r="I5109" s="13">
        <v>30</v>
      </c>
    </row>
    <row r="5110" ht="15.75" spans="6:9">
      <c r="F5110" s="12" t="s">
        <v>4764</v>
      </c>
      <c r="G5110" s="12" t="s">
        <v>391</v>
      </c>
      <c r="H5110" s="15">
        <v>37564</v>
      </c>
      <c r="I5110" s="13">
        <v>30</v>
      </c>
    </row>
    <row r="5111" ht="15.75" spans="6:9">
      <c r="F5111" s="12" t="s">
        <v>4857</v>
      </c>
      <c r="G5111" s="12" t="s">
        <v>391</v>
      </c>
      <c r="H5111" s="15">
        <v>48240</v>
      </c>
      <c r="I5111" s="13">
        <v>28</v>
      </c>
    </row>
    <row r="5112" ht="15.75" spans="6:9">
      <c r="F5112" s="12" t="s">
        <v>3265</v>
      </c>
      <c r="G5112" s="12" t="s">
        <v>391</v>
      </c>
      <c r="H5112" s="15">
        <v>5042266</v>
      </c>
      <c r="I5112" s="13">
        <v>28</v>
      </c>
    </row>
    <row r="5113" ht="15.75" spans="6:9">
      <c r="F5113" s="12" t="s">
        <v>5383</v>
      </c>
      <c r="G5113" s="12" t="s">
        <v>391</v>
      </c>
      <c r="H5113" s="15">
        <v>67761</v>
      </c>
      <c r="I5113" s="13">
        <v>28</v>
      </c>
    </row>
    <row r="5114" ht="15.75" spans="6:9">
      <c r="F5114" s="12" t="s">
        <v>4853</v>
      </c>
      <c r="G5114" s="12" t="s">
        <v>391</v>
      </c>
      <c r="H5114" s="15">
        <v>122358</v>
      </c>
      <c r="I5114" s="13">
        <v>27</v>
      </c>
    </row>
    <row r="5115" ht="15.75" spans="6:9">
      <c r="F5115" s="12" t="s">
        <v>4856</v>
      </c>
      <c r="G5115" s="12" t="s">
        <v>391</v>
      </c>
      <c r="H5115" s="15">
        <v>119903</v>
      </c>
      <c r="I5115" s="13">
        <v>27</v>
      </c>
    </row>
    <row r="5116" ht="15.75" spans="6:9">
      <c r="F5116" s="12" t="s">
        <v>5422</v>
      </c>
      <c r="G5116" s="12" t="s">
        <v>391</v>
      </c>
      <c r="H5116" s="15">
        <v>87504</v>
      </c>
      <c r="I5116" s="13">
        <v>26</v>
      </c>
    </row>
    <row r="5117" ht="15.75" spans="6:9">
      <c r="F5117" s="12" t="s">
        <v>3547</v>
      </c>
      <c r="G5117" s="12" t="s">
        <v>391</v>
      </c>
      <c r="H5117" s="15">
        <v>79658</v>
      </c>
      <c r="I5117" s="13">
        <v>24</v>
      </c>
    </row>
    <row r="5118" ht="15.75" spans="6:9">
      <c r="F5118" s="12" t="s">
        <v>8293</v>
      </c>
      <c r="G5118" s="12" t="s">
        <v>391</v>
      </c>
      <c r="H5118" s="15">
        <v>25804</v>
      </c>
      <c r="I5118" s="13">
        <v>22</v>
      </c>
    </row>
    <row r="5119" ht="15.75" spans="6:9">
      <c r="F5119" s="12" t="s">
        <v>4866</v>
      </c>
      <c r="G5119" s="12" t="s">
        <v>391</v>
      </c>
      <c r="H5119" s="15">
        <v>336823</v>
      </c>
      <c r="I5119" s="13">
        <v>20</v>
      </c>
    </row>
    <row r="5120" ht="15.75" spans="6:9">
      <c r="F5120" s="12" t="s">
        <v>8294</v>
      </c>
      <c r="G5120" s="12" t="s">
        <v>391</v>
      </c>
      <c r="H5120" s="15">
        <v>57505</v>
      </c>
      <c r="I5120" s="13">
        <v>18</v>
      </c>
    </row>
  </sheetData>
  <mergeCells count="5">
    <mergeCell ref="A1:O1"/>
    <mergeCell ref="A2:O2"/>
    <mergeCell ref="A4:D4"/>
    <mergeCell ref="F4:I4"/>
    <mergeCell ref="K4:N4"/>
  </mergeCells>
  <pageMargins left="0.7" right="0.7" top="0.75" bottom="0.75" header="0.3" footer="0.3"/>
  <pageSetup paperSize="1" orientation="portrait"/>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5120"/>
  <sheetViews>
    <sheetView workbookViewId="0">
      <pane ySplit="5" topLeftCell="A6" activePane="bottomLeft" state="frozen"/>
      <selection/>
      <selection pane="bottomLeft" activeCell="A1" sqref="A1:O1"/>
    </sheetView>
  </sheetViews>
  <sheetFormatPr defaultColWidth="9" defaultRowHeight="15"/>
  <cols>
    <col min="1" max="1" width="24" customWidth="1"/>
    <col min="2" max="2" width="11" customWidth="1"/>
    <col min="3" max="3" width="15" customWidth="1"/>
    <col min="4" max="4" width="17" customWidth="1"/>
    <col min="5" max="5" width="3" customWidth="1"/>
    <col min="6" max="6" width="24" customWidth="1"/>
    <col min="7" max="7" width="11" customWidth="1"/>
    <col min="8" max="8" width="15" customWidth="1"/>
    <col min="9" max="9" width="17" customWidth="1"/>
    <col min="10" max="10" width="3" customWidth="1"/>
    <col min="11" max="11" width="24" customWidth="1"/>
    <col min="12" max="12" width="11" customWidth="1"/>
    <col min="13" max="13" width="15" customWidth="1"/>
    <col min="14" max="14" width="17" customWidth="1"/>
    <col min="15" max="15" width="3" customWidth="1"/>
  </cols>
  <sheetData>
    <row r="1" ht="24" customHeight="1" spans="1:14">
      <c r="A1" s="3" t="s">
        <v>8295</v>
      </c>
    </row>
    <row r="2" ht="30" customHeight="1" spans="1:14">
      <c r="A2" s="4" t="s">
        <v>8296</v>
      </c>
    </row>
    <row r="4" spans="1:14">
      <c r="A4" s="27" t="s">
        <v>8297</v>
      </c>
      <c r="B4" s="28"/>
      <c r="C4" s="29"/>
      <c r="D4" s="30" t="e">
        <f>MAX('[4]#REF'!$D$6:$D$1248)</f>
        <v>#REF!</v>
      </c>
      <c r="F4" s="27" t="s">
        <v>8298</v>
      </c>
      <c r="G4" s="28"/>
      <c r="H4" s="29"/>
      <c r="I4" s="30" t="e">
        <f>MAX('[4]#REF'!$I$6:$I$5120)</f>
        <v>#REF!</v>
      </c>
      <c r="K4" s="27" t="s">
        <v>8299</v>
      </c>
      <c r="L4" s="28"/>
      <c r="M4" s="29"/>
      <c r="N4" s="30" t="e">
        <f>MAX('[4]#REF'!$N$6:$N$692)</f>
        <v>#REF!</v>
      </c>
    </row>
    <row r="5" ht="26" customHeight="1" spans="1:14">
      <c r="A5" s="5" t="s">
        <v>1031</v>
      </c>
      <c r="B5" s="5" t="s">
        <v>390</v>
      </c>
      <c r="C5" s="5" t="s">
        <v>3091</v>
      </c>
      <c r="D5" s="5" t="s">
        <v>3093</v>
      </c>
      <c r="F5" s="5" t="s">
        <v>1031</v>
      </c>
      <c r="G5" s="5" t="s">
        <v>390</v>
      </c>
      <c r="H5" s="5" t="s">
        <v>3091</v>
      </c>
      <c r="I5" s="5" t="s">
        <v>3093</v>
      </c>
      <c r="K5" s="5" t="s">
        <v>1031</v>
      </c>
      <c r="L5" s="5" t="s">
        <v>390</v>
      </c>
      <c r="M5" s="5" t="s">
        <v>3091</v>
      </c>
      <c r="N5" s="5" t="s">
        <v>3093</v>
      </c>
    </row>
    <row r="6" ht="15.75" spans="1:14">
      <c r="A6" s="12" t="e">
        <f>'[4]#REF'!A6</f>
        <v>#REF!</v>
      </c>
      <c r="B6" s="12" t="e">
        <f>'[4]#REF'!B6</f>
        <v>#REF!</v>
      </c>
      <c r="C6" s="31" t="e">
        <f>'[4]#REF'!D6</f>
        <v>#REF!</v>
      </c>
      <c r="D6" s="32" t="e">
        <f t="shared" ref="D6:D69" si="0">ROUND(C6/$D$4*100,2)</f>
        <v>#REF!</v>
      </c>
      <c r="F6" s="12" t="e">
        <f>'[4]#REF'!F6</f>
        <v>#REF!</v>
      </c>
      <c r="G6" s="12" t="e">
        <f>'[4]#REF'!G6</f>
        <v>#REF!</v>
      </c>
      <c r="H6" s="31" t="e">
        <f>'[4]#REF'!I6</f>
        <v>#REF!</v>
      </c>
      <c r="I6" s="32" t="e">
        <f t="shared" ref="I6:I69" si="1">ROUND(H6/$I$4*100,2)</f>
        <v>#REF!</v>
      </c>
      <c r="K6" s="12" t="e">
        <f>'[4]#REF'!K6</f>
        <v>#REF!</v>
      </c>
      <c r="L6" s="12" t="e">
        <f>'[4]#REF'!L6</f>
        <v>#REF!</v>
      </c>
      <c r="M6" s="31" t="e">
        <f>'[4]#REF'!N6</f>
        <v>#REF!</v>
      </c>
      <c r="N6" s="32" t="e">
        <f t="shared" ref="N6:N69" si="2">ROUND(M6/$N$4*100,2)</f>
        <v>#REF!</v>
      </c>
    </row>
    <row r="7" ht="15.75" spans="1:14">
      <c r="A7" s="12" t="e">
        <f>'[4]#REF'!A7</f>
        <v>#REF!</v>
      </c>
      <c r="B7" s="12" t="e">
        <f>'[4]#REF'!B7</f>
        <v>#REF!</v>
      </c>
      <c r="C7" s="31" t="e">
        <f>'[4]#REF'!D7</f>
        <v>#REF!</v>
      </c>
      <c r="D7" s="32" t="e">
        <f t="shared" si="0"/>
        <v>#REF!</v>
      </c>
      <c r="F7" s="12" t="e">
        <f>'[4]#REF'!F7</f>
        <v>#REF!</v>
      </c>
      <c r="G7" s="12" t="e">
        <f>'[4]#REF'!G7</f>
        <v>#REF!</v>
      </c>
      <c r="H7" s="31" t="e">
        <f>'[4]#REF'!I7</f>
        <v>#REF!</v>
      </c>
      <c r="I7" s="32" t="e">
        <f t="shared" si="1"/>
        <v>#REF!</v>
      </c>
      <c r="K7" s="12" t="e">
        <f>'[4]#REF'!K7</f>
        <v>#REF!</v>
      </c>
      <c r="L7" s="12" t="e">
        <f>'[4]#REF'!L7</f>
        <v>#REF!</v>
      </c>
      <c r="M7" s="31" t="e">
        <f>'[4]#REF'!N7</f>
        <v>#REF!</v>
      </c>
      <c r="N7" s="32" t="e">
        <f t="shared" si="2"/>
        <v>#REF!</v>
      </c>
    </row>
    <row r="8" ht="15.75" spans="1:14">
      <c r="A8" s="12" t="e">
        <f>'[4]#REF'!A8</f>
        <v>#REF!</v>
      </c>
      <c r="B8" s="12" t="e">
        <f>'[4]#REF'!B8</f>
        <v>#REF!</v>
      </c>
      <c r="C8" s="31" t="e">
        <f>'[4]#REF'!D8</f>
        <v>#REF!</v>
      </c>
      <c r="D8" s="32" t="e">
        <f t="shared" si="0"/>
        <v>#REF!</v>
      </c>
      <c r="F8" s="12" t="e">
        <f>'[4]#REF'!F8</f>
        <v>#REF!</v>
      </c>
      <c r="G8" s="12" t="e">
        <f>'[4]#REF'!G8</f>
        <v>#REF!</v>
      </c>
      <c r="H8" s="31" t="e">
        <f>'[4]#REF'!I8</f>
        <v>#REF!</v>
      </c>
      <c r="I8" s="32" t="e">
        <f t="shared" si="1"/>
        <v>#REF!</v>
      </c>
      <c r="K8" s="12" t="e">
        <f>'[4]#REF'!K8</f>
        <v>#REF!</v>
      </c>
      <c r="L8" s="12" t="e">
        <f>'[4]#REF'!L8</f>
        <v>#REF!</v>
      </c>
      <c r="M8" s="31" t="e">
        <f>'[4]#REF'!N8</f>
        <v>#REF!</v>
      </c>
      <c r="N8" s="32" t="e">
        <f t="shared" si="2"/>
        <v>#REF!</v>
      </c>
    </row>
    <row r="9" ht="15.75" spans="1:14">
      <c r="A9" s="12" t="e">
        <f>'[4]#REF'!A9</f>
        <v>#REF!</v>
      </c>
      <c r="B9" s="12" t="e">
        <f>'[4]#REF'!B9</f>
        <v>#REF!</v>
      </c>
      <c r="C9" s="31" t="e">
        <f>'[4]#REF'!D9</f>
        <v>#REF!</v>
      </c>
      <c r="D9" s="32" t="e">
        <f t="shared" si="0"/>
        <v>#REF!</v>
      </c>
      <c r="F9" s="12" t="e">
        <f>'[4]#REF'!F9</f>
        <v>#REF!</v>
      </c>
      <c r="G9" s="12" t="e">
        <f>'[4]#REF'!G9</f>
        <v>#REF!</v>
      </c>
      <c r="H9" s="31" t="e">
        <f>'[4]#REF'!I9</f>
        <v>#REF!</v>
      </c>
      <c r="I9" s="32" t="e">
        <f t="shared" si="1"/>
        <v>#REF!</v>
      </c>
      <c r="K9" s="12" t="e">
        <f>'[4]#REF'!K9</f>
        <v>#REF!</v>
      </c>
      <c r="L9" s="12" t="e">
        <f>'[4]#REF'!L9</f>
        <v>#REF!</v>
      </c>
      <c r="M9" s="31" t="e">
        <f>'[4]#REF'!N9</f>
        <v>#REF!</v>
      </c>
      <c r="N9" s="32" t="e">
        <f t="shared" si="2"/>
        <v>#REF!</v>
      </c>
    </row>
    <row r="10" ht="15.75" spans="1:14">
      <c r="A10" s="12" t="e">
        <f>'[4]#REF'!A10</f>
        <v>#REF!</v>
      </c>
      <c r="B10" s="12" t="e">
        <f>'[4]#REF'!B10</f>
        <v>#REF!</v>
      </c>
      <c r="C10" s="31" t="e">
        <f>'[4]#REF'!D10</f>
        <v>#REF!</v>
      </c>
      <c r="D10" s="32" t="e">
        <f t="shared" si="0"/>
        <v>#REF!</v>
      </c>
      <c r="F10" s="12" t="e">
        <f>'[4]#REF'!F10</f>
        <v>#REF!</v>
      </c>
      <c r="G10" s="12" t="e">
        <f>'[4]#REF'!G10</f>
        <v>#REF!</v>
      </c>
      <c r="H10" s="31" t="e">
        <f>'[4]#REF'!I10</f>
        <v>#REF!</v>
      </c>
      <c r="I10" s="32" t="e">
        <f t="shared" si="1"/>
        <v>#REF!</v>
      </c>
      <c r="K10" s="12" t="e">
        <f>'[4]#REF'!K10</f>
        <v>#REF!</v>
      </c>
      <c r="L10" s="12" t="e">
        <f>'[4]#REF'!L10</f>
        <v>#REF!</v>
      </c>
      <c r="M10" s="31" t="e">
        <f>'[4]#REF'!N10</f>
        <v>#REF!</v>
      </c>
      <c r="N10" s="32" t="e">
        <f t="shared" si="2"/>
        <v>#REF!</v>
      </c>
    </row>
    <row r="11" ht="15.75" spans="1:14">
      <c r="A11" s="12" t="e">
        <f>'[4]#REF'!A11</f>
        <v>#REF!</v>
      </c>
      <c r="B11" s="12" t="e">
        <f>'[4]#REF'!B11</f>
        <v>#REF!</v>
      </c>
      <c r="C11" s="31" t="e">
        <f>'[4]#REF'!D11</f>
        <v>#REF!</v>
      </c>
      <c r="D11" s="32" t="e">
        <f t="shared" si="0"/>
        <v>#REF!</v>
      </c>
      <c r="F11" s="12" t="e">
        <f>'[4]#REF'!F11</f>
        <v>#REF!</v>
      </c>
      <c r="G11" s="12" t="e">
        <f>'[4]#REF'!G11</f>
        <v>#REF!</v>
      </c>
      <c r="H11" s="31" t="e">
        <f>'[4]#REF'!I11</f>
        <v>#REF!</v>
      </c>
      <c r="I11" s="32" t="e">
        <f t="shared" si="1"/>
        <v>#REF!</v>
      </c>
      <c r="K11" s="12" t="e">
        <f>'[4]#REF'!K11</f>
        <v>#REF!</v>
      </c>
      <c r="L11" s="12" t="e">
        <f>'[4]#REF'!L11</f>
        <v>#REF!</v>
      </c>
      <c r="M11" s="31" t="e">
        <f>'[4]#REF'!N11</f>
        <v>#REF!</v>
      </c>
      <c r="N11" s="32" t="e">
        <f t="shared" si="2"/>
        <v>#REF!</v>
      </c>
    </row>
    <row r="12" ht="15.75" spans="1:14">
      <c r="A12" s="12" t="e">
        <f>'[4]#REF'!A12</f>
        <v>#REF!</v>
      </c>
      <c r="B12" s="12" t="e">
        <f>'[4]#REF'!B12</f>
        <v>#REF!</v>
      </c>
      <c r="C12" s="31" t="e">
        <f>'[4]#REF'!D12</f>
        <v>#REF!</v>
      </c>
      <c r="D12" s="32" t="e">
        <f t="shared" si="0"/>
        <v>#REF!</v>
      </c>
      <c r="F12" s="12" t="e">
        <f>'[4]#REF'!F12</f>
        <v>#REF!</v>
      </c>
      <c r="G12" s="12" t="e">
        <f>'[4]#REF'!G12</f>
        <v>#REF!</v>
      </c>
      <c r="H12" s="31" t="e">
        <f>'[4]#REF'!I12</f>
        <v>#REF!</v>
      </c>
      <c r="I12" s="32" t="e">
        <f t="shared" si="1"/>
        <v>#REF!</v>
      </c>
      <c r="K12" s="12" t="e">
        <f>'[4]#REF'!K12</f>
        <v>#REF!</v>
      </c>
      <c r="L12" s="12" t="e">
        <f>'[4]#REF'!L12</f>
        <v>#REF!</v>
      </c>
      <c r="M12" s="31" t="e">
        <f>'[4]#REF'!N12</f>
        <v>#REF!</v>
      </c>
      <c r="N12" s="32" t="e">
        <f t="shared" si="2"/>
        <v>#REF!</v>
      </c>
    </row>
    <row r="13" ht="15.75" spans="1:14">
      <c r="A13" s="12" t="e">
        <f>'[4]#REF'!A13</f>
        <v>#REF!</v>
      </c>
      <c r="B13" s="12" t="e">
        <f>'[4]#REF'!B13</f>
        <v>#REF!</v>
      </c>
      <c r="C13" s="31" t="e">
        <f>'[4]#REF'!D13</f>
        <v>#REF!</v>
      </c>
      <c r="D13" s="32" t="e">
        <f t="shared" si="0"/>
        <v>#REF!</v>
      </c>
      <c r="F13" s="12" t="e">
        <f>'[4]#REF'!F13</f>
        <v>#REF!</v>
      </c>
      <c r="G13" s="12" t="e">
        <f>'[4]#REF'!G13</f>
        <v>#REF!</v>
      </c>
      <c r="H13" s="31" t="e">
        <f>'[4]#REF'!I13</f>
        <v>#REF!</v>
      </c>
      <c r="I13" s="32" t="e">
        <f t="shared" si="1"/>
        <v>#REF!</v>
      </c>
      <c r="K13" s="12" t="e">
        <f>'[4]#REF'!K13</f>
        <v>#REF!</v>
      </c>
      <c r="L13" s="12" t="e">
        <f>'[4]#REF'!L13</f>
        <v>#REF!</v>
      </c>
      <c r="M13" s="31" t="e">
        <f>'[4]#REF'!N13</f>
        <v>#REF!</v>
      </c>
      <c r="N13" s="32" t="e">
        <f t="shared" si="2"/>
        <v>#REF!</v>
      </c>
    </row>
    <row r="14" ht="15.75" spans="1:14">
      <c r="A14" s="12" t="e">
        <f>'[4]#REF'!A14</f>
        <v>#REF!</v>
      </c>
      <c r="B14" s="12" t="e">
        <f>'[4]#REF'!B14</f>
        <v>#REF!</v>
      </c>
      <c r="C14" s="31" t="e">
        <f>'[4]#REF'!D14</f>
        <v>#REF!</v>
      </c>
      <c r="D14" s="32" t="e">
        <f t="shared" si="0"/>
        <v>#REF!</v>
      </c>
      <c r="F14" s="12" t="e">
        <f>'[4]#REF'!F14</f>
        <v>#REF!</v>
      </c>
      <c r="G14" s="12" t="e">
        <f>'[4]#REF'!G14</f>
        <v>#REF!</v>
      </c>
      <c r="H14" s="31" t="e">
        <f>'[4]#REF'!I14</f>
        <v>#REF!</v>
      </c>
      <c r="I14" s="32" t="e">
        <f t="shared" si="1"/>
        <v>#REF!</v>
      </c>
      <c r="K14" s="12" t="e">
        <f>'[4]#REF'!K14</f>
        <v>#REF!</v>
      </c>
      <c r="L14" s="12" t="e">
        <f>'[4]#REF'!L14</f>
        <v>#REF!</v>
      </c>
      <c r="M14" s="31" t="e">
        <f>'[4]#REF'!N14</f>
        <v>#REF!</v>
      </c>
      <c r="N14" s="32" t="e">
        <f t="shared" si="2"/>
        <v>#REF!</v>
      </c>
    </row>
    <row r="15" ht="15.75" spans="1:14">
      <c r="A15" s="12" t="e">
        <f>'[4]#REF'!A15</f>
        <v>#REF!</v>
      </c>
      <c r="B15" s="12" t="e">
        <f>'[4]#REF'!B15</f>
        <v>#REF!</v>
      </c>
      <c r="C15" s="31" t="e">
        <f>'[4]#REF'!D15</f>
        <v>#REF!</v>
      </c>
      <c r="D15" s="32" t="e">
        <f t="shared" si="0"/>
        <v>#REF!</v>
      </c>
      <c r="F15" s="12" t="e">
        <f>'[4]#REF'!F15</f>
        <v>#REF!</v>
      </c>
      <c r="G15" s="12" t="e">
        <f>'[4]#REF'!G15</f>
        <v>#REF!</v>
      </c>
      <c r="H15" s="31" t="e">
        <f>'[4]#REF'!I15</f>
        <v>#REF!</v>
      </c>
      <c r="I15" s="32" t="e">
        <f t="shared" si="1"/>
        <v>#REF!</v>
      </c>
      <c r="K15" s="12" t="e">
        <f>'[4]#REF'!K15</f>
        <v>#REF!</v>
      </c>
      <c r="L15" s="12" t="e">
        <f>'[4]#REF'!L15</f>
        <v>#REF!</v>
      </c>
      <c r="M15" s="31" t="e">
        <f>'[4]#REF'!N15</f>
        <v>#REF!</v>
      </c>
      <c r="N15" s="32" t="e">
        <f t="shared" si="2"/>
        <v>#REF!</v>
      </c>
    </row>
    <row r="16" ht="15.75" spans="1:14">
      <c r="A16" s="12" t="e">
        <f>'[4]#REF'!A16</f>
        <v>#REF!</v>
      </c>
      <c r="B16" s="12" t="e">
        <f>'[4]#REF'!B16</f>
        <v>#REF!</v>
      </c>
      <c r="C16" s="31" t="e">
        <f>'[4]#REF'!D16</f>
        <v>#REF!</v>
      </c>
      <c r="D16" s="32" t="e">
        <f t="shared" si="0"/>
        <v>#REF!</v>
      </c>
      <c r="F16" s="12" t="e">
        <f>'[4]#REF'!F16</f>
        <v>#REF!</v>
      </c>
      <c r="G16" s="12" t="e">
        <f>'[4]#REF'!G16</f>
        <v>#REF!</v>
      </c>
      <c r="H16" s="31" t="e">
        <f>'[4]#REF'!I16</f>
        <v>#REF!</v>
      </c>
      <c r="I16" s="32" t="e">
        <f t="shared" si="1"/>
        <v>#REF!</v>
      </c>
      <c r="K16" s="12" t="e">
        <f>'[4]#REF'!K16</f>
        <v>#REF!</v>
      </c>
      <c r="L16" s="12" t="e">
        <f>'[4]#REF'!L16</f>
        <v>#REF!</v>
      </c>
      <c r="M16" s="31" t="e">
        <f>'[4]#REF'!N16</f>
        <v>#REF!</v>
      </c>
      <c r="N16" s="32" t="e">
        <f t="shared" si="2"/>
        <v>#REF!</v>
      </c>
    </row>
    <row r="17" ht="15.75" spans="1:14">
      <c r="A17" s="12" t="e">
        <f>'[4]#REF'!A17</f>
        <v>#REF!</v>
      </c>
      <c r="B17" s="12" t="e">
        <f>'[4]#REF'!B17</f>
        <v>#REF!</v>
      </c>
      <c r="C17" s="31" t="e">
        <f>'[4]#REF'!D17</f>
        <v>#REF!</v>
      </c>
      <c r="D17" s="32" t="e">
        <f t="shared" si="0"/>
        <v>#REF!</v>
      </c>
      <c r="F17" s="12" t="e">
        <f>'[4]#REF'!F17</f>
        <v>#REF!</v>
      </c>
      <c r="G17" s="12" t="e">
        <f>'[4]#REF'!G17</f>
        <v>#REF!</v>
      </c>
      <c r="H17" s="31" t="e">
        <f>'[4]#REF'!I17</f>
        <v>#REF!</v>
      </c>
      <c r="I17" s="32" t="e">
        <f t="shared" si="1"/>
        <v>#REF!</v>
      </c>
      <c r="K17" s="12" t="e">
        <f>'[4]#REF'!K17</f>
        <v>#REF!</v>
      </c>
      <c r="L17" s="12" t="e">
        <f>'[4]#REF'!L17</f>
        <v>#REF!</v>
      </c>
      <c r="M17" s="31" t="e">
        <f>'[4]#REF'!N17</f>
        <v>#REF!</v>
      </c>
      <c r="N17" s="32" t="e">
        <f t="shared" si="2"/>
        <v>#REF!</v>
      </c>
    </row>
    <row r="18" ht="15.75" spans="1:14">
      <c r="A18" s="12" t="e">
        <f>'[4]#REF'!A18</f>
        <v>#REF!</v>
      </c>
      <c r="B18" s="12" t="e">
        <f>'[4]#REF'!B18</f>
        <v>#REF!</v>
      </c>
      <c r="C18" s="31" t="e">
        <f>'[4]#REF'!D18</f>
        <v>#REF!</v>
      </c>
      <c r="D18" s="32" t="e">
        <f t="shared" si="0"/>
        <v>#REF!</v>
      </c>
      <c r="F18" s="12" t="e">
        <f>'[4]#REF'!F18</f>
        <v>#REF!</v>
      </c>
      <c r="G18" s="12" t="e">
        <f>'[4]#REF'!G18</f>
        <v>#REF!</v>
      </c>
      <c r="H18" s="31" t="e">
        <f>'[4]#REF'!I18</f>
        <v>#REF!</v>
      </c>
      <c r="I18" s="32" t="e">
        <f t="shared" si="1"/>
        <v>#REF!</v>
      </c>
      <c r="K18" s="12" t="e">
        <f>'[4]#REF'!K18</f>
        <v>#REF!</v>
      </c>
      <c r="L18" s="12" t="e">
        <f>'[4]#REF'!L18</f>
        <v>#REF!</v>
      </c>
      <c r="M18" s="31" t="e">
        <f>'[4]#REF'!N18</f>
        <v>#REF!</v>
      </c>
      <c r="N18" s="32" t="e">
        <f t="shared" si="2"/>
        <v>#REF!</v>
      </c>
    </row>
    <row r="19" ht="15.75" spans="1:14">
      <c r="A19" s="12" t="e">
        <f>'[4]#REF'!A19</f>
        <v>#REF!</v>
      </c>
      <c r="B19" s="12" t="e">
        <f>'[4]#REF'!B19</f>
        <v>#REF!</v>
      </c>
      <c r="C19" s="31" t="e">
        <f>'[4]#REF'!D19</f>
        <v>#REF!</v>
      </c>
      <c r="D19" s="32" t="e">
        <f t="shared" si="0"/>
        <v>#REF!</v>
      </c>
      <c r="F19" s="12" t="e">
        <f>'[4]#REF'!F19</f>
        <v>#REF!</v>
      </c>
      <c r="G19" s="12" t="e">
        <f>'[4]#REF'!G19</f>
        <v>#REF!</v>
      </c>
      <c r="H19" s="31" t="e">
        <f>'[4]#REF'!I19</f>
        <v>#REF!</v>
      </c>
      <c r="I19" s="32" t="e">
        <f t="shared" si="1"/>
        <v>#REF!</v>
      </c>
      <c r="K19" s="12" t="e">
        <f>'[4]#REF'!K19</f>
        <v>#REF!</v>
      </c>
      <c r="L19" s="12" t="e">
        <f>'[4]#REF'!L19</f>
        <v>#REF!</v>
      </c>
      <c r="M19" s="31" t="e">
        <f>'[4]#REF'!N19</f>
        <v>#REF!</v>
      </c>
      <c r="N19" s="32" t="e">
        <f t="shared" si="2"/>
        <v>#REF!</v>
      </c>
    </row>
    <row r="20" ht="15.75" spans="1:14">
      <c r="A20" s="12" t="e">
        <f>'[4]#REF'!A20</f>
        <v>#REF!</v>
      </c>
      <c r="B20" s="12" t="e">
        <f>'[4]#REF'!B20</f>
        <v>#REF!</v>
      </c>
      <c r="C20" s="31" t="e">
        <f>'[4]#REF'!D20</f>
        <v>#REF!</v>
      </c>
      <c r="D20" s="32" t="e">
        <f t="shared" si="0"/>
        <v>#REF!</v>
      </c>
      <c r="F20" s="12" t="e">
        <f>'[4]#REF'!F20</f>
        <v>#REF!</v>
      </c>
      <c r="G20" s="12" t="e">
        <f>'[4]#REF'!G20</f>
        <v>#REF!</v>
      </c>
      <c r="H20" s="31" t="e">
        <f>'[4]#REF'!I20</f>
        <v>#REF!</v>
      </c>
      <c r="I20" s="32" t="e">
        <f t="shared" si="1"/>
        <v>#REF!</v>
      </c>
      <c r="K20" s="12" t="e">
        <f>'[4]#REF'!K20</f>
        <v>#REF!</v>
      </c>
      <c r="L20" s="12" t="e">
        <f>'[4]#REF'!L20</f>
        <v>#REF!</v>
      </c>
      <c r="M20" s="31" t="e">
        <f>'[4]#REF'!N20</f>
        <v>#REF!</v>
      </c>
      <c r="N20" s="32" t="e">
        <f t="shared" si="2"/>
        <v>#REF!</v>
      </c>
    </row>
    <row r="21" ht="15.75" spans="1:14">
      <c r="A21" s="12" t="e">
        <f>'[4]#REF'!A21</f>
        <v>#REF!</v>
      </c>
      <c r="B21" s="12" t="e">
        <f>'[4]#REF'!B21</f>
        <v>#REF!</v>
      </c>
      <c r="C21" s="31" t="e">
        <f>'[4]#REF'!D21</f>
        <v>#REF!</v>
      </c>
      <c r="D21" s="32" t="e">
        <f t="shared" si="0"/>
        <v>#REF!</v>
      </c>
      <c r="F21" s="12" t="e">
        <f>'[4]#REF'!F21</f>
        <v>#REF!</v>
      </c>
      <c r="G21" s="12" t="e">
        <f>'[4]#REF'!G21</f>
        <v>#REF!</v>
      </c>
      <c r="H21" s="31" t="e">
        <f>'[4]#REF'!I21</f>
        <v>#REF!</v>
      </c>
      <c r="I21" s="32" t="e">
        <f t="shared" si="1"/>
        <v>#REF!</v>
      </c>
      <c r="K21" s="12" t="e">
        <f>'[4]#REF'!K21</f>
        <v>#REF!</v>
      </c>
      <c r="L21" s="12" t="e">
        <f>'[4]#REF'!L21</f>
        <v>#REF!</v>
      </c>
      <c r="M21" s="31" t="e">
        <f>'[4]#REF'!N21</f>
        <v>#REF!</v>
      </c>
      <c r="N21" s="32" t="e">
        <f t="shared" si="2"/>
        <v>#REF!</v>
      </c>
    </row>
    <row r="22" ht="15.75" spans="1:14">
      <c r="A22" s="12" t="e">
        <f>'[4]#REF'!A22</f>
        <v>#REF!</v>
      </c>
      <c r="B22" s="12" t="e">
        <f>'[4]#REF'!B22</f>
        <v>#REF!</v>
      </c>
      <c r="C22" s="31" t="e">
        <f>'[4]#REF'!D22</f>
        <v>#REF!</v>
      </c>
      <c r="D22" s="32" t="e">
        <f t="shared" si="0"/>
        <v>#REF!</v>
      </c>
      <c r="F22" s="12" t="e">
        <f>'[4]#REF'!F22</f>
        <v>#REF!</v>
      </c>
      <c r="G22" s="12" t="e">
        <f>'[4]#REF'!G22</f>
        <v>#REF!</v>
      </c>
      <c r="H22" s="31" t="e">
        <f>'[4]#REF'!I22</f>
        <v>#REF!</v>
      </c>
      <c r="I22" s="32" t="e">
        <f t="shared" si="1"/>
        <v>#REF!</v>
      </c>
      <c r="K22" s="12" t="e">
        <f>'[4]#REF'!K22</f>
        <v>#REF!</v>
      </c>
      <c r="L22" s="12" t="e">
        <f>'[4]#REF'!L22</f>
        <v>#REF!</v>
      </c>
      <c r="M22" s="31" t="e">
        <f>'[4]#REF'!N22</f>
        <v>#REF!</v>
      </c>
      <c r="N22" s="32" t="e">
        <f t="shared" si="2"/>
        <v>#REF!</v>
      </c>
    </row>
    <row r="23" ht="15.75" spans="1:14">
      <c r="A23" s="12" t="e">
        <f>'[4]#REF'!A23</f>
        <v>#REF!</v>
      </c>
      <c r="B23" s="12" t="e">
        <f>'[4]#REF'!B23</f>
        <v>#REF!</v>
      </c>
      <c r="C23" s="31" t="e">
        <f>'[4]#REF'!D23</f>
        <v>#REF!</v>
      </c>
      <c r="D23" s="32" t="e">
        <f t="shared" si="0"/>
        <v>#REF!</v>
      </c>
      <c r="F23" s="12" t="e">
        <f>'[4]#REF'!F23</f>
        <v>#REF!</v>
      </c>
      <c r="G23" s="12" t="e">
        <f>'[4]#REF'!G23</f>
        <v>#REF!</v>
      </c>
      <c r="H23" s="31" t="e">
        <f>'[4]#REF'!I23</f>
        <v>#REF!</v>
      </c>
      <c r="I23" s="32" t="e">
        <f t="shared" si="1"/>
        <v>#REF!</v>
      </c>
      <c r="K23" s="12" t="e">
        <f>'[4]#REF'!K23</f>
        <v>#REF!</v>
      </c>
      <c r="L23" s="12" t="e">
        <f>'[4]#REF'!L23</f>
        <v>#REF!</v>
      </c>
      <c r="M23" s="31" t="e">
        <f>'[4]#REF'!N23</f>
        <v>#REF!</v>
      </c>
      <c r="N23" s="32" t="e">
        <f t="shared" si="2"/>
        <v>#REF!</v>
      </c>
    </row>
    <row r="24" ht="15.75" spans="1:14">
      <c r="A24" s="12" t="e">
        <f>'[4]#REF'!A24</f>
        <v>#REF!</v>
      </c>
      <c r="B24" s="12" t="e">
        <f>'[4]#REF'!B24</f>
        <v>#REF!</v>
      </c>
      <c r="C24" s="31" t="e">
        <f>'[4]#REF'!D24</f>
        <v>#REF!</v>
      </c>
      <c r="D24" s="32" t="e">
        <f t="shared" si="0"/>
        <v>#REF!</v>
      </c>
      <c r="F24" s="12" t="e">
        <f>'[4]#REF'!F24</f>
        <v>#REF!</v>
      </c>
      <c r="G24" s="12" t="e">
        <f>'[4]#REF'!G24</f>
        <v>#REF!</v>
      </c>
      <c r="H24" s="31" t="e">
        <f>'[4]#REF'!I24</f>
        <v>#REF!</v>
      </c>
      <c r="I24" s="32" t="e">
        <f t="shared" si="1"/>
        <v>#REF!</v>
      </c>
      <c r="K24" s="12" t="e">
        <f>'[4]#REF'!K24</f>
        <v>#REF!</v>
      </c>
      <c r="L24" s="12" t="e">
        <f>'[4]#REF'!L24</f>
        <v>#REF!</v>
      </c>
      <c r="M24" s="31" t="e">
        <f>'[4]#REF'!N24</f>
        <v>#REF!</v>
      </c>
      <c r="N24" s="32" t="e">
        <f t="shared" si="2"/>
        <v>#REF!</v>
      </c>
    </row>
    <row r="25" ht="15.75" spans="1:14">
      <c r="A25" s="12" t="e">
        <f>'[4]#REF'!A25</f>
        <v>#REF!</v>
      </c>
      <c r="B25" s="12" t="e">
        <f>'[4]#REF'!B25</f>
        <v>#REF!</v>
      </c>
      <c r="C25" s="31" t="e">
        <f>'[4]#REF'!D25</f>
        <v>#REF!</v>
      </c>
      <c r="D25" s="32" t="e">
        <f t="shared" si="0"/>
        <v>#REF!</v>
      </c>
      <c r="F25" s="12" t="e">
        <f>'[4]#REF'!F25</f>
        <v>#REF!</v>
      </c>
      <c r="G25" s="12" t="e">
        <f>'[4]#REF'!G25</f>
        <v>#REF!</v>
      </c>
      <c r="H25" s="31" t="e">
        <f>'[4]#REF'!I25</f>
        <v>#REF!</v>
      </c>
      <c r="I25" s="32" t="e">
        <f t="shared" si="1"/>
        <v>#REF!</v>
      </c>
      <c r="K25" s="12" t="e">
        <f>'[4]#REF'!K25</f>
        <v>#REF!</v>
      </c>
      <c r="L25" s="12" t="e">
        <f>'[4]#REF'!L25</f>
        <v>#REF!</v>
      </c>
      <c r="M25" s="31" t="e">
        <f>'[4]#REF'!N25</f>
        <v>#REF!</v>
      </c>
      <c r="N25" s="32" t="e">
        <f t="shared" si="2"/>
        <v>#REF!</v>
      </c>
    </row>
    <row r="26" ht="15.75" spans="1:14">
      <c r="A26" s="12" t="e">
        <f>'[4]#REF'!A26</f>
        <v>#REF!</v>
      </c>
      <c r="B26" s="12" t="e">
        <f>'[4]#REF'!B26</f>
        <v>#REF!</v>
      </c>
      <c r="C26" s="31" t="e">
        <f>'[4]#REF'!D26</f>
        <v>#REF!</v>
      </c>
      <c r="D26" s="32" t="e">
        <f t="shared" si="0"/>
        <v>#REF!</v>
      </c>
      <c r="F26" s="12" t="e">
        <f>'[4]#REF'!F26</f>
        <v>#REF!</v>
      </c>
      <c r="G26" s="12" t="e">
        <f>'[4]#REF'!G26</f>
        <v>#REF!</v>
      </c>
      <c r="H26" s="31" t="e">
        <f>'[4]#REF'!I26</f>
        <v>#REF!</v>
      </c>
      <c r="I26" s="32" t="e">
        <f t="shared" si="1"/>
        <v>#REF!</v>
      </c>
      <c r="K26" s="12" t="e">
        <f>'[4]#REF'!K26</f>
        <v>#REF!</v>
      </c>
      <c r="L26" s="12" t="e">
        <f>'[4]#REF'!L26</f>
        <v>#REF!</v>
      </c>
      <c r="M26" s="31" t="e">
        <f>'[4]#REF'!N26</f>
        <v>#REF!</v>
      </c>
      <c r="N26" s="32" t="e">
        <f t="shared" si="2"/>
        <v>#REF!</v>
      </c>
    </row>
    <row r="27" ht="15.75" spans="1:14">
      <c r="A27" s="12" t="e">
        <f>'[4]#REF'!A27</f>
        <v>#REF!</v>
      </c>
      <c r="B27" s="12" t="e">
        <f>'[4]#REF'!B27</f>
        <v>#REF!</v>
      </c>
      <c r="C27" s="31" t="e">
        <f>'[4]#REF'!D27</f>
        <v>#REF!</v>
      </c>
      <c r="D27" s="32" t="e">
        <f t="shared" si="0"/>
        <v>#REF!</v>
      </c>
      <c r="F27" s="12" t="e">
        <f>'[4]#REF'!F27</f>
        <v>#REF!</v>
      </c>
      <c r="G27" s="12" t="e">
        <f>'[4]#REF'!G27</f>
        <v>#REF!</v>
      </c>
      <c r="H27" s="31" t="e">
        <f>'[4]#REF'!I27</f>
        <v>#REF!</v>
      </c>
      <c r="I27" s="32" t="e">
        <f t="shared" si="1"/>
        <v>#REF!</v>
      </c>
      <c r="K27" s="12" t="e">
        <f>'[4]#REF'!K27</f>
        <v>#REF!</v>
      </c>
      <c r="L27" s="12" t="e">
        <f>'[4]#REF'!L27</f>
        <v>#REF!</v>
      </c>
      <c r="M27" s="31" t="e">
        <f>'[4]#REF'!N27</f>
        <v>#REF!</v>
      </c>
      <c r="N27" s="32" t="e">
        <f t="shared" si="2"/>
        <v>#REF!</v>
      </c>
    </row>
    <row r="28" ht="15.75" spans="1:14">
      <c r="A28" s="12" t="e">
        <f>'[4]#REF'!A28</f>
        <v>#REF!</v>
      </c>
      <c r="B28" s="12" t="e">
        <f>'[4]#REF'!B28</f>
        <v>#REF!</v>
      </c>
      <c r="C28" s="31" t="e">
        <f>'[4]#REF'!D28</f>
        <v>#REF!</v>
      </c>
      <c r="D28" s="32" t="e">
        <f t="shared" si="0"/>
        <v>#REF!</v>
      </c>
      <c r="F28" s="12" t="e">
        <f>'[4]#REF'!F28</f>
        <v>#REF!</v>
      </c>
      <c r="G28" s="12" t="e">
        <f>'[4]#REF'!G28</f>
        <v>#REF!</v>
      </c>
      <c r="H28" s="31" t="e">
        <f>'[4]#REF'!I28</f>
        <v>#REF!</v>
      </c>
      <c r="I28" s="32" t="e">
        <f t="shared" si="1"/>
        <v>#REF!</v>
      </c>
      <c r="K28" s="12" t="e">
        <f>'[4]#REF'!K28</f>
        <v>#REF!</v>
      </c>
      <c r="L28" s="12" t="e">
        <f>'[4]#REF'!L28</f>
        <v>#REF!</v>
      </c>
      <c r="M28" s="31" t="e">
        <f>'[4]#REF'!N28</f>
        <v>#REF!</v>
      </c>
      <c r="N28" s="32" t="e">
        <f t="shared" si="2"/>
        <v>#REF!</v>
      </c>
    </row>
    <row r="29" ht="15.75" spans="1:14">
      <c r="A29" s="12" t="e">
        <f>'[4]#REF'!A29</f>
        <v>#REF!</v>
      </c>
      <c r="B29" s="12" t="e">
        <f>'[4]#REF'!B29</f>
        <v>#REF!</v>
      </c>
      <c r="C29" s="31" t="e">
        <f>'[4]#REF'!D29</f>
        <v>#REF!</v>
      </c>
      <c r="D29" s="32" t="e">
        <f t="shared" si="0"/>
        <v>#REF!</v>
      </c>
      <c r="F29" s="12" t="e">
        <f>'[4]#REF'!F29</f>
        <v>#REF!</v>
      </c>
      <c r="G29" s="12" t="e">
        <f>'[4]#REF'!G29</f>
        <v>#REF!</v>
      </c>
      <c r="H29" s="31" t="e">
        <f>'[4]#REF'!I29</f>
        <v>#REF!</v>
      </c>
      <c r="I29" s="32" t="e">
        <f t="shared" si="1"/>
        <v>#REF!</v>
      </c>
      <c r="K29" s="12" t="e">
        <f>'[4]#REF'!K29</f>
        <v>#REF!</v>
      </c>
      <c r="L29" s="12" t="e">
        <f>'[4]#REF'!L29</f>
        <v>#REF!</v>
      </c>
      <c r="M29" s="31" t="e">
        <f>'[4]#REF'!N29</f>
        <v>#REF!</v>
      </c>
      <c r="N29" s="32" t="e">
        <f t="shared" si="2"/>
        <v>#REF!</v>
      </c>
    </row>
    <row r="30" ht="15.75" spans="1:14">
      <c r="A30" s="12" t="e">
        <f>'[4]#REF'!A30</f>
        <v>#REF!</v>
      </c>
      <c r="B30" s="12" t="e">
        <f>'[4]#REF'!B30</f>
        <v>#REF!</v>
      </c>
      <c r="C30" s="31" t="e">
        <f>'[4]#REF'!D30</f>
        <v>#REF!</v>
      </c>
      <c r="D30" s="32" t="e">
        <f t="shared" si="0"/>
        <v>#REF!</v>
      </c>
      <c r="F30" s="12" t="e">
        <f>'[4]#REF'!F30</f>
        <v>#REF!</v>
      </c>
      <c r="G30" s="12" t="e">
        <f>'[4]#REF'!G30</f>
        <v>#REF!</v>
      </c>
      <c r="H30" s="31" t="e">
        <f>'[4]#REF'!I30</f>
        <v>#REF!</v>
      </c>
      <c r="I30" s="32" t="e">
        <f t="shared" si="1"/>
        <v>#REF!</v>
      </c>
      <c r="K30" s="12" t="e">
        <f>'[4]#REF'!K30</f>
        <v>#REF!</v>
      </c>
      <c r="L30" s="12" t="e">
        <f>'[4]#REF'!L30</f>
        <v>#REF!</v>
      </c>
      <c r="M30" s="31" t="e">
        <f>'[4]#REF'!N30</f>
        <v>#REF!</v>
      </c>
      <c r="N30" s="32" t="e">
        <f t="shared" si="2"/>
        <v>#REF!</v>
      </c>
    </row>
    <row r="31" ht="15.75" spans="1:14">
      <c r="A31" s="12" t="e">
        <f>'[4]#REF'!A31</f>
        <v>#REF!</v>
      </c>
      <c r="B31" s="12" t="e">
        <f>'[4]#REF'!B31</f>
        <v>#REF!</v>
      </c>
      <c r="C31" s="31" t="e">
        <f>'[4]#REF'!D31</f>
        <v>#REF!</v>
      </c>
      <c r="D31" s="32" t="e">
        <f t="shared" si="0"/>
        <v>#REF!</v>
      </c>
      <c r="F31" s="12" t="e">
        <f>'[4]#REF'!F31</f>
        <v>#REF!</v>
      </c>
      <c r="G31" s="12" t="e">
        <f>'[4]#REF'!G31</f>
        <v>#REF!</v>
      </c>
      <c r="H31" s="31" t="e">
        <f>'[4]#REF'!I31</f>
        <v>#REF!</v>
      </c>
      <c r="I31" s="32" t="e">
        <f t="shared" si="1"/>
        <v>#REF!</v>
      </c>
      <c r="K31" s="12" t="e">
        <f>'[4]#REF'!K31</f>
        <v>#REF!</v>
      </c>
      <c r="L31" s="12" t="e">
        <f>'[4]#REF'!L31</f>
        <v>#REF!</v>
      </c>
      <c r="M31" s="31" t="e">
        <f>'[4]#REF'!N31</f>
        <v>#REF!</v>
      </c>
      <c r="N31" s="32" t="e">
        <f t="shared" si="2"/>
        <v>#REF!</v>
      </c>
    </row>
    <row r="32" ht="15.75" spans="1:14">
      <c r="A32" s="12" t="e">
        <f>'[4]#REF'!A32</f>
        <v>#REF!</v>
      </c>
      <c r="B32" s="12" t="e">
        <f>'[4]#REF'!B32</f>
        <v>#REF!</v>
      </c>
      <c r="C32" s="31" t="e">
        <f>'[4]#REF'!D32</f>
        <v>#REF!</v>
      </c>
      <c r="D32" s="32" t="e">
        <f t="shared" si="0"/>
        <v>#REF!</v>
      </c>
      <c r="F32" s="12" t="e">
        <f>'[4]#REF'!F32</f>
        <v>#REF!</v>
      </c>
      <c r="G32" s="12" t="e">
        <f>'[4]#REF'!G32</f>
        <v>#REF!</v>
      </c>
      <c r="H32" s="31" t="e">
        <f>'[4]#REF'!I32</f>
        <v>#REF!</v>
      </c>
      <c r="I32" s="32" t="e">
        <f t="shared" si="1"/>
        <v>#REF!</v>
      </c>
      <c r="K32" s="12" t="e">
        <f>'[4]#REF'!K32</f>
        <v>#REF!</v>
      </c>
      <c r="L32" s="12" t="e">
        <f>'[4]#REF'!L32</f>
        <v>#REF!</v>
      </c>
      <c r="M32" s="31" t="e">
        <f>'[4]#REF'!N32</f>
        <v>#REF!</v>
      </c>
      <c r="N32" s="32" t="e">
        <f t="shared" si="2"/>
        <v>#REF!</v>
      </c>
    </row>
    <row r="33" ht="15.75" spans="1:14">
      <c r="A33" s="12" t="e">
        <f>'[4]#REF'!A33</f>
        <v>#REF!</v>
      </c>
      <c r="B33" s="12" t="e">
        <f>'[4]#REF'!B33</f>
        <v>#REF!</v>
      </c>
      <c r="C33" s="31" t="e">
        <f>'[4]#REF'!D33</f>
        <v>#REF!</v>
      </c>
      <c r="D33" s="32" t="e">
        <f t="shared" si="0"/>
        <v>#REF!</v>
      </c>
      <c r="F33" s="12" t="e">
        <f>'[4]#REF'!F33</f>
        <v>#REF!</v>
      </c>
      <c r="G33" s="12" t="e">
        <f>'[4]#REF'!G33</f>
        <v>#REF!</v>
      </c>
      <c r="H33" s="31" t="e">
        <f>'[4]#REF'!I33</f>
        <v>#REF!</v>
      </c>
      <c r="I33" s="32" t="e">
        <f t="shared" si="1"/>
        <v>#REF!</v>
      </c>
      <c r="K33" s="12" t="e">
        <f>'[4]#REF'!K33</f>
        <v>#REF!</v>
      </c>
      <c r="L33" s="12" t="e">
        <f>'[4]#REF'!L33</f>
        <v>#REF!</v>
      </c>
      <c r="M33" s="31" t="e">
        <f>'[4]#REF'!N33</f>
        <v>#REF!</v>
      </c>
      <c r="N33" s="32" t="e">
        <f t="shared" si="2"/>
        <v>#REF!</v>
      </c>
    </row>
    <row r="34" ht="15.75" spans="1:14">
      <c r="A34" s="12" t="e">
        <f>'[4]#REF'!A34</f>
        <v>#REF!</v>
      </c>
      <c r="B34" s="12" t="e">
        <f>'[4]#REF'!B34</f>
        <v>#REF!</v>
      </c>
      <c r="C34" s="31" t="e">
        <f>'[4]#REF'!D34</f>
        <v>#REF!</v>
      </c>
      <c r="D34" s="32" t="e">
        <f t="shared" si="0"/>
        <v>#REF!</v>
      </c>
      <c r="F34" s="12" t="e">
        <f>'[4]#REF'!F34</f>
        <v>#REF!</v>
      </c>
      <c r="G34" s="12" t="e">
        <f>'[4]#REF'!G34</f>
        <v>#REF!</v>
      </c>
      <c r="H34" s="31" t="e">
        <f>'[4]#REF'!I34</f>
        <v>#REF!</v>
      </c>
      <c r="I34" s="32" t="e">
        <f t="shared" si="1"/>
        <v>#REF!</v>
      </c>
      <c r="K34" s="12" t="e">
        <f>'[4]#REF'!K34</f>
        <v>#REF!</v>
      </c>
      <c r="L34" s="12" t="e">
        <f>'[4]#REF'!L34</f>
        <v>#REF!</v>
      </c>
      <c r="M34" s="31" t="e">
        <f>'[4]#REF'!N34</f>
        <v>#REF!</v>
      </c>
      <c r="N34" s="32" t="e">
        <f t="shared" si="2"/>
        <v>#REF!</v>
      </c>
    </row>
    <row r="35" ht="15.75" spans="1:14">
      <c r="A35" s="12" t="e">
        <f>'[4]#REF'!A35</f>
        <v>#REF!</v>
      </c>
      <c r="B35" s="12" t="e">
        <f>'[4]#REF'!B35</f>
        <v>#REF!</v>
      </c>
      <c r="C35" s="31" t="e">
        <f>'[4]#REF'!D35</f>
        <v>#REF!</v>
      </c>
      <c r="D35" s="32" t="e">
        <f t="shared" si="0"/>
        <v>#REF!</v>
      </c>
      <c r="F35" s="12" t="e">
        <f>'[4]#REF'!F35</f>
        <v>#REF!</v>
      </c>
      <c r="G35" s="12" t="e">
        <f>'[4]#REF'!G35</f>
        <v>#REF!</v>
      </c>
      <c r="H35" s="31" t="e">
        <f>'[4]#REF'!I35</f>
        <v>#REF!</v>
      </c>
      <c r="I35" s="32" t="e">
        <f t="shared" si="1"/>
        <v>#REF!</v>
      </c>
      <c r="K35" s="12" t="e">
        <f>'[4]#REF'!K35</f>
        <v>#REF!</v>
      </c>
      <c r="L35" s="12" t="e">
        <f>'[4]#REF'!L35</f>
        <v>#REF!</v>
      </c>
      <c r="M35" s="31" t="e">
        <f>'[4]#REF'!N35</f>
        <v>#REF!</v>
      </c>
      <c r="N35" s="32" t="e">
        <f t="shared" si="2"/>
        <v>#REF!</v>
      </c>
    </row>
    <row r="36" ht="15.75" spans="1:14">
      <c r="A36" s="12" t="e">
        <f>'[4]#REF'!A36</f>
        <v>#REF!</v>
      </c>
      <c r="B36" s="12" t="e">
        <f>'[4]#REF'!B36</f>
        <v>#REF!</v>
      </c>
      <c r="C36" s="31" t="e">
        <f>'[4]#REF'!D36</f>
        <v>#REF!</v>
      </c>
      <c r="D36" s="32" t="e">
        <f t="shared" si="0"/>
        <v>#REF!</v>
      </c>
      <c r="F36" s="12" t="e">
        <f>'[4]#REF'!F36</f>
        <v>#REF!</v>
      </c>
      <c r="G36" s="12" t="e">
        <f>'[4]#REF'!G36</f>
        <v>#REF!</v>
      </c>
      <c r="H36" s="31" t="e">
        <f>'[4]#REF'!I36</f>
        <v>#REF!</v>
      </c>
      <c r="I36" s="32" t="e">
        <f t="shared" si="1"/>
        <v>#REF!</v>
      </c>
      <c r="K36" s="12" t="e">
        <f>'[4]#REF'!K36</f>
        <v>#REF!</v>
      </c>
      <c r="L36" s="12" t="e">
        <f>'[4]#REF'!L36</f>
        <v>#REF!</v>
      </c>
      <c r="M36" s="31" t="e">
        <f>'[4]#REF'!N36</f>
        <v>#REF!</v>
      </c>
      <c r="N36" s="32" t="e">
        <f t="shared" si="2"/>
        <v>#REF!</v>
      </c>
    </row>
    <row r="37" ht="15.75" spans="1:14">
      <c r="A37" s="12" t="e">
        <f>'[4]#REF'!A37</f>
        <v>#REF!</v>
      </c>
      <c r="B37" s="12" t="e">
        <f>'[4]#REF'!B37</f>
        <v>#REF!</v>
      </c>
      <c r="C37" s="31" t="e">
        <f>'[4]#REF'!D37</f>
        <v>#REF!</v>
      </c>
      <c r="D37" s="32" t="e">
        <f t="shared" si="0"/>
        <v>#REF!</v>
      </c>
      <c r="F37" s="12" t="e">
        <f>'[4]#REF'!F37</f>
        <v>#REF!</v>
      </c>
      <c r="G37" s="12" t="e">
        <f>'[4]#REF'!G37</f>
        <v>#REF!</v>
      </c>
      <c r="H37" s="31" t="e">
        <f>'[4]#REF'!I37</f>
        <v>#REF!</v>
      </c>
      <c r="I37" s="32" t="e">
        <f t="shared" si="1"/>
        <v>#REF!</v>
      </c>
      <c r="K37" s="12" t="e">
        <f>'[4]#REF'!K37</f>
        <v>#REF!</v>
      </c>
      <c r="L37" s="12" t="e">
        <f>'[4]#REF'!L37</f>
        <v>#REF!</v>
      </c>
      <c r="M37" s="31" t="e">
        <f>'[4]#REF'!N37</f>
        <v>#REF!</v>
      </c>
      <c r="N37" s="32" t="e">
        <f t="shared" si="2"/>
        <v>#REF!</v>
      </c>
    </row>
    <row r="38" ht="15.75" spans="1:14">
      <c r="A38" s="12" t="e">
        <f>'[4]#REF'!A38</f>
        <v>#REF!</v>
      </c>
      <c r="B38" s="12" t="e">
        <f>'[4]#REF'!B38</f>
        <v>#REF!</v>
      </c>
      <c r="C38" s="31" t="e">
        <f>'[4]#REF'!D38</f>
        <v>#REF!</v>
      </c>
      <c r="D38" s="32" t="e">
        <f t="shared" si="0"/>
        <v>#REF!</v>
      </c>
      <c r="F38" s="12" t="e">
        <f>'[4]#REF'!F38</f>
        <v>#REF!</v>
      </c>
      <c r="G38" s="12" t="e">
        <f>'[4]#REF'!G38</f>
        <v>#REF!</v>
      </c>
      <c r="H38" s="31" t="e">
        <f>'[4]#REF'!I38</f>
        <v>#REF!</v>
      </c>
      <c r="I38" s="32" t="e">
        <f t="shared" si="1"/>
        <v>#REF!</v>
      </c>
      <c r="K38" s="12" t="e">
        <f>'[4]#REF'!K38</f>
        <v>#REF!</v>
      </c>
      <c r="L38" s="12" t="e">
        <f>'[4]#REF'!L38</f>
        <v>#REF!</v>
      </c>
      <c r="M38" s="31" t="e">
        <f>'[4]#REF'!N38</f>
        <v>#REF!</v>
      </c>
      <c r="N38" s="32" t="e">
        <f t="shared" si="2"/>
        <v>#REF!</v>
      </c>
    </row>
    <row r="39" ht="15.75" spans="1:14">
      <c r="A39" s="12" t="e">
        <f>'[4]#REF'!A39</f>
        <v>#REF!</v>
      </c>
      <c r="B39" s="12" t="e">
        <f>'[4]#REF'!B39</f>
        <v>#REF!</v>
      </c>
      <c r="C39" s="31" t="e">
        <f>'[4]#REF'!D39</f>
        <v>#REF!</v>
      </c>
      <c r="D39" s="32" t="e">
        <f t="shared" si="0"/>
        <v>#REF!</v>
      </c>
      <c r="F39" s="12" t="e">
        <f>'[4]#REF'!F39</f>
        <v>#REF!</v>
      </c>
      <c r="G39" s="12" t="e">
        <f>'[4]#REF'!G39</f>
        <v>#REF!</v>
      </c>
      <c r="H39" s="31" t="e">
        <f>'[4]#REF'!I39</f>
        <v>#REF!</v>
      </c>
      <c r="I39" s="32" t="e">
        <f t="shared" si="1"/>
        <v>#REF!</v>
      </c>
      <c r="K39" s="12" t="e">
        <f>'[4]#REF'!K39</f>
        <v>#REF!</v>
      </c>
      <c r="L39" s="12" t="e">
        <f>'[4]#REF'!L39</f>
        <v>#REF!</v>
      </c>
      <c r="M39" s="31" t="e">
        <f>'[4]#REF'!N39</f>
        <v>#REF!</v>
      </c>
      <c r="N39" s="32" t="e">
        <f t="shared" si="2"/>
        <v>#REF!</v>
      </c>
    </row>
    <row r="40" ht="15.75" spans="1:14">
      <c r="A40" s="12" t="e">
        <f>'[4]#REF'!A40</f>
        <v>#REF!</v>
      </c>
      <c r="B40" s="12" t="e">
        <f>'[4]#REF'!B40</f>
        <v>#REF!</v>
      </c>
      <c r="C40" s="31" t="e">
        <f>'[4]#REF'!D40</f>
        <v>#REF!</v>
      </c>
      <c r="D40" s="32" t="e">
        <f t="shared" si="0"/>
        <v>#REF!</v>
      </c>
      <c r="F40" s="12" t="e">
        <f>'[4]#REF'!F40</f>
        <v>#REF!</v>
      </c>
      <c r="G40" s="12" t="e">
        <f>'[4]#REF'!G40</f>
        <v>#REF!</v>
      </c>
      <c r="H40" s="31" t="e">
        <f>'[4]#REF'!I40</f>
        <v>#REF!</v>
      </c>
      <c r="I40" s="32" t="e">
        <f t="shared" si="1"/>
        <v>#REF!</v>
      </c>
      <c r="K40" s="12" t="e">
        <f>'[4]#REF'!K40</f>
        <v>#REF!</v>
      </c>
      <c r="L40" s="12" t="e">
        <f>'[4]#REF'!L40</f>
        <v>#REF!</v>
      </c>
      <c r="M40" s="31" t="e">
        <f>'[4]#REF'!N40</f>
        <v>#REF!</v>
      </c>
      <c r="N40" s="32" t="e">
        <f t="shared" si="2"/>
        <v>#REF!</v>
      </c>
    </row>
    <row r="41" ht="15.75" spans="1:14">
      <c r="A41" s="12" t="e">
        <f>'[4]#REF'!A41</f>
        <v>#REF!</v>
      </c>
      <c r="B41" s="12" t="e">
        <f>'[4]#REF'!B41</f>
        <v>#REF!</v>
      </c>
      <c r="C41" s="31" t="e">
        <f>'[4]#REF'!D41</f>
        <v>#REF!</v>
      </c>
      <c r="D41" s="32" t="e">
        <f t="shared" si="0"/>
        <v>#REF!</v>
      </c>
      <c r="F41" s="12" t="e">
        <f>'[4]#REF'!F41</f>
        <v>#REF!</v>
      </c>
      <c r="G41" s="12" t="e">
        <f>'[4]#REF'!G41</f>
        <v>#REF!</v>
      </c>
      <c r="H41" s="31" t="e">
        <f>'[4]#REF'!I41</f>
        <v>#REF!</v>
      </c>
      <c r="I41" s="32" t="e">
        <f t="shared" si="1"/>
        <v>#REF!</v>
      </c>
      <c r="K41" s="12" t="e">
        <f>'[4]#REF'!K41</f>
        <v>#REF!</v>
      </c>
      <c r="L41" s="12" t="e">
        <f>'[4]#REF'!L41</f>
        <v>#REF!</v>
      </c>
      <c r="M41" s="31" t="e">
        <f>'[4]#REF'!N41</f>
        <v>#REF!</v>
      </c>
      <c r="N41" s="32" t="e">
        <f t="shared" si="2"/>
        <v>#REF!</v>
      </c>
    </row>
    <row r="42" ht="15.75" spans="1:14">
      <c r="A42" s="12" t="e">
        <f>'[4]#REF'!A42</f>
        <v>#REF!</v>
      </c>
      <c r="B42" s="12" t="e">
        <f>'[4]#REF'!B42</f>
        <v>#REF!</v>
      </c>
      <c r="C42" s="31" t="e">
        <f>'[4]#REF'!D42</f>
        <v>#REF!</v>
      </c>
      <c r="D42" s="32" t="e">
        <f t="shared" si="0"/>
        <v>#REF!</v>
      </c>
      <c r="F42" s="12" t="e">
        <f>'[4]#REF'!F42</f>
        <v>#REF!</v>
      </c>
      <c r="G42" s="12" t="e">
        <f>'[4]#REF'!G42</f>
        <v>#REF!</v>
      </c>
      <c r="H42" s="31" t="e">
        <f>'[4]#REF'!I42</f>
        <v>#REF!</v>
      </c>
      <c r="I42" s="32" t="e">
        <f t="shared" si="1"/>
        <v>#REF!</v>
      </c>
      <c r="K42" s="12" t="e">
        <f>'[4]#REF'!K42</f>
        <v>#REF!</v>
      </c>
      <c r="L42" s="12" t="e">
        <f>'[4]#REF'!L42</f>
        <v>#REF!</v>
      </c>
      <c r="M42" s="31" t="e">
        <f>'[4]#REF'!N42</f>
        <v>#REF!</v>
      </c>
      <c r="N42" s="32" t="e">
        <f t="shared" si="2"/>
        <v>#REF!</v>
      </c>
    </row>
    <row r="43" ht="15.75" spans="1:14">
      <c r="A43" s="12" t="e">
        <f>'[4]#REF'!A43</f>
        <v>#REF!</v>
      </c>
      <c r="B43" s="12" t="e">
        <f>'[4]#REF'!B43</f>
        <v>#REF!</v>
      </c>
      <c r="C43" s="31" t="e">
        <f>'[4]#REF'!D43</f>
        <v>#REF!</v>
      </c>
      <c r="D43" s="32" t="e">
        <f t="shared" si="0"/>
        <v>#REF!</v>
      </c>
      <c r="F43" s="12" t="e">
        <f>'[4]#REF'!F43</f>
        <v>#REF!</v>
      </c>
      <c r="G43" s="12" t="e">
        <f>'[4]#REF'!G43</f>
        <v>#REF!</v>
      </c>
      <c r="H43" s="31" t="e">
        <f>'[4]#REF'!I43</f>
        <v>#REF!</v>
      </c>
      <c r="I43" s="32" t="e">
        <f t="shared" si="1"/>
        <v>#REF!</v>
      </c>
      <c r="K43" s="12" t="e">
        <f>'[4]#REF'!K43</f>
        <v>#REF!</v>
      </c>
      <c r="L43" s="12" t="e">
        <f>'[4]#REF'!L43</f>
        <v>#REF!</v>
      </c>
      <c r="M43" s="31" t="e">
        <f>'[4]#REF'!N43</f>
        <v>#REF!</v>
      </c>
      <c r="N43" s="32" t="e">
        <f t="shared" si="2"/>
        <v>#REF!</v>
      </c>
    </row>
    <row r="44" ht="15.75" spans="1:14">
      <c r="A44" s="12" t="e">
        <f>'[4]#REF'!A44</f>
        <v>#REF!</v>
      </c>
      <c r="B44" s="12" t="e">
        <f>'[4]#REF'!B44</f>
        <v>#REF!</v>
      </c>
      <c r="C44" s="31" t="e">
        <f>'[4]#REF'!D44</f>
        <v>#REF!</v>
      </c>
      <c r="D44" s="32" t="e">
        <f t="shared" si="0"/>
        <v>#REF!</v>
      </c>
      <c r="F44" s="12" t="e">
        <f>'[4]#REF'!F44</f>
        <v>#REF!</v>
      </c>
      <c r="G44" s="12" t="e">
        <f>'[4]#REF'!G44</f>
        <v>#REF!</v>
      </c>
      <c r="H44" s="31" t="e">
        <f>'[4]#REF'!I44</f>
        <v>#REF!</v>
      </c>
      <c r="I44" s="32" t="e">
        <f t="shared" si="1"/>
        <v>#REF!</v>
      </c>
      <c r="K44" s="12" t="e">
        <f>'[4]#REF'!K44</f>
        <v>#REF!</v>
      </c>
      <c r="L44" s="12" t="e">
        <f>'[4]#REF'!L44</f>
        <v>#REF!</v>
      </c>
      <c r="M44" s="31" t="e">
        <f>'[4]#REF'!N44</f>
        <v>#REF!</v>
      </c>
      <c r="N44" s="32" t="e">
        <f t="shared" si="2"/>
        <v>#REF!</v>
      </c>
    </row>
    <row r="45" ht="15.75" spans="1:14">
      <c r="A45" s="12" t="e">
        <f>'[4]#REF'!A45</f>
        <v>#REF!</v>
      </c>
      <c r="B45" s="12" t="e">
        <f>'[4]#REF'!B45</f>
        <v>#REF!</v>
      </c>
      <c r="C45" s="31" t="e">
        <f>'[4]#REF'!D45</f>
        <v>#REF!</v>
      </c>
      <c r="D45" s="32" t="e">
        <f t="shared" si="0"/>
        <v>#REF!</v>
      </c>
      <c r="F45" s="12" t="e">
        <f>'[4]#REF'!F45</f>
        <v>#REF!</v>
      </c>
      <c r="G45" s="12" t="e">
        <f>'[4]#REF'!G45</f>
        <v>#REF!</v>
      </c>
      <c r="H45" s="31" t="e">
        <f>'[4]#REF'!I45</f>
        <v>#REF!</v>
      </c>
      <c r="I45" s="32" t="e">
        <f t="shared" si="1"/>
        <v>#REF!</v>
      </c>
      <c r="K45" s="12" t="e">
        <f>'[4]#REF'!K45</f>
        <v>#REF!</v>
      </c>
      <c r="L45" s="12" t="e">
        <f>'[4]#REF'!L45</f>
        <v>#REF!</v>
      </c>
      <c r="M45" s="31" t="e">
        <f>'[4]#REF'!N45</f>
        <v>#REF!</v>
      </c>
      <c r="N45" s="32" t="e">
        <f t="shared" si="2"/>
        <v>#REF!</v>
      </c>
    </row>
    <row r="46" ht="15.75" spans="1:14">
      <c r="A46" s="12" t="e">
        <f>'[4]#REF'!A46</f>
        <v>#REF!</v>
      </c>
      <c r="B46" s="12" t="e">
        <f>'[4]#REF'!B46</f>
        <v>#REF!</v>
      </c>
      <c r="C46" s="31" t="e">
        <f>'[4]#REF'!D46</f>
        <v>#REF!</v>
      </c>
      <c r="D46" s="32" t="e">
        <f t="shared" si="0"/>
        <v>#REF!</v>
      </c>
      <c r="F46" s="12" t="e">
        <f>'[4]#REF'!F46</f>
        <v>#REF!</v>
      </c>
      <c r="G46" s="12" t="e">
        <f>'[4]#REF'!G46</f>
        <v>#REF!</v>
      </c>
      <c r="H46" s="31" t="e">
        <f>'[4]#REF'!I46</f>
        <v>#REF!</v>
      </c>
      <c r="I46" s="32" t="e">
        <f t="shared" si="1"/>
        <v>#REF!</v>
      </c>
      <c r="K46" s="12" t="e">
        <f>'[4]#REF'!K46</f>
        <v>#REF!</v>
      </c>
      <c r="L46" s="12" t="e">
        <f>'[4]#REF'!L46</f>
        <v>#REF!</v>
      </c>
      <c r="M46" s="31" t="e">
        <f>'[4]#REF'!N46</f>
        <v>#REF!</v>
      </c>
      <c r="N46" s="32" t="e">
        <f t="shared" si="2"/>
        <v>#REF!</v>
      </c>
    </row>
    <row r="47" ht="15.75" spans="1:14">
      <c r="A47" s="12" t="e">
        <f>'[4]#REF'!A47</f>
        <v>#REF!</v>
      </c>
      <c r="B47" s="12" t="e">
        <f>'[4]#REF'!B47</f>
        <v>#REF!</v>
      </c>
      <c r="C47" s="31" t="e">
        <f>'[4]#REF'!D47</f>
        <v>#REF!</v>
      </c>
      <c r="D47" s="32" t="e">
        <f t="shared" si="0"/>
        <v>#REF!</v>
      </c>
      <c r="F47" s="12" t="e">
        <f>'[4]#REF'!F47</f>
        <v>#REF!</v>
      </c>
      <c r="G47" s="12" t="e">
        <f>'[4]#REF'!G47</f>
        <v>#REF!</v>
      </c>
      <c r="H47" s="31" t="e">
        <f>'[4]#REF'!I47</f>
        <v>#REF!</v>
      </c>
      <c r="I47" s="32" t="e">
        <f t="shared" si="1"/>
        <v>#REF!</v>
      </c>
      <c r="K47" s="12" t="e">
        <f>'[4]#REF'!K47</f>
        <v>#REF!</v>
      </c>
      <c r="L47" s="12" t="e">
        <f>'[4]#REF'!L47</f>
        <v>#REF!</v>
      </c>
      <c r="M47" s="31" t="e">
        <f>'[4]#REF'!N47</f>
        <v>#REF!</v>
      </c>
      <c r="N47" s="32" t="e">
        <f t="shared" si="2"/>
        <v>#REF!</v>
      </c>
    </row>
    <row r="48" ht="15.75" spans="1:14">
      <c r="A48" s="12" t="e">
        <f>'[4]#REF'!A48</f>
        <v>#REF!</v>
      </c>
      <c r="B48" s="12" t="e">
        <f>'[4]#REF'!B48</f>
        <v>#REF!</v>
      </c>
      <c r="C48" s="31" t="e">
        <f>'[4]#REF'!D48</f>
        <v>#REF!</v>
      </c>
      <c r="D48" s="32" t="e">
        <f t="shared" si="0"/>
        <v>#REF!</v>
      </c>
      <c r="F48" s="12" t="e">
        <f>'[4]#REF'!F48</f>
        <v>#REF!</v>
      </c>
      <c r="G48" s="12" t="e">
        <f>'[4]#REF'!G48</f>
        <v>#REF!</v>
      </c>
      <c r="H48" s="31" t="e">
        <f>'[4]#REF'!I48</f>
        <v>#REF!</v>
      </c>
      <c r="I48" s="32" t="e">
        <f t="shared" si="1"/>
        <v>#REF!</v>
      </c>
      <c r="K48" s="12" t="e">
        <f>'[4]#REF'!K48</f>
        <v>#REF!</v>
      </c>
      <c r="L48" s="12" t="e">
        <f>'[4]#REF'!L48</f>
        <v>#REF!</v>
      </c>
      <c r="M48" s="31" t="e">
        <f>'[4]#REF'!N48</f>
        <v>#REF!</v>
      </c>
      <c r="N48" s="32" t="e">
        <f t="shared" si="2"/>
        <v>#REF!</v>
      </c>
    </row>
    <row r="49" ht="15.75" spans="1:14">
      <c r="A49" s="12" t="e">
        <f>'[4]#REF'!A49</f>
        <v>#REF!</v>
      </c>
      <c r="B49" s="12" t="e">
        <f>'[4]#REF'!B49</f>
        <v>#REF!</v>
      </c>
      <c r="C49" s="31" t="e">
        <f>'[4]#REF'!D49</f>
        <v>#REF!</v>
      </c>
      <c r="D49" s="32" t="e">
        <f t="shared" si="0"/>
        <v>#REF!</v>
      </c>
      <c r="F49" s="12" t="e">
        <f>'[4]#REF'!F49</f>
        <v>#REF!</v>
      </c>
      <c r="G49" s="12" t="e">
        <f>'[4]#REF'!G49</f>
        <v>#REF!</v>
      </c>
      <c r="H49" s="31" t="e">
        <f>'[4]#REF'!I49</f>
        <v>#REF!</v>
      </c>
      <c r="I49" s="32" t="e">
        <f t="shared" si="1"/>
        <v>#REF!</v>
      </c>
      <c r="K49" s="12" t="e">
        <f>'[4]#REF'!K49</f>
        <v>#REF!</v>
      </c>
      <c r="L49" s="12" t="e">
        <f>'[4]#REF'!L49</f>
        <v>#REF!</v>
      </c>
      <c r="M49" s="31" t="e">
        <f>'[4]#REF'!N49</f>
        <v>#REF!</v>
      </c>
      <c r="N49" s="32" t="e">
        <f t="shared" si="2"/>
        <v>#REF!</v>
      </c>
    </row>
    <row r="50" ht="15.75" spans="1:14">
      <c r="A50" s="12" t="e">
        <f>'[4]#REF'!A50</f>
        <v>#REF!</v>
      </c>
      <c r="B50" s="12" t="e">
        <f>'[4]#REF'!B50</f>
        <v>#REF!</v>
      </c>
      <c r="C50" s="31" t="e">
        <f>'[4]#REF'!D50</f>
        <v>#REF!</v>
      </c>
      <c r="D50" s="32" t="e">
        <f t="shared" si="0"/>
        <v>#REF!</v>
      </c>
      <c r="F50" s="12" t="e">
        <f>'[4]#REF'!F50</f>
        <v>#REF!</v>
      </c>
      <c r="G50" s="12" t="e">
        <f>'[4]#REF'!G50</f>
        <v>#REF!</v>
      </c>
      <c r="H50" s="31" t="e">
        <f>'[4]#REF'!I50</f>
        <v>#REF!</v>
      </c>
      <c r="I50" s="32" t="e">
        <f t="shared" si="1"/>
        <v>#REF!</v>
      </c>
      <c r="K50" s="12" t="e">
        <f>'[4]#REF'!K50</f>
        <v>#REF!</v>
      </c>
      <c r="L50" s="12" t="e">
        <f>'[4]#REF'!L50</f>
        <v>#REF!</v>
      </c>
      <c r="M50" s="31" t="e">
        <f>'[4]#REF'!N50</f>
        <v>#REF!</v>
      </c>
      <c r="N50" s="32" t="e">
        <f t="shared" si="2"/>
        <v>#REF!</v>
      </c>
    </row>
    <row r="51" ht="15.75" spans="1:14">
      <c r="A51" s="12" t="e">
        <f>'[4]#REF'!A51</f>
        <v>#REF!</v>
      </c>
      <c r="B51" s="12" t="e">
        <f>'[4]#REF'!B51</f>
        <v>#REF!</v>
      </c>
      <c r="C51" s="31" t="e">
        <f>'[4]#REF'!D51</f>
        <v>#REF!</v>
      </c>
      <c r="D51" s="32" t="e">
        <f t="shared" si="0"/>
        <v>#REF!</v>
      </c>
      <c r="F51" s="12" t="e">
        <f>'[4]#REF'!F51</f>
        <v>#REF!</v>
      </c>
      <c r="G51" s="12" t="e">
        <f>'[4]#REF'!G51</f>
        <v>#REF!</v>
      </c>
      <c r="H51" s="31" t="e">
        <f>'[4]#REF'!I51</f>
        <v>#REF!</v>
      </c>
      <c r="I51" s="32" t="e">
        <f t="shared" si="1"/>
        <v>#REF!</v>
      </c>
      <c r="K51" s="12" t="e">
        <f>'[4]#REF'!K51</f>
        <v>#REF!</v>
      </c>
      <c r="L51" s="12" t="e">
        <f>'[4]#REF'!L51</f>
        <v>#REF!</v>
      </c>
      <c r="M51" s="31" t="e">
        <f>'[4]#REF'!N51</f>
        <v>#REF!</v>
      </c>
      <c r="N51" s="32" t="e">
        <f t="shared" si="2"/>
        <v>#REF!</v>
      </c>
    </row>
    <row r="52" ht="15.75" spans="1:14">
      <c r="A52" s="12" t="e">
        <f>'[4]#REF'!A52</f>
        <v>#REF!</v>
      </c>
      <c r="B52" s="12" t="e">
        <f>'[4]#REF'!B52</f>
        <v>#REF!</v>
      </c>
      <c r="C52" s="31" t="e">
        <f>'[4]#REF'!D52</f>
        <v>#REF!</v>
      </c>
      <c r="D52" s="32" t="e">
        <f t="shared" si="0"/>
        <v>#REF!</v>
      </c>
      <c r="F52" s="12" t="e">
        <f>'[4]#REF'!F52</f>
        <v>#REF!</v>
      </c>
      <c r="G52" s="12" t="e">
        <f>'[4]#REF'!G52</f>
        <v>#REF!</v>
      </c>
      <c r="H52" s="31" t="e">
        <f>'[4]#REF'!I52</f>
        <v>#REF!</v>
      </c>
      <c r="I52" s="32" t="e">
        <f t="shared" si="1"/>
        <v>#REF!</v>
      </c>
      <c r="K52" s="12" t="e">
        <f>'[4]#REF'!K52</f>
        <v>#REF!</v>
      </c>
      <c r="L52" s="12" t="e">
        <f>'[4]#REF'!L52</f>
        <v>#REF!</v>
      </c>
      <c r="M52" s="31" t="e">
        <f>'[4]#REF'!N52</f>
        <v>#REF!</v>
      </c>
      <c r="N52" s="32" t="e">
        <f t="shared" si="2"/>
        <v>#REF!</v>
      </c>
    </row>
    <row r="53" ht="15.75" spans="1:14">
      <c r="A53" s="12" t="e">
        <f>'[4]#REF'!A53</f>
        <v>#REF!</v>
      </c>
      <c r="B53" s="12" t="e">
        <f>'[4]#REF'!B53</f>
        <v>#REF!</v>
      </c>
      <c r="C53" s="31" t="e">
        <f>'[4]#REF'!D53</f>
        <v>#REF!</v>
      </c>
      <c r="D53" s="32" t="e">
        <f t="shared" si="0"/>
        <v>#REF!</v>
      </c>
      <c r="F53" s="12" t="e">
        <f>'[4]#REF'!F53</f>
        <v>#REF!</v>
      </c>
      <c r="G53" s="12" t="e">
        <f>'[4]#REF'!G53</f>
        <v>#REF!</v>
      </c>
      <c r="H53" s="31" t="e">
        <f>'[4]#REF'!I53</f>
        <v>#REF!</v>
      </c>
      <c r="I53" s="32" t="e">
        <f t="shared" si="1"/>
        <v>#REF!</v>
      </c>
      <c r="K53" s="12" t="e">
        <f>'[4]#REF'!K53</f>
        <v>#REF!</v>
      </c>
      <c r="L53" s="12" t="e">
        <f>'[4]#REF'!L53</f>
        <v>#REF!</v>
      </c>
      <c r="M53" s="31" t="e">
        <f>'[4]#REF'!N53</f>
        <v>#REF!</v>
      </c>
      <c r="N53" s="32" t="e">
        <f t="shared" si="2"/>
        <v>#REF!</v>
      </c>
    </row>
    <row r="54" ht="15.75" spans="1:14">
      <c r="A54" s="12" t="e">
        <f>'[4]#REF'!A54</f>
        <v>#REF!</v>
      </c>
      <c r="B54" s="12" t="e">
        <f>'[4]#REF'!B54</f>
        <v>#REF!</v>
      </c>
      <c r="C54" s="31" t="e">
        <f>'[4]#REF'!D54</f>
        <v>#REF!</v>
      </c>
      <c r="D54" s="32" t="e">
        <f t="shared" si="0"/>
        <v>#REF!</v>
      </c>
      <c r="F54" s="12" t="e">
        <f>'[4]#REF'!F54</f>
        <v>#REF!</v>
      </c>
      <c r="G54" s="12" t="e">
        <f>'[4]#REF'!G54</f>
        <v>#REF!</v>
      </c>
      <c r="H54" s="31" t="e">
        <f>'[4]#REF'!I54</f>
        <v>#REF!</v>
      </c>
      <c r="I54" s="32" t="e">
        <f t="shared" si="1"/>
        <v>#REF!</v>
      </c>
      <c r="K54" s="12" t="e">
        <f>'[4]#REF'!K54</f>
        <v>#REF!</v>
      </c>
      <c r="L54" s="12" t="e">
        <f>'[4]#REF'!L54</f>
        <v>#REF!</v>
      </c>
      <c r="M54" s="31" t="e">
        <f>'[4]#REF'!N54</f>
        <v>#REF!</v>
      </c>
      <c r="N54" s="32" t="e">
        <f t="shared" si="2"/>
        <v>#REF!</v>
      </c>
    </row>
    <row r="55" ht="15.75" spans="1:14">
      <c r="A55" s="12" t="e">
        <f>'[4]#REF'!A55</f>
        <v>#REF!</v>
      </c>
      <c r="B55" s="12" t="e">
        <f>'[4]#REF'!B55</f>
        <v>#REF!</v>
      </c>
      <c r="C55" s="31" t="e">
        <f>'[4]#REF'!D55</f>
        <v>#REF!</v>
      </c>
      <c r="D55" s="32" t="e">
        <f t="shared" si="0"/>
        <v>#REF!</v>
      </c>
      <c r="F55" s="12" t="e">
        <f>'[4]#REF'!F55</f>
        <v>#REF!</v>
      </c>
      <c r="G55" s="12" t="e">
        <f>'[4]#REF'!G55</f>
        <v>#REF!</v>
      </c>
      <c r="H55" s="31" t="e">
        <f>'[4]#REF'!I55</f>
        <v>#REF!</v>
      </c>
      <c r="I55" s="32" t="e">
        <f t="shared" si="1"/>
        <v>#REF!</v>
      </c>
      <c r="K55" s="12" t="e">
        <f>'[4]#REF'!K55</f>
        <v>#REF!</v>
      </c>
      <c r="L55" s="12" t="e">
        <f>'[4]#REF'!L55</f>
        <v>#REF!</v>
      </c>
      <c r="M55" s="31" t="e">
        <f>'[4]#REF'!N55</f>
        <v>#REF!</v>
      </c>
      <c r="N55" s="32" t="e">
        <f t="shared" si="2"/>
        <v>#REF!</v>
      </c>
    </row>
    <row r="56" ht="15.75" spans="1:14">
      <c r="A56" s="12" t="e">
        <f>'[4]#REF'!A56</f>
        <v>#REF!</v>
      </c>
      <c r="B56" s="12" t="e">
        <f>'[4]#REF'!B56</f>
        <v>#REF!</v>
      </c>
      <c r="C56" s="31" t="e">
        <f>'[4]#REF'!D56</f>
        <v>#REF!</v>
      </c>
      <c r="D56" s="32" t="e">
        <f t="shared" si="0"/>
        <v>#REF!</v>
      </c>
      <c r="F56" s="12" t="e">
        <f>'[4]#REF'!F56</f>
        <v>#REF!</v>
      </c>
      <c r="G56" s="12" t="e">
        <f>'[4]#REF'!G56</f>
        <v>#REF!</v>
      </c>
      <c r="H56" s="31" t="e">
        <f>'[4]#REF'!I56</f>
        <v>#REF!</v>
      </c>
      <c r="I56" s="32" t="e">
        <f t="shared" si="1"/>
        <v>#REF!</v>
      </c>
      <c r="K56" s="12" t="e">
        <f>'[4]#REF'!K56</f>
        <v>#REF!</v>
      </c>
      <c r="L56" s="12" t="e">
        <f>'[4]#REF'!L56</f>
        <v>#REF!</v>
      </c>
      <c r="M56" s="31" t="e">
        <f>'[4]#REF'!N56</f>
        <v>#REF!</v>
      </c>
      <c r="N56" s="32" t="e">
        <f t="shared" si="2"/>
        <v>#REF!</v>
      </c>
    </row>
    <row r="57" ht="15.75" spans="1:14">
      <c r="A57" s="12" t="e">
        <f>'[4]#REF'!A57</f>
        <v>#REF!</v>
      </c>
      <c r="B57" s="12" t="e">
        <f>'[4]#REF'!B57</f>
        <v>#REF!</v>
      </c>
      <c r="C57" s="31" t="e">
        <f>'[4]#REF'!D57</f>
        <v>#REF!</v>
      </c>
      <c r="D57" s="32" t="e">
        <f t="shared" si="0"/>
        <v>#REF!</v>
      </c>
      <c r="F57" s="12" t="e">
        <f>'[4]#REF'!F57</f>
        <v>#REF!</v>
      </c>
      <c r="G57" s="12" t="e">
        <f>'[4]#REF'!G57</f>
        <v>#REF!</v>
      </c>
      <c r="H57" s="31" t="e">
        <f>'[4]#REF'!I57</f>
        <v>#REF!</v>
      </c>
      <c r="I57" s="32" t="e">
        <f t="shared" si="1"/>
        <v>#REF!</v>
      </c>
      <c r="K57" s="12" t="e">
        <f>'[4]#REF'!K57</f>
        <v>#REF!</v>
      </c>
      <c r="L57" s="12" t="e">
        <f>'[4]#REF'!L57</f>
        <v>#REF!</v>
      </c>
      <c r="M57" s="31" t="e">
        <f>'[4]#REF'!N57</f>
        <v>#REF!</v>
      </c>
      <c r="N57" s="32" t="e">
        <f t="shared" si="2"/>
        <v>#REF!</v>
      </c>
    </row>
    <row r="58" ht="15.75" spans="1:14">
      <c r="A58" s="12" t="e">
        <f>'[4]#REF'!A58</f>
        <v>#REF!</v>
      </c>
      <c r="B58" s="12" t="e">
        <f>'[4]#REF'!B58</f>
        <v>#REF!</v>
      </c>
      <c r="C58" s="31" t="e">
        <f>'[4]#REF'!D58</f>
        <v>#REF!</v>
      </c>
      <c r="D58" s="32" t="e">
        <f t="shared" si="0"/>
        <v>#REF!</v>
      </c>
      <c r="F58" s="12" t="e">
        <f>'[4]#REF'!F58</f>
        <v>#REF!</v>
      </c>
      <c r="G58" s="12" t="e">
        <f>'[4]#REF'!G58</f>
        <v>#REF!</v>
      </c>
      <c r="H58" s="31" t="e">
        <f>'[4]#REF'!I58</f>
        <v>#REF!</v>
      </c>
      <c r="I58" s="32" t="e">
        <f t="shared" si="1"/>
        <v>#REF!</v>
      </c>
      <c r="K58" s="12" t="e">
        <f>'[4]#REF'!K58</f>
        <v>#REF!</v>
      </c>
      <c r="L58" s="12" t="e">
        <f>'[4]#REF'!L58</f>
        <v>#REF!</v>
      </c>
      <c r="M58" s="31" t="e">
        <f>'[4]#REF'!N58</f>
        <v>#REF!</v>
      </c>
      <c r="N58" s="32" t="e">
        <f t="shared" si="2"/>
        <v>#REF!</v>
      </c>
    </row>
    <row r="59" ht="15.75" spans="1:14">
      <c r="A59" s="12" t="e">
        <f>'[4]#REF'!A59</f>
        <v>#REF!</v>
      </c>
      <c r="B59" s="12" t="e">
        <f>'[4]#REF'!B59</f>
        <v>#REF!</v>
      </c>
      <c r="C59" s="31" t="e">
        <f>'[4]#REF'!D59</f>
        <v>#REF!</v>
      </c>
      <c r="D59" s="32" t="e">
        <f t="shared" si="0"/>
        <v>#REF!</v>
      </c>
      <c r="F59" s="12" t="e">
        <f>'[4]#REF'!F59</f>
        <v>#REF!</v>
      </c>
      <c r="G59" s="12" t="e">
        <f>'[4]#REF'!G59</f>
        <v>#REF!</v>
      </c>
      <c r="H59" s="31" t="e">
        <f>'[4]#REF'!I59</f>
        <v>#REF!</v>
      </c>
      <c r="I59" s="32" t="e">
        <f t="shared" si="1"/>
        <v>#REF!</v>
      </c>
      <c r="K59" s="12" t="e">
        <f>'[4]#REF'!K59</f>
        <v>#REF!</v>
      </c>
      <c r="L59" s="12" t="e">
        <f>'[4]#REF'!L59</f>
        <v>#REF!</v>
      </c>
      <c r="M59" s="31" t="e">
        <f>'[4]#REF'!N59</f>
        <v>#REF!</v>
      </c>
      <c r="N59" s="32" t="e">
        <f t="shared" si="2"/>
        <v>#REF!</v>
      </c>
    </row>
    <row r="60" ht="15.75" spans="1:14">
      <c r="A60" s="12" t="e">
        <f>'[4]#REF'!A60</f>
        <v>#REF!</v>
      </c>
      <c r="B60" s="12" t="e">
        <f>'[4]#REF'!B60</f>
        <v>#REF!</v>
      </c>
      <c r="C60" s="31" t="e">
        <f>'[4]#REF'!D60</f>
        <v>#REF!</v>
      </c>
      <c r="D60" s="32" t="e">
        <f t="shared" si="0"/>
        <v>#REF!</v>
      </c>
      <c r="F60" s="12" t="e">
        <f>'[4]#REF'!F60</f>
        <v>#REF!</v>
      </c>
      <c r="G60" s="12" t="e">
        <f>'[4]#REF'!G60</f>
        <v>#REF!</v>
      </c>
      <c r="H60" s="31" t="e">
        <f>'[4]#REF'!I60</f>
        <v>#REF!</v>
      </c>
      <c r="I60" s="32" t="e">
        <f t="shared" si="1"/>
        <v>#REF!</v>
      </c>
      <c r="K60" s="12" t="e">
        <f>'[4]#REF'!K60</f>
        <v>#REF!</v>
      </c>
      <c r="L60" s="12" t="e">
        <f>'[4]#REF'!L60</f>
        <v>#REF!</v>
      </c>
      <c r="M60" s="31" t="e">
        <f>'[4]#REF'!N60</f>
        <v>#REF!</v>
      </c>
      <c r="N60" s="32" t="e">
        <f t="shared" si="2"/>
        <v>#REF!</v>
      </c>
    </row>
    <row r="61" ht="15.75" spans="1:14">
      <c r="A61" s="12" t="e">
        <f>'[4]#REF'!A61</f>
        <v>#REF!</v>
      </c>
      <c r="B61" s="12" t="e">
        <f>'[4]#REF'!B61</f>
        <v>#REF!</v>
      </c>
      <c r="C61" s="31" t="e">
        <f>'[4]#REF'!D61</f>
        <v>#REF!</v>
      </c>
      <c r="D61" s="32" t="e">
        <f t="shared" si="0"/>
        <v>#REF!</v>
      </c>
      <c r="F61" s="12" t="e">
        <f>'[4]#REF'!F61</f>
        <v>#REF!</v>
      </c>
      <c r="G61" s="12" t="e">
        <f>'[4]#REF'!G61</f>
        <v>#REF!</v>
      </c>
      <c r="H61" s="31" t="e">
        <f>'[4]#REF'!I61</f>
        <v>#REF!</v>
      </c>
      <c r="I61" s="32" t="e">
        <f t="shared" si="1"/>
        <v>#REF!</v>
      </c>
      <c r="K61" s="12" t="e">
        <f>'[4]#REF'!K61</f>
        <v>#REF!</v>
      </c>
      <c r="L61" s="12" t="e">
        <f>'[4]#REF'!L61</f>
        <v>#REF!</v>
      </c>
      <c r="M61" s="31" t="e">
        <f>'[4]#REF'!N61</f>
        <v>#REF!</v>
      </c>
      <c r="N61" s="32" t="e">
        <f t="shared" si="2"/>
        <v>#REF!</v>
      </c>
    </row>
    <row r="62" ht="15.75" spans="1:14">
      <c r="A62" s="12" t="e">
        <f>'[4]#REF'!A62</f>
        <v>#REF!</v>
      </c>
      <c r="B62" s="12" t="e">
        <f>'[4]#REF'!B62</f>
        <v>#REF!</v>
      </c>
      <c r="C62" s="31" t="e">
        <f>'[4]#REF'!D62</f>
        <v>#REF!</v>
      </c>
      <c r="D62" s="32" t="e">
        <f t="shared" si="0"/>
        <v>#REF!</v>
      </c>
      <c r="F62" s="12" t="e">
        <f>'[4]#REF'!F62</f>
        <v>#REF!</v>
      </c>
      <c r="G62" s="12" t="e">
        <f>'[4]#REF'!G62</f>
        <v>#REF!</v>
      </c>
      <c r="H62" s="31" t="e">
        <f>'[4]#REF'!I62</f>
        <v>#REF!</v>
      </c>
      <c r="I62" s="32" t="e">
        <f t="shared" si="1"/>
        <v>#REF!</v>
      </c>
      <c r="K62" s="12" t="e">
        <f>'[4]#REF'!K62</f>
        <v>#REF!</v>
      </c>
      <c r="L62" s="12" t="e">
        <f>'[4]#REF'!L62</f>
        <v>#REF!</v>
      </c>
      <c r="M62" s="31" t="e">
        <f>'[4]#REF'!N62</f>
        <v>#REF!</v>
      </c>
      <c r="N62" s="32" t="e">
        <f t="shared" si="2"/>
        <v>#REF!</v>
      </c>
    </row>
    <row r="63" ht="15.75" spans="1:14">
      <c r="A63" s="12" t="e">
        <f>'[4]#REF'!A63</f>
        <v>#REF!</v>
      </c>
      <c r="B63" s="12" t="e">
        <f>'[4]#REF'!B63</f>
        <v>#REF!</v>
      </c>
      <c r="C63" s="31" t="e">
        <f>'[4]#REF'!D63</f>
        <v>#REF!</v>
      </c>
      <c r="D63" s="32" t="e">
        <f t="shared" si="0"/>
        <v>#REF!</v>
      </c>
      <c r="F63" s="12" t="e">
        <f>'[4]#REF'!F63</f>
        <v>#REF!</v>
      </c>
      <c r="G63" s="12" t="e">
        <f>'[4]#REF'!G63</f>
        <v>#REF!</v>
      </c>
      <c r="H63" s="31" t="e">
        <f>'[4]#REF'!I63</f>
        <v>#REF!</v>
      </c>
      <c r="I63" s="32" t="e">
        <f t="shared" si="1"/>
        <v>#REF!</v>
      </c>
      <c r="K63" s="12" t="e">
        <f>'[4]#REF'!K63</f>
        <v>#REF!</v>
      </c>
      <c r="L63" s="12" t="e">
        <f>'[4]#REF'!L63</f>
        <v>#REF!</v>
      </c>
      <c r="M63" s="31" t="e">
        <f>'[4]#REF'!N63</f>
        <v>#REF!</v>
      </c>
      <c r="N63" s="32" t="e">
        <f t="shared" si="2"/>
        <v>#REF!</v>
      </c>
    </row>
    <row r="64" ht="15.75" spans="1:14">
      <c r="A64" s="12" t="e">
        <f>'[4]#REF'!A64</f>
        <v>#REF!</v>
      </c>
      <c r="B64" s="12" t="e">
        <f>'[4]#REF'!B64</f>
        <v>#REF!</v>
      </c>
      <c r="C64" s="31" t="e">
        <f>'[4]#REF'!D64</f>
        <v>#REF!</v>
      </c>
      <c r="D64" s="32" t="e">
        <f t="shared" si="0"/>
        <v>#REF!</v>
      </c>
      <c r="F64" s="12" t="e">
        <f>'[4]#REF'!F64</f>
        <v>#REF!</v>
      </c>
      <c r="G64" s="12" t="e">
        <f>'[4]#REF'!G64</f>
        <v>#REF!</v>
      </c>
      <c r="H64" s="31" t="e">
        <f>'[4]#REF'!I64</f>
        <v>#REF!</v>
      </c>
      <c r="I64" s="32" t="e">
        <f t="shared" si="1"/>
        <v>#REF!</v>
      </c>
      <c r="K64" s="12" t="e">
        <f>'[4]#REF'!K64</f>
        <v>#REF!</v>
      </c>
      <c r="L64" s="12" t="e">
        <f>'[4]#REF'!L64</f>
        <v>#REF!</v>
      </c>
      <c r="M64" s="31" t="e">
        <f>'[4]#REF'!N64</f>
        <v>#REF!</v>
      </c>
      <c r="N64" s="32" t="e">
        <f t="shared" si="2"/>
        <v>#REF!</v>
      </c>
    </row>
    <row r="65" ht="15.75" spans="1:14">
      <c r="A65" s="12" t="e">
        <f>'[4]#REF'!A65</f>
        <v>#REF!</v>
      </c>
      <c r="B65" s="12" t="e">
        <f>'[4]#REF'!B65</f>
        <v>#REF!</v>
      </c>
      <c r="C65" s="31" t="e">
        <f>'[4]#REF'!D65</f>
        <v>#REF!</v>
      </c>
      <c r="D65" s="32" t="e">
        <f t="shared" si="0"/>
        <v>#REF!</v>
      </c>
      <c r="F65" s="12" t="e">
        <f>'[4]#REF'!F65</f>
        <v>#REF!</v>
      </c>
      <c r="G65" s="12" t="e">
        <f>'[4]#REF'!G65</f>
        <v>#REF!</v>
      </c>
      <c r="H65" s="31" t="e">
        <f>'[4]#REF'!I65</f>
        <v>#REF!</v>
      </c>
      <c r="I65" s="32" t="e">
        <f t="shared" si="1"/>
        <v>#REF!</v>
      </c>
      <c r="K65" s="12" t="e">
        <f>'[4]#REF'!K65</f>
        <v>#REF!</v>
      </c>
      <c r="L65" s="12" t="e">
        <f>'[4]#REF'!L65</f>
        <v>#REF!</v>
      </c>
      <c r="M65" s="31" t="e">
        <f>'[4]#REF'!N65</f>
        <v>#REF!</v>
      </c>
      <c r="N65" s="32" t="e">
        <f t="shared" si="2"/>
        <v>#REF!</v>
      </c>
    </row>
    <row r="66" ht="15.75" spans="1:14">
      <c r="A66" s="12" t="e">
        <f>'[4]#REF'!A66</f>
        <v>#REF!</v>
      </c>
      <c r="B66" s="12" t="e">
        <f>'[4]#REF'!B66</f>
        <v>#REF!</v>
      </c>
      <c r="C66" s="31" t="e">
        <f>'[4]#REF'!D66</f>
        <v>#REF!</v>
      </c>
      <c r="D66" s="32" t="e">
        <f t="shared" si="0"/>
        <v>#REF!</v>
      </c>
      <c r="F66" s="12" t="e">
        <f>'[4]#REF'!F66</f>
        <v>#REF!</v>
      </c>
      <c r="G66" s="12" t="e">
        <f>'[4]#REF'!G66</f>
        <v>#REF!</v>
      </c>
      <c r="H66" s="31" t="e">
        <f>'[4]#REF'!I66</f>
        <v>#REF!</v>
      </c>
      <c r="I66" s="32" t="e">
        <f t="shared" si="1"/>
        <v>#REF!</v>
      </c>
      <c r="K66" s="12" t="e">
        <f>'[4]#REF'!K66</f>
        <v>#REF!</v>
      </c>
      <c r="L66" s="12" t="e">
        <f>'[4]#REF'!L66</f>
        <v>#REF!</v>
      </c>
      <c r="M66" s="31" t="e">
        <f>'[4]#REF'!N66</f>
        <v>#REF!</v>
      </c>
      <c r="N66" s="32" t="e">
        <f t="shared" si="2"/>
        <v>#REF!</v>
      </c>
    </row>
    <row r="67" ht="15.75" spans="1:14">
      <c r="A67" s="12" t="e">
        <f>'[4]#REF'!A67</f>
        <v>#REF!</v>
      </c>
      <c r="B67" s="12" t="e">
        <f>'[4]#REF'!B67</f>
        <v>#REF!</v>
      </c>
      <c r="C67" s="31" t="e">
        <f>'[4]#REF'!D67</f>
        <v>#REF!</v>
      </c>
      <c r="D67" s="32" t="e">
        <f t="shared" si="0"/>
        <v>#REF!</v>
      </c>
      <c r="F67" s="12" t="e">
        <f>'[4]#REF'!F67</f>
        <v>#REF!</v>
      </c>
      <c r="G67" s="12" t="e">
        <f>'[4]#REF'!G67</f>
        <v>#REF!</v>
      </c>
      <c r="H67" s="31" t="e">
        <f>'[4]#REF'!I67</f>
        <v>#REF!</v>
      </c>
      <c r="I67" s="32" t="e">
        <f t="shared" si="1"/>
        <v>#REF!</v>
      </c>
      <c r="K67" s="12" t="e">
        <f>'[4]#REF'!K67</f>
        <v>#REF!</v>
      </c>
      <c r="L67" s="12" t="e">
        <f>'[4]#REF'!L67</f>
        <v>#REF!</v>
      </c>
      <c r="M67" s="31" t="e">
        <f>'[4]#REF'!N67</f>
        <v>#REF!</v>
      </c>
      <c r="N67" s="32" t="e">
        <f t="shared" si="2"/>
        <v>#REF!</v>
      </c>
    </row>
    <row r="68" ht="15.75" spans="1:14">
      <c r="A68" s="12" t="e">
        <f>'[4]#REF'!A68</f>
        <v>#REF!</v>
      </c>
      <c r="B68" s="12" t="e">
        <f>'[4]#REF'!B68</f>
        <v>#REF!</v>
      </c>
      <c r="C68" s="31" t="e">
        <f>'[4]#REF'!D68</f>
        <v>#REF!</v>
      </c>
      <c r="D68" s="32" t="e">
        <f t="shared" si="0"/>
        <v>#REF!</v>
      </c>
      <c r="F68" s="12" t="e">
        <f>'[4]#REF'!F68</f>
        <v>#REF!</v>
      </c>
      <c r="G68" s="12" t="e">
        <f>'[4]#REF'!G68</f>
        <v>#REF!</v>
      </c>
      <c r="H68" s="31" t="e">
        <f>'[4]#REF'!I68</f>
        <v>#REF!</v>
      </c>
      <c r="I68" s="32" t="e">
        <f t="shared" si="1"/>
        <v>#REF!</v>
      </c>
      <c r="K68" s="12" t="e">
        <f>'[4]#REF'!K68</f>
        <v>#REF!</v>
      </c>
      <c r="L68" s="12" t="e">
        <f>'[4]#REF'!L68</f>
        <v>#REF!</v>
      </c>
      <c r="M68" s="31" t="e">
        <f>'[4]#REF'!N68</f>
        <v>#REF!</v>
      </c>
      <c r="N68" s="32" t="e">
        <f t="shared" si="2"/>
        <v>#REF!</v>
      </c>
    </row>
    <row r="69" ht="15.75" spans="1:14">
      <c r="A69" s="12" t="e">
        <f>'[4]#REF'!A69</f>
        <v>#REF!</v>
      </c>
      <c r="B69" s="12" t="e">
        <f>'[4]#REF'!B69</f>
        <v>#REF!</v>
      </c>
      <c r="C69" s="31" t="e">
        <f>'[4]#REF'!D69</f>
        <v>#REF!</v>
      </c>
      <c r="D69" s="32" t="e">
        <f t="shared" si="0"/>
        <v>#REF!</v>
      </c>
      <c r="F69" s="12" t="e">
        <f>'[4]#REF'!F69</f>
        <v>#REF!</v>
      </c>
      <c r="G69" s="12" t="e">
        <f>'[4]#REF'!G69</f>
        <v>#REF!</v>
      </c>
      <c r="H69" s="31" t="e">
        <f>'[4]#REF'!I69</f>
        <v>#REF!</v>
      </c>
      <c r="I69" s="32" t="e">
        <f t="shared" si="1"/>
        <v>#REF!</v>
      </c>
      <c r="K69" s="12" t="e">
        <f>'[4]#REF'!K69</f>
        <v>#REF!</v>
      </c>
      <c r="L69" s="12" t="e">
        <f>'[4]#REF'!L69</f>
        <v>#REF!</v>
      </c>
      <c r="M69" s="31" t="e">
        <f>'[4]#REF'!N69</f>
        <v>#REF!</v>
      </c>
      <c r="N69" s="32" t="e">
        <f t="shared" si="2"/>
        <v>#REF!</v>
      </c>
    </row>
    <row r="70" ht="15.75" spans="1:14">
      <c r="A70" s="12" t="e">
        <f>'[4]#REF'!A70</f>
        <v>#REF!</v>
      </c>
      <c r="B70" s="12" t="e">
        <f>'[4]#REF'!B70</f>
        <v>#REF!</v>
      </c>
      <c r="C70" s="31" t="e">
        <f>'[4]#REF'!D70</f>
        <v>#REF!</v>
      </c>
      <c r="D70" s="32" t="e">
        <f t="shared" ref="D70:D133" si="3">ROUND(C70/$D$4*100,2)</f>
        <v>#REF!</v>
      </c>
      <c r="F70" s="12" t="e">
        <f>'[4]#REF'!F70</f>
        <v>#REF!</v>
      </c>
      <c r="G70" s="12" t="e">
        <f>'[4]#REF'!G70</f>
        <v>#REF!</v>
      </c>
      <c r="H70" s="31" t="e">
        <f>'[4]#REF'!I70</f>
        <v>#REF!</v>
      </c>
      <c r="I70" s="32" t="e">
        <f t="shared" ref="I70:I133" si="4">ROUND(H70/$I$4*100,2)</f>
        <v>#REF!</v>
      </c>
      <c r="K70" s="12" t="e">
        <f>'[4]#REF'!K70</f>
        <v>#REF!</v>
      </c>
      <c r="L70" s="12" t="e">
        <f>'[4]#REF'!L70</f>
        <v>#REF!</v>
      </c>
      <c r="M70" s="31" t="e">
        <f>'[4]#REF'!N70</f>
        <v>#REF!</v>
      </c>
      <c r="N70" s="32" t="e">
        <f t="shared" ref="N70:N133" si="5">ROUND(M70/$N$4*100,2)</f>
        <v>#REF!</v>
      </c>
    </row>
    <row r="71" ht="15.75" spans="1:14">
      <c r="A71" s="12" t="e">
        <f>'[4]#REF'!A71</f>
        <v>#REF!</v>
      </c>
      <c r="B71" s="12" t="e">
        <f>'[4]#REF'!B71</f>
        <v>#REF!</v>
      </c>
      <c r="C71" s="31" t="e">
        <f>'[4]#REF'!D71</f>
        <v>#REF!</v>
      </c>
      <c r="D71" s="32" t="e">
        <f t="shared" si="3"/>
        <v>#REF!</v>
      </c>
      <c r="F71" s="12" t="e">
        <f>'[4]#REF'!F71</f>
        <v>#REF!</v>
      </c>
      <c r="G71" s="12" t="e">
        <f>'[4]#REF'!G71</f>
        <v>#REF!</v>
      </c>
      <c r="H71" s="31" t="e">
        <f>'[4]#REF'!I71</f>
        <v>#REF!</v>
      </c>
      <c r="I71" s="32" t="e">
        <f t="shared" si="4"/>
        <v>#REF!</v>
      </c>
      <c r="K71" s="12" t="e">
        <f>'[4]#REF'!K71</f>
        <v>#REF!</v>
      </c>
      <c r="L71" s="12" t="e">
        <f>'[4]#REF'!L71</f>
        <v>#REF!</v>
      </c>
      <c r="M71" s="31" t="e">
        <f>'[4]#REF'!N71</f>
        <v>#REF!</v>
      </c>
      <c r="N71" s="32" t="e">
        <f t="shared" si="5"/>
        <v>#REF!</v>
      </c>
    </row>
    <row r="72" ht="15.75" spans="1:14">
      <c r="A72" s="12" t="e">
        <f>'[4]#REF'!A72</f>
        <v>#REF!</v>
      </c>
      <c r="B72" s="12" t="e">
        <f>'[4]#REF'!B72</f>
        <v>#REF!</v>
      </c>
      <c r="C72" s="31" t="e">
        <f>'[4]#REF'!D72</f>
        <v>#REF!</v>
      </c>
      <c r="D72" s="32" t="e">
        <f t="shared" si="3"/>
        <v>#REF!</v>
      </c>
      <c r="F72" s="12" t="e">
        <f>'[4]#REF'!F72</f>
        <v>#REF!</v>
      </c>
      <c r="G72" s="12" t="e">
        <f>'[4]#REF'!G72</f>
        <v>#REF!</v>
      </c>
      <c r="H72" s="31" t="e">
        <f>'[4]#REF'!I72</f>
        <v>#REF!</v>
      </c>
      <c r="I72" s="32" t="e">
        <f t="shared" si="4"/>
        <v>#REF!</v>
      </c>
      <c r="K72" s="12" t="e">
        <f>'[4]#REF'!K72</f>
        <v>#REF!</v>
      </c>
      <c r="L72" s="12" t="e">
        <f>'[4]#REF'!L72</f>
        <v>#REF!</v>
      </c>
      <c r="M72" s="31" t="e">
        <f>'[4]#REF'!N72</f>
        <v>#REF!</v>
      </c>
      <c r="N72" s="32" t="e">
        <f t="shared" si="5"/>
        <v>#REF!</v>
      </c>
    </row>
    <row r="73" ht="15.75" spans="1:14">
      <c r="A73" s="12" t="e">
        <f>'[4]#REF'!A73</f>
        <v>#REF!</v>
      </c>
      <c r="B73" s="12" t="e">
        <f>'[4]#REF'!B73</f>
        <v>#REF!</v>
      </c>
      <c r="C73" s="31" t="e">
        <f>'[4]#REF'!D73</f>
        <v>#REF!</v>
      </c>
      <c r="D73" s="32" t="e">
        <f t="shared" si="3"/>
        <v>#REF!</v>
      </c>
      <c r="F73" s="12" t="e">
        <f>'[4]#REF'!F73</f>
        <v>#REF!</v>
      </c>
      <c r="G73" s="12" t="e">
        <f>'[4]#REF'!G73</f>
        <v>#REF!</v>
      </c>
      <c r="H73" s="31" t="e">
        <f>'[4]#REF'!I73</f>
        <v>#REF!</v>
      </c>
      <c r="I73" s="32" t="e">
        <f t="shared" si="4"/>
        <v>#REF!</v>
      </c>
      <c r="K73" s="12" t="e">
        <f>'[4]#REF'!K73</f>
        <v>#REF!</v>
      </c>
      <c r="L73" s="12" t="e">
        <f>'[4]#REF'!L73</f>
        <v>#REF!</v>
      </c>
      <c r="M73" s="31" t="e">
        <f>'[4]#REF'!N73</f>
        <v>#REF!</v>
      </c>
      <c r="N73" s="32" t="e">
        <f t="shared" si="5"/>
        <v>#REF!</v>
      </c>
    </row>
    <row r="74" ht="15.75" spans="1:14">
      <c r="A74" s="12" t="e">
        <f>'[4]#REF'!A74</f>
        <v>#REF!</v>
      </c>
      <c r="B74" s="12" t="e">
        <f>'[4]#REF'!B74</f>
        <v>#REF!</v>
      </c>
      <c r="C74" s="31" t="e">
        <f>'[4]#REF'!D74</f>
        <v>#REF!</v>
      </c>
      <c r="D74" s="32" t="e">
        <f t="shared" si="3"/>
        <v>#REF!</v>
      </c>
      <c r="F74" s="12" t="e">
        <f>'[4]#REF'!F74</f>
        <v>#REF!</v>
      </c>
      <c r="G74" s="12" t="e">
        <f>'[4]#REF'!G74</f>
        <v>#REF!</v>
      </c>
      <c r="H74" s="31" t="e">
        <f>'[4]#REF'!I74</f>
        <v>#REF!</v>
      </c>
      <c r="I74" s="32" t="e">
        <f t="shared" si="4"/>
        <v>#REF!</v>
      </c>
      <c r="K74" s="12" t="e">
        <f>'[4]#REF'!K74</f>
        <v>#REF!</v>
      </c>
      <c r="L74" s="12" t="e">
        <f>'[4]#REF'!L74</f>
        <v>#REF!</v>
      </c>
      <c r="M74" s="31" t="e">
        <f>'[4]#REF'!N74</f>
        <v>#REF!</v>
      </c>
      <c r="N74" s="32" t="e">
        <f t="shared" si="5"/>
        <v>#REF!</v>
      </c>
    </row>
    <row r="75" ht="15.75" spans="1:14">
      <c r="A75" s="12" t="e">
        <f>'[4]#REF'!A75</f>
        <v>#REF!</v>
      </c>
      <c r="B75" s="12" t="e">
        <f>'[4]#REF'!B75</f>
        <v>#REF!</v>
      </c>
      <c r="C75" s="31" t="e">
        <f>'[4]#REF'!D75</f>
        <v>#REF!</v>
      </c>
      <c r="D75" s="32" t="e">
        <f t="shared" si="3"/>
        <v>#REF!</v>
      </c>
      <c r="F75" s="12" t="e">
        <f>'[4]#REF'!F75</f>
        <v>#REF!</v>
      </c>
      <c r="G75" s="12" t="e">
        <f>'[4]#REF'!G75</f>
        <v>#REF!</v>
      </c>
      <c r="H75" s="31" t="e">
        <f>'[4]#REF'!I75</f>
        <v>#REF!</v>
      </c>
      <c r="I75" s="32" t="e">
        <f t="shared" si="4"/>
        <v>#REF!</v>
      </c>
      <c r="K75" s="12" t="e">
        <f>'[4]#REF'!K75</f>
        <v>#REF!</v>
      </c>
      <c r="L75" s="12" t="e">
        <f>'[4]#REF'!L75</f>
        <v>#REF!</v>
      </c>
      <c r="M75" s="31" t="e">
        <f>'[4]#REF'!N75</f>
        <v>#REF!</v>
      </c>
      <c r="N75" s="32" t="e">
        <f t="shared" si="5"/>
        <v>#REF!</v>
      </c>
    </row>
    <row r="76" ht="15.75" spans="1:14">
      <c r="A76" s="12" t="e">
        <f>'[4]#REF'!A76</f>
        <v>#REF!</v>
      </c>
      <c r="B76" s="12" t="e">
        <f>'[4]#REF'!B76</f>
        <v>#REF!</v>
      </c>
      <c r="C76" s="31" t="e">
        <f>'[4]#REF'!D76</f>
        <v>#REF!</v>
      </c>
      <c r="D76" s="32" t="e">
        <f t="shared" si="3"/>
        <v>#REF!</v>
      </c>
      <c r="F76" s="12" t="e">
        <f>'[4]#REF'!F76</f>
        <v>#REF!</v>
      </c>
      <c r="G76" s="12" t="e">
        <f>'[4]#REF'!G76</f>
        <v>#REF!</v>
      </c>
      <c r="H76" s="31" t="e">
        <f>'[4]#REF'!I76</f>
        <v>#REF!</v>
      </c>
      <c r="I76" s="32" t="e">
        <f t="shared" si="4"/>
        <v>#REF!</v>
      </c>
      <c r="K76" s="12" t="e">
        <f>'[4]#REF'!K76</f>
        <v>#REF!</v>
      </c>
      <c r="L76" s="12" t="e">
        <f>'[4]#REF'!L76</f>
        <v>#REF!</v>
      </c>
      <c r="M76" s="31" t="e">
        <f>'[4]#REF'!N76</f>
        <v>#REF!</v>
      </c>
      <c r="N76" s="32" t="e">
        <f t="shared" si="5"/>
        <v>#REF!</v>
      </c>
    </row>
    <row r="77" ht="15.75" spans="1:14">
      <c r="A77" s="12" t="e">
        <f>'[4]#REF'!A77</f>
        <v>#REF!</v>
      </c>
      <c r="B77" s="12" t="e">
        <f>'[4]#REF'!B77</f>
        <v>#REF!</v>
      </c>
      <c r="C77" s="31" t="e">
        <f>'[4]#REF'!D77</f>
        <v>#REF!</v>
      </c>
      <c r="D77" s="32" t="e">
        <f t="shared" si="3"/>
        <v>#REF!</v>
      </c>
      <c r="F77" s="12" t="e">
        <f>'[4]#REF'!F77</f>
        <v>#REF!</v>
      </c>
      <c r="G77" s="12" t="e">
        <f>'[4]#REF'!G77</f>
        <v>#REF!</v>
      </c>
      <c r="H77" s="31" t="e">
        <f>'[4]#REF'!I77</f>
        <v>#REF!</v>
      </c>
      <c r="I77" s="32" t="e">
        <f t="shared" si="4"/>
        <v>#REF!</v>
      </c>
      <c r="K77" s="12" t="e">
        <f>'[4]#REF'!K77</f>
        <v>#REF!</v>
      </c>
      <c r="L77" s="12" t="e">
        <f>'[4]#REF'!L77</f>
        <v>#REF!</v>
      </c>
      <c r="M77" s="31" t="e">
        <f>'[4]#REF'!N77</f>
        <v>#REF!</v>
      </c>
      <c r="N77" s="32" t="e">
        <f t="shared" si="5"/>
        <v>#REF!</v>
      </c>
    </row>
    <row r="78" ht="15.75" spans="1:14">
      <c r="A78" s="12" t="e">
        <f>'[4]#REF'!A78</f>
        <v>#REF!</v>
      </c>
      <c r="B78" s="12" t="e">
        <f>'[4]#REF'!B78</f>
        <v>#REF!</v>
      </c>
      <c r="C78" s="31" t="e">
        <f>'[4]#REF'!D78</f>
        <v>#REF!</v>
      </c>
      <c r="D78" s="32" t="e">
        <f t="shared" si="3"/>
        <v>#REF!</v>
      </c>
      <c r="F78" s="12" t="e">
        <f>'[4]#REF'!F78</f>
        <v>#REF!</v>
      </c>
      <c r="G78" s="12" t="e">
        <f>'[4]#REF'!G78</f>
        <v>#REF!</v>
      </c>
      <c r="H78" s="31" t="e">
        <f>'[4]#REF'!I78</f>
        <v>#REF!</v>
      </c>
      <c r="I78" s="32" t="e">
        <f t="shared" si="4"/>
        <v>#REF!</v>
      </c>
      <c r="K78" s="12" t="e">
        <f>'[4]#REF'!K78</f>
        <v>#REF!</v>
      </c>
      <c r="L78" s="12" t="e">
        <f>'[4]#REF'!L78</f>
        <v>#REF!</v>
      </c>
      <c r="M78" s="31" t="e">
        <f>'[4]#REF'!N78</f>
        <v>#REF!</v>
      </c>
      <c r="N78" s="32" t="e">
        <f t="shared" si="5"/>
        <v>#REF!</v>
      </c>
    </row>
    <row r="79" ht="15.75" spans="1:14">
      <c r="A79" s="12" t="e">
        <f>'[4]#REF'!A79</f>
        <v>#REF!</v>
      </c>
      <c r="B79" s="12" t="e">
        <f>'[4]#REF'!B79</f>
        <v>#REF!</v>
      </c>
      <c r="C79" s="31" t="e">
        <f>'[4]#REF'!D79</f>
        <v>#REF!</v>
      </c>
      <c r="D79" s="32" t="e">
        <f t="shared" si="3"/>
        <v>#REF!</v>
      </c>
      <c r="F79" s="12" t="e">
        <f>'[4]#REF'!F79</f>
        <v>#REF!</v>
      </c>
      <c r="G79" s="12" t="e">
        <f>'[4]#REF'!G79</f>
        <v>#REF!</v>
      </c>
      <c r="H79" s="31" t="e">
        <f>'[4]#REF'!I79</f>
        <v>#REF!</v>
      </c>
      <c r="I79" s="32" t="e">
        <f t="shared" si="4"/>
        <v>#REF!</v>
      </c>
      <c r="K79" s="12" t="e">
        <f>'[4]#REF'!K79</f>
        <v>#REF!</v>
      </c>
      <c r="L79" s="12" t="e">
        <f>'[4]#REF'!L79</f>
        <v>#REF!</v>
      </c>
      <c r="M79" s="31" t="e">
        <f>'[4]#REF'!N79</f>
        <v>#REF!</v>
      </c>
      <c r="N79" s="32" t="e">
        <f t="shared" si="5"/>
        <v>#REF!</v>
      </c>
    </row>
    <row r="80" ht="15.75" spans="1:14">
      <c r="A80" s="12" t="e">
        <f>'[4]#REF'!A80</f>
        <v>#REF!</v>
      </c>
      <c r="B80" s="12" t="e">
        <f>'[4]#REF'!B80</f>
        <v>#REF!</v>
      </c>
      <c r="C80" s="31" t="e">
        <f>'[4]#REF'!D80</f>
        <v>#REF!</v>
      </c>
      <c r="D80" s="32" t="e">
        <f t="shared" si="3"/>
        <v>#REF!</v>
      </c>
      <c r="F80" s="12" t="e">
        <f>'[4]#REF'!F80</f>
        <v>#REF!</v>
      </c>
      <c r="G80" s="12" t="e">
        <f>'[4]#REF'!G80</f>
        <v>#REF!</v>
      </c>
      <c r="H80" s="31" t="e">
        <f>'[4]#REF'!I80</f>
        <v>#REF!</v>
      </c>
      <c r="I80" s="32" t="e">
        <f t="shared" si="4"/>
        <v>#REF!</v>
      </c>
      <c r="K80" s="12" t="e">
        <f>'[4]#REF'!K80</f>
        <v>#REF!</v>
      </c>
      <c r="L80" s="12" t="e">
        <f>'[4]#REF'!L80</f>
        <v>#REF!</v>
      </c>
      <c r="M80" s="31" t="e">
        <f>'[4]#REF'!N80</f>
        <v>#REF!</v>
      </c>
      <c r="N80" s="32" t="e">
        <f t="shared" si="5"/>
        <v>#REF!</v>
      </c>
    </row>
    <row r="81" ht="15.75" spans="1:14">
      <c r="A81" s="12" t="e">
        <f>'[4]#REF'!A81</f>
        <v>#REF!</v>
      </c>
      <c r="B81" s="12" t="e">
        <f>'[4]#REF'!B81</f>
        <v>#REF!</v>
      </c>
      <c r="C81" s="31" t="e">
        <f>'[4]#REF'!D81</f>
        <v>#REF!</v>
      </c>
      <c r="D81" s="32" t="e">
        <f t="shared" si="3"/>
        <v>#REF!</v>
      </c>
      <c r="F81" s="12" t="e">
        <f>'[4]#REF'!F81</f>
        <v>#REF!</v>
      </c>
      <c r="G81" s="12" t="e">
        <f>'[4]#REF'!G81</f>
        <v>#REF!</v>
      </c>
      <c r="H81" s="31" t="e">
        <f>'[4]#REF'!I81</f>
        <v>#REF!</v>
      </c>
      <c r="I81" s="32" t="e">
        <f t="shared" si="4"/>
        <v>#REF!</v>
      </c>
      <c r="K81" s="12" t="e">
        <f>'[4]#REF'!K81</f>
        <v>#REF!</v>
      </c>
      <c r="L81" s="12" t="e">
        <f>'[4]#REF'!L81</f>
        <v>#REF!</v>
      </c>
      <c r="M81" s="31" t="e">
        <f>'[4]#REF'!N81</f>
        <v>#REF!</v>
      </c>
      <c r="N81" s="32" t="e">
        <f t="shared" si="5"/>
        <v>#REF!</v>
      </c>
    </row>
    <row r="82" ht="15.75" spans="1:14">
      <c r="A82" s="12" t="e">
        <f>'[4]#REF'!A82</f>
        <v>#REF!</v>
      </c>
      <c r="B82" s="12" t="e">
        <f>'[4]#REF'!B82</f>
        <v>#REF!</v>
      </c>
      <c r="C82" s="31" t="e">
        <f>'[4]#REF'!D82</f>
        <v>#REF!</v>
      </c>
      <c r="D82" s="32" t="e">
        <f t="shared" si="3"/>
        <v>#REF!</v>
      </c>
      <c r="F82" s="12" t="e">
        <f>'[4]#REF'!F82</f>
        <v>#REF!</v>
      </c>
      <c r="G82" s="12" t="e">
        <f>'[4]#REF'!G82</f>
        <v>#REF!</v>
      </c>
      <c r="H82" s="31" t="e">
        <f>'[4]#REF'!I82</f>
        <v>#REF!</v>
      </c>
      <c r="I82" s="32" t="e">
        <f t="shared" si="4"/>
        <v>#REF!</v>
      </c>
      <c r="K82" s="12" t="e">
        <f>'[4]#REF'!K82</f>
        <v>#REF!</v>
      </c>
      <c r="L82" s="12" t="e">
        <f>'[4]#REF'!L82</f>
        <v>#REF!</v>
      </c>
      <c r="M82" s="31" t="e">
        <f>'[4]#REF'!N82</f>
        <v>#REF!</v>
      </c>
      <c r="N82" s="32" t="e">
        <f t="shared" si="5"/>
        <v>#REF!</v>
      </c>
    </row>
    <row r="83" ht="15.75" spans="1:14">
      <c r="A83" s="12" t="e">
        <f>'[4]#REF'!A83</f>
        <v>#REF!</v>
      </c>
      <c r="B83" s="12" t="e">
        <f>'[4]#REF'!B83</f>
        <v>#REF!</v>
      </c>
      <c r="C83" s="31" t="e">
        <f>'[4]#REF'!D83</f>
        <v>#REF!</v>
      </c>
      <c r="D83" s="32" t="e">
        <f t="shared" si="3"/>
        <v>#REF!</v>
      </c>
      <c r="F83" s="12" t="e">
        <f>'[4]#REF'!F83</f>
        <v>#REF!</v>
      </c>
      <c r="G83" s="12" t="e">
        <f>'[4]#REF'!G83</f>
        <v>#REF!</v>
      </c>
      <c r="H83" s="31" t="e">
        <f>'[4]#REF'!I83</f>
        <v>#REF!</v>
      </c>
      <c r="I83" s="32" t="e">
        <f t="shared" si="4"/>
        <v>#REF!</v>
      </c>
      <c r="K83" s="12" t="e">
        <f>'[4]#REF'!K83</f>
        <v>#REF!</v>
      </c>
      <c r="L83" s="12" t="e">
        <f>'[4]#REF'!L83</f>
        <v>#REF!</v>
      </c>
      <c r="M83" s="31" t="e">
        <f>'[4]#REF'!N83</f>
        <v>#REF!</v>
      </c>
      <c r="N83" s="32" t="e">
        <f t="shared" si="5"/>
        <v>#REF!</v>
      </c>
    </row>
    <row r="84" ht="15.75" spans="1:14">
      <c r="A84" s="12" t="e">
        <f>'[4]#REF'!A84</f>
        <v>#REF!</v>
      </c>
      <c r="B84" s="12" t="e">
        <f>'[4]#REF'!B84</f>
        <v>#REF!</v>
      </c>
      <c r="C84" s="31" t="e">
        <f>'[4]#REF'!D84</f>
        <v>#REF!</v>
      </c>
      <c r="D84" s="32" t="e">
        <f t="shared" si="3"/>
        <v>#REF!</v>
      </c>
      <c r="F84" s="12" t="e">
        <f>'[4]#REF'!F84</f>
        <v>#REF!</v>
      </c>
      <c r="G84" s="12" t="e">
        <f>'[4]#REF'!G84</f>
        <v>#REF!</v>
      </c>
      <c r="H84" s="31" t="e">
        <f>'[4]#REF'!I84</f>
        <v>#REF!</v>
      </c>
      <c r="I84" s="32" t="e">
        <f t="shared" si="4"/>
        <v>#REF!</v>
      </c>
      <c r="K84" s="12" t="e">
        <f>'[4]#REF'!K84</f>
        <v>#REF!</v>
      </c>
      <c r="L84" s="12" t="e">
        <f>'[4]#REF'!L84</f>
        <v>#REF!</v>
      </c>
      <c r="M84" s="31" t="e">
        <f>'[4]#REF'!N84</f>
        <v>#REF!</v>
      </c>
      <c r="N84" s="32" t="e">
        <f t="shared" si="5"/>
        <v>#REF!</v>
      </c>
    </row>
    <row r="85" ht="15.75" spans="1:14">
      <c r="A85" s="12" t="e">
        <f>'[4]#REF'!A85</f>
        <v>#REF!</v>
      </c>
      <c r="B85" s="12" t="e">
        <f>'[4]#REF'!B85</f>
        <v>#REF!</v>
      </c>
      <c r="C85" s="31" t="e">
        <f>'[4]#REF'!D85</f>
        <v>#REF!</v>
      </c>
      <c r="D85" s="32" t="e">
        <f t="shared" si="3"/>
        <v>#REF!</v>
      </c>
      <c r="F85" s="12" t="e">
        <f>'[4]#REF'!F85</f>
        <v>#REF!</v>
      </c>
      <c r="G85" s="12" t="e">
        <f>'[4]#REF'!G85</f>
        <v>#REF!</v>
      </c>
      <c r="H85" s="31" t="e">
        <f>'[4]#REF'!I85</f>
        <v>#REF!</v>
      </c>
      <c r="I85" s="32" t="e">
        <f t="shared" si="4"/>
        <v>#REF!</v>
      </c>
      <c r="K85" s="12" t="e">
        <f>'[4]#REF'!K85</f>
        <v>#REF!</v>
      </c>
      <c r="L85" s="12" t="e">
        <f>'[4]#REF'!L85</f>
        <v>#REF!</v>
      </c>
      <c r="M85" s="31" t="e">
        <f>'[4]#REF'!N85</f>
        <v>#REF!</v>
      </c>
      <c r="N85" s="32" t="e">
        <f t="shared" si="5"/>
        <v>#REF!</v>
      </c>
    </row>
    <row r="86" ht="15.75" spans="1:14">
      <c r="A86" s="12" t="e">
        <f>'[4]#REF'!A86</f>
        <v>#REF!</v>
      </c>
      <c r="B86" s="12" t="e">
        <f>'[4]#REF'!B86</f>
        <v>#REF!</v>
      </c>
      <c r="C86" s="31" t="e">
        <f>'[4]#REF'!D86</f>
        <v>#REF!</v>
      </c>
      <c r="D86" s="32" t="e">
        <f t="shared" si="3"/>
        <v>#REF!</v>
      </c>
      <c r="F86" s="12" t="e">
        <f>'[4]#REF'!F86</f>
        <v>#REF!</v>
      </c>
      <c r="G86" s="12" t="e">
        <f>'[4]#REF'!G86</f>
        <v>#REF!</v>
      </c>
      <c r="H86" s="31" t="e">
        <f>'[4]#REF'!I86</f>
        <v>#REF!</v>
      </c>
      <c r="I86" s="32" t="e">
        <f t="shared" si="4"/>
        <v>#REF!</v>
      </c>
      <c r="K86" s="12" t="e">
        <f>'[4]#REF'!K86</f>
        <v>#REF!</v>
      </c>
      <c r="L86" s="12" t="e">
        <f>'[4]#REF'!L86</f>
        <v>#REF!</v>
      </c>
      <c r="M86" s="31" t="e">
        <f>'[4]#REF'!N86</f>
        <v>#REF!</v>
      </c>
      <c r="N86" s="32" t="e">
        <f t="shared" si="5"/>
        <v>#REF!</v>
      </c>
    </row>
    <row r="87" ht="15.75" spans="1:14">
      <c r="A87" s="12" t="e">
        <f>'[4]#REF'!A87</f>
        <v>#REF!</v>
      </c>
      <c r="B87" s="12" t="e">
        <f>'[4]#REF'!B87</f>
        <v>#REF!</v>
      </c>
      <c r="C87" s="31" t="e">
        <f>'[4]#REF'!D87</f>
        <v>#REF!</v>
      </c>
      <c r="D87" s="32" t="e">
        <f t="shared" si="3"/>
        <v>#REF!</v>
      </c>
      <c r="F87" s="12" t="e">
        <f>'[4]#REF'!F87</f>
        <v>#REF!</v>
      </c>
      <c r="G87" s="12" t="e">
        <f>'[4]#REF'!G87</f>
        <v>#REF!</v>
      </c>
      <c r="H87" s="31" t="e">
        <f>'[4]#REF'!I87</f>
        <v>#REF!</v>
      </c>
      <c r="I87" s="32" t="e">
        <f t="shared" si="4"/>
        <v>#REF!</v>
      </c>
      <c r="K87" s="12" t="e">
        <f>'[4]#REF'!K87</f>
        <v>#REF!</v>
      </c>
      <c r="L87" s="12" t="e">
        <f>'[4]#REF'!L87</f>
        <v>#REF!</v>
      </c>
      <c r="M87" s="31" t="e">
        <f>'[4]#REF'!N87</f>
        <v>#REF!</v>
      </c>
      <c r="N87" s="32" t="e">
        <f t="shared" si="5"/>
        <v>#REF!</v>
      </c>
    </row>
    <row r="88" ht="15.75" spans="1:14">
      <c r="A88" s="12" t="e">
        <f>'[4]#REF'!A88</f>
        <v>#REF!</v>
      </c>
      <c r="B88" s="12" t="e">
        <f>'[4]#REF'!B88</f>
        <v>#REF!</v>
      </c>
      <c r="C88" s="31" t="e">
        <f>'[4]#REF'!D88</f>
        <v>#REF!</v>
      </c>
      <c r="D88" s="32" t="e">
        <f t="shared" si="3"/>
        <v>#REF!</v>
      </c>
      <c r="F88" s="12" t="e">
        <f>'[4]#REF'!F88</f>
        <v>#REF!</v>
      </c>
      <c r="G88" s="12" t="e">
        <f>'[4]#REF'!G88</f>
        <v>#REF!</v>
      </c>
      <c r="H88" s="31" t="e">
        <f>'[4]#REF'!I88</f>
        <v>#REF!</v>
      </c>
      <c r="I88" s="32" t="e">
        <f t="shared" si="4"/>
        <v>#REF!</v>
      </c>
      <c r="K88" s="12" t="e">
        <f>'[4]#REF'!K88</f>
        <v>#REF!</v>
      </c>
      <c r="L88" s="12" t="e">
        <f>'[4]#REF'!L88</f>
        <v>#REF!</v>
      </c>
      <c r="M88" s="31" t="e">
        <f>'[4]#REF'!N88</f>
        <v>#REF!</v>
      </c>
      <c r="N88" s="32" t="e">
        <f t="shared" si="5"/>
        <v>#REF!</v>
      </c>
    </row>
    <row r="89" ht="15.75" spans="1:14">
      <c r="A89" s="12" t="e">
        <f>'[4]#REF'!A89</f>
        <v>#REF!</v>
      </c>
      <c r="B89" s="12" t="e">
        <f>'[4]#REF'!B89</f>
        <v>#REF!</v>
      </c>
      <c r="C89" s="31" t="e">
        <f>'[4]#REF'!D89</f>
        <v>#REF!</v>
      </c>
      <c r="D89" s="32" t="e">
        <f t="shared" si="3"/>
        <v>#REF!</v>
      </c>
      <c r="F89" s="12" t="e">
        <f>'[4]#REF'!F89</f>
        <v>#REF!</v>
      </c>
      <c r="G89" s="12" t="e">
        <f>'[4]#REF'!G89</f>
        <v>#REF!</v>
      </c>
      <c r="H89" s="31" t="e">
        <f>'[4]#REF'!I89</f>
        <v>#REF!</v>
      </c>
      <c r="I89" s="32" t="e">
        <f t="shared" si="4"/>
        <v>#REF!</v>
      </c>
      <c r="K89" s="12" t="e">
        <f>'[4]#REF'!K89</f>
        <v>#REF!</v>
      </c>
      <c r="L89" s="12" t="e">
        <f>'[4]#REF'!L89</f>
        <v>#REF!</v>
      </c>
      <c r="M89" s="31" t="e">
        <f>'[4]#REF'!N89</f>
        <v>#REF!</v>
      </c>
      <c r="N89" s="32" t="e">
        <f t="shared" si="5"/>
        <v>#REF!</v>
      </c>
    </row>
    <row r="90" ht="15.75" spans="1:14">
      <c r="A90" s="12" t="e">
        <f>'[4]#REF'!A90</f>
        <v>#REF!</v>
      </c>
      <c r="B90" s="12" t="e">
        <f>'[4]#REF'!B90</f>
        <v>#REF!</v>
      </c>
      <c r="C90" s="31" t="e">
        <f>'[4]#REF'!D90</f>
        <v>#REF!</v>
      </c>
      <c r="D90" s="32" t="e">
        <f t="shared" si="3"/>
        <v>#REF!</v>
      </c>
      <c r="F90" s="12" t="e">
        <f>'[4]#REF'!F90</f>
        <v>#REF!</v>
      </c>
      <c r="G90" s="12" t="e">
        <f>'[4]#REF'!G90</f>
        <v>#REF!</v>
      </c>
      <c r="H90" s="31" t="e">
        <f>'[4]#REF'!I90</f>
        <v>#REF!</v>
      </c>
      <c r="I90" s="32" t="e">
        <f t="shared" si="4"/>
        <v>#REF!</v>
      </c>
      <c r="K90" s="12" t="e">
        <f>'[4]#REF'!K90</f>
        <v>#REF!</v>
      </c>
      <c r="L90" s="12" t="e">
        <f>'[4]#REF'!L90</f>
        <v>#REF!</v>
      </c>
      <c r="M90" s="31" t="e">
        <f>'[4]#REF'!N90</f>
        <v>#REF!</v>
      </c>
      <c r="N90" s="32" t="e">
        <f t="shared" si="5"/>
        <v>#REF!</v>
      </c>
    </row>
    <row r="91" ht="15.75" spans="1:14">
      <c r="A91" s="12" t="e">
        <f>'[4]#REF'!A91</f>
        <v>#REF!</v>
      </c>
      <c r="B91" s="12" t="e">
        <f>'[4]#REF'!B91</f>
        <v>#REF!</v>
      </c>
      <c r="C91" s="31" t="e">
        <f>'[4]#REF'!D91</f>
        <v>#REF!</v>
      </c>
      <c r="D91" s="32" t="e">
        <f t="shared" si="3"/>
        <v>#REF!</v>
      </c>
      <c r="F91" s="12" t="e">
        <f>'[4]#REF'!F91</f>
        <v>#REF!</v>
      </c>
      <c r="G91" s="12" t="e">
        <f>'[4]#REF'!G91</f>
        <v>#REF!</v>
      </c>
      <c r="H91" s="31" t="e">
        <f>'[4]#REF'!I91</f>
        <v>#REF!</v>
      </c>
      <c r="I91" s="32" t="e">
        <f t="shared" si="4"/>
        <v>#REF!</v>
      </c>
      <c r="K91" s="12" t="e">
        <f>'[4]#REF'!K91</f>
        <v>#REF!</v>
      </c>
      <c r="L91" s="12" t="e">
        <f>'[4]#REF'!L91</f>
        <v>#REF!</v>
      </c>
      <c r="M91" s="31" t="e">
        <f>'[4]#REF'!N91</f>
        <v>#REF!</v>
      </c>
      <c r="N91" s="32" t="e">
        <f t="shared" si="5"/>
        <v>#REF!</v>
      </c>
    </row>
    <row r="92" ht="15.75" spans="1:14">
      <c r="A92" s="12" t="e">
        <f>'[4]#REF'!A92</f>
        <v>#REF!</v>
      </c>
      <c r="B92" s="12" t="e">
        <f>'[4]#REF'!B92</f>
        <v>#REF!</v>
      </c>
      <c r="C92" s="31" t="e">
        <f>'[4]#REF'!D92</f>
        <v>#REF!</v>
      </c>
      <c r="D92" s="32" t="e">
        <f t="shared" si="3"/>
        <v>#REF!</v>
      </c>
      <c r="F92" s="12" t="e">
        <f>'[4]#REF'!F92</f>
        <v>#REF!</v>
      </c>
      <c r="G92" s="12" t="e">
        <f>'[4]#REF'!G92</f>
        <v>#REF!</v>
      </c>
      <c r="H92" s="31" t="e">
        <f>'[4]#REF'!I92</f>
        <v>#REF!</v>
      </c>
      <c r="I92" s="32" t="e">
        <f t="shared" si="4"/>
        <v>#REF!</v>
      </c>
      <c r="K92" s="12" t="e">
        <f>'[4]#REF'!K92</f>
        <v>#REF!</v>
      </c>
      <c r="L92" s="12" t="e">
        <f>'[4]#REF'!L92</f>
        <v>#REF!</v>
      </c>
      <c r="M92" s="31" t="e">
        <f>'[4]#REF'!N92</f>
        <v>#REF!</v>
      </c>
      <c r="N92" s="32" t="e">
        <f t="shared" si="5"/>
        <v>#REF!</v>
      </c>
    </row>
    <row r="93" ht="15.75" spans="1:14">
      <c r="A93" s="12" t="e">
        <f>'[4]#REF'!A93</f>
        <v>#REF!</v>
      </c>
      <c r="B93" s="12" t="e">
        <f>'[4]#REF'!B93</f>
        <v>#REF!</v>
      </c>
      <c r="C93" s="31" t="e">
        <f>'[4]#REF'!D93</f>
        <v>#REF!</v>
      </c>
      <c r="D93" s="32" t="e">
        <f t="shared" si="3"/>
        <v>#REF!</v>
      </c>
      <c r="F93" s="12" t="e">
        <f>'[4]#REF'!F93</f>
        <v>#REF!</v>
      </c>
      <c r="G93" s="12" t="e">
        <f>'[4]#REF'!G93</f>
        <v>#REF!</v>
      </c>
      <c r="H93" s="31" t="e">
        <f>'[4]#REF'!I93</f>
        <v>#REF!</v>
      </c>
      <c r="I93" s="32" t="e">
        <f t="shared" si="4"/>
        <v>#REF!</v>
      </c>
      <c r="K93" s="12" t="e">
        <f>'[4]#REF'!K93</f>
        <v>#REF!</v>
      </c>
      <c r="L93" s="12" t="e">
        <f>'[4]#REF'!L93</f>
        <v>#REF!</v>
      </c>
      <c r="M93" s="31" t="e">
        <f>'[4]#REF'!N93</f>
        <v>#REF!</v>
      </c>
      <c r="N93" s="32" t="e">
        <f t="shared" si="5"/>
        <v>#REF!</v>
      </c>
    </row>
    <row r="94" ht="15.75" spans="1:14">
      <c r="A94" s="12" t="e">
        <f>'[4]#REF'!A94</f>
        <v>#REF!</v>
      </c>
      <c r="B94" s="12" t="e">
        <f>'[4]#REF'!B94</f>
        <v>#REF!</v>
      </c>
      <c r="C94" s="31" t="e">
        <f>'[4]#REF'!D94</f>
        <v>#REF!</v>
      </c>
      <c r="D94" s="32" t="e">
        <f t="shared" si="3"/>
        <v>#REF!</v>
      </c>
      <c r="F94" s="12" t="e">
        <f>'[4]#REF'!F94</f>
        <v>#REF!</v>
      </c>
      <c r="G94" s="12" t="e">
        <f>'[4]#REF'!G94</f>
        <v>#REF!</v>
      </c>
      <c r="H94" s="31" t="e">
        <f>'[4]#REF'!I94</f>
        <v>#REF!</v>
      </c>
      <c r="I94" s="32" t="e">
        <f t="shared" si="4"/>
        <v>#REF!</v>
      </c>
      <c r="K94" s="12" t="e">
        <f>'[4]#REF'!K94</f>
        <v>#REF!</v>
      </c>
      <c r="L94" s="12" t="e">
        <f>'[4]#REF'!L94</f>
        <v>#REF!</v>
      </c>
      <c r="M94" s="31" t="e">
        <f>'[4]#REF'!N94</f>
        <v>#REF!</v>
      </c>
      <c r="N94" s="32" t="e">
        <f t="shared" si="5"/>
        <v>#REF!</v>
      </c>
    </row>
    <row r="95" ht="15.75" spans="1:14">
      <c r="A95" s="12" t="e">
        <f>'[4]#REF'!A95</f>
        <v>#REF!</v>
      </c>
      <c r="B95" s="12" t="e">
        <f>'[4]#REF'!B95</f>
        <v>#REF!</v>
      </c>
      <c r="C95" s="31" t="e">
        <f>'[4]#REF'!D95</f>
        <v>#REF!</v>
      </c>
      <c r="D95" s="32" t="e">
        <f t="shared" si="3"/>
        <v>#REF!</v>
      </c>
      <c r="F95" s="12" t="e">
        <f>'[4]#REF'!F95</f>
        <v>#REF!</v>
      </c>
      <c r="G95" s="12" t="e">
        <f>'[4]#REF'!G95</f>
        <v>#REF!</v>
      </c>
      <c r="H95" s="31" t="e">
        <f>'[4]#REF'!I95</f>
        <v>#REF!</v>
      </c>
      <c r="I95" s="32" t="e">
        <f t="shared" si="4"/>
        <v>#REF!</v>
      </c>
      <c r="K95" s="12" t="e">
        <f>'[4]#REF'!K95</f>
        <v>#REF!</v>
      </c>
      <c r="L95" s="12" t="e">
        <f>'[4]#REF'!L95</f>
        <v>#REF!</v>
      </c>
      <c r="M95" s="31" t="e">
        <f>'[4]#REF'!N95</f>
        <v>#REF!</v>
      </c>
      <c r="N95" s="32" t="e">
        <f t="shared" si="5"/>
        <v>#REF!</v>
      </c>
    </row>
    <row r="96" ht="15.75" spans="1:14">
      <c r="A96" s="12" t="e">
        <f>'[4]#REF'!A96</f>
        <v>#REF!</v>
      </c>
      <c r="B96" s="12" t="e">
        <f>'[4]#REF'!B96</f>
        <v>#REF!</v>
      </c>
      <c r="C96" s="31" t="e">
        <f>'[4]#REF'!D96</f>
        <v>#REF!</v>
      </c>
      <c r="D96" s="32" t="e">
        <f t="shared" si="3"/>
        <v>#REF!</v>
      </c>
      <c r="F96" s="12" t="e">
        <f>'[4]#REF'!F96</f>
        <v>#REF!</v>
      </c>
      <c r="G96" s="12" t="e">
        <f>'[4]#REF'!G96</f>
        <v>#REF!</v>
      </c>
      <c r="H96" s="31" t="e">
        <f>'[4]#REF'!I96</f>
        <v>#REF!</v>
      </c>
      <c r="I96" s="32" t="e">
        <f t="shared" si="4"/>
        <v>#REF!</v>
      </c>
      <c r="K96" s="12" t="e">
        <f>'[4]#REF'!K96</f>
        <v>#REF!</v>
      </c>
      <c r="L96" s="12" t="e">
        <f>'[4]#REF'!L96</f>
        <v>#REF!</v>
      </c>
      <c r="M96" s="31" t="e">
        <f>'[4]#REF'!N96</f>
        <v>#REF!</v>
      </c>
      <c r="N96" s="32" t="e">
        <f t="shared" si="5"/>
        <v>#REF!</v>
      </c>
    </row>
    <row r="97" ht="15.75" spans="1:14">
      <c r="A97" s="12" t="e">
        <f>'[4]#REF'!A97</f>
        <v>#REF!</v>
      </c>
      <c r="B97" s="12" t="e">
        <f>'[4]#REF'!B97</f>
        <v>#REF!</v>
      </c>
      <c r="C97" s="31" t="e">
        <f>'[4]#REF'!D97</f>
        <v>#REF!</v>
      </c>
      <c r="D97" s="32" t="e">
        <f t="shared" si="3"/>
        <v>#REF!</v>
      </c>
      <c r="F97" s="12" t="e">
        <f>'[4]#REF'!F97</f>
        <v>#REF!</v>
      </c>
      <c r="G97" s="12" t="e">
        <f>'[4]#REF'!G97</f>
        <v>#REF!</v>
      </c>
      <c r="H97" s="31" t="e">
        <f>'[4]#REF'!I97</f>
        <v>#REF!</v>
      </c>
      <c r="I97" s="32" t="e">
        <f t="shared" si="4"/>
        <v>#REF!</v>
      </c>
      <c r="K97" s="12" t="e">
        <f>'[4]#REF'!K97</f>
        <v>#REF!</v>
      </c>
      <c r="L97" s="12" t="e">
        <f>'[4]#REF'!L97</f>
        <v>#REF!</v>
      </c>
      <c r="M97" s="31" t="e">
        <f>'[4]#REF'!N97</f>
        <v>#REF!</v>
      </c>
      <c r="N97" s="32" t="e">
        <f t="shared" si="5"/>
        <v>#REF!</v>
      </c>
    </row>
    <row r="98" ht="15.75" spans="1:14">
      <c r="A98" s="12" t="e">
        <f>'[4]#REF'!A98</f>
        <v>#REF!</v>
      </c>
      <c r="B98" s="12" t="e">
        <f>'[4]#REF'!B98</f>
        <v>#REF!</v>
      </c>
      <c r="C98" s="31" t="e">
        <f>'[4]#REF'!D98</f>
        <v>#REF!</v>
      </c>
      <c r="D98" s="32" t="e">
        <f t="shared" si="3"/>
        <v>#REF!</v>
      </c>
      <c r="F98" s="12" t="e">
        <f>'[4]#REF'!F98</f>
        <v>#REF!</v>
      </c>
      <c r="G98" s="12" t="e">
        <f>'[4]#REF'!G98</f>
        <v>#REF!</v>
      </c>
      <c r="H98" s="31" t="e">
        <f>'[4]#REF'!I98</f>
        <v>#REF!</v>
      </c>
      <c r="I98" s="32" t="e">
        <f t="shared" si="4"/>
        <v>#REF!</v>
      </c>
      <c r="K98" s="12" t="e">
        <f>'[4]#REF'!K98</f>
        <v>#REF!</v>
      </c>
      <c r="L98" s="12" t="e">
        <f>'[4]#REF'!L98</f>
        <v>#REF!</v>
      </c>
      <c r="M98" s="31" t="e">
        <f>'[4]#REF'!N98</f>
        <v>#REF!</v>
      </c>
      <c r="N98" s="32" t="e">
        <f t="shared" si="5"/>
        <v>#REF!</v>
      </c>
    </row>
    <row r="99" ht="15.75" spans="1:14">
      <c r="A99" s="12" t="e">
        <f>'[4]#REF'!A99</f>
        <v>#REF!</v>
      </c>
      <c r="B99" s="12" t="e">
        <f>'[4]#REF'!B99</f>
        <v>#REF!</v>
      </c>
      <c r="C99" s="31" t="e">
        <f>'[4]#REF'!D99</f>
        <v>#REF!</v>
      </c>
      <c r="D99" s="32" t="e">
        <f t="shared" si="3"/>
        <v>#REF!</v>
      </c>
      <c r="F99" s="12" t="e">
        <f>'[4]#REF'!F99</f>
        <v>#REF!</v>
      </c>
      <c r="G99" s="12" t="e">
        <f>'[4]#REF'!G99</f>
        <v>#REF!</v>
      </c>
      <c r="H99" s="31" t="e">
        <f>'[4]#REF'!I99</f>
        <v>#REF!</v>
      </c>
      <c r="I99" s="32" t="e">
        <f t="shared" si="4"/>
        <v>#REF!</v>
      </c>
      <c r="K99" s="12" t="e">
        <f>'[4]#REF'!K99</f>
        <v>#REF!</v>
      </c>
      <c r="L99" s="12" t="e">
        <f>'[4]#REF'!L99</f>
        <v>#REF!</v>
      </c>
      <c r="M99" s="31" t="e">
        <f>'[4]#REF'!N99</f>
        <v>#REF!</v>
      </c>
      <c r="N99" s="32" t="e">
        <f t="shared" si="5"/>
        <v>#REF!</v>
      </c>
    </row>
    <row r="100" ht="15.75" spans="1:14">
      <c r="A100" s="12" t="e">
        <f>'[4]#REF'!A100</f>
        <v>#REF!</v>
      </c>
      <c r="B100" s="12" t="e">
        <f>'[4]#REF'!B100</f>
        <v>#REF!</v>
      </c>
      <c r="C100" s="31" t="e">
        <f>'[4]#REF'!D100</f>
        <v>#REF!</v>
      </c>
      <c r="D100" s="32" t="e">
        <f t="shared" si="3"/>
        <v>#REF!</v>
      </c>
      <c r="F100" s="12" t="e">
        <f>'[4]#REF'!F100</f>
        <v>#REF!</v>
      </c>
      <c r="G100" s="12" t="e">
        <f>'[4]#REF'!G100</f>
        <v>#REF!</v>
      </c>
      <c r="H100" s="31" t="e">
        <f>'[4]#REF'!I100</f>
        <v>#REF!</v>
      </c>
      <c r="I100" s="32" t="e">
        <f t="shared" si="4"/>
        <v>#REF!</v>
      </c>
      <c r="K100" s="12" t="e">
        <f>'[4]#REF'!K100</f>
        <v>#REF!</v>
      </c>
      <c r="L100" s="12" t="e">
        <f>'[4]#REF'!L100</f>
        <v>#REF!</v>
      </c>
      <c r="M100" s="31" t="e">
        <f>'[4]#REF'!N100</f>
        <v>#REF!</v>
      </c>
      <c r="N100" s="32" t="e">
        <f t="shared" si="5"/>
        <v>#REF!</v>
      </c>
    </row>
    <row r="101" ht="15.75" spans="1:14">
      <c r="A101" s="12" t="e">
        <f>'[4]#REF'!A101</f>
        <v>#REF!</v>
      </c>
      <c r="B101" s="12" t="e">
        <f>'[4]#REF'!B101</f>
        <v>#REF!</v>
      </c>
      <c r="C101" s="31" t="e">
        <f>'[4]#REF'!D101</f>
        <v>#REF!</v>
      </c>
      <c r="D101" s="32" t="e">
        <f t="shared" si="3"/>
        <v>#REF!</v>
      </c>
      <c r="F101" s="12" t="e">
        <f>'[4]#REF'!F101</f>
        <v>#REF!</v>
      </c>
      <c r="G101" s="12" t="e">
        <f>'[4]#REF'!G101</f>
        <v>#REF!</v>
      </c>
      <c r="H101" s="31" t="e">
        <f>'[4]#REF'!I101</f>
        <v>#REF!</v>
      </c>
      <c r="I101" s="32" t="e">
        <f t="shared" si="4"/>
        <v>#REF!</v>
      </c>
      <c r="K101" s="12" t="e">
        <f>'[4]#REF'!K101</f>
        <v>#REF!</v>
      </c>
      <c r="L101" s="12" t="e">
        <f>'[4]#REF'!L101</f>
        <v>#REF!</v>
      </c>
      <c r="M101" s="31" t="e">
        <f>'[4]#REF'!N101</f>
        <v>#REF!</v>
      </c>
      <c r="N101" s="32" t="e">
        <f t="shared" si="5"/>
        <v>#REF!</v>
      </c>
    </row>
    <row r="102" ht="15.75" spans="1:14">
      <c r="A102" s="12" t="e">
        <f>'[4]#REF'!A102</f>
        <v>#REF!</v>
      </c>
      <c r="B102" s="12" t="e">
        <f>'[4]#REF'!B102</f>
        <v>#REF!</v>
      </c>
      <c r="C102" s="31" t="e">
        <f>'[4]#REF'!D102</f>
        <v>#REF!</v>
      </c>
      <c r="D102" s="32" t="e">
        <f t="shared" si="3"/>
        <v>#REF!</v>
      </c>
      <c r="F102" s="12" t="e">
        <f>'[4]#REF'!F102</f>
        <v>#REF!</v>
      </c>
      <c r="G102" s="12" t="e">
        <f>'[4]#REF'!G102</f>
        <v>#REF!</v>
      </c>
      <c r="H102" s="31" t="e">
        <f>'[4]#REF'!I102</f>
        <v>#REF!</v>
      </c>
      <c r="I102" s="32" t="e">
        <f t="shared" si="4"/>
        <v>#REF!</v>
      </c>
      <c r="K102" s="12" t="e">
        <f>'[4]#REF'!K102</f>
        <v>#REF!</v>
      </c>
      <c r="L102" s="12" t="e">
        <f>'[4]#REF'!L102</f>
        <v>#REF!</v>
      </c>
      <c r="M102" s="31" t="e">
        <f>'[4]#REF'!N102</f>
        <v>#REF!</v>
      </c>
      <c r="N102" s="32" t="e">
        <f t="shared" si="5"/>
        <v>#REF!</v>
      </c>
    </row>
    <row r="103" ht="15.75" spans="1:14">
      <c r="A103" s="12" t="e">
        <f>'[4]#REF'!A103</f>
        <v>#REF!</v>
      </c>
      <c r="B103" s="12" t="e">
        <f>'[4]#REF'!B103</f>
        <v>#REF!</v>
      </c>
      <c r="C103" s="31" t="e">
        <f>'[4]#REF'!D103</f>
        <v>#REF!</v>
      </c>
      <c r="D103" s="32" t="e">
        <f t="shared" si="3"/>
        <v>#REF!</v>
      </c>
      <c r="F103" s="12" t="e">
        <f>'[4]#REF'!F103</f>
        <v>#REF!</v>
      </c>
      <c r="G103" s="12" t="e">
        <f>'[4]#REF'!G103</f>
        <v>#REF!</v>
      </c>
      <c r="H103" s="31" t="e">
        <f>'[4]#REF'!I103</f>
        <v>#REF!</v>
      </c>
      <c r="I103" s="32" t="e">
        <f t="shared" si="4"/>
        <v>#REF!</v>
      </c>
      <c r="K103" s="12" t="e">
        <f>'[4]#REF'!K103</f>
        <v>#REF!</v>
      </c>
      <c r="L103" s="12" t="e">
        <f>'[4]#REF'!L103</f>
        <v>#REF!</v>
      </c>
      <c r="M103" s="31" t="e">
        <f>'[4]#REF'!N103</f>
        <v>#REF!</v>
      </c>
      <c r="N103" s="32" t="e">
        <f t="shared" si="5"/>
        <v>#REF!</v>
      </c>
    </row>
    <row r="104" ht="15.75" spans="1:14">
      <c r="A104" s="12" t="e">
        <f>'[4]#REF'!A104</f>
        <v>#REF!</v>
      </c>
      <c r="B104" s="12" t="e">
        <f>'[4]#REF'!B104</f>
        <v>#REF!</v>
      </c>
      <c r="C104" s="31" t="e">
        <f>'[4]#REF'!D104</f>
        <v>#REF!</v>
      </c>
      <c r="D104" s="32" t="e">
        <f t="shared" si="3"/>
        <v>#REF!</v>
      </c>
      <c r="F104" s="12" t="e">
        <f>'[4]#REF'!F104</f>
        <v>#REF!</v>
      </c>
      <c r="G104" s="12" t="e">
        <f>'[4]#REF'!G104</f>
        <v>#REF!</v>
      </c>
      <c r="H104" s="31" t="e">
        <f>'[4]#REF'!I104</f>
        <v>#REF!</v>
      </c>
      <c r="I104" s="32" t="e">
        <f t="shared" si="4"/>
        <v>#REF!</v>
      </c>
      <c r="K104" s="12" t="e">
        <f>'[4]#REF'!K104</f>
        <v>#REF!</v>
      </c>
      <c r="L104" s="12" t="e">
        <f>'[4]#REF'!L104</f>
        <v>#REF!</v>
      </c>
      <c r="M104" s="31" t="e">
        <f>'[4]#REF'!N104</f>
        <v>#REF!</v>
      </c>
      <c r="N104" s="32" t="e">
        <f t="shared" si="5"/>
        <v>#REF!</v>
      </c>
    </row>
    <row r="105" ht="15.75" spans="1:14">
      <c r="A105" s="12" t="e">
        <f>'[4]#REF'!A105</f>
        <v>#REF!</v>
      </c>
      <c r="B105" s="12" t="e">
        <f>'[4]#REF'!B105</f>
        <v>#REF!</v>
      </c>
      <c r="C105" s="31" t="e">
        <f>'[4]#REF'!D105</f>
        <v>#REF!</v>
      </c>
      <c r="D105" s="32" t="e">
        <f t="shared" si="3"/>
        <v>#REF!</v>
      </c>
      <c r="F105" s="12" t="e">
        <f>'[4]#REF'!F105</f>
        <v>#REF!</v>
      </c>
      <c r="G105" s="12" t="e">
        <f>'[4]#REF'!G105</f>
        <v>#REF!</v>
      </c>
      <c r="H105" s="31" t="e">
        <f>'[4]#REF'!I105</f>
        <v>#REF!</v>
      </c>
      <c r="I105" s="32" t="e">
        <f t="shared" si="4"/>
        <v>#REF!</v>
      </c>
      <c r="K105" s="12" t="e">
        <f>'[4]#REF'!K105</f>
        <v>#REF!</v>
      </c>
      <c r="L105" s="12" t="e">
        <f>'[4]#REF'!L105</f>
        <v>#REF!</v>
      </c>
      <c r="M105" s="31" t="e">
        <f>'[4]#REF'!N105</f>
        <v>#REF!</v>
      </c>
      <c r="N105" s="32" t="e">
        <f t="shared" si="5"/>
        <v>#REF!</v>
      </c>
    </row>
    <row r="106" ht="15.75" spans="1:14">
      <c r="A106" s="12" t="e">
        <f>'[4]#REF'!A106</f>
        <v>#REF!</v>
      </c>
      <c r="B106" s="12" t="e">
        <f>'[4]#REF'!B106</f>
        <v>#REF!</v>
      </c>
      <c r="C106" s="31" t="e">
        <f>'[4]#REF'!D106</f>
        <v>#REF!</v>
      </c>
      <c r="D106" s="32" t="e">
        <f t="shared" si="3"/>
        <v>#REF!</v>
      </c>
      <c r="F106" s="12" t="e">
        <f>'[4]#REF'!F106</f>
        <v>#REF!</v>
      </c>
      <c r="G106" s="12" t="e">
        <f>'[4]#REF'!G106</f>
        <v>#REF!</v>
      </c>
      <c r="H106" s="31" t="e">
        <f>'[4]#REF'!I106</f>
        <v>#REF!</v>
      </c>
      <c r="I106" s="32" t="e">
        <f t="shared" si="4"/>
        <v>#REF!</v>
      </c>
      <c r="K106" s="12" t="e">
        <f>'[4]#REF'!K106</f>
        <v>#REF!</v>
      </c>
      <c r="L106" s="12" t="e">
        <f>'[4]#REF'!L106</f>
        <v>#REF!</v>
      </c>
      <c r="M106" s="31" t="e">
        <f>'[4]#REF'!N106</f>
        <v>#REF!</v>
      </c>
      <c r="N106" s="32" t="e">
        <f t="shared" si="5"/>
        <v>#REF!</v>
      </c>
    </row>
    <row r="107" ht="15.75" spans="1:14">
      <c r="A107" s="12" t="e">
        <f>'[4]#REF'!A107</f>
        <v>#REF!</v>
      </c>
      <c r="B107" s="12" t="e">
        <f>'[4]#REF'!B107</f>
        <v>#REF!</v>
      </c>
      <c r="C107" s="31" t="e">
        <f>'[4]#REF'!D107</f>
        <v>#REF!</v>
      </c>
      <c r="D107" s="32" t="e">
        <f t="shared" si="3"/>
        <v>#REF!</v>
      </c>
      <c r="F107" s="12" t="e">
        <f>'[4]#REF'!F107</f>
        <v>#REF!</v>
      </c>
      <c r="G107" s="12" t="e">
        <f>'[4]#REF'!G107</f>
        <v>#REF!</v>
      </c>
      <c r="H107" s="31" t="e">
        <f>'[4]#REF'!I107</f>
        <v>#REF!</v>
      </c>
      <c r="I107" s="32" t="e">
        <f t="shared" si="4"/>
        <v>#REF!</v>
      </c>
      <c r="K107" s="12" t="e">
        <f>'[4]#REF'!K107</f>
        <v>#REF!</v>
      </c>
      <c r="L107" s="12" t="e">
        <f>'[4]#REF'!L107</f>
        <v>#REF!</v>
      </c>
      <c r="M107" s="31" t="e">
        <f>'[4]#REF'!N107</f>
        <v>#REF!</v>
      </c>
      <c r="N107" s="32" t="e">
        <f t="shared" si="5"/>
        <v>#REF!</v>
      </c>
    </row>
    <row r="108" ht="15.75" spans="1:14">
      <c r="A108" s="12" t="e">
        <f>'[4]#REF'!A108</f>
        <v>#REF!</v>
      </c>
      <c r="B108" s="12" t="e">
        <f>'[4]#REF'!B108</f>
        <v>#REF!</v>
      </c>
      <c r="C108" s="31" t="e">
        <f>'[4]#REF'!D108</f>
        <v>#REF!</v>
      </c>
      <c r="D108" s="32" t="e">
        <f t="shared" si="3"/>
        <v>#REF!</v>
      </c>
      <c r="F108" s="12" t="e">
        <f>'[4]#REF'!F108</f>
        <v>#REF!</v>
      </c>
      <c r="G108" s="12" t="e">
        <f>'[4]#REF'!G108</f>
        <v>#REF!</v>
      </c>
      <c r="H108" s="31" t="e">
        <f>'[4]#REF'!I108</f>
        <v>#REF!</v>
      </c>
      <c r="I108" s="32" t="e">
        <f t="shared" si="4"/>
        <v>#REF!</v>
      </c>
      <c r="K108" s="12" t="e">
        <f>'[4]#REF'!K108</f>
        <v>#REF!</v>
      </c>
      <c r="L108" s="12" t="e">
        <f>'[4]#REF'!L108</f>
        <v>#REF!</v>
      </c>
      <c r="M108" s="31" t="e">
        <f>'[4]#REF'!N108</f>
        <v>#REF!</v>
      </c>
      <c r="N108" s="32" t="e">
        <f t="shared" si="5"/>
        <v>#REF!</v>
      </c>
    </row>
    <row r="109" ht="15.75" spans="1:14">
      <c r="A109" s="12" t="e">
        <f>'[4]#REF'!A109</f>
        <v>#REF!</v>
      </c>
      <c r="B109" s="12" t="e">
        <f>'[4]#REF'!B109</f>
        <v>#REF!</v>
      </c>
      <c r="C109" s="31" t="e">
        <f>'[4]#REF'!D109</f>
        <v>#REF!</v>
      </c>
      <c r="D109" s="32" t="e">
        <f t="shared" si="3"/>
        <v>#REF!</v>
      </c>
      <c r="F109" s="12" t="e">
        <f>'[4]#REF'!F109</f>
        <v>#REF!</v>
      </c>
      <c r="G109" s="12" t="e">
        <f>'[4]#REF'!G109</f>
        <v>#REF!</v>
      </c>
      <c r="H109" s="31" t="e">
        <f>'[4]#REF'!I109</f>
        <v>#REF!</v>
      </c>
      <c r="I109" s="32" t="e">
        <f t="shared" si="4"/>
        <v>#REF!</v>
      </c>
      <c r="K109" s="12" t="e">
        <f>'[4]#REF'!K109</f>
        <v>#REF!</v>
      </c>
      <c r="L109" s="12" t="e">
        <f>'[4]#REF'!L109</f>
        <v>#REF!</v>
      </c>
      <c r="M109" s="31" t="e">
        <f>'[4]#REF'!N109</f>
        <v>#REF!</v>
      </c>
      <c r="N109" s="32" t="e">
        <f t="shared" si="5"/>
        <v>#REF!</v>
      </c>
    </row>
    <row r="110" ht="15.75" spans="1:14">
      <c r="A110" s="12" t="e">
        <f>'[4]#REF'!A110</f>
        <v>#REF!</v>
      </c>
      <c r="B110" s="12" t="e">
        <f>'[4]#REF'!B110</f>
        <v>#REF!</v>
      </c>
      <c r="C110" s="31" t="e">
        <f>'[4]#REF'!D110</f>
        <v>#REF!</v>
      </c>
      <c r="D110" s="32" t="e">
        <f t="shared" si="3"/>
        <v>#REF!</v>
      </c>
      <c r="F110" s="12" t="e">
        <f>'[4]#REF'!F110</f>
        <v>#REF!</v>
      </c>
      <c r="G110" s="12" t="e">
        <f>'[4]#REF'!G110</f>
        <v>#REF!</v>
      </c>
      <c r="H110" s="31" t="e">
        <f>'[4]#REF'!I110</f>
        <v>#REF!</v>
      </c>
      <c r="I110" s="32" t="e">
        <f t="shared" si="4"/>
        <v>#REF!</v>
      </c>
      <c r="K110" s="12" t="e">
        <f>'[4]#REF'!K110</f>
        <v>#REF!</v>
      </c>
      <c r="L110" s="12" t="e">
        <f>'[4]#REF'!L110</f>
        <v>#REF!</v>
      </c>
      <c r="M110" s="31" t="e">
        <f>'[4]#REF'!N110</f>
        <v>#REF!</v>
      </c>
      <c r="N110" s="32" t="e">
        <f t="shared" si="5"/>
        <v>#REF!</v>
      </c>
    </row>
    <row r="111" ht="15.75" spans="1:14">
      <c r="A111" s="12" t="e">
        <f>'[4]#REF'!A111</f>
        <v>#REF!</v>
      </c>
      <c r="B111" s="12" t="e">
        <f>'[4]#REF'!B111</f>
        <v>#REF!</v>
      </c>
      <c r="C111" s="31" t="e">
        <f>'[4]#REF'!D111</f>
        <v>#REF!</v>
      </c>
      <c r="D111" s="32" t="e">
        <f t="shared" si="3"/>
        <v>#REF!</v>
      </c>
      <c r="F111" s="12" t="e">
        <f>'[4]#REF'!F111</f>
        <v>#REF!</v>
      </c>
      <c r="G111" s="12" t="e">
        <f>'[4]#REF'!G111</f>
        <v>#REF!</v>
      </c>
      <c r="H111" s="31" t="e">
        <f>'[4]#REF'!I111</f>
        <v>#REF!</v>
      </c>
      <c r="I111" s="32" t="e">
        <f t="shared" si="4"/>
        <v>#REF!</v>
      </c>
      <c r="K111" s="12" t="e">
        <f>'[4]#REF'!K111</f>
        <v>#REF!</v>
      </c>
      <c r="L111" s="12" t="e">
        <f>'[4]#REF'!L111</f>
        <v>#REF!</v>
      </c>
      <c r="M111" s="31" t="e">
        <f>'[4]#REF'!N111</f>
        <v>#REF!</v>
      </c>
      <c r="N111" s="32" t="e">
        <f t="shared" si="5"/>
        <v>#REF!</v>
      </c>
    </row>
    <row r="112" ht="15.75" spans="1:14">
      <c r="A112" s="12" t="e">
        <f>'[4]#REF'!A112</f>
        <v>#REF!</v>
      </c>
      <c r="B112" s="12" t="e">
        <f>'[4]#REF'!B112</f>
        <v>#REF!</v>
      </c>
      <c r="C112" s="31" t="e">
        <f>'[4]#REF'!D112</f>
        <v>#REF!</v>
      </c>
      <c r="D112" s="32" t="e">
        <f t="shared" si="3"/>
        <v>#REF!</v>
      </c>
      <c r="F112" s="12" t="e">
        <f>'[4]#REF'!F112</f>
        <v>#REF!</v>
      </c>
      <c r="G112" s="12" t="e">
        <f>'[4]#REF'!G112</f>
        <v>#REF!</v>
      </c>
      <c r="H112" s="31" t="e">
        <f>'[4]#REF'!I112</f>
        <v>#REF!</v>
      </c>
      <c r="I112" s="32" t="e">
        <f t="shared" si="4"/>
        <v>#REF!</v>
      </c>
      <c r="K112" s="12" t="e">
        <f>'[4]#REF'!K112</f>
        <v>#REF!</v>
      </c>
      <c r="L112" s="12" t="e">
        <f>'[4]#REF'!L112</f>
        <v>#REF!</v>
      </c>
      <c r="M112" s="31" t="e">
        <f>'[4]#REF'!N112</f>
        <v>#REF!</v>
      </c>
      <c r="N112" s="32" t="e">
        <f t="shared" si="5"/>
        <v>#REF!</v>
      </c>
    </row>
    <row r="113" ht="15.75" spans="1:14">
      <c r="A113" s="12" t="e">
        <f>'[4]#REF'!A113</f>
        <v>#REF!</v>
      </c>
      <c r="B113" s="12" t="e">
        <f>'[4]#REF'!B113</f>
        <v>#REF!</v>
      </c>
      <c r="C113" s="31" t="e">
        <f>'[4]#REF'!D113</f>
        <v>#REF!</v>
      </c>
      <c r="D113" s="32" t="e">
        <f t="shared" si="3"/>
        <v>#REF!</v>
      </c>
      <c r="F113" s="12" t="e">
        <f>'[4]#REF'!F113</f>
        <v>#REF!</v>
      </c>
      <c r="G113" s="12" t="e">
        <f>'[4]#REF'!G113</f>
        <v>#REF!</v>
      </c>
      <c r="H113" s="31" t="e">
        <f>'[4]#REF'!I113</f>
        <v>#REF!</v>
      </c>
      <c r="I113" s="32" t="e">
        <f t="shared" si="4"/>
        <v>#REF!</v>
      </c>
      <c r="K113" s="12" t="e">
        <f>'[4]#REF'!K113</f>
        <v>#REF!</v>
      </c>
      <c r="L113" s="12" t="e">
        <f>'[4]#REF'!L113</f>
        <v>#REF!</v>
      </c>
      <c r="M113" s="31" t="e">
        <f>'[4]#REF'!N113</f>
        <v>#REF!</v>
      </c>
      <c r="N113" s="32" t="e">
        <f t="shared" si="5"/>
        <v>#REF!</v>
      </c>
    </row>
    <row r="114" ht="15.75" spans="1:14">
      <c r="A114" s="12" t="e">
        <f>'[4]#REF'!A114</f>
        <v>#REF!</v>
      </c>
      <c r="B114" s="12" t="e">
        <f>'[4]#REF'!B114</f>
        <v>#REF!</v>
      </c>
      <c r="C114" s="31" t="e">
        <f>'[4]#REF'!D114</f>
        <v>#REF!</v>
      </c>
      <c r="D114" s="32" t="e">
        <f t="shared" si="3"/>
        <v>#REF!</v>
      </c>
      <c r="F114" s="12" t="e">
        <f>'[4]#REF'!F114</f>
        <v>#REF!</v>
      </c>
      <c r="G114" s="12" t="e">
        <f>'[4]#REF'!G114</f>
        <v>#REF!</v>
      </c>
      <c r="H114" s="31" t="e">
        <f>'[4]#REF'!I114</f>
        <v>#REF!</v>
      </c>
      <c r="I114" s="32" t="e">
        <f t="shared" si="4"/>
        <v>#REF!</v>
      </c>
      <c r="K114" s="12" t="e">
        <f>'[4]#REF'!K114</f>
        <v>#REF!</v>
      </c>
      <c r="L114" s="12" t="e">
        <f>'[4]#REF'!L114</f>
        <v>#REF!</v>
      </c>
      <c r="M114" s="31" t="e">
        <f>'[4]#REF'!N114</f>
        <v>#REF!</v>
      </c>
      <c r="N114" s="32" t="e">
        <f t="shared" si="5"/>
        <v>#REF!</v>
      </c>
    </row>
    <row r="115" ht="15.75" spans="1:14">
      <c r="A115" s="12" t="e">
        <f>'[4]#REF'!A115</f>
        <v>#REF!</v>
      </c>
      <c r="B115" s="12" t="e">
        <f>'[4]#REF'!B115</f>
        <v>#REF!</v>
      </c>
      <c r="C115" s="31" t="e">
        <f>'[4]#REF'!D115</f>
        <v>#REF!</v>
      </c>
      <c r="D115" s="32" t="e">
        <f t="shared" si="3"/>
        <v>#REF!</v>
      </c>
      <c r="F115" s="12" t="e">
        <f>'[4]#REF'!F115</f>
        <v>#REF!</v>
      </c>
      <c r="G115" s="12" t="e">
        <f>'[4]#REF'!G115</f>
        <v>#REF!</v>
      </c>
      <c r="H115" s="31" t="e">
        <f>'[4]#REF'!I115</f>
        <v>#REF!</v>
      </c>
      <c r="I115" s="32" t="e">
        <f t="shared" si="4"/>
        <v>#REF!</v>
      </c>
      <c r="K115" s="12" t="e">
        <f>'[4]#REF'!K115</f>
        <v>#REF!</v>
      </c>
      <c r="L115" s="12" t="e">
        <f>'[4]#REF'!L115</f>
        <v>#REF!</v>
      </c>
      <c r="M115" s="31" t="e">
        <f>'[4]#REF'!N115</f>
        <v>#REF!</v>
      </c>
      <c r="N115" s="32" t="e">
        <f t="shared" si="5"/>
        <v>#REF!</v>
      </c>
    </row>
    <row r="116" ht="15.75" spans="1:14">
      <c r="A116" s="12" t="e">
        <f>'[4]#REF'!A116</f>
        <v>#REF!</v>
      </c>
      <c r="B116" s="12" t="e">
        <f>'[4]#REF'!B116</f>
        <v>#REF!</v>
      </c>
      <c r="C116" s="31" t="e">
        <f>'[4]#REF'!D116</f>
        <v>#REF!</v>
      </c>
      <c r="D116" s="32" t="e">
        <f t="shared" si="3"/>
        <v>#REF!</v>
      </c>
      <c r="F116" s="12" t="e">
        <f>'[4]#REF'!F116</f>
        <v>#REF!</v>
      </c>
      <c r="G116" s="12" t="e">
        <f>'[4]#REF'!G116</f>
        <v>#REF!</v>
      </c>
      <c r="H116" s="31" t="e">
        <f>'[4]#REF'!I116</f>
        <v>#REF!</v>
      </c>
      <c r="I116" s="32" t="e">
        <f t="shared" si="4"/>
        <v>#REF!</v>
      </c>
      <c r="K116" s="12" t="e">
        <f>'[4]#REF'!K116</f>
        <v>#REF!</v>
      </c>
      <c r="L116" s="12" t="e">
        <f>'[4]#REF'!L116</f>
        <v>#REF!</v>
      </c>
      <c r="M116" s="31" t="e">
        <f>'[4]#REF'!N116</f>
        <v>#REF!</v>
      </c>
      <c r="N116" s="32" t="e">
        <f t="shared" si="5"/>
        <v>#REF!</v>
      </c>
    </row>
    <row r="117" ht="15.75" spans="1:14">
      <c r="A117" s="12" t="e">
        <f>'[4]#REF'!A117</f>
        <v>#REF!</v>
      </c>
      <c r="B117" s="12" t="e">
        <f>'[4]#REF'!B117</f>
        <v>#REF!</v>
      </c>
      <c r="C117" s="31" t="e">
        <f>'[4]#REF'!D117</f>
        <v>#REF!</v>
      </c>
      <c r="D117" s="32" t="e">
        <f t="shared" si="3"/>
        <v>#REF!</v>
      </c>
      <c r="F117" s="12" t="e">
        <f>'[4]#REF'!F117</f>
        <v>#REF!</v>
      </c>
      <c r="G117" s="12" t="e">
        <f>'[4]#REF'!G117</f>
        <v>#REF!</v>
      </c>
      <c r="H117" s="31" t="e">
        <f>'[4]#REF'!I117</f>
        <v>#REF!</v>
      </c>
      <c r="I117" s="32" t="e">
        <f t="shared" si="4"/>
        <v>#REF!</v>
      </c>
      <c r="K117" s="12" t="e">
        <f>'[4]#REF'!K117</f>
        <v>#REF!</v>
      </c>
      <c r="L117" s="12" t="e">
        <f>'[4]#REF'!L117</f>
        <v>#REF!</v>
      </c>
      <c r="M117" s="31" t="e">
        <f>'[4]#REF'!N117</f>
        <v>#REF!</v>
      </c>
      <c r="N117" s="32" t="e">
        <f t="shared" si="5"/>
        <v>#REF!</v>
      </c>
    </row>
    <row r="118" ht="15.75" spans="1:14">
      <c r="A118" s="12" t="e">
        <f>'[4]#REF'!A118</f>
        <v>#REF!</v>
      </c>
      <c r="B118" s="12" t="e">
        <f>'[4]#REF'!B118</f>
        <v>#REF!</v>
      </c>
      <c r="C118" s="31" t="e">
        <f>'[4]#REF'!D118</f>
        <v>#REF!</v>
      </c>
      <c r="D118" s="32" t="e">
        <f t="shared" si="3"/>
        <v>#REF!</v>
      </c>
      <c r="F118" s="12" t="e">
        <f>'[4]#REF'!F118</f>
        <v>#REF!</v>
      </c>
      <c r="G118" s="12" t="e">
        <f>'[4]#REF'!G118</f>
        <v>#REF!</v>
      </c>
      <c r="H118" s="31" t="e">
        <f>'[4]#REF'!I118</f>
        <v>#REF!</v>
      </c>
      <c r="I118" s="32" t="e">
        <f t="shared" si="4"/>
        <v>#REF!</v>
      </c>
      <c r="K118" s="12" t="e">
        <f>'[4]#REF'!K118</f>
        <v>#REF!</v>
      </c>
      <c r="L118" s="12" t="e">
        <f>'[4]#REF'!L118</f>
        <v>#REF!</v>
      </c>
      <c r="M118" s="31" t="e">
        <f>'[4]#REF'!N118</f>
        <v>#REF!</v>
      </c>
      <c r="N118" s="32" t="e">
        <f t="shared" si="5"/>
        <v>#REF!</v>
      </c>
    </row>
    <row r="119" ht="15.75" spans="1:14">
      <c r="A119" s="12" t="e">
        <f>'[4]#REF'!A119</f>
        <v>#REF!</v>
      </c>
      <c r="B119" s="12" t="e">
        <f>'[4]#REF'!B119</f>
        <v>#REF!</v>
      </c>
      <c r="C119" s="31" t="e">
        <f>'[4]#REF'!D119</f>
        <v>#REF!</v>
      </c>
      <c r="D119" s="32" t="e">
        <f t="shared" si="3"/>
        <v>#REF!</v>
      </c>
      <c r="F119" s="12" t="e">
        <f>'[4]#REF'!F119</f>
        <v>#REF!</v>
      </c>
      <c r="G119" s="12" t="e">
        <f>'[4]#REF'!G119</f>
        <v>#REF!</v>
      </c>
      <c r="H119" s="31" t="e">
        <f>'[4]#REF'!I119</f>
        <v>#REF!</v>
      </c>
      <c r="I119" s="32" t="e">
        <f t="shared" si="4"/>
        <v>#REF!</v>
      </c>
      <c r="K119" s="12" t="e">
        <f>'[4]#REF'!K119</f>
        <v>#REF!</v>
      </c>
      <c r="L119" s="12" t="e">
        <f>'[4]#REF'!L119</f>
        <v>#REF!</v>
      </c>
      <c r="M119" s="31" t="e">
        <f>'[4]#REF'!N119</f>
        <v>#REF!</v>
      </c>
      <c r="N119" s="32" t="e">
        <f t="shared" si="5"/>
        <v>#REF!</v>
      </c>
    </row>
    <row r="120" ht="15.75" spans="1:14">
      <c r="A120" s="12" t="e">
        <f>'[4]#REF'!A120</f>
        <v>#REF!</v>
      </c>
      <c r="B120" s="12" t="e">
        <f>'[4]#REF'!B120</f>
        <v>#REF!</v>
      </c>
      <c r="C120" s="31" t="e">
        <f>'[4]#REF'!D120</f>
        <v>#REF!</v>
      </c>
      <c r="D120" s="32" t="e">
        <f t="shared" si="3"/>
        <v>#REF!</v>
      </c>
      <c r="F120" s="12" t="e">
        <f>'[4]#REF'!F120</f>
        <v>#REF!</v>
      </c>
      <c r="G120" s="12" t="e">
        <f>'[4]#REF'!G120</f>
        <v>#REF!</v>
      </c>
      <c r="H120" s="31" t="e">
        <f>'[4]#REF'!I120</f>
        <v>#REF!</v>
      </c>
      <c r="I120" s="32" t="e">
        <f t="shared" si="4"/>
        <v>#REF!</v>
      </c>
      <c r="K120" s="12" t="e">
        <f>'[4]#REF'!K120</f>
        <v>#REF!</v>
      </c>
      <c r="L120" s="12" t="e">
        <f>'[4]#REF'!L120</f>
        <v>#REF!</v>
      </c>
      <c r="M120" s="31" t="e">
        <f>'[4]#REF'!N120</f>
        <v>#REF!</v>
      </c>
      <c r="N120" s="32" t="e">
        <f t="shared" si="5"/>
        <v>#REF!</v>
      </c>
    </row>
    <row r="121" ht="15.75" spans="1:14">
      <c r="A121" s="12" t="e">
        <f>'[4]#REF'!A121</f>
        <v>#REF!</v>
      </c>
      <c r="B121" s="12" t="e">
        <f>'[4]#REF'!B121</f>
        <v>#REF!</v>
      </c>
      <c r="C121" s="31" t="e">
        <f>'[4]#REF'!D121</f>
        <v>#REF!</v>
      </c>
      <c r="D121" s="32" t="e">
        <f t="shared" si="3"/>
        <v>#REF!</v>
      </c>
      <c r="F121" s="12" t="e">
        <f>'[4]#REF'!F121</f>
        <v>#REF!</v>
      </c>
      <c r="G121" s="12" t="e">
        <f>'[4]#REF'!G121</f>
        <v>#REF!</v>
      </c>
      <c r="H121" s="31" t="e">
        <f>'[4]#REF'!I121</f>
        <v>#REF!</v>
      </c>
      <c r="I121" s="32" t="e">
        <f t="shared" si="4"/>
        <v>#REF!</v>
      </c>
      <c r="K121" s="12" t="e">
        <f>'[4]#REF'!K121</f>
        <v>#REF!</v>
      </c>
      <c r="L121" s="12" t="e">
        <f>'[4]#REF'!L121</f>
        <v>#REF!</v>
      </c>
      <c r="M121" s="31" t="e">
        <f>'[4]#REF'!N121</f>
        <v>#REF!</v>
      </c>
      <c r="N121" s="32" t="e">
        <f t="shared" si="5"/>
        <v>#REF!</v>
      </c>
    </row>
    <row r="122" ht="15.75" spans="1:14">
      <c r="A122" s="12" t="e">
        <f>'[4]#REF'!A122</f>
        <v>#REF!</v>
      </c>
      <c r="B122" s="12" t="e">
        <f>'[4]#REF'!B122</f>
        <v>#REF!</v>
      </c>
      <c r="C122" s="31" t="e">
        <f>'[4]#REF'!D122</f>
        <v>#REF!</v>
      </c>
      <c r="D122" s="32" t="e">
        <f t="shared" si="3"/>
        <v>#REF!</v>
      </c>
      <c r="F122" s="12" t="e">
        <f>'[4]#REF'!F122</f>
        <v>#REF!</v>
      </c>
      <c r="G122" s="12" t="e">
        <f>'[4]#REF'!G122</f>
        <v>#REF!</v>
      </c>
      <c r="H122" s="31" t="e">
        <f>'[4]#REF'!I122</f>
        <v>#REF!</v>
      </c>
      <c r="I122" s="32" t="e">
        <f t="shared" si="4"/>
        <v>#REF!</v>
      </c>
      <c r="K122" s="12" t="e">
        <f>'[4]#REF'!K122</f>
        <v>#REF!</v>
      </c>
      <c r="L122" s="12" t="e">
        <f>'[4]#REF'!L122</f>
        <v>#REF!</v>
      </c>
      <c r="M122" s="31" t="e">
        <f>'[4]#REF'!N122</f>
        <v>#REF!</v>
      </c>
      <c r="N122" s="32" t="e">
        <f t="shared" si="5"/>
        <v>#REF!</v>
      </c>
    </row>
    <row r="123" ht="15.75" spans="1:14">
      <c r="A123" s="12" t="e">
        <f>'[4]#REF'!A123</f>
        <v>#REF!</v>
      </c>
      <c r="B123" s="12" t="e">
        <f>'[4]#REF'!B123</f>
        <v>#REF!</v>
      </c>
      <c r="C123" s="31" t="e">
        <f>'[4]#REF'!D123</f>
        <v>#REF!</v>
      </c>
      <c r="D123" s="32" t="e">
        <f t="shared" si="3"/>
        <v>#REF!</v>
      </c>
      <c r="F123" s="12" t="e">
        <f>'[4]#REF'!F123</f>
        <v>#REF!</v>
      </c>
      <c r="G123" s="12" t="e">
        <f>'[4]#REF'!G123</f>
        <v>#REF!</v>
      </c>
      <c r="H123" s="31" t="e">
        <f>'[4]#REF'!I123</f>
        <v>#REF!</v>
      </c>
      <c r="I123" s="32" t="e">
        <f t="shared" si="4"/>
        <v>#REF!</v>
      </c>
      <c r="K123" s="12" t="e">
        <f>'[4]#REF'!K123</f>
        <v>#REF!</v>
      </c>
      <c r="L123" s="12" t="e">
        <f>'[4]#REF'!L123</f>
        <v>#REF!</v>
      </c>
      <c r="M123" s="31" t="e">
        <f>'[4]#REF'!N123</f>
        <v>#REF!</v>
      </c>
      <c r="N123" s="32" t="e">
        <f t="shared" si="5"/>
        <v>#REF!</v>
      </c>
    </row>
    <row r="124" ht="15.75" spans="1:14">
      <c r="A124" s="12" t="e">
        <f>'[4]#REF'!A124</f>
        <v>#REF!</v>
      </c>
      <c r="B124" s="12" t="e">
        <f>'[4]#REF'!B124</f>
        <v>#REF!</v>
      </c>
      <c r="C124" s="31" t="e">
        <f>'[4]#REF'!D124</f>
        <v>#REF!</v>
      </c>
      <c r="D124" s="32" t="e">
        <f t="shared" si="3"/>
        <v>#REF!</v>
      </c>
      <c r="F124" s="12" t="e">
        <f>'[4]#REF'!F124</f>
        <v>#REF!</v>
      </c>
      <c r="G124" s="12" t="e">
        <f>'[4]#REF'!G124</f>
        <v>#REF!</v>
      </c>
      <c r="H124" s="31" t="e">
        <f>'[4]#REF'!I124</f>
        <v>#REF!</v>
      </c>
      <c r="I124" s="32" t="e">
        <f t="shared" si="4"/>
        <v>#REF!</v>
      </c>
      <c r="K124" s="12" t="e">
        <f>'[4]#REF'!K124</f>
        <v>#REF!</v>
      </c>
      <c r="L124" s="12" t="e">
        <f>'[4]#REF'!L124</f>
        <v>#REF!</v>
      </c>
      <c r="M124" s="31" t="e">
        <f>'[4]#REF'!N124</f>
        <v>#REF!</v>
      </c>
      <c r="N124" s="32" t="e">
        <f t="shared" si="5"/>
        <v>#REF!</v>
      </c>
    </row>
    <row r="125" ht="15.75" spans="1:14">
      <c r="A125" s="12" t="e">
        <f>'[4]#REF'!A125</f>
        <v>#REF!</v>
      </c>
      <c r="B125" s="12" t="e">
        <f>'[4]#REF'!B125</f>
        <v>#REF!</v>
      </c>
      <c r="C125" s="31" t="e">
        <f>'[4]#REF'!D125</f>
        <v>#REF!</v>
      </c>
      <c r="D125" s="32" t="e">
        <f t="shared" si="3"/>
        <v>#REF!</v>
      </c>
      <c r="F125" s="12" t="e">
        <f>'[4]#REF'!F125</f>
        <v>#REF!</v>
      </c>
      <c r="G125" s="12" t="e">
        <f>'[4]#REF'!G125</f>
        <v>#REF!</v>
      </c>
      <c r="H125" s="31" t="e">
        <f>'[4]#REF'!I125</f>
        <v>#REF!</v>
      </c>
      <c r="I125" s="32" t="e">
        <f t="shared" si="4"/>
        <v>#REF!</v>
      </c>
      <c r="K125" s="12" t="e">
        <f>'[4]#REF'!K125</f>
        <v>#REF!</v>
      </c>
      <c r="L125" s="12" t="e">
        <f>'[4]#REF'!L125</f>
        <v>#REF!</v>
      </c>
      <c r="M125" s="31" t="e">
        <f>'[4]#REF'!N125</f>
        <v>#REF!</v>
      </c>
      <c r="N125" s="32" t="e">
        <f t="shared" si="5"/>
        <v>#REF!</v>
      </c>
    </row>
    <row r="126" ht="15.75" spans="1:14">
      <c r="A126" s="12" t="e">
        <f>'[4]#REF'!A126</f>
        <v>#REF!</v>
      </c>
      <c r="B126" s="12" t="e">
        <f>'[4]#REF'!B126</f>
        <v>#REF!</v>
      </c>
      <c r="C126" s="31" t="e">
        <f>'[4]#REF'!D126</f>
        <v>#REF!</v>
      </c>
      <c r="D126" s="32" t="e">
        <f t="shared" si="3"/>
        <v>#REF!</v>
      </c>
      <c r="F126" s="12" t="e">
        <f>'[4]#REF'!F126</f>
        <v>#REF!</v>
      </c>
      <c r="G126" s="12" t="e">
        <f>'[4]#REF'!G126</f>
        <v>#REF!</v>
      </c>
      <c r="H126" s="31" t="e">
        <f>'[4]#REF'!I126</f>
        <v>#REF!</v>
      </c>
      <c r="I126" s="32" t="e">
        <f t="shared" si="4"/>
        <v>#REF!</v>
      </c>
      <c r="K126" s="12" t="e">
        <f>'[4]#REF'!K126</f>
        <v>#REF!</v>
      </c>
      <c r="L126" s="12" t="e">
        <f>'[4]#REF'!L126</f>
        <v>#REF!</v>
      </c>
      <c r="M126" s="31" t="e">
        <f>'[4]#REF'!N126</f>
        <v>#REF!</v>
      </c>
      <c r="N126" s="32" t="e">
        <f t="shared" si="5"/>
        <v>#REF!</v>
      </c>
    </row>
    <row r="127" ht="15.75" spans="1:14">
      <c r="A127" s="12" t="e">
        <f>'[4]#REF'!A127</f>
        <v>#REF!</v>
      </c>
      <c r="B127" s="12" t="e">
        <f>'[4]#REF'!B127</f>
        <v>#REF!</v>
      </c>
      <c r="C127" s="31" t="e">
        <f>'[4]#REF'!D127</f>
        <v>#REF!</v>
      </c>
      <c r="D127" s="32" t="e">
        <f t="shared" si="3"/>
        <v>#REF!</v>
      </c>
      <c r="F127" s="12" t="e">
        <f>'[4]#REF'!F127</f>
        <v>#REF!</v>
      </c>
      <c r="G127" s="12" t="e">
        <f>'[4]#REF'!G127</f>
        <v>#REF!</v>
      </c>
      <c r="H127" s="31" t="e">
        <f>'[4]#REF'!I127</f>
        <v>#REF!</v>
      </c>
      <c r="I127" s="32" t="e">
        <f t="shared" si="4"/>
        <v>#REF!</v>
      </c>
      <c r="K127" s="12" t="e">
        <f>'[4]#REF'!K127</f>
        <v>#REF!</v>
      </c>
      <c r="L127" s="12" t="e">
        <f>'[4]#REF'!L127</f>
        <v>#REF!</v>
      </c>
      <c r="M127" s="31" t="e">
        <f>'[4]#REF'!N127</f>
        <v>#REF!</v>
      </c>
      <c r="N127" s="32" t="e">
        <f t="shared" si="5"/>
        <v>#REF!</v>
      </c>
    </row>
    <row r="128" ht="15.75" spans="1:14">
      <c r="A128" s="12" t="e">
        <f>'[4]#REF'!A128</f>
        <v>#REF!</v>
      </c>
      <c r="B128" s="12" t="e">
        <f>'[4]#REF'!B128</f>
        <v>#REF!</v>
      </c>
      <c r="C128" s="31" t="e">
        <f>'[4]#REF'!D128</f>
        <v>#REF!</v>
      </c>
      <c r="D128" s="32" t="e">
        <f t="shared" si="3"/>
        <v>#REF!</v>
      </c>
      <c r="F128" s="12" t="e">
        <f>'[4]#REF'!F128</f>
        <v>#REF!</v>
      </c>
      <c r="G128" s="12" t="e">
        <f>'[4]#REF'!G128</f>
        <v>#REF!</v>
      </c>
      <c r="H128" s="31" t="e">
        <f>'[4]#REF'!I128</f>
        <v>#REF!</v>
      </c>
      <c r="I128" s="32" t="e">
        <f t="shared" si="4"/>
        <v>#REF!</v>
      </c>
      <c r="K128" s="12" t="e">
        <f>'[4]#REF'!K128</f>
        <v>#REF!</v>
      </c>
      <c r="L128" s="12" t="e">
        <f>'[4]#REF'!L128</f>
        <v>#REF!</v>
      </c>
      <c r="M128" s="31" t="e">
        <f>'[4]#REF'!N128</f>
        <v>#REF!</v>
      </c>
      <c r="N128" s="32" t="e">
        <f t="shared" si="5"/>
        <v>#REF!</v>
      </c>
    </row>
    <row r="129" ht="15.75" spans="1:14">
      <c r="A129" s="12" t="e">
        <f>'[4]#REF'!A129</f>
        <v>#REF!</v>
      </c>
      <c r="B129" s="12" t="e">
        <f>'[4]#REF'!B129</f>
        <v>#REF!</v>
      </c>
      <c r="C129" s="31" t="e">
        <f>'[4]#REF'!D129</f>
        <v>#REF!</v>
      </c>
      <c r="D129" s="32" t="e">
        <f t="shared" si="3"/>
        <v>#REF!</v>
      </c>
      <c r="F129" s="12" t="e">
        <f>'[4]#REF'!F129</f>
        <v>#REF!</v>
      </c>
      <c r="G129" s="12" t="e">
        <f>'[4]#REF'!G129</f>
        <v>#REF!</v>
      </c>
      <c r="H129" s="31" t="e">
        <f>'[4]#REF'!I129</f>
        <v>#REF!</v>
      </c>
      <c r="I129" s="32" t="e">
        <f t="shared" si="4"/>
        <v>#REF!</v>
      </c>
      <c r="K129" s="12" t="e">
        <f>'[4]#REF'!K129</f>
        <v>#REF!</v>
      </c>
      <c r="L129" s="12" t="e">
        <f>'[4]#REF'!L129</f>
        <v>#REF!</v>
      </c>
      <c r="M129" s="31" t="e">
        <f>'[4]#REF'!N129</f>
        <v>#REF!</v>
      </c>
      <c r="N129" s="32" t="e">
        <f t="shared" si="5"/>
        <v>#REF!</v>
      </c>
    </row>
    <row r="130" ht="15.75" spans="1:14">
      <c r="A130" s="12" t="e">
        <f>'[4]#REF'!A130</f>
        <v>#REF!</v>
      </c>
      <c r="B130" s="12" t="e">
        <f>'[4]#REF'!B130</f>
        <v>#REF!</v>
      </c>
      <c r="C130" s="31" t="e">
        <f>'[4]#REF'!D130</f>
        <v>#REF!</v>
      </c>
      <c r="D130" s="32" t="e">
        <f t="shared" si="3"/>
        <v>#REF!</v>
      </c>
      <c r="F130" s="12" t="e">
        <f>'[4]#REF'!F130</f>
        <v>#REF!</v>
      </c>
      <c r="G130" s="12" t="e">
        <f>'[4]#REF'!G130</f>
        <v>#REF!</v>
      </c>
      <c r="H130" s="31" t="e">
        <f>'[4]#REF'!I130</f>
        <v>#REF!</v>
      </c>
      <c r="I130" s="32" t="e">
        <f t="shared" si="4"/>
        <v>#REF!</v>
      </c>
      <c r="K130" s="12" t="e">
        <f>'[4]#REF'!K130</f>
        <v>#REF!</v>
      </c>
      <c r="L130" s="12" t="e">
        <f>'[4]#REF'!L130</f>
        <v>#REF!</v>
      </c>
      <c r="M130" s="31" t="e">
        <f>'[4]#REF'!N130</f>
        <v>#REF!</v>
      </c>
      <c r="N130" s="32" t="e">
        <f t="shared" si="5"/>
        <v>#REF!</v>
      </c>
    </row>
    <row r="131" ht="15.75" spans="1:14">
      <c r="A131" s="12" t="e">
        <f>'[4]#REF'!A131</f>
        <v>#REF!</v>
      </c>
      <c r="B131" s="12" t="e">
        <f>'[4]#REF'!B131</f>
        <v>#REF!</v>
      </c>
      <c r="C131" s="31" t="e">
        <f>'[4]#REF'!D131</f>
        <v>#REF!</v>
      </c>
      <c r="D131" s="32" t="e">
        <f t="shared" si="3"/>
        <v>#REF!</v>
      </c>
      <c r="F131" s="12" t="e">
        <f>'[4]#REF'!F131</f>
        <v>#REF!</v>
      </c>
      <c r="G131" s="12" t="e">
        <f>'[4]#REF'!G131</f>
        <v>#REF!</v>
      </c>
      <c r="H131" s="31" t="e">
        <f>'[4]#REF'!I131</f>
        <v>#REF!</v>
      </c>
      <c r="I131" s="32" t="e">
        <f t="shared" si="4"/>
        <v>#REF!</v>
      </c>
      <c r="K131" s="12" t="e">
        <f>'[4]#REF'!K131</f>
        <v>#REF!</v>
      </c>
      <c r="L131" s="12" t="e">
        <f>'[4]#REF'!L131</f>
        <v>#REF!</v>
      </c>
      <c r="M131" s="31" t="e">
        <f>'[4]#REF'!N131</f>
        <v>#REF!</v>
      </c>
      <c r="N131" s="32" t="e">
        <f t="shared" si="5"/>
        <v>#REF!</v>
      </c>
    </row>
    <row r="132" ht="15.75" spans="1:14">
      <c r="A132" s="12" t="e">
        <f>'[4]#REF'!A132</f>
        <v>#REF!</v>
      </c>
      <c r="B132" s="12" t="e">
        <f>'[4]#REF'!B132</f>
        <v>#REF!</v>
      </c>
      <c r="C132" s="31" t="e">
        <f>'[4]#REF'!D132</f>
        <v>#REF!</v>
      </c>
      <c r="D132" s="32" t="e">
        <f t="shared" si="3"/>
        <v>#REF!</v>
      </c>
      <c r="F132" s="12" t="e">
        <f>'[4]#REF'!F132</f>
        <v>#REF!</v>
      </c>
      <c r="G132" s="12" t="e">
        <f>'[4]#REF'!G132</f>
        <v>#REF!</v>
      </c>
      <c r="H132" s="31" t="e">
        <f>'[4]#REF'!I132</f>
        <v>#REF!</v>
      </c>
      <c r="I132" s="32" t="e">
        <f t="shared" si="4"/>
        <v>#REF!</v>
      </c>
      <c r="K132" s="12" t="e">
        <f>'[4]#REF'!K132</f>
        <v>#REF!</v>
      </c>
      <c r="L132" s="12" t="e">
        <f>'[4]#REF'!L132</f>
        <v>#REF!</v>
      </c>
      <c r="M132" s="31" t="e">
        <f>'[4]#REF'!N132</f>
        <v>#REF!</v>
      </c>
      <c r="N132" s="32" t="e">
        <f t="shared" si="5"/>
        <v>#REF!</v>
      </c>
    </row>
    <row r="133" ht="15.75" spans="1:14">
      <c r="A133" s="12" t="e">
        <f>'[4]#REF'!A133</f>
        <v>#REF!</v>
      </c>
      <c r="B133" s="12" t="e">
        <f>'[4]#REF'!B133</f>
        <v>#REF!</v>
      </c>
      <c r="C133" s="31" t="e">
        <f>'[4]#REF'!D133</f>
        <v>#REF!</v>
      </c>
      <c r="D133" s="32" t="e">
        <f t="shared" si="3"/>
        <v>#REF!</v>
      </c>
      <c r="F133" s="12" t="e">
        <f>'[4]#REF'!F133</f>
        <v>#REF!</v>
      </c>
      <c r="G133" s="12" t="e">
        <f>'[4]#REF'!G133</f>
        <v>#REF!</v>
      </c>
      <c r="H133" s="31" t="e">
        <f>'[4]#REF'!I133</f>
        <v>#REF!</v>
      </c>
      <c r="I133" s="32" t="e">
        <f t="shared" si="4"/>
        <v>#REF!</v>
      </c>
      <c r="K133" s="12" t="e">
        <f>'[4]#REF'!K133</f>
        <v>#REF!</v>
      </c>
      <c r="L133" s="12" t="e">
        <f>'[4]#REF'!L133</f>
        <v>#REF!</v>
      </c>
      <c r="M133" s="31" t="e">
        <f>'[4]#REF'!N133</f>
        <v>#REF!</v>
      </c>
      <c r="N133" s="32" t="e">
        <f t="shared" si="5"/>
        <v>#REF!</v>
      </c>
    </row>
    <row r="134" ht="15.75" spans="1:14">
      <c r="A134" s="12" t="e">
        <f>'[4]#REF'!A134</f>
        <v>#REF!</v>
      </c>
      <c r="B134" s="12" t="e">
        <f>'[4]#REF'!B134</f>
        <v>#REF!</v>
      </c>
      <c r="C134" s="31" t="e">
        <f>'[4]#REF'!D134</f>
        <v>#REF!</v>
      </c>
      <c r="D134" s="32" t="e">
        <f t="shared" ref="D134:D197" si="6">ROUND(C134/$D$4*100,2)</f>
        <v>#REF!</v>
      </c>
      <c r="F134" s="12" t="e">
        <f>'[4]#REF'!F134</f>
        <v>#REF!</v>
      </c>
      <c r="G134" s="12" t="e">
        <f>'[4]#REF'!G134</f>
        <v>#REF!</v>
      </c>
      <c r="H134" s="31" t="e">
        <f>'[4]#REF'!I134</f>
        <v>#REF!</v>
      </c>
      <c r="I134" s="32" t="e">
        <f t="shared" ref="I134:I197" si="7">ROUND(H134/$I$4*100,2)</f>
        <v>#REF!</v>
      </c>
      <c r="K134" s="12" t="e">
        <f>'[4]#REF'!K134</f>
        <v>#REF!</v>
      </c>
      <c r="L134" s="12" t="e">
        <f>'[4]#REF'!L134</f>
        <v>#REF!</v>
      </c>
      <c r="M134" s="31" t="e">
        <f>'[4]#REF'!N134</f>
        <v>#REF!</v>
      </c>
      <c r="N134" s="32" t="e">
        <f t="shared" ref="N134:N197" si="8">ROUND(M134/$N$4*100,2)</f>
        <v>#REF!</v>
      </c>
    </row>
    <row r="135" ht="15.75" spans="1:14">
      <c r="A135" s="12" t="e">
        <f>'[4]#REF'!A135</f>
        <v>#REF!</v>
      </c>
      <c r="B135" s="12" t="e">
        <f>'[4]#REF'!B135</f>
        <v>#REF!</v>
      </c>
      <c r="C135" s="31" t="e">
        <f>'[4]#REF'!D135</f>
        <v>#REF!</v>
      </c>
      <c r="D135" s="32" t="e">
        <f t="shared" si="6"/>
        <v>#REF!</v>
      </c>
      <c r="F135" s="12" t="e">
        <f>'[4]#REF'!F135</f>
        <v>#REF!</v>
      </c>
      <c r="G135" s="12" t="e">
        <f>'[4]#REF'!G135</f>
        <v>#REF!</v>
      </c>
      <c r="H135" s="31" t="e">
        <f>'[4]#REF'!I135</f>
        <v>#REF!</v>
      </c>
      <c r="I135" s="32" t="e">
        <f t="shared" si="7"/>
        <v>#REF!</v>
      </c>
      <c r="K135" s="12" t="e">
        <f>'[4]#REF'!K135</f>
        <v>#REF!</v>
      </c>
      <c r="L135" s="12" t="e">
        <f>'[4]#REF'!L135</f>
        <v>#REF!</v>
      </c>
      <c r="M135" s="31" t="e">
        <f>'[4]#REF'!N135</f>
        <v>#REF!</v>
      </c>
      <c r="N135" s="32" t="e">
        <f t="shared" si="8"/>
        <v>#REF!</v>
      </c>
    </row>
    <row r="136" ht="15.75" spans="1:14">
      <c r="A136" s="12" t="e">
        <f>'[4]#REF'!A136</f>
        <v>#REF!</v>
      </c>
      <c r="B136" s="12" t="e">
        <f>'[4]#REF'!B136</f>
        <v>#REF!</v>
      </c>
      <c r="C136" s="31" t="e">
        <f>'[4]#REF'!D136</f>
        <v>#REF!</v>
      </c>
      <c r="D136" s="32" t="e">
        <f t="shared" si="6"/>
        <v>#REF!</v>
      </c>
      <c r="F136" s="12" t="e">
        <f>'[4]#REF'!F136</f>
        <v>#REF!</v>
      </c>
      <c r="G136" s="12" t="e">
        <f>'[4]#REF'!G136</f>
        <v>#REF!</v>
      </c>
      <c r="H136" s="31" t="e">
        <f>'[4]#REF'!I136</f>
        <v>#REF!</v>
      </c>
      <c r="I136" s="32" t="e">
        <f t="shared" si="7"/>
        <v>#REF!</v>
      </c>
      <c r="K136" s="12" t="e">
        <f>'[4]#REF'!K136</f>
        <v>#REF!</v>
      </c>
      <c r="L136" s="12" t="e">
        <f>'[4]#REF'!L136</f>
        <v>#REF!</v>
      </c>
      <c r="M136" s="31" t="e">
        <f>'[4]#REF'!N136</f>
        <v>#REF!</v>
      </c>
      <c r="N136" s="32" t="e">
        <f t="shared" si="8"/>
        <v>#REF!</v>
      </c>
    </row>
    <row r="137" ht="15.75" spans="1:14">
      <c r="A137" s="12" t="e">
        <f>'[4]#REF'!A137</f>
        <v>#REF!</v>
      </c>
      <c r="B137" s="12" t="e">
        <f>'[4]#REF'!B137</f>
        <v>#REF!</v>
      </c>
      <c r="C137" s="31" t="e">
        <f>'[4]#REF'!D137</f>
        <v>#REF!</v>
      </c>
      <c r="D137" s="32" t="e">
        <f t="shared" si="6"/>
        <v>#REF!</v>
      </c>
      <c r="F137" s="12" t="e">
        <f>'[4]#REF'!F137</f>
        <v>#REF!</v>
      </c>
      <c r="G137" s="12" t="e">
        <f>'[4]#REF'!G137</f>
        <v>#REF!</v>
      </c>
      <c r="H137" s="31" t="e">
        <f>'[4]#REF'!I137</f>
        <v>#REF!</v>
      </c>
      <c r="I137" s="32" t="e">
        <f t="shared" si="7"/>
        <v>#REF!</v>
      </c>
      <c r="K137" s="12" t="e">
        <f>'[4]#REF'!K137</f>
        <v>#REF!</v>
      </c>
      <c r="L137" s="12" t="e">
        <f>'[4]#REF'!L137</f>
        <v>#REF!</v>
      </c>
      <c r="M137" s="31" t="e">
        <f>'[4]#REF'!N137</f>
        <v>#REF!</v>
      </c>
      <c r="N137" s="32" t="e">
        <f t="shared" si="8"/>
        <v>#REF!</v>
      </c>
    </row>
    <row r="138" ht="15.75" spans="1:14">
      <c r="A138" s="12" t="e">
        <f>'[4]#REF'!A138</f>
        <v>#REF!</v>
      </c>
      <c r="B138" s="12" t="e">
        <f>'[4]#REF'!B138</f>
        <v>#REF!</v>
      </c>
      <c r="C138" s="31" t="e">
        <f>'[4]#REF'!D138</f>
        <v>#REF!</v>
      </c>
      <c r="D138" s="32" t="e">
        <f t="shared" si="6"/>
        <v>#REF!</v>
      </c>
      <c r="F138" s="12" t="e">
        <f>'[4]#REF'!F138</f>
        <v>#REF!</v>
      </c>
      <c r="G138" s="12" t="e">
        <f>'[4]#REF'!G138</f>
        <v>#REF!</v>
      </c>
      <c r="H138" s="31" t="e">
        <f>'[4]#REF'!I138</f>
        <v>#REF!</v>
      </c>
      <c r="I138" s="32" t="e">
        <f t="shared" si="7"/>
        <v>#REF!</v>
      </c>
      <c r="K138" s="12" t="e">
        <f>'[4]#REF'!K138</f>
        <v>#REF!</v>
      </c>
      <c r="L138" s="12" t="e">
        <f>'[4]#REF'!L138</f>
        <v>#REF!</v>
      </c>
      <c r="M138" s="31" t="e">
        <f>'[4]#REF'!N138</f>
        <v>#REF!</v>
      </c>
      <c r="N138" s="32" t="e">
        <f t="shared" si="8"/>
        <v>#REF!</v>
      </c>
    </row>
    <row r="139" ht="15.75" spans="1:14">
      <c r="A139" s="12" t="e">
        <f>'[4]#REF'!A139</f>
        <v>#REF!</v>
      </c>
      <c r="B139" s="12" t="e">
        <f>'[4]#REF'!B139</f>
        <v>#REF!</v>
      </c>
      <c r="C139" s="31" t="e">
        <f>'[4]#REF'!D139</f>
        <v>#REF!</v>
      </c>
      <c r="D139" s="32" t="e">
        <f t="shared" si="6"/>
        <v>#REF!</v>
      </c>
      <c r="F139" s="12" t="e">
        <f>'[4]#REF'!F139</f>
        <v>#REF!</v>
      </c>
      <c r="G139" s="12" t="e">
        <f>'[4]#REF'!G139</f>
        <v>#REF!</v>
      </c>
      <c r="H139" s="31" t="e">
        <f>'[4]#REF'!I139</f>
        <v>#REF!</v>
      </c>
      <c r="I139" s="32" t="e">
        <f t="shared" si="7"/>
        <v>#REF!</v>
      </c>
      <c r="K139" s="12" t="e">
        <f>'[4]#REF'!K139</f>
        <v>#REF!</v>
      </c>
      <c r="L139" s="12" t="e">
        <f>'[4]#REF'!L139</f>
        <v>#REF!</v>
      </c>
      <c r="M139" s="31" t="e">
        <f>'[4]#REF'!N139</f>
        <v>#REF!</v>
      </c>
      <c r="N139" s="32" t="e">
        <f t="shared" si="8"/>
        <v>#REF!</v>
      </c>
    </row>
    <row r="140" ht="15.75" spans="1:14">
      <c r="A140" s="12" t="e">
        <f>'[4]#REF'!A140</f>
        <v>#REF!</v>
      </c>
      <c r="B140" s="12" t="e">
        <f>'[4]#REF'!B140</f>
        <v>#REF!</v>
      </c>
      <c r="C140" s="31" t="e">
        <f>'[4]#REF'!D140</f>
        <v>#REF!</v>
      </c>
      <c r="D140" s="32" t="e">
        <f t="shared" si="6"/>
        <v>#REF!</v>
      </c>
      <c r="F140" s="12" t="e">
        <f>'[4]#REF'!F140</f>
        <v>#REF!</v>
      </c>
      <c r="G140" s="12" t="e">
        <f>'[4]#REF'!G140</f>
        <v>#REF!</v>
      </c>
      <c r="H140" s="31" t="e">
        <f>'[4]#REF'!I140</f>
        <v>#REF!</v>
      </c>
      <c r="I140" s="32" t="e">
        <f t="shared" si="7"/>
        <v>#REF!</v>
      </c>
      <c r="K140" s="12" t="e">
        <f>'[4]#REF'!K140</f>
        <v>#REF!</v>
      </c>
      <c r="L140" s="12" t="e">
        <f>'[4]#REF'!L140</f>
        <v>#REF!</v>
      </c>
      <c r="M140" s="31" t="e">
        <f>'[4]#REF'!N140</f>
        <v>#REF!</v>
      </c>
      <c r="N140" s="32" t="e">
        <f t="shared" si="8"/>
        <v>#REF!</v>
      </c>
    </row>
    <row r="141" ht="15.75" spans="1:14">
      <c r="A141" s="12" t="e">
        <f>'[4]#REF'!A141</f>
        <v>#REF!</v>
      </c>
      <c r="B141" s="12" t="e">
        <f>'[4]#REF'!B141</f>
        <v>#REF!</v>
      </c>
      <c r="C141" s="31" t="e">
        <f>'[4]#REF'!D141</f>
        <v>#REF!</v>
      </c>
      <c r="D141" s="32" t="e">
        <f t="shared" si="6"/>
        <v>#REF!</v>
      </c>
      <c r="F141" s="12" t="e">
        <f>'[4]#REF'!F141</f>
        <v>#REF!</v>
      </c>
      <c r="G141" s="12" t="e">
        <f>'[4]#REF'!G141</f>
        <v>#REF!</v>
      </c>
      <c r="H141" s="31" t="e">
        <f>'[4]#REF'!I141</f>
        <v>#REF!</v>
      </c>
      <c r="I141" s="32" t="e">
        <f t="shared" si="7"/>
        <v>#REF!</v>
      </c>
      <c r="K141" s="12" t="e">
        <f>'[4]#REF'!K141</f>
        <v>#REF!</v>
      </c>
      <c r="L141" s="12" t="e">
        <f>'[4]#REF'!L141</f>
        <v>#REF!</v>
      </c>
      <c r="M141" s="31" t="e">
        <f>'[4]#REF'!N141</f>
        <v>#REF!</v>
      </c>
      <c r="N141" s="32" t="e">
        <f t="shared" si="8"/>
        <v>#REF!</v>
      </c>
    </row>
    <row r="142" ht="15.75" spans="1:14">
      <c r="A142" s="12" t="e">
        <f>'[4]#REF'!A142</f>
        <v>#REF!</v>
      </c>
      <c r="B142" s="12" t="e">
        <f>'[4]#REF'!B142</f>
        <v>#REF!</v>
      </c>
      <c r="C142" s="31" t="e">
        <f>'[4]#REF'!D142</f>
        <v>#REF!</v>
      </c>
      <c r="D142" s="32" t="e">
        <f t="shared" si="6"/>
        <v>#REF!</v>
      </c>
      <c r="F142" s="12" t="e">
        <f>'[4]#REF'!F142</f>
        <v>#REF!</v>
      </c>
      <c r="G142" s="12" t="e">
        <f>'[4]#REF'!G142</f>
        <v>#REF!</v>
      </c>
      <c r="H142" s="31" t="e">
        <f>'[4]#REF'!I142</f>
        <v>#REF!</v>
      </c>
      <c r="I142" s="32" t="e">
        <f t="shared" si="7"/>
        <v>#REF!</v>
      </c>
      <c r="K142" s="12" t="e">
        <f>'[4]#REF'!K142</f>
        <v>#REF!</v>
      </c>
      <c r="L142" s="12" t="e">
        <f>'[4]#REF'!L142</f>
        <v>#REF!</v>
      </c>
      <c r="M142" s="31" t="e">
        <f>'[4]#REF'!N142</f>
        <v>#REF!</v>
      </c>
      <c r="N142" s="32" t="e">
        <f t="shared" si="8"/>
        <v>#REF!</v>
      </c>
    </row>
    <row r="143" ht="15.75" spans="1:14">
      <c r="A143" s="12" t="e">
        <f>'[4]#REF'!A143</f>
        <v>#REF!</v>
      </c>
      <c r="B143" s="12" t="e">
        <f>'[4]#REF'!B143</f>
        <v>#REF!</v>
      </c>
      <c r="C143" s="31" t="e">
        <f>'[4]#REF'!D143</f>
        <v>#REF!</v>
      </c>
      <c r="D143" s="32" t="e">
        <f t="shared" si="6"/>
        <v>#REF!</v>
      </c>
      <c r="F143" s="12" t="e">
        <f>'[4]#REF'!F143</f>
        <v>#REF!</v>
      </c>
      <c r="G143" s="12" t="e">
        <f>'[4]#REF'!G143</f>
        <v>#REF!</v>
      </c>
      <c r="H143" s="31" t="e">
        <f>'[4]#REF'!I143</f>
        <v>#REF!</v>
      </c>
      <c r="I143" s="32" t="e">
        <f t="shared" si="7"/>
        <v>#REF!</v>
      </c>
      <c r="K143" s="12" t="e">
        <f>'[4]#REF'!K143</f>
        <v>#REF!</v>
      </c>
      <c r="L143" s="12" t="e">
        <f>'[4]#REF'!L143</f>
        <v>#REF!</v>
      </c>
      <c r="M143" s="31" t="e">
        <f>'[4]#REF'!N143</f>
        <v>#REF!</v>
      </c>
      <c r="N143" s="32" t="e">
        <f t="shared" si="8"/>
        <v>#REF!</v>
      </c>
    </row>
    <row r="144" ht="15.75" spans="1:14">
      <c r="A144" s="12" t="e">
        <f>'[4]#REF'!A144</f>
        <v>#REF!</v>
      </c>
      <c r="B144" s="12" t="e">
        <f>'[4]#REF'!B144</f>
        <v>#REF!</v>
      </c>
      <c r="C144" s="31" t="e">
        <f>'[4]#REF'!D144</f>
        <v>#REF!</v>
      </c>
      <c r="D144" s="32" t="e">
        <f t="shared" si="6"/>
        <v>#REF!</v>
      </c>
      <c r="F144" s="12" t="e">
        <f>'[4]#REF'!F144</f>
        <v>#REF!</v>
      </c>
      <c r="G144" s="12" t="e">
        <f>'[4]#REF'!G144</f>
        <v>#REF!</v>
      </c>
      <c r="H144" s="31" t="e">
        <f>'[4]#REF'!I144</f>
        <v>#REF!</v>
      </c>
      <c r="I144" s="32" t="e">
        <f t="shared" si="7"/>
        <v>#REF!</v>
      </c>
      <c r="K144" s="12" t="e">
        <f>'[4]#REF'!K144</f>
        <v>#REF!</v>
      </c>
      <c r="L144" s="12" t="e">
        <f>'[4]#REF'!L144</f>
        <v>#REF!</v>
      </c>
      <c r="M144" s="31" t="e">
        <f>'[4]#REF'!N144</f>
        <v>#REF!</v>
      </c>
      <c r="N144" s="32" t="e">
        <f t="shared" si="8"/>
        <v>#REF!</v>
      </c>
    </row>
    <row r="145" ht="15.75" spans="1:14">
      <c r="A145" s="12" t="e">
        <f>'[4]#REF'!A145</f>
        <v>#REF!</v>
      </c>
      <c r="B145" s="12" t="e">
        <f>'[4]#REF'!B145</f>
        <v>#REF!</v>
      </c>
      <c r="C145" s="31" t="e">
        <f>'[4]#REF'!D145</f>
        <v>#REF!</v>
      </c>
      <c r="D145" s="32" t="e">
        <f t="shared" si="6"/>
        <v>#REF!</v>
      </c>
      <c r="F145" s="12" t="e">
        <f>'[4]#REF'!F145</f>
        <v>#REF!</v>
      </c>
      <c r="G145" s="12" t="e">
        <f>'[4]#REF'!G145</f>
        <v>#REF!</v>
      </c>
      <c r="H145" s="31" t="e">
        <f>'[4]#REF'!I145</f>
        <v>#REF!</v>
      </c>
      <c r="I145" s="32" t="e">
        <f t="shared" si="7"/>
        <v>#REF!</v>
      </c>
      <c r="K145" s="12" t="e">
        <f>'[4]#REF'!K145</f>
        <v>#REF!</v>
      </c>
      <c r="L145" s="12" t="e">
        <f>'[4]#REF'!L145</f>
        <v>#REF!</v>
      </c>
      <c r="M145" s="31" t="e">
        <f>'[4]#REF'!N145</f>
        <v>#REF!</v>
      </c>
      <c r="N145" s="32" t="e">
        <f t="shared" si="8"/>
        <v>#REF!</v>
      </c>
    </row>
    <row r="146" ht="15.75" spans="1:14">
      <c r="A146" s="12" t="e">
        <f>'[4]#REF'!A146</f>
        <v>#REF!</v>
      </c>
      <c r="B146" s="12" t="e">
        <f>'[4]#REF'!B146</f>
        <v>#REF!</v>
      </c>
      <c r="C146" s="31" t="e">
        <f>'[4]#REF'!D146</f>
        <v>#REF!</v>
      </c>
      <c r="D146" s="32" t="e">
        <f t="shared" si="6"/>
        <v>#REF!</v>
      </c>
      <c r="F146" s="12" t="e">
        <f>'[4]#REF'!F146</f>
        <v>#REF!</v>
      </c>
      <c r="G146" s="12" t="e">
        <f>'[4]#REF'!G146</f>
        <v>#REF!</v>
      </c>
      <c r="H146" s="31" t="e">
        <f>'[4]#REF'!I146</f>
        <v>#REF!</v>
      </c>
      <c r="I146" s="32" t="e">
        <f t="shared" si="7"/>
        <v>#REF!</v>
      </c>
      <c r="K146" s="12" t="e">
        <f>'[4]#REF'!K146</f>
        <v>#REF!</v>
      </c>
      <c r="L146" s="12" t="e">
        <f>'[4]#REF'!L146</f>
        <v>#REF!</v>
      </c>
      <c r="M146" s="31" t="e">
        <f>'[4]#REF'!N146</f>
        <v>#REF!</v>
      </c>
      <c r="N146" s="32" t="e">
        <f t="shared" si="8"/>
        <v>#REF!</v>
      </c>
    </row>
    <row r="147" ht="15.75" spans="1:14">
      <c r="A147" s="12" t="e">
        <f>'[4]#REF'!A147</f>
        <v>#REF!</v>
      </c>
      <c r="B147" s="12" t="e">
        <f>'[4]#REF'!B147</f>
        <v>#REF!</v>
      </c>
      <c r="C147" s="31" t="e">
        <f>'[4]#REF'!D147</f>
        <v>#REF!</v>
      </c>
      <c r="D147" s="32" t="e">
        <f t="shared" si="6"/>
        <v>#REF!</v>
      </c>
      <c r="F147" s="12" t="e">
        <f>'[4]#REF'!F147</f>
        <v>#REF!</v>
      </c>
      <c r="G147" s="12" t="e">
        <f>'[4]#REF'!G147</f>
        <v>#REF!</v>
      </c>
      <c r="H147" s="31" t="e">
        <f>'[4]#REF'!I147</f>
        <v>#REF!</v>
      </c>
      <c r="I147" s="32" t="e">
        <f t="shared" si="7"/>
        <v>#REF!</v>
      </c>
      <c r="K147" s="12" t="e">
        <f>'[4]#REF'!K147</f>
        <v>#REF!</v>
      </c>
      <c r="L147" s="12" t="e">
        <f>'[4]#REF'!L147</f>
        <v>#REF!</v>
      </c>
      <c r="M147" s="31" t="e">
        <f>'[4]#REF'!N147</f>
        <v>#REF!</v>
      </c>
      <c r="N147" s="32" t="e">
        <f t="shared" si="8"/>
        <v>#REF!</v>
      </c>
    </row>
    <row r="148" ht="15.75" spans="1:14">
      <c r="A148" s="12" t="e">
        <f>'[4]#REF'!A148</f>
        <v>#REF!</v>
      </c>
      <c r="B148" s="12" t="e">
        <f>'[4]#REF'!B148</f>
        <v>#REF!</v>
      </c>
      <c r="C148" s="31" t="e">
        <f>'[4]#REF'!D148</f>
        <v>#REF!</v>
      </c>
      <c r="D148" s="32" t="e">
        <f t="shared" si="6"/>
        <v>#REF!</v>
      </c>
      <c r="F148" s="12" t="e">
        <f>'[4]#REF'!F148</f>
        <v>#REF!</v>
      </c>
      <c r="G148" s="12" t="e">
        <f>'[4]#REF'!G148</f>
        <v>#REF!</v>
      </c>
      <c r="H148" s="31" t="e">
        <f>'[4]#REF'!I148</f>
        <v>#REF!</v>
      </c>
      <c r="I148" s="32" t="e">
        <f t="shared" si="7"/>
        <v>#REF!</v>
      </c>
      <c r="K148" s="12" t="e">
        <f>'[4]#REF'!K148</f>
        <v>#REF!</v>
      </c>
      <c r="L148" s="12" t="e">
        <f>'[4]#REF'!L148</f>
        <v>#REF!</v>
      </c>
      <c r="M148" s="31" t="e">
        <f>'[4]#REF'!N148</f>
        <v>#REF!</v>
      </c>
      <c r="N148" s="32" t="e">
        <f t="shared" si="8"/>
        <v>#REF!</v>
      </c>
    </row>
    <row r="149" ht="15.75" spans="1:14">
      <c r="A149" s="12" t="e">
        <f>'[4]#REF'!A149</f>
        <v>#REF!</v>
      </c>
      <c r="B149" s="12" t="e">
        <f>'[4]#REF'!B149</f>
        <v>#REF!</v>
      </c>
      <c r="C149" s="31" t="e">
        <f>'[4]#REF'!D149</f>
        <v>#REF!</v>
      </c>
      <c r="D149" s="32" t="e">
        <f t="shared" si="6"/>
        <v>#REF!</v>
      </c>
      <c r="F149" s="12" t="e">
        <f>'[4]#REF'!F149</f>
        <v>#REF!</v>
      </c>
      <c r="G149" s="12" t="e">
        <f>'[4]#REF'!G149</f>
        <v>#REF!</v>
      </c>
      <c r="H149" s="31" t="e">
        <f>'[4]#REF'!I149</f>
        <v>#REF!</v>
      </c>
      <c r="I149" s="32" t="e">
        <f t="shared" si="7"/>
        <v>#REF!</v>
      </c>
      <c r="K149" s="12" t="e">
        <f>'[4]#REF'!K149</f>
        <v>#REF!</v>
      </c>
      <c r="L149" s="12" t="e">
        <f>'[4]#REF'!L149</f>
        <v>#REF!</v>
      </c>
      <c r="M149" s="31" t="e">
        <f>'[4]#REF'!N149</f>
        <v>#REF!</v>
      </c>
      <c r="N149" s="32" t="e">
        <f t="shared" si="8"/>
        <v>#REF!</v>
      </c>
    </row>
    <row r="150" ht="15.75" spans="1:14">
      <c r="A150" s="12" t="e">
        <f>'[4]#REF'!A150</f>
        <v>#REF!</v>
      </c>
      <c r="B150" s="12" t="e">
        <f>'[4]#REF'!B150</f>
        <v>#REF!</v>
      </c>
      <c r="C150" s="31" t="e">
        <f>'[4]#REF'!D150</f>
        <v>#REF!</v>
      </c>
      <c r="D150" s="32" t="e">
        <f t="shared" si="6"/>
        <v>#REF!</v>
      </c>
      <c r="F150" s="12" t="e">
        <f>'[4]#REF'!F150</f>
        <v>#REF!</v>
      </c>
      <c r="G150" s="12" t="e">
        <f>'[4]#REF'!G150</f>
        <v>#REF!</v>
      </c>
      <c r="H150" s="31" t="e">
        <f>'[4]#REF'!I150</f>
        <v>#REF!</v>
      </c>
      <c r="I150" s="32" t="e">
        <f t="shared" si="7"/>
        <v>#REF!</v>
      </c>
      <c r="K150" s="12" t="e">
        <f>'[4]#REF'!K150</f>
        <v>#REF!</v>
      </c>
      <c r="L150" s="12" t="e">
        <f>'[4]#REF'!L150</f>
        <v>#REF!</v>
      </c>
      <c r="M150" s="31" t="e">
        <f>'[4]#REF'!N150</f>
        <v>#REF!</v>
      </c>
      <c r="N150" s="32" t="e">
        <f t="shared" si="8"/>
        <v>#REF!</v>
      </c>
    </row>
    <row r="151" ht="15.75" spans="1:14">
      <c r="A151" s="12" t="e">
        <f>'[4]#REF'!A151</f>
        <v>#REF!</v>
      </c>
      <c r="B151" s="12" t="e">
        <f>'[4]#REF'!B151</f>
        <v>#REF!</v>
      </c>
      <c r="C151" s="31" t="e">
        <f>'[4]#REF'!D151</f>
        <v>#REF!</v>
      </c>
      <c r="D151" s="32" t="e">
        <f t="shared" si="6"/>
        <v>#REF!</v>
      </c>
      <c r="F151" s="12" t="e">
        <f>'[4]#REF'!F151</f>
        <v>#REF!</v>
      </c>
      <c r="G151" s="12" t="e">
        <f>'[4]#REF'!G151</f>
        <v>#REF!</v>
      </c>
      <c r="H151" s="31" t="e">
        <f>'[4]#REF'!I151</f>
        <v>#REF!</v>
      </c>
      <c r="I151" s="32" t="e">
        <f t="shared" si="7"/>
        <v>#REF!</v>
      </c>
      <c r="K151" s="12" t="e">
        <f>'[4]#REF'!K151</f>
        <v>#REF!</v>
      </c>
      <c r="L151" s="12" t="e">
        <f>'[4]#REF'!L151</f>
        <v>#REF!</v>
      </c>
      <c r="M151" s="31" t="e">
        <f>'[4]#REF'!N151</f>
        <v>#REF!</v>
      </c>
      <c r="N151" s="32" t="e">
        <f t="shared" si="8"/>
        <v>#REF!</v>
      </c>
    </row>
    <row r="152" ht="15.75" spans="1:14">
      <c r="A152" s="12" t="e">
        <f>'[4]#REF'!A152</f>
        <v>#REF!</v>
      </c>
      <c r="B152" s="12" t="e">
        <f>'[4]#REF'!B152</f>
        <v>#REF!</v>
      </c>
      <c r="C152" s="31" t="e">
        <f>'[4]#REF'!D152</f>
        <v>#REF!</v>
      </c>
      <c r="D152" s="32" t="e">
        <f t="shared" si="6"/>
        <v>#REF!</v>
      </c>
      <c r="F152" s="12" t="e">
        <f>'[4]#REF'!F152</f>
        <v>#REF!</v>
      </c>
      <c r="G152" s="12" t="e">
        <f>'[4]#REF'!G152</f>
        <v>#REF!</v>
      </c>
      <c r="H152" s="31" t="e">
        <f>'[4]#REF'!I152</f>
        <v>#REF!</v>
      </c>
      <c r="I152" s="32" t="e">
        <f t="shared" si="7"/>
        <v>#REF!</v>
      </c>
      <c r="K152" s="12" t="e">
        <f>'[4]#REF'!K152</f>
        <v>#REF!</v>
      </c>
      <c r="L152" s="12" t="e">
        <f>'[4]#REF'!L152</f>
        <v>#REF!</v>
      </c>
      <c r="M152" s="31" t="e">
        <f>'[4]#REF'!N152</f>
        <v>#REF!</v>
      </c>
      <c r="N152" s="32" t="e">
        <f t="shared" si="8"/>
        <v>#REF!</v>
      </c>
    </row>
    <row r="153" ht="15.75" spans="1:14">
      <c r="A153" s="12" t="e">
        <f>'[4]#REF'!A153</f>
        <v>#REF!</v>
      </c>
      <c r="B153" s="12" t="e">
        <f>'[4]#REF'!B153</f>
        <v>#REF!</v>
      </c>
      <c r="C153" s="31" t="e">
        <f>'[4]#REF'!D153</f>
        <v>#REF!</v>
      </c>
      <c r="D153" s="32" t="e">
        <f t="shared" si="6"/>
        <v>#REF!</v>
      </c>
      <c r="F153" s="12" t="e">
        <f>'[4]#REF'!F153</f>
        <v>#REF!</v>
      </c>
      <c r="G153" s="12" t="e">
        <f>'[4]#REF'!G153</f>
        <v>#REF!</v>
      </c>
      <c r="H153" s="31" t="e">
        <f>'[4]#REF'!I153</f>
        <v>#REF!</v>
      </c>
      <c r="I153" s="32" t="e">
        <f t="shared" si="7"/>
        <v>#REF!</v>
      </c>
      <c r="K153" s="12" t="e">
        <f>'[4]#REF'!K153</f>
        <v>#REF!</v>
      </c>
      <c r="L153" s="12" t="e">
        <f>'[4]#REF'!L153</f>
        <v>#REF!</v>
      </c>
      <c r="M153" s="31" t="e">
        <f>'[4]#REF'!N153</f>
        <v>#REF!</v>
      </c>
      <c r="N153" s="32" t="e">
        <f t="shared" si="8"/>
        <v>#REF!</v>
      </c>
    </row>
    <row r="154" ht="15.75" spans="1:14">
      <c r="A154" s="12" t="e">
        <f>'[4]#REF'!A154</f>
        <v>#REF!</v>
      </c>
      <c r="B154" s="12" t="e">
        <f>'[4]#REF'!B154</f>
        <v>#REF!</v>
      </c>
      <c r="C154" s="31" t="e">
        <f>'[4]#REF'!D154</f>
        <v>#REF!</v>
      </c>
      <c r="D154" s="32" t="e">
        <f t="shared" si="6"/>
        <v>#REF!</v>
      </c>
      <c r="F154" s="12" t="e">
        <f>'[4]#REF'!F154</f>
        <v>#REF!</v>
      </c>
      <c r="G154" s="12" t="e">
        <f>'[4]#REF'!G154</f>
        <v>#REF!</v>
      </c>
      <c r="H154" s="31" t="e">
        <f>'[4]#REF'!I154</f>
        <v>#REF!</v>
      </c>
      <c r="I154" s="32" t="e">
        <f t="shared" si="7"/>
        <v>#REF!</v>
      </c>
      <c r="K154" s="12" t="e">
        <f>'[4]#REF'!K154</f>
        <v>#REF!</v>
      </c>
      <c r="L154" s="12" t="e">
        <f>'[4]#REF'!L154</f>
        <v>#REF!</v>
      </c>
      <c r="M154" s="31" t="e">
        <f>'[4]#REF'!N154</f>
        <v>#REF!</v>
      </c>
      <c r="N154" s="32" t="e">
        <f t="shared" si="8"/>
        <v>#REF!</v>
      </c>
    </row>
    <row r="155" ht="15.75" spans="1:14">
      <c r="A155" s="12" t="e">
        <f>'[4]#REF'!A155</f>
        <v>#REF!</v>
      </c>
      <c r="B155" s="12" t="e">
        <f>'[4]#REF'!B155</f>
        <v>#REF!</v>
      </c>
      <c r="C155" s="31" t="e">
        <f>'[4]#REF'!D155</f>
        <v>#REF!</v>
      </c>
      <c r="D155" s="32" t="e">
        <f t="shared" si="6"/>
        <v>#REF!</v>
      </c>
      <c r="F155" s="12" t="e">
        <f>'[4]#REF'!F155</f>
        <v>#REF!</v>
      </c>
      <c r="G155" s="12" t="e">
        <f>'[4]#REF'!G155</f>
        <v>#REF!</v>
      </c>
      <c r="H155" s="31" t="e">
        <f>'[4]#REF'!I155</f>
        <v>#REF!</v>
      </c>
      <c r="I155" s="32" t="e">
        <f t="shared" si="7"/>
        <v>#REF!</v>
      </c>
      <c r="K155" s="12" t="e">
        <f>'[4]#REF'!K155</f>
        <v>#REF!</v>
      </c>
      <c r="L155" s="12" t="e">
        <f>'[4]#REF'!L155</f>
        <v>#REF!</v>
      </c>
      <c r="M155" s="31" t="e">
        <f>'[4]#REF'!N155</f>
        <v>#REF!</v>
      </c>
      <c r="N155" s="32" t="e">
        <f t="shared" si="8"/>
        <v>#REF!</v>
      </c>
    </row>
    <row r="156" ht="15.75" spans="1:14">
      <c r="A156" s="12" t="e">
        <f>'[4]#REF'!A156</f>
        <v>#REF!</v>
      </c>
      <c r="B156" s="12" t="e">
        <f>'[4]#REF'!B156</f>
        <v>#REF!</v>
      </c>
      <c r="C156" s="31" t="e">
        <f>'[4]#REF'!D156</f>
        <v>#REF!</v>
      </c>
      <c r="D156" s="32" t="e">
        <f t="shared" si="6"/>
        <v>#REF!</v>
      </c>
      <c r="F156" s="12" t="e">
        <f>'[4]#REF'!F156</f>
        <v>#REF!</v>
      </c>
      <c r="G156" s="12" t="e">
        <f>'[4]#REF'!G156</f>
        <v>#REF!</v>
      </c>
      <c r="H156" s="31" t="e">
        <f>'[4]#REF'!I156</f>
        <v>#REF!</v>
      </c>
      <c r="I156" s="32" t="e">
        <f t="shared" si="7"/>
        <v>#REF!</v>
      </c>
      <c r="K156" s="12" t="e">
        <f>'[4]#REF'!K156</f>
        <v>#REF!</v>
      </c>
      <c r="L156" s="12" t="e">
        <f>'[4]#REF'!L156</f>
        <v>#REF!</v>
      </c>
      <c r="M156" s="31" t="e">
        <f>'[4]#REF'!N156</f>
        <v>#REF!</v>
      </c>
      <c r="N156" s="32" t="e">
        <f t="shared" si="8"/>
        <v>#REF!</v>
      </c>
    </row>
    <row r="157" ht="15.75" spans="1:14">
      <c r="A157" s="12" t="e">
        <f>'[4]#REF'!A157</f>
        <v>#REF!</v>
      </c>
      <c r="B157" s="12" t="e">
        <f>'[4]#REF'!B157</f>
        <v>#REF!</v>
      </c>
      <c r="C157" s="31" t="e">
        <f>'[4]#REF'!D157</f>
        <v>#REF!</v>
      </c>
      <c r="D157" s="32" t="e">
        <f t="shared" si="6"/>
        <v>#REF!</v>
      </c>
      <c r="F157" s="12" t="e">
        <f>'[4]#REF'!F157</f>
        <v>#REF!</v>
      </c>
      <c r="G157" s="12" t="e">
        <f>'[4]#REF'!G157</f>
        <v>#REF!</v>
      </c>
      <c r="H157" s="31" t="e">
        <f>'[4]#REF'!I157</f>
        <v>#REF!</v>
      </c>
      <c r="I157" s="32" t="e">
        <f t="shared" si="7"/>
        <v>#REF!</v>
      </c>
      <c r="K157" s="12" t="e">
        <f>'[4]#REF'!K157</f>
        <v>#REF!</v>
      </c>
      <c r="L157" s="12" t="e">
        <f>'[4]#REF'!L157</f>
        <v>#REF!</v>
      </c>
      <c r="M157" s="31" t="e">
        <f>'[4]#REF'!N157</f>
        <v>#REF!</v>
      </c>
      <c r="N157" s="32" t="e">
        <f t="shared" si="8"/>
        <v>#REF!</v>
      </c>
    </row>
    <row r="158" ht="15.75" spans="1:14">
      <c r="A158" s="12" t="e">
        <f>'[4]#REF'!A158</f>
        <v>#REF!</v>
      </c>
      <c r="B158" s="12" t="e">
        <f>'[4]#REF'!B158</f>
        <v>#REF!</v>
      </c>
      <c r="C158" s="31" t="e">
        <f>'[4]#REF'!D158</f>
        <v>#REF!</v>
      </c>
      <c r="D158" s="32" t="e">
        <f t="shared" si="6"/>
        <v>#REF!</v>
      </c>
      <c r="F158" s="12" t="e">
        <f>'[4]#REF'!F158</f>
        <v>#REF!</v>
      </c>
      <c r="G158" s="12" t="e">
        <f>'[4]#REF'!G158</f>
        <v>#REF!</v>
      </c>
      <c r="H158" s="31" t="e">
        <f>'[4]#REF'!I158</f>
        <v>#REF!</v>
      </c>
      <c r="I158" s="32" t="e">
        <f t="shared" si="7"/>
        <v>#REF!</v>
      </c>
      <c r="K158" s="12" t="e">
        <f>'[4]#REF'!K158</f>
        <v>#REF!</v>
      </c>
      <c r="L158" s="12" t="e">
        <f>'[4]#REF'!L158</f>
        <v>#REF!</v>
      </c>
      <c r="M158" s="31" t="e">
        <f>'[4]#REF'!N158</f>
        <v>#REF!</v>
      </c>
      <c r="N158" s="32" t="e">
        <f t="shared" si="8"/>
        <v>#REF!</v>
      </c>
    </row>
    <row r="159" ht="15.75" spans="1:14">
      <c r="A159" s="12" t="e">
        <f>'[4]#REF'!A159</f>
        <v>#REF!</v>
      </c>
      <c r="B159" s="12" t="e">
        <f>'[4]#REF'!B159</f>
        <v>#REF!</v>
      </c>
      <c r="C159" s="31" t="e">
        <f>'[4]#REF'!D159</f>
        <v>#REF!</v>
      </c>
      <c r="D159" s="32" t="e">
        <f t="shared" si="6"/>
        <v>#REF!</v>
      </c>
      <c r="F159" s="12" t="e">
        <f>'[4]#REF'!F159</f>
        <v>#REF!</v>
      </c>
      <c r="G159" s="12" t="e">
        <f>'[4]#REF'!G159</f>
        <v>#REF!</v>
      </c>
      <c r="H159" s="31" t="e">
        <f>'[4]#REF'!I159</f>
        <v>#REF!</v>
      </c>
      <c r="I159" s="32" t="e">
        <f t="shared" si="7"/>
        <v>#REF!</v>
      </c>
      <c r="K159" s="12" t="e">
        <f>'[4]#REF'!K159</f>
        <v>#REF!</v>
      </c>
      <c r="L159" s="12" t="e">
        <f>'[4]#REF'!L159</f>
        <v>#REF!</v>
      </c>
      <c r="M159" s="31" t="e">
        <f>'[4]#REF'!N159</f>
        <v>#REF!</v>
      </c>
      <c r="N159" s="32" t="e">
        <f t="shared" si="8"/>
        <v>#REF!</v>
      </c>
    </row>
    <row r="160" ht="15.75" spans="1:14">
      <c r="A160" s="12" t="e">
        <f>'[4]#REF'!A160</f>
        <v>#REF!</v>
      </c>
      <c r="B160" s="12" t="e">
        <f>'[4]#REF'!B160</f>
        <v>#REF!</v>
      </c>
      <c r="C160" s="31" t="e">
        <f>'[4]#REF'!D160</f>
        <v>#REF!</v>
      </c>
      <c r="D160" s="32" t="e">
        <f t="shared" si="6"/>
        <v>#REF!</v>
      </c>
      <c r="F160" s="12" t="e">
        <f>'[4]#REF'!F160</f>
        <v>#REF!</v>
      </c>
      <c r="G160" s="12" t="e">
        <f>'[4]#REF'!G160</f>
        <v>#REF!</v>
      </c>
      <c r="H160" s="31" t="e">
        <f>'[4]#REF'!I160</f>
        <v>#REF!</v>
      </c>
      <c r="I160" s="32" t="e">
        <f t="shared" si="7"/>
        <v>#REF!</v>
      </c>
      <c r="K160" s="12" t="e">
        <f>'[4]#REF'!K160</f>
        <v>#REF!</v>
      </c>
      <c r="L160" s="12" t="e">
        <f>'[4]#REF'!L160</f>
        <v>#REF!</v>
      </c>
      <c r="M160" s="31" t="e">
        <f>'[4]#REF'!N160</f>
        <v>#REF!</v>
      </c>
      <c r="N160" s="32" t="e">
        <f t="shared" si="8"/>
        <v>#REF!</v>
      </c>
    </row>
    <row r="161" ht="15.75" spans="1:14">
      <c r="A161" s="12" t="e">
        <f>'[4]#REF'!A161</f>
        <v>#REF!</v>
      </c>
      <c r="B161" s="12" t="e">
        <f>'[4]#REF'!B161</f>
        <v>#REF!</v>
      </c>
      <c r="C161" s="31" t="e">
        <f>'[4]#REF'!D161</f>
        <v>#REF!</v>
      </c>
      <c r="D161" s="32" t="e">
        <f t="shared" si="6"/>
        <v>#REF!</v>
      </c>
      <c r="F161" s="12" t="e">
        <f>'[4]#REF'!F161</f>
        <v>#REF!</v>
      </c>
      <c r="G161" s="12" t="e">
        <f>'[4]#REF'!G161</f>
        <v>#REF!</v>
      </c>
      <c r="H161" s="31" t="e">
        <f>'[4]#REF'!I161</f>
        <v>#REF!</v>
      </c>
      <c r="I161" s="32" t="e">
        <f t="shared" si="7"/>
        <v>#REF!</v>
      </c>
      <c r="K161" s="12" t="e">
        <f>'[4]#REF'!K161</f>
        <v>#REF!</v>
      </c>
      <c r="L161" s="12" t="e">
        <f>'[4]#REF'!L161</f>
        <v>#REF!</v>
      </c>
      <c r="M161" s="31" t="e">
        <f>'[4]#REF'!N161</f>
        <v>#REF!</v>
      </c>
      <c r="N161" s="32" t="e">
        <f t="shared" si="8"/>
        <v>#REF!</v>
      </c>
    </row>
    <row r="162" ht="15.75" spans="1:14">
      <c r="A162" s="12" t="e">
        <f>'[4]#REF'!A162</f>
        <v>#REF!</v>
      </c>
      <c r="B162" s="12" t="e">
        <f>'[4]#REF'!B162</f>
        <v>#REF!</v>
      </c>
      <c r="C162" s="31" t="e">
        <f>'[4]#REF'!D162</f>
        <v>#REF!</v>
      </c>
      <c r="D162" s="32" t="e">
        <f t="shared" si="6"/>
        <v>#REF!</v>
      </c>
      <c r="F162" s="12" t="e">
        <f>'[4]#REF'!F162</f>
        <v>#REF!</v>
      </c>
      <c r="G162" s="12" t="e">
        <f>'[4]#REF'!G162</f>
        <v>#REF!</v>
      </c>
      <c r="H162" s="31" t="e">
        <f>'[4]#REF'!I162</f>
        <v>#REF!</v>
      </c>
      <c r="I162" s="32" t="e">
        <f t="shared" si="7"/>
        <v>#REF!</v>
      </c>
      <c r="K162" s="12" t="e">
        <f>'[4]#REF'!K162</f>
        <v>#REF!</v>
      </c>
      <c r="L162" s="12" t="e">
        <f>'[4]#REF'!L162</f>
        <v>#REF!</v>
      </c>
      <c r="M162" s="31" t="e">
        <f>'[4]#REF'!N162</f>
        <v>#REF!</v>
      </c>
      <c r="N162" s="32" t="e">
        <f t="shared" si="8"/>
        <v>#REF!</v>
      </c>
    </row>
    <row r="163" ht="15.75" spans="1:14">
      <c r="A163" s="12" t="e">
        <f>'[4]#REF'!A163</f>
        <v>#REF!</v>
      </c>
      <c r="B163" s="12" t="e">
        <f>'[4]#REF'!B163</f>
        <v>#REF!</v>
      </c>
      <c r="C163" s="31" t="e">
        <f>'[4]#REF'!D163</f>
        <v>#REF!</v>
      </c>
      <c r="D163" s="32" t="e">
        <f t="shared" si="6"/>
        <v>#REF!</v>
      </c>
      <c r="F163" s="12" t="e">
        <f>'[4]#REF'!F163</f>
        <v>#REF!</v>
      </c>
      <c r="G163" s="12" t="e">
        <f>'[4]#REF'!G163</f>
        <v>#REF!</v>
      </c>
      <c r="H163" s="31" t="e">
        <f>'[4]#REF'!I163</f>
        <v>#REF!</v>
      </c>
      <c r="I163" s="32" t="e">
        <f t="shared" si="7"/>
        <v>#REF!</v>
      </c>
      <c r="K163" s="12" t="e">
        <f>'[4]#REF'!K163</f>
        <v>#REF!</v>
      </c>
      <c r="L163" s="12" t="e">
        <f>'[4]#REF'!L163</f>
        <v>#REF!</v>
      </c>
      <c r="M163" s="31" t="e">
        <f>'[4]#REF'!N163</f>
        <v>#REF!</v>
      </c>
      <c r="N163" s="32" t="e">
        <f t="shared" si="8"/>
        <v>#REF!</v>
      </c>
    </row>
    <row r="164" ht="15.75" spans="1:14">
      <c r="A164" s="12" t="e">
        <f>'[4]#REF'!A164</f>
        <v>#REF!</v>
      </c>
      <c r="B164" s="12" t="e">
        <f>'[4]#REF'!B164</f>
        <v>#REF!</v>
      </c>
      <c r="C164" s="31" t="e">
        <f>'[4]#REF'!D164</f>
        <v>#REF!</v>
      </c>
      <c r="D164" s="32" t="e">
        <f t="shared" si="6"/>
        <v>#REF!</v>
      </c>
      <c r="F164" s="12" t="e">
        <f>'[4]#REF'!F164</f>
        <v>#REF!</v>
      </c>
      <c r="G164" s="12" t="e">
        <f>'[4]#REF'!G164</f>
        <v>#REF!</v>
      </c>
      <c r="H164" s="31" t="e">
        <f>'[4]#REF'!I164</f>
        <v>#REF!</v>
      </c>
      <c r="I164" s="32" t="e">
        <f t="shared" si="7"/>
        <v>#REF!</v>
      </c>
      <c r="K164" s="12" t="e">
        <f>'[4]#REF'!K164</f>
        <v>#REF!</v>
      </c>
      <c r="L164" s="12" t="e">
        <f>'[4]#REF'!L164</f>
        <v>#REF!</v>
      </c>
      <c r="M164" s="31" t="e">
        <f>'[4]#REF'!N164</f>
        <v>#REF!</v>
      </c>
      <c r="N164" s="32" t="e">
        <f t="shared" si="8"/>
        <v>#REF!</v>
      </c>
    </row>
    <row r="165" ht="15.75" spans="1:14">
      <c r="A165" s="12" t="e">
        <f>'[4]#REF'!A165</f>
        <v>#REF!</v>
      </c>
      <c r="B165" s="12" t="e">
        <f>'[4]#REF'!B165</f>
        <v>#REF!</v>
      </c>
      <c r="C165" s="31" t="e">
        <f>'[4]#REF'!D165</f>
        <v>#REF!</v>
      </c>
      <c r="D165" s="32" t="e">
        <f t="shared" si="6"/>
        <v>#REF!</v>
      </c>
      <c r="F165" s="12" t="e">
        <f>'[4]#REF'!F165</f>
        <v>#REF!</v>
      </c>
      <c r="G165" s="12" t="e">
        <f>'[4]#REF'!G165</f>
        <v>#REF!</v>
      </c>
      <c r="H165" s="31" t="e">
        <f>'[4]#REF'!I165</f>
        <v>#REF!</v>
      </c>
      <c r="I165" s="32" t="e">
        <f t="shared" si="7"/>
        <v>#REF!</v>
      </c>
      <c r="K165" s="12" t="e">
        <f>'[4]#REF'!K165</f>
        <v>#REF!</v>
      </c>
      <c r="L165" s="12" t="e">
        <f>'[4]#REF'!L165</f>
        <v>#REF!</v>
      </c>
      <c r="M165" s="31" t="e">
        <f>'[4]#REF'!N165</f>
        <v>#REF!</v>
      </c>
      <c r="N165" s="32" t="e">
        <f t="shared" si="8"/>
        <v>#REF!</v>
      </c>
    </row>
    <row r="166" ht="15.75" spans="1:14">
      <c r="A166" s="12" t="e">
        <f>'[4]#REF'!A166</f>
        <v>#REF!</v>
      </c>
      <c r="B166" s="12" t="e">
        <f>'[4]#REF'!B166</f>
        <v>#REF!</v>
      </c>
      <c r="C166" s="31" t="e">
        <f>'[4]#REF'!D166</f>
        <v>#REF!</v>
      </c>
      <c r="D166" s="32" t="e">
        <f t="shared" si="6"/>
        <v>#REF!</v>
      </c>
      <c r="F166" s="12" t="e">
        <f>'[4]#REF'!F166</f>
        <v>#REF!</v>
      </c>
      <c r="G166" s="12" t="e">
        <f>'[4]#REF'!G166</f>
        <v>#REF!</v>
      </c>
      <c r="H166" s="31" t="e">
        <f>'[4]#REF'!I166</f>
        <v>#REF!</v>
      </c>
      <c r="I166" s="32" t="e">
        <f t="shared" si="7"/>
        <v>#REF!</v>
      </c>
      <c r="K166" s="12" t="e">
        <f>'[4]#REF'!K166</f>
        <v>#REF!</v>
      </c>
      <c r="L166" s="12" t="e">
        <f>'[4]#REF'!L166</f>
        <v>#REF!</v>
      </c>
      <c r="M166" s="31" t="e">
        <f>'[4]#REF'!N166</f>
        <v>#REF!</v>
      </c>
      <c r="N166" s="32" t="e">
        <f t="shared" si="8"/>
        <v>#REF!</v>
      </c>
    </row>
    <row r="167" ht="15.75" spans="1:14">
      <c r="A167" s="12" t="e">
        <f>'[4]#REF'!A167</f>
        <v>#REF!</v>
      </c>
      <c r="B167" s="12" t="e">
        <f>'[4]#REF'!B167</f>
        <v>#REF!</v>
      </c>
      <c r="C167" s="31" t="e">
        <f>'[4]#REF'!D167</f>
        <v>#REF!</v>
      </c>
      <c r="D167" s="32" t="e">
        <f t="shared" si="6"/>
        <v>#REF!</v>
      </c>
      <c r="F167" s="12" t="e">
        <f>'[4]#REF'!F167</f>
        <v>#REF!</v>
      </c>
      <c r="G167" s="12" t="e">
        <f>'[4]#REF'!G167</f>
        <v>#REF!</v>
      </c>
      <c r="H167" s="31" t="e">
        <f>'[4]#REF'!I167</f>
        <v>#REF!</v>
      </c>
      <c r="I167" s="32" t="e">
        <f t="shared" si="7"/>
        <v>#REF!</v>
      </c>
      <c r="K167" s="12" t="e">
        <f>'[4]#REF'!K167</f>
        <v>#REF!</v>
      </c>
      <c r="L167" s="12" t="e">
        <f>'[4]#REF'!L167</f>
        <v>#REF!</v>
      </c>
      <c r="M167" s="31" t="e">
        <f>'[4]#REF'!N167</f>
        <v>#REF!</v>
      </c>
      <c r="N167" s="32" t="e">
        <f t="shared" si="8"/>
        <v>#REF!</v>
      </c>
    </row>
    <row r="168" ht="15.75" spans="1:14">
      <c r="A168" s="12" t="e">
        <f>'[4]#REF'!A168</f>
        <v>#REF!</v>
      </c>
      <c r="B168" s="12" t="e">
        <f>'[4]#REF'!B168</f>
        <v>#REF!</v>
      </c>
      <c r="C168" s="31" t="e">
        <f>'[4]#REF'!D168</f>
        <v>#REF!</v>
      </c>
      <c r="D168" s="32" t="e">
        <f t="shared" si="6"/>
        <v>#REF!</v>
      </c>
      <c r="F168" s="12" t="e">
        <f>'[4]#REF'!F168</f>
        <v>#REF!</v>
      </c>
      <c r="G168" s="12" t="e">
        <f>'[4]#REF'!G168</f>
        <v>#REF!</v>
      </c>
      <c r="H168" s="31" t="e">
        <f>'[4]#REF'!I168</f>
        <v>#REF!</v>
      </c>
      <c r="I168" s="32" t="e">
        <f t="shared" si="7"/>
        <v>#REF!</v>
      </c>
      <c r="K168" s="12" t="e">
        <f>'[4]#REF'!K168</f>
        <v>#REF!</v>
      </c>
      <c r="L168" s="12" t="e">
        <f>'[4]#REF'!L168</f>
        <v>#REF!</v>
      </c>
      <c r="M168" s="31" t="e">
        <f>'[4]#REF'!N168</f>
        <v>#REF!</v>
      </c>
      <c r="N168" s="32" t="e">
        <f t="shared" si="8"/>
        <v>#REF!</v>
      </c>
    </row>
    <row r="169" ht="15.75" spans="1:14">
      <c r="A169" s="12" t="e">
        <f>'[4]#REF'!A169</f>
        <v>#REF!</v>
      </c>
      <c r="B169" s="12" t="e">
        <f>'[4]#REF'!B169</f>
        <v>#REF!</v>
      </c>
      <c r="C169" s="31" t="e">
        <f>'[4]#REF'!D169</f>
        <v>#REF!</v>
      </c>
      <c r="D169" s="32" t="e">
        <f t="shared" si="6"/>
        <v>#REF!</v>
      </c>
      <c r="F169" s="12" t="e">
        <f>'[4]#REF'!F169</f>
        <v>#REF!</v>
      </c>
      <c r="G169" s="12" t="e">
        <f>'[4]#REF'!G169</f>
        <v>#REF!</v>
      </c>
      <c r="H169" s="31" t="e">
        <f>'[4]#REF'!I169</f>
        <v>#REF!</v>
      </c>
      <c r="I169" s="32" t="e">
        <f t="shared" si="7"/>
        <v>#REF!</v>
      </c>
      <c r="K169" s="12" t="e">
        <f>'[4]#REF'!K169</f>
        <v>#REF!</v>
      </c>
      <c r="L169" s="12" t="e">
        <f>'[4]#REF'!L169</f>
        <v>#REF!</v>
      </c>
      <c r="M169" s="31" t="e">
        <f>'[4]#REF'!N169</f>
        <v>#REF!</v>
      </c>
      <c r="N169" s="32" t="e">
        <f t="shared" si="8"/>
        <v>#REF!</v>
      </c>
    </row>
    <row r="170" ht="15.75" spans="1:14">
      <c r="A170" s="12" t="e">
        <f>'[4]#REF'!A170</f>
        <v>#REF!</v>
      </c>
      <c r="B170" s="12" t="e">
        <f>'[4]#REF'!B170</f>
        <v>#REF!</v>
      </c>
      <c r="C170" s="31" t="e">
        <f>'[4]#REF'!D170</f>
        <v>#REF!</v>
      </c>
      <c r="D170" s="32" t="e">
        <f t="shared" si="6"/>
        <v>#REF!</v>
      </c>
      <c r="F170" s="12" t="e">
        <f>'[4]#REF'!F170</f>
        <v>#REF!</v>
      </c>
      <c r="G170" s="12" t="e">
        <f>'[4]#REF'!G170</f>
        <v>#REF!</v>
      </c>
      <c r="H170" s="31" t="e">
        <f>'[4]#REF'!I170</f>
        <v>#REF!</v>
      </c>
      <c r="I170" s="32" t="e">
        <f t="shared" si="7"/>
        <v>#REF!</v>
      </c>
      <c r="K170" s="12" t="e">
        <f>'[4]#REF'!K170</f>
        <v>#REF!</v>
      </c>
      <c r="L170" s="12" t="e">
        <f>'[4]#REF'!L170</f>
        <v>#REF!</v>
      </c>
      <c r="M170" s="31" t="e">
        <f>'[4]#REF'!N170</f>
        <v>#REF!</v>
      </c>
      <c r="N170" s="32" t="e">
        <f t="shared" si="8"/>
        <v>#REF!</v>
      </c>
    </row>
    <row r="171" ht="15.75" spans="1:14">
      <c r="A171" s="12" t="e">
        <f>'[4]#REF'!A171</f>
        <v>#REF!</v>
      </c>
      <c r="B171" s="12" t="e">
        <f>'[4]#REF'!B171</f>
        <v>#REF!</v>
      </c>
      <c r="C171" s="31" t="e">
        <f>'[4]#REF'!D171</f>
        <v>#REF!</v>
      </c>
      <c r="D171" s="32" t="e">
        <f t="shared" si="6"/>
        <v>#REF!</v>
      </c>
      <c r="F171" s="12" t="e">
        <f>'[4]#REF'!F171</f>
        <v>#REF!</v>
      </c>
      <c r="G171" s="12" t="e">
        <f>'[4]#REF'!G171</f>
        <v>#REF!</v>
      </c>
      <c r="H171" s="31" t="e">
        <f>'[4]#REF'!I171</f>
        <v>#REF!</v>
      </c>
      <c r="I171" s="32" t="e">
        <f t="shared" si="7"/>
        <v>#REF!</v>
      </c>
      <c r="K171" s="12" t="e">
        <f>'[4]#REF'!K171</f>
        <v>#REF!</v>
      </c>
      <c r="L171" s="12" t="e">
        <f>'[4]#REF'!L171</f>
        <v>#REF!</v>
      </c>
      <c r="M171" s="31" t="e">
        <f>'[4]#REF'!N171</f>
        <v>#REF!</v>
      </c>
      <c r="N171" s="32" t="e">
        <f t="shared" si="8"/>
        <v>#REF!</v>
      </c>
    </row>
    <row r="172" ht="15.75" spans="1:14">
      <c r="A172" s="12" t="e">
        <f>'[4]#REF'!A172</f>
        <v>#REF!</v>
      </c>
      <c r="B172" s="12" t="e">
        <f>'[4]#REF'!B172</f>
        <v>#REF!</v>
      </c>
      <c r="C172" s="31" t="e">
        <f>'[4]#REF'!D172</f>
        <v>#REF!</v>
      </c>
      <c r="D172" s="32" t="e">
        <f t="shared" si="6"/>
        <v>#REF!</v>
      </c>
      <c r="F172" s="12" t="e">
        <f>'[4]#REF'!F172</f>
        <v>#REF!</v>
      </c>
      <c r="G172" s="12" t="e">
        <f>'[4]#REF'!G172</f>
        <v>#REF!</v>
      </c>
      <c r="H172" s="31" t="e">
        <f>'[4]#REF'!I172</f>
        <v>#REF!</v>
      </c>
      <c r="I172" s="32" t="e">
        <f t="shared" si="7"/>
        <v>#REF!</v>
      </c>
      <c r="K172" s="12" t="e">
        <f>'[4]#REF'!K172</f>
        <v>#REF!</v>
      </c>
      <c r="L172" s="12" t="e">
        <f>'[4]#REF'!L172</f>
        <v>#REF!</v>
      </c>
      <c r="M172" s="31" t="e">
        <f>'[4]#REF'!N172</f>
        <v>#REF!</v>
      </c>
      <c r="N172" s="32" t="e">
        <f t="shared" si="8"/>
        <v>#REF!</v>
      </c>
    </row>
    <row r="173" ht="15.75" spans="1:14">
      <c r="A173" s="12" t="e">
        <f>'[4]#REF'!A173</f>
        <v>#REF!</v>
      </c>
      <c r="B173" s="12" t="e">
        <f>'[4]#REF'!B173</f>
        <v>#REF!</v>
      </c>
      <c r="C173" s="31" t="e">
        <f>'[4]#REF'!D173</f>
        <v>#REF!</v>
      </c>
      <c r="D173" s="32" t="e">
        <f t="shared" si="6"/>
        <v>#REF!</v>
      </c>
      <c r="F173" s="12" t="e">
        <f>'[4]#REF'!F173</f>
        <v>#REF!</v>
      </c>
      <c r="G173" s="12" t="e">
        <f>'[4]#REF'!G173</f>
        <v>#REF!</v>
      </c>
      <c r="H173" s="31" t="e">
        <f>'[4]#REF'!I173</f>
        <v>#REF!</v>
      </c>
      <c r="I173" s="32" t="e">
        <f t="shared" si="7"/>
        <v>#REF!</v>
      </c>
      <c r="K173" s="12" t="e">
        <f>'[4]#REF'!K173</f>
        <v>#REF!</v>
      </c>
      <c r="L173" s="12" t="e">
        <f>'[4]#REF'!L173</f>
        <v>#REF!</v>
      </c>
      <c r="M173" s="31" t="e">
        <f>'[4]#REF'!N173</f>
        <v>#REF!</v>
      </c>
      <c r="N173" s="32" t="e">
        <f t="shared" si="8"/>
        <v>#REF!</v>
      </c>
    </row>
    <row r="174" ht="15.75" spans="1:14">
      <c r="A174" s="12" t="e">
        <f>'[4]#REF'!A174</f>
        <v>#REF!</v>
      </c>
      <c r="B174" s="12" t="e">
        <f>'[4]#REF'!B174</f>
        <v>#REF!</v>
      </c>
      <c r="C174" s="31" t="e">
        <f>'[4]#REF'!D174</f>
        <v>#REF!</v>
      </c>
      <c r="D174" s="32" t="e">
        <f t="shared" si="6"/>
        <v>#REF!</v>
      </c>
      <c r="F174" s="12" t="e">
        <f>'[4]#REF'!F174</f>
        <v>#REF!</v>
      </c>
      <c r="G174" s="12" t="e">
        <f>'[4]#REF'!G174</f>
        <v>#REF!</v>
      </c>
      <c r="H174" s="31" t="e">
        <f>'[4]#REF'!I174</f>
        <v>#REF!</v>
      </c>
      <c r="I174" s="32" t="e">
        <f t="shared" si="7"/>
        <v>#REF!</v>
      </c>
      <c r="K174" s="12" t="e">
        <f>'[4]#REF'!K174</f>
        <v>#REF!</v>
      </c>
      <c r="L174" s="12" t="e">
        <f>'[4]#REF'!L174</f>
        <v>#REF!</v>
      </c>
      <c r="M174" s="31" t="e">
        <f>'[4]#REF'!N174</f>
        <v>#REF!</v>
      </c>
      <c r="N174" s="32" t="e">
        <f t="shared" si="8"/>
        <v>#REF!</v>
      </c>
    </row>
    <row r="175" ht="15.75" spans="1:14">
      <c r="A175" s="12" t="e">
        <f>'[4]#REF'!A175</f>
        <v>#REF!</v>
      </c>
      <c r="B175" s="12" t="e">
        <f>'[4]#REF'!B175</f>
        <v>#REF!</v>
      </c>
      <c r="C175" s="31" t="e">
        <f>'[4]#REF'!D175</f>
        <v>#REF!</v>
      </c>
      <c r="D175" s="32" t="e">
        <f t="shared" si="6"/>
        <v>#REF!</v>
      </c>
      <c r="F175" s="12" t="e">
        <f>'[4]#REF'!F175</f>
        <v>#REF!</v>
      </c>
      <c r="G175" s="12" t="e">
        <f>'[4]#REF'!G175</f>
        <v>#REF!</v>
      </c>
      <c r="H175" s="31" t="e">
        <f>'[4]#REF'!I175</f>
        <v>#REF!</v>
      </c>
      <c r="I175" s="32" t="e">
        <f t="shared" si="7"/>
        <v>#REF!</v>
      </c>
      <c r="K175" s="12" t="e">
        <f>'[4]#REF'!K175</f>
        <v>#REF!</v>
      </c>
      <c r="L175" s="12" t="e">
        <f>'[4]#REF'!L175</f>
        <v>#REF!</v>
      </c>
      <c r="M175" s="31" t="e">
        <f>'[4]#REF'!N175</f>
        <v>#REF!</v>
      </c>
      <c r="N175" s="32" t="e">
        <f t="shared" si="8"/>
        <v>#REF!</v>
      </c>
    </row>
    <row r="176" ht="15.75" spans="1:14">
      <c r="A176" s="12" t="e">
        <f>'[4]#REF'!A176</f>
        <v>#REF!</v>
      </c>
      <c r="B176" s="12" t="e">
        <f>'[4]#REF'!B176</f>
        <v>#REF!</v>
      </c>
      <c r="C176" s="31" t="e">
        <f>'[4]#REF'!D176</f>
        <v>#REF!</v>
      </c>
      <c r="D176" s="32" t="e">
        <f t="shared" si="6"/>
        <v>#REF!</v>
      </c>
      <c r="F176" s="12" t="e">
        <f>'[4]#REF'!F176</f>
        <v>#REF!</v>
      </c>
      <c r="G176" s="12" t="e">
        <f>'[4]#REF'!G176</f>
        <v>#REF!</v>
      </c>
      <c r="H176" s="31" t="e">
        <f>'[4]#REF'!I176</f>
        <v>#REF!</v>
      </c>
      <c r="I176" s="32" t="e">
        <f t="shared" si="7"/>
        <v>#REF!</v>
      </c>
      <c r="K176" s="12" t="e">
        <f>'[4]#REF'!K176</f>
        <v>#REF!</v>
      </c>
      <c r="L176" s="12" t="e">
        <f>'[4]#REF'!L176</f>
        <v>#REF!</v>
      </c>
      <c r="M176" s="31" t="e">
        <f>'[4]#REF'!N176</f>
        <v>#REF!</v>
      </c>
      <c r="N176" s="32" t="e">
        <f t="shared" si="8"/>
        <v>#REF!</v>
      </c>
    </row>
    <row r="177" ht="15.75" spans="1:14">
      <c r="A177" s="12" t="e">
        <f>'[4]#REF'!A177</f>
        <v>#REF!</v>
      </c>
      <c r="B177" s="12" t="e">
        <f>'[4]#REF'!B177</f>
        <v>#REF!</v>
      </c>
      <c r="C177" s="31" t="e">
        <f>'[4]#REF'!D177</f>
        <v>#REF!</v>
      </c>
      <c r="D177" s="32" t="e">
        <f t="shared" si="6"/>
        <v>#REF!</v>
      </c>
      <c r="F177" s="12" t="e">
        <f>'[4]#REF'!F177</f>
        <v>#REF!</v>
      </c>
      <c r="G177" s="12" t="e">
        <f>'[4]#REF'!G177</f>
        <v>#REF!</v>
      </c>
      <c r="H177" s="31" t="e">
        <f>'[4]#REF'!I177</f>
        <v>#REF!</v>
      </c>
      <c r="I177" s="32" t="e">
        <f t="shared" si="7"/>
        <v>#REF!</v>
      </c>
      <c r="K177" s="12" t="e">
        <f>'[4]#REF'!K177</f>
        <v>#REF!</v>
      </c>
      <c r="L177" s="12" t="e">
        <f>'[4]#REF'!L177</f>
        <v>#REF!</v>
      </c>
      <c r="M177" s="31" t="e">
        <f>'[4]#REF'!N177</f>
        <v>#REF!</v>
      </c>
      <c r="N177" s="32" t="e">
        <f t="shared" si="8"/>
        <v>#REF!</v>
      </c>
    </row>
    <row r="178" ht="15.75" spans="1:14">
      <c r="A178" s="12" t="e">
        <f>'[4]#REF'!A178</f>
        <v>#REF!</v>
      </c>
      <c r="B178" s="12" t="e">
        <f>'[4]#REF'!B178</f>
        <v>#REF!</v>
      </c>
      <c r="C178" s="31" t="e">
        <f>'[4]#REF'!D178</f>
        <v>#REF!</v>
      </c>
      <c r="D178" s="32" t="e">
        <f t="shared" si="6"/>
        <v>#REF!</v>
      </c>
      <c r="F178" s="12" t="e">
        <f>'[4]#REF'!F178</f>
        <v>#REF!</v>
      </c>
      <c r="G178" s="12" t="e">
        <f>'[4]#REF'!G178</f>
        <v>#REF!</v>
      </c>
      <c r="H178" s="31" t="e">
        <f>'[4]#REF'!I178</f>
        <v>#REF!</v>
      </c>
      <c r="I178" s="32" t="e">
        <f t="shared" si="7"/>
        <v>#REF!</v>
      </c>
      <c r="K178" s="12" t="e">
        <f>'[4]#REF'!K178</f>
        <v>#REF!</v>
      </c>
      <c r="L178" s="12" t="e">
        <f>'[4]#REF'!L178</f>
        <v>#REF!</v>
      </c>
      <c r="M178" s="31" t="e">
        <f>'[4]#REF'!N178</f>
        <v>#REF!</v>
      </c>
      <c r="N178" s="32" t="e">
        <f t="shared" si="8"/>
        <v>#REF!</v>
      </c>
    </row>
    <row r="179" ht="15.75" spans="1:14">
      <c r="A179" s="12" t="e">
        <f>'[4]#REF'!A179</f>
        <v>#REF!</v>
      </c>
      <c r="B179" s="12" t="e">
        <f>'[4]#REF'!B179</f>
        <v>#REF!</v>
      </c>
      <c r="C179" s="31" t="e">
        <f>'[4]#REF'!D179</f>
        <v>#REF!</v>
      </c>
      <c r="D179" s="32" t="e">
        <f t="shared" si="6"/>
        <v>#REF!</v>
      </c>
      <c r="F179" s="12" t="e">
        <f>'[4]#REF'!F179</f>
        <v>#REF!</v>
      </c>
      <c r="G179" s="12" t="e">
        <f>'[4]#REF'!G179</f>
        <v>#REF!</v>
      </c>
      <c r="H179" s="31" t="e">
        <f>'[4]#REF'!I179</f>
        <v>#REF!</v>
      </c>
      <c r="I179" s="32" t="e">
        <f t="shared" si="7"/>
        <v>#REF!</v>
      </c>
      <c r="K179" s="12" t="e">
        <f>'[4]#REF'!K179</f>
        <v>#REF!</v>
      </c>
      <c r="L179" s="12" t="e">
        <f>'[4]#REF'!L179</f>
        <v>#REF!</v>
      </c>
      <c r="M179" s="31" t="e">
        <f>'[4]#REF'!N179</f>
        <v>#REF!</v>
      </c>
      <c r="N179" s="32" t="e">
        <f t="shared" si="8"/>
        <v>#REF!</v>
      </c>
    </row>
    <row r="180" ht="15.75" spans="1:14">
      <c r="A180" s="12" t="e">
        <f>'[4]#REF'!A180</f>
        <v>#REF!</v>
      </c>
      <c r="B180" s="12" t="e">
        <f>'[4]#REF'!B180</f>
        <v>#REF!</v>
      </c>
      <c r="C180" s="31" t="e">
        <f>'[4]#REF'!D180</f>
        <v>#REF!</v>
      </c>
      <c r="D180" s="32" t="e">
        <f t="shared" si="6"/>
        <v>#REF!</v>
      </c>
      <c r="F180" s="12" t="e">
        <f>'[4]#REF'!F180</f>
        <v>#REF!</v>
      </c>
      <c r="G180" s="12" t="e">
        <f>'[4]#REF'!G180</f>
        <v>#REF!</v>
      </c>
      <c r="H180" s="31" t="e">
        <f>'[4]#REF'!I180</f>
        <v>#REF!</v>
      </c>
      <c r="I180" s="32" t="e">
        <f t="shared" si="7"/>
        <v>#REF!</v>
      </c>
      <c r="K180" s="12" t="e">
        <f>'[4]#REF'!K180</f>
        <v>#REF!</v>
      </c>
      <c r="L180" s="12" t="e">
        <f>'[4]#REF'!L180</f>
        <v>#REF!</v>
      </c>
      <c r="M180" s="31" t="e">
        <f>'[4]#REF'!N180</f>
        <v>#REF!</v>
      </c>
      <c r="N180" s="32" t="e">
        <f t="shared" si="8"/>
        <v>#REF!</v>
      </c>
    </row>
    <row r="181" ht="15.75" spans="1:14">
      <c r="A181" s="12" t="e">
        <f>'[4]#REF'!A181</f>
        <v>#REF!</v>
      </c>
      <c r="B181" s="12" t="e">
        <f>'[4]#REF'!B181</f>
        <v>#REF!</v>
      </c>
      <c r="C181" s="31" t="e">
        <f>'[4]#REF'!D181</f>
        <v>#REF!</v>
      </c>
      <c r="D181" s="32" t="e">
        <f t="shared" si="6"/>
        <v>#REF!</v>
      </c>
      <c r="F181" s="12" t="e">
        <f>'[4]#REF'!F181</f>
        <v>#REF!</v>
      </c>
      <c r="G181" s="12" t="e">
        <f>'[4]#REF'!G181</f>
        <v>#REF!</v>
      </c>
      <c r="H181" s="31" t="e">
        <f>'[4]#REF'!I181</f>
        <v>#REF!</v>
      </c>
      <c r="I181" s="32" t="e">
        <f t="shared" si="7"/>
        <v>#REF!</v>
      </c>
      <c r="K181" s="12" t="e">
        <f>'[4]#REF'!K181</f>
        <v>#REF!</v>
      </c>
      <c r="L181" s="12" t="e">
        <f>'[4]#REF'!L181</f>
        <v>#REF!</v>
      </c>
      <c r="M181" s="31" t="e">
        <f>'[4]#REF'!N181</f>
        <v>#REF!</v>
      </c>
      <c r="N181" s="32" t="e">
        <f t="shared" si="8"/>
        <v>#REF!</v>
      </c>
    </row>
    <row r="182" ht="15.75" spans="1:14">
      <c r="A182" s="12" t="e">
        <f>'[4]#REF'!A182</f>
        <v>#REF!</v>
      </c>
      <c r="B182" s="12" t="e">
        <f>'[4]#REF'!B182</f>
        <v>#REF!</v>
      </c>
      <c r="C182" s="31" t="e">
        <f>'[4]#REF'!D182</f>
        <v>#REF!</v>
      </c>
      <c r="D182" s="32" t="e">
        <f t="shared" si="6"/>
        <v>#REF!</v>
      </c>
      <c r="F182" s="12" t="e">
        <f>'[4]#REF'!F182</f>
        <v>#REF!</v>
      </c>
      <c r="G182" s="12" t="e">
        <f>'[4]#REF'!G182</f>
        <v>#REF!</v>
      </c>
      <c r="H182" s="31" t="e">
        <f>'[4]#REF'!I182</f>
        <v>#REF!</v>
      </c>
      <c r="I182" s="32" t="e">
        <f t="shared" si="7"/>
        <v>#REF!</v>
      </c>
      <c r="K182" s="12" t="e">
        <f>'[4]#REF'!K182</f>
        <v>#REF!</v>
      </c>
      <c r="L182" s="12" t="e">
        <f>'[4]#REF'!L182</f>
        <v>#REF!</v>
      </c>
      <c r="M182" s="31" t="e">
        <f>'[4]#REF'!N182</f>
        <v>#REF!</v>
      </c>
      <c r="N182" s="32" t="e">
        <f t="shared" si="8"/>
        <v>#REF!</v>
      </c>
    </row>
    <row r="183" ht="15.75" spans="1:14">
      <c r="A183" s="12" t="e">
        <f>'[4]#REF'!A183</f>
        <v>#REF!</v>
      </c>
      <c r="B183" s="12" t="e">
        <f>'[4]#REF'!B183</f>
        <v>#REF!</v>
      </c>
      <c r="C183" s="31" t="e">
        <f>'[4]#REF'!D183</f>
        <v>#REF!</v>
      </c>
      <c r="D183" s="32" t="e">
        <f t="shared" si="6"/>
        <v>#REF!</v>
      </c>
      <c r="F183" s="12" t="e">
        <f>'[4]#REF'!F183</f>
        <v>#REF!</v>
      </c>
      <c r="G183" s="12" t="e">
        <f>'[4]#REF'!G183</f>
        <v>#REF!</v>
      </c>
      <c r="H183" s="31" t="e">
        <f>'[4]#REF'!I183</f>
        <v>#REF!</v>
      </c>
      <c r="I183" s="32" t="e">
        <f t="shared" si="7"/>
        <v>#REF!</v>
      </c>
      <c r="K183" s="12" t="e">
        <f>'[4]#REF'!K183</f>
        <v>#REF!</v>
      </c>
      <c r="L183" s="12" t="e">
        <f>'[4]#REF'!L183</f>
        <v>#REF!</v>
      </c>
      <c r="M183" s="31" t="e">
        <f>'[4]#REF'!N183</f>
        <v>#REF!</v>
      </c>
      <c r="N183" s="32" t="e">
        <f t="shared" si="8"/>
        <v>#REF!</v>
      </c>
    </row>
    <row r="184" ht="15.75" spans="1:14">
      <c r="A184" s="12" t="e">
        <f>'[4]#REF'!A184</f>
        <v>#REF!</v>
      </c>
      <c r="B184" s="12" t="e">
        <f>'[4]#REF'!B184</f>
        <v>#REF!</v>
      </c>
      <c r="C184" s="31" t="e">
        <f>'[4]#REF'!D184</f>
        <v>#REF!</v>
      </c>
      <c r="D184" s="32" t="e">
        <f t="shared" si="6"/>
        <v>#REF!</v>
      </c>
      <c r="F184" s="12" t="e">
        <f>'[4]#REF'!F184</f>
        <v>#REF!</v>
      </c>
      <c r="G184" s="12" t="e">
        <f>'[4]#REF'!G184</f>
        <v>#REF!</v>
      </c>
      <c r="H184" s="31" t="e">
        <f>'[4]#REF'!I184</f>
        <v>#REF!</v>
      </c>
      <c r="I184" s="32" t="e">
        <f t="shared" si="7"/>
        <v>#REF!</v>
      </c>
      <c r="K184" s="12" t="e">
        <f>'[4]#REF'!K184</f>
        <v>#REF!</v>
      </c>
      <c r="L184" s="12" t="e">
        <f>'[4]#REF'!L184</f>
        <v>#REF!</v>
      </c>
      <c r="M184" s="31" t="e">
        <f>'[4]#REF'!N184</f>
        <v>#REF!</v>
      </c>
      <c r="N184" s="32" t="e">
        <f t="shared" si="8"/>
        <v>#REF!</v>
      </c>
    </row>
    <row r="185" ht="15.75" spans="1:14">
      <c r="A185" s="12" t="e">
        <f>'[4]#REF'!A185</f>
        <v>#REF!</v>
      </c>
      <c r="B185" s="12" t="e">
        <f>'[4]#REF'!B185</f>
        <v>#REF!</v>
      </c>
      <c r="C185" s="31" t="e">
        <f>'[4]#REF'!D185</f>
        <v>#REF!</v>
      </c>
      <c r="D185" s="32" t="e">
        <f t="shared" si="6"/>
        <v>#REF!</v>
      </c>
      <c r="F185" s="12" t="e">
        <f>'[4]#REF'!F185</f>
        <v>#REF!</v>
      </c>
      <c r="G185" s="12" t="e">
        <f>'[4]#REF'!G185</f>
        <v>#REF!</v>
      </c>
      <c r="H185" s="31" t="e">
        <f>'[4]#REF'!I185</f>
        <v>#REF!</v>
      </c>
      <c r="I185" s="32" t="e">
        <f t="shared" si="7"/>
        <v>#REF!</v>
      </c>
      <c r="K185" s="12" t="e">
        <f>'[4]#REF'!K185</f>
        <v>#REF!</v>
      </c>
      <c r="L185" s="12" t="e">
        <f>'[4]#REF'!L185</f>
        <v>#REF!</v>
      </c>
      <c r="M185" s="31" t="e">
        <f>'[4]#REF'!N185</f>
        <v>#REF!</v>
      </c>
      <c r="N185" s="32" t="e">
        <f t="shared" si="8"/>
        <v>#REF!</v>
      </c>
    </row>
    <row r="186" ht="15.75" spans="1:14">
      <c r="A186" s="12" t="e">
        <f>'[4]#REF'!A186</f>
        <v>#REF!</v>
      </c>
      <c r="B186" s="12" t="e">
        <f>'[4]#REF'!B186</f>
        <v>#REF!</v>
      </c>
      <c r="C186" s="31" t="e">
        <f>'[4]#REF'!D186</f>
        <v>#REF!</v>
      </c>
      <c r="D186" s="32" t="e">
        <f t="shared" si="6"/>
        <v>#REF!</v>
      </c>
      <c r="F186" s="12" t="e">
        <f>'[4]#REF'!F186</f>
        <v>#REF!</v>
      </c>
      <c r="G186" s="12" t="e">
        <f>'[4]#REF'!G186</f>
        <v>#REF!</v>
      </c>
      <c r="H186" s="31" t="e">
        <f>'[4]#REF'!I186</f>
        <v>#REF!</v>
      </c>
      <c r="I186" s="32" t="e">
        <f t="shared" si="7"/>
        <v>#REF!</v>
      </c>
      <c r="K186" s="12" t="e">
        <f>'[4]#REF'!K186</f>
        <v>#REF!</v>
      </c>
      <c r="L186" s="12" t="e">
        <f>'[4]#REF'!L186</f>
        <v>#REF!</v>
      </c>
      <c r="M186" s="31" t="e">
        <f>'[4]#REF'!N186</f>
        <v>#REF!</v>
      </c>
      <c r="N186" s="32" t="e">
        <f t="shared" si="8"/>
        <v>#REF!</v>
      </c>
    </row>
    <row r="187" ht="15.75" spans="1:14">
      <c r="A187" s="12" t="e">
        <f>'[4]#REF'!A187</f>
        <v>#REF!</v>
      </c>
      <c r="B187" s="12" t="e">
        <f>'[4]#REF'!B187</f>
        <v>#REF!</v>
      </c>
      <c r="C187" s="31" t="e">
        <f>'[4]#REF'!D187</f>
        <v>#REF!</v>
      </c>
      <c r="D187" s="32" t="e">
        <f t="shared" si="6"/>
        <v>#REF!</v>
      </c>
      <c r="F187" s="12" t="e">
        <f>'[4]#REF'!F187</f>
        <v>#REF!</v>
      </c>
      <c r="G187" s="12" t="e">
        <f>'[4]#REF'!G187</f>
        <v>#REF!</v>
      </c>
      <c r="H187" s="31" t="e">
        <f>'[4]#REF'!I187</f>
        <v>#REF!</v>
      </c>
      <c r="I187" s="32" t="e">
        <f t="shared" si="7"/>
        <v>#REF!</v>
      </c>
      <c r="K187" s="12" t="e">
        <f>'[4]#REF'!K187</f>
        <v>#REF!</v>
      </c>
      <c r="L187" s="12" t="e">
        <f>'[4]#REF'!L187</f>
        <v>#REF!</v>
      </c>
      <c r="M187" s="31" t="e">
        <f>'[4]#REF'!N187</f>
        <v>#REF!</v>
      </c>
      <c r="N187" s="32" t="e">
        <f t="shared" si="8"/>
        <v>#REF!</v>
      </c>
    </row>
    <row r="188" ht="15.75" spans="1:14">
      <c r="A188" s="12" t="e">
        <f>'[4]#REF'!A188</f>
        <v>#REF!</v>
      </c>
      <c r="B188" s="12" t="e">
        <f>'[4]#REF'!B188</f>
        <v>#REF!</v>
      </c>
      <c r="C188" s="31" t="e">
        <f>'[4]#REF'!D188</f>
        <v>#REF!</v>
      </c>
      <c r="D188" s="32" t="e">
        <f t="shared" si="6"/>
        <v>#REF!</v>
      </c>
      <c r="F188" s="12" t="e">
        <f>'[4]#REF'!F188</f>
        <v>#REF!</v>
      </c>
      <c r="G188" s="12" t="e">
        <f>'[4]#REF'!G188</f>
        <v>#REF!</v>
      </c>
      <c r="H188" s="31" t="e">
        <f>'[4]#REF'!I188</f>
        <v>#REF!</v>
      </c>
      <c r="I188" s="32" t="e">
        <f t="shared" si="7"/>
        <v>#REF!</v>
      </c>
      <c r="K188" s="12" t="e">
        <f>'[4]#REF'!K188</f>
        <v>#REF!</v>
      </c>
      <c r="L188" s="12" t="e">
        <f>'[4]#REF'!L188</f>
        <v>#REF!</v>
      </c>
      <c r="M188" s="31" t="e">
        <f>'[4]#REF'!N188</f>
        <v>#REF!</v>
      </c>
      <c r="N188" s="32" t="e">
        <f t="shared" si="8"/>
        <v>#REF!</v>
      </c>
    </row>
    <row r="189" ht="15.75" spans="1:14">
      <c r="A189" s="12" t="e">
        <f>'[4]#REF'!A189</f>
        <v>#REF!</v>
      </c>
      <c r="B189" s="12" t="e">
        <f>'[4]#REF'!B189</f>
        <v>#REF!</v>
      </c>
      <c r="C189" s="31" t="e">
        <f>'[4]#REF'!D189</f>
        <v>#REF!</v>
      </c>
      <c r="D189" s="32" t="e">
        <f t="shared" si="6"/>
        <v>#REF!</v>
      </c>
      <c r="F189" s="12" t="e">
        <f>'[4]#REF'!F189</f>
        <v>#REF!</v>
      </c>
      <c r="G189" s="12" t="e">
        <f>'[4]#REF'!G189</f>
        <v>#REF!</v>
      </c>
      <c r="H189" s="31" t="e">
        <f>'[4]#REF'!I189</f>
        <v>#REF!</v>
      </c>
      <c r="I189" s="32" t="e">
        <f t="shared" si="7"/>
        <v>#REF!</v>
      </c>
      <c r="K189" s="12" t="e">
        <f>'[4]#REF'!K189</f>
        <v>#REF!</v>
      </c>
      <c r="L189" s="12" t="e">
        <f>'[4]#REF'!L189</f>
        <v>#REF!</v>
      </c>
      <c r="M189" s="31" t="e">
        <f>'[4]#REF'!N189</f>
        <v>#REF!</v>
      </c>
      <c r="N189" s="32" t="e">
        <f t="shared" si="8"/>
        <v>#REF!</v>
      </c>
    </row>
    <row r="190" ht="15.75" spans="1:14">
      <c r="A190" s="12" t="e">
        <f>'[4]#REF'!A190</f>
        <v>#REF!</v>
      </c>
      <c r="B190" s="12" t="e">
        <f>'[4]#REF'!B190</f>
        <v>#REF!</v>
      </c>
      <c r="C190" s="31" t="e">
        <f>'[4]#REF'!D190</f>
        <v>#REF!</v>
      </c>
      <c r="D190" s="32" t="e">
        <f t="shared" si="6"/>
        <v>#REF!</v>
      </c>
      <c r="F190" s="12" t="e">
        <f>'[4]#REF'!F190</f>
        <v>#REF!</v>
      </c>
      <c r="G190" s="12" t="e">
        <f>'[4]#REF'!G190</f>
        <v>#REF!</v>
      </c>
      <c r="H190" s="31" t="e">
        <f>'[4]#REF'!I190</f>
        <v>#REF!</v>
      </c>
      <c r="I190" s="32" t="e">
        <f t="shared" si="7"/>
        <v>#REF!</v>
      </c>
      <c r="K190" s="12" t="e">
        <f>'[4]#REF'!K190</f>
        <v>#REF!</v>
      </c>
      <c r="L190" s="12" t="e">
        <f>'[4]#REF'!L190</f>
        <v>#REF!</v>
      </c>
      <c r="M190" s="31" t="e">
        <f>'[4]#REF'!N190</f>
        <v>#REF!</v>
      </c>
      <c r="N190" s="32" t="e">
        <f t="shared" si="8"/>
        <v>#REF!</v>
      </c>
    </row>
    <row r="191" ht="15.75" spans="1:14">
      <c r="A191" s="12" t="e">
        <f>'[4]#REF'!A191</f>
        <v>#REF!</v>
      </c>
      <c r="B191" s="12" t="e">
        <f>'[4]#REF'!B191</f>
        <v>#REF!</v>
      </c>
      <c r="C191" s="31" t="e">
        <f>'[4]#REF'!D191</f>
        <v>#REF!</v>
      </c>
      <c r="D191" s="32" t="e">
        <f t="shared" si="6"/>
        <v>#REF!</v>
      </c>
      <c r="F191" s="12" t="e">
        <f>'[4]#REF'!F191</f>
        <v>#REF!</v>
      </c>
      <c r="G191" s="12" t="e">
        <f>'[4]#REF'!G191</f>
        <v>#REF!</v>
      </c>
      <c r="H191" s="31" t="e">
        <f>'[4]#REF'!I191</f>
        <v>#REF!</v>
      </c>
      <c r="I191" s="32" t="e">
        <f t="shared" si="7"/>
        <v>#REF!</v>
      </c>
      <c r="K191" s="12" t="e">
        <f>'[4]#REF'!K191</f>
        <v>#REF!</v>
      </c>
      <c r="L191" s="12" t="e">
        <f>'[4]#REF'!L191</f>
        <v>#REF!</v>
      </c>
      <c r="M191" s="31" t="e">
        <f>'[4]#REF'!N191</f>
        <v>#REF!</v>
      </c>
      <c r="N191" s="32" t="e">
        <f t="shared" si="8"/>
        <v>#REF!</v>
      </c>
    </row>
    <row r="192" ht="15.75" spans="1:14">
      <c r="A192" s="12" t="e">
        <f>'[4]#REF'!A192</f>
        <v>#REF!</v>
      </c>
      <c r="B192" s="12" t="e">
        <f>'[4]#REF'!B192</f>
        <v>#REF!</v>
      </c>
      <c r="C192" s="31" t="e">
        <f>'[4]#REF'!D192</f>
        <v>#REF!</v>
      </c>
      <c r="D192" s="32" t="e">
        <f t="shared" si="6"/>
        <v>#REF!</v>
      </c>
      <c r="F192" s="12" t="e">
        <f>'[4]#REF'!F192</f>
        <v>#REF!</v>
      </c>
      <c r="G192" s="12" t="e">
        <f>'[4]#REF'!G192</f>
        <v>#REF!</v>
      </c>
      <c r="H192" s="31" t="e">
        <f>'[4]#REF'!I192</f>
        <v>#REF!</v>
      </c>
      <c r="I192" s="32" t="e">
        <f t="shared" si="7"/>
        <v>#REF!</v>
      </c>
      <c r="K192" s="12" t="e">
        <f>'[4]#REF'!K192</f>
        <v>#REF!</v>
      </c>
      <c r="L192" s="12" t="e">
        <f>'[4]#REF'!L192</f>
        <v>#REF!</v>
      </c>
      <c r="M192" s="31" t="e">
        <f>'[4]#REF'!N192</f>
        <v>#REF!</v>
      </c>
      <c r="N192" s="32" t="e">
        <f t="shared" si="8"/>
        <v>#REF!</v>
      </c>
    </row>
    <row r="193" ht="15.75" spans="1:14">
      <c r="A193" s="12" t="e">
        <f>'[4]#REF'!A193</f>
        <v>#REF!</v>
      </c>
      <c r="B193" s="12" t="e">
        <f>'[4]#REF'!B193</f>
        <v>#REF!</v>
      </c>
      <c r="C193" s="31" t="e">
        <f>'[4]#REF'!D193</f>
        <v>#REF!</v>
      </c>
      <c r="D193" s="32" t="e">
        <f t="shared" si="6"/>
        <v>#REF!</v>
      </c>
      <c r="F193" s="12" t="e">
        <f>'[4]#REF'!F193</f>
        <v>#REF!</v>
      </c>
      <c r="G193" s="12" t="e">
        <f>'[4]#REF'!G193</f>
        <v>#REF!</v>
      </c>
      <c r="H193" s="31" t="e">
        <f>'[4]#REF'!I193</f>
        <v>#REF!</v>
      </c>
      <c r="I193" s="32" t="e">
        <f t="shared" si="7"/>
        <v>#REF!</v>
      </c>
      <c r="K193" s="12" t="e">
        <f>'[4]#REF'!K193</f>
        <v>#REF!</v>
      </c>
      <c r="L193" s="12" t="e">
        <f>'[4]#REF'!L193</f>
        <v>#REF!</v>
      </c>
      <c r="M193" s="31" t="e">
        <f>'[4]#REF'!N193</f>
        <v>#REF!</v>
      </c>
      <c r="N193" s="32" t="e">
        <f t="shared" si="8"/>
        <v>#REF!</v>
      </c>
    </row>
    <row r="194" ht="15.75" spans="1:14">
      <c r="A194" s="12" t="e">
        <f>'[4]#REF'!A194</f>
        <v>#REF!</v>
      </c>
      <c r="B194" s="12" t="e">
        <f>'[4]#REF'!B194</f>
        <v>#REF!</v>
      </c>
      <c r="C194" s="31" t="e">
        <f>'[4]#REF'!D194</f>
        <v>#REF!</v>
      </c>
      <c r="D194" s="32" t="e">
        <f t="shared" si="6"/>
        <v>#REF!</v>
      </c>
      <c r="F194" s="12" t="e">
        <f>'[4]#REF'!F194</f>
        <v>#REF!</v>
      </c>
      <c r="G194" s="12" t="e">
        <f>'[4]#REF'!G194</f>
        <v>#REF!</v>
      </c>
      <c r="H194" s="31" t="e">
        <f>'[4]#REF'!I194</f>
        <v>#REF!</v>
      </c>
      <c r="I194" s="32" t="e">
        <f t="shared" si="7"/>
        <v>#REF!</v>
      </c>
      <c r="K194" s="12" t="e">
        <f>'[4]#REF'!K194</f>
        <v>#REF!</v>
      </c>
      <c r="L194" s="12" t="e">
        <f>'[4]#REF'!L194</f>
        <v>#REF!</v>
      </c>
      <c r="M194" s="31" t="e">
        <f>'[4]#REF'!N194</f>
        <v>#REF!</v>
      </c>
      <c r="N194" s="32" t="e">
        <f t="shared" si="8"/>
        <v>#REF!</v>
      </c>
    </row>
    <row r="195" ht="15.75" spans="1:14">
      <c r="A195" s="12" t="e">
        <f>'[4]#REF'!A195</f>
        <v>#REF!</v>
      </c>
      <c r="B195" s="12" t="e">
        <f>'[4]#REF'!B195</f>
        <v>#REF!</v>
      </c>
      <c r="C195" s="31" t="e">
        <f>'[4]#REF'!D195</f>
        <v>#REF!</v>
      </c>
      <c r="D195" s="32" t="e">
        <f t="shared" si="6"/>
        <v>#REF!</v>
      </c>
      <c r="F195" s="12" t="e">
        <f>'[4]#REF'!F195</f>
        <v>#REF!</v>
      </c>
      <c r="G195" s="12" t="e">
        <f>'[4]#REF'!G195</f>
        <v>#REF!</v>
      </c>
      <c r="H195" s="31" t="e">
        <f>'[4]#REF'!I195</f>
        <v>#REF!</v>
      </c>
      <c r="I195" s="32" t="e">
        <f t="shared" si="7"/>
        <v>#REF!</v>
      </c>
      <c r="K195" s="12" t="e">
        <f>'[4]#REF'!K195</f>
        <v>#REF!</v>
      </c>
      <c r="L195" s="12" t="e">
        <f>'[4]#REF'!L195</f>
        <v>#REF!</v>
      </c>
      <c r="M195" s="31" t="e">
        <f>'[4]#REF'!N195</f>
        <v>#REF!</v>
      </c>
      <c r="N195" s="32" t="e">
        <f t="shared" si="8"/>
        <v>#REF!</v>
      </c>
    </row>
    <row r="196" ht="15.75" spans="1:14">
      <c r="A196" s="12" t="e">
        <f>'[4]#REF'!A196</f>
        <v>#REF!</v>
      </c>
      <c r="B196" s="12" t="e">
        <f>'[4]#REF'!B196</f>
        <v>#REF!</v>
      </c>
      <c r="C196" s="31" t="e">
        <f>'[4]#REF'!D196</f>
        <v>#REF!</v>
      </c>
      <c r="D196" s="32" t="e">
        <f t="shared" si="6"/>
        <v>#REF!</v>
      </c>
      <c r="F196" s="12" t="e">
        <f>'[4]#REF'!F196</f>
        <v>#REF!</v>
      </c>
      <c r="G196" s="12" t="e">
        <f>'[4]#REF'!G196</f>
        <v>#REF!</v>
      </c>
      <c r="H196" s="31" t="e">
        <f>'[4]#REF'!I196</f>
        <v>#REF!</v>
      </c>
      <c r="I196" s="32" t="e">
        <f t="shared" si="7"/>
        <v>#REF!</v>
      </c>
      <c r="K196" s="12" t="e">
        <f>'[4]#REF'!K196</f>
        <v>#REF!</v>
      </c>
      <c r="L196" s="12" t="e">
        <f>'[4]#REF'!L196</f>
        <v>#REF!</v>
      </c>
      <c r="M196" s="31" t="e">
        <f>'[4]#REF'!N196</f>
        <v>#REF!</v>
      </c>
      <c r="N196" s="32" t="e">
        <f t="shared" si="8"/>
        <v>#REF!</v>
      </c>
    </row>
    <row r="197" ht="15.75" spans="1:14">
      <c r="A197" s="12" t="e">
        <f>'[4]#REF'!A197</f>
        <v>#REF!</v>
      </c>
      <c r="B197" s="12" t="e">
        <f>'[4]#REF'!B197</f>
        <v>#REF!</v>
      </c>
      <c r="C197" s="31" t="e">
        <f>'[4]#REF'!D197</f>
        <v>#REF!</v>
      </c>
      <c r="D197" s="32" t="e">
        <f t="shared" si="6"/>
        <v>#REF!</v>
      </c>
      <c r="F197" s="12" t="e">
        <f>'[4]#REF'!F197</f>
        <v>#REF!</v>
      </c>
      <c r="G197" s="12" t="e">
        <f>'[4]#REF'!G197</f>
        <v>#REF!</v>
      </c>
      <c r="H197" s="31" t="e">
        <f>'[4]#REF'!I197</f>
        <v>#REF!</v>
      </c>
      <c r="I197" s="32" t="e">
        <f t="shared" si="7"/>
        <v>#REF!</v>
      </c>
      <c r="K197" s="12" t="e">
        <f>'[4]#REF'!K197</f>
        <v>#REF!</v>
      </c>
      <c r="L197" s="12" t="e">
        <f>'[4]#REF'!L197</f>
        <v>#REF!</v>
      </c>
      <c r="M197" s="31" t="e">
        <f>'[4]#REF'!N197</f>
        <v>#REF!</v>
      </c>
      <c r="N197" s="32" t="e">
        <f t="shared" si="8"/>
        <v>#REF!</v>
      </c>
    </row>
    <row r="198" ht="15.75" spans="1:14">
      <c r="A198" s="12" t="e">
        <f>'[4]#REF'!A198</f>
        <v>#REF!</v>
      </c>
      <c r="B198" s="12" t="e">
        <f>'[4]#REF'!B198</f>
        <v>#REF!</v>
      </c>
      <c r="C198" s="31" t="e">
        <f>'[4]#REF'!D198</f>
        <v>#REF!</v>
      </c>
      <c r="D198" s="32" t="e">
        <f t="shared" ref="D198:D261" si="9">ROUND(C198/$D$4*100,2)</f>
        <v>#REF!</v>
      </c>
      <c r="F198" s="12" t="e">
        <f>'[4]#REF'!F198</f>
        <v>#REF!</v>
      </c>
      <c r="G198" s="12" t="e">
        <f>'[4]#REF'!G198</f>
        <v>#REF!</v>
      </c>
      <c r="H198" s="31" t="e">
        <f>'[4]#REF'!I198</f>
        <v>#REF!</v>
      </c>
      <c r="I198" s="32" t="e">
        <f t="shared" ref="I198:I261" si="10">ROUND(H198/$I$4*100,2)</f>
        <v>#REF!</v>
      </c>
      <c r="K198" s="12" t="e">
        <f>'[4]#REF'!K198</f>
        <v>#REF!</v>
      </c>
      <c r="L198" s="12" t="e">
        <f>'[4]#REF'!L198</f>
        <v>#REF!</v>
      </c>
      <c r="M198" s="31" t="e">
        <f>'[4]#REF'!N198</f>
        <v>#REF!</v>
      </c>
      <c r="N198" s="32" t="e">
        <f t="shared" ref="N198:N261" si="11">ROUND(M198/$N$4*100,2)</f>
        <v>#REF!</v>
      </c>
    </row>
    <row r="199" ht="15.75" spans="1:14">
      <c r="A199" s="12" t="e">
        <f>'[4]#REF'!A199</f>
        <v>#REF!</v>
      </c>
      <c r="B199" s="12" t="e">
        <f>'[4]#REF'!B199</f>
        <v>#REF!</v>
      </c>
      <c r="C199" s="31" t="e">
        <f>'[4]#REF'!D199</f>
        <v>#REF!</v>
      </c>
      <c r="D199" s="32" t="e">
        <f t="shared" si="9"/>
        <v>#REF!</v>
      </c>
      <c r="F199" s="12" t="e">
        <f>'[4]#REF'!F199</f>
        <v>#REF!</v>
      </c>
      <c r="G199" s="12" t="e">
        <f>'[4]#REF'!G199</f>
        <v>#REF!</v>
      </c>
      <c r="H199" s="31" t="e">
        <f>'[4]#REF'!I199</f>
        <v>#REF!</v>
      </c>
      <c r="I199" s="32" t="e">
        <f t="shared" si="10"/>
        <v>#REF!</v>
      </c>
      <c r="K199" s="12" t="e">
        <f>'[4]#REF'!K199</f>
        <v>#REF!</v>
      </c>
      <c r="L199" s="12" t="e">
        <f>'[4]#REF'!L199</f>
        <v>#REF!</v>
      </c>
      <c r="M199" s="31" t="e">
        <f>'[4]#REF'!N199</f>
        <v>#REF!</v>
      </c>
      <c r="N199" s="32" t="e">
        <f t="shared" si="11"/>
        <v>#REF!</v>
      </c>
    </row>
    <row r="200" ht="15.75" spans="1:14">
      <c r="A200" s="12" t="e">
        <f>'[4]#REF'!A200</f>
        <v>#REF!</v>
      </c>
      <c r="B200" s="12" t="e">
        <f>'[4]#REF'!B200</f>
        <v>#REF!</v>
      </c>
      <c r="C200" s="31" t="e">
        <f>'[4]#REF'!D200</f>
        <v>#REF!</v>
      </c>
      <c r="D200" s="32" t="e">
        <f t="shared" si="9"/>
        <v>#REF!</v>
      </c>
      <c r="F200" s="12" t="e">
        <f>'[4]#REF'!F200</f>
        <v>#REF!</v>
      </c>
      <c r="G200" s="12" t="e">
        <f>'[4]#REF'!G200</f>
        <v>#REF!</v>
      </c>
      <c r="H200" s="31" t="e">
        <f>'[4]#REF'!I200</f>
        <v>#REF!</v>
      </c>
      <c r="I200" s="32" t="e">
        <f t="shared" si="10"/>
        <v>#REF!</v>
      </c>
      <c r="K200" s="12" t="e">
        <f>'[4]#REF'!K200</f>
        <v>#REF!</v>
      </c>
      <c r="L200" s="12" t="e">
        <f>'[4]#REF'!L200</f>
        <v>#REF!</v>
      </c>
      <c r="M200" s="31" t="e">
        <f>'[4]#REF'!N200</f>
        <v>#REF!</v>
      </c>
      <c r="N200" s="32" t="e">
        <f t="shared" si="11"/>
        <v>#REF!</v>
      </c>
    </row>
    <row r="201" ht="15.75" spans="1:14">
      <c r="A201" s="12" t="e">
        <f>'[4]#REF'!A201</f>
        <v>#REF!</v>
      </c>
      <c r="B201" s="12" t="e">
        <f>'[4]#REF'!B201</f>
        <v>#REF!</v>
      </c>
      <c r="C201" s="31" t="e">
        <f>'[4]#REF'!D201</f>
        <v>#REF!</v>
      </c>
      <c r="D201" s="32" t="e">
        <f t="shared" si="9"/>
        <v>#REF!</v>
      </c>
      <c r="F201" s="12" t="e">
        <f>'[4]#REF'!F201</f>
        <v>#REF!</v>
      </c>
      <c r="G201" s="12" t="e">
        <f>'[4]#REF'!G201</f>
        <v>#REF!</v>
      </c>
      <c r="H201" s="31" t="e">
        <f>'[4]#REF'!I201</f>
        <v>#REF!</v>
      </c>
      <c r="I201" s="32" t="e">
        <f t="shared" si="10"/>
        <v>#REF!</v>
      </c>
      <c r="K201" s="12" t="e">
        <f>'[4]#REF'!K201</f>
        <v>#REF!</v>
      </c>
      <c r="L201" s="12" t="e">
        <f>'[4]#REF'!L201</f>
        <v>#REF!</v>
      </c>
      <c r="M201" s="31" t="e">
        <f>'[4]#REF'!N201</f>
        <v>#REF!</v>
      </c>
      <c r="N201" s="32" t="e">
        <f t="shared" si="11"/>
        <v>#REF!</v>
      </c>
    </row>
    <row r="202" ht="15.75" spans="1:14">
      <c r="A202" s="12" t="e">
        <f>'[4]#REF'!A202</f>
        <v>#REF!</v>
      </c>
      <c r="B202" s="12" t="e">
        <f>'[4]#REF'!B202</f>
        <v>#REF!</v>
      </c>
      <c r="C202" s="31" t="e">
        <f>'[4]#REF'!D202</f>
        <v>#REF!</v>
      </c>
      <c r="D202" s="32" t="e">
        <f t="shared" si="9"/>
        <v>#REF!</v>
      </c>
      <c r="F202" s="12" t="e">
        <f>'[4]#REF'!F202</f>
        <v>#REF!</v>
      </c>
      <c r="G202" s="12" t="e">
        <f>'[4]#REF'!G202</f>
        <v>#REF!</v>
      </c>
      <c r="H202" s="31" t="e">
        <f>'[4]#REF'!I202</f>
        <v>#REF!</v>
      </c>
      <c r="I202" s="32" t="e">
        <f t="shared" si="10"/>
        <v>#REF!</v>
      </c>
      <c r="K202" s="12" t="e">
        <f>'[4]#REF'!K202</f>
        <v>#REF!</v>
      </c>
      <c r="L202" s="12" t="e">
        <f>'[4]#REF'!L202</f>
        <v>#REF!</v>
      </c>
      <c r="M202" s="31" t="e">
        <f>'[4]#REF'!N202</f>
        <v>#REF!</v>
      </c>
      <c r="N202" s="32" t="e">
        <f t="shared" si="11"/>
        <v>#REF!</v>
      </c>
    </row>
    <row r="203" ht="15.75" spans="1:14">
      <c r="A203" s="12" t="e">
        <f>'[4]#REF'!A203</f>
        <v>#REF!</v>
      </c>
      <c r="B203" s="12" t="e">
        <f>'[4]#REF'!B203</f>
        <v>#REF!</v>
      </c>
      <c r="C203" s="31" t="e">
        <f>'[4]#REF'!D203</f>
        <v>#REF!</v>
      </c>
      <c r="D203" s="32" t="e">
        <f t="shared" si="9"/>
        <v>#REF!</v>
      </c>
      <c r="F203" s="12" t="e">
        <f>'[4]#REF'!F203</f>
        <v>#REF!</v>
      </c>
      <c r="G203" s="12" t="e">
        <f>'[4]#REF'!G203</f>
        <v>#REF!</v>
      </c>
      <c r="H203" s="31" t="e">
        <f>'[4]#REF'!I203</f>
        <v>#REF!</v>
      </c>
      <c r="I203" s="32" t="e">
        <f t="shared" si="10"/>
        <v>#REF!</v>
      </c>
      <c r="K203" s="12" t="e">
        <f>'[4]#REF'!K203</f>
        <v>#REF!</v>
      </c>
      <c r="L203" s="12" t="e">
        <f>'[4]#REF'!L203</f>
        <v>#REF!</v>
      </c>
      <c r="M203" s="31" t="e">
        <f>'[4]#REF'!N203</f>
        <v>#REF!</v>
      </c>
      <c r="N203" s="32" t="e">
        <f t="shared" si="11"/>
        <v>#REF!</v>
      </c>
    </row>
    <row r="204" ht="15.75" spans="1:14">
      <c r="A204" s="12" t="e">
        <f>'[4]#REF'!A204</f>
        <v>#REF!</v>
      </c>
      <c r="B204" s="12" t="e">
        <f>'[4]#REF'!B204</f>
        <v>#REF!</v>
      </c>
      <c r="C204" s="31" t="e">
        <f>'[4]#REF'!D204</f>
        <v>#REF!</v>
      </c>
      <c r="D204" s="32" t="e">
        <f t="shared" si="9"/>
        <v>#REF!</v>
      </c>
      <c r="F204" s="12" t="e">
        <f>'[4]#REF'!F204</f>
        <v>#REF!</v>
      </c>
      <c r="G204" s="12" t="e">
        <f>'[4]#REF'!G204</f>
        <v>#REF!</v>
      </c>
      <c r="H204" s="31" t="e">
        <f>'[4]#REF'!I204</f>
        <v>#REF!</v>
      </c>
      <c r="I204" s="32" t="e">
        <f t="shared" si="10"/>
        <v>#REF!</v>
      </c>
      <c r="K204" s="12" t="e">
        <f>'[4]#REF'!K204</f>
        <v>#REF!</v>
      </c>
      <c r="L204" s="12" t="e">
        <f>'[4]#REF'!L204</f>
        <v>#REF!</v>
      </c>
      <c r="M204" s="31" t="e">
        <f>'[4]#REF'!N204</f>
        <v>#REF!</v>
      </c>
      <c r="N204" s="32" t="e">
        <f t="shared" si="11"/>
        <v>#REF!</v>
      </c>
    </row>
    <row r="205" ht="15.75" spans="1:14">
      <c r="A205" s="12" t="e">
        <f>'[4]#REF'!A205</f>
        <v>#REF!</v>
      </c>
      <c r="B205" s="12" t="e">
        <f>'[4]#REF'!B205</f>
        <v>#REF!</v>
      </c>
      <c r="C205" s="31" t="e">
        <f>'[4]#REF'!D205</f>
        <v>#REF!</v>
      </c>
      <c r="D205" s="32" t="e">
        <f t="shared" si="9"/>
        <v>#REF!</v>
      </c>
      <c r="F205" s="12" t="e">
        <f>'[4]#REF'!F205</f>
        <v>#REF!</v>
      </c>
      <c r="G205" s="12" t="e">
        <f>'[4]#REF'!G205</f>
        <v>#REF!</v>
      </c>
      <c r="H205" s="31" t="e">
        <f>'[4]#REF'!I205</f>
        <v>#REF!</v>
      </c>
      <c r="I205" s="32" t="e">
        <f t="shared" si="10"/>
        <v>#REF!</v>
      </c>
      <c r="K205" s="12" t="e">
        <f>'[4]#REF'!K205</f>
        <v>#REF!</v>
      </c>
      <c r="L205" s="12" t="e">
        <f>'[4]#REF'!L205</f>
        <v>#REF!</v>
      </c>
      <c r="M205" s="31" t="e">
        <f>'[4]#REF'!N205</f>
        <v>#REF!</v>
      </c>
      <c r="N205" s="32" t="e">
        <f t="shared" si="11"/>
        <v>#REF!</v>
      </c>
    </row>
    <row r="206" ht="15.75" spans="1:14">
      <c r="A206" s="12" t="e">
        <f>'[4]#REF'!A206</f>
        <v>#REF!</v>
      </c>
      <c r="B206" s="12" t="e">
        <f>'[4]#REF'!B206</f>
        <v>#REF!</v>
      </c>
      <c r="C206" s="31" t="e">
        <f>'[4]#REF'!D206</f>
        <v>#REF!</v>
      </c>
      <c r="D206" s="32" t="e">
        <f t="shared" si="9"/>
        <v>#REF!</v>
      </c>
      <c r="F206" s="12" t="e">
        <f>'[4]#REF'!F206</f>
        <v>#REF!</v>
      </c>
      <c r="G206" s="12" t="e">
        <f>'[4]#REF'!G206</f>
        <v>#REF!</v>
      </c>
      <c r="H206" s="31" t="e">
        <f>'[4]#REF'!I206</f>
        <v>#REF!</v>
      </c>
      <c r="I206" s="32" t="e">
        <f t="shared" si="10"/>
        <v>#REF!</v>
      </c>
      <c r="K206" s="12" t="e">
        <f>'[4]#REF'!K206</f>
        <v>#REF!</v>
      </c>
      <c r="L206" s="12" t="e">
        <f>'[4]#REF'!L206</f>
        <v>#REF!</v>
      </c>
      <c r="M206" s="31" t="e">
        <f>'[4]#REF'!N206</f>
        <v>#REF!</v>
      </c>
      <c r="N206" s="32" t="e">
        <f t="shared" si="11"/>
        <v>#REF!</v>
      </c>
    </row>
    <row r="207" ht="15.75" spans="1:14">
      <c r="A207" s="12" t="e">
        <f>'[4]#REF'!A207</f>
        <v>#REF!</v>
      </c>
      <c r="B207" s="12" t="e">
        <f>'[4]#REF'!B207</f>
        <v>#REF!</v>
      </c>
      <c r="C207" s="31" t="e">
        <f>'[4]#REF'!D207</f>
        <v>#REF!</v>
      </c>
      <c r="D207" s="32" t="e">
        <f t="shared" si="9"/>
        <v>#REF!</v>
      </c>
      <c r="F207" s="12" t="e">
        <f>'[4]#REF'!F207</f>
        <v>#REF!</v>
      </c>
      <c r="G207" s="12" t="e">
        <f>'[4]#REF'!G207</f>
        <v>#REF!</v>
      </c>
      <c r="H207" s="31" t="e">
        <f>'[4]#REF'!I207</f>
        <v>#REF!</v>
      </c>
      <c r="I207" s="32" t="e">
        <f t="shared" si="10"/>
        <v>#REF!</v>
      </c>
      <c r="K207" s="12" t="e">
        <f>'[4]#REF'!K207</f>
        <v>#REF!</v>
      </c>
      <c r="L207" s="12" t="e">
        <f>'[4]#REF'!L207</f>
        <v>#REF!</v>
      </c>
      <c r="M207" s="31" t="e">
        <f>'[4]#REF'!N207</f>
        <v>#REF!</v>
      </c>
      <c r="N207" s="32" t="e">
        <f t="shared" si="11"/>
        <v>#REF!</v>
      </c>
    </row>
    <row r="208" ht="15.75" spans="1:14">
      <c r="A208" s="12" t="e">
        <f>'[4]#REF'!A208</f>
        <v>#REF!</v>
      </c>
      <c r="B208" s="12" t="e">
        <f>'[4]#REF'!B208</f>
        <v>#REF!</v>
      </c>
      <c r="C208" s="31" t="e">
        <f>'[4]#REF'!D208</f>
        <v>#REF!</v>
      </c>
      <c r="D208" s="32" t="e">
        <f t="shared" si="9"/>
        <v>#REF!</v>
      </c>
      <c r="F208" s="12" t="e">
        <f>'[4]#REF'!F208</f>
        <v>#REF!</v>
      </c>
      <c r="G208" s="12" t="e">
        <f>'[4]#REF'!G208</f>
        <v>#REF!</v>
      </c>
      <c r="H208" s="31" t="e">
        <f>'[4]#REF'!I208</f>
        <v>#REF!</v>
      </c>
      <c r="I208" s="32" t="e">
        <f t="shared" si="10"/>
        <v>#REF!</v>
      </c>
      <c r="K208" s="12" t="e">
        <f>'[4]#REF'!K208</f>
        <v>#REF!</v>
      </c>
      <c r="L208" s="12" t="e">
        <f>'[4]#REF'!L208</f>
        <v>#REF!</v>
      </c>
      <c r="M208" s="31" t="e">
        <f>'[4]#REF'!N208</f>
        <v>#REF!</v>
      </c>
      <c r="N208" s="32" t="e">
        <f t="shared" si="11"/>
        <v>#REF!</v>
      </c>
    </row>
    <row r="209" ht="15.75" spans="1:14">
      <c r="A209" s="12" t="e">
        <f>'[4]#REF'!A209</f>
        <v>#REF!</v>
      </c>
      <c r="B209" s="12" t="e">
        <f>'[4]#REF'!B209</f>
        <v>#REF!</v>
      </c>
      <c r="C209" s="31" t="e">
        <f>'[4]#REF'!D209</f>
        <v>#REF!</v>
      </c>
      <c r="D209" s="32" t="e">
        <f t="shared" si="9"/>
        <v>#REF!</v>
      </c>
      <c r="F209" s="12" t="e">
        <f>'[4]#REF'!F209</f>
        <v>#REF!</v>
      </c>
      <c r="G209" s="12" t="e">
        <f>'[4]#REF'!G209</f>
        <v>#REF!</v>
      </c>
      <c r="H209" s="31" t="e">
        <f>'[4]#REF'!I209</f>
        <v>#REF!</v>
      </c>
      <c r="I209" s="32" t="e">
        <f t="shared" si="10"/>
        <v>#REF!</v>
      </c>
      <c r="K209" s="12" t="e">
        <f>'[4]#REF'!K209</f>
        <v>#REF!</v>
      </c>
      <c r="L209" s="12" t="e">
        <f>'[4]#REF'!L209</f>
        <v>#REF!</v>
      </c>
      <c r="M209" s="31" t="e">
        <f>'[4]#REF'!N209</f>
        <v>#REF!</v>
      </c>
      <c r="N209" s="32" t="e">
        <f t="shared" si="11"/>
        <v>#REF!</v>
      </c>
    </row>
    <row r="210" ht="15.75" spans="1:14">
      <c r="A210" s="12" t="e">
        <f>'[4]#REF'!A210</f>
        <v>#REF!</v>
      </c>
      <c r="B210" s="12" t="e">
        <f>'[4]#REF'!B210</f>
        <v>#REF!</v>
      </c>
      <c r="C210" s="31" t="e">
        <f>'[4]#REF'!D210</f>
        <v>#REF!</v>
      </c>
      <c r="D210" s="32" t="e">
        <f t="shared" si="9"/>
        <v>#REF!</v>
      </c>
      <c r="F210" s="12" t="e">
        <f>'[4]#REF'!F210</f>
        <v>#REF!</v>
      </c>
      <c r="G210" s="12" t="e">
        <f>'[4]#REF'!G210</f>
        <v>#REF!</v>
      </c>
      <c r="H210" s="31" t="e">
        <f>'[4]#REF'!I210</f>
        <v>#REF!</v>
      </c>
      <c r="I210" s="32" t="e">
        <f t="shared" si="10"/>
        <v>#REF!</v>
      </c>
      <c r="K210" s="12" t="e">
        <f>'[4]#REF'!K210</f>
        <v>#REF!</v>
      </c>
      <c r="L210" s="12" t="e">
        <f>'[4]#REF'!L210</f>
        <v>#REF!</v>
      </c>
      <c r="M210" s="31" t="e">
        <f>'[4]#REF'!N210</f>
        <v>#REF!</v>
      </c>
      <c r="N210" s="32" t="e">
        <f t="shared" si="11"/>
        <v>#REF!</v>
      </c>
    </row>
    <row r="211" ht="15.75" spans="1:14">
      <c r="A211" s="12" t="e">
        <f>'[4]#REF'!A211</f>
        <v>#REF!</v>
      </c>
      <c r="B211" s="12" t="e">
        <f>'[4]#REF'!B211</f>
        <v>#REF!</v>
      </c>
      <c r="C211" s="31" t="e">
        <f>'[4]#REF'!D211</f>
        <v>#REF!</v>
      </c>
      <c r="D211" s="32" t="e">
        <f t="shared" si="9"/>
        <v>#REF!</v>
      </c>
      <c r="F211" s="12" t="e">
        <f>'[4]#REF'!F211</f>
        <v>#REF!</v>
      </c>
      <c r="G211" s="12" t="e">
        <f>'[4]#REF'!G211</f>
        <v>#REF!</v>
      </c>
      <c r="H211" s="31" t="e">
        <f>'[4]#REF'!I211</f>
        <v>#REF!</v>
      </c>
      <c r="I211" s="32" t="e">
        <f t="shared" si="10"/>
        <v>#REF!</v>
      </c>
      <c r="K211" s="12" t="e">
        <f>'[4]#REF'!K211</f>
        <v>#REF!</v>
      </c>
      <c r="L211" s="12" t="e">
        <f>'[4]#REF'!L211</f>
        <v>#REF!</v>
      </c>
      <c r="M211" s="31" t="e">
        <f>'[4]#REF'!N211</f>
        <v>#REF!</v>
      </c>
      <c r="N211" s="32" t="e">
        <f t="shared" si="11"/>
        <v>#REF!</v>
      </c>
    </row>
    <row r="212" ht="15.75" spans="1:14">
      <c r="A212" s="12" t="e">
        <f>'[4]#REF'!A212</f>
        <v>#REF!</v>
      </c>
      <c r="B212" s="12" t="e">
        <f>'[4]#REF'!B212</f>
        <v>#REF!</v>
      </c>
      <c r="C212" s="31" t="e">
        <f>'[4]#REF'!D212</f>
        <v>#REF!</v>
      </c>
      <c r="D212" s="32" t="e">
        <f t="shared" si="9"/>
        <v>#REF!</v>
      </c>
      <c r="F212" s="12" t="e">
        <f>'[4]#REF'!F212</f>
        <v>#REF!</v>
      </c>
      <c r="G212" s="12" t="e">
        <f>'[4]#REF'!G212</f>
        <v>#REF!</v>
      </c>
      <c r="H212" s="31" t="e">
        <f>'[4]#REF'!I212</f>
        <v>#REF!</v>
      </c>
      <c r="I212" s="32" t="e">
        <f t="shared" si="10"/>
        <v>#REF!</v>
      </c>
      <c r="K212" s="12" t="e">
        <f>'[4]#REF'!K212</f>
        <v>#REF!</v>
      </c>
      <c r="L212" s="12" t="e">
        <f>'[4]#REF'!L212</f>
        <v>#REF!</v>
      </c>
      <c r="M212" s="31" t="e">
        <f>'[4]#REF'!N212</f>
        <v>#REF!</v>
      </c>
      <c r="N212" s="32" t="e">
        <f t="shared" si="11"/>
        <v>#REF!</v>
      </c>
    </row>
    <row r="213" ht="15.75" spans="1:14">
      <c r="A213" s="12" t="e">
        <f>'[4]#REF'!A213</f>
        <v>#REF!</v>
      </c>
      <c r="B213" s="12" t="e">
        <f>'[4]#REF'!B213</f>
        <v>#REF!</v>
      </c>
      <c r="C213" s="31" t="e">
        <f>'[4]#REF'!D213</f>
        <v>#REF!</v>
      </c>
      <c r="D213" s="32" t="e">
        <f t="shared" si="9"/>
        <v>#REF!</v>
      </c>
      <c r="F213" s="12" t="e">
        <f>'[4]#REF'!F213</f>
        <v>#REF!</v>
      </c>
      <c r="G213" s="12" t="e">
        <f>'[4]#REF'!G213</f>
        <v>#REF!</v>
      </c>
      <c r="H213" s="31" t="e">
        <f>'[4]#REF'!I213</f>
        <v>#REF!</v>
      </c>
      <c r="I213" s="32" t="e">
        <f t="shared" si="10"/>
        <v>#REF!</v>
      </c>
      <c r="K213" s="12" t="e">
        <f>'[4]#REF'!K213</f>
        <v>#REF!</v>
      </c>
      <c r="L213" s="12" t="e">
        <f>'[4]#REF'!L213</f>
        <v>#REF!</v>
      </c>
      <c r="M213" s="31" t="e">
        <f>'[4]#REF'!N213</f>
        <v>#REF!</v>
      </c>
      <c r="N213" s="32" t="e">
        <f t="shared" si="11"/>
        <v>#REF!</v>
      </c>
    </row>
    <row r="214" ht="15.75" spans="1:14">
      <c r="A214" s="12" t="e">
        <f>'[4]#REF'!A214</f>
        <v>#REF!</v>
      </c>
      <c r="B214" s="12" t="e">
        <f>'[4]#REF'!B214</f>
        <v>#REF!</v>
      </c>
      <c r="C214" s="31" t="e">
        <f>'[4]#REF'!D214</f>
        <v>#REF!</v>
      </c>
      <c r="D214" s="32" t="e">
        <f t="shared" si="9"/>
        <v>#REF!</v>
      </c>
      <c r="F214" s="12" t="e">
        <f>'[4]#REF'!F214</f>
        <v>#REF!</v>
      </c>
      <c r="G214" s="12" t="e">
        <f>'[4]#REF'!G214</f>
        <v>#REF!</v>
      </c>
      <c r="H214" s="31" t="e">
        <f>'[4]#REF'!I214</f>
        <v>#REF!</v>
      </c>
      <c r="I214" s="32" t="e">
        <f t="shared" si="10"/>
        <v>#REF!</v>
      </c>
      <c r="K214" s="12" t="e">
        <f>'[4]#REF'!K214</f>
        <v>#REF!</v>
      </c>
      <c r="L214" s="12" t="e">
        <f>'[4]#REF'!L214</f>
        <v>#REF!</v>
      </c>
      <c r="M214" s="31" t="e">
        <f>'[4]#REF'!N214</f>
        <v>#REF!</v>
      </c>
      <c r="N214" s="32" t="e">
        <f t="shared" si="11"/>
        <v>#REF!</v>
      </c>
    </row>
    <row r="215" ht="15.75" spans="1:14">
      <c r="A215" s="12" t="e">
        <f>'[4]#REF'!A215</f>
        <v>#REF!</v>
      </c>
      <c r="B215" s="12" t="e">
        <f>'[4]#REF'!B215</f>
        <v>#REF!</v>
      </c>
      <c r="C215" s="31" t="e">
        <f>'[4]#REF'!D215</f>
        <v>#REF!</v>
      </c>
      <c r="D215" s="32" t="e">
        <f t="shared" si="9"/>
        <v>#REF!</v>
      </c>
      <c r="F215" s="12" t="e">
        <f>'[4]#REF'!F215</f>
        <v>#REF!</v>
      </c>
      <c r="G215" s="12" t="e">
        <f>'[4]#REF'!G215</f>
        <v>#REF!</v>
      </c>
      <c r="H215" s="31" t="e">
        <f>'[4]#REF'!I215</f>
        <v>#REF!</v>
      </c>
      <c r="I215" s="32" t="e">
        <f t="shared" si="10"/>
        <v>#REF!</v>
      </c>
      <c r="K215" s="12" t="e">
        <f>'[4]#REF'!K215</f>
        <v>#REF!</v>
      </c>
      <c r="L215" s="12" t="e">
        <f>'[4]#REF'!L215</f>
        <v>#REF!</v>
      </c>
      <c r="M215" s="31" t="e">
        <f>'[4]#REF'!N215</f>
        <v>#REF!</v>
      </c>
      <c r="N215" s="32" t="e">
        <f t="shared" si="11"/>
        <v>#REF!</v>
      </c>
    </row>
    <row r="216" ht="15.75" spans="1:14">
      <c r="A216" s="12" t="e">
        <f>'[4]#REF'!A216</f>
        <v>#REF!</v>
      </c>
      <c r="B216" s="12" t="e">
        <f>'[4]#REF'!B216</f>
        <v>#REF!</v>
      </c>
      <c r="C216" s="31" t="e">
        <f>'[4]#REF'!D216</f>
        <v>#REF!</v>
      </c>
      <c r="D216" s="32" t="e">
        <f t="shared" si="9"/>
        <v>#REF!</v>
      </c>
      <c r="F216" s="12" t="e">
        <f>'[4]#REF'!F216</f>
        <v>#REF!</v>
      </c>
      <c r="G216" s="12" t="e">
        <f>'[4]#REF'!G216</f>
        <v>#REF!</v>
      </c>
      <c r="H216" s="31" t="e">
        <f>'[4]#REF'!I216</f>
        <v>#REF!</v>
      </c>
      <c r="I216" s="32" t="e">
        <f t="shared" si="10"/>
        <v>#REF!</v>
      </c>
      <c r="K216" s="12" t="e">
        <f>'[4]#REF'!K216</f>
        <v>#REF!</v>
      </c>
      <c r="L216" s="12" t="e">
        <f>'[4]#REF'!L216</f>
        <v>#REF!</v>
      </c>
      <c r="M216" s="31" t="e">
        <f>'[4]#REF'!N216</f>
        <v>#REF!</v>
      </c>
      <c r="N216" s="32" t="e">
        <f t="shared" si="11"/>
        <v>#REF!</v>
      </c>
    </row>
    <row r="217" ht="15.75" spans="1:14">
      <c r="A217" s="12" t="e">
        <f>'[4]#REF'!A217</f>
        <v>#REF!</v>
      </c>
      <c r="B217" s="12" t="e">
        <f>'[4]#REF'!B217</f>
        <v>#REF!</v>
      </c>
      <c r="C217" s="31" t="e">
        <f>'[4]#REF'!D217</f>
        <v>#REF!</v>
      </c>
      <c r="D217" s="32" t="e">
        <f t="shared" si="9"/>
        <v>#REF!</v>
      </c>
      <c r="F217" s="12" t="e">
        <f>'[4]#REF'!F217</f>
        <v>#REF!</v>
      </c>
      <c r="G217" s="12" t="e">
        <f>'[4]#REF'!G217</f>
        <v>#REF!</v>
      </c>
      <c r="H217" s="31" t="e">
        <f>'[4]#REF'!I217</f>
        <v>#REF!</v>
      </c>
      <c r="I217" s="32" t="e">
        <f t="shared" si="10"/>
        <v>#REF!</v>
      </c>
      <c r="K217" s="12" t="e">
        <f>'[4]#REF'!K217</f>
        <v>#REF!</v>
      </c>
      <c r="L217" s="12" t="e">
        <f>'[4]#REF'!L217</f>
        <v>#REF!</v>
      </c>
      <c r="M217" s="31" t="e">
        <f>'[4]#REF'!N217</f>
        <v>#REF!</v>
      </c>
      <c r="N217" s="32" t="e">
        <f t="shared" si="11"/>
        <v>#REF!</v>
      </c>
    </row>
    <row r="218" ht="15.75" spans="1:14">
      <c r="A218" s="12" t="e">
        <f>'[4]#REF'!A218</f>
        <v>#REF!</v>
      </c>
      <c r="B218" s="12" t="e">
        <f>'[4]#REF'!B218</f>
        <v>#REF!</v>
      </c>
      <c r="C218" s="31" t="e">
        <f>'[4]#REF'!D218</f>
        <v>#REF!</v>
      </c>
      <c r="D218" s="32" t="e">
        <f t="shared" si="9"/>
        <v>#REF!</v>
      </c>
      <c r="F218" s="12" t="e">
        <f>'[4]#REF'!F218</f>
        <v>#REF!</v>
      </c>
      <c r="G218" s="12" t="e">
        <f>'[4]#REF'!G218</f>
        <v>#REF!</v>
      </c>
      <c r="H218" s="31" t="e">
        <f>'[4]#REF'!I218</f>
        <v>#REF!</v>
      </c>
      <c r="I218" s="32" t="e">
        <f t="shared" si="10"/>
        <v>#REF!</v>
      </c>
      <c r="K218" s="12" t="e">
        <f>'[4]#REF'!K218</f>
        <v>#REF!</v>
      </c>
      <c r="L218" s="12" t="e">
        <f>'[4]#REF'!L218</f>
        <v>#REF!</v>
      </c>
      <c r="M218" s="31" t="e">
        <f>'[4]#REF'!N218</f>
        <v>#REF!</v>
      </c>
      <c r="N218" s="32" t="e">
        <f t="shared" si="11"/>
        <v>#REF!</v>
      </c>
    </row>
    <row r="219" ht="15.75" spans="1:14">
      <c r="A219" s="12" t="e">
        <f>'[4]#REF'!A219</f>
        <v>#REF!</v>
      </c>
      <c r="B219" s="12" t="e">
        <f>'[4]#REF'!B219</f>
        <v>#REF!</v>
      </c>
      <c r="C219" s="31" t="e">
        <f>'[4]#REF'!D219</f>
        <v>#REF!</v>
      </c>
      <c r="D219" s="32" t="e">
        <f t="shared" si="9"/>
        <v>#REF!</v>
      </c>
      <c r="F219" s="12" t="e">
        <f>'[4]#REF'!F219</f>
        <v>#REF!</v>
      </c>
      <c r="G219" s="12" t="e">
        <f>'[4]#REF'!G219</f>
        <v>#REF!</v>
      </c>
      <c r="H219" s="31" t="e">
        <f>'[4]#REF'!I219</f>
        <v>#REF!</v>
      </c>
      <c r="I219" s="32" t="e">
        <f t="shared" si="10"/>
        <v>#REF!</v>
      </c>
      <c r="K219" s="12" t="e">
        <f>'[4]#REF'!K219</f>
        <v>#REF!</v>
      </c>
      <c r="L219" s="12" t="e">
        <f>'[4]#REF'!L219</f>
        <v>#REF!</v>
      </c>
      <c r="M219" s="31" t="e">
        <f>'[4]#REF'!N219</f>
        <v>#REF!</v>
      </c>
      <c r="N219" s="32" t="e">
        <f t="shared" si="11"/>
        <v>#REF!</v>
      </c>
    </row>
    <row r="220" ht="15.75" spans="1:14">
      <c r="A220" s="12" t="e">
        <f>'[4]#REF'!A220</f>
        <v>#REF!</v>
      </c>
      <c r="B220" s="12" t="e">
        <f>'[4]#REF'!B220</f>
        <v>#REF!</v>
      </c>
      <c r="C220" s="31" t="e">
        <f>'[4]#REF'!D220</f>
        <v>#REF!</v>
      </c>
      <c r="D220" s="32" t="e">
        <f t="shared" si="9"/>
        <v>#REF!</v>
      </c>
      <c r="F220" s="12" t="e">
        <f>'[4]#REF'!F220</f>
        <v>#REF!</v>
      </c>
      <c r="G220" s="12" t="e">
        <f>'[4]#REF'!G220</f>
        <v>#REF!</v>
      </c>
      <c r="H220" s="31" t="e">
        <f>'[4]#REF'!I220</f>
        <v>#REF!</v>
      </c>
      <c r="I220" s="32" t="e">
        <f t="shared" si="10"/>
        <v>#REF!</v>
      </c>
      <c r="K220" s="12" t="e">
        <f>'[4]#REF'!K220</f>
        <v>#REF!</v>
      </c>
      <c r="L220" s="12" t="e">
        <f>'[4]#REF'!L220</f>
        <v>#REF!</v>
      </c>
      <c r="M220" s="31" t="e">
        <f>'[4]#REF'!N220</f>
        <v>#REF!</v>
      </c>
      <c r="N220" s="32" t="e">
        <f t="shared" si="11"/>
        <v>#REF!</v>
      </c>
    </row>
    <row r="221" ht="15.75" spans="1:14">
      <c r="A221" s="12" t="e">
        <f>'[4]#REF'!A221</f>
        <v>#REF!</v>
      </c>
      <c r="B221" s="12" t="e">
        <f>'[4]#REF'!B221</f>
        <v>#REF!</v>
      </c>
      <c r="C221" s="31" t="e">
        <f>'[4]#REF'!D221</f>
        <v>#REF!</v>
      </c>
      <c r="D221" s="32" t="e">
        <f t="shared" si="9"/>
        <v>#REF!</v>
      </c>
      <c r="F221" s="12" t="e">
        <f>'[4]#REF'!F221</f>
        <v>#REF!</v>
      </c>
      <c r="G221" s="12" t="e">
        <f>'[4]#REF'!G221</f>
        <v>#REF!</v>
      </c>
      <c r="H221" s="31" t="e">
        <f>'[4]#REF'!I221</f>
        <v>#REF!</v>
      </c>
      <c r="I221" s="32" t="e">
        <f t="shared" si="10"/>
        <v>#REF!</v>
      </c>
      <c r="K221" s="12" t="e">
        <f>'[4]#REF'!K221</f>
        <v>#REF!</v>
      </c>
      <c r="L221" s="12" t="e">
        <f>'[4]#REF'!L221</f>
        <v>#REF!</v>
      </c>
      <c r="M221" s="31" t="e">
        <f>'[4]#REF'!N221</f>
        <v>#REF!</v>
      </c>
      <c r="N221" s="32" t="e">
        <f t="shared" si="11"/>
        <v>#REF!</v>
      </c>
    </row>
    <row r="222" ht="15.75" spans="1:14">
      <c r="A222" s="12" t="e">
        <f>'[4]#REF'!A222</f>
        <v>#REF!</v>
      </c>
      <c r="B222" s="12" t="e">
        <f>'[4]#REF'!B222</f>
        <v>#REF!</v>
      </c>
      <c r="C222" s="31" t="e">
        <f>'[4]#REF'!D222</f>
        <v>#REF!</v>
      </c>
      <c r="D222" s="32" t="e">
        <f t="shared" si="9"/>
        <v>#REF!</v>
      </c>
      <c r="F222" s="12" t="e">
        <f>'[4]#REF'!F222</f>
        <v>#REF!</v>
      </c>
      <c r="G222" s="12" t="e">
        <f>'[4]#REF'!G222</f>
        <v>#REF!</v>
      </c>
      <c r="H222" s="31" t="e">
        <f>'[4]#REF'!I222</f>
        <v>#REF!</v>
      </c>
      <c r="I222" s="32" t="e">
        <f t="shared" si="10"/>
        <v>#REF!</v>
      </c>
      <c r="K222" s="12" t="e">
        <f>'[4]#REF'!K222</f>
        <v>#REF!</v>
      </c>
      <c r="L222" s="12" t="e">
        <f>'[4]#REF'!L222</f>
        <v>#REF!</v>
      </c>
      <c r="M222" s="31" t="e">
        <f>'[4]#REF'!N222</f>
        <v>#REF!</v>
      </c>
      <c r="N222" s="32" t="e">
        <f t="shared" si="11"/>
        <v>#REF!</v>
      </c>
    </row>
    <row r="223" ht="15.75" spans="1:14">
      <c r="A223" s="12" t="e">
        <f>'[4]#REF'!A223</f>
        <v>#REF!</v>
      </c>
      <c r="B223" s="12" t="e">
        <f>'[4]#REF'!B223</f>
        <v>#REF!</v>
      </c>
      <c r="C223" s="31" t="e">
        <f>'[4]#REF'!D223</f>
        <v>#REF!</v>
      </c>
      <c r="D223" s="32" t="e">
        <f t="shared" si="9"/>
        <v>#REF!</v>
      </c>
      <c r="F223" s="12" t="e">
        <f>'[4]#REF'!F223</f>
        <v>#REF!</v>
      </c>
      <c r="G223" s="12" t="e">
        <f>'[4]#REF'!G223</f>
        <v>#REF!</v>
      </c>
      <c r="H223" s="31" t="e">
        <f>'[4]#REF'!I223</f>
        <v>#REF!</v>
      </c>
      <c r="I223" s="32" t="e">
        <f t="shared" si="10"/>
        <v>#REF!</v>
      </c>
      <c r="K223" s="12" t="e">
        <f>'[4]#REF'!K223</f>
        <v>#REF!</v>
      </c>
      <c r="L223" s="12" t="e">
        <f>'[4]#REF'!L223</f>
        <v>#REF!</v>
      </c>
      <c r="M223" s="31" t="e">
        <f>'[4]#REF'!N223</f>
        <v>#REF!</v>
      </c>
      <c r="N223" s="32" t="e">
        <f t="shared" si="11"/>
        <v>#REF!</v>
      </c>
    </row>
    <row r="224" ht="15.75" spans="1:14">
      <c r="A224" s="12" t="e">
        <f>'[4]#REF'!A224</f>
        <v>#REF!</v>
      </c>
      <c r="B224" s="12" t="e">
        <f>'[4]#REF'!B224</f>
        <v>#REF!</v>
      </c>
      <c r="C224" s="31" t="e">
        <f>'[4]#REF'!D224</f>
        <v>#REF!</v>
      </c>
      <c r="D224" s="32" t="e">
        <f t="shared" si="9"/>
        <v>#REF!</v>
      </c>
      <c r="F224" s="12" t="e">
        <f>'[4]#REF'!F224</f>
        <v>#REF!</v>
      </c>
      <c r="G224" s="12" t="e">
        <f>'[4]#REF'!G224</f>
        <v>#REF!</v>
      </c>
      <c r="H224" s="31" t="e">
        <f>'[4]#REF'!I224</f>
        <v>#REF!</v>
      </c>
      <c r="I224" s="32" t="e">
        <f t="shared" si="10"/>
        <v>#REF!</v>
      </c>
      <c r="K224" s="12" t="e">
        <f>'[4]#REF'!K224</f>
        <v>#REF!</v>
      </c>
      <c r="L224" s="12" t="e">
        <f>'[4]#REF'!L224</f>
        <v>#REF!</v>
      </c>
      <c r="M224" s="31" t="e">
        <f>'[4]#REF'!N224</f>
        <v>#REF!</v>
      </c>
      <c r="N224" s="32" t="e">
        <f t="shared" si="11"/>
        <v>#REF!</v>
      </c>
    </row>
    <row r="225" ht="15.75" spans="1:14">
      <c r="A225" s="12" t="e">
        <f>'[4]#REF'!A225</f>
        <v>#REF!</v>
      </c>
      <c r="B225" s="12" t="e">
        <f>'[4]#REF'!B225</f>
        <v>#REF!</v>
      </c>
      <c r="C225" s="31" t="e">
        <f>'[4]#REF'!D225</f>
        <v>#REF!</v>
      </c>
      <c r="D225" s="32" t="e">
        <f t="shared" si="9"/>
        <v>#REF!</v>
      </c>
      <c r="F225" s="12" t="e">
        <f>'[4]#REF'!F225</f>
        <v>#REF!</v>
      </c>
      <c r="G225" s="12" t="e">
        <f>'[4]#REF'!G225</f>
        <v>#REF!</v>
      </c>
      <c r="H225" s="31" t="e">
        <f>'[4]#REF'!I225</f>
        <v>#REF!</v>
      </c>
      <c r="I225" s="32" t="e">
        <f t="shared" si="10"/>
        <v>#REF!</v>
      </c>
      <c r="K225" s="12" t="e">
        <f>'[4]#REF'!K225</f>
        <v>#REF!</v>
      </c>
      <c r="L225" s="12" t="e">
        <f>'[4]#REF'!L225</f>
        <v>#REF!</v>
      </c>
      <c r="M225" s="31" t="e">
        <f>'[4]#REF'!N225</f>
        <v>#REF!</v>
      </c>
      <c r="N225" s="32" t="e">
        <f t="shared" si="11"/>
        <v>#REF!</v>
      </c>
    </row>
    <row r="226" ht="15.75" spans="1:14">
      <c r="A226" s="12" t="e">
        <f>'[4]#REF'!A226</f>
        <v>#REF!</v>
      </c>
      <c r="B226" s="12" t="e">
        <f>'[4]#REF'!B226</f>
        <v>#REF!</v>
      </c>
      <c r="C226" s="31" t="e">
        <f>'[4]#REF'!D226</f>
        <v>#REF!</v>
      </c>
      <c r="D226" s="32" t="e">
        <f t="shared" si="9"/>
        <v>#REF!</v>
      </c>
      <c r="F226" s="12" t="e">
        <f>'[4]#REF'!F226</f>
        <v>#REF!</v>
      </c>
      <c r="G226" s="12" t="e">
        <f>'[4]#REF'!G226</f>
        <v>#REF!</v>
      </c>
      <c r="H226" s="31" t="e">
        <f>'[4]#REF'!I226</f>
        <v>#REF!</v>
      </c>
      <c r="I226" s="32" t="e">
        <f t="shared" si="10"/>
        <v>#REF!</v>
      </c>
      <c r="K226" s="12" t="e">
        <f>'[4]#REF'!K226</f>
        <v>#REF!</v>
      </c>
      <c r="L226" s="12" t="e">
        <f>'[4]#REF'!L226</f>
        <v>#REF!</v>
      </c>
      <c r="M226" s="31" t="e">
        <f>'[4]#REF'!N226</f>
        <v>#REF!</v>
      </c>
      <c r="N226" s="32" t="e">
        <f t="shared" si="11"/>
        <v>#REF!</v>
      </c>
    </row>
    <row r="227" ht="15.75" spans="1:14">
      <c r="A227" s="12" t="e">
        <f>'[4]#REF'!A227</f>
        <v>#REF!</v>
      </c>
      <c r="B227" s="12" t="e">
        <f>'[4]#REF'!B227</f>
        <v>#REF!</v>
      </c>
      <c r="C227" s="31" t="e">
        <f>'[4]#REF'!D227</f>
        <v>#REF!</v>
      </c>
      <c r="D227" s="32" t="e">
        <f t="shared" si="9"/>
        <v>#REF!</v>
      </c>
      <c r="F227" s="12" t="e">
        <f>'[4]#REF'!F227</f>
        <v>#REF!</v>
      </c>
      <c r="G227" s="12" t="e">
        <f>'[4]#REF'!G227</f>
        <v>#REF!</v>
      </c>
      <c r="H227" s="31" t="e">
        <f>'[4]#REF'!I227</f>
        <v>#REF!</v>
      </c>
      <c r="I227" s="32" t="e">
        <f t="shared" si="10"/>
        <v>#REF!</v>
      </c>
      <c r="K227" s="12" t="e">
        <f>'[4]#REF'!K227</f>
        <v>#REF!</v>
      </c>
      <c r="L227" s="12" t="e">
        <f>'[4]#REF'!L227</f>
        <v>#REF!</v>
      </c>
      <c r="M227" s="31" t="e">
        <f>'[4]#REF'!N227</f>
        <v>#REF!</v>
      </c>
      <c r="N227" s="32" t="e">
        <f t="shared" si="11"/>
        <v>#REF!</v>
      </c>
    </row>
    <row r="228" ht="15.75" spans="1:14">
      <c r="A228" s="12" t="e">
        <f>'[4]#REF'!A228</f>
        <v>#REF!</v>
      </c>
      <c r="B228" s="12" t="e">
        <f>'[4]#REF'!B228</f>
        <v>#REF!</v>
      </c>
      <c r="C228" s="31" t="e">
        <f>'[4]#REF'!D228</f>
        <v>#REF!</v>
      </c>
      <c r="D228" s="32" t="e">
        <f t="shared" si="9"/>
        <v>#REF!</v>
      </c>
      <c r="F228" s="12" t="e">
        <f>'[4]#REF'!F228</f>
        <v>#REF!</v>
      </c>
      <c r="G228" s="12" t="e">
        <f>'[4]#REF'!G228</f>
        <v>#REF!</v>
      </c>
      <c r="H228" s="31" t="e">
        <f>'[4]#REF'!I228</f>
        <v>#REF!</v>
      </c>
      <c r="I228" s="32" t="e">
        <f t="shared" si="10"/>
        <v>#REF!</v>
      </c>
      <c r="K228" s="12" t="e">
        <f>'[4]#REF'!K228</f>
        <v>#REF!</v>
      </c>
      <c r="L228" s="12" t="e">
        <f>'[4]#REF'!L228</f>
        <v>#REF!</v>
      </c>
      <c r="M228" s="31" t="e">
        <f>'[4]#REF'!N228</f>
        <v>#REF!</v>
      </c>
      <c r="N228" s="32" t="e">
        <f t="shared" si="11"/>
        <v>#REF!</v>
      </c>
    </row>
    <row r="229" ht="15.75" spans="1:14">
      <c r="A229" s="12" t="e">
        <f>'[4]#REF'!A229</f>
        <v>#REF!</v>
      </c>
      <c r="B229" s="12" t="e">
        <f>'[4]#REF'!B229</f>
        <v>#REF!</v>
      </c>
      <c r="C229" s="31" t="e">
        <f>'[4]#REF'!D229</f>
        <v>#REF!</v>
      </c>
      <c r="D229" s="32" t="e">
        <f t="shared" si="9"/>
        <v>#REF!</v>
      </c>
      <c r="F229" s="12" t="e">
        <f>'[4]#REF'!F229</f>
        <v>#REF!</v>
      </c>
      <c r="G229" s="12" t="e">
        <f>'[4]#REF'!G229</f>
        <v>#REF!</v>
      </c>
      <c r="H229" s="31" t="e">
        <f>'[4]#REF'!I229</f>
        <v>#REF!</v>
      </c>
      <c r="I229" s="32" t="e">
        <f t="shared" si="10"/>
        <v>#REF!</v>
      </c>
      <c r="K229" s="12" t="e">
        <f>'[4]#REF'!K229</f>
        <v>#REF!</v>
      </c>
      <c r="L229" s="12" t="e">
        <f>'[4]#REF'!L229</f>
        <v>#REF!</v>
      </c>
      <c r="M229" s="31" t="e">
        <f>'[4]#REF'!N229</f>
        <v>#REF!</v>
      </c>
      <c r="N229" s="32" t="e">
        <f t="shared" si="11"/>
        <v>#REF!</v>
      </c>
    </row>
    <row r="230" ht="15.75" spans="1:14">
      <c r="A230" s="12" t="e">
        <f>'[4]#REF'!A230</f>
        <v>#REF!</v>
      </c>
      <c r="B230" s="12" t="e">
        <f>'[4]#REF'!B230</f>
        <v>#REF!</v>
      </c>
      <c r="C230" s="31" t="e">
        <f>'[4]#REF'!D230</f>
        <v>#REF!</v>
      </c>
      <c r="D230" s="32" t="e">
        <f t="shared" si="9"/>
        <v>#REF!</v>
      </c>
      <c r="F230" s="12" t="e">
        <f>'[4]#REF'!F230</f>
        <v>#REF!</v>
      </c>
      <c r="G230" s="12" t="e">
        <f>'[4]#REF'!G230</f>
        <v>#REF!</v>
      </c>
      <c r="H230" s="31" t="e">
        <f>'[4]#REF'!I230</f>
        <v>#REF!</v>
      </c>
      <c r="I230" s="32" t="e">
        <f t="shared" si="10"/>
        <v>#REF!</v>
      </c>
      <c r="K230" s="12" t="e">
        <f>'[4]#REF'!K230</f>
        <v>#REF!</v>
      </c>
      <c r="L230" s="12" t="e">
        <f>'[4]#REF'!L230</f>
        <v>#REF!</v>
      </c>
      <c r="M230" s="31" t="e">
        <f>'[4]#REF'!N230</f>
        <v>#REF!</v>
      </c>
      <c r="N230" s="32" t="e">
        <f t="shared" si="11"/>
        <v>#REF!</v>
      </c>
    </row>
    <row r="231" ht="15.75" spans="1:14">
      <c r="A231" s="12" t="e">
        <f>'[4]#REF'!A231</f>
        <v>#REF!</v>
      </c>
      <c r="B231" s="12" t="e">
        <f>'[4]#REF'!B231</f>
        <v>#REF!</v>
      </c>
      <c r="C231" s="31" t="e">
        <f>'[4]#REF'!D231</f>
        <v>#REF!</v>
      </c>
      <c r="D231" s="32" t="e">
        <f t="shared" si="9"/>
        <v>#REF!</v>
      </c>
      <c r="F231" s="12" t="e">
        <f>'[4]#REF'!F231</f>
        <v>#REF!</v>
      </c>
      <c r="G231" s="12" t="e">
        <f>'[4]#REF'!G231</f>
        <v>#REF!</v>
      </c>
      <c r="H231" s="31" t="e">
        <f>'[4]#REF'!I231</f>
        <v>#REF!</v>
      </c>
      <c r="I231" s="32" t="e">
        <f t="shared" si="10"/>
        <v>#REF!</v>
      </c>
      <c r="K231" s="12" t="e">
        <f>'[4]#REF'!K231</f>
        <v>#REF!</v>
      </c>
      <c r="L231" s="12" t="e">
        <f>'[4]#REF'!L231</f>
        <v>#REF!</v>
      </c>
      <c r="M231" s="31" t="e">
        <f>'[4]#REF'!N231</f>
        <v>#REF!</v>
      </c>
      <c r="N231" s="32" t="e">
        <f t="shared" si="11"/>
        <v>#REF!</v>
      </c>
    </row>
    <row r="232" ht="15.75" spans="1:14">
      <c r="A232" s="12" t="e">
        <f>'[4]#REF'!A232</f>
        <v>#REF!</v>
      </c>
      <c r="B232" s="12" t="e">
        <f>'[4]#REF'!B232</f>
        <v>#REF!</v>
      </c>
      <c r="C232" s="31" t="e">
        <f>'[4]#REF'!D232</f>
        <v>#REF!</v>
      </c>
      <c r="D232" s="32" t="e">
        <f t="shared" si="9"/>
        <v>#REF!</v>
      </c>
      <c r="F232" s="12" t="e">
        <f>'[4]#REF'!F232</f>
        <v>#REF!</v>
      </c>
      <c r="G232" s="12" t="e">
        <f>'[4]#REF'!G232</f>
        <v>#REF!</v>
      </c>
      <c r="H232" s="31" t="e">
        <f>'[4]#REF'!I232</f>
        <v>#REF!</v>
      </c>
      <c r="I232" s="32" t="e">
        <f t="shared" si="10"/>
        <v>#REF!</v>
      </c>
      <c r="K232" s="12" t="e">
        <f>'[4]#REF'!K232</f>
        <v>#REF!</v>
      </c>
      <c r="L232" s="12" t="e">
        <f>'[4]#REF'!L232</f>
        <v>#REF!</v>
      </c>
      <c r="M232" s="31" t="e">
        <f>'[4]#REF'!N232</f>
        <v>#REF!</v>
      </c>
      <c r="N232" s="32" t="e">
        <f t="shared" si="11"/>
        <v>#REF!</v>
      </c>
    </row>
    <row r="233" ht="15.75" spans="1:14">
      <c r="A233" s="12" t="e">
        <f>'[4]#REF'!A233</f>
        <v>#REF!</v>
      </c>
      <c r="B233" s="12" t="e">
        <f>'[4]#REF'!B233</f>
        <v>#REF!</v>
      </c>
      <c r="C233" s="31" t="e">
        <f>'[4]#REF'!D233</f>
        <v>#REF!</v>
      </c>
      <c r="D233" s="32" t="e">
        <f t="shared" si="9"/>
        <v>#REF!</v>
      </c>
      <c r="F233" s="12" t="e">
        <f>'[4]#REF'!F233</f>
        <v>#REF!</v>
      </c>
      <c r="G233" s="12" t="e">
        <f>'[4]#REF'!G233</f>
        <v>#REF!</v>
      </c>
      <c r="H233" s="31" t="e">
        <f>'[4]#REF'!I233</f>
        <v>#REF!</v>
      </c>
      <c r="I233" s="32" t="e">
        <f t="shared" si="10"/>
        <v>#REF!</v>
      </c>
      <c r="K233" s="12" t="e">
        <f>'[4]#REF'!K233</f>
        <v>#REF!</v>
      </c>
      <c r="L233" s="12" t="e">
        <f>'[4]#REF'!L233</f>
        <v>#REF!</v>
      </c>
      <c r="M233" s="31" t="e">
        <f>'[4]#REF'!N233</f>
        <v>#REF!</v>
      </c>
      <c r="N233" s="32" t="e">
        <f t="shared" si="11"/>
        <v>#REF!</v>
      </c>
    </row>
    <row r="234" ht="15.75" spans="1:14">
      <c r="A234" s="12" t="e">
        <f>'[4]#REF'!A234</f>
        <v>#REF!</v>
      </c>
      <c r="B234" s="12" t="e">
        <f>'[4]#REF'!B234</f>
        <v>#REF!</v>
      </c>
      <c r="C234" s="31" t="e">
        <f>'[4]#REF'!D234</f>
        <v>#REF!</v>
      </c>
      <c r="D234" s="32" t="e">
        <f t="shared" si="9"/>
        <v>#REF!</v>
      </c>
      <c r="F234" s="12" t="e">
        <f>'[4]#REF'!F234</f>
        <v>#REF!</v>
      </c>
      <c r="G234" s="12" t="e">
        <f>'[4]#REF'!G234</f>
        <v>#REF!</v>
      </c>
      <c r="H234" s="31" t="e">
        <f>'[4]#REF'!I234</f>
        <v>#REF!</v>
      </c>
      <c r="I234" s="32" t="e">
        <f t="shared" si="10"/>
        <v>#REF!</v>
      </c>
      <c r="K234" s="12" t="e">
        <f>'[4]#REF'!K234</f>
        <v>#REF!</v>
      </c>
      <c r="L234" s="12" t="e">
        <f>'[4]#REF'!L234</f>
        <v>#REF!</v>
      </c>
      <c r="M234" s="31" t="e">
        <f>'[4]#REF'!N234</f>
        <v>#REF!</v>
      </c>
      <c r="N234" s="32" t="e">
        <f t="shared" si="11"/>
        <v>#REF!</v>
      </c>
    </row>
    <row r="235" ht="15.75" spans="1:14">
      <c r="A235" s="12" t="e">
        <f>'[4]#REF'!A235</f>
        <v>#REF!</v>
      </c>
      <c r="B235" s="12" t="e">
        <f>'[4]#REF'!B235</f>
        <v>#REF!</v>
      </c>
      <c r="C235" s="31" t="e">
        <f>'[4]#REF'!D235</f>
        <v>#REF!</v>
      </c>
      <c r="D235" s="32" t="e">
        <f t="shared" si="9"/>
        <v>#REF!</v>
      </c>
      <c r="F235" s="12" t="e">
        <f>'[4]#REF'!F235</f>
        <v>#REF!</v>
      </c>
      <c r="G235" s="12" t="e">
        <f>'[4]#REF'!G235</f>
        <v>#REF!</v>
      </c>
      <c r="H235" s="31" t="e">
        <f>'[4]#REF'!I235</f>
        <v>#REF!</v>
      </c>
      <c r="I235" s="32" t="e">
        <f t="shared" si="10"/>
        <v>#REF!</v>
      </c>
      <c r="K235" s="12" t="e">
        <f>'[4]#REF'!K235</f>
        <v>#REF!</v>
      </c>
      <c r="L235" s="12" t="e">
        <f>'[4]#REF'!L235</f>
        <v>#REF!</v>
      </c>
      <c r="M235" s="31" t="e">
        <f>'[4]#REF'!N235</f>
        <v>#REF!</v>
      </c>
      <c r="N235" s="32" t="e">
        <f t="shared" si="11"/>
        <v>#REF!</v>
      </c>
    </row>
    <row r="236" ht="15.75" spans="1:14">
      <c r="A236" s="12" t="e">
        <f>'[4]#REF'!A236</f>
        <v>#REF!</v>
      </c>
      <c r="B236" s="12" t="e">
        <f>'[4]#REF'!B236</f>
        <v>#REF!</v>
      </c>
      <c r="C236" s="31" t="e">
        <f>'[4]#REF'!D236</f>
        <v>#REF!</v>
      </c>
      <c r="D236" s="32" t="e">
        <f t="shared" si="9"/>
        <v>#REF!</v>
      </c>
      <c r="F236" s="12" t="e">
        <f>'[4]#REF'!F236</f>
        <v>#REF!</v>
      </c>
      <c r="G236" s="12" t="e">
        <f>'[4]#REF'!G236</f>
        <v>#REF!</v>
      </c>
      <c r="H236" s="31" t="e">
        <f>'[4]#REF'!I236</f>
        <v>#REF!</v>
      </c>
      <c r="I236" s="32" t="e">
        <f t="shared" si="10"/>
        <v>#REF!</v>
      </c>
      <c r="K236" s="12" t="e">
        <f>'[4]#REF'!K236</f>
        <v>#REF!</v>
      </c>
      <c r="L236" s="12" t="e">
        <f>'[4]#REF'!L236</f>
        <v>#REF!</v>
      </c>
      <c r="M236" s="31" t="e">
        <f>'[4]#REF'!N236</f>
        <v>#REF!</v>
      </c>
      <c r="N236" s="32" t="e">
        <f t="shared" si="11"/>
        <v>#REF!</v>
      </c>
    </row>
    <row r="237" ht="15.75" spans="1:14">
      <c r="A237" s="12" t="e">
        <f>'[4]#REF'!A237</f>
        <v>#REF!</v>
      </c>
      <c r="B237" s="12" t="e">
        <f>'[4]#REF'!B237</f>
        <v>#REF!</v>
      </c>
      <c r="C237" s="31" t="e">
        <f>'[4]#REF'!D237</f>
        <v>#REF!</v>
      </c>
      <c r="D237" s="32" t="e">
        <f t="shared" si="9"/>
        <v>#REF!</v>
      </c>
      <c r="F237" s="12" t="e">
        <f>'[4]#REF'!F237</f>
        <v>#REF!</v>
      </c>
      <c r="G237" s="12" t="e">
        <f>'[4]#REF'!G237</f>
        <v>#REF!</v>
      </c>
      <c r="H237" s="31" t="e">
        <f>'[4]#REF'!I237</f>
        <v>#REF!</v>
      </c>
      <c r="I237" s="32" t="e">
        <f t="shared" si="10"/>
        <v>#REF!</v>
      </c>
      <c r="K237" s="12" t="e">
        <f>'[4]#REF'!K237</f>
        <v>#REF!</v>
      </c>
      <c r="L237" s="12" t="e">
        <f>'[4]#REF'!L237</f>
        <v>#REF!</v>
      </c>
      <c r="M237" s="31" t="e">
        <f>'[4]#REF'!N237</f>
        <v>#REF!</v>
      </c>
      <c r="N237" s="32" t="e">
        <f t="shared" si="11"/>
        <v>#REF!</v>
      </c>
    </row>
    <row r="238" ht="15.75" spans="1:14">
      <c r="A238" s="12" t="e">
        <f>'[4]#REF'!A238</f>
        <v>#REF!</v>
      </c>
      <c r="B238" s="12" t="e">
        <f>'[4]#REF'!B238</f>
        <v>#REF!</v>
      </c>
      <c r="C238" s="31" t="e">
        <f>'[4]#REF'!D238</f>
        <v>#REF!</v>
      </c>
      <c r="D238" s="32" t="e">
        <f t="shared" si="9"/>
        <v>#REF!</v>
      </c>
      <c r="F238" s="12" t="e">
        <f>'[4]#REF'!F238</f>
        <v>#REF!</v>
      </c>
      <c r="G238" s="12" t="e">
        <f>'[4]#REF'!G238</f>
        <v>#REF!</v>
      </c>
      <c r="H238" s="31" t="e">
        <f>'[4]#REF'!I238</f>
        <v>#REF!</v>
      </c>
      <c r="I238" s="32" t="e">
        <f t="shared" si="10"/>
        <v>#REF!</v>
      </c>
      <c r="K238" s="12" t="e">
        <f>'[4]#REF'!K238</f>
        <v>#REF!</v>
      </c>
      <c r="L238" s="12" t="e">
        <f>'[4]#REF'!L238</f>
        <v>#REF!</v>
      </c>
      <c r="M238" s="31" t="e">
        <f>'[4]#REF'!N238</f>
        <v>#REF!</v>
      </c>
      <c r="N238" s="32" t="e">
        <f t="shared" si="11"/>
        <v>#REF!</v>
      </c>
    </row>
    <row r="239" ht="15.75" spans="1:14">
      <c r="A239" s="12" t="e">
        <f>'[4]#REF'!A239</f>
        <v>#REF!</v>
      </c>
      <c r="B239" s="12" t="e">
        <f>'[4]#REF'!B239</f>
        <v>#REF!</v>
      </c>
      <c r="C239" s="31" t="e">
        <f>'[4]#REF'!D239</f>
        <v>#REF!</v>
      </c>
      <c r="D239" s="32" t="e">
        <f t="shared" si="9"/>
        <v>#REF!</v>
      </c>
      <c r="F239" s="12" t="e">
        <f>'[4]#REF'!F239</f>
        <v>#REF!</v>
      </c>
      <c r="G239" s="12" t="e">
        <f>'[4]#REF'!G239</f>
        <v>#REF!</v>
      </c>
      <c r="H239" s="31" t="e">
        <f>'[4]#REF'!I239</f>
        <v>#REF!</v>
      </c>
      <c r="I239" s="32" t="e">
        <f t="shared" si="10"/>
        <v>#REF!</v>
      </c>
      <c r="K239" s="12" t="e">
        <f>'[4]#REF'!K239</f>
        <v>#REF!</v>
      </c>
      <c r="L239" s="12" t="e">
        <f>'[4]#REF'!L239</f>
        <v>#REF!</v>
      </c>
      <c r="M239" s="31" t="e">
        <f>'[4]#REF'!N239</f>
        <v>#REF!</v>
      </c>
      <c r="N239" s="32" t="e">
        <f t="shared" si="11"/>
        <v>#REF!</v>
      </c>
    </row>
    <row r="240" ht="15.75" spans="1:14">
      <c r="A240" s="12" t="e">
        <f>'[4]#REF'!A240</f>
        <v>#REF!</v>
      </c>
      <c r="B240" s="12" t="e">
        <f>'[4]#REF'!B240</f>
        <v>#REF!</v>
      </c>
      <c r="C240" s="31" t="e">
        <f>'[4]#REF'!D240</f>
        <v>#REF!</v>
      </c>
      <c r="D240" s="32" t="e">
        <f t="shared" si="9"/>
        <v>#REF!</v>
      </c>
      <c r="F240" s="12" t="e">
        <f>'[4]#REF'!F240</f>
        <v>#REF!</v>
      </c>
      <c r="G240" s="12" t="e">
        <f>'[4]#REF'!G240</f>
        <v>#REF!</v>
      </c>
      <c r="H240" s="31" t="e">
        <f>'[4]#REF'!I240</f>
        <v>#REF!</v>
      </c>
      <c r="I240" s="32" t="e">
        <f t="shared" si="10"/>
        <v>#REF!</v>
      </c>
      <c r="K240" s="12" t="e">
        <f>'[4]#REF'!K240</f>
        <v>#REF!</v>
      </c>
      <c r="L240" s="12" t="e">
        <f>'[4]#REF'!L240</f>
        <v>#REF!</v>
      </c>
      <c r="M240" s="31" t="e">
        <f>'[4]#REF'!N240</f>
        <v>#REF!</v>
      </c>
      <c r="N240" s="32" t="e">
        <f t="shared" si="11"/>
        <v>#REF!</v>
      </c>
    </row>
    <row r="241" ht="15.75" spans="1:14">
      <c r="A241" s="12" t="e">
        <f>'[4]#REF'!A241</f>
        <v>#REF!</v>
      </c>
      <c r="B241" s="12" t="e">
        <f>'[4]#REF'!B241</f>
        <v>#REF!</v>
      </c>
      <c r="C241" s="31" t="e">
        <f>'[4]#REF'!D241</f>
        <v>#REF!</v>
      </c>
      <c r="D241" s="32" t="e">
        <f t="shared" si="9"/>
        <v>#REF!</v>
      </c>
      <c r="F241" s="12" t="e">
        <f>'[4]#REF'!F241</f>
        <v>#REF!</v>
      </c>
      <c r="G241" s="12" t="e">
        <f>'[4]#REF'!G241</f>
        <v>#REF!</v>
      </c>
      <c r="H241" s="31" t="e">
        <f>'[4]#REF'!I241</f>
        <v>#REF!</v>
      </c>
      <c r="I241" s="32" t="e">
        <f t="shared" si="10"/>
        <v>#REF!</v>
      </c>
      <c r="K241" s="12" t="e">
        <f>'[4]#REF'!K241</f>
        <v>#REF!</v>
      </c>
      <c r="L241" s="12" t="e">
        <f>'[4]#REF'!L241</f>
        <v>#REF!</v>
      </c>
      <c r="M241" s="31" t="e">
        <f>'[4]#REF'!N241</f>
        <v>#REF!</v>
      </c>
      <c r="N241" s="32" t="e">
        <f t="shared" si="11"/>
        <v>#REF!</v>
      </c>
    </row>
    <row r="242" ht="15.75" spans="1:14">
      <c r="A242" s="12" t="e">
        <f>'[4]#REF'!A242</f>
        <v>#REF!</v>
      </c>
      <c r="B242" s="12" t="e">
        <f>'[4]#REF'!B242</f>
        <v>#REF!</v>
      </c>
      <c r="C242" s="31" t="e">
        <f>'[4]#REF'!D242</f>
        <v>#REF!</v>
      </c>
      <c r="D242" s="32" t="e">
        <f t="shared" si="9"/>
        <v>#REF!</v>
      </c>
      <c r="F242" s="12" t="e">
        <f>'[4]#REF'!F242</f>
        <v>#REF!</v>
      </c>
      <c r="G242" s="12" t="e">
        <f>'[4]#REF'!G242</f>
        <v>#REF!</v>
      </c>
      <c r="H242" s="31" t="e">
        <f>'[4]#REF'!I242</f>
        <v>#REF!</v>
      </c>
      <c r="I242" s="32" t="e">
        <f t="shared" si="10"/>
        <v>#REF!</v>
      </c>
      <c r="K242" s="12" t="e">
        <f>'[4]#REF'!K242</f>
        <v>#REF!</v>
      </c>
      <c r="L242" s="12" t="e">
        <f>'[4]#REF'!L242</f>
        <v>#REF!</v>
      </c>
      <c r="M242" s="31" t="e">
        <f>'[4]#REF'!N242</f>
        <v>#REF!</v>
      </c>
      <c r="N242" s="32" t="e">
        <f t="shared" si="11"/>
        <v>#REF!</v>
      </c>
    </row>
    <row r="243" ht="15.75" spans="1:14">
      <c r="A243" s="12" t="e">
        <f>'[4]#REF'!A243</f>
        <v>#REF!</v>
      </c>
      <c r="B243" s="12" t="e">
        <f>'[4]#REF'!B243</f>
        <v>#REF!</v>
      </c>
      <c r="C243" s="31" t="e">
        <f>'[4]#REF'!D243</f>
        <v>#REF!</v>
      </c>
      <c r="D243" s="32" t="e">
        <f t="shared" si="9"/>
        <v>#REF!</v>
      </c>
      <c r="F243" s="12" t="e">
        <f>'[4]#REF'!F243</f>
        <v>#REF!</v>
      </c>
      <c r="G243" s="12" t="e">
        <f>'[4]#REF'!G243</f>
        <v>#REF!</v>
      </c>
      <c r="H243" s="31" t="e">
        <f>'[4]#REF'!I243</f>
        <v>#REF!</v>
      </c>
      <c r="I243" s="32" t="e">
        <f t="shared" si="10"/>
        <v>#REF!</v>
      </c>
      <c r="K243" s="12" t="e">
        <f>'[4]#REF'!K243</f>
        <v>#REF!</v>
      </c>
      <c r="L243" s="12" t="e">
        <f>'[4]#REF'!L243</f>
        <v>#REF!</v>
      </c>
      <c r="M243" s="31" t="e">
        <f>'[4]#REF'!N243</f>
        <v>#REF!</v>
      </c>
      <c r="N243" s="32" t="e">
        <f t="shared" si="11"/>
        <v>#REF!</v>
      </c>
    </row>
    <row r="244" ht="15.75" spans="1:14">
      <c r="A244" s="12" t="e">
        <f>'[4]#REF'!A244</f>
        <v>#REF!</v>
      </c>
      <c r="B244" s="12" t="e">
        <f>'[4]#REF'!B244</f>
        <v>#REF!</v>
      </c>
      <c r="C244" s="31" t="e">
        <f>'[4]#REF'!D244</f>
        <v>#REF!</v>
      </c>
      <c r="D244" s="32" t="e">
        <f t="shared" si="9"/>
        <v>#REF!</v>
      </c>
      <c r="F244" s="12" t="e">
        <f>'[4]#REF'!F244</f>
        <v>#REF!</v>
      </c>
      <c r="G244" s="12" t="e">
        <f>'[4]#REF'!G244</f>
        <v>#REF!</v>
      </c>
      <c r="H244" s="31" t="e">
        <f>'[4]#REF'!I244</f>
        <v>#REF!</v>
      </c>
      <c r="I244" s="32" t="e">
        <f t="shared" si="10"/>
        <v>#REF!</v>
      </c>
      <c r="K244" s="12" t="e">
        <f>'[4]#REF'!K244</f>
        <v>#REF!</v>
      </c>
      <c r="L244" s="12" t="e">
        <f>'[4]#REF'!L244</f>
        <v>#REF!</v>
      </c>
      <c r="M244" s="31" t="e">
        <f>'[4]#REF'!N244</f>
        <v>#REF!</v>
      </c>
      <c r="N244" s="32" t="e">
        <f t="shared" si="11"/>
        <v>#REF!</v>
      </c>
    </row>
    <row r="245" ht="15.75" spans="1:14">
      <c r="A245" s="12" t="e">
        <f>'[4]#REF'!A245</f>
        <v>#REF!</v>
      </c>
      <c r="B245" s="12" t="e">
        <f>'[4]#REF'!B245</f>
        <v>#REF!</v>
      </c>
      <c r="C245" s="31" t="e">
        <f>'[4]#REF'!D245</f>
        <v>#REF!</v>
      </c>
      <c r="D245" s="32" t="e">
        <f t="shared" si="9"/>
        <v>#REF!</v>
      </c>
      <c r="F245" s="12" t="e">
        <f>'[4]#REF'!F245</f>
        <v>#REF!</v>
      </c>
      <c r="G245" s="12" t="e">
        <f>'[4]#REF'!G245</f>
        <v>#REF!</v>
      </c>
      <c r="H245" s="31" t="e">
        <f>'[4]#REF'!I245</f>
        <v>#REF!</v>
      </c>
      <c r="I245" s="32" t="e">
        <f t="shared" si="10"/>
        <v>#REF!</v>
      </c>
      <c r="K245" s="12" t="e">
        <f>'[4]#REF'!K245</f>
        <v>#REF!</v>
      </c>
      <c r="L245" s="12" t="e">
        <f>'[4]#REF'!L245</f>
        <v>#REF!</v>
      </c>
      <c r="M245" s="31" t="e">
        <f>'[4]#REF'!N245</f>
        <v>#REF!</v>
      </c>
      <c r="N245" s="32" t="e">
        <f t="shared" si="11"/>
        <v>#REF!</v>
      </c>
    </row>
    <row r="246" ht="15.75" spans="1:14">
      <c r="A246" s="12" t="e">
        <f>'[4]#REF'!A246</f>
        <v>#REF!</v>
      </c>
      <c r="B246" s="12" t="e">
        <f>'[4]#REF'!B246</f>
        <v>#REF!</v>
      </c>
      <c r="C246" s="31" t="e">
        <f>'[4]#REF'!D246</f>
        <v>#REF!</v>
      </c>
      <c r="D246" s="32" t="e">
        <f t="shared" si="9"/>
        <v>#REF!</v>
      </c>
      <c r="F246" s="12" t="e">
        <f>'[4]#REF'!F246</f>
        <v>#REF!</v>
      </c>
      <c r="G246" s="12" t="e">
        <f>'[4]#REF'!G246</f>
        <v>#REF!</v>
      </c>
      <c r="H246" s="31" t="e">
        <f>'[4]#REF'!I246</f>
        <v>#REF!</v>
      </c>
      <c r="I246" s="32" t="e">
        <f t="shared" si="10"/>
        <v>#REF!</v>
      </c>
      <c r="K246" s="12" t="e">
        <f>'[4]#REF'!K246</f>
        <v>#REF!</v>
      </c>
      <c r="L246" s="12" t="e">
        <f>'[4]#REF'!L246</f>
        <v>#REF!</v>
      </c>
      <c r="M246" s="31" t="e">
        <f>'[4]#REF'!N246</f>
        <v>#REF!</v>
      </c>
      <c r="N246" s="32" t="e">
        <f t="shared" si="11"/>
        <v>#REF!</v>
      </c>
    </row>
    <row r="247" ht="15.75" spans="1:14">
      <c r="A247" s="12" t="e">
        <f>'[4]#REF'!A247</f>
        <v>#REF!</v>
      </c>
      <c r="B247" s="12" t="e">
        <f>'[4]#REF'!B247</f>
        <v>#REF!</v>
      </c>
      <c r="C247" s="31" t="e">
        <f>'[4]#REF'!D247</f>
        <v>#REF!</v>
      </c>
      <c r="D247" s="32" t="e">
        <f t="shared" si="9"/>
        <v>#REF!</v>
      </c>
      <c r="F247" s="12" t="e">
        <f>'[4]#REF'!F247</f>
        <v>#REF!</v>
      </c>
      <c r="G247" s="12" t="e">
        <f>'[4]#REF'!G247</f>
        <v>#REF!</v>
      </c>
      <c r="H247" s="31" t="e">
        <f>'[4]#REF'!I247</f>
        <v>#REF!</v>
      </c>
      <c r="I247" s="32" t="e">
        <f t="shared" si="10"/>
        <v>#REF!</v>
      </c>
      <c r="K247" s="12" t="e">
        <f>'[4]#REF'!K247</f>
        <v>#REF!</v>
      </c>
      <c r="L247" s="12" t="e">
        <f>'[4]#REF'!L247</f>
        <v>#REF!</v>
      </c>
      <c r="M247" s="31" t="e">
        <f>'[4]#REF'!N247</f>
        <v>#REF!</v>
      </c>
      <c r="N247" s="32" t="e">
        <f t="shared" si="11"/>
        <v>#REF!</v>
      </c>
    </row>
    <row r="248" ht="15.75" spans="1:14">
      <c r="A248" s="12" t="e">
        <f>'[4]#REF'!A248</f>
        <v>#REF!</v>
      </c>
      <c r="B248" s="12" t="e">
        <f>'[4]#REF'!B248</f>
        <v>#REF!</v>
      </c>
      <c r="C248" s="31" t="e">
        <f>'[4]#REF'!D248</f>
        <v>#REF!</v>
      </c>
      <c r="D248" s="32" t="e">
        <f t="shared" si="9"/>
        <v>#REF!</v>
      </c>
      <c r="F248" s="12" t="e">
        <f>'[4]#REF'!F248</f>
        <v>#REF!</v>
      </c>
      <c r="G248" s="12" t="e">
        <f>'[4]#REF'!G248</f>
        <v>#REF!</v>
      </c>
      <c r="H248" s="31" t="e">
        <f>'[4]#REF'!I248</f>
        <v>#REF!</v>
      </c>
      <c r="I248" s="32" t="e">
        <f t="shared" si="10"/>
        <v>#REF!</v>
      </c>
      <c r="K248" s="12" t="e">
        <f>'[4]#REF'!K248</f>
        <v>#REF!</v>
      </c>
      <c r="L248" s="12" t="e">
        <f>'[4]#REF'!L248</f>
        <v>#REF!</v>
      </c>
      <c r="M248" s="31" t="e">
        <f>'[4]#REF'!N248</f>
        <v>#REF!</v>
      </c>
      <c r="N248" s="32" t="e">
        <f t="shared" si="11"/>
        <v>#REF!</v>
      </c>
    </row>
    <row r="249" ht="15.75" spans="1:14">
      <c r="A249" s="12" t="e">
        <f>'[4]#REF'!A249</f>
        <v>#REF!</v>
      </c>
      <c r="B249" s="12" t="e">
        <f>'[4]#REF'!B249</f>
        <v>#REF!</v>
      </c>
      <c r="C249" s="31" t="e">
        <f>'[4]#REF'!D249</f>
        <v>#REF!</v>
      </c>
      <c r="D249" s="32" t="e">
        <f t="shared" si="9"/>
        <v>#REF!</v>
      </c>
      <c r="F249" s="12" t="e">
        <f>'[4]#REF'!F249</f>
        <v>#REF!</v>
      </c>
      <c r="G249" s="12" t="e">
        <f>'[4]#REF'!G249</f>
        <v>#REF!</v>
      </c>
      <c r="H249" s="31" t="e">
        <f>'[4]#REF'!I249</f>
        <v>#REF!</v>
      </c>
      <c r="I249" s="32" t="e">
        <f t="shared" si="10"/>
        <v>#REF!</v>
      </c>
      <c r="K249" s="12" t="e">
        <f>'[4]#REF'!K249</f>
        <v>#REF!</v>
      </c>
      <c r="L249" s="12" t="e">
        <f>'[4]#REF'!L249</f>
        <v>#REF!</v>
      </c>
      <c r="M249" s="31" t="e">
        <f>'[4]#REF'!N249</f>
        <v>#REF!</v>
      </c>
      <c r="N249" s="32" t="e">
        <f t="shared" si="11"/>
        <v>#REF!</v>
      </c>
    </row>
    <row r="250" ht="15.75" spans="1:14">
      <c r="A250" s="12" t="e">
        <f>'[4]#REF'!A250</f>
        <v>#REF!</v>
      </c>
      <c r="B250" s="12" t="e">
        <f>'[4]#REF'!B250</f>
        <v>#REF!</v>
      </c>
      <c r="C250" s="31" t="e">
        <f>'[4]#REF'!D250</f>
        <v>#REF!</v>
      </c>
      <c r="D250" s="32" t="e">
        <f t="shared" si="9"/>
        <v>#REF!</v>
      </c>
      <c r="F250" s="12" t="e">
        <f>'[4]#REF'!F250</f>
        <v>#REF!</v>
      </c>
      <c r="G250" s="12" t="e">
        <f>'[4]#REF'!G250</f>
        <v>#REF!</v>
      </c>
      <c r="H250" s="31" t="e">
        <f>'[4]#REF'!I250</f>
        <v>#REF!</v>
      </c>
      <c r="I250" s="32" t="e">
        <f t="shared" si="10"/>
        <v>#REF!</v>
      </c>
      <c r="K250" s="12" t="e">
        <f>'[4]#REF'!K250</f>
        <v>#REF!</v>
      </c>
      <c r="L250" s="12" t="e">
        <f>'[4]#REF'!L250</f>
        <v>#REF!</v>
      </c>
      <c r="M250" s="31" t="e">
        <f>'[4]#REF'!N250</f>
        <v>#REF!</v>
      </c>
      <c r="N250" s="32" t="e">
        <f t="shared" si="11"/>
        <v>#REF!</v>
      </c>
    </row>
    <row r="251" ht="15.75" spans="1:14">
      <c r="A251" s="12" t="e">
        <f>'[4]#REF'!A251</f>
        <v>#REF!</v>
      </c>
      <c r="B251" s="12" t="e">
        <f>'[4]#REF'!B251</f>
        <v>#REF!</v>
      </c>
      <c r="C251" s="31" t="e">
        <f>'[4]#REF'!D251</f>
        <v>#REF!</v>
      </c>
      <c r="D251" s="32" t="e">
        <f t="shared" si="9"/>
        <v>#REF!</v>
      </c>
      <c r="F251" s="12" t="e">
        <f>'[4]#REF'!F251</f>
        <v>#REF!</v>
      </c>
      <c r="G251" s="12" t="e">
        <f>'[4]#REF'!G251</f>
        <v>#REF!</v>
      </c>
      <c r="H251" s="31" t="e">
        <f>'[4]#REF'!I251</f>
        <v>#REF!</v>
      </c>
      <c r="I251" s="32" t="e">
        <f t="shared" si="10"/>
        <v>#REF!</v>
      </c>
      <c r="K251" s="12" t="e">
        <f>'[4]#REF'!K251</f>
        <v>#REF!</v>
      </c>
      <c r="L251" s="12" t="e">
        <f>'[4]#REF'!L251</f>
        <v>#REF!</v>
      </c>
      <c r="M251" s="31" t="e">
        <f>'[4]#REF'!N251</f>
        <v>#REF!</v>
      </c>
      <c r="N251" s="32" t="e">
        <f t="shared" si="11"/>
        <v>#REF!</v>
      </c>
    </row>
    <row r="252" ht="15.75" spans="1:14">
      <c r="A252" s="12" t="e">
        <f>'[4]#REF'!A252</f>
        <v>#REF!</v>
      </c>
      <c r="B252" s="12" t="e">
        <f>'[4]#REF'!B252</f>
        <v>#REF!</v>
      </c>
      <c r="C252" s="31" t="e">
        <f>'[4]#REF'!D252</f>
        <v>#REF!</v>
      </c>
      <c r="D252" s="32" t="e">
        <f t="shared" si="9"/>
        <v>#REF!</v>
      </c>
      <c r="F252" s="12" t="e">
        <f>'[4]#REF'!F252</f>
        <v>#REF!</v>
      </c>
      <c r="G252" s="12" t="e">
        <f>'[4]#REF'!G252</f>
        <v>#REF!</v>
      </c>
      <c r="H252" s="31" t="e">
        <f>'[4]#REF'!I252</f>
        <v>#REF!</v>
      </c>
      <c r="I252" s="32" t="e">
        <f t="shared" si="10"/>
        <v>#REF!</v>
      </c>
      <c r="K252" s="12" t="e">
        <f>'[4]#REF'!K252</f>
        <v>#REF!</v>
      </c>
      <c r="L252" s="12" t="e">
        <f>'[4]#REF'!L252</f>
        <v>#REF!</v>
      </c>
      <c r="M252" s="31" t="e">
        <f>'[4]#REF'!N252</f>
        <v>#REF!</v>
      </c>
      <c r="N252" s="32" t="e">
        <f t="shared" si="11"/>
        <v>#REF!</v>
      </c>
    </row>
    <row r="253" ht="15.75" spans="1:14">
      <c r="A253" s="12" t="e">
        <f>'[4]#REF'!A253</f>
        <v>#REF!</v>
      </c>
      <c r="B253" s="12" t="e">
        <f>'[4]#REF'!B253</f>
        <v>#REF!</v>
      </c>
      <c r="C253" s="31" t="e">
        <f>'[4]#REF'!D253</f>
        <v>#REF!</v>
      </c>
      <c r="D253" s="32" t="e">
        <f t="shared" si="9"/>
        <v>#REF!</v>
      </c>
      <c r="F253" s="12" t="e">
        <f>'[4]#REF'!F253</f>
        <v>#REF!</v>
      </c>
      <c r="G253" s="12" t="e">
        <f>'[4]#REF'!G253</f>
        <v>#REF!</v>
      </c>
      <c r="H253" s="31" t="e">
        <f>'[4]#REF'!I253</f>
        <v>#REF!</v>
      </c>
      <c r="I253" s="32" t="e">
        <f t="shared" si="10"/>
        <v>#REF!</v>
      </c>
      <c r="K253" s="12" t="e">
        <f>'[4]#REF'!K253</f>
        <v>#REF!</v>
      </c>
      <c r="L253" s="12" t="e">
        <f>'[4]#REF'!L253</f>
        <v>#REF!</v>
      </c>
      <c r="M253" s="31" t="e">
        <f>'[4]#REF'!N253</f>
        <v>#REF!</v>
      </c>
      <c r="N253" s="32" t="e">
        <f t="shared" si="11"/>
        <v>#REF!</v>
      </c>
    </row>
    <row r="254" ht="15.75" spans="1:14">
      <c r="A254" s="12" t="e">
        <f>'[4]#REF'!A254</f>
        <v>#REF!</v>
      </c>
      <c r="B254" s="12" t="e">
        <f>'[4]#REF'!B254</f>
        <v>#REF!</v>
      </c>
      <c r="C254" s="31" t="e">
        <f>'[4]#REF'!D254</f>
        <v>#REF!</v>
      </c>
      <c r="D254" s="32" t="e">
        <f t="shared" si="9"/>
        <v>#REF!</v>
      </c>
      <c r="F254" s="12" t="e">
        <f>'[4]#REF'!F254</f>
        <v>#REF!</v>
      </c>
      <c r="G254" s="12" t="e">
        <f>'[4]#REF'!G254</f>
        <v>#REF!</v>
      </c>
      <c r="H254" s="31" t="e">
        <f>'[4]#REF'!I254</f>
        <v>#REF!</v>
      </c>
      <c r="I254" s="32" t="e">
        <f t="shared" si="10"/>
        <v>#REF!</v>
      </c>
      <c r="K254" s="12" t="e">
        <f>'[4]#REF'!K254</f>
        <v>#REF!</v>
      </c>
      <c r="L254" s="12" t="e">
        <f>'[4]#REF'!L254</f>
        <v>#REF!</v>
      </c>
      <c r="M254" s="31" t="e">
        <f>'[4]#REF'!N254</f>
        <v>#REF!</v>
      </c>
      <c r="N254" s="32" t="e">
        <f t="shared" si="11"/>
        <v>#REF!</v>
      </c>
    </row>
    <row r="255" ht="15.75" spans="1:14">
      <c r="A255" s="12" t="e">
        <f>'[4]#REF'!A255</f>
        <v>#REF!</v>
      </c>
      <c r="B255" s="12" t="e">
        <f>'[4]#REF'!B255</f>
        <v>#REF!</v>
      </c>
      <c r="C255" s="31" t="e">
        <f>'[4]#REF'!D255</f>
        <v>#REF!</v>
      </c>
      <c r="D255" s="32" t="e">
        <f t="shared" si="9"/>
        <v>#REF!</v>
      </c>
      <c r="F255" s="12" t="e">
        <f>'[4]#REF'!F255</f>
        <v>#REF!</v>
      </c>
      <c r="G255" s="12" t="e">
        <f>'[4]#REF'!G255</f>
        <v>#REF!</v>
      </c>
      <c r="H255" s="31" t="e">
        <f>'[4]#REF'!I255</f>
        <v>#REF!</v>
      </c>
      <c r="I255" s="32" t="e">
        <f t="shared" si="10"/>
        <v>#REF!</v>
      </c>
      <c r="K255" s="12" t="e">
        <f>'[4]#REF'!K255</f>
        <v>#REF!</v>
      </c>
      <c r="L255" s="12" t="e">
        <f>'[4]#REF'!L255</f>
        <v>#REF!</v>
      </c>
      <c r="M255" s="31" t="e">
        <f>'[4]#REF'!N255</f>
        <v>#REF!</v>
      </c>
      <c r="N255" s="32" t="e">
        <f t="shared" si="11"/>
        <v>#REF!</v>
      </c>
    </row>
    <row r="256" ht="15.75" spans="1:14">
      <c r="A256" s="12" t="e">
        <f>'[4]#REF'!A256</f>
        <v>#REF!</v>
      </c>
      <c r="B256" s="12" t="e">
        <f>'[4]#REF'!B256</f>
        <v>#REF!</v>
      </c>
      <c r="C256" s="31" t="e">
        <f>'[4]#REF'!D256</f>
        <v>#REF!</v>
      </c>
      <c r="D256" s="32" t="e">
        <f t="shared" si="9"/>
        <v>#REF!</v>
      </c>
      <c r="F256" s="12" t="e">
        <f>'[4]#REF'!F256</f>
        <v>#REF!</v>
      </c>
      <c r="G256" s="12" t="e">
        <f>'[4]#REF'!G256</f>
        <v>#REF!</v>
      </c>
      <c r="H256" s="31" t="e">
        <f>'[4]#REF'!I256</f>
        <v>#REF!</v>
      </c>
      <c r="I256" s="32" t="e">
        <f t="shared" si="10"/>
        <v>#REF!</v>
      </c>
      <c r="K256" s="12" t="e">
        <f>'[4]#REF'!K256</f>
        <v>#REF!</v>
      </c>
      <c r="L256" s="12" t="e">
        <f>'[4]#REF'!L256</f>
        <v>#REF!</v>
      </c>
      <c r="M256" s="31" t="e">
        <f>'[4]#REF'!N256</f>
        <v>#REF!</v>
      </c>
      <c r="N256" s="32" t="e">
        <f t="shared" si="11"/>
        <v>#REF!</v>
      </c>
    </row>
    <row r="257" ht="15.75" spans="1:14">
      <c r="A257" s="12" t="e">
        <f>'[4]#REF'!A257</f>
        <v>#REF!</v>
      </c>
      <c r="B257" s="12" t="e">
        <f>'[4]#REF'!B257</f>
        <v>#REF!</v>
      </c>
      <c r="C257" s="31" t="e">
        <f>'[4]#REF'!D257</f>
        <v>#REF!</v>
      </c>
      <c r="D257" s="32" t="e">
        <f t="shared" si="9"/>
        <v>#REF!</v>
      </c>
      <c r="F257" s="12" t="e">
        <f>'[4]#REF'!F257</f>
        <v>#REF!</v>
      </c>
      <c r="G257" s="12" t="e">
        <f>'[4]#REF'!G257</f>
        <v>#REF!</v>
      </c>
      <c r="H257" s="31" t="e">
        <f>'[4]#REF'!I257</f>
        <v>#REF!</v>
      </c>
      <c r="I257" s="32" t="e">
        <f t="shared" si="10"/>
        <v>#REF!</v>
      </c>
      <c r="K257" s="12" t="e">
        <f>'[4]#REF'!K257</f>
        <v>#REF!</v>
      </c>
      <c r="L257" s="12" t="e">
        <f>'[4]#REF'!L257</f>
        <v>#REF!</v>
      </c>
      <c r="M257" s="31" t="e">
        <f>'[4]#REF'!N257</f>
        <v>#REF!</v>
      </c>
      <c r="N257" s="32" t="e">
        <f t="shared" si="11"/>
        <v>#REF!</v>
      </c>
    </row>
    <row r="258" ht="15.75" spans="1:14">
      <c r="A258" s="12" t="e">
        <f>'[4]#REF'!A258</f>
        <v>#REF!</v>
      </c>
      <c r="B258" s="12" t="e">
        <f>'[4]#REF'!B258</f>
        <v>#REF!</v>
      </c>
      <c r="C258" s="31" t="e">
        <f>'[4]#REF'!D258</f>
        <v>#REF!</v>
      </c>
      <c r="D258" s="32" t="e">
        <f t="shared" si="9"/>
        <v>#REF!</v>
      </c>
      <c r="F258" s="12" t="e">
        <f>'[4]#REF'!F258</f>
        <v>#REF!</v>
      </c>
      <c r="G258" s="12" t="e">
        <f>'[4]#REF'!G258</f>
        <v>#REF!</v>
      </c>
      <c r="H258" s="31" t="e">
        <f>'[4]#REF'!I258</f>
        <v>#REF!</v>
      </c>
      <c r="I258" s="32" t="e">
        <f t="shared" si="10"/>
        <v>#REF!</v>
      </c>
      <c r="K258" s="12" t="e">
        <f>'[4]#REF'!K258</f>
        <v>#REF!</v>
      </c>
      <c r="L258" s="12" t="e">
        <f>'[4]#REF'!L258</f>
        <v>#REF!</v>
      </c>
      <c r="M258" s="31" t="e">
        <f>'[4]#REF'!N258</f>
        <v>#REF!</v>
      </c>
      <c r="N258" s="32" t="e">
        <f t="shared" si="11"/>
        <v>#REF!</v>
      </c>
    </row>
    <row r="259" ht="15.75" spans="1:14">
      <c r="A259" s="12" t="e">
        <f>'[4]#REF'!A259</f>
        <v>#REF!</v>
      </c>
      <c r="B259" s="12" t="e">
        <f>'[4]#REF'!B259</f>
        <v>#REF!</v>
      </c>
      <c r="C259" s="31" t="e">
        <f>'[4]#REF'!D259</f>
        <v>#REF!</v>
      </c>
      <c r="D259" s="32" t="e">
        <f t="shared" si="9"/>
        <v>#REF!</v>
      </c>
      <c r="F259" s="12" t="e">
        <f>'[4]#REF'!F259</f>
        <v>#REF!</v>
      </c>
      <c r="G259" s="12" t="e">
        <f>'[4]#REF'!G259</f>
        <v>#REF!</v>
      </c>
      <c r="H259" s="31" t="e">
        <f>'[4]#REF'!I259</f>
        <v>#REF!</v>
      </c>
      <c r="I259" s="32" t="e">
        <f t="shared" si="10"/>
        <v>#REF!</v>
      </c>
      <c r="K259" s="12" t="e">
        <f>'[4]#REF'!K259</f>
        <v>#REF!</v>
      </c>
      <c r="L259" s="12" t="e">
        <f>'[4]#REF'!L259</f>
        <v>#REF!</v>
      </c>
      <c r="M259" s="31" t="e">
        <f>'[4]#REF'!N259</f>
        <v>#REF!</v>
      </c>
      <c r="N259" s="32" t="e">
        <f t="shared" si="11"/>
        <v>#REF!</v>
      </c>
    </row>
    <row r="260" ht="15.75" spans="1:14">
      <c r="A260" s="12" t="e">
        <f>'[4]#REF'!A260</f>
        <v>#REF!</v>
      </c>
      <c r="B260" s="12" t="e">
        <f>'[4]#REF'!B260</f>
        <v>#REF!</v>
      </c>
      <c r="C260" s="31" t="e">
        <f>'[4]#REF'!D260</f>
        <v>#REF!</v>
      </c>
      <c r="D260" s="32" t="e">
        <f t="shared" si="9"/>
        <v>#REF!</v>
      </c>
      <c r="F260" s="12" t="e">
        <f>'[4]#REF'!F260</f>
        <v>#REF!</v>
      </c>
      <c r="G260" s="12" t="e">
        <f>'[4]#REF'!G260</f>
        <v>#REF!</v>
      </c>
      <c r="H260" s="31" t="e">
        <f>'[4]#REF'!I260</f>
        <v>#REF!</v>
      </c>
      <c r="I260" s="32" t="e">
        <f t="shared" si="10"/>
        <v>#REF!</v>
      </c>
      <c r="K260" s="12" t="e">
        <f>'[4]#REF'!K260</f>
        <v>#REF!</v>
      </c>
      <c r="L260" s="12" t="e">
        <f>'[4]#REF'!L260</f>
        <v>#REF!</v>
      </c>
      <c r="M260" s="31" t="e">
        <f>'[4]#REF'!N260</f>
        <v>#REF!</v>
      </c>
      <c r="N260" s="32" t="e">
        <f t="shared" si="11"/>
        <v>#REF!</v>
      </c>
    </row>
    <row r="261" ht="15.75" spans="1:14">
      <c r="A261" s="12" t="e">
        <f>'[4]#REF'!A261</f>
        <v>#REF!</v>
      </c>
      <c r="B261" s="12" t="e">
        <f>'[4]#REF'!B261</f>
        <v>#REF!</v>
      </c>
      <c r="C261" s="31" t="e">
        <f>'[4]#REF'!D261</f>
        <v>#REF!</v>
      </c>
      <c r="D261" s="32" t="e">
        <f t="shared" si="9"/>
        <v>#REF!</v>
      </c>
      <c r="F261" s="12" t="e">
        <f>'[4]#REF'!F261</f>
        <v>#REF!</v>
      </c>
      <c r="G261" s="12" t="e">
        <f>'[4]#REF'!G261</f>
        <v>#REF!</v>
      </c>
      <c r="H261" s="31" t="e">
        <f>'[4]#REF'!I261</f>
        <v>#REF!</v>
      </c>
      <c r="I261" s="32" t="e">
        <f t="shared" si="10"/>
        <v>#REF!</v>
      </c>
      <c r="K261" s="12" t="e">
        <f>'[4]#REF'!K261</f>
        <v>#REF!</v>
      </c>
      <c r="L261" s="12" t="e">
        <f>'[4]#REF'!L261</f>
        <v>#REF!</v>
      </c>
      <c r="M261" s="31" t="e">
        <f>'[4]#REF'!N261</f>
        <v>#REF!</v>
      </c>
      <c r="N261" s="32" t="e">
        <f t="shared" si="11"/>
        <v>#REF!</v>
      </c>
    </row>
    <row r="262" ht="15.75" spans="1:14">
      <c r="A262" s="12" t="e">
        <f>'[4]#REF'!A262</f>
        <v>#REF!</v>
      </c>
      <c r="B262" s="12" t="e">
        <f>'[4]#REF'!B262</f>
        <v>#REF!</v>
      </c>
      <c r="C262" s="31" t="e">
        <f>'[4]#REF'!D262</f>
        <v>#REF!</v>
      </c>
      <c r="D262" s="32" t="e">
        <f t="shared" ref="D262:D325" si="12">ROUND(C262/$D$4*100,2)</f>
        <v>#REF!</v>
      </c>
      <c r="F262" s="12" t="e">
        <f>'[4]#REF'!F262</f>
        <v>#REF!</v>
      </c>
      <c r="G262" s="12" t="e">
        <f>'[4]#REF'!G262</f>
        <v>#REF!</v>
      </c>
      <c r="H262" s="31" t="e">
        <f>'[4]#REF'!I262</f>
        <v>#REF!</v>
      </c>
      <c r="I262" s="32" t="e">
        <f t="shared" ref="I262:I325" si="13">ROUND(H262/$I$4*100,2)</f>
        <v>#REF!</v>
      </c>
      <c r="K262" s="12" t="e">
        <f>'[4]#REF'!K262</f>
        <v>#REF!</v>
      </c>
      <c r="L262" s="12" t="e">
        <f>'[4]#REF'!L262</f>
        <v>#REF!</v>
      </c>
      <c r="M262" s="31" t="e">
        <f>'[4]#REF'!N262</f>
        <v>#REF!</v>
      </c>
      <c r="N262" s="32" t="e">
        <f t="shared" ref="N262:N325" si="14">ROUND(M262/$N$4*100,2)</f>
        <v>#REF!</v>
      </c>
    </row>
    <row r="263" ht="15.75" spans="1:14">
      <c r="A263" s="12" t="e">
        <f>'[4]#REF'!A263</f>
        <v>#REF!</v>
      </c>
      <c r="B263" s="12" t="e">
        <f>'[4]#REF'!B263</f>
        <v>#REF!</v>
      </c>
      <c r="C263" s="31" t="e">
        <f>'[4]#REF'!D263</f>
        <v>#REF!</v>
      </c>
      <c r="D263" s="32" t="e">
        <f t="shared" si="12"/>
        <v>#REF!</v>
      </c>
      <c r="F263" s="12" t="e">
        <f>'[4]#REF'!F263</f>
        <v>#REF!</v>
      </c>
      <c r="G263" s="12" t="e">
        <f>'[4]#REF'!G263</f>
        <v>#REF!</v>
      </c>
      <c r="H263" s="31" t="e">
        <f>'[4]#REF'!I263</f>
        <v>#REF!</v>
      </c>
      <c r="I263" s="32" t="e">
        <f t="shared" si="13"/>
        <v>#REF!</v>
      </c>
      <c r="K263" s="12" t="e">
        <f>'[4]#REF'!K263</f>
        <v>#REF!</v>
      </c>
      <c r="L263" s="12" t="e">
        <f>'[4]#REF'!L263</f>
        <v>#REF!</v>
      </c>
      <c r="M263" s="31" t="e">
        <f>'[4]#REF'!N263</f>
        <v>#REF!</v>
      </c>
      <c r="N263" s="32" t="e">
        <f t="shared" si="14"/>
        <v>#REF!</v>
      </c>
    </row>
    <row r="264" ht="15.75" spans="1:14">
      <c r="A264" s="12" t="e">
        <f>'[4]#REF'!A264</f>
        <v>#REF!</v>
      </c>
      <c r="B264" s="12" t="e">
        <f>'[4]#REF'!B264</f>
        <v>#REF!</v>
      </c>
      <c r="C264" s="31" t="e">
        <f>'[4]#REF'!D264</f>
        <v>#REF!</v>
      </c>
      <c r="D264" s="32" t="e">
        <f t="shared" si="12"/>
        <v>#REF!</v>
      </c>
      <c r="F264" s="12" t="e">
        <f>'[4]#REF'!F264</f>
        <v>#REF!</v>
      </c>
      <c r="G264" s="12" t="e">
        <f>'[4]#REF'!G264</f>
        <v>#REF!</v>
      </c>
      <c r="H264" s="31" t="e">
        <f>'[4]#REF'!I264</f>
        <v>#REF!</v>
      </c>
      <c r="I264" s="32" t="e">
        <f t="shared" si="13"/>
        <v>#REF!</v>
      </c>
      <c r="K264" s="12" t="e">
        <f>'[4]#REF'!K264</f>
        <v>#REF!</v>
      </c>
      <c r="L264" s="12" t="e">
        <f>'[4]#REF'!L264</f>
        <v>#REF!</v>
      </c>
      <c r="M264" s="31" t="e">
        <f>'[4]#REF'!N264</f>
        <v>#REF!</v>
      </c>
      <c r="N264" s="32" t="e">
        <f t="shared" si="14"/>
        <v>#REF!</v>
      </c>
    </row>
    <row r="265" ht="15.75" spans="1:14">
      <c r="A265" s="12" t="e">
        <f>'[4]#REF'!A265</f>
        <v>#REF!</v>
      </c>
      <c r="B265" s="12" t="e">
        <f>'[4]#REF'!B265</f>
        <v>#REF!</v>
      </c>
      <c r="C265" s="31" t="e">
        <f>'[4]#REF'!D265</f>
        <v>#REF!</v>
      </c>
      <c r="D265" s="32" t="e">
        <f t="shared" si="12"/>
        <v>#REF!</v>
      </c>
      <c r="F265" s="12" t="e">
        <f>'[4]#REF'!F265</f>
        <v>#REF!</v>
      </c>
      <c r="G265" s="12" t="e">
        <f>'[4]#REF'!G265</f>
        <v>#REF!</v>
      </c>
      <c r="H265" s="31" t="e">
        <f>'[4]#REF'!I265</f>
        <v>#REF!</v>
      </c>
      <c r="I265" s="32" t="e">
        <f t="shared" si="13"/>
        <v>#REF!</v>
      </c>
      <c r="K265" s="12" t="e">
        <f>'[4]#REF'!K265</f>
        <v>#REF!</v>
      </c>
      <c r="L265" s="12" t="e">
        <f>'[4]#REF'!L265</f>
        <v>#REF!</v>
      </c>
      <c r="M265" s="31" t="e">
        <f>'[4]#REF'!N265</f>
        <v>#REF!</v>
      </c>
      <c r="N265" s="32" t="e">
        <f t="shared" si="14"/>
        <v>#REF!</v>
      </c>
    </row>
    <row r="266" ht="15.75" spans="1:14">
      <c r="A266" s="12" t="e">
        <f>'[4]#REF'!A266</f>
        <v>#REF!</v>
      </c>
      <c r="B266" s="12" t="e">
        <f>'[4]#REF'!B266</f>
        <v>#REF!</v>
      </c>
      <c r="C266" s="31" t="e">
        <f>'[4]#REF'!D266</f>
        <v>#REF!</v>
      </c>
      <c r="D266" s="32" t="e">
        <f t="shared" si="12"/>
        <v>#REF!</v>
      </c>
      <c r="F266" s="12" t="e">
        <f>'[4]#REF'!F266</f>
        <v>#REF!</v>
      </c>
      <c r="G266" s="12" t="e">
        <f>'[4]#REF'!G266</f>
        <v>#REF!</v>
      </c>
      <c r="H266" s="31" t="e">
        <f>'[4]#REF'!I266</f>
        <v>#REF!</v>
      </c>
      <c r="I266" s="32" t="e">
        <f t="shared" si="13"/>
        <v>#REF!</v>
      </c>
      <c r="K266" s="12" t="e">
        <f>'[4]#REF'!K266</f>
        <v>#REF!</v>
      </c>
      <c r="L266" s="12" t="e">
        <f>'[4]#REF'!L266</f>
        <v>#REF!</v>
      </c>
      <c r="M266" s="31" t="e">
        <f>'[4]#REF'!N266</f>
        <v>#REF!</v>
      </c>
      <c r="N266" s="32" t="e">
        <f t="shared" si="14"/>
        <v>#REF!</v>
      </c>
    </row>
    <row r="267" ht="15.75" spans="1:14">
      <c r="A267" s="12" t="e">
        <f>'[4]#REF'!A267</f>
        <v>#REF!</v>
      </c>
      <c r="B267" s="12" t="e">
        <f>'[4]#REF'!B267</f>
        <v>#REF!</v>
      </c>
      <c r="C267" s="31" t="e">
        <f>'[4]#REF'!D267</f>
        <v>#REF!</v>
      </c>
      <c r="D267" s="32" t="e">
        <f t="shared" si="12"/>
        <v>#REF!</v>
      </c>
      <c r="F267" s="12" t="e">
        <f>'[4]#REF'!F267</f>
        <v>#REF!</v>
      </c>
      <c r="G267" s="12" t="e">
        <f>'[4]#REF'!G267</f>
        <v>#REF!</v>
      </c>
      <c r="H267" s="31" t="e">
        <f>'[4]#REF'!I267</f>
        <v>#REF!</v>
      </c>
      <c r="I267" s="32" t="e">
        <f t="shared" si="13"/>
        <v>#REF!</v>
      </c>
      <c r="K267" s="12" t="e">
        <f>'[4]#REF'!K267</f>
        <v>#REF!</v>
      </c>
      <c r="L267" s="12" t="e">
        <f>'[4]#REF'!L267</f>
        <v>#REF!</v>
      </c>
      <c r="M267" s="31" t="e">
        <f>'[4]#REF'!N267</f>
        <v>#REF!</v>
      </c>
      <c r="N267" s="32" t="e">
        <f t="shared" si="14"/>
        <v>#REF!</v>
      </c>
    </row>
    <row r="268" ht="15.75" spans="1:14">
      <c r="A268" s="12" t="e">
        <f>'[4]#REF'!A268</f>
        <v>#REF!</v>
      </c>
      <c r="B268" s="12" t="e">
        <f>'[4]#REF'!B268</f>
        <v>#REF!</v>
      </c>
      <c r="C268" s="31" t="e">
        <f>'[4]#REF'!D268</f>
        <v>#REF!</v>
      </c>
      <c r="D268" s="32" t="e">
        <f t="shared" si="12"/>
        <v>#REF!</v>
      </c>
      <c r="F268" s="12" t="e">
        <f>'[4]#REF'!F268</f>
        <v>#REF!</v>
      </c>
      <c r="G268" s="12" t="e">
        <f>'[4]#REF'!G268</f>
        <v>#REF!</v>
      </c>
      <c r="H268" s="31" t="e">
        <f>'[4]#REF'!I268</f>
        <v>#REF!</v>
      </c>
      <c r="I268" s="32" t="e">
        <f t="shared" si="13"/>
        <v>#REF!</v>
      </c>
      <c r="K268" s="12" t="e">
        <f>'[4]#REF'!K268</f>
        <v>#REF!</v>
      </c>
      <c r="L268" s="12" t="e">
        <f>'[4]#REF'!L268</f>
        <v>#REF!</v>
      </c>
      <c r="M268" s="31" t="e">
        <f>'[4]#REF'!N268</f>
        <v>#REF!</v>
      </c>
      <c r="N268" s="32" t="e">
        <f t="shared" si="14"/>
        <v>#REF!</v>
      </c>
    </row>
    <row r="269" ht="15.75" spans="1:14">
      <c r="A269" s="12" t="e">
        <f>'[4]#REF'!A269</f>
        <v>#REF!</v>
      </c>
      <c r="B269" s="12" t="e">
        <f>'[4]#REF'!B269</f>
        <v>#REF!</v>
      </c>
      <c r="C269" s="31" t="e">
        <f>'[4]#REF'!D269</f>
        <v>#REF!</v>
      </c>
      <c r="D269" s="32" t="e">
        <f t="shared" si="12"/>
        <v>#REF!</v>
      </c>
      <c r="F269" s="12" t="e">
        <f>'[4]#REF'!F269</f>
        <v>#REF!</v>
      </c>
      <c r="G269" s="12" t="e">
        <f>'[4]#REF'!G269</f>
        <v>#REF!</v>
      </c>
      <c r="H269" s="31" t="e">
        <f>'[4]#REF'!I269</f>
        <v>#REF!</v>
      </c>
      <c r="I269" s="32" t="e">
        <f t="shared" si="13"/>
        <v>#REF!</v>
      </c>
      <c r="K269" s="12" t="e">
        <f>'[4]#REF'!K269</f>
        <v>#REF!</v>
      </c>
      <c r="L269" s="12" t="e">
        <f>'[4]#REF'!L269</f>
        <v>#REF!</v>
      </c>
      <c r="M269" s="31" t="e">
        <f>'[4]#REF'!N269</f>
        <v>#REF!</v>
      </c>
      <c r="N269" s="32" t="e">
        <f t="shared" si="14"/>
        <v>#REF!</v>
      </c>
    </row>
    <row r="270" ht="15.75" spans="1:14">
      <c r="A270" s="12" t="e">
        <f>'[4]#REF'!A270</f>
        <v>#REF!</v>
      </c>
      <c r="B270" s="12" t="e">
        <f>'[4]#REF'!B270</f>
        <v>#REF!</v>
      </c>
      <c r="C270" s="31" t="e">
        <f>'[4]#REF'!D270</f>
        <v>#REF!</v>
      </c>
      <c r="D270" s="32" t="e">
        <f t="shared" si="12"/>
        <v>#REF!</v>
      </c>
      <c r="F270" s="12" t="e">
        <f>'[4]#REF'!F270</f>
        <v>#REF!</v>
      </c>
      <c r="G270" s="12" t="e">
        <f>'[4]#REF'!G270</f>
        <v>#REF!</v>
      </c>
      <c r="H270" s="31" t="e">
        <f>'[4]#REF'!I270</f>
        <v>#REF!</v>
      </c>
      <c r="I270" s="32" t="e">
        <f t="shared" si="13"/>
        <v>#REF!</v>
      </c>
      <c r="K270" s="12" t="e">
        <f>'[4]#REF'!K270</f>
        <v>#REF!</v>
      </c>
      <c r="L270" s="12" t="e">
        <f>'[4]#REF'!L270</f>
        <v>#REF!</v>
      </c>
      <c r="M270" s="31" t="e">
        <f>'[4]#REF'!N270</f>
        <v>#REF!</v>
      </c>
      <c r="N270" s="32" t="e">
        <f t="shared" si="14"/>
        <v>#REF!</v>
      </c>
    </row>
    <row r="271" ht="15.75" spans="1:14">
      <c r="A271" s="12" t="e">
        <f>'[4]#REF'!A271</f>
        <v>#REF!</v>
      </c>
      <c r="B271" s="12" t="e">
        <f>'[4]#REF'!B271</f>
        <v>#REF!</v>
      </c>
      <c r="C271" s="31" t="e">
        <f>'[4]#REF'!D271</f>
        <v>#REF!</v>
      </c>
      <c r="D271" s="32" t="e">
        <f t="shared" si="12"/>
        <v>#REF!</v>
      </c>
      <c r="F271" s="12" t="e">
        <f>'[4]#REF'!F271</f>
        <v>#REF!</v>
      </c>
      <c r="G271" s="12" t="e">
        <f>'[4]#REF'!G271</f>
        <v>#REF!</v>
      </c>
      <c r="H271" s="31" t="e">
        <f>'[4]#REF'!I271</f>
        <v>#REF!</v>
      </c>
      <c r="I271" s="32" t="e">
        <f t="shared" si="13"/>
        <v>#REF!</v>
      </c>
      <c r="K271" s="12" t="e">
        <f>'[4]#REF'!K271</f>
        <v>#REF!</v>
      </c>
      <c r="L271" s="12" t="e">
        <f>'[4]#REF'!L271</f>
        <v>#REF!</v>
      </c>
      <c r="M271" s="31" t="e">
        <f>'[4]#REF'!N271</f>
        <v>#REF!</v>
      </c>
      <c r="N271" s="32" t="e">
        <f t="shared" si="14"/>
        <v>#REF!</v>
      </c>
    </row>
    <row r="272" ht="15.75" spans="1:14">
      <c r="A272" s="12" t="e">
        <f>'[4]#REF'!A272</f>
        <v>#REF!</v>
      </c>
      <c r="B272" s="12" t="e">
        <f>'[4]#REF'!B272</f>
        <v>#REF!</v>
      </c>
      <c r="C272" s="31" t="e">
        <f>'[4]#REF'!D272</f>
        <v>#REF!</v>
      </c>
      <c r="D272" s="32" t="e">
        <f t="shared" si="12"/>
        <v>#REF!</v>
      </c>
      <c r="F272" s="12" t="e">
        <f>'[4]#REF'!F272</f>
        <v>#REF!</v>
      </c>
      <c r="G272" s="12" t="e">
        <f>'[4]#REF'!G272</f>
        <v>#REF!</v>
      </c>
      <c r="H272" s="31" t="e">
        <f>'[4]#REF'!I272</f>
        <v>#REF!</v>
      </c>
      <c r="I272" s="32" t="e">
        <f t="shared" si="13"/>
        <v>#REF!</v>
      </c>
      <c r="K272" s="12" t="e">
        <f>'[4]#REF'!K272</f>
        <v>#REF!</v>
      </c>
      <c r="L272" s="12" t="e">
        <f>'[4]#REF'!L272</f>
        <v>#REF!</v>
      </c>
      <c r="M272" s="31" t="e">
        <f>'[4]#REF'!N272</f>
        <v>#REF!</v>
      </c>
      <c r="N272" s="32" t="e">
        <f t="shared" si="14"/>
        <v>#REF!</v>
      </c>
    </row>
    <row r="273" ht="15.75" spans="1:14">
      <c r="A273" s="12" t="e">
        <f>'[4]#REF'!A273</f>
        <v>#REF!</v>
      </c>
      <c r="B273" s="12" t="e">
        <f>'[4]#REF'!B273</f>
        <v>#REF!</v>
      </c>
      <c r="C273" s="31" t="e">
        <f>'[4]#REF'!D273</f>
        <v>#REF!</v>
      </c>
      <c r="D273" s="32" t="e">
        <f t="shared" si="12"/>
        <v>#REF!</v>
      </c>
      <c r="F273" s="12" t="e">
        <f>'[4]#REF'!F273</f>
        <v>#REF!</v>
      </c>
      <c r="G273" s="12" t="e">
        <f>'[4]#REF'!G273</f>
        <v>#REF!</v>
      </c>
      <c r="H273" s="31" t="e">
        <f>'[4]#REF'!I273</f>
        <v>#REF!</v>
      </c>
      <c r="I273" s="32" t="e">
        <f t="shared" si="13"/>
        <v>#REF!</v>
      </c>
      <c r="K273" s="12" t="e">
        <f>'[4]#REF'!K273</f>
        <v>#REF!</v>
      </c>
      <c r="L273" s="12" t="e">
        <f>'[4]#REF'!L273</f>
        <v>#REF!</v>
      </c>
      <c r="M273" s="31" t="e">
        <f>'[4]#REF'!N273</f>
        <v>#REF!</v>
      </c>
      <c r="N273" s="32" t="e">
        <f t="shared" si="14"/>
        <v>#REF!</v>
      </c>
    </row>
    <row r="274" ht="15.75" spans="1:14">
      <c r="A274" s="12" t="e">
        <f>'[4]#REF'!A274</f>
        <v>#REF!</v>
      </c>
      <c r="B274" s="12" t="e">
        <f>'[4]#REF'!B274</f>
        <v>#REF!</v>
      </c>
      <c r="C274" s="31" t="e">
        <f>'[4]#REF'!D274</f>
        <v>#REF!</v>
      </c>
      <c r="D274" s="32" t="e">
        <f t="shared" si="12"/>
        <v>#REF!</v>
      </c>
      <c r="F274" s="12" t="e">
        <f>'[4]#REF'!F274</f>
        <v>#REF!</v>
      </c>
      <c r="G274" s="12" t="e">
        <f>'[4]#REF'!G274</f>
        <v>#REF!</v>
      </c>
      <c r="H274" s="31" t="e">
        <f>'[4]#REF'!I274</f>
        <v>#REF!</v>
      </c>
      <c r="I274" s="32" t="e">
        <f t="shared" si="13"/>
        <v>#REF!</v>
      </c>
      <c r="K274" s="12" t="e">
        <f>'[4]#REF'!K274</f>
        <v>#REF!</v>
      </c>
      <c r="L274" s="12" t="e">
        <f>'[4]#REF'!L274</f>
        <v>#REF!</v>
      </c>
      <c r="M274" s="31" t="e">
        <f>'[4]#REF'!N274</f>
        <v>#REF!</v>
      </c>
      <c r="N274" s="32" t="e">
        <f t="shared" si="14"/>
        <v>#REF!</v>
      </c>
    </row>
    <row r="275" ht="15.75" spans="1:14">
      <c r="A275" s="12" t="e">
        <f>'[4]#REF'!A275</f>
        <v>#REF!</v>
      </c>
      <c r="B275" s="12" t="e">
        <f>'[4]#REF'!B275</f>
        <v>#REF!</v>
      </c>
      <c r="C275" s="31" t="e">
        <f>'[4]#REF'!D275</f>
        <v>#REF!</v>
      </c>
      <c r="D275" s="32" t="e">
        <f t="shared" si="12"/>
        <v>#REF!</v>
      </c>
      <c r="F275" s="12" t="e">
        <f>'[4]#REF'!F275</f>
        <v>#REF!</v>
      </c>
      <c r="G275" s="12" t="e">
        <f>'[4]#REF'!G275</f>
        <v>#REF!</v>
      </c>
      <c r="H275" s="31" t="e">
        <f>'[4]#REF'!I275</f>
        <v>#REF!</v>
      </c>
      <c r="I275" s="32" t="e">
        <f t="shared" si="13"/>
        <v>#REF!</v>
      </c>
      <c r="K275" s="12" t="e">
        <f>'[4]#REF'!K275</f>
        <v>#REF!</v>
      </c>
      <c r="L275" s="12" t="e">
        <f>'[4]#REF'!L275</f>
        <v>#REF!</v>
      </c>
      <c r="M275" s="31" t="e">
        <f>'[4]#REF'!N275</f>
        <v>#REF!</v>
      </c>
      <c r="N275" s="32" t="e">
        <f t="shared" si="14"/>
        <v>#REF!</v>
      </c>
    </row>
    <row r="276" ht="15.75" spans="1:14">
      <c r="A276" s="12" t="e">
        <f>'[4]#REF'!A276</f>
        <v>#REF!</v>
      </c>
      <c r="B276" s="12" t="e">
        <f>'[4]#REF'!B276</f>
        <v>#REF!</v>
      </c>
      <c r="C276" s="31" t="e">
        <f>'[4]#REF'!D276</f>
        <v>#REF!</v>
      </c>
      <c r="D276" s="32" t="e">
        <f t="shared" si="12"/>
        <v>#REF!</v>
      </c>
      <c r="F276" s="12" t="e">
        <f>'[4]#REF'!F276</f>
        <v>#REF!</v>
      </c>
      <c r="G276" s="12" t="e">
        <f>'[4]#REF'!G276</f>
        <v>#REF!</v>
      </c>
      <c r="H276" s="31" t="e">
        <f>'[4]#REF'!I276</f>
        <v>#REF!</v>
      </c>
      <c r="I276" s="32" t="e">
        <f t="shared" si="13"/>
        <v>#REF!</v>
      </c>
      <c r="K276" s="12" t="e">
        <f>'[4]#REF'!K276</f>
        <v>#REF!</v>
      </c>
      <c r="L276" s="12" t="e">
        <f>'[4]#REF'!L276</f>
        <v>#REF!</v>
      </c>
      <c r="M276" s="31" t="e">
        <f>'[4]#REF'!N276</f>
        <v>#REF!</v>
      </c>
      <c r="N276" s="32" t="e">
        <f t="shared" si="14"/>
        <v>#REF!</v>
      </c>
    </row>
    <row r="277" ht="15.75" spans="1:14">
      <c r="A277" s="12" t="e">
        <f>'[4]#REF'!A277</f>
        <v>#REF!</v>
      </c>
      <c r="B277" s="12" t="e">
        <f>'[4]#REF'!B277</f>
        <v>#REF!</v>
      </c>
      <c r="C277" s="31" t="e">
        <f>'[4]#REF'!D277</f>
        <v>#REF!</v>
      </c>
      <c r="D277" s="32" t="e">
        <f t="shared" si="12"/>
        <v>#REF!</v>
      </c>
      <c r="F277" s="12" t="e">
        <f>'[4]#REF'!F277</f>
        <v>#REF!</v>
      </c>
      <c r="G277" s="12" t="e">
        <f>'[4]#REF'!G277</f>
        <v>#REF!</v>
      </c>
      <c r="H277" s="31" t="e">
        <f>'[4]#REF'!I277</f>
        <v>#REF!</v>
      </c>
      <c r="I277" s="32" t="e">
        <f t="shared" si="13"/>
        <v>#REF!</v>
      </c>
      <c r="K277" s="12" t="e">
        <f>'[4]#REF'!K277</f>
        <v>#REF!</v>
      </c>
      <c r="L277" s="12" t="e">
        <f>'[4]#REF'!L277</f>
        <v>#REF!</v>
      </c>
      <c r="M277" s="31" t="e">
        <f>'[4]#REF'!N277</f>
        <v>#REF!</v>
      </c>
      <c r="N277" s="32" t="e">
        <f t="shared" si="14"/>
        <v>#REF!</v>
      </c>
    </row>
    <row r="278" ht="15.75" spans="1:14">
      <c r="A278" s="12" t="e">
        <f>'[4]#REF'!A278</f>
        <v>#REF!</v>
      </c>
      <c r="B278" s="12" t="e">
        <f>'[4]#REF'!B278</f>
        <v>#REF!</v>
      </c>
      <c r="C278" s="31" t="e">
        <f>'[4]#REF'!D278</f>
        <v>#REF!</v>
      </c>
      <c r="D278" s="32" t="e">
        <f t="shared" si="12"/>
        <v>#REF!</v>
      </c>
      <c r="F278" s="12" t="e">
        <f>'[4]#REF'!F278</f>
        <v>#REF!</v>
      </c>
      <c r="G278" s="12" t="e">
        <f>'[4]#REF'!G278</f>
        <v>#REF!</v>
      </c>
      <c r="H278" s="31" t="e">
        <f>'[4]#REF'!I278</f>
        <v>#REF!</v>
      </c>
      <c r="I278" s="32" t="e">
        <f t="shared" si="13"/>
        <v>#REF!</v>
      </c>
      <c r="K278" s="12" t="e">
        <f>'[4]#REF'!K278</f>
        <v>#REF!</v>
      </c>
      <c r="L278" s="12" t="e">
        <f>'[4]#REF'!L278</f>
        <v>#REF!</v>
      </c>
      <c r="M278" s="31" t="e">
        <f>'[4]#REF'!N278</f>
        <v>#REF!</v>
      </c>
      <c r="N278" s="32" t="e">
        <f t="shared" si="14"/>
        <v>#REF!</v>
      </c>
    </row>
    <row r="279" ht="15.75" spans="1:14">
      <c r="A279" s="12" t="e">
        <f>'[4]#REF'!A279</f>
        <v>#REF!</v>
      </c>
      <c r="B279" s="12" t="e">
        <f>'[4]#REF'!B279</f>
        <v>#REF!</v>
      </c>
      <c r="C279" s="31" t="e">
        <f>'[4]#REF'!D279</f>
        <v>#REF!</v>
      </c>
      <c r="D279" s="32" t="e">
        <f t="shared" si="12"/>
        <v>#REF!</v>
      </c>
      <c r="F279" s="12" t="e">
        <f>'[4]#REF'!F279</f>
        <v>#REF!</v>
      </c>
      <c r="G279" s="12" t="e">
        <f>'[4]#REF'!G279</f>
        <v>#REF!</v>
      </c>
      <c r="H279" s="31" t="e">
        <f>'[4]#REF'!I279</f>
        <v>#REF!</v>
      </c>
      <c r="I279" s="32" t="e">
        <f t="shared" si="13"/>
        <v>#REF!</v>
      </c>
      <c r="K279" s="12" t="e">
        <f>'[4]#REF'!K279</f>
        <v>#REF!</v>
      </c>
      <c r="L279" s="12" t="e">
        <f>'[4]#REF'!L279</f>
        <v>#REF!</v>
      </c>
      <c r="M279" s="31" t="e">
        <f>'[4]#REF'!N279</f>
        <v>#REF!</v>
      </c>
      <c r="N279" s="32" t="e">
        <f t="shared" si="14"/>
        <v>#REF!</v>
      </c>
    </row>
    <row r="280" ht="15.75" spans="1:14">
      <c r="A280" s="12" t="e">
        <f>'[4]#REF'!A280</f>
        <v>#REF!</v>
      </c>
      <c r="B280" s="12" t="e">
        <f>'[4]#REF'!B280</f>
        <v>#REF!</v>
      </c>
      <c r="C280" s="31" t="e">
        <f>'[4]#REF'!D280</f>
        <v>#REF!</v>
      </c>
      <c r="D280" s="32" t="e">
        <f t="shared" si="12"/>
        <v>#REF!</v>
      </c>
      <c r="F280" s="12" t="e">
        <f>'[4]#REF'!F280</f>
        <v>#REF!</v>
      </c>
      <c r="G280" s="12" t="e">
        <f>'[4]#REF'!G280</f>
        <v>#REF!</v>
      </c>
      <c r="H280" s="31" t="e">
        <f>'[4]#REF'!I280</f>
        <v>#REF!</v>
      </c>
      <c r="I280" s="32" t="e">
        <f t="shared" si="13"/>
        <v>#REF!</v>
      </c>
      <c r="K280" s="12" t="e">
        <f>'[4]#REF'!K280</f>
        <v>#REF!</v>
      </c>
      <c r="L280" s="12" t="e">
        <f>'[4]#REF'!L280</f>
        <v>#REF!</v>
      </c>
      <c r="M280" s="31" t="e">
        <f>'[4]#REF'!N280</f>
        <v>#REF!</v>
      </c>
      <c r="N280" s="32" t="e">
        <f t="shared" si="14"/>
        <v>#REF!</v>
      </c>
    </row>
    <row r="281" ht="15.75" spans="1:14">
      <c r="A281" s="12" t="e">
        <f>'[4]#REF'!A281</f>
        <v>#REF!</v>
      </c>
      <c r="B281" s="12" t="e">
        <f>'[4]#REF'!B281</f>
        <v>#REF!</v>
      </c>
      <c r="C281" s="31" t="e">
        <f>'[4]#REF'!D281</f>
        <v>#REF!</v>
      </c>
      <c r="D281" s="32" t="e">
        <f t="shared" si="12"/>
        <v>#REF!</v>
      </c>
      <c r="F281" s="12" t="e">
        <f>'[4]#REF'!F281</f>
        <v>#REF!</v>
      </c>
      <c r="G281" s="12" t="e">
        <f>'[4]#REF'!G281</f>
        <v>#REF!</v>
      </c>
      <c r="H281" s="31" t="e">
        <f>'[4]#REF'!I281</f>
        <v>#REF!</v>
      </c>
      <c r="I281" s="32" t="e">
        <f t="shared" si="13"/>
        <v>#REF!</v>
      </c>
      <c r="K281" s="12" t="e">
        <f>'[4]#REF'!K281</f>
        <v>#REF!</v>
      </c>
      <c r="L281" s="12" t="e">
        <f>'[4]#REF'!L281</f>
        <v>#REF!</v>
      </c>
      <c r="M281" s="31" t="e">
        <f>'[4]#REF'!N281</f>
        <v>#REF!</v>
      </c>
      <c r="N281" s="32" t="e">
        <f t="shared" si="14"/>
        <v>#REF!</v>
      </c>
    </row>
    <row r="282" ht="15.75" spans="1:14">
      <c r="A282" s="12" t="e">
        <f>'[4]#REF'!A282</f>
        <v>#REF!</v>
      </c>
      <c r="B282" s="12" t="e">
        <f>'[4]#REF'!B282</f>
        <v>#REF!</v>
      </c>
      <c r="C282" s="31" t="e">
        <f>'[4]#REF'!D282</f>
        <v>#REF!</v>
      </c>
      <c r="D282" s="32" t="e">
        <f t="shared" si="12"/>
        <v>#REF!</v>
      </c>
      <c r="F282" s="12" t="e">
        <f>'[4]#REF'!F282</f>
        <v>#REF!</v>
      </c>
      <c r="G282" s="12" t="e">
        <f>'[4]#REF'!G282</f>
        <v>#REF!</v>
      </c>
      <c r="H282" s="31" t="e">
        <f>'[4]#REF'!I282</f>
        <v>#REF!</v>
      </c>
      <c r="I282" s="32" t="e">
        <f t="shared" si="13"/>
        <v>#REF!</v>
      </c>
      <c r="K282" s="12" t="e">
        <f>'[4]#REF'!K282</f>
        <v>#REF!</v>
      </c>
      <c r="L282" s="12" t="e">
        <f>'[4]#REF'!L282</f>
        <v>#REF!</v>
      </c>
      <c r="M282" s="31" t="e">
        <f>'[4]#REF'!N282</f>
        <v>#REF!</v>
      </c>
      <c r="N282" s="32" t="e">
        <f t="shared" si="14"/>
        <v>#REF!</v>
      </c>
    </row>
    <row r="283" ht="15.75" spans="1:14">
      <c r="A283" s="12" t="e">
        <f>'[4]#REF'!A283</f>
        <v>#REF!</v>
      </c>
      <c r="B283" s="12" t="e">
        <f>'[4]#REF'!B283</f>
        <v>#REF!</v>
      </c>
      <c r="C283" s="31" t="e">
        <f>'[4]#REF'!D283</f>
        <v>#REF!</v>
      </c>
      <c r="D283" s="32" t="e">
        <f t="shared" si="12"/>
        <v>#REF!</v>
      </c>
      <c r="F283" s="12" t="e">
        <f>'[4]#REF'!F283</f>
        <v>#REF!</v>
      </c>
      <c r="G283" s="12" t="e">
        <f>'[4]#REF'!G283</f>
        <v>#REF!</v>
      </c>
      <c r="H283" s="31" t="e">
        <f>'[4]#REF'!I283</f>
        <v>#REF!</v>
      </c>
      <c r="I283" s="32" t="e">
        <f t="shared" si="13"/>
        <v>#REF!</v>
      </c>
      <c r="K283" s="12" t="e">
        <f>'[4]#REF'!K283</f>
        <v>#REF!</v>
      </c>
      <c r="L283" s="12" t="e">
        <f>'[4]#REF'!L283</f>
        <v>#REF!</v>
      </c>
      <c r="M283" s="31" t="e">
        <f>'[4]#REF'!N283</f>
        <v>#REF!</v>
      </c>
      <c r="N283" s="32" t="e">
        <f t="shared" si="14"/>
        <v>#REF!</v>
      </c>
    </row>
    <row r="284" ht="15.75" spans="1:14">
      <c r="A284" s="12" t="e">
        <f>'[4]#REF'!A284</f>
        <v>#REF!</v>
      </c>
      <c r="B284" s="12" t="e">
        <f>'[4]#REF'!B284</f>
        <v>#REF!</v>
      </c>
      <c r="C284" s="31" t="e">
        <f>'[4]#REF'!D284</f>
        <v>#REF!</v>
      </c>
      <c r="D284" s="32" t="e">
        <f t="shared" si="12"/>
        <v>#REF!</v>
      </c>
      <c r="F284" s="12" t="e">
        <f>'[4]#REF'!F284</f>
        <v>#REF!</v>
      </c>
      <c r="G284" s="12" t="e">
        <f>'[4]#REF'!G284</f>
        <v>#REF!</v>
      </c>
      <c r="H284" s="31" t="e">
        <f>'[4]#REF'!I284</f>
        <v>#REF!</v>
      </c>
      <c r="I284" s="32" t="e">
        <f t="shared" si="13"/>
        <v>#REF!</v>
      </c>
      <c r="K284" s="12" t="e">
        <f>'[4]#REF'!K284</f>
        <v>#REF!</v>
      </c>
      <c r="L284" s="12" t="e">
        <f>'[4]#REF'!L284</f>
        <v>#REF!</v>
      </c>
      <c r="M284" s="31" t="e">
        <f>'[4]#REF'!N284</f>
        <v>#REF!</v>
      </c>
      <c r="N284" s="32" t="e">
        <f t="shared" si="14"/>
        <v>#REF!</v>
      </c>
    </row>
    <row r="285" ht="15.75" spans="1:14">
      <c r="A285" s="12" t="e">
        <f>'[4]#REF'!A285</f>
        <v>#REF!</v>
      </c>
      <c r="B285" s="12" t="e">
        <f>'[4]#REF'!B285</f>
        <v>#REF!</v>
      </c>
      <c r="C285" s="31" t="e">
        <f>'[4]#REF'!D285</f>
        <v>#REF!</v>
      </c>
      <c r="D285" s="32" t="e">
        <f t="shared" si="12"/>
        <v>#REF!</v>
      </c>
      <c r="F285" s="12" t="e">
        <f>'[4]#REF'!F285</f>
        <v>#REF!</v>
      </c>
      <c r="G285" s="12" t="e">
        <f>'[4]#REF'!G285</f>
        <v>#REF!</v>
      </c>
      <c r="H285" s="31" t="e">
        <f>'[4]#REF'!I285</f>
        <v>#REF!</v>
      </c>
      <c r="I285" s="32" t="e">
        <f t="shared" si="13"/>
        <v>#REF!</v>
      </c>
      <c r="K285" s="12" t="e">
        <f>'[4]#REF'!K285</f>
        <v>#REF!</v>
      </c>
      <c r="L285" s="12" t="e">
        <f>'[4]#REF'!L285</f>
        <v>#REF!</v>
      </c>
      <c r="M285" s="31" t="e">
        <f>'[4]#REF'!N285</f>
        <v>#REF!</v>
      </c>
      <c r="N285" s="32" t="e">
        <f t="shared" si="14"/>
        <v>#REF!</v>
      </c>
    </row>
    <row r="286" ht="15.75" spans="1:14">
      <c r="A286" s="12" t="e">
        <f>'[4]#REF'!A286</f>
        <v>#REF!</v>
      </c>
      <c r="B286" s="12" t="e">
        <f>'[4]#REF'!B286</f>
        <v>#REF!</v>
      </c>
      <c r="C286" s="31" t="e">
        <f>'[4]#REF'!D286</f>
        <v>#REF!</v>
      </c>
      <c r="D286" s="32" t="e">
        <f t="shared" si="12"/>
        <v>#REF!</v>
      </c>
      <c r="F286" s="12" t="e">
        <f>'[4]#REF'!F286</f>
        <v>#REF!</v>
      </c>
      <c r="G286" s="12" t="e">
        <f>'[4]#REF'!G286</f>
        <v>#REF!</v>
      </c>
      <c r="H286" s="31" t="e">
        <f>'[4]#REF'!I286</f>
        <v>#REF!</v>
      </c>
      <c r="I286" s="32" t="e">
        <f t="shared" si="13"/>
        <v>#REF!</v>
      </c>
      <c r="K286" s="12" t="e">
        <f>'[4]#REF'!K286</f>
        <v>#REF!</v>
      </c>
      <c r="L286" s="12" t="e">
        <f>'[4]#REF'!L286</f>
        <v>#REF!</v>
      </c>
      <c r="M286" s="31" t="e">
        <f>'[4]#REF'!N286</f>
        <v>#REF!</v>
      </c>
      <c r="N286" s="32" t="e">
        <f t="shared" si="14"/>
        <v>#REF!</v>
      </c>
    </row>
    <row r="287" ht="15.75" spans="1:14">
      <c r="A287" s="12" t="e">
        <f>'[4]#REF'!A287</f>
        <v>#REF!</v>
      </c>
      <c r="B287" s="12" t="e">
        <f>'[4]#REF'!B287</f>
        <v>#REF!</v>
      </c>
      <c r="C287" s="31" t="e">
        <f>'[4]#REF'!D287</f>
        <v>#REF!</v>
      </c>
      <c r="D287" s="32" t="e">
        <f t="shared" si="12"/>
        <v>#REF!</v>
      </c>
      <c r="F287" s="12" t="e">
        <f>'[4]#REF'!F287</f>
        <v>#REF!</v>
      </c>
      <c r="G287" s="12" t="e">
        <f>'[4]#REF'!G287</f>
        <v>#REF!</v>
      </c>
      <c r="H287" s="31" t="e">
        <f>'[4]#REF'!I287</f>
        <v>#REF!</v>
      </c>
      <c r="I287" s="32" t="e">
        <f t="shared" si="13"/>
        <v>#REF!</v>
      </c>
      <c r="K287" s="12" t="e">
        <f>'[4]#REF'!K287</f>
        <v>#REF!</v>
      </c>
      <c r="L287" s="12" t="e">
        <f>'[4]#REF'!L287</f>
        <v>#REF!</v>
      </c>
      <c r="M287" s="31" t="e">
        <f>'[4]#REF'!N287</f>
        <v>#REF!</v>
      </c>
      <c r="N287" s="32" t="e">
        <f t="shared" si="14"/>
        <v>#REF!</v>
      </c>
    </row>
    <row r="288" ht="15.75" spans="1:14">
      <c r="A288" s="12" t="e">
        <f>'[4]#REF'!A288</f>
        <v>#REF!</v>
      </c>
      <c r="B288" s="12" t="e">
        <f>'[4]#REF'!B288</f>
        <v>#REF!</v>
      </c>
      <c r="C288" s="31" t="e">
        <f>'[4]#REF'!D288</f>
        <v>#REF!</v>
      </c>
      <c r="D288" s="32" t="e">
        <f t="shared" si="12"/>
        <v>#REF!</v>
      </c>
      <c r="F288" s="12" t="e">
        <f>'[4]#REF'!F288</f>
        <v>#REF!</v>
      </c>
      <c r="G288" s="12" t="e">
        <f>'[4]#REF'!G288</f>
        <v>#REF!</v>
      </c>
      <c r="H288" s="31" t="e">
        <f>'[4]#REF'!I288</f>
        <v>#REF!</v>
      </c>
      <c r="I288" s="32" t="e">
        <f t="shared" si="13"/>
        <v>#REF!</v>
      </c>
      <c r="K288" s="12" t="e">
        <f>'[4]#REF'!K288</f>
        <v>#REF!</v>
      </c>
      <c r="L288" s="12" t="e">
        <f>'[4]#REF'!L288</f>
        <v>#REF!</v>
      </c>
      <c r="M288" s="31" t="e">
        <f>'[4]#REF'!N288</f>
        <v>#REF!</v>
      </c>
      <c r="N288" s="32" t="e">
        <f t="shared" si="14"/>
        <v>#REF!</v>
      </c>
    </row>
    <row r="289" ht="15.75" spans="1:14">
      <c r="A289" s="12" t="e">
        <f>'[4]#REF'!A289</f>
        <v>#REF!</v>
      </c>
      <c r="B289" s="12" t="e">
        <f>'[4]#REF'!B289</f>
        <v>#REF!</v>
      </c>
      <c r="C289" s="31" t="e">
        <f>'[4]#REF'!D289</f>
        <v>#REF!</v>
      </c>
      <c r="D289" s="32" t="e">
        <f t="shared" si="12"/>
        <v>#REF!</v>
      </c>
      <c r="F289" s="12" t="e">
        <f>'[4]#REF'!F289</f>
        <v>#REF!</v>
      </c>
      <c r="G289" s="12" t="e">
        <f>'[4]#REF'!G289</f>
        <v>#REF!</v>
      </c>
      <c r="H289" s="31" t="e">
        <f>'[4]#REF'!I289</f>
        <v>#REF!</v>
      </c>
      <c r="I289" s="32" t="e">
        <f t="shared" si="13"/>
        <v>#REF!</v>
      </c>
      <c r="K289" s="12" t="e">
        <f>'[4]#REF'!K289</f>
        <v>#REF!</v>
      </c>
      <c r="L289" s="12" t="e">
        <f>'[4]#REF'!L289</f>
        <v>#REF!</v>
      </c>
      <c r="M289" s="31" t="e">
        <f>'[4]#REF'!N289</f>
        <v>#REF!</v>
      </c>
      <c r="N289" s="32" t="e">
        <f t="shared" si="14"/>
        <v>#REF!</v>
      </c>
    </row>
    <row r="290" ht="15.75" spans="1:14">
      <c r="A290" s="12" t="e">
        <f>'[4]#REF'!A290</f>
        <v>#REF!</v>
      </c>
      <c r="B290" s="12" t="e">
        <f>'[4]#REF'!B290</f>
        <v>#REF!</v>
      </c>
      <c r="C290" s="31" t="e">
        <f>'[4]#REF'!D290</f>
        <v>#REF!</v>
      </c>
      <c r="D290" s="32" t="e">
        <f t="shared" si="12"/>
        <v>#REF!</v>
      </c>
      <c r="F290" s="12" t="e">
        <f>'[4]#REF'!F290</f>
        <v>#REF!</v>
      </c>
      <c r="G290" s="12" t="e">
        <f>'[4]#REF'!G290</f>
        <v>#REF!</v>
      </c>
      <c r="H290" s="31" t="e">
        <f>'[4]#REF'!I290</f>
        <v>#REF!</v>
      </c>
      <c r="I290" s="32" t="e">
        <f t="shared" si="13"/>
        <v>#REF!</v>
      </c>
      <c r="K290" s="12" t="e">
        <f>'[4]#REF'!K290</f>
        <v>#REF!</v>
      </c>
      <c r="L290" s="12" t="e">
        <f>'[4]#REF'!L290</f>
        <v>#REF!</v>
      </c>
      <c r="M290" s="31" t="e">
        <f>'[4]#REF'!N290</f>
        <v>#REF!</v>
      </c>
      <c r="N290" s="32" t="e">
        <f t="shared" si="14"/>
        <v>#REF!</v>
      </c>
    </row>
    <row r="291" ht="15.75" spans="1:14">
      <c r="A291" s="12" t="e">
        <f>'[4]#REF'!A291</f>
        <v>#REF!</v>
      </c>
      <c r="B291" s="12" t="e">
        <f>'[4]#REF'!B291</f>
        <v>#REF!</v>
      </c>
      <c r="C291" s="31" t="e">
        <f>'[4]#REF'!D291</f>
        <v>#REF!</v>
      </c>
      <c r="D291" s="32" t="e">
        <f t="shared" si="12"/>
        <v>#REF!</v>
      </c>
      <c r="F291" s="12" t="e">
        <f>'[4]#REF'!F291</f>
        <v>#REF!</v>
      </c>
      <c r="G291" s="12" t="e">
        <f>'[4]#REF'!G291</f>
        <v>#REF!</v>
      </c>
      <c r="H291" s="31" t="e">
        <f>'[4]#REF'!I291</f>
        <v>#REF!</v>
      </c>
      <c r="I291" s="32" t="e">
        <f t="shared" si="13"/>
        <v>#REF!</v>
      </c>
      <c r="K291" s="12" t="e">
        <f>'[4]#REF'!K291</f>
        <v>#REF!</v>
      </c>
      <c r="L291" s="12" t="e">
        <f>'[4]#REF'!L291</f>
        <v>#REF!</v>
      </c>
      <c r="M291" s="31" t="e">
        <f>'[4]#REF'!N291</f>
        <v>#REF!</v>
      </c>
      <c r="N291" s="32" t="e">
        <f t="shared" si="14"/>
        <v>#REF!</v>
      </c>
    </row>
    <row r="292" ht="15.75" spans="1:14">
      <c r="A292" s="12" t="e">
        <f>'[4]#REF'!A292</f>
        <v>#REF!</v>
      </c>
      <c r="B292" s="12" t="e">
        <f>'[4]#REF'!B292</f>
        <v>#REF!</v>
      </c>
      <c r="C292" s="31" t="e">
        <f>'[4]#REF'!D292</f>
        <v>#REF!</v>
      </c>
      <c r="D292" s="32" t="e">
        <f t="shared" si="12"/>
        <v>#REF!</v>
      </c>
      <c r="F292" s="12" t="e">
        <f>'[4]#REF'!F292</f>
        <v>#REF!</v>
      </c>
      <c r="G292" s="12" t="e">
        <f>'[4]#REF'!G292</f>
        <v>#REF!</v>
      </c>
      <c r="H292" s="31" t="e">
        <f>'[4]#REF'!I292</f>
        <v>#REF!</v>
      </c>
      <c r="I292" s="32" t="e">
        <f t="shared" si="13"/>
        <v>#REF!</v>
      </c>
      <c r="K292" s="12" t="e">
        <f>'[4]#REF'!K292</f>
        <v>#REF!</v>
      </c>
      <c r="L292" s="12" t="e">
        <f>'[4]#REF'!L292</f>
        <v>#REF!</v>
      </c>
      <c r="M292" s="31" t="e">
        <f>'[4]#REF'!N292</f>
        <v>#REF!</v>
      </c>
      <c r="N292" s="32" t="e">
        <f t="shared" si="14"/>
        <v>#REF!</v>
      </c>
    </row>
    <row r="293" ht="15.75" spans="1:14">
      <c r="A293" s="12" t="e">
        <f>'[4]#REF'!A293</f>
        <v>#REF!</v>
      </c>
      <c r="B293" s="12" t="e">
        <f>'[4]#REF'!B293</f>
        <v>#REF!</v>
      </c>
      <c r="C293" s="31" t="e">
        <f>'[4]#REF'!D293</f>
        <v>#REF!</v>
      </c>
      <c r="D293" s="32" t="e">
        <f t="shared" si="12"/>
        <v>#REF!</v>
      </c>
      <c r="F293" s="12" t="e">
        <f>'[4]#REF'!F293</f>
        <v>#REF!</v>
      </c>
      <c r="G293" s="12" t="e">
        <f>'[4]#REF'!G293</f>
        <v>#REF!</v>
      </c>
      <c r="H293" s="31" t="e">
        <f>'[4]#REF'!I293</f>
        <v>#REF!</v>
      </c>
      <c r="I293" s="32" t="e">
        <f t="shared" si="13"/>
        <v>#REF!</v>
      </c>
      <c r="K293" s="12" t="e">
        <f>'[4]#REF'!K293</f>
        <v>#REF!</v>
      </c>
      <c r="L293" s="12" t="e">
        <f>'[4]#REF'!L293</f>
        <v>#REF!</v>
      </c>
      <c r="M293" s="31" t="e">
        <f>'[4]#REF'!N293</f>
        <v>#REF!</v>
      </c>
      <c r="N293" s="32" t="e">
        <f t="shared" si="14"/>
        <v>#REF!</v>
      </c>
    </row>
    <row r="294" ht="15.75" spans="1:14">
      <c r="A294" s="12" t="e">
        <f>'[4]#REF'!A294</f>
        <v>#REF!</v>
      </c>
      <c r="B294" s="12" t="e">
        <f>'[4]#REF'!B294</f>
        <v>#REF!</v>
      </c>
      <c r="C294" s="31" t="e">
        <f>'[4]#REF'!D294</f>
        <v>#REF!</v>
      </c>
      <c r="D294" s="32" t="e">
        <f t="shared" si="12"/>
        <v>#REF!</v>
      </c>
      <c r="F294" s="12" t="e">
        <f>'[4]#REF'!F294</f>
        <v>#REF!</v>
      </c>
      <c r="G294" s="12" t="e">
        <f>'[4]#REF'!G294</f>
        <v>#REF!</v>
      </c>
      <c r="H294" s="31" t="e">
        <f>'[4]#REF'!I294</f>
        <v>#REF!</v>
      </c>
      <c r="I294" s="32" t="e">
        <f t="shared" si="13"/>
        <v>#REF!</v>
      </c>
      <c r="K294" s="12" t="e">
        <f>'[4]#REF'!K294</f>
        <v>#REF!</v>
      </c>
      <c r="L294" s="12" t="e">
        <f>'[4]#REF'!L294</f>
        <v>#REF!</v>
      </c>
      <c r="M294" s="31" t="e">
        <f>'[4]#REF'!N294</f>
        <v>#REF!</v>
      </c>
      <c r="N294" s="32" t="e">
        <f t="shared" si="14"/>
        <v>#REF!</v>
      </c>
    </row>
    <row r="295" ht="15.75" spans="1:14">
      <c r="A295" s="12" t="e">
        <f>'[4]#REF'!A295</f>
        <v>#REF!</v>
      </c>
      <c r="B295" s="12" t="e">
        <f>'[4]#REF'!B295</f>
        <v>#REF!</v>
      </c>
      <c r="C295" s="31" t="e">
        <f>'[4]#REF'!D295</f>
        <v>#REF!</v>
      </c>
      <c r="D295" s="32" t="e">
        <f t="shared" si="12"/>
        <v>#REF!</v>
      </c>
      <c r="F295" s="12" t="e">
        <f>'[4]#REF'!F295</f>
        <v>#REF!</v>
      </c>
      <c r="G295" s="12" t="e">
        <f>'[4]#REF'!G295</f>
        <v>#REF!</v>
      </c>
      <c r="H295" s="31" t="e">
        <f>'[4]#REF'!I295</f>
        <v>#REF!</v>
      </c>
      <c r="I295" s="32" t="e">
        <f t="shared" si="13"/>
        <v>#REF!</v>
      </c>
      <c r="K295" s="12" t="e">
        <f>'[4]#REF'!K295</f>
        <v>#REF!</v>
      </c>
      <c r="L295" s="12" t="e">
        <f>'[4]#REF'!L295</f>
        <v>#REF!</v>
      </c>
      <c r="M295" s="31" t="e">
        <f>'[4]#REF'!N295</f>
        <v>#REF!</v>
      </c>
      <c r="N295" s="32" t="e">
        <f t="shared" si="14"/>
        <v>#REF!</v>
      </c>
    </row>
    <row r="296" ht="15.75" spans="1:14">
      <c r="A296" s="12" t="e">
        <f>'[4]#REF'!A296</f>
        <v>#REF!</v>
      </c>
      <c r="B296" s="12" t="e">
        <f>'[4]#REF'!B296</f>
        <v>#REF!</v>
      </c>
      <c r="C296" s="31" t="e">
        <f>'[4]#REF'!D296</f>
        <v>#REF!</v>
      </c>
      <c r="D296" s="32" t="e">
        <f t="shared" si="12"/>
        <v>#REF!</v>
      </c>
      <c r="F296" s="12" t="e">
        <f>'[4]#REF'!F296</f>
        <v>#REF!</v>
      </c>
      <c r="G296" s="12" t="e">
        <f>'[4]#REF'!G296</f>
        <v>#REF!</v>
      </c>
      <c r="H296" s="31" t="e">
        <f>'[4]#REF'!I296</f>
        <v>#REF!</v>
      </c>
      <c r="I296" s="32" t="e">
        <f t="shared" si="13"/>
        <v>#REF!</v>
      </c>
      <c r="K296" s="12" t="e">
        <f>'[4]#REF'!K296</f>
        <v>#REF!</v>
      </c>
      <c r="L296" s="12" t="e">
        <f>'[4]#REF'!L296</f>
        <v>#REF!</v>
      </c>
      <c r="M296" s="31" t="e">
        <f>'[4]#REF'!N296</f>
        <v>#REF!</v>
      </c>
      <c r="N296" s="32" t="e">
        <f t="shared" si="14"/>
        <v>#REF!</v>
      </c>
    </row>
    <row r="297" ht="15.75" spans="1:14">
      <c r="A297" s="12" t="e">
        <f>'[4]#REF'!A297</f>
        <v>#REF!</v>
      </c>
      <c r="B297" s="12" t="e">
        <f>'[4]#REF'!B297</f>
        <v>#REF!</v>
      </c>
      <c r="C297" s="31" t="e">
        <f>'[4]#REF'!D297</f>
        <v>#REF!</v>
      </c>
      <c r="D297" s="32" t="e">
        <f t="shared" si="12"/>
        <v>#REF!</v>
      </c>
      <c r="F297" s="12" t="e">
        <f>'[4]#REF'!F297</f>
        <v>#REF!</v>
      </c>
      <c r="G297" s="12" t="e">
        <f>'[4]#REF'!G297</f>
        <v>#REF!</v>
      </c>
      <c r="H297" s="31" t="e">
        <f>'[4]#REF'!I297</f>
        <v>#REF!</v>
      </c>
      <c r="I297" s="32" t="e">
        <f t="shared" si="13"/>
        <v>#REF!</v>
      </c>
      <c r="K297" s="12" t="e">
        <f>'[4]#REF'!K297</f>
        <v>#REF!</v>
      </c>
      <c r="L297" s="12" t="e">
        <f>'[4]#REF'!L297</f>
        <v>#REF!</v>
      </c>
      <c r="M297" s="31" t="e">
        <f>'[4]#REF'!N297</f>
        <v>#REF!</v>
      </c>
      <c r="N297" s="32" t="e">
        <f t="shared" si="14"/>
        <v>#REF!</v>
      </c>
    </row>
    <row r="298" ht="15.75" spans="1:14">
      <c r="A298" s="12" t="e">
        <f>'[4]#REF'!A298</f>
        <v>#REF!</v>
      </c>
      <c r="B298" s="12" t="e">
        <f>'[4]#REF'!B298</f>
        <v>#REF!</v>
      </c>
      <c r="C298" s="31" t="e">
        <f>'[4]#REF'!D298</f>
        <v>#REF!</v>
      </c>
      <c r="D298" s="32" t="e">
        <f t="shared" si="12"/>
        <v>#REF!</v>
      </c>
      <c r="F298" s="12" t="e">
        <f>'[4]#REF'!F298</f>
        <v>#REF!</v>
      </c>
      <c r="G298" s="12" t="e">
        <f>'[4]#REF'!G298</f>
        <v>#REF!</v>
      </c>
      <c r="H298" s="31" t="e">
        <f>'[4]#REF'!I298</f>
        <v>#REF!</v>
      </c>
      <c r="I298" s="32" t="e">
        <f t="shared" si="13"/>
        <v>#REF!</v>
      </c>
      <c r="K298" s="12" t="e">
        <f>'[4]#REF'!K298</f>
        <v>#REF!</v>
      </c>
      <c r="L298" s="12" t="e">
        <f>'[4]#REF'!L298</f>
        <v>#REF!</v>
      </c>
      <c r="M298" s="31" t="e">
        <f>'[4]#REF'!N298</f>
        <v>#REF!</v>
      </c>
      <c r="N298" s="32" t="e">
        <f t="shared" si="14"/>
        <v>#REF!</v>
      </c>
    </row>
    <row r="299" ht="15.75" spans="1:14">
      <c r="A299" s="12" t="e">
        <f>'[4]#REF'!A299</f>
        <v>#REF!</v>
      </c>
      <c r="B299" s="12" t="e">
        <f>'[4]#REF'!B299</f>
        <v>#REF!</v>
      </c>
      <c r="C299" s="31" t="e">
        <f>'[4]#REF'!D299</f>
        <v>#REF!</v>
      </c>
      <c r="D299" s="32" t="e">
        <f t="shared" si="12"/>
        <v>#REF!</v>
      </c>
      <c r="F299" s="12" t="e">
        <f>'[4]#REF'!F299</f>
        <v>#REF!</v>
      </c>
      <c r="G299" s="12" t="e">
        <f>'[4]#REF'!G299</f>
        <v>#REF!</v>
      </c>
      <c r="H299" s="31" t="e">
        <f>'[4]#REF'!I299</f>
        <v>#REF!</v>
      </c>
      <c r="I299" s="32" t="e">
        <f t="shared" si="13"/>
        <v>#REF!</v>
      </c>
      <c r="K299" s="12" t="e">
        <f>'[4]#REF'!K299</f>
        <v>#REF!</v>
      </c>
      <c r="L299" s="12" t="e">
        <f>'[4]#REF'!L299</f>
        <v>#REF!</v>
      </c>
      <c r="M299" s="31" t="e">
        <f>'[4]#REF'!N299</f>
        <v>#REF!</v>
      </c>
      <c r="N299" s="32" t="e">
        <f t="shared" si="14"/>
        <v>#REF!</v>
      </c>
    </row>
    <row r="300" ht="15.75" spans="1:14">
      <c r="A300" s="12" t="e">
        <f>'[4]#REF'!A300</f>
        <v>#REF!</v>
      </c>
      <c r="B300" s="12" t="e">
        <f>'[4]#REF'!B300</f>
        <v>#REF!</v>
      </c>
      <c r="C300" s="31" t="e">
        <f>'[4]#REF'!D300</f>
        <v>#REF!</v>
      </c>
      <c r="D300" s="32" t="e">
        <f t="shared" si="12"/>
        <v>#REF!</v>
      </c>
      <c r="F300" s="12" t="e">
        <f>'[4]#REF'!F300</f>
        <v>#REF!</v>
      </c>
      <c r="G300" s="12" t="e">
        <f>'[4]#REF'!G300</f>
        <v>#REF!</v>
      </c>
      <c r="H300" s="31" t="e">
        <f>'[4]#REF'!I300</f>
        <v>#REF!</v>
      </c>
      <c r="I300" s="32" t="e">
        <f t="shared" si="13"/>
        <v>#REF!</v>
      </c>
      <c r="K300" s="12" t="e">
        <f>'[4]#REF'!K300</f>
        <v>#REF!</v>
      </c>
      <c r="L300" s="12" t="e">
        <f>'[4]#REF'!L300</f>
        <v>#REF!</v>
      </c>
      <c r="M300" s="31" t="e">
        <f>'[4]#REF'!N300</f>
        <v>#REF!</v>
      </c>
      <c r="N300" s="32" t="e">
        <f t="shared" si="14"/>
        <v>#REF!</v>
      </c>
    </row>
    <row r="301" ht="15.75" spans="1:14">
      <c r="A301" s="12" t="e">
        <f>'[4]#REF'!A301</f>
        <v>#REF!</v>
      </c>
      <c r="B301" s="12" t="e">
        <f>'[4]#REF'!B301</f>
        <v>#REF!</v>
      </c>
      <c r="C301" s="31" t="e">
        <f>'[4]#REF'!D301</f>
        <v>#REF!</v>
      </c>
      <c r="D301" s="32" t="e">
        <f t="shared" si="12"/>
        <v>#REF!</v>
      </c>
      <c r="F301" s="12" t="e">
        <f>'[4]#REF'!F301</f>
        <v>#REF!</v>
      </c>
      <c r="G301" s="12" t="e">
        <f>'[4]#REF'!G301</f>
        <v>#REF!</v>
      </c>
      <c r="H301" s="31" t="e">
        <f>'[4]#REF'!I301</f>
        <v>#REF!</v>
      </c>
      <c r="I301" s="32" t="e">
        <f t="shared" si="13"/>
        <v>#REF!</v>
      </c>
      <c r="K301" s="12" t="e">
        <f>'[4]#REF'!K301</f>
        <v>#REF!</v>
      </c>
      <c r="L301" s="12" t="e">
        <f>'[4]#REF'!L301</f>
        <v>#REF!</v>
      </c>
      <c r="M301" s="31" t="e">
        <f>'[4]#REF'!N301</f>
        <v>#REF!</v>
      </c>
      <c r="N301" s="32" t="e">
        <f t="shared" si="14"/>
        <v>#REF!</v>
      </c>
    </row>
    <row r="302" ht="15.75" spans="1:14">
      <c r="A302" s="12" t="e">
        <f>'[4]#REF'!A302</f>
        <v>#REF!</v>
      </c>
      <c r="B302" s="12" t="e">
        <f>'[4]#REF'!B302</f>
        <v>#REF!</v>
      </c>
      <c r="C302" s="31" t="e">
        <f>'[4]#REF'!D302</f>
        <v>#REF!</v>
      </c>
      <c r="D302" s="32" t="e">
        <f t="shared" si="12"/>
        <v>#REF!</v>
      </c>
      <c r="F302" s="12" t="e">
        <f>'[4]#REF'!F302</f>
        <v>#REF!</v>
      </c>
      <c r="G302" s="12" t="e">
        <f>'[4]#REF'!G302</f>
        <v>#REF!</v>
      </c>
      <c r="H302" s="31" t="e">
        <f>'[4]#REF'!I302</f>
        <v>#REF!</v>
      </c>
      <c r="I302" s="32" t="e">
        <f t="shared" si="13"/>
        <v>#REF!</v>
      </c>
      <c r="K302" s="12" t="e">
        <f>'[4]#REF'!K302</f>
        <v>#REF!</v>
      </c>
      <c r="L302" s="12" t="e">
        <f>'[4]#REF'!L302</f>
        <v>#REF!</v>
      </c>
      <c r="M302" s="31" t="e">
        <f>'[4]#REF'!N302</f>
        <v>#REF!</v>
      </c>
      <c r="N302" s="32" t="e">
        <f t="shared" si="14"/>
        <v>#REF!</v>
      </c>
    </row>
    <row r="303" ht="15.75" spans="1:14">
      <c r="A303" s="12" t="e">
        <f>'[4]#REF'!A303</f>
        <v>#REF!</v>
      </c>
      <c r="B303" s="12" t="e">
        <f>'[4]#REF'!B303</f>
        <v>#REF!</v>
      </c>
      <c r="C303" s="31" t="e">
        <f>'[4]#REF'!D303</f>
        <v>#REF!</v>
      </c>
      <c r="D303" s="32" t="e">
        <f t="shared" si="12"/>
        <v>#REF!</v>
      </c>
      <c r="F303" s="12" t="e">
        <f>'[4]#REF'!F303</f>
        <v>#REF!</v>
      </c>
      <c r="G303" s="12" t="e">
        <f>'[4]#REF'!G303</f>
        <v>#REF!</v>
      </c>
      <c r="H303" s="31" t="e">
        <f>'[4]#REF'!I303</f>
        <v>#REF!</v>
      </c>
      <c r="I303" s="32" t="e">
        <f t="shared" si="13"/>
        <v>#REF!</v>
      </c>
      <c r="K303" s="12" t="e">
        <f>'[4]#REF'!K303</f>
        <v>#REF!</v>
      </c>
      <c r="L303" s="12" t="e">
        <f>'[4]#REF'!L303</f>
        <v>#REF!</v>
      </c>
      <c r="M303" s="31" t="e">
        <f>'[4]#REF'!N303</f>
        <v>#REF!</v>
      </c>
      <c r="N303" s="32" t="e">
        <f t="shared" si="14"/>
        <v>#REF!</v>
      </c>
    </row>
    <row r="304" ht="15.75" spans="1:14">
      <c r="A304" s="12" t="e">
        <f>'[4]#REF'!A304</f>
        <v>#REF!</v>
      </c>
      <c r="B304" s="12" t="e">
        <f>'[4]#REF'!B304</f>
        <v>#REF!</v>
      </c>
      <c r="C304" s="31" t="e">
        <f>'[4]#REF'!D304</f>
        <v>#REF!</v>
      </c>
      <c r="D304" s="32" t="e">
        <f t="shared" si="12"/>
        <v>#REF!</v>
      </c>
      <c r="F304" s="12" t="e">
        <f>'[4]#REF'!F304</f>
        <v>#REF!</v>
      </c>
      <c r="G304" s="12" t="e">
        <f>'[4]#REF'!G304</f>
        <v>#REF!</v>
      </c>
      <c r="H304" s="31" t="e">
        <f>'[4]#REF'!I304</f>
        <v>#REF!</v>
      </c>
      <c r="I304" s="32" t="e">
        <f t="shared" si="13"/>
        <v>#REF!</v>
      </c>
      <c r="K304" s="12" t="e">
        <f>'[4]#REF'!K304</f>
        <v>#REF!</v>
      </c>
      <c r="L304" s="12" t="e">
        <f>'[4]#REF'!L304</f>
        <v>#REF!</v>
      </c>
      <c r="M304" s="31" t="e">
        <f>'[4]#REF'!N304</f>
        <v>#REF!</v>
      </c>
      <c r="N304" s="32" t="e">
        <f t="shared" si="14"/>
        <v>#REF!</v>
      </c>
    </row>
    <row r="305" ht="15.75" spans="1:14">
      <c r="A305" s="12" t="e">
        <f>'[4]#REF'!A305</f>
        <v>#REF!</v>
      </c>
      <c r="B305" s="12" t="e">
        <f>'[4]#REF'!B305</f>
        <v>#REF!</v>
      </c>
      <c r="C305" s="31" t="e">
        <f>'[4]#REF'!D305</f>
        <v>#REF!</v>
      </c>
      <c r="D305" s="32" t="e">
        <f t="shared" si="12"/>
        <v>#REF!</v>
      </c>
      <c r="F305" s="12" t="e">
        <f>'[4]#REF'!F305</f>
        <v>#REF!</v>
      </c>
      <c r="G305" s="12" t="e">
        <f>'[4]#REF'!G305</f>
        <v>#REF!</v>
      </c>
      <c r="H305" s="31" t="e">
        <f>'[4]#REF'!I305</f>
        <v>#REF!</v>
      </c>
      <c r="I305" s="32" t="e">
        <f t="shared" si="13"/>
        <v>#REF!</v>
      </c>
      <c r="K305" s="12" t="e">
        <f>'[4]#REF'!K305</f>
        <v>#REF!</v>
      </c>
      <c r="L305" s="12" t="e">
        <f>'[4]#REF'!L305</f>
        <v>#REF!</v>
      </c>
      <c r="M305" s="31" t="e">
        <f>'[4]#REF'!N305</f>
        <v>#REF!</v>
      </c>
      <c r="N305" s="32" t="e">
        <f t="shared" si="14"/>
        <v>#REF!</v>
      </c>
    </row>
    <row r="306" ht="15.75" spans="1:14">
      <c r="A306" s="12" t="e">
        <f>'[4]#REF'!A306</f>
        <v>#REF!</v>
      </c>
      <c r="B306" s="12" t="e">
        <f>'[4]#REF'!B306</f>
        <v>#REF!</v>
      </c>
      <c r="C306" s="31" t="e">
        <f>'[4]#REF'!D306</f>
        <v>#REF!</v>
      </c>
      <c r="D306" s="32" t="e">
        <f t="shared" si="12"/>
        <v>#REF!</v>
      </c>
      <c r="F306" s="12" t="e">
        <f>'[4]#REF'!F306</f>
        <v>#REF!</v>
      </c>
      <c r="G306" s="12" t="e">
        <f>'[4]#REF'!G306</f>
        <v>#REF!</v>
      </c>
      <c r="H306" s="31" t="e">
        <f>'[4]#REF'!I306</f>
        <v>#REF!</v>
      </c>
      <c r="I306" s="32" t="e">
        <f t="shared" si="13"/>
        <v>#REF!</v>
      </c>
      <c r="K306" s="12" t="e">
        <f>'[4]#REF'!K306</f>
        <v>#REF!</v>
      </c>
      <c r="L306" s="12" t="e">
        <f>'[4]#REF'!L306</f>
        <v>#REF!</v>
      </c>
      <c r="M306" s="31" t="e">
        <f>'[4]#REF'!N306</f>
        <v>#REF!</v>
      </c>
      <c r="N306" s="32" t="e">
        <f t="shared" si="14"/>
        <v>#REF!</v>
      </c>
    </row>
    <row r="307" ht="15.75" spans="1:14">
      <c r="A307" s="12" t="e">
        <f>'[4]#REF'!A307</f>
        <v>#REF!</v>
      </c>
      <c r="B307" s="12" t="e">
        <f>'[4]#REF'!B307</f>
        <v>#REF!</v>
      </c>
      <c r="C307" s="31" t="e">
        <f>'[4]#REF'!D307</f>
        <v>#REF!</v>
      </c>
      <c r="D307" s="32" t="e">
        <f t="shared" si="12"/>
        <v>#REF!</v>
      </c>
      <c r="F307" s="12" t="e">
        <f>'[4]#REF'!F307</f>
        <v>#REF!</v>
      </c>
      <c r="G307" s="12" t="e">
        <f>'[4]#REF'!G307</f>
        <v>#REF!</v>
      </c>
      <c r="H307" s="31" t="e">
        <f>'[4]#REF'!I307</f>
        <v>#REF!</v>
      </c>
      <c r="I307" s="32" t="e">
        <f t="shared" si="13"/>
        <v>#REF!</v>
      </c>
      <c r="K307" s="12" t="e">
        <f>'[4]#REF'!K307</f>
        <v>#REF!</v>
      </c>
      <c r="L307" s="12" t="e">
        <f>'[4]#REF'!L307</f>
        <v>#REF!</v>
      </c>
      <c r="M307" s="31" t="e">
        <f>'[4]#REF'!N307</f>
        <v>#REF!</v>
      </c>
      <c r="N307" s="32" t="e">
        <f t="shared" si="14"/>
        <v>#REF!</v>
      </c>
    </row>
    <row r="308" ht="15.75" spans="1:14">
      <c r="A308" s="12" t="e">
        <f>'[4]#REF'!A308</f>
        <v>#REF!</v>
      </c>
      <c r="B308" s="12" t="e">
        <f>'[4]#REF'!B308</f>
        <v>#REF!</v>
      </c>
      <c r="C308" s="31" t="e">
        <f>'[4]#REF'!D308</f>
        <v>#REF!</v>
      </c>
      <c r="D308" s="32" t="e">
        <f t="shared" si="12"/>
        <v>#REF!</v>
      </c>
      <c r="F308" s="12" t="e">
        <f>'[4]#REF'!F308</f>
        <v>#REF!</v>
      </c>
      <c r="G308" s="12" t="e">
        <f>'[4]#REF'!G308</f>
        <v>#REF!</v>
      </c>
      <c r="H308" s="31" t="e">
        <f>'[4]#REF'!I308</f>
        <v>#REF!</v>
      </c>
      <c r="I308" s="32" t="e">
        <f t="shared" si="13"/>
        <v>#REF!</v>
      </c>
      <c r="K308" s="12" t="e">
        <f>'[4]#REF'!K308</f>
        <v>#REF!</v>
      </c>
      <c r="L308" s="12" t="e">
        <f>'[4]#REF'!L308</f>
        <v>#REF!</v>
      </c>
      <c r="M308" s="31" t="e">
        <f>'[4]#REF'!N308</f>
        <v>#REF!</v>
      </c>
      <c r="N308" s="32" t="e">
        <f t="shared" si="14"/>
        <v>#REF!</v>
      </c>
    </row>
    <row r="309" ht="15.75" spans="1:14">
      <c r="A309" s="12" t="e">
        <f>'[4]#REF'!A309</f>
        <v>#REF!</v>
      </c>
      <c r="B309" s="12" t="e">
        <f>'[4]#REF'!B309</f>
        <v>#REF!</v>
      </c>
      <c r="C309" s="31" t="e">
        <f>'[4]#REF'!D309</f>
        <v>#REF!</v>
      </c>
      <c r="D309" s="32" t="e">
        <f t="shared" si="12"/>
        <v>#REF!</v>
      </c>
      <c r="F309" s="12" t="e">
        <f>'[4]#REF'!F309</f>
        <v>#REF!</v>
      </c>
      <c r="G309" s="12" t="e">
        <f>'[4]#REF'!G309</f>
        <v>#REF!</v>
      </c>
      <c r="H309" s="31" t="e">
        <f>'[4]#REF'!I309</f>
        <v>#REF!</v>
      </c>
      <c r="I309" s="32" t="e">
        <f t="shared" si="13"/>
        <v>#REF!</v>
      </c>
      <c r="K309" s="12" t="e">
        <f>'[4]#REF'!K309</f>
        <v>#REF!</v>
      </c>
      <c r="L309" s="12" t="e">
        <f>'[4]#REF'!L309</f>
        <v>#REF!</v>
      </c>
      <c r="M309" s="31" t="e">
        <f>'[4]#REF'!N309</f>
        <v>#REF!</v>
      </c>
      <c r="N309" s="32" t="e">
        <f t="shared" si="14"/>
        <v>#REF!</v>
      </c>
    </row>
    <row r="310" ht="15.75" spans="1:14">
      <c r="A310" s="12" t="e">
        <f>'[4]#REF'!A310</f>
        <v>#REF!</v>
      </c>
      <c r="B310" s="12" t="e">
        <f>'[4]#REF'!B310</f>
        <v>#REF!</v>
      </c>
      <c r="C310" s="31" t="e">
        <f>'[4]#REF'!D310</f>
        <v>#REF!</v>
      </c>
      <c r="D310" s="32" t="e">
        <f t="shared" si="12"/>
        <v>#REF!</v>
      </c>
      <c r="F310" s="12" t="e">
        <f>'[4]#REF'!F310</f>
        <v>#REF!</v>
      </c>
      <c r="G310" s="12" t="e">
        <f>'[4]#REF'!G310</f>
        <v>#REF!</v>
      </c>
      <c r="H310" s="31" t="e">
        <f>'[4]#REF'!I310</f>
        <v>#REF!</v>
      </c>
      <c r="I310" s="32" t="e">
        <f t="shared" si="13"/>
        <v>#REF!</v>
      </c>
      <c r="K310" s="12" t="e">
        <f>'[4]#REF'!K310</f>
        <v>#REF!</v>
      </c>
      <c r="L310" s="12" t="e">
        <f>'[4]#REF'!L310</f>
        <v>#REF!</v>
      </c>
      <c r="M310" s="31" t="e">
        <f>'[4]#REF'!N310</f>
        <v>#REF!</v>
      </c>
      <c r="N310" s="32" t="e">
        <f t="shared" si="14"/>
        <v>#REF!</v>
      </c>
    </row>
    <row r="311" ht="15.75" spans="1:14">
      <c r="A311" s="12" t="e">
        <f>'[4]#REF'!A311</f>
        <v>#REF!</v>
      </c>
      <c r="B311" s="12" t="e">
        <f>'[4]#REF'!B311</f>
        <v>#REF!</v>
      </c>
      <c r="C311" s="31" t="e">
        <f>'[4]#REF'!D311</f>
        <v>#REF!</v>
      </c>
      <c r="D311" s="32" t="e">
        <f t="shared" si="12"/>
        <v>#REF!</v>
      </c>
      <c r="F311" s="12" t="e">
        <f>'[4]#REF'!F311</f>
        <v>#REF!</v>
      </c>
      <c r="G311" s="12" t="e">
        <f>'[4]#REF'!G311</f>
        <v>#REF!</v>
      </c>
      <c r="H311" s="31" t="e">
        <f>'[4]#REF'!I311</f>
        <v>#REF!</v>
      </c>
      <c r="I311" s="32" t="e">
        <f t="shared" si="13"/>
        <v>#REF!</v>
      </c>
      <c r="K311" s="12" t="e">
        <f>'[4]#REF'!K311</f>
        <v>#REF!</v>
      </c>
      <c r="L311" s="12" t="e">
        <f>'[4]#REF'!L311</f>
        <v>#REF!</v>
      </c>
      <c r="M311" s="31" t="e">
        <f>'[4]#REF'!N311</f>
        <v>#REF!</v>
      </c>
      <c r="N311" s="32" t="e">
        <f t="shared" si="14"/>
        <v>#REF!</v>
      </c>
    </row>
    <row r="312" ht="15.75" spans="1:14">
      <c r="A312" s="12" t="e">
        <f>'[4]#REF'!A312</f>
        <v>#REF!</v>
      </c>
      <c r="B312" s="12" t="e">
        <f>'[4]#REF'!B312</f>
        <v>#REF!</v>
      </c>
      <c r="C312" s="31" t="e">
        <f>'[4]#REF'!D312</f>
        <v>#REF!</v>
      </c>
      <c r="D312" s="32" t="e">
        <f t="shared" si="12"/>
        <v>#REF!</v>
      </c>
      <c r="F312" s="12" t="e">
        <f>'[4]#REF'!F312</f>
        <v>#REF!</v>
      </c>
      <c r="G312" s="12" t="e">
        <f>'[4]#REF'!G312</f>
        <v>#REF!</v>
      </c>
      <c r="H312" s="31" t="e">
        <f>'[4]#REF'!I312</f>
        <v>#REF!</v>
      </c>
      <c r="I312" s="32" t="e">
        <f t="shared" si="13"/>
        <v>#REF!</v>
      </c>
      <c r="K312" s="12" t="e">
        <f>'[4]#REF'!K312</f>
        <v>#REF!</v>
      </c>
      <c r="L312" s="12" t="e">
        <f>'[4]#REF'!L312</f>
        <v>#REF!</v>
      </c>
      <c r="M312" s="31" t="e">
        <f>'[4]#REF'!N312</f>
        <v>#REF!</v>
      </c>
      <c r="N312" s="32" t="e">
        <f t="shared" si="14"/>
        <v>#REF!</v>
      </c>
    </row>
    <row r="313" ht="15.75" spans="1:14">
      <c r="A313" s="12" t="e">
        <f>'[4]#REF'!A313</f>
        <v>#REF!</v>
      </c>
      <c r="B313" s="12" t="e">
        <f>'[4]#REF'!B313</f>
        <v>#REF!</v>
      </c>
      <c r="C313" s="31" t="e">
        <f>'[4]#REF'!D313</f>
        <v>#REF!</v>
      </c>
      <c r="D313" s="32" t="e">
        <f t="shared" si="12"/>
        <v>#REF!</v>
      </c>
      <c r="F313" s="12" t="e">
        <f>'[4]#REF'!F313</f>
        <v>#REF!</v>
      </c>
      <c r="G313" s="12" t="e">
        <f>'[4]#REF'!G313</f>
        <v>#REF!</v>
      </c>
      <c r="H313" s="31" t="e">
        <f>'[4]#REF'!I313</f>
        <v>#REF!</v>
      </c>
      <c r="I313" s="32" t="e">
        <f t="shared" si="13"/>
        <v>#REF!</v>
      </c>
      <c r="K313" s="12" t="e">
        <f>'[4]#REF'!K313</f>
        <v>#REF!</v>
      </c>
      <c r="L313" s="12" t="e">
        <f>'[4]#REF'!L313</f>
        <v>#REF!</v>
      </c>
      <c r="M313" s="31" t="e">
        <f>'[4]#REF'!N313</f>
        <v>#REF!</v>
      </c>
      <c r="N313" s="32" t="e">
        <f t="shared" si="14"/>
        <v>#REF!</v>
      </c>
    </row>
    <row r="314" ht="15.75" spans="1:14">
      <c r="A314" s="12" t="e">
        <f>'[4]#REF'!A314</f>
        <v>#REF!</v>
      </c>
      <c r="B314" s="12" t="e">
        <f>'[4]#REF'!B314</f>
        <v>#REF!</v>
      </c>
      <c r="C314" s="31" t="e">
        <f>'[4]#REF'!D314</f>
        <v>#REF!</v>
      </c>
      <c r="D314" s="32" t="e">
        <f t="shared" si="12"/>
        <v>#REF!</v>
      </c>
      <c r="F314" s="12" t="e">
        <f>'[4]#REF'!F314</f>
        <v>#REF!</v>
      </c>
      <c r="G314" s="12" t="e">
        <f>'[4]#REF'!G314</f>
        <v>#REF!</v>
      </c>
      <c r="H314" s="31" t="e">
        <f>'[4]#REF'!I314</f>
        <v>#REF!</v>
      </c>
      <c r="I314" s="32" t="e">
        <f t="shared" si="13"/>
        <v>#REF!</v>
      </c>
      <c r="K314" s="12" t="e">
        <f>'[4]#REF'!K314</f>
        <v>#REF!</v>
      </c>
      <c r="L314" s="12" t="e">
        <f>'[4]#REF'!L314</f>
        <v>#REF!</v>
      </c>
      <c r="M314" s="31" t="e">
        <f>'[4]#REF'!N314</f>
        <v>#REF!</v>
      </c>
      <c r="N314" s="32" t="e">
        <f t="shared" si="14"/>
        <v>#REF!</v>
      </c>
    </row>
    <row r="315" ht="15.75" spans="1:14">
      <c r="A315" s="12" t="e">
        <f>'[4]#REF'!A315</f>
        <v>#REF!</v>
      </c>
      <c r="B315" s="12" t="e">
        <f>'[4]#REF'!B315</f>
        <v>#REF!</v>
      </c>
      <c r="C315" s="31" t="e">
        <f>'[4]#REF'!D315</f>
        <v>#REF!</v>
      </c>
      <c r="D315" s="32" t="e">
        <f t="shared" si="12"/>
        <v>#REF!</v>
      </c>
      <c r="F315" s="12" t="e">
        <f>'[4]#REF'!F315</f>
        <v>#REF!</v>
      </c>
      <c r="G315" s="12" t="e">
        <f>'[4]#REF'!G315</f>
        <v>#REF!</v>
      </c>
      <c r="H315" s="31" t="e">
        <f>'[4]#REF'!I315</f>
        <v>#REF!</v>
      </c>
      <c r="I315" s="32" t="e">
        <f t="shared" si="13"/>
        <v>#REF!</v>
      </c>
      <c r="K315" s="12" t="e">
        <f>'[4]#REF'!K315</f>
        <v>#REF!</v>
      </c>
      <c r="L315" s="12" t="e">
        <f>'[4]#REF'!L315</f>
        <v>#REF!</v>
      </c>
      <c r="M315" s="31" t="e">
        <f>'[4]#REF'!N315</f>
        <v>#REF!</v>
      </c>
      <c r="N315" s="32" t="e">
        <f t="shared" si="14"/>
        <v>#REF!</v>
      </c>
    </row>
    <row r="316" ht="15.75" spans="1:14">
      <c r="A316" s="12" t="e">
        <f>'[4]#REF'!A316</f>
        <v>#REF!</v>
      </c>
      <c r="B316" s="12" t="e">
        <f>'[4]#REF'!B316</f>
        <v>#REF!</v>
      </c>
      <c r="C316" s="31" t="e">
        <f>'[4]#REF'!D316</f>
        <v>#REF!</v>
      </c>
      <c r="D316" s="32" t="e">
        <f t="shared" si="12"/>
        <v>#REF!</v>
      </c>
      <c r="F316" s="12" t="e">
        <f>'[4]#REF'!F316</f>
        <v>#REF!</v>
      </c>
      <c r="G316" s="12" t="e">
        <f>'[4]#REF'!G316</f>
        <v>#REF!</v>
      </c>
      <c r="H316" s="31" t="e">
        <f>'[4]#REF'!I316</f>
        <v>#REF!</v>
      </c>
      <c r="I316" s="32" t="e">
        <f t="shared" si="13"/>
        <v>#REF!</v>
      </c>
      <c r="K316" s="12" t="e">
        <f>'[4]#REF'!K316</f>
        <v>#REF!</v>
      </c>
      <c r="L316" s="12" t="e">
        <f>'[4]#REF'!L316</f>
        <v>#REF!</v>
      </c>
      <c r="M316" s="31" t="e">
        <f>'[4]#REF'!N316</f>
        <v>#REF!</v>
      </c>
      <c r="N316" s="32" t="e">
        <f t="shared" si="14"/>
        <v>#REF!</v>
      </c>
    </row>
    <row r="317" ht="15.75" spans="1:14">
      <c r="A317" s="12" t="e">
        <f>'[4]#REF'!A317</f>
        <v>#REF!</v>
      </c>
      <c r="B317" s="12" t="e">
        <f>'[4]#REF'!B317</f>
        <v>#REF!</v>
      </c>
      <c r="C317" s="31" t="e">
        <f>'[4]#REF'!D317</f>
        <v>#REF!</v>
      </c>
      <c r="D317" s="32" t="e">
        <f t="shared" si="12"/>
        <v>#REF!</v>
      </c>
      <c r="F317" s="12" t="e">
        <f>'[4]#REF'!F317</f>
        <v>#REF!</v>
      </c>
      <c r="G317" s="12" t="e">
        <f>'[4]#REF'!G317</f>
        <v>#REF!</v>
      </c>
      <c r="H317" s="31" t="e">
        <f>'[4]#REF'!I317</f>
        <v>#REF!</v>
      </c>
      <c r="I317" s="32" t="e">
        <f t="shared" si="13"/>
        <v>#REF!</v>
      </c>
      <c r="K317" s="12" t="e">
        <f>'[4]#REF'!K317</f>
        <v>#REF!</v>
      </c>
      <c r="L317" s="12" t="e">
        <f>'[4]#REF'!L317</f>
        <v>#REF!</v>
      </c>
      <c r="M317" s="31" t="e">
        <f>'[4]#REF'!N317</f>
        <v>#REF!</v>
      </c>
      <c r="N317" s="32" t="e">
        <f t="shared" si="14"/>
        <v>#REF!</v>
      </c>
    </row>
    <row r="318" ht="15.75" spans="1:14">
      <c r="A318" s="12" t="e">
        <f>'[4]#REF'!A318</f>
        <v>#REF!</v>
      </c>
      <c r="B318" s="12" t="e">
        <f>'[4]#REF'!B318</f>
        <v>#REF!</v>
      </c>
      <c r="C318" s="31" t="e">
        <f>'[4]#REF'!D318</f>
        <v>#REF!</v>
      </c>
      <c r="D318" s="32" t="e">
        <f t="shared" si="12"/>
        <v>#REF!</v>
      </c>
      <c r="F318" s="12" t="e">
        <f>'[4]#REF'!F318</f>
        <v>#REF!</v>
      </c>
      <c r="G318" s="12" t="e">
        <f>'[4]#REF'!G318</f>
        <v>#REF!</v>
      </c>
      <c r="H318" s="31" t="e">
        <f>'[4]#REF'!I318</f>
        <v>#REF!</v>
      </c>
      <c r="I318" s="32" t="e">
        <f t="shared" si="13"/>
        <v>#REF!</v>
      </c>
      <c r="K318" s="12" t="e">
        <f>'[4]#REF'!K318</f>
        <v>#REF!</v>
      </c>
      <c r="L318" s="12" t="e">
        <f>'[4]#REF'!L318</f>
        <v>#REF!</v>
      </c>
      <c r="M318" s="31" t="e">
        <f>'[4]#REF'!N318</f>
        <v>#REF!</v>
      </c>
      <c r="N318" s="32" t="e">
        <f t="shared" si="14"/>
        <v>#REF!</v>
      </c>
    </row>
    <row r="319" ht="15.75" spans="1:14">
      <c r="A319" s="12" t="e">
        <f>'[4]#REF'!A319</f>
        <v>#REF!</v>
      </c>
      <c r="B319" s="12" t="e">
        <f>'[4]#REF'!B319</f>
        <v>#REF!</v>
      </c>
      <c r="C319" s="31" t="e">
        <f>'[4]#REF'!D319</f>
        <v>#REF!</v>
      </c>
      <c r="D319" s="32" t="e">
        <f t="shared" si="12"/>
        <v>#REF!</v>
      </c>
      <c r="F319" s="12" t="e">
        <f>'[4]#REF'!F319</f>
        <v>#REF!</v>
      </c>
      <c r="G319" s="12" t="e">
        <f>'[4]#REF'!G319</f>
        <v>#REF!</v>
      </c>
      <c r="H319" s="31" t="e">
        <f>'[4]#REF'!I319</f>
        <v>#REF!</v>
      </c>
      <c r="I319" s="32" t="e">
        <f t="shared" si="13"/>
        <v>#REF!</v>
      </c>
      <c r="K319" s="12" t="e">
        <f>'[4]#REF'!K319</f>
        <v>#REF!</v>
      </c>
      <c r="L319" s="12" t="e">
        <f>'[4]#REF'!L319</f>
        <v>#REF!</v>
      </c>
      <c r="M319" s="31" t="e">
        <f>'[4]#REF'!N319</f>
        <v>#REF!</v>
      </c>
      <c r="N319" s="32" t="e">
        <f t="shared" si="14"/>
        <v>#REF!</v>
      </c>
    </row>
    <row r="320" ht="15.75" spans="1:14">
      <c r="A320" s="12" t="e">
        <f>'[4]#REF'!A320</f>
        <v>#REF!</v>
      </c>
      <c r="B320" s="12" t="e">
        <f>'[4]#REF'!B320</f>
        <v>#REF!</v>
      </c>
      <c r="C320" s="31" t="e">
        <f>'[4]#REF'!D320</f>
        <v>#REF!</v>
      </c>
      <c r="D320" s="32" t="e">
        <f t="shared" si="12"/>
        <v>#REF!</v>
      </c>
      <c r="F320" s="12" t="e">
        <f>'[4]#REF'!F320</f>
        <v>#REF!</v>
      </c>
      <c r="G320" s="12" t="e">
        <f>'[4]#REF'!G320</f>
        <v>#REF!</v>
      </c>
      <c r="H320" s="31" t="e">
        <f>'[4]#REF'!I320</f>
        <v>#REF!</v>
      </c>
      <c r="I320" s="32" t="e">
        <f t="shared" si="13"/>
        <v>#REF!</v>
      </c>
      <c r="K320" s="12" t="e">
        <f>'[4]#REF'!K320</f>
        <v>#REF!</v>
      </c>
      <c r="L320" s="12" t="e">
        <f>'[4]#REF'!L320</f>
        <v>#REF!</v>
      </c>
      <c r="M320" s="31" t="e">
        <f>'[4]#REF'!N320</f>
        <v>#REF!</v>
      </c>
      <c r="N320" s="32" t="e">
        <f t="shared" si="14"/>
        <v>#REF!</v>
      </c>
    </row>
    <row r="321" ht="15.75" spans="1:14">
      <c r="A321" s="12" t="e">
        <f>'[4]#REF'!A321</f>
        <v>#REF!</v>
      </c>
      <c r="B321" s="12" t="e">
        <f>'[4]#REF'!B321</f>
        <v>#REF!</v>
      </c>
      <c r="C321" s="31" t="e">
        <f>'[4]#REF'!D321</f>
        <v>#REF!</v>
      </c>
      <c r="D321" s="32" t="e">
        <f t="shared" si="12"/>
        <v>#REF!</v>
      </c>
      <c r="F321" s="12" t="e">
        <f>'[4]#REF'!F321</f>
        <v>#REF!</v>
      </c>
      <c r="G321" s="12" t="e">
        <f>'[4]#REF'!G321</f>
        <v>#REF!</v>
      </c>
      <c r="H321" s="31" t="e">
        <f>'[4]#REF'!I321</f>
        <v>#REF!</v>
      </c>
      <c r="I321" s="32" t="e">
        <f t="shared" si="13"/>
        <v>#REF!</v>
      </c>
      <c r="K321" s="12" t="e">
        <f>'[4]#REF'!K321</f>
        <v>#REF!</v>
      </c>
      <c r="L321" s="12" t="e">
        <f>'[4]#REF'!L321</f>
        <v>#REF!</v>
      </c>
      <c r="M321" s="31" t="e">
        <f>'[4]#REF'!N321</f>
        <v>#REF!</v>
      </c>
      <c r="N321" s="32" t="e">
        <f t="shared" si="14"/>
        <v>#REF!</v>
      </c>
    </row>
    <row r="322" ht="15.75" spans="1:14">
      <c r="A322" s="12" t="e">
        <f>'[4]#REF'!A322</f>
        <v>#REF!</v>
      </c>
      <c r="B322" s="12" t="e">
        <f>'[4]#REF'!B322</f>
        <v>#REF!</v>
      </c>
      <c r="C322" s="31" t="e">
        <f>'[4]#REF'!D322</f>
        <v>#REF!</v>
      </c>
      <c r="D322" s="32" t="e">
        <f t="shared" si="12"/>
        <v>#REF!</v>
      </c>
      <c r="F322" s="12" t="e">
        <f>'[4]#REF'!F322</f>
        <v>#REF!</v>
      </c>
      <c r="G322" s="12" t="e">
        <f>'[4]#REF'!G322</f>
        <v>#REF!</v>
      </c>
      <c r="H322" s="31" t="e">
        <f>'[4]#REF'!I322</f>
        <v>#REF!</v>
      </c>
      <c r="I322" s="32" t="e">
        <f t="shared" si="13"/>
        <v>#REF!</v>
      </c>
      <c r="K322" s="12" t="e">
        <f>'[4]#REF'!K322</f>
        <v>#REF!</v>
      </c>
      <c r="L322" s="12" t="e">
        <f>'[4]#REF'!L322</f>
        <v>#REF!</v>
      </c>
      <c r="M322" s="31" t="e">
        <f>'[4]#REF'!N322</f>
        <v>#REF!</v>
      </c>
      <c r="N322" s="32" t="e">
        <f t="shared" si="14"/>
        <v>#REF!</v>
      </c>
    </row>
    <row r="323" ht="15.75" spans="1:14">
      <c r="A323" s="12" t="e">
        <f>'[4]#REF'!A323</f>
        <v>#REF!</v>
      </c>
      <c r="B323" s="12" t="e">
        <f>'[4]#REF'!B323</f>
        <v>#REF!</v>
      </c>
      <c r="C323" s="31" t="e">
        <f>'[4]#REF'!D323</f>
        <v>#REF!</v>
      </c>
      <c r="D323" s="32" t="e">
        <f t="shared" si="12"/>
        <v>#REF!</v>
      </c>
      <c r="F323" s="12" t="e">
        <f>'[4]#REF'!F323</f>
        <v>#REF!</v>
      </c>
      <c r="G323" s="12" t="e">
        <f>'[4]#REF'!G323</f>
        <v>#REF!</v>
      </c>
      <c r="H323" s="31" t="e">
        <f>'[4]#REF'!I323</f>
        <v>#REF!</v>
      </c>
      <c r="I323" s="32" t="e">
        <f t="shared" si="13"/>
        <v>#REF!</v>
      </c>
      <c r="K323" s="12" t="e">
        <f>'[4]#REF'!K323</f>
        <v>#REF!</v>
      </c>
      <c r="L323" s="12" t="e">
        <f>'[4]#REF'!L323</f>
        <v>#REF!</v>
      </c>
      <c r="M323" s="31" t="e">
        <f>'[4]#REF'!N323</f>
        <v>#REF!</v>
      </c>
      <c r="N323" s="32" t="e">
        <f t="shared" si="14"/>
        <v>#REF!</v>
      </c>
    </row>
    <row r="324" ht="15.75" spans="1:14">
      <c r="A324" s="12" t="e">
        <f>'[4]#REF'!A324</f>
        <v>#REF!</v>
      </c>
      <c r="B324" s="12" t="e">
        <f>'[4]#REF'!B324</f>
        <v>#REF!</v>
      </c>
      <c r="C324" s="31" t="e">
        <f>'[4]#REF'!D324</f>
        <v>#REF!</v>
      </c>
      <c r="D324" s="32" t="e">
        <f t="shared" si="12"/>
        <v>#REF!</v>
      </c>
      <c r="F324" s="12" t="e">
        <f>'[4]#REF'!F324</f>
        <v>#REF!</v>
      </c>
      <c r="G324" s="12" t="e">
        <f>'[4]#REF'!G324</f>
        <v>#REF!</v>
      </c>
      <c r="H324" s="31" t="e">
        <f>'[4]#REF'!I324</f>
        <v>#REF!</v>
      </c>
      <c r="I324" s="32" t="e">
        <f t="shared" si="13"/>
        <v>#REF!</v>
      </c>
      <c r="K324" s="12" t="e">
        <f>'[4]#REF'!K324</f>
        <v>#REF!</v>
      </c>
      <c r="L324" s="12" t="e">
        <f>'[4]#REF'!L324</f>
        <v>#REF!</v>
      </c>
      <c r="M324" s="31" t="e">
        <f>'[4]#REF'!N324</f>
        <v>#REF!</v>
      </c>
      <c r="N324" s="32" t="e">
        <f t="shared" si="14"/>
        <v>#REF!</v>
      </c>
    </row>
    <row r="325" ht="15.75" spans="1:14">
      <c r="A325" s="12" t="e">
        <f>'[4]#REF'!A325</f>
        <v>#REF!</v>
      </c>
      <c r="B325" s="12" t="e">
        <f>'[4]#REF'!B325</f>
        <v>#REF!</v>
      </c>
      <c r="C325" s="31" t="e">
        <f>'[4]#REF'!D325</f>
        <v>#REF!</v>
      </c>
      <c r="D325" s="32" t="e">
        <f t="shared" si="12"/>
        <v>#REF!</v>
      </c>
      <c r="F325" s="12" t="e">
        <f>'[4]#REF'!F325</f>
        <v>#REF!</v>
      </c>
      <c r="G325" s="12" t="e">
        <f>'[4]#REF'!G325</f>
        <v>#REF!</v>
      </c>
      <c r="H325" s="31" t="e">
        <f>'[4]#REF'!I325</f>
        <v>#REF!</v>
      </c>
      <c r="I325" s="32" t="e">
        <f t="shared" si="13"/>
        <v>#REF!</v>
      </c>
      <c r="K325" s="12" t="e">
        <f>'[4]#REF'!K325</f>
        <v>#REF!</v>
      </c>
      <c r="L325" s="12" t="e">
        <f>'[4]#REF'!L325</f>
        <v>#REF!</v>
      </c>
      <c r="M325" s="31" t="e">
        <f>'[4]#REF'!N325</f>
        <v>#REF!</v>
      </c>
      <c r="N325" s="32" t="e">
        <f t="shared" si="14"/>
        <v>#REF!</v>
      </c>
    </row>
    <row r="326" ht="15.75" spans="1:14">
      <c r="A326" s="12" t="e">
        <f>'[4]#REF'!A326</f>
        <v>#REF!</v>
      </c>
      <c r="B326" s="12" t="e">
        <f>'[4]#REF'!B326</f>
        <v>#REF!</v>
      </c>
      <c r="C326" s="31" t="e">
        <f>'[4]#REF'!D326</f>
        <v>#REF!</v>
      </c>
      <c r="D326" s="32" t="e">
        <f t="shared" ref="D326:D389" si="15">ROUND(C326/$D$4*100,2)</f>
        <v>#REF!</v>
      </c>
      <c r="F326" s="12" t="e">
        <f>'[4]#REF'!F326</f>
        <v>#REF!</v>
      </c>
      <c r="G326" s="12" t="e">
        <f>'[4]#REF'!G326</f>
        <v>#REF!</v>
      </c>
      <c r="H326" s="31" t="e">
        <f>'[4]#REF'!I326</f>
        <v>#REF!</v>
      </c>
      <c r="I326" s="32" t="e">
        <f t="shared" ref="I326:I389" si="16">ROUND(H326/$I$4*100,2)</f>
        <v>#REF!</v>
      </c>
      <c r="K326" s="12" t="e">
        <f>'[4]#REF'!K326</f>
        <v>#REF!</v>
      </c>
      <c r="L326" s="12" t="e">
        <f>'[4]#REF'!L326</f>
        <v>#REF!</v>
      </c>
      <c r="M326" s="31" t="e">
        <f>'[4]#REF'!N326</f>
        <v>#REF!</v>
      </c>
      <c r="N326" s="32" t="e">
        <f t="shared" ref="N326:N389" si="17">ROUND(M326/$N$4*100,2)</f>
        <v>#REF!</v>
      </c>
    </row>
    <row r="327" ht="15.75" spans="1:14">
      <c r="A327" s="12" t="e">
        <f>'[4]#REF'!A327</f>
        <v>#REF!</v>
      </c>
      <c r="B327" s="12" t="e">
        <f>'[4]#REF'!B327</f>
        <v>#REF!</v>
      </c>
      <c r="C327" s="31" t="e">
        <f>'[4]#REF'!D327</f>
        <v>#REF!</v>
      </c>
      <c r="D327" s="32" t="e">
        <f t="shared" si="15"/>
        <v>#REF!</v>
      </c>
      <c r="F327" s="12" t="e">
        <f>'[4]#REF'!F327</f>
        <v>#REF!</v>
      </c>
      <c r="G327" s="12" t="e">
        <f>'[4]#REF'!G327</f>
        <v>#REF!</v>
      </c>
      <c r="H327" s="31" t="e">
        <f>'[4]#REF'!I327</f>
        <v>#REF!</v>
      </c>
      <c r="I327" s="32" t="e">
        <f t="shared" si="16"/>
        <v>#REF!</v>
      </c>
      <c r="K327" s="12" t="e">
        <f>'[4]#REF'!K327</f>
        <v>#REF!</v>
      </c>
      <c r="L327" s="12" t="e">
        <f>'[4]#REF'!L327</f>
        <v>#REF!</v>
      </c>
      <c r="M327" s="31" t="e">
        <f>'[4]#REF'!N327</f>
        <v>#REF!</v>
      </c>
      <c r="N327" s="32" t="e">
        <f t="shared" si="17"/>
        <v>#REF!</v>
      </c>
    </row>
    <row r="328" ht="15.75" spans="1:14">
      <c r="A328" s="12" t="e">
        <f>'[4]#REF'!A328</f>
        <v>#REF!</v>
      </c>
      <c r="B328" s="12" t="e">
        <f>'[4]#REF'!B328</f>
        <v>#REF!</v>
      </c>
      <c r="C328" s="31" t="e">
        <f>'[4]#REF'!D328</f>
        <v>#REF!</v>
      </c>
      <c r="D328" s="32" t="e">
        <f t="shared" si="15"/>
        <v>#REF!</v>
      </c>
      <c r="F328" s="12" t="e">
        <f>'[4]#REF'!F328</f>
        <v>#REF!</v>
      </c>
      <c r="G328" s="12" t="e">
        <f>'[4]#REF'!G328</f>
        <v>#REF!</v>
      </c>
      <c r="H328" s="31" t="e">
        <f>'[4]#REF'!I328</f>
        <v>#REF!</v>
      </c>
      <c r="I328" s="32" t="e">
        <f t="shared" si="16"/>
        <v>#REF!</v>
      </c>
      <c r="K328" s="12" t="e">
        <f>'[4]#REF'!K328</f>
        <v>#REF!</v>
      </c>
      <c r="L328" s="12" t="e">
        <f>'[4]#REF'!L328</f>
        <v>#REF!</v>
      </c>
      <c r="M328" s="31" t="e">
        <f>'[4]#REF'!N328</f>
        <v>#REF!</v>
      </c>
      <c r="N328" s="32" t="e">
        <f t="shared" si="17"/>
        <v>#REF!</v>
      </c>
    </row>
    <row r="329" ht="15.75" spans="1:14">
      <c r="A329" s="12" t="e">
        <f>'[4]#REF'!A329</f>
        <v>#REF!</v>
      </c>
      <c r="B329" s="12" t="e">
        <f>'[4]#REF'!B329</f>
        <v>#REF!</v>
      </c>
      <c r="C329" s="31" t="e">
        <f>'[4]#REF'!D329</f>
        <v>#REF!</v>
      </c>
      <c r="D329" s="32" t="e">
        <f t="shared" si="15"/>
        <v>#REF!</v>
      </c>
      <c r="F329" s="12" t="e">
        <f>'[4]#REF'!F329</f>
        <v>#REF!</v>
      </c>
      <c r="G329" s="12" t="e">
        <f>'[4]#REF'!G329</f>
        <v>#REF!</v>
      </c>
      <c r="H329" s="31" t="e">
        <f>'[4]#REF'!I329</f>
        <v>#REF!</v>
      </c>
      <c r="I329" s="32" t="e">
        <f t="shared" si="16"/>
        <v>#REF!</v>
      </c>
      <c r="K329" s="12" t="e">
        <f>'[4]#REF'!K329</f>
        <v>#REF!</v>
      </c>
      <c r="L329" s="12" t="e">
        <f>'[4]#REF'!L329</f>
        <v>#REF!</v>
      </c>
      <c r="M329" s="31" t="e">
        <f>'[4]#REF'!N329</f>
        <v>#REF!</v>
      </c>
      <c r="N329" s="32" t="e">
        <f t="shared" si="17"/>
        <v>#REF!</v>
      </c>
    </row>
    <row r="330" ht="15.75" spans="1:14">
      <c r="A330" s="12" t="e">
        <f>'[4]#REF'!A330</f>
        <v>#REF!</v>
      </c>
      <c r="B330" s="12" t="e">
        <f>'[4]#REF'!B330</f>
        <v>#REF!</v>
      </c>
      <c r="C330" s="31" t="e">
        <f>'[4]#REF'!D330</f>
        <v>#REF!</v>
      </c>
      <c r="D330" s="32" t="e">
        <f t="shared" si="15"/>
        <v>#REF!</v>
      </c>
      <c r="F330" s="12" t="e">
        <f>'[4]#REF'!F330</f>
        <v>#REF!</v>
      </c>
      <c r="G330" s="12" t="e">
        <f>'[4]#REF'!G330</f>
        <v>#REF!</v>
      </c>
      <c r="H330" s="31" t="e">
        <f>'[4]#REF'!I330</f>
        <v>#REF!</v>
      </c>
      <c r="I330" s="32" t="e">
        <f t="shared" si="16"/>
        <v>#REF!</v>
      </c>
      <c r="K330" s="12" t="e">
        <f>'[4]#REF'!K330</f>
        <v>#REF!</v>
      </c>
      <c r="L330" s="12" t="e">
        <f>'[4]#REF'!L330</f>
        <v>#REF!</v>
      </c>
      <c r="M330" s="31" t="e">
        <f>'[4]#REF'!N330</f>
        <v>#REF!</v>
      </c>
      <c r="N330" s="32" t="e">
        <f t="shared" si="17"/>
        <v>#REF!</v>
      </c>
    </row>
    <row r="331" ht="15.75" spans="1:14">
      <c r="A331" s="12" t="e">
        <f>'[4]#REF'!A331</f>
        <v>#REF!</v>
      </c>
      <c r="B331" s="12" t="e">
        <f>'[4]#REF'!B331</f>
        <v>#REF!</v>
      </c>
      <c r="C331" s="31" t="e">
        <f>'[4]#REF'!D331</f>
        <v>#REF!</v>
      </c>
      <c r="D331" s="32" t="e">
        <f t="shared" si="15"/>
        <v>#REF!</v>
      </c>
      <c r="F331" s="12" t="e">
        <f>'[4]#REF'!F331</f>
        <v>#REF!</v>
      </c>
      <c r="G331" s="12" t="e">
        <f>'[4]#REF'!G331</f>
        <v>#REF!</v>
      </c>
      <c r="H331" s="31" t="e">
        <f>'[4]#REF'!I331</f>
        <v>#REF!</v>
      </c>
      <c r="I331" s="32" t="e">
        <f t="shared" si="16"/>
        <v>#REF!</v>
      </c>
      <c r="K331" s="12" t="e">
        <f>'[4]#REF'!K331</f>
        <v>#REF!</v>
      </c>
      <c r="L331" s="12" t="e">
        <f>'[4]#REF'!L331</f>
        <v>#REF!</v>
      </c>
      <c r="M331" s="31" t="e">
        <f>'[4]#REF'!N331</f>
        <v>#REF!</v>
      </c>
      <c r="N331" s="32" t="e">
        <f t="shared" si="17"/>
        <v>#REF!</v>
      </c>
    </row>
    <row r="332" ht="15.75" spans="1:14">
      <c r="A332" s="12" t="e">
        <f>'[4]#REF'!A332</f>
        <v>#REF!</v>
      </c>
      <c r="B332" s="12" t="e">
        <f>'[4]#REF'!B332</f>
        <v>#REF!</v>
      </c>
      <c r="C332" s="31" t="e">
        <f>'[4]#REF'!D332</f>
        <v>#REF!</v>
      </c>
      <c r="D332" s="32" t="e">
        <f t="shared" si="15"/>
        <v>#REF!</v>
      </c>
      <c r="F332" s="12" t="e">
        <f>'[4]#REF'!F332</f>
        <v>#REF!</v>
      </c>
      <c r="G332" s="12" t="e">
        <f>'[4]#REF'!G332</f>
        <v>#REF!</v>
      </c>
      <c r="H332" s="31" t="e">
        <f>'[4]#REF'!I332</f>
        <v>#REF!</v>
      </c>
      <c r="I332" s="32" t="e">
        <f t="shared" si="16"/>
        <v>#REF!</v>
      </c>
      <c r="K332" s="12" t="e">
        <f>'[4]#REF'!K332</f>
        <v>#REF!</v>
      </c>
      <c r="L332" s="12" t="e">
        <f>'[4]#REF'!L332</f>
        <v>#REF!</v>
      </c>
      <c r="M332" s="31" t="e">
        <f>'[4]#REF'!N332</f>
        <v>#REF!</v>
      </c>
      <c r="N332" s="32" t="e">
        <f t="shared" si="17"/>
        <v>#REF!</v>
      </c>
    </row>
    <row r="333" ht="15.75" spans="1:14">
      <c r="A333" s="12" t="e">
        <f>'[4]#REF'!A333</f>
        <v>#REF!</v>
      </c>
      <c r="B333" s="12" t="e">
        <f>'[4]#REF'!B333</f>
        <v>#REF!</v>
      </c>
      <c r="C333" s="31" t="e">
        <f>'[4]#REF'!D333</f>
        <v>#REF!</v>
      </c>
      <c r="D333" s="32" t="e">
        <f t="shared" si="15"/>
        <v>#REF!</v>
      </c>
      <c r="F333" s="12" t="e">
        <f>'[4]#REF'!F333</f>
        <v>#REF!</v>
      </c>
      <c r="G333" s="12" t="e">
        <f>'[4]#REF'!G333</f>
        <v>#REF!</v>
      </c>
      <c r="H333" s="31" t="e">
        <f>'[4]#REF'!I333</f>
        <v>#REF!</v>
      </c>
      <c r="I333" s="32" t="e">
        <f t="shared" si="16"/>
        <v>#REF!</v>
      </c>
      <c r="K333" s="12" t="e">
        <f>'[4]#REF'!K333</f>
        <v>#REF!</v>
      </c>
      <c r="L333" s="12" t="e">
        <f>'[4]#REF'!L333</f>
        <v>#REF!</v>
      </c>
      <c r="M333" s="31" t="e">
        <f>'[4]#REF'!N333</f>
        <v>#REF!</v>
      </c>
      <c r="N333" s="32" t="e">
        <f t="shared" si="17"/>
        <v>#REF!</v>
      </c>
    </row>
    <row r="334" ht="15.75" spans="1:14">
      <c r="A334" s="12" t="e">
        <f>'[4]#REF'!A334</f>
        <v>#REF!</v>
      </c>
      <c r="B334" s="12" t="e">
        <f>'[4]#REF'!B334</f>
        <v>#REF!</v>
      </c>
      <c r="C334" s="31" t="e">
        <f>'[4]#REF'!D334</f>
        <v>#REF!</v>
      </c>
      <c r="D334" s="32" t="e">
        <f t="shared" si="15"/>
        <v>#REF!</v>
      </c>
      <c r="F334" s="12" t="e">
        <f>'[4]#REF'!F334</f>
        <v>#REF!</v>
      </c>
      <c r="G334" s="12" t="e">
        <f>'[4]#REF'!G334</f>
        <v>#REF!</v>
      </c>
      <c r="H334" s="31" t="e">
        <f>'[4]#REF'!I334</f>
        <v>#REF!</v>
      </c>
      <c r="I334" s="32" t="e">
        <f t="shared" si="16"/>
        <v>#REF!</v>
      </c>
      <c r="K334" s="12" t="e">
        <f>'[4]#REF'!K334</f>
        <v>#REF!</v>
      </c>
      <c r="L334" s="12" t="e">
        <f>'[4]#REF'!L334</f>
        <v>#REF!</v>
      </c>
      <c r="M334" s="31" t="e">
        <f>'[4]#REF'!N334</f>
        <v>#REF!</v>
      </c>
      <c r="N334" s="32" t="e">
        <f t="shared" si="17"/>
        <v>#REF!</v>
      </c>
    </row>
    <row r="335" ht="15.75" spans="1:14">
      <c r="A335" s="12" t="e">
        <f>'[4]#REF'!A335</f>
        <v>#REF!</v>
      </c>
      <c r="B335" s="12" t="e">
        <f>'[4]#REF'!B335</f>
        <v>#REF!</v>
      </c>
      <c r="C335" s="31" t="e">
        <f>'[4]#REF'!D335</f>
        <v>#REF!</v>
      </c>
      <c r="D335" s="32" t="e">
        <f t="shared" si="15"/>
        <v>#REF!</v>
      </c>
      <c r="F335" s="12" t="e">
        <f>'[4]#REF'!F335</f>
        <v>#REF!</v>
      </c>
      <c r="G335" s="12" t="e">
        <f>'[4]#REF'!G335</f>
        <v>#REF!</v>
      </c>
      <c r="H335" s="31" t="e">
        <f>'[4]#REF'!I335</f>
        <v>#REF!</v>
      </c>
      <c r="I335" s="32" t="e">
        <f t="shared" si="16"/>
        <v>#REF!</v>
      </c>
      <c r="K335" s="12" t="e">
        <f>'[4]#REF'!K335</f>
        <v>#REF!</v>
      </c>
      <c r="L335" s="12" t="e">
        <f>'[4]#REF'!L335</f>
        <v>#REF!</v>
      </c>
      <c r="M335" s="31" t="e">
        <f>'[4]#REF'!N335</f>
        <v>#REF!</v>
      </c>
      <c r="N335" s="32" t="e">
        <f t="shared" si="17"/>
        <v>#REF!</v>
      </c>
    </row>
    <row r="336" ht="15.75" spans="1:14">
      <c r="A336" s="12" t="e">
        <f>'[4]#REF'!A336</f>
        <v>#REF!</v>
      </c>
      <c r="B336" s="12" t="e">
        <f>'[4]#REF'!B336</f>
        <v>#REF!</v>
      </c>
      <c r="C336" s="31" t="e">
        <f>'[4]#REF'!D336</f>
        <v>#REF!</v>
      </c>
      <c r="D336" s="32" t="e">
        <f t="shared" si="15"/>
        <v>#REF!</v>
      </c>
      <c r="F336" s="12" t="e">
        <f>'[4]#REF'!F336</f>
        <v>#REF!</v>
      </c>
      <c r="G336" s="12" t="e">
        <f>'[4]#REF'!G336</f>
        <v>#REF!</v>
      </c>
      <c r="H336" s="31" t="e">
        <f>'[4]#REF'!I336</f>
        <v>#REF!</v>
      </c>
      <c r="I336" s="32" t="e">
        <f t="shared" si="16"/>
        <v>#REF!</v>
      </c>
      <c r="K336" s="12" t="e">
        <f>'[4]#REF'!K336</f>
        <v>#REF!</v>
      </c>
      <c r="L336" s="12" t="e">
        <f>'[4]#REF'!L336</f>
        <v>#REF!</v>
      </c>
      <c r="M336" s="31" t="e">
        <f>'[4]#REF'!N336</f>
        <v>#REF!</v>
      </c>
      <c r="N336" s="32" t="e">
        <f t="shared" si="17"/>
        <v>#REF!</v>
      </c>
    </row>
    <row r="337" ht="15.75" spans="1:14">
      <c r="A337" s="12" t="e">
        <f>'[4]#REF'!A337</f>
        <v>#REF!</v>
      </c>
      <c r="B337" s="12" t="e">
        <f>'[4]#REF'!B337</f>
        <v>#REF!</v>
      </c>
      <c r="C337" s="31" t="e">
        <f>'[4]#REF'!D337</f>
        <v>#REF!</v>
      </c>
      <c r="D337" s="32" t="e">
        <f t="shared" si="15"/>
        <v>#REF!</v>
      </c>
      <c r="F337" s="12" t="e">
        <f>'[4]#REF'!F337</f>
        <v>#REF!</v>
      </c>
      <c r="G337" s="12" t="e">
        <f>'[4]#REF'!G337</f>
        <v>#REF!</v>
      </c>
      <c r="H337" s="31" t="e">
        <f>'[4]#REF'!I337</f>
        <v>#REF!</v>
      </c>
      <c r="I337" s="32" t="e">
        <f t="shared" si="16"/>
        <v>#REF!</v>
      </c>
      <c r="K337" s="12" t="e">
        <f>'[4]#REF'!K337</f>
        <v>#REF!</v>
      </c>
      <c r="L337" s="12" t="e">
        <f>'[4]#REF'!L337</f>
        <v>#REF!</v>
      </c>
      <c r="M337" s="31" t="e">
        <f>'[4]#REF'!N337</f>
        <v>#REF!</v>
      </c>
      <c r="N337" s="32" t="e">
        <f t="shared" si="17"/>
        <v>#REF!</v>
      </c>
    </row>
    <row r="338" ht="15.75" spans="1:14">
      <c r="A338" s="12" t="e">
        <f>'[4]#REF'!A338</f>
        <v>#REF!</v>
      </c>
      <c r="B338" s="12" t="e">
        <f>'[4]#REF'!B338</f>
        <v>#REF!</v>
      </c>
      <c r="C338" s="31" t="e">
        <f>'[4]#REF'!D338</f>
        <v>#REF!</v>
      </c>
      <c r="D338" s="32" t="e">
        <f t="shared" si="15"/>
        <v>#REF!</v>
      </c>
      <c r="F338" s="12" t="e">
        <f>'[4]#REF'!F338</f>
        <v>#REF!</v>
      </c>
      <c r="G338" s="12" t="e">
        <f>'[4]#REF'!G338</f>
        <v>#REF!</v>
      </c>
      <c r="H338" s="31" t="e">
        <f>'[4]#REF'!I338</f>
        <v>#REF!</v>
      </c>
      <c r="I338" s="32" t="e">
        <f t="shared" si="16"/>
        <v>#REF!</v>
      </c>
      <c r="K338" s="12" t="e">
        <f>'[4]#REF'!K338</f>
        <v>#REF!</v>
      </c>
      <c r="L338" s="12" t="e">
        <f>'[4]#REF'!L338</f>
        <v>#REF!</v>
      </c>
      <c r="M338" s="31" t="e">
        <f>'[4]#REF'!N338</f>
        <v>#REF!</v>
      </c>
      <c r="N338" s="32" t="e">
        <f t="shared" si="17"/>
        <v>#REF!</v>
      </c>
    </row>
    <row r="339" ht="15.75" spans="1:14">
      <c r="A339" s="12" t="e">
        <f>'[4]#REF'!A339</f>
        <v>#REF!</v>
      </c>
      <c r="B339" s="12" t="e">
        <f>'[4]#REF'!B339</f>
        <v>#REF!</v>
      </c>
      <c r="C339" s="31" t="e">
        <f>'[4]#REF'!D339</f>
        <v>#REF!</v>
      </c>
      <c r="D339" s="32" t="e">
        <f t="shared" si="15"/>
        <v>#REF!</v>
      </c>
      <c r="F339" s="12" t="e">
        <f>'[4]#REF'!F339</f>
        <v>#REF!</v>
      </c>
      <c r="G339" s="12" t="e">
        <f>'[4]#REF'!G339</f>
        <v>#REF!</v>
      </c>
      <c r="H339" s="31" t="e">
        <f>'[4]#REF'!I339</f>
        <v>#REF!</v>
      </c>
      <c r="I339" s="32" t="e">
        <f t="shared" si="16"/>
        <v>#REF!</v>
      </c>
      <c r="K339" s="12" t="e">
        <f>'[4]#REF'!K339</f>
        <v>#REF!</v>
      </c>
      <c r="L339" s="12" t="e">
        <f>'[4]#REF'!L339</f>
        <v>#REF!</v>
      </c>
      <c r="M339" s="31" t="e">
        <f>'[4]#REF'!N339</f>
        <v>#REF!</v>
      </c>
      <c r="N339" s="32" t="e">
        <f t="shared" si="17"/>
        <v>#REF!</v>
      </c>
    </row>
    <row r="340" ht="15.75" spans="1:14">
      <c r="A340" s="12" t="e">
        <f>'[4]#REF'!A340</f>
        <v>#REF!</v>
      </c>
      <c r="B340" s="12" t="e">
        <f>'[4]#REF'!B340</f>
        <v>#REF!</v>
      </c>
      <c r="C340" s="31" t="e">
        <f>'[4]#REF'!D340</f>
        <v>#REF!</v>
      </c>
      <c r="D340" s="32" t="e">
        <f t="shared" si="15"/>
        <v>#REF!</v>
      </c>
      <c r="F340" s="12" t="e">
        <f>'[4]#REF'!F340</f>
        <v>#REF!</v>
      </c>
      <c r="G340" s="12" t="e">
        <f>'[4]#REF'!G340</f>
        <v>#REF!</v>
      </c>
      <c r="H340" s="31" t="e">
        <f>'[4]#REF'!I340</f>
        <v>#REF!</v>
      </c>
      <c r="I340" s="32" t="e">
        <f t="shared" si="16"/>
        <v>#REF!</v>
      </c>
      <c r="K340" s="12" t="e">
        <f>'[4]#REF'!K340</f>
        <v>#REF!</v>
      </c>
      <c r="L340" s="12" t="e">
        <f>'[4]#REF'!L340</f>
        <v>#REF!</v>
      </c>
      <c r="M340" s="31" t="e">
        <f>'[4]#REF'!N340</f>
        <v>#REF!</v>
      </c>
      <c r="N340" s="32" t="e">
        <f t="shared" si="17"/>
        <v>#REF!</v>
      </c>
    </row>
    <row r="341" ht="15.75" spans="1:14">
      <c r="A341" s="12" t="e">
        <f>'[4]#REF'!A341</f>
        <v>#REF!</v>
      </c>
      <c r="B341" s="12" t="e">
        <f>'[4]#REF'!B341</f>
        <v>#REF!</v>
      </c>
      <c r="C341" s="31" t="e">
        <f>'[4]#REF'!D341</f>
        <v>#REF!</v>
      </c>
      <c r="D341" s="32" t="e">
        <f t="shared" si="15"/>
        <v>#REF!</v>
      </c>
      <c r="F341" s="12" t="e">
        <f>'[4]#REF'!F341</f>
        <v>#REF!</v>
      </c>
      <c r="G341" s="12" t="e">
        <f>'[4]#REF'!G341</f>
        <v>#REF!</v>
      </c>
      <c r="H341" s="31" t="e">
        <f>'[4]#REF'!I341</f>
        <v>#REF!</v>
      </c>
      <c r="I341" s="32" t="e">
        <f t="shared" si="16"/>
        <v>#REF!</v>
      </c>
      <c r="K341" s="12" t="e">
        <f>'[4]#REF'!K341</f>
        <v>#REF!</v>
      </c>
      <c r="L341" s="12" t="e">
        <f>'[4]#REF'!L341</f>
        <v>#REF!</v>
      </c>
      <c r="M341" s="31" t="e">
        <f>'[4]#REF'!N341</f>
        <v>#REF!</v>
      </c>
      <c r="N341" s="32" t="e">
        <f t="shared" si="17"/>
        <v>#REF!</v>
      </c>
    </row>
    <row r="342" ht="15.75" spans="1:14">
      <c r="A342" s="12" t="e">
        <f>'[4]#REF'!A342</f>
        <v>#REF!</v>
      </c>
      <c r="B342" s="12" t="e">
        <f>'[4]#REF'!B342</f>
        <v>#REF!</v>
      </c>
      <c r="C342" s="31" t="e">
        <f>'[4]#REF'!D342</f>
        <v>#REF!</v>
      </c>
      <c r="D342" s="32" t="e">
        <f t="shared" si="15"/>
        <v>#REF!</v>
      </c>
      <c r="F342" s="12" t="e">
        <f>'[4]#REF'!F342</f>
        <v>#REF!</v>
      </c>
      <c r="G342" s="12" t="e">
        <f>'[4]#REF'!G342</f>
        <v>#REF!</v>
      </c>
      <c r="H342" s="31" t="e">
        <f>'[4]#REF'!I342</f>
        <v>#REF!</v>
      </c>
      <c r="I342" s="32" t="e">
        <f t="shared" si="16"/>
        <v>#REF!</v>
      </c>
      <c r="K342" s="12" t="e">
        <f>'[4]#REF'!K342</f>
        <v>#REF!</v>
      </c>
      <c r="L342" s="12" t="e">
        <f>'[4]#REF'!L342</f>
        <v>#REF!</v>
      </c>
      <c r="M342" s="31" t="e">
        <f>'[4]#REF'!N342</f>
        <v>#REF!</v>
      </c>
      <c r="N342" s="32" t="e">
        <f t="shared" si="17"/>
        <v>#REF!</v>
      </c>
    </row>
    <row r="343" ht="15.75" spans="1:14">
      <c r="A343" s="12" t="e">
        <f>'[4]#REF'!A343</f>
        <v>#REF!</v>
      </c>
      <c r="B343" s="12" t="e">
        <f>'[4]#REF'!B343</f>
        <v>#REF!</v>
      </c>
      <c r="C343" s="31" t="e">
        <f>'[4]#REF'!D343</f>
        <v>#REF!</v>
      </c>
      <c r="D343" s="32" t="e">
        <f t="shared" si="15"/>
        <v>#REF!</v>
      </c>
      <c r="F343" s="12" t="e">
        <f>'[4]#REF'!F343</f>
        <v>#REF!</v>
      </c>
      <c r="G343" s="12" t="e">
        <f>'[4]#REF'!G343</f>
        <v>#REF!</v>
      </c>
      <c r="H343" s="31" t="e">
        <f>'[4]#REF'!I343</f>
        <v>#REF!</v>
      </c>
      <c r="I343" s="32" t="e">
        <f t="shared" si="16"/>
        <v>#REF!</v>
      </c>
      <c r="K343" s="12" t="e">
        <f>'[4]#REF'!K343</f>
        <v>#REF!</v>
      </c>
      <c r="L343" s="12" t="e">
        <f>'[4]#REF'!L343</f>
        <v>#REF!</v>
      </c>
      <c r="M343" s="31" t="e">
        <f>'[4]#REF'!N343</f>
        <v>#REF!</v>
      </c>
      <c r="N343" s="32" t="e">
        <f t="shared" si="17"/>
        <v>#REF!</v>
      </c>
    </row>
    <row r="344" ht="15.75" spans="1:14">
      <c r="A344" s="12" t="e">
        <f>'[4]#REF'!A344</f>
        <v>#REF!</v>
      </c>
      <c r="B344" s="12" t="e">
        <f>'[4]#REF'!B344</f>
        <v>#REF!</v>
      </c>
      <c r="C344" s="31" t="e">
        <f>'[4]#REF'!D344</f>
        <v>#REF!</v>
      </c>
      <c r="D344" s="32" t="e">
        <f t="shared" si="15"/>
        <v>#REF!</v>
      </c>
      <c r="F344" s="12" t="e">
        <f>'[4]#REF'!F344</f>
        <v>#REF!</v>
      </c>
      <c r="G344" s="12" t="e">
        <f>'[4]#REF'!G344</f>
        <v>#REF!</v>
      </c>
      <c r="H344" s="31" t="e">
        <f>'[4]#REF'!I344</f>
        <v>#REF!</v>
      </c>
      <c r="I344" s="32" t="e">
        <f t="shared" si="16"/>
        <v>#REF!</v>
      </c>
      <c r="K344" s="12" t="e">
        <f>'[4]#REF'!K344</f>
        <v>#REF!</v>
      </c>
      <c r="L344" s="12" t="e">
        <f>'[4]#REF'!L344</f>
        <v>#REF!</v>
      </c>
      <c r="M344" s="31" t="e">
        <f>'[4]#REF'!N344</f>
        <v>#REF!</v>
      </c>
      <c r="N344" s="32" t="e">
        <f t="shared" si="17"/>
        <v>#REF!</v>
      </c>
    </row>
    <row r="345" ht="15.75" spans="1:14">
      <c r="A345" s="12" t="e">
        <f>'[4]#REF'!A345</f>
        <v>#REF!</v>
      </c>
      <c r="B345" s="12" t="e">
        <f>'[4]#REF'!B345</f>
        <v>#REF!</v>
      </c>
      <c r="C345" s="31" t="e">
        <f>'[4]#REF'!D345</f>
        <v>#REF!</v>
      </c>
      <c r="D345" s="32" t="e">
        <f t="shared" si="15"/>
        <v>#REF!</v>
      </c>
      <c r="F345" s="12" t="e">
        <f>'[4]#REF'!F345</f>
        <v>#REF!</v>
      </c>
      <c r="G345" s="12" t="e">
        <f>'[4]#REF'!G345</f>
        <v>#REF!</v>
      </c>
      <c r="H345" s="31" t="e">
        <f>'[4]#REF'!I345</f>
        <v>#REF!</v>
      </c>
      <c r="I345" s="32" t="e">
        <f t="shared" si="16"/>
        <v>#REF!</v>
      </c>
      <c r="K345" s="12" t="e">
        <f>'[4]#REF'!K345</f>
        <v>#REF!</v>
      </c>
      <c r="L345" s="12" t="e">
        <f>'[4]#REF'!L345</f>
        <v>#REF!</v>
      </c>
      <c r="M345" s="31" t="e">
        <f>'[4]#REF'!N345</f>
        <v>#REF!</v>
      </c>
      <c r="N345" s="32" t="e">
        <f t="shared" si="17"/>
        <v>#REF!</v>
      </c>
    </row>
    <row r="346" ht="15.75" spans="1:14">
      <c r="A346" s="12" t="e">
        <f>'[4]#REF'!A346</f>
        <v>#REF!</v>
      </c>
      <c r="B346" s="12" t="e">
        <f>'[4]#REF'!B346</f>
        <v>#REF!</v>
      </c>
      <c r="C346" s="31" t="e">
        <f>'[4]#REF'!D346</f>
        <v>#REF!</v>
      </c>
      <c r="D346" s="32" t="e">
        <f t="shared" si="15"/>
        <v>#REF!</v>
      </c>
      <c r="F346" s="12" t="e">
        <f>'[4]#REF'!F346</f>
        <v>#REF!</v>
      </c>
      <c r="G346" s="12" t="e">
        <f>'[4]#REF'!G346</f>
        <v>#REF!</v>
      </c>
      <c r="H346" s="31" t="e">
        <f>'[4]#REF'!I346</f>
        <v>#REF!</v>
      </c>
      <c r="I346" s="32" t="e">
        <f t="shared" si="16"/>
        <v>#REF!</v>
      </c>
      <c r="K346" s="12" t="e">
        <f>'[4]#REF'!K346</f>
        <v>#REF!</v>
      </c>
      <c r="L346" s="12" t="e">
        <f>'[4]#REF'!L346</f>
        <v>#REF!</v>
      </c>
      <c r="M346" s="31" t="e">
        <f>'[4]#REF'!N346</f>
        <v>#REF!</v>
      </c>
      <c r="N346" s="32" t="e">
        <f t="shared" si="17"/>
        <v>#REF!</v>
      </c>
    </row>
    <row r="347" ht="15.75" spans="1:14">
      <c r="A347" s="12" t="e">
        <f>'[4]#REF'!A347</f>
        <v>#REF!</v>
      </c>
      <c r="B347" s="12" t="e">
        <f>'[4]#REF'!B347</f>
        <v>#REF!</v>
      </c>
      <c r="C347" s="31" t="e">
        <f>'[4]#REF'!D347</f>
        <v>#REF!</v>
      </c>
      <c r="D347" s="32" t="e">
        <f t="shared" si="15"/>
        <v>#REF!</v>
      </c>
      <c r="F347" s="12" t="e">
        <f>'[4]#REF'!F347</f>
        <v>#REF!</v>
      </c>
      <c r="G347" s="12" t="e">
        <f>'[4]#REF'!G347</f>
        <v>#REF!</v>
      </c>
      <c r="H347" s="31" t="e">
        <f>'[4]#REF'!I347</f>
        <v>#REF!</v>
      </c>
      <c r="I347" s="32" t="e">
        <f t="shared" si="16"/>
        <v>#REF!</v>
      </c>
      <c r="K347" s="12" t="e">
        <f>'[4]#REF'!K347</f>
        <v>#REF!</v>
      </c>
      <c r="L347" s="12" t="e">
        <f>'[4]#REF'!L347</f>
        <v>#REF!</v>
      </c>
      <c r="M347" s="31" t="e">
        <f>'[4]#REF'!N347</f>
        <v>#REF!</v>
      </c>
      <c r="N347" s="32" t="e">
        <f t="shared" si="17"/>
        <v>#REF!</v>
      </c>
    </row>
    <row r="348" ht="15.75" spans="1:14">
      <c r="A348" s="12" t="e">
        <f>'[4]#REF'!A348</f>
        <v>#REF!</v>
      </c>
      <c r="B348" s="12" t="e">
        <f>'[4]#REF'!B348</f>
        <v>#REF!</v>
      </c>
      <c r="C348" s="31" t="e">
        <f>'[4]#REF'!D348</f>
        <v>#REF!</v>
      </c>
      <c r="D348" s="32" t="e">
        <f t="shared" si="15"/>
        <v>#REF!</v>
      </c>
      <c r="F348" s="12" t="e">
        <f>'[4]#REF'!F348</f>
        <v>#REF!</v>
      </c>
      <c r="G348" s="12" t="e">
        <f>'[4]#REF'!G348</f>
        <v>#REF!</v>
      </c>
      <c r="H348" s="31" t="e">
        <f>'[4]#REF'!I348</f>
        <v>#REF!</v>
      </c>
      <c r="I348" s="32" t="e">
        <f t="shared" si="16"/>
        <v>#REF!</v>
      </c>
      <c r="K348" s="12" t="e">
        <f>'[4]#REF'!K348</f>
        <v>#REF!</v>
      </c>
      <c r="L348" s="12" t="e">
        <f>'[4]#REF'!L348</f>
        <v>#REF!</v>
      </c>
      <c r="M348" s="31" t="e">
        <f>'[4]#REF'!N348</f>
        <v>#REF!</v>
      </c>
      <c r="N348" s="32" t="e">
        <f t="shared" si="17"/>
        <v>#REF!</v>
      </c>
    </row>
    <row r="349" ht="15.75" spans="1:14">
      <c r="A349" s="12" t="e">
        <f>'[4]#REF'!A349</f>
        <v>#REF!</v>
      </c>
      <c r="B349" s="12" t="e">
        <f>'[4]#REF'!B349</f>
        <v>#REF!</v>
      </c>
      <c r="C349" s="31" t="e">
        <f>'[4]#REF'!D349</f>
        <v>#REF!</v>
      </c>
      <c r="D349" s="32" t="e">
        <f t="shared" si="15"/>
        <v>#REF!</v>
      </c>
      <c r="F349" s="12" t="e">
        <f>'[4]#REF'!F349</f>
        <v>#REF!</v>
      </c>
      <c r="G349" s="12" t="e">
        <f>'[4]#REF'!G349</f>
        <v>#REF!</v>
      </c>
      <c r="H349" s="31" t="e">
        <f>'[4]#REF'!I349</f>
        <v>#REF!</v>
      </c>
      <c r="I349" s="32" t="e">
        <f t="shared" si="16"/>
        <v>#REF!</v>
      </c>
      <c r="K349" s="12" t="e">
        <f>'[4]#REF'!K349</f>
        <v>#REF!</v>
      </c>
      <c r="L349" s="12" t="e">
        <f>'[4]#REF'!L349</f>
        <v>#REF!</v>
      </c>
      <c r="M349" s="31" t="e">
        <f>'[4]#REF'!N349</f>
        <v>#REF!</v>
      </c>
      <c r="N349" s="32" t="e">
        <f t="shared" si="17"/>
        <v>#REF!</v>
      </c>
    </row>
    <row r="350" ht="15.75" spans="1:14">
      <c r="A350" s="12" t="e">
        <f>'[4]#REF'!A350</f>
        <v>#REF!</v>
      </c>
      <c r="B350" s="12" t="e">
        <f>'[4]#REF'!B350</f>
        <v>#REF!</v>
      </c>
      <c r="C350" s="31" t="e">
        <f>'[4]#REF'!D350</f>
        <v>#REF!</v>
      </c>
      <c r="D350" s="32" t="e">
        <f t="shared" si="15"/>
        <v>#REF!</v>
      </c>
      <c r="F350" s="12" t="e">
        <f>'[4]#REF'!F350</f>
        <v>#REF!</v>
      </c>
      <c r="G350" s="12" t="e">
        <f>'[4]#REF'!G350</f>
        <v>#REF!</v>
      </c>
      <c r="H350" s="31" t="e">
        <f>'[4]#REF'!I350</f>
        <v>#REF!</v>
      </c>
      <c r="I350" s="32" t="e">
        <f t="shared" si="16"/>
        <v>#REF!</v>
      </c>
      <c r="K350" s="12" t="e">
        <f>'[4]#REF'!K350</f>
        <v>#REF!</v>
      </c>
      <c r="L350" s="12" t="e">
        <f>'[4]#REF'!L350</f>
        <v>#REF!</v>
      </c>
      <c r="M350" s="31" t="e">
        <f>'[4]#REF'!N350</f>
        <v>#REF!</v>
      </c>
      <c r="N350" s="32" t="e">
        <f t="shared" si="17"/>
        <v>#REF!</v>
      </c>
    </row>
    <row r="351" ht="15.75" spans="1:14">
      <c r="A351" s="12" t="e">
        <f>'[4]#REF'!A351</f>
        <v>#REF!</v>
      </c>
      <c r="B351" s="12" t="e">
        <f>'[4]#REF'!B351</f>
        <v>#REF!</v>
      </c>
      <c r="C351" s="31" t="e">
        <f>'[4]#REF'!D351</f>
        <v>#REF!</v>
      </c>
      <c r="D351" s="32" t="e">
        <f t="shared" si="15"/>
        <v>#REF!</v>
      </c>
      <c r="F351" s="12" t="e">
        <f>'[4]#REF'!F351</f>
        <v>#REF!</v>
      </c>
      <c r="G351" s="12" t="e">
        <f>'[4]#REF'!G351</f>
        <v>#REF!</v>
      </c>
      <c r="H351" s="31" t="e">
        <f>'[4]#REF'!I351</f>
        <v>#REF!</v>
      </c>
      <c r="I351" s="32" t="e">
        <f t="shared" si="16"/>
        <v>#REF!</v>
      </c>
      <c r="K351" s="12" t="e">
        <f>'[4]#REF'!K351</f>
        <v>#REF!</v>
      </c>
      <c r="L351" s="12" t="e">
        <f>'[4]#REF'!L351</f>
        <v>#REF!</v>
      </c>
      <c r="M351" s="31" t="e">
        <f>'[4]#REF'!N351</f>
        <v>#REF!</v>
      </c>
      <c r="N351" s="32" t="e">
        <f t="shared" si="17"/>
        <v>#REF!</v>
      </c>
    </row>
    <row r="352" ht="15.75" spans="1:14">
      <c r="A352" s="12" t="e">
        <f>'[4]#REF'!A352</f>
        <v>#REF!</v>
      </c>
      <c r="B352" s="12" t="e">
        <f>'[4]#REF'!B352</f>
        <v>#REF!</v>
      </c>
      <c r="C352" s="31" t="e">
        <f>'[4]#REF'!D352</f>
        <v>#REF!</v>
      </c>
      <c r="D352" s="32" t="e">
        <f t="shared" si="15"/>
        <v>#REF!</v>
      </c>
      <c r="F352" s="12" t="e">
        <f>'[4]#REF'!F352</f>
        <v>#REF!</v>
      </c>
      <c r="G352" s="12" t="e">
        <f>'[4]#REF'!G352</f>
        <v>#REF!</v>
      </c>
      <c r="H352" s="31" t="e">
        <f>'[4]#REF'!I352</f>
        <v>#REF!</v>
      </c>
      <c r="I352" s="32" t="e">
        <f t="shared" si="16"/>
        <v>#REF!</v>
      </c>
      <c r="K352" s="12" t="e">
        <f>'[4]#REF'!K352</f>
        <v>#REF!</v>
      </c>
      <c r="L352" s="12" t="e">
        <f>'[4]#REF'!L352</f>
        <v>#REF!</v>
      </c>
      <c r="M352" s="31" t="e">
        <f>'[4]#REF'!N352</f>
        <v>#REF!</v>
      </c>
      <c r="N352" s="32" t="e">
        <f t="shared" si="17"/>
        <v>#REF!</v>
      </c>
    </row>
    <row r="353" ht="15.75" spans="1:14">
      <c r="A353" s="12" t="e">
        <f>'[4]#REF'!A353</f>
        <v>#REF!</v>
      </c>
      <c r="B353" s="12" t="e">
        <f>'[4]#REF'!B353</f>
        <v>#REF!</v>
      </c>
      <c r="C353" s="31" t="e">
        <f>'[4]#REF'!D353</f>
        <v>#REF!</v>
      </c>
      <c r="D353" s="32" t="e">
        <f t="shared" si="15"/>
        <v>#REF!</v>
      </c>
      <c r="F353" s="12" t="e">
        <f>'[4]#REF'!F353</f>
        <v>#REF!</v>
      </c>
      <c r="G353" s="12" t="e">
        <f>'[4]#REF'!G353</f>
        <v>#REF!</v>
      </c>
      <c r="H353" s="31" t="e">
        <f>'[4]#REF'!I353</f>
        <v>#REF!</v>
      </c>
      <c r="I353" s="32" t="e">
        <f t="shared" si="16"/>
        <v>#REF!</v>
      </c>
      <c r="K353" s="12" t="e">
        <f>'[4]#REF'!K353</f>
        <v>#REF!</v>
      </c>
      <c r="L353" s="12" t="e">
        <f>'[4]#REF'!L353</f>
        <v>#REF!</v>
      </c>
      <c r="M353" s="31" t="e">
        <f>'[4]#REF'!N353</f>
        <v>#REF!</v>
      </c>
      <c r="N353" s="32" t="e">
        <f t="shared" si="17"/>
        <v>#REF!</v>
      </c>
    </row>
    <row r="354" ht="15.75" spans="1:14">
      <c r="A354" s="12" t="e">
        <f>'[4]#REF'!A354</f>
        <v>#REF!</v>
      </c>
      <c r="B354" s="12" t="e">
        <f>'[4]#REF'!B354</f>
        <v>#REF!</v>
      </c>
      <c r="C354" s="31" t="e">
        <f>'[4]#REF'!D354</f>
        <v>#REF!</v>
      </c>
      <c r="D354" s="32" t="e">
        <f t="shared" si="15"/>
        <v>#REF!</v>
      </c>
      <c r="F354" s="12" t="e">
        <f>'[4]#REF'!F354</f>
        <v>#REF!</v>
      </c>
      <c r="G354" s="12" t="e">
        <f>'[4]#REF'!G354</f>
        <v>#REF!</v>
      </c>
      <c r="H354" s="31" t="e">
        <f>'[4]#REF'!I354</f>
        <v>#REF!</v>
      </c>
      <c r="I354" s="32" t="e">
        <f t="shared" si="16"/>
        <v>#REF!</v>
      </c>
      <c r="K354" s="12" t="e">
        <f>'[4]#REF'!K354</f>
        <v>#REF!</v>
      </c>
      <c r="L354" s="12" t="e">
        <f>'[4]#REF'!L354</f>
        <v>#REF!</v>
      </c>
      <c r="M354" s="31" t="e">
        <f>'[4]#REF'!N354</f>
        <v>#REF!</v>
      </c>
      <c r="N354" s="32" t="e">
        <f t="shared" si="17"/>
        <v>#REF!</v>
      </c>
    </row>
    <row r="355" ht="15.75" spans="1:14">
      <c r="A355" s="12" t="e">
        <f>'[4]#REF'!A355</f>
        <v>#REF!</v>
      </c>
      <c r="B355" s="12" t="e">
        <f>'[4]#REF'!B355</f>
        <v>#REF!</v>
      </c>
      <c r="C355" s="31" t="e">
        <f>'[4]#REF'!D355</f>
        <v>#REF!</v>
      </c>
      <c r="D355" s="32" t="e">
        <f t="shared" si="15"/>
        <v>#REF!</v>
      </c>
      <c r="F355" s="12" t="e">
        <f>'[4]#REF'!F355</f>
        <v>#REF!</v>
      </c>
      <c r="G355" s="12" t="e">
        <f>'[4]#REF'!G355</f>
        <v>#REF!</v>
      </c>
      <c r="H355" s="31" t="e">
        <f>'[4]#REF'!I355</f>
        <v>#REF!</v>
      </c>
      <c r="I355" s="32" t="e">
        <f t="shared" si="16"/>
        <v>#REF!</v>
      </c>
      <c r="K355" s="12" t="e">
        <f>'[4]#REF'!K355</f>
        <v>#REF!</v>
      </c>
      <c r="L355" s="12" t="e">
        <f>'[4]#REF'!L355</f>
        <v>#REF!</v>
      </c>
      <c r="M355" s="31" t="e">
        <f>'[4]#REF'!N355</f>
        <v>#REF!</v>
      </c>
      <c r="N355" s="32" t="e">
        <f t="shared" si="17"/>
        <v>#REF!</v>
      </c>
    </row>
    <row r="356" ht="15.75" spans="1:14">
      <c r="A356" s="12" t="e">
        <f>'[4]#REF'!A356</f>
        <v>#REF!</v>
      </c>
      <c r="B356" s="12" t="e">
        <f>'[4]#REF'!B356</f>
        <v>#REF!</v>
      </c>
      <c r="C356" s="31" t="e">
        <f>'[4]#REF'!D356</f>
        <v>#REF!</v>
      </c>
      <c r="D356" s="32" t="e">
        <f t="shared" si="15"/>
        <v>#REF!</v>
      </c>
      <c r="F356" s="12" t="e">
        <f>'[4]#REF'!F356</f>
        <v>#REF!</v>
      </c>
      <c r="G356" s="12" t="e">
        <f>'[4]#REF'!G356</f>
        <v>#REF!</v>
      </c>
      <c r="H356" s="31" t="e">
        <f>'[4]#REF'!I356</f>
        <v>#REF!</v>
      </c>
      <c r="I356" s="32" t="e">
        <f t="shared" si="16"/>
        <v>#REF!</v>
      </c>
      <c r="K356" s="12" t="e">
        <f>'[4]#REF'!K356</f>
        <v>#REF!</v>
      </c>
      <c r="L356" s="12" t="e">
        <f>'[4]#REF'!L356</f>
        <v>#REF!</v>
      </c>
      <c r="M356" s="31" t="e">
        <f>'[4]#REF'!N356</f>
        <v>#REF!</v>
      </c>
      <c r="N356" s="32" t="e">
        <f t="shared" si="17"/>
        <v>#REF!</v>
      </c>
    </row>
    <row r="357" ht="15.75" spans="1:14">
      <c r="A357" s="12" t="e">
        <f>'[4]#REF'!A357</f>
        <v>#REF!</v>
      </c>
      <c r="B357" s="12" t="e">
        <f>'[4]#REF'!B357</f>
        <v>#REF!</v>
      </c>
      <c r="C357" s="31" t="e">
        <f>'[4]#REF'!D357</f>
        <v>#REF!</v>
      </c>
      <c r="D357" s="32" t="e">
        <f t="shared" si="15"/>
        <v>#REF!</v>
      </c>
      <c r="F357" s="12" t="e">
        <f>'[4]#REF'!F357</f>
        <v>#REF!</v>
      </c>
      <c r="G357" s="12" t="e">
        <f>'[4]#REF'!G357</f>
        <v>#REF!</v>
      </c>
      <c r="H357" s="31" t="e">
        <f>'[4]#REF'!I357</f>
        <v>#REF!</v>
      </c>
      <c r="I357" s="32" t="e">
        <f t="shared" si="16"/>
        <v>#REF!</v>
      </c>
      <c r="K357" s="12" t="e">
        <f>'[4]#REF'!K357</f>
        <v>#REF!</v>
      </c>
      <c r="L357" s="12" t="e">
        <f>'[4]#REF'!L357</f>
        <v>#REF!</v>
      </c>
      <c r="M357" s="31" t="e">
        <f>'[4]#REF'!N357</f>
        <v>#REF!</v>
      </c>
      <c r="N357" s="32" t="e">
        <f t="shared" si="17"/>
        <v>#REF!</v>
      </c>
    </row>
    <row r="358" ht="15.75" spans="1:14">
      <c r="A358" s="12" t="e">
        <f>'[4]#REF'!A358</f>
        <v>#REF!</v>
      </c>
      <c r="B358" s="12" t="e">
        <f>'[4]#REF'!B358</f>
        <v>#REF!</v>
      </c>
      <c r="C358" s="31" t="e">
        <f>'[4]#REF'!D358</f>
        <v>#REF!</v>
      </c>
      <c r="D358" s="32" t="e">
        <f t="shared" si="15"/>
        <v>#REF!</v>
      </c>
      <c r="F358" s="12" t="e">
        <f>'[4]#REF'!F358</f>
        <v>#REF!</v>
      </c>
      <c r="G358" s="12" t="e">
        <f>'[4]#REF'!G358</f>
        <v>#REF!</v>
      </c>
      <c r="H358" s="31" t="e">
        <f>'[4]#REF'!I358</f>
        <v>#REF!</v>
      </c>
      <c r="I358" s="32" t="e">
        <f t="shared" si="16"/>
        <v>#REF!</v>
      </c>
      <c r="K358" s="12" t="e">
        <f>'[4]#REF'!K358</f>
        <v>#REF!</v>
      </c>
      <c r="L358" s="12" t="e">
        <f>'[4]#REF'!L358</f>
        <v>#REF!</v>
      </c>
      <c r="M358" s="31" t="e">
        <f>'[4]#REF'!N358</f>
        <v>#REF!</v>
      </c>
      <c r="N358" s="32" t="e">
        <f t="shared" si="17"/>
        <v>#REF!</v>
      </c>
    </row>
    <row r="359" ht="15.75" spans="1:14">
      <c r="A359" s="12" t="e">
        <f>'[4]#REF'!A359</f>
        <v>#REF!</v>
      </c>
      <c r="B359" s="12" t="e">
        <f>'[4]#REF'!B359</f>
        <v>#REF!</v>
      </c>
      <c r="C359" s="31" t="e">
        <f>'[4]#REF'!D359</f>
        <v>#REF!</v>
      </c>
      <c r="D359" s="32" t="e">
        <f t="shared" si="15"/>
        <v>#REF!</v>
      </c>
      <c r="F359" s="12" t="e">
        <f>'[4]#REF'!F359</f>
        <v>#REF!</v>
      </c>
      <c r="G359" s="12" t="e">
        <f>'[4]#REF'!G359</f>
        <v>#REF!</v>
      </c>
      <c r="H359" s="31" t="e">
        <f>'[4]#REF'!I359</f>
        <v>#REF!</v>
      </c>
      <c r="I359" s="32" t="e">
        <f t="shared" si="16"/>
        <v>#REF!</v>
      </c>
      <c r="K359" s="12" t="e">
        <f>'[4]#REF'!K359</f>
        <v>#REF!</v>
      </c>
      <c r="L359" s="12" t="e">
        <f>'[4]#REF'!L359</f>
        <v>#REF!</v>
      </c>
      <c r="M359" s="31" t="e">
        <f>'[4]#REF'!N359</f>
        <v>#REF!</v>
      </c>
      <c r="N359" s="32" t="e">
        <f t="shared" si="17"/>
        <v>#REF!</v>
      </c>
    </row>
    <row r="360" ht="15.75" spans="1:14">
      <c r="A360" s="12" t="e">
        <f>'[4]#REF'!A360</f>
        <v>#REF!</v>
      </c>
      <c r="B360" s="12" t="e">
        <f>'[4]#REF'!B360</f>
        <v>#REF!</v>
      </c>
      <c r="C360" s="31" t="e">
        <f>'[4]#REF'!D360</f>
        <v>#REF!</v>
      </c>
      <c r="D360" s="32" t="e">
        <f t="shared" si="15"/>
        <v>#REF!</v>
      </c>
      <c r="F360" s="12" t="e">
        <f>'[4]#REF'!F360</f>
        <v>#REF!</v>
      </c>
      <c r="G360" s="12" t="e">
        <f>'[4]#REF'!G360</f>
        <v>#REF!</v>
      </c>
      <c r="H360" s="31" t="e">
        <f>'[4]#REF'!I360</f>
        <v>#REF!</v>
      </c>
      <c r="I360" s="32" t="e">
        <f t="shared" si="16"/>
        <v>#REF!</v>
      </c>
      <c r="K360" s="12" t="e">
        <f>'[4]#REF'!K360</f>
        <v>#REF!</v>
      </c>
      <c r="L360" s="12" t="e">
        <f>'[4]#REF'!L360</f>
        <v>#REF!</v>
      </c>
      <c r="M360" s="31" t="e">
        <f>'[4]#REF'!N360</f>
        <v>#REF!</v>
      </c>
      <c r="N360" s="32" t="e">
        <f t="shared" si="17"/>
        <v>#REF!</v>
      </c>
    </row>
    <row r="361" ht="15.75" spans="1:14">
      <c r="A361" s="12" t="e">
        <f>'[4]#REF'!A361</f>
        <v>#REF!</v>
      </c>
      <c r="B361" s="12" t="e">
        <f>'[4]#REF'!B361</f>
        <v>#REF!</v>
      </c>
      <c r="C361" s="31" t="e">
        <f>'[4]#REF'!D361</f>
        <v>#REF!</v>
      </c>
      <c r="D361" s="32" t="e">
        <f t="shared" si="15"/>
        <v>#REF!</v>
      </c>
      <c r="F361" s="12" t="e">
        <f>'[4]#REF'!F361</f>
        <v>#REF!</v>
      </c>
      <c r="G361" s="12" t="e">
        <f>'[4]#REF'!G361</f>
        <v>#REF!</v>
      </c>
      <c r="H361" s="31" t="e">
        <f>'[4]#REF'!I361</f>
        <v>#REF!</v>
      </c>
      <c r="I361" s="32" t="e">
        <f t="shared" si="16"/>
        <v>#REF!</v>
      </c>
      <c r="K361" s="12" t="e">
        <f>'[4]#REF'!K361</f>
        <v>#REF!</v>
      </c>
      <c r="L361" s="12" t="e">
        <f>'[4]#REF'!L361</f>
        <v>#REF!</v>
      </c>
      <c r="M361" s="31" t="e">
        <f>'[4]#REF'!N361</f>
        <v>#REF!</v>
      </c>
      <c r="N361" s="32" t="e">
        <f t="shared" si="17"/>
        <v>#REF!</v>
      </c>
    </row>
    <row r="362" ht="15.75" spans="1:14">
      <c r="A362" s="12" t="e">
        <f>'[4]#REF'!A362</f>
        <v>#REF!</v>
      </c>
      <c r="B362" s="12" t="e">
        <f>'[4]#REF'!B362</f>
        <v>#REF!</v>
      </c>
      <c r="C362" s="31" t="e">
        <f>'[4]#REF'!D362</f>
        <v>#REF!</v>
      </c>
      <c r="D362" s="32" t="e">
        <f t="shared" si="15"/>
        <v>#REF!</v>
      </c>
      <c r="F362" s="12" t="e">
        <f>'[4]#REF'!F362</f>
        <v>#REF!</v>
      </c>
      <c r="G362" s="12" t="e">
        <f>'[4]#REF'!G362</f>
        <v>#REF!</v>
      </c>
      <c r="H362" s="31" t="e">
        <f>'[4]#REF'!I362</f>
        <v>#REF!</v>
      </c>
      <c r="I362" s="32" t="e">
        <f t="shared" si="16"/>
        <v>#REF!</v>
      </c>
      <c r="K362" s="12" t="e">
        <f>'[4]#REF'!K362</f>
        <v>#REF!</v>
      </c>
      <c r="L362" s="12" t="e">
        <f>'[4]#REF'!L362</f>
        <v>#REF!</v>
      </c>
      <c r="M362" s="31" t="e">
        <f>'[4]#REF'!N362</f>
        <v>#REF!</v>
      </c>
      <c r="N362" s="32" t="e">
        <f t="shared" si="17"/>
        <v>#REF!</v>
      </c>
    </row>
    <row r="363" ht="15.75" spans="1:14">
      <c r="A363" s="12" t="e">
        <f>'[4]#REF'!A363</f>
        <v>#REF!</v>
      </c>
      <c r="B363" s="12" t="e">
        <f>'[4]#REF'!B363</f>
        <v>#REF!</v>
      </c>
      <c r="C363" s="31" t="e">
        <f>'[4]#REF'!D363</f>
        <v>#REF!</v>
      </c>
      <c r="D363" s="32" t="e">
        <f t="shared" si="15"/>
        <v>#REF!</v>
      </c>
      <c r="F363" s="12" t="e">
        <f>'[4]#REF'!F363</f>
        <v>#REF!</v>
      </c>
      <c r="G363" s="12" t="e">
        <f>'[4]#REF'!G363</f>
        <v>#REF!</v>
      </c>
      <c r="H363" s="31" t="e">
        <f>'[4]#REF'!I363</f>
        <v>#REF!</v>
      </c>
      <c r="I363" s="32" t="e">
        <f t="shared" si="16"/>
        <v>#REF!</v>
      </c>
      <c r="K363" s="12" t="e">
        <f>'[4]#REF'!K363</f>
        <v>#REF!</v>
      </c>
      <c r="L363" s="12" t="e">
        <f>'[4]#REF'!L363</f>
        <v>#REF!</v>
      </c>
      <c r="M363" s="31" t="e">
        <f>'[4]#REF'!N363</f>
        <v>#REF!</v>
      </c>
      <c r="N363" s="32" t="e">
        <f t="shared" si="17"/>
        <v>#REF!</v>
      </c>
    </row>
    <row r="364" ht="15.75" spans="1:14">
      <c r="A364" s="12" t="e">
        <f>'[4]#REF'!A364</f>
        <v>#REF!</v>
      </c>
      <c r="B364" s="12" t="e">
        <f>'[4]#REF'!B364</f>
        <v>#REF!</v>
      </c>
      <c r="C364" s="31" t="e">
        <f>'[4]#REF'!D364</f>
        <v>#REF!</v>
      </c>
      <c r="D364" s="32" t="e">
        <f t="shared" si="15"/>
        <v>#REF!</v>
      </c>
      <c r="F364" s="12" t="e">
        <f>'[4]#REF'!F364</f>
        <v>#REF!</v>
      </c>
      <c r="G364" s="12" t="e">
        <f>'[4]#REF'!G364</f>
        <v>#REF!</v>
      </c>
      <c r="H364" s="31" t="e">
        <f>'[4]#REF'!I364</f>
        <v>#REF!</v>
      </c>
      <c r="I364" s="32" t="e">
        <f t="shared" si="16"/>
        <v>#REF!</v>
      </c>
      <c r="K364" s="12" t="e">
        <f>'[4]#REF'!K364</f>
        <v>#REF!</v>
      </c>
      <c r="L364" s="12" t="e">
        <f>'[4]#REF'!L364</f>
        <v>#REF!</v>
      </c>
      <c r="M364" s="31" t="e">
        <f>'[4]#REF'!N364</f>
        <v>#REF!</v>
      </c>
      <c r="N364" s="32" t="e">
        <f t="shared" si="17"/>
        <v>#REF!</v>
      </c>
    </row>
    <row r="365" ht="15.75" spans="1:14">
      <c r="A365" s="12" t="e">
        <f>'[4]#REF'!A365</f>
        <v>#REF!</v>
      </c>
      <c r="B365" s="12" t="e">
        <f>'[4]#REF'!B365</f>
        <v>#REF!</v>
      </c>
      <c r="C365" s="31" t="e">
        <f>'[4]#REF'!D365</f>
        <v>#REF!</v>
      </c>
      <c r="D365" s="32" t="e">
        <f t="shared" si="15"/>
        <v>#REF!</v>
      </c>
      <c r="F365" s="12" t="e">
        <f>'[4]#REF'!F365</f>
        <v>#REF!</v>
      </c>
      <c r="G365" s="12" t="e">
        <f>'[4]#REF'!G365</f>
        <v>#REF!</v>
      </c>
      <c r="H365" s="31" t="e">
        <f>'[4]#REF'!I365</f>
        <v>#REF!</v>
      </c>
      <c r="I365" s="32" t="e">
        <f t="shared" si="16"/>
        <v>#REF!</v>
      </c>
      <c r="K365" s="12" t="e">
        <f>'[4]#REF'!K365</f>
        <v>#REF!</v>
      </c>
      <c r="L365" s="12" t="e">
        <f>'[4]#REF'!L365</f>
        <v>#REF!</v>
      </c>
      <c r="M365" s="31" t="e">
        <f>'[4]#REF'!N365</f>
        <v>#REF!</v>
      </c>
      <c r="N365" s="32" t="e">
        <f t="shared" si="17"/>
        <v>#REF!</v>
      </c>
    </row>
    <row r="366" ht="15.75" spans="1:14">
      <c r="A366" s="12" t="e">
        <f>'[4]#REF'!A366</f>
        <v>#REF!</v>
      </c>
      <c r="B366" s="12" t="e">
        <f>'[4]#REF'!B366</f>
        <v>#REF!</v>
      </c>
      <c r="C366" s="31" t="e">
        <f>'[4]#REF'!D366</f>
        <v>#REF!</v>
      </c>
      <c r="D366" s="32" t="e">
        <f t="shared" si="15"/>
        <v>#REF!</v>
      </c>
      <c r="F366" s="12" t="e">
        <f>'[4]#REF'!F366</f>
        <v>#REF!</v>
      </c>
      <c r="G366" s="12" t="e">
        <f>'[4]#REF'!G366</f>
        <v>#REF!</v>
      </c>
      <c r="H366" s="31" t="e">
        <f>'[4]#REF'!I366</f>
        <v>#REF!</v>
      </c>
      <c r="I366" s="32" t="e">
        <f t="shared" si="16"/>
        <v>#REF!</v>
      </c>
      <c r="K366" s="12" t="e">
        <f>'[4]#REF'!K366</f>
        <v>#REF!</v>
      </c>
      <c r="L366" s="12" t="e">
        <f>'[4]#REF'!L366</f>
        <v>#REF!</v>
      </c>
      <c r="M366" s="31" t="e">
        <f>'[4]#REF'!N366</f>
        <v>#REF!</v>
      </c>
      <c r="N366" s="32" t="e">
        <f t="shared" si="17"/>
        <v>#REF!</v>
      </c>
    </row>
    <row r="367" ht="15.75" spans="1:14">
      <c r="A367" s="12" t="e">
        <f>'[4]#REF'!A367</f>
        <v>#REF!</v>
      </c>
      <c r="B367" s="12" t="e">
        <f>'[4]#REF'!B367</f>
        <v>#REF!</v>
      </c>
      <c r="C367" s="31" t="e">
        <f>'[4]#REF'!D367</f>
        <v>#REF!</v>
      </c>
      <c r="D367" s="32" t="e">
        <f t="shared" si="15"/>
        <v>#REF!</v>
      </c>
      <c r="F367" s="12" t="e">
        <f>'[4]#REF'!F367</f>
        <v>#REF!</v>
      </c>
      <c r="G367" s="12" t="e">
        <f>'[4]#REF'!G367</f>
        <v>#REF!</v>
      </c>
      <c r="H367" s="31" t="e">
        <f>'[4]#REF'!I367</f>
        <v>#REF!</v>
      </c>
      <c r="I367" s="32" t="e">
        <f t="shared" si="16"/>
        <v>#REF!</v>
      </c>
      <c r="K367" s="12" t="e">
        <f>'[4]#REF'!K367</f>
        <v>#REF!</v>
      </c>
      <c r="L367" s="12" t="e">
        <f>'[4]#REF'!L367</f>
        <v>#REF!</v>
      </c>
      <c r="M367" s="31" t="e">
        <f>'[4]#REF'!N367</f>
        <v>#REF!</v>
      </c>
      <c r="N367" s="32" t="e">
        <f t="shared" si="17"/>
        <v>#REF!</v>
      </c>
    </row>
    <row r="368" ht="15.75" spans="1:14">
      <c r="A368" s="12" t="e">
        <f>'[4]#REF'!A368</f>
        <v>#REF!</v>
      </c>
      <c r="B368" s="12" t="e">
        <f>'[4]#REF'!B368</f>
        <v>#REF!</v>
      </c>
      <c r="C368" s="31" t="e">
        <f>'[4]#REF'!D368</f>
        <v>#REF!</v>
      </c>
      <c r="D368" s="32" t="e">
        <f t="shared" si="15"/>
        <v>#REF!</v>
      </c>
      <c r="F368" s="12" t="e">
        <f>'[4]#REF'!F368</f>
        <v>#REF!</v>
      </c>
      <c r="G368" s="12" t="e">
        <f>'[4]#REF'!G368</f>
        <v>#REF!</v>
      </c>
      <c r="H368" s="31" t="e">
        <f>'[4]#REF'!I368</f>
        <v>#REF!</v>
      </c>
      <c r="I368" s="32" t="e">
        <f t="shared" si="16"/>
        <v>#REF!</v>
      </c>
      <c r="K368" s="12" t="e">
        <f>'[4]#REF'!K368</f>
        <v>#REF!</v>
      </c>
      <c r="L368" s="12" t="e">
        <f>'[4]#REF'!L368</f>
        <v>#REF!</v>
      </c>
      <c r="M368" s="31" t="e">
        <f>'[4]#REF'!N368</f>
        <v>#REF!</v>
      </c>
      <c r="N368" s="32" t="e">
        <f t="shared" si="17"/>
        <v>#REF!</v>
      </c>
    </row>
    <row r="369" ht="15.75" spans="1:14">
      <c r="A369" s="12" t="e">
        <f>'[4]#REF'!A369</f>
        <v>#REF!</v>
      </c>
      <c r="B369" s="12" t="e">
        <f>'[4]#REF'!B369</f>
        <v>#REF!</v>
      </c>
      <c r="C369" s="31" t="e">
        <f>'[4]#REF'!D369</f>
        <v>#REF!</v>
      </c>
      <c r="D369" s="32" t="e">
        <f t="shared" si="15"/>
        <v>#REF!</v>
      </c>
      <c r="F369" s="12" t="e">
        <f>'[4]#REF'!F369</f>
        <v>#REF!</v>
      </c>
      <c r="G369" s="12" t="e">
        <f>'[4]#REF'!G369</f>
        <v>#REF!</v>
      </c>
      <c r="H369" s="31" t="e">
        <f>'[4]#REF'!I369</f>
        <v>#REF!</v>
      </c>
      <c r="I369" s="32" t="e">
        <f t="shared" si="16"/>
        <v>#REF!</v>
      </c>
      <c r="K369" s="12" t="e">
        <f>'[4]#REF'!K369</f>
        <v>#REF!</v>
      </c>
      <c r="L369" s="12" t="e">
        <f>'[4]#REF'!L369</f>
        <v>#REF!</v>
      </c>
      <c r="M369" s="31" t="e">
        <f>'[4]#REF'!N369</f>
        <v>#REF!</v>
      </c>
      <c r="N369" s="32" t="e">
        <f t="shared" si="17"/>
        <v>#REF!</v>
      </c>
    </row>
    <row r="370" ht="15.75" spans="1:14">
      <c r="A370" s="12" t="e">
        <f>'[4]#REF'!A370</f>
        <v>#REF!</v>
      </c>
      <c r="B370" s="12" t="e">
        <f>'[4]#REF'!B370</f>
        <v>#REF!</v>
      </c>
      <c r="C370" s="31" t="e">
        <f>'[4]#REF'!D370</f>
        <v>#REF!</v>
      </c>
      <c r="D370" s="32" t="e">
        <f t="shared" si="15"/>
        <v>#REF!</v>
      </c>
      <c r="F370" s="12" t="e">
        <f>'[4]#REF'!F370</f>
        <v>#REF!</v>
      </c>
      <c r="G370" s="12" t="e">
        <f>'[4]#REF'!G370</f>
        <v>#REF!</v>
      </c>
      <c r="H370" s="31" t="e">
        <f>'[4]#REF'!I370</f>
        <v>#REF!</v>
      </c>
      <c r="I370" s="32" t="e">
        <f t="shared" si="16"/>
        <v>#REF!</v>
      </c>
      <c r="K370" s="12" t="e">
        <f>'[4]#REF'!K370</f>
        <v>#REF!</v>
      </c>
      <c r="L370" s="12" t="e">
        <f>'[4]#REF'!L370</f>
        <v>#REF!</v>
      </c>
      <c r="M370" s="31" t="e">
        <f>'[4]#REF'!N370</f>
        <v>#REF!</v>
      </c>
      <c r="N370" s="32" t="e">
        <f t="shared" si="17"/>
        <v>#REF!</v>
      </c>
    </row>
    <row r="371" ht="15.75" spans="1:14">
      <c r="A371" s="12" t="e">
        <f>'[4]#REF'!A371</f>
        <v>#REF!</v>
      </c>
      <c r="B371" s="12" t="e">
        <f>'[4]#REF'!B371</f>
        <v>#REF!</v>
      </c>
      <c r="C371" s="31" t="e">
        <f>'[4]#REF'!D371</f>
        <v>#REF!</v>
      </c>
      <c r="D371" s="32" t="e">
        <f t="shared" si="15"/>
        <v>#REF!</v>
      </c>
      <c r="F371" s="12" t="e">
        <f>'[4]#REF'!F371</f>
        <v>#REF!</v>
      </c>
      <c r="G371" s="12" t="e">
        <f>'[4]#REF'!G371</f>
        <v>#REF!</v>
      </c>
      <c r="H371" s="31" t="e">
        <f>'[4]#REF'!I371</f>
        <v>#REF!</v>
      </c>
      <c r="I371" s="32" t="e">
        <f t="shared" si="16"/>
        <v>#REF!</v>
      </c>
      <c r="K371" s="12" t="e">
        <f>'[4]#REF'!K371</f>
        <v>#REF!</v>
      </c>
      <c r="L371" s="12" t="e">
        <f>'[4]#REF'!L371</f>
        <v>#REF!</v>
      </c>
      <c r="M371" s="31" t="e">
        <f>'[4]#REF'!N371</f>
        <v>#REF!</v>
      </c>
      <c r="N371" s="32" t="e">
        <f t="shared" si="17"/>
        <v>#REF!</v>
      </c>
    </row>
    <row r="372" ht="15.75" spans="1:14">
      <c r="A372" s="12" t="e">
        <f>'[4]#REF'!A372</f>
        <v>#REF!</v>
      </c>
      <c r="B372" s="12" t="e">
        <f>'[4]#REF'!B372</f>
        <v>#REF!</v>
      </c>
      <c r="C372" s="31" t="e">
        <f>'[4]#REF'!D372</f>
        <v>#REF!</v>
      </c>
      <c r="D372" s="32" t="e">
        <f t="shared" si="15"/>
        <v>#REF!</v>
      </c>
      <c r="F372" s="12" t="e">
        <f>'[4]#REF'!F372</f>
        <v>#REF!</v>
      </c>
      <c r="G372" s="12" t="e">
        <f>'[4]#REF'!G372</f>
        <v>#REF!</v>
      </c>
      <c r="H372" s="31" t="e">
        <f>'[4]#REF'!I372</f>
        <v>#REF!</v>
      </c>
      <c r="I372" s="32" t="e">
        <f t="shared" si="16"/>
        <v>#REF!</v>
      </c>
      <c r="K372" s="12" t="e">
        <f>'[4]#REF'!K372</f>
        <v>#REF!</v>
      </c>
      <c r="L372" s="12" t="e">
        <f>'[4]#REF'!L372</f>
        <v>#REF!</v>
      </c>
      <c r="M372" s="31" t="e">
        <f>'[4]#REF'!N372</f>
        <v>#REF!</v>
      </c>
      <c r="N372" s="32" t="e">
        <f t="shared" si="17"/>
        <v>#REF!</v>
      </c>
    </row>
    <row r="373" ht="15.75" spans="1:14">
      <c r="A373" s="12" t="e">
        <f>'[4]#REF'!A373</f>
        <v>#REF!</v>
      </c>
      <c r="B373" s="12" t="e">
        <f>'[4]#REF'!B373</f>
        <v>#REF!</v>
      </c>
      <c r="C373" s="31" t="e">
        <f>'[4]#REF'!D373</f>
        <v>#REF!</v>
      </c>
      <c r="D373" s="32" t="e">
        <f t="shared" si="15"/>
        <v>#REF!</v>
      </c>
      <c r="F373" s="12" t="e">
        <f>'[4]#REF'!F373</f>
        <v>#REF!</v>
      </c>
      <c r="G373" s="12" t="e">
        <f>'[4]#REF'!G373</f>
        <v>#REF!</v>
      </c>
      <c r="H373" s="31" t="e">
        <f>'[4]#REF'!I373</f>
        <v>#REF!</v>
      </c>
      <c r="I373" s="32" t="e">
        <f t="shared" si="16"/>
        <v>#REF!</v>
      </c>
      <c r="K373" s="12" t="e">
        <f>'[4]#REF'!K373</f>
        <v>#REF!</v>
      </c>
      <c r="L373" s="12" t="e">
        <f>'[4]#REF'!L373</f>
        <v>#REF!</v>
      </c>
      <c r="M373" s="31" t="e">
        <f>'[4]#REF'!N373</f>
        <v>#REF!</v>
      </c>
      <c r="N373" s="32" t="e">
        <f t="shared" si="17"/>
        <v>#REF!</v>
      </c>
    </row>
    <row r="374" ht="15.75" spans="1:14">
      <c r="A374" s="12" t="e">
        <f>'[4]#REF'!A374</f>
        <v>#REF!</v>
      </c>
      <c r="B374" s="12" t="e">
        <f>'[4]#REF'!B374</f>
        <v>#REF!</v>
      </c>
      <c r="C374" s="31" t="e">
        <f>'[4]#REF'!D374</f>
        <v>#REF!</v>
      </c>
      <c r="D374" s="32" t="e">
        <f t="shared" si="15"/>
        <v>#REF!</v>
      </c>
      <c r="F374" s="12" t="e">
        <f>'[4]#REF'!F374</f>
        <v>#REF!</v>
      </c>
      <c r="G374" s="12" t="e">
        <f>'[4]#REF'!G374</f>
        <v>#REF!</v>
      </c>
      <c r="H374" s="31" t="e">
        <f>'[4]#REF'!I374</f>
        <v>#REF!</v>
      </c>
      <c r="I374" s="32" t="e">
        <f t="shared" si="16"/>
        <v>#REF!</v>
      </c>
      <c r="K374" s="12" t="e">
        <f>'[4]#REF'!K374</f>
        <v>#REF!</v>
      </c>
      <c r="L374" s="12" t="e">
        <f>'[4]#REF'!L374</f>
        <v>#REF!</v>
      </c>
      <c r="M374" s="31" t="e">
        <f>'[4]#REF'!N374</f>
        <v>#REF!</v>
      </c>
      <c r="N374" s="32" t="e">
        <f t="shared" si="17"/>
        <v>#REF!</v>
      </c>
    </row>
    <row r="375" ht="15.75" spans="1:14">
      <c r="A375" s="12" t="e">
        <f>'[4]#REF'!A375</f>
        <v>#REF!</v>
      </c>
      <c r="B375" s="12" t="e">
        <f>'[4]#REF'!B375</f>
        <v>#REF!</v>
      </c>
      <c r="C375" s="31" t="e">
        <f>'[4]#REF'!D375</f>
        <v>#REF!</v>
      </c>
      <c r="D375" s="32" t="e">
        <f t="shared" si="15"/>
        <v>#REF!</v>
      </c>
      <c r="F375" s="12" t="e">
        <f>'[4]#REF'!F375</f>
        <v>#REF!</v>
      </c>
      <c r="G375" s="12" t="e">
        <f>'[4]#REF'!G375</f>
        <v>#REF!</v>
      </c>
      <c r="H375" s="31" t="e">
        <f>'[4]#REF'!I375</f>
        <v>#REF!</v>
      </c>
      <c r="I375" s="32" t="e">
        <f t="shared" si="16"/>
        <v>#REF!</v>
      </c>
      <c r="K375" s="12" t="e">
        <f>'[4]#REF'!K375</f>
        <v>#REF!</v>
      </c>
      <c r="L375" s="12" t="e">
        <f>'[4]#REF'!L375</f>
        <v>#REF!</v>
      </c>
      <c r="M375" s="31" t="e">
        <f>'[4]#REF'!N375</f>
        <v>#REF!</v>
      </c>
      <c r="N375" s="32" t="e">
        <f t="shared" si="17"/>
        <v>#REF!</v>
      </c>
    </row>
    <row r="376" ht="15.75" spans="1:14">
      <c r="A376" s="12" t="e">
        <f>'[4]#REF'!A376</f>
        <v>#REF!</v>
      </c>
      <c r="B376" s="12" t="e">
        <f>'[4]#REF'!B376</f>
        <v>#REF!</v>
      </c>
      <c r="C376" s="31" t="e">
        <f>'[4]#REF'!D376</f>
        <v>#REF!</v>
      </c>
      <c r="D376" s="32" t="e">
        <f t="shared" si="15"/>
        <v>#REF!</v>
      </c>
      <c r="F376" s="12" t="e">
        <f>'[4]#REF'!F376</f>
        <v>#REF!</v>
      </c>
      <c r="G376" s="12" t="e">
        <f>'[4]#REF'!G376</f>
        <v>#REF!</v>
      </c>
      <c r="H376" s="31" t="e">
        <f>'[4]#REF'!I376</f>
        <v>#REF!</v>
      </c>
      <c r="I376" s="32" t="e">
        <f t="shared" si="16"/>
        <v>#REF!</v>
      </c>
      <c r="K376" s="12" t="e">
        <f>'[4]#REF'!K376</f>
        <v>#REF!</v>
      </c>
      <c r="L376" s="12" t="e">
        <f>'[4]#REF'!L376</f>
        <v>#REF!</v>
      </c>
      <c r="M376" s="31" t="e">
        <f>'[4]#REF'!N376</f>
        <v>#REF!</v>
      </c>
      <c r="N376" s="32" t="e">
        <f t="shared" si="17"/>
        <v>#REF!</v>
      </c>
    </row>
    <row r="377" ht="15.75" spans="1:14">
      <c r="A377" s="12" t="e">
        <f>'[4]#REF'!A377</f>
        <v>#REF!</v>
      </c>
      <c r="B377" s="12" t="e">
        <f>'[4]#REF'!B377</f>
        <v>#REF!</v>
      </c>
      <c r="C377" s="31" t="e">
        <f>'[4]#REF'!D377</f>
        <v>#REF!</v>
      </c>
      <c r="D377" s="32" t="e">
        <f t="shared" si="15"/>
        <v>#REF!</v>
      </c>
      <c r="F377" s="12" t="e">
        <f>'[4]#REF'!F377</f>
        <v>#REF!</v>
      </c>
      <c r="G377" s="12" t="e">
        <f>'[4]#REF'!G377</f>
        <v>#REF!</v>
      </c>
      <c r="H377" s="31" t="e">
        <f>'[4]#REF'!I377</f>
        <v>#REF!</v>
      </c>
      <c r="I377" s="32" t="e">
        <f t="shared" si="16"/>
        <v>#REF!</v>
      </c>
      <c r="K377" s="12" t="e">
        <f>'[4]#REF'!K377</f>
        <v>#REF!</v>
      </c>
      <c r="L377" s="12" t="e">
        <f>'[4]#REF'!L377</f>
        <v>#REF!</v>
      </c>
      <c r="M377" s="31" t="e">
        <f>'[4]#REF'!N377</f>
        <v>#REF!</v>
      </c>
      <c r="N377" s="32" t="e">
        <f t="shared" si="17"/>
        <v>#REF!</v>
      </c>
    </row>
    <row r="378" ht="15.75" spans="1:14">
      <c r="A378" s="12" t="e">
        <f>'[4]#REF'!A378</f>
        <v>#REF!</v>
      </c>
      <c r="B378" s="12" t="e">
        <f>'[4]#REF'!B378</f>
        <v>#REF!</v>
      </c>
      <c r="C378" s="31" t="e">
        <f>'[4]#REF'!D378</f>
        <v>#REF!</v>
      </c>
      <c r="D378" s="32" t="e">
        <f t="shared" si="15"/>
        <v>#REF!</v>
      </c>
      <c r="F378" s="12" t="e">
        <f>'[4]#REF'!F378</f>
        <v>#REF!</v>
      </c>
      <c r="G378" s="12" t="e">
        <f>'[4]#REF'!G378</f>
        <v>#REF!</v>
      </c>
      <c r="H378" s="31" t="e">
        <f>'[4]#REF'!I378</f>
        <v>#REF!</v>
      </c>
      <c r="I378" s="32" t="e">
        <f t="shared" si="16"/>
        <v>#REF!</v>
      </c>
      <c r="K378" s="12" t="e">
        <f>'[4]#REF'!K378</f>
        <v>#REF!</v>
      </c>
      <c r="L378" s="12" t="e">
        <f>'[4]#REF'!L378</f>
        <v>#REF!</v>
      </c>
      <c r="M378" s="31" t="e">
        <f>'[4]#REF'!N378</f>
        <v>#REF!</v>
      </c>
      <c r="N378" s="32" t="e">
        <f t="shared" si="17"/>
        <v>#REF!</v>
      </c>
    </row>
    <row r="379" ht="15.75" spans="1:14">
      <c r="A379" s="12" t="e">
        <f>'[4]#REF'!A379</f>
        <v>#REF!</v>
      </c>
      <c r="B379" s="12" t="e">
        <f>'[4]#REF'!B379</f>
        <v>#REF!</v>
      </c>
      <c r="C379" s="31" t="e">
        <f>'[4]#REF'!D379</f>
        <v>#REF!</v>
      </c>
      <c r="D379" s="32" t="e">
        <f t="shared" si="15"/>
        <v>#REF!</v>
      </c>
      <c r="F379" s="12" t="e">
        <f>'[4]#REF'!F379</f>
        <v>#REF!</v>
      </c>
      <c r="G379" s="12" t="e">
        <f>'[4]#REF'!G379</f>
        <v>#REF!</v>
      </c>
      <c r="H379" s="31" t="e">
        <f>'[4]#REF'!I379</f>
        <v>#REF!</v>
      </c>
      <c r="I379" s="32" t="e">
        <f t="shared" si="16"/>
        <v>#REF!</v>
      </c>
      <c r="K379" s="12" t="e">
        <f>'[4]#REF'!K379</f>
        <v>#REF!</v>
      </c>
      <c r="L379" s="12" t="e">
        <f>'[4]#REF'!L379</f>
        <v>#REF!</v>
      </c>
      <c r="M379" s="31" t="e">
        <f>'[4]#REF'!N379</f>
        <v>#REF!</v>
      </c>
      <c r="N379" s="32" t="e">
        <f t="shared" si="17"/>
        <v>#REF!</v>
      </c>
    </row>
    <row r="380" ht="15.75" spans="1:14">
      <c r="A380" s="12" t="e">
        <f>'[4]#REF'!A380</f>
        <v>#REF!</v>
      </c>
      <c r="B380" s="12" t="e">
        <f>'[4]#REF'!B380</f>
        <v>#REF!</v>
      </c>
      <c r="C380" s="31" t="e">
        <f>'[4]#REF'!D380</f>
        <v>#REF!</v>
      </c>
      <c r="D380" s="32" t="e">
        <f t="shared" si="15"/>
        <v>#REF!</v>
      </c>
      <c r="F380" s="12" t="e">
        <f>'[4]#REF'!F380</f>
        <v>#REF!</v>
      </c>
      <c r="G380" s="12" t="e">
        <f>'[4]#REF'!G380</f>
        <v>#REF!</v>
      </c>
      <c r="H380" s="31" t="e">
        <f>'[4]#REF'!I380</f>
        <v>#REF!</v>
      </c>
      <c r="I380" s="32" t="e">
        <f t="shared" si="16"/>
        <v>#REF!</v>
      </c>
      <c r="K380" s="12" t="e">
        <f>'[4]#REF'!K380</f>
        <v>#REF!</v>
      </c>
      <c r="L380" s="12" t="e">
        <f>'[4]#REF'!L380</f>
        <v>#REF!</v>
      </c>
      <c r="M380" s="31" t="e">
        <f>'[4]#REF'!N380</f>
        <v>#REF!</v>
      </c>
      <c r="N380" s="32" t="e">
        <f t="shared" si="17"/>
        <v>#REF!</v>
      </c>
    </row>
    <row r="381" ht="15.75" spans="1:14">
      <c r="A381" s="12" t="e">
        <f>'[4]#REF'!A381</f>
        <v>#REF!</v>
      </c>
      <c r="B381" s="12" t="e">
        <f>'[4]#REF'!B381</f>
        <v>#REF!</v>
      </c>
      <c r="C381" s="31" t="e">
        <f>'[4]#REF'!D381</f>
        <v>#REF!</v>
      </c>
      <c r="D381" s="32" t="e">
        <f t="shared" si="15"/>
        <v>#REF!</v>
      </c>
      <c r="F381" s="12" t="e">
        <f>'[4]#REF'!F381</f>
        <v>#REF!</v>
      </c>
      <c r="G381" s="12" t="e">
        <f>'[4]#REF'!G381</f>
        <v>#REF!</v>
      </c>
      <c r="H381" s="31" t="e">
        <f>'[4]#REF'!I381</f>
        <v>#REF!</v>
      </c>
      <c r="I381" s="32" t="e">
        <f t="shared" si="16"/>
        <v>#REF!</v>
      </c>
      <c r="K381" s="12" t="e">
        <f>'[4]#REF'!K381</f>
        <v>#REF!</v>
      </c>
      <c r="L381" s="12" t="e">
        <f>'[4]#REF'!L381</f>
        <v>#REF!</v>
      </c>
      <c r="M381" s="31" t="e">
        <f>'[4]#REF'!N381</f>
        <v>#REF!</v>
      </c>
      <c r="N381" s="32" t="e">
        <f t="shared" si="17"/>
        <v>#REF!</v>
      </c>
    </row>
    <row r="382" ht="15.75" spans="1:14">
      <c r="A382" s="12" t="e">
        <f>'[4]#REF'!A382</f>
        <v>#REF!</v>
      </c>
      <c r="B382" s="12" t="e">
        <f>'[4]#REF'!B382</f>
        <v>#REF!</v>
      </c>
      <c r="C382" s="31" t="e">
        <f>'[4]#REF'!D382</f>
        <v>#REF!</v>
      </c>
      <c r="D382" s="32" t="e">
        <f t="shared" si="15"/>
        <v>#REF!</v>
      </c>
      <c r="F382" s="12" t="e">
        <f>'[4]#REF'!F382</f>
        <v>#REF!</v>
      </c>
      <c r="G382" s="12" t="e">
        <f>'[4]#REF'!G382</f>
        <v>#REF!</v>
      </c>
      <c r="H382" s="31" t="e">
        <f>'[4]#REF'!I382</f>
        <v>#REF!</v>
      </c>
      <c r="I382" s="32" t="e">
        <f t="shared" si="16"/>
        <v>#REF!</v>
      </c>
      <c r="K382" s="12" t="e">
        <f>'[4]#REF'!K382</f>
        <v>#REF!</v>
      </c>
      <c r="L382" s="12" t="e">
        <f>'[4]#REF'!L382</f>
        <v>#REF!</v>
      </c>
      <c r="M382" s="31" t="e">
        <f>'[4]#REF'!N382</f>
        <v>#REF!</v>
      </c>
      <c r="N382" s="32" t="e">
        <f t="shared" si="17"/>
        <v>#REF!</v>
      </c>
    </row>
    <row r="383" ht="15.75" spans="1:14">
      <c r="A383" s="12" t="e">
        <f>'[4]#REF'!A383</f>
        <v>#REF!</v>
      </c>
      <c r="B383" s="12" t="e">
        <f>'[4]#REF'!B383</f>
        <v>#REF!</v>
      </c>
      <c r="C383" s="31" t="e">
        <f>'[4]#REF'!D383</f>
        <v>#REF!</v>
      </c>
      <c r="D383" s="32" t="e">
        <f t="shared" si="15"/>
        <v>#REF!</v>
      </c>
      <c r="F383" s="12" t="e">
        <f>'[4]#REF'!F383</f>
        <v>#REF!</v>
      </c>
      <c r="G383" s="12" t="e">
        <f>'[4]#REF'!G383</f>
        <v>#REF!</v>
      </c>
      <c r="H383" s="31" t="e">
        <f>'[4]#REF'!I383</f>
        <v>#REF!</v>
      </c>
      <c r="I383" s="32" t="e">
        <f t="shared" si="16"/>
        <v>#REF!</v>
      </c>
      <c r="K383" s="12" t="e">
        <f>'[4]#REF'!K383</f>
        <v>#REF!</v>
      </c>
      <c r="L383" s="12" t="e">
        <f>'[4]#REF'!L383</f>
        <v>#REF!</v>
      </c>
      <c r="M383" s="31" t="e">
        <f>'[4]#REF'!N383</f>
        <v>#REF!</v>
      </c>
      <c r="N383" s="32" t="e">
        <f t="shared" si="17"/>
        <v>#REF!</v>
      </c>
    </row>
    <row r="384" ht="15.75" spans="1:14">
      <c r="A384" s="12" t="e">
        <f>'[4]#REF'!A384</f>
        <v>#REF!</v>
      </c>
      <c r="B384" s="12" t="e">
        <f>'[4]#REF'!B384</f>
        <v>#REF!</v>
      </c>
      <c r="C384" s="31" t="e">
        <f>'[4]#REF'!D384</f>
        <v>#REF!</v>
      </c>
      <c r="D384" s="32" t="e">
        <f t="shared" si="15"/>
        <v>#REF!</v>
      </c>
      <c r="F384" s="12" t="e">
        <f>'[4]#REF'!F384</f>
        <v>#REF!</v>
      </c>
      <c r="G384" s="12" t="e">
        <f>'[4]#REF'!G384</f>
        <v>#REF!</v>
      </c>
      <c r="H384" s="31" t="e">
        <f>'[4]#REF'!I384</f>
        <v>#REF!</v>
      </c>
      <c r="I384" s="32" t="e">
        <f t="shared" si="16"/>
        <v>#REF!</v>
      </c>
      <c r="K384" s="12" t="e">
        <f>'[4]#REF'!K384</f>
        <v>#REF!</v>
      </c>
      <c r="L384" s="12" t="e">
        <f>'[4]#REF'!L384</f>
        <v>#REF!</v>
      </c>
      <c r="M384" s="31" t="e">
        <f>'[4]#REF'!N384</f>
        <v>#REF!</v>
      </c>
      <c r="N384" s="32" t="e">
        <f t="shared" si="17"/>
        <v>#REF!</v>
      </c>
    </row>
    <row r="385" ht="15.75" spans="1:14">
      <c r="A385" s="12" t="e">
        <f>'[4]#REF'!A385</f>
        <v>#REF!</v>
      </c>
      <c r="B385" s="12" t="e">
        <f>'[4]#REF'!B385</f>
        <v>#REF!</v>
      </c>
      <c r="C385" s="31" t="e">
        <f>'[4]#REF'!D385</f>
        <v>#REF!</v>
      </c>
      <c r="D385" s="32" t="e">
        <f t="shared" si="15"/>
        <v>#REF!</v>
      </c>
      <c r="F385" s="12" t="e">
        <f>'[4]#REF'!F385</f>
        <v>#REF!</v>
      </c>
      <c r="G385" s="12" t="e">
        <f>'[4]#REF'!G385</f>
        <v>#REF!</v>
      </c>
      <c r="H385" s="31" t="e">
        <f>'[4]#REF'!I385</f>
        <v>#REF!</v>
      </c>
      <c r="I385" s="32" t="e">
        <f t="shared" si="16"/>
        <v>#REF!</v>
      </c>
      <c r="K385" s="12" t="e">
        <f>'[4]#REF'!K385</f>
        <v>#REF!</v>
      </c>
      <c r="L385" s="12" t="e">
        <f>'[4]#REF'!L385</f>
        <v>#REF!</v>
      </c>
      <c r="M385" s="31" t="e">
        <f>'[4]#REF'!N385</f>
        <v>#REF!</v>
      </c>
      <c r="N385" s="32" t="e">
        <f t="shared" si="17"/>
        <v>#REF!</v>
      </c>
    </row>
    <row r="386" ht="15.75" spans="1:14">
      <c r="A386" s="12" t="e">
        <f>'[4]#REF'!A386</f>
        <v>#REF!</v>
      </c>
      <c r="B386" s="12" t="e">
        <f>'[4]#REF'!B386</f>
        <v>#REF!</v>
      </c>
      <c r="C386" s="31" t="e">
        <f>'[4]#REF'!D386</f>
        <v>#REF!</v>
      </c>
      <c r="D386" s="32" t="e">
        <f t="shared" si="15"/>
        <v>#REF!</v>
      </c>
      <c r="F386" s="12" t="e">
        <f>'[4]#REF'!F386</f>
        <v>#REF!</v>
      </c>
      <c r="G386" s="12" t="e">
        <f>'[4]#REF'!G386</f>
        <v>#REF!</v>
      </c>
      <c r="H386" s="31" t="e">
        <f>'[4]#REF'!I386</f>
        <v>#REF!</v>
      </c>
      <c r="I386" s="32" t="e">
        <f t="shared" si="16"/>
        <v>#REF!</v>
      </c>
      <c r="K386" s="12" t="e">
        <f>'[4]#REF'!K386</f>
        <v>#REF!</v>
      </c>
      <c r="L386" s="12" t="e">
        <f>'[4]#REF'!L386</f>
        <v>#REF!</v>
      </c>
      <c r="M386" s="31" t="e">
        <f>'[4]#REF'!N386</f>
        <v>#REF!</v>
      </c>
      <c r="N386" s="32" t="e">
        <f t="shared" si="17"/>
        <v>#REF!</v>
      </c>
    </row>
    <row r="387" ht="15.75" spans="1:14">
      <c r="A387" s="12" t="e">
        <f>'[4]#REF'!A387</f>
        <v>#REF!</v>
      </c>
      <c r="B387" s="12" t="e">
        <f>'[4]#REF'!B387</f>
        <v>#REF!</v>
      </c>
      <c r="C387" s="31" t="e">
        <f>'[4]#REF'!D387</f>
        <v>#REF!</v>
      </c>
      <c r="D387" s="32" t="e">
        <f t="shared" si="15"/>
        <v>#REF!</v>
      </c>
      <c r="F387" s="12" t="e">
        <f>'[4]#REF'!F387</f>
        <v>#REF!</v>
      </c>
      <c r="G387" s="12" t="e">
        <f>'[4]#REF'!G387</f>
        <v>#REF!</v>
      </c>
      <c r="H387" s="31" t="e">
        <f>'[4]#REF'!I387</f>
        <v>#REF!</v>
      </c>
      <c r="I387" s="32" t="e">
        <f t="shared" si="16"/>
        <v>#REF!</v>
      </c>
      <c r="K387" s="12" t="e">
        <f>'[4]#REF'!K387</f>
        <v>#REF!</v>
      </c>
      <c r="L387" s="12" t="e">
        <f>'[4]#REF'!L387</f>
        <v>#REF!</v>
      </c>
      <c r="M387" s="31" t="e">
        <f>'[4]#REF'!N387</f>
        <v>#REF!</v>
      </c>
      <c r="N387" s="32" t="e">
        <f t="shared" si="17"/>
        <v>#REF!</v>
      </c>
    </row>
    <row r="388" ht="15.75" spans="1:14">
      <c r="A388" s="12" t="e">
        <f>'[4]#REF'!A388</f>
        <v>#REF!</v>
      </c>
      <c r="B388" s="12" t="e">
        <f>'[4]#REF'!B388</f>
        <v>#REF!</v>
      </c>
      <c r="C388" s="31" t="e">
        <f>'[4]#REF'!D388</f>
        <v>#REF!</v>
      </c>
      <c r="D388" s="32" t="e">
        <f t="shared" si="15"/>
        <v>#REF!</v>
      </c>
      <c r="F388" s="12" t="e">
        <f>'[4]#REF'!F388</f>
        <v>#REF!</v>
      </c>
      <c r="G388" s="12" t="e">
        <f>'[4]#REF'!G388</f>
        <v>#REF!</v>
      </c>
      <c r="H388" s="31" t="e">
        <f>'[4]#REF'!I388</f>
        <v>#REF!</v>
      </c>
      <c r="I388" s="32" t="e">
        <f t="shared" si="16"/>
        <v>#REF!</v>
      </c>
      <c r="K388" s="12" t="e">
        <f>'[4]#REF'!K388</f>
        <v>#REF!</v>
      </c>
      <c r="L388" s="12" t="e">
        <f>'[4]#REF'!L388</f>
        <v>#REF!</v>
      </c>
      <c r="M388" s="31" t="e">
        <f>'[4]#REF'!N388</f>
        <v>#REF!</v>
      </c>
      <c r="N388" s="32" t="e">
        <f t="shared" si="17"/>
        <v>#REF!</v>
      </c>
    </row>
    <row r="389" ht="15.75" spans="1:14">
      <c r="A389" s="12" t="e">
        <f>'[4]#REF'!A389</f>
        <v>#REF!</v>
      </c>
      <c r="B389" s="12" t="e">
        <f>'[4]#REF'!B389</f>
        <v>#REF!</v>
      </c>
      <c r="C389" s="31" t="e">
        <f>'[4]#REF'!D389</f>
        <v>#REF!</v>
      </c>
      <c r="D389" s="32" t="e">
        <f t="shared" si="15"/>
        <v>#REF!</v>
      </c>
      <c r="F389" s="12" t="e">
        <f>'[4]#REF'!F389</f>
        <v>#REF!</v>
      </c>
      <c r="G389" s="12" t="e">
        <f>'[4]#REF'!G389</f>
        <v>#REF!</v>
      </c>
      <c r="H389" s="31" t="e">
        <f>'[4]#REF'!I389</f>
        <v>#REF!</v>
      </c>
      <c r="I389" s="32" t="e">
        <f t="shared" si="16"/>
        <v>#REF!</v>
      </c>
      <c r="K389" s="12" t="e">
        <f>'[4]#REF'!K389</f>
        <v>#REF!</v>
      </c>
      <c r="L389" s="12" t="e">
        <f>'[4]#REF'!L389</f>
        <v>#REF!</v>
      </c>
      <c r="M389" s="31" t="e">
        <f>'[4]#REF'!N389</f>
        <v>#REF!</v>
      </c>
      <c r="N389" s="32" t="e">
        <f t="shared" si="17"/>
        <v>#REF!</v>
      </c>
    </row>
    <row r="390" ht="15.75" spans="1:14">
      <c r="A390" s="12" t="e">
        <f>'[4]#REF'!A390</f>
        <v>#REF!</v>
      </c>
      <c r="B390" s="12" t="e">
        <f>'[4]#REF'!B390</f>
        <v>#REF!</v>
      </c>
      <c r="C390" s="31" t="e">
        <f>'[4]#REF'!D390</f>
        <v>#REF!</v>
      </c>
      <c r="D390" s="32" t="e">
        <f t="shared" ref="D390:D453" si="18">ROUND(C390/$D$4*100,2)</f>
        <v>#REF!</v>
      </c>
      <c r="F390" s="12" t="e">
        <f>'[4]#REF'!F390</f>
        <v>#REF!</v>
      </c>
      <c r="G390" s="12" t="e">
        <f>'[4]#REF'!G390</f>
        <v>#REF!</v>
      </c>
      <c r="H390" s="31" t="e">
        <f>'[4]#REF'!I390</f>
        <v>#REF!</v>
      </c>
      <c r="I390" s="32" t="e">
        <f t="shared" ref="I390:I453" si="19">ROUND(H390/$I$4*100,2)</f>
        <v>#REF!</v>
      </c>
      <c r="K390" s="12" t="e">
        <f>'[4]#REF'!K390</f>
        <v>#REF!</v>
      </c>
      <c r="L390" s="12" t="e">
        <f>'[4]#REF'!L390</f>
        <v>#REF!</v>
      </c>
      <c r="M390" s="31" t="e">
        <f>'[4]#REF'!N390</f>
        <v>#REF!</v>
      </c>
      <c r="N390" s="32" t="e">
        <f t="shared" ref="N390:N453" si="20">ROUND(M390/$N$4*100,2)</f>
        <v>#REF!</v>
      </c>
    </row>
    <row r="391" ht="15.75" spans="1:14">
      <c r="A391" s="12" t="e">
        <f>'[4]#REF'!A391</f>
        <v>#REF!</v>
      </c>
      <c r="B391" s="12" t="e">
        <f>'[4]#REF'!B391</f>
        <v>#REF!</v>
      </c>
      <c r="C391" s="31" t="e">
        <f>'[4]#REF'!D391</f>
        <v>#REF!</v>
      </c>
      <c r="D391" s="32" t="e">
        <f t="shared" si="18"/>
        <v>#REF!</v>
      </c>
      <c r="F391" s="12" t="e">
        <f>'[4]#REF'!F391</f>
        <v>#REF!</v>
      </c>
      <c r="G391" s="12" t="e">
        <f>'[4]#REF'!G391</f>
        <v>#REF!</v>
      </c>
      <c r="H391" s="31" t="e">
        <f>'[4]#REF'!I391</f>
        <v>#REF!</v>
      </c>
      <c r="I391" s="32" t="e">
        <f t="shared" si="19"/>
        <v>#REF!</v>
      </c>
      <c r="K391" s="12" t="e">
        <f>'[4]#REF'!K391</f>
        <v>#REF!</v>
      </c>
      <c r="L391" s="12" t="e">
        <f>'[4]#REF'!L391</f>
        <v>#REF!</v>
      </c>
      <c r="M391" s="31" t="e">
        <f>'[4]#REF'!N391</f>
        <v>#REF!</v>
      </c>
      <c r="N391" s="32" t="e">
        <f t="shared" si="20"/>
        <v>#REF!</v>
      </c>
    </row>
    <row r="392" ht="15.75" spans="1:14">
      <c r="A392" s="12" t="e">
        <f>'[4]#REF'!A392</f>
        <v>#REF!</v>
      </c>
      <c r="B392" s="12" t="e">
        <f>'[4]#REF'!B392</f>
        <v>#REF!</v>
      </c>
      <c r="C392" s="31" t="e">
        <f>'[4]#REF'!D392</f>
        <v>#REF!</v>
      </c>
      <c r="D392" s="32" t="e">
        <f t="shared" si="18"/>
        <v>#REF!</v>
      </c>
      <c r="F392" s="12" t="e">
        <f>'[4]#REF'!F392</f>
        <v>#REF!</v>
      </c>
      <c r="G392" s="12" t="e">
        <f>'[4]#REF'!G392</f>
        <v>#REF!</v>
      </c>
      <c r="H392" s="31" t="e">
        <f>'[4]#REF'!I392</f>
        <v>#REF!</v>
      </c>
      <c r="I392" s="32" t="e">
        <f t="shared" si="19"/>
        <v>#REF!</v>
      </c>
      <c r="K392" s="12" t="e">
        <f>'[4]#REF'!K392</f>
        <v>#REF!</v>
      </c>
      <c r="L392" s="12" t="e">
        <f>'[4]#REF'!L392</f>
        <v>#REF!</v>
      </c>
      <c r="M392" s="31" t="e">
        <f>'[4]#REF'!N392</f>
        <v>#REF!</v>
      </c>
      <c r="N392" s="32" t="e">
        <f t="shared" si="20"/>
        <v>#REF!</v>
      </c>
    </row>
    <row r="393" ht="15.75" spans="1:14">
      <c r="A393" s="12" t="e">
        <f>'[4]#REF'!A393</f>
        <v>#REF!</v>
      </c>
      <c r="B393" s="12" t="e">
        <f>'[4]#REF'!B393</f>
        <v>#REF!</v>
      </c>
      <c r="C393" s="31" t="e">
        <f>'[4]#REF'!D393</f>
        <v>#REF!</v>
      </c>
      <c r="D393" s="32" t="e">
        <f t="shared" si="18"/>
        <v>#REF!</v>
      </c>
      <c r="F393" s="12" t="e">
        <f>'[4]#REF'!F393</f>
        <v>#REF!</v>
      </c>
      <c r="G393" s="12" t="e">
        <f>'[4]#REF'!G393</f>
        <v>#REF!</v>
      </c>
      <c r="H393" s="31" t="e">
        <f>'[4]#REF'!I393</f>
        <v>#REF!</v>
      </c>
      <c r="I393" s="32" t="e">
        <f t="shared" si="19"/>
        <v>#REF!</v>
      </c>
      <c r="K393" s="12" t="e">
        <f>'[4]#REF'!K393</f>
        <v>#REF!</v>
      </c>
      <c r="L393" s="12" t="e">
        <f>'[4]#REF'!L393</f>
        <v>#REF!</v>
      </c>
      <c r="M393" s="31" t="e">
        <f>'[4]#REF'!N393</f>
        <v>#REF!</v>
      </c>
      <c r="N393" s="32" t="e">
        <f t="shared" si="20"/>
        <v>#REF!</v>
      </c>
    </row>
    <row r="394" ht="15.75" spans="1:14">
      <c r="A394" s="12" t="e">
        <f>'[4]#REF'!A394</f>
        <v>#REF!</v>
      </c>
      <c r="B394" s="12" t="e">
        <f>'[4]#REF'!B394</f>
        <v>#REF!</v>
      </c>
      <c r="C394" s="31" t="e">
        <f>'[4]#REF'!D394</f>
        <v>#REF!</v>
      </c>
      <c r="D394" s="32" t="e">
        <f t="shared" si="18"/>
        <v>#REF!</v>
      </c>
      <c r="F394" s="12" t="e">
        <f>'[4]#REF'!F394</f>
        <v>#REF!</v>
      </c>
      <c r="G394" s="12" t="e">
        <f>'[4]#REF'!G394</f>
        <v>#REF!</v>
      </c>
      <c r="H394" s="31" t="e">
        <f>'[4]#REF'!I394</f>
        <v>#REF!</v>
      </c>
      <c r="I394" s="32" t="e">
        <f t="shared" si="19"/>
        <v>#REF!</v>
      </c>
      <c r="K394" s="12" t="e">
        <f>'[4]#REF'!K394</f>
        <v>#REF!</v>
      </c>
      <c r="L394" s="12" t="e">
        <f>'[4]#REF'!L394</f>
        <v>#REF!</v>
      </c>
      <c r="M394" s="31" t="e">
        <f>'[4]#REF'!N394</f>
        <v>#REF!</v>
      </c>
      <c r="N394" s="32" t="e">
        <f t="shared" si="20"/>
        <v>#REF!</v>
      </c>
    </row>
    <row r="395" ht="15.75" spans="1:14">
      <c r="A395" s="12" t="e">
        <f>'[4]#REF'!A395</f>
        <v>#REF!</v>
      </c>
      <c r="B395" s="12" t="e">
        <f>'[4]#REF'!B395</f>
        <v>#REF!</v>
      </c>
      <c r="C395" s="31" t="e">
        <f>'[4]#REF'!D395</f>
        <v>#REF!</v>
      </c>
      <c r="D395" s="32" t="e">
        <f t="shared" si="18"/>
        <v>#REF!</v>
      </c>
      <c r="F395" s="12" t="e">
        <f>'[4]#REF'!F395</f>
        <v>#REF!</v>
      </c>
      <c r="G395" s="12" t="e">
        <f>'[4]#REF'!G395</f>
        <v>#REF!</v>
      </c>
      <c r="H395" s="31" t="e">
        <f>'[4]#REF'!I395</f>
        <v>#REF!</v>
      </c>
      <c r="I395" s="32" t="e">
        <f t="shared" si="19"/>
        <v>#REF!</v>
      </c>
      <c r="K395" s="12" t="e">
        <f>'[4]#REF'!K395</f>
        <v>#REF!</v>
      </c>
      <c r="L395" s="12" t="e">
        <f>'[4]#REF'!L395</f>
        <v>#REF!</v>
      </c>
      <c r="M395" s="31" t="e">
        <f>'[4]#REF'!N395</f>
        <v>#REF!</v>
      </c>
      <c r="N395" s="32" t="e">
        <f t="shared" si="20"/>
        <v>#REF!</v>
      </c>
    </row>
    <row r="396" ht="15.75" spans="1:14">
      <c r="A396" s="12" t="e">
        <f>'[4]#REF'!A396</f>
        <v>#REF!</v>
      </c>
      <c r="B396" s="12" t="e">
        <f>'[4]#REF'!B396</f>
        <v>#REF!</v>
      </c>
      <c r="C396" s="31" t="e">
        <f>'[4]#REF'!D396</f>
        <v>#REF!</v>
      </c>
      <c r="D396" s="32" t="e">
        <f t="shared" si="18"/>
        <v>#REF!</v>
      </c>
      <c r="F396" s="12" t="e">
        <f>'[4]#REF'!F396</f>
        <v>#REF!</v>
      </c>
      <c r="G396" s="12" t="e">
        <f>'[4]#REF'!G396</f>
        <v>#REF!</v>
      </c>
      <c r="H396" s="31" t="e">
        <f>'[4]#REF'!I396</f>
        <v>#REF!</v>
      </c>
      <c r="I396" s="32" t="e">
        <f t="shared" si="19"/>
        <v>#REF!</v>
      </c>
      <c r="K396" s="12" t="e">
        <f>'[4]#REF'!K396</f>
        <v>#REF!</v>
      </c>
      <c r="L396" s="12" t="e">
        <f>'[4]#REF'!L396</f>
        <v>#REF!</v>
      </c>
      <c r="M396" s="31" t="e">
        <f>'[4]#REF'!N396</f>
        <v>#REF!</v>
      </c>
      <c r="N396" s="32" t="e">
        <f t="shared" si="20"/>
        <v>#REF!</v>
      </c>
    </row>
    <row r="397" ht="15.75" spans="1:14">
      <c r="A397" s="12" t="e">
        <f>'[4]#REF'!A397</f>
        <v>#REF!</v>
      </c>
      <c r="B397" s="12" t="e">
        <f>'[4]#REF'!B397</f>
        <v>#REF!</v>
      </c>
      <c r="C397" s="31" t="e">
        <f>'[4]#REF'!D397</f>
        <v>#REF!</v>
      </c>
      <c r="D397" s="32" t="e">
        <f t="shared" si="18"/>
        <v>#REF!</v>
      </c>
      <c r="F397" s="12" t="e">
        <f>'[4]#REF'!F397</f>
        <v>#REF!</v>
      </c>
      <c r="G397" s="12" t="e">
        <f>'[4]#REF'!G397</f>
        <v>#REF!</v>
      </c>
      <c r="H397" s="31" t="e">
        <f>'[4]#REF'!I397</f>
        <v>#REF!</v>
      </c>
      <c r="I397" s="32" t="e">
        <f t="shared" si="19"/>
        <v>#REF!</v>
      </c>
      <c r="K397" s="12" t="e">
        <f>'[4]#REF'!K397</f>
        <v>#REF!</v>
      </c>
      <c r="L397" s="12" t="e">
        <f>'[4]#REF'!L397</f>
        <v>#REF!</v>
      </c>
      <c r="M397" s="31" t="e">
        <f>'[4]#REF'!N397</f>
        <v>#REF!</v>
      </c>
      <c r="N397" s="32" t="e">
        <f t="shared" si="20"/>
        <v>#REF!</v>
      </c>
    </row>
    <row r="398" ht="15.75" spans="1:14">
      <c r="A398" s="12" t="e">
        <f>'[4]#REF'!A398</f>
        <v>#REF!</v>
      </c>
      <c r="B398" s="12" t="e">
        <f>'[4]#REF'!B398</f>
        <v>#REF!</v>
      </c>
      <c r="C398" s="31" t="e">
        <f>'[4]#REF'!D398</f>
        <v>#REF!</v>
      </c>
      <c r="D398" s="32" t="e">
        <f t="shared" si="18"/>
        <v>#REF!</v>
      </c>
      <c r="F398" s="12" t="e">
        <f>'[4]#REF'!F398</f>
        <v>#REF!</v>
      </c>
      <c r="G398" s="12" t="e">
        <f>'[4]#REF'!G398</f>
        <v>#REF!</v>
      </c>
      <c r="H398" s="31" t="e">
        <f>'[4]#REF'!I398</f>
        <v>#REF!</v>
      </c>
      <c r="I398" s="32" t="e">
        <f t="shared" si="19"/>
        <v>#REF!</v>
      </c>
      <c r="K398" s="12" t="e">
        <f>'[4]#REF'!K398</f>
        <v>#REF!</v>
      </c>
      <c r="L398" s="12" t="e">
        <f>'[4]#REF'!L398</f>
        <v>#REF!</v>
      </c>
      <c r="M398" s="31" t="e">
        <f>'[4]#REF'!N398</f>
        <v>#REF!</v>
      </c>
      <c r="N398" s="32" t="e">
        <f t="shared" si="20"/>
        <v>#REF!</v>
      </c>
    </row>
    <row r="399" ht="15.75" spans="1:14">
      <c r="A399" s="12" t="e">
        <f>'[4]#REF'!A399</f>
        <v>#REF!</v>
      </c>
      <c r="B399" s="12" t="e">
        <f>'[4]#REF'!B399</f>
        <v>#REF!</v>
      </c>
      <c r="C399" s="31" t="e">
        <f>'[4]#REF'!D399</f>
        <v>#REF!</v>
      </c>
      <c r="D399" s="32" t="e">
        <f t="shared" si="18"/>
        <v>#REF!</v>
      </c>
      <c r="F399" s="12" t="e">
        <f>'[4]#REF'!F399</f>
        <v>#REF!</v>
      </c>
      <c r="G399" s="12" t="e">
        <f>'[4]#REF'!G399</f>
        <v>#REF!</v>
      </c>
      <c r="H399" s="31" t="e">
        <f>'[4]#REF'!I399</f>
        <v>#REF!</v>
      </c>
      <c r="I399" s="32" t="e">
        <f t="shared" si="19"/>
        <v>#REF!</v>
      </c>
      <c r="K399" s="12" t="e">
        <f>'[4]#REF'!K399</f>
        <v>#REF!</v>
      </c>
      <c r="L399" s="12" t="e">
        <f>'[4]#REF'!L399</f>
        <v>#REF!</v>
      </c>
      <c r="M399" s="31" t="e">
        <f>'[4]#REF'!N399</f>
        <v>#REF!</v>
      </c>
      <c r="N399" s="32" t="e">
        <f t="shared" si="20"/>
        <v>#REF!</v>
      </c>
    </row>
    <row r="400" ht="15.75" spans="1:14">
      <c r="A400" s="12" t="e">
        <f>'[4]#REF'!A400</f>
        <v>#REF!</v>
      </c>
      <c r="B400" s="12" t="e">
        <f>'[4]#REF'!B400</f>
        <v>#REF!</v>
      </c>
      <c r="C400" s="31" t="e">
        <f>'[4]#REF'!D400</f>
        <v>#REF!</v>
      </c>
      <c r="D400" s="32" t="e">
        <f t="shared" si="18"/>
        <v>#REF!</v>
      </c>
      <c r="F400" s="12" t="e">
        <f>'[4]#REF'!F400</f>
        <v>#REF!</v>
      </c>
      <c r="G400" s="12" t="e">
        <f>'[4]#REF'!G400</f>
        <v>#REF!</v>
      </c>
      <c r="H400" s="31" t="e">
        <f>'[4]#REF'!I400</f>
        <v>#REF!</v>
      </c>
      <c r="I400" s="32" t="e">
        <f t="shared" si="19"/>
        <v>#REF!</v>
      </c>
      <c r="K400" s="12" t="e">
        <f>'[4]#REF'!K400</f>
        <v>#REF!</v>
      </c>
      <c r="L400" s="12" t="e">
        <f>'[4]#REF'!L400</f>
        <v>#REF!</v>
      </c>
      <c r="M400" s="31" t="e">
        <f>'[4]#REF'!N400</f>
        <v>#REF!</v>
      </c>
      <c r="N400" s="32" t="e">
        <f t="shared" si="20"/>
        <v>#REF!</v>
      </c>
    </row>
    <row r="401" ht="15.75" spans="1:14">
      <c r="A401" s="12" t="e">
        <f>'[4]#REF'!A401</f>
        <v>#REF!</v>
      </c>
      <c r="B401" s="12" t="e">
        <f>'[4]#REF'!B401</f>
        <v>#REF!</v>
      </c>
      <c r="C401" s="31" t="e">
        <f>'[4]#REF'!D401</f>
        <v>#REF!</v>
      </c>
      <c r="D401" s="32" t="e">
        <f t="shared" si="18"/>
        <v>#REF!</v>
      </c>
      <c r="F401" s="12" t="e">
        <f>'[4]#REF'!F401</f>
        <v>#REF!</v>
      </c>
      <c r="G401" s="12" t="e">
        <f>'[4]#REF'!G401</f>
        <v>#REF!</v>
      </c>
      <c r="H401" s="31" t="e">
        <f>'[4]#REF'!I401</f>
        <v>#REF!</v>
      </c>
      <c r="I401" s="32" t="e">
        <f t="shared" si="19"/>
        <v>#REF!</v>
      </c>
      <c r="K401" s="12" t="e">
        <f>'[4]#REF'!K401</f>
        <v>#REF!</v>
      </c>
      <c r="L401" s="12" t="e">
        <f>'[4]#REF'!L401</f>
        <v>#REF!</v>
      </c>
      <c r="M401" s="31" t="e">
        <f>'[4]#REF'!N401</f>
        <v>#REF!</v>
      </c>
      <c r="N401" s="32" t="e">
        <f t="shared" si="20"/>
        <v>#REF!</v>
      </c>
    </row>
    <row r="402" ht="15.75" spans="1:14">
      <c r="A402" s="12" t="e">
        <f>'[4]#REF'!A402</f>
        <v>#REF!</v>
      </c>
      <c r="B402" s="12" t="e">
        <f>'[4]#REF'!B402</f>
        <v>#REF!</v>
      </c>
      <c r="C402" s="31" t="e">
        <f>'[4]#REF'!D402</f>
        <v>#REF!</v>
      </c>
      <c r="D402" s="32" t="e">
        <f t="shared" si="18"/>
        <v>#REF!</v>
      </c>
      <c r="F402" s="12" t="e">
        <f>'[4]#REF'!F402</f>
        <v>#REF!</v>
      </c>
      <c r="G402" s="12" t="e">
        <f>'[4]#REF'!G402</f>
        <v>#REF!</v>
      </c>
      <c r="H402" s="31" t="e">
        <f>'[4]#REF'!I402</f>
        <v>#REF!</v>
      </c>
      <c r="I402" s="32" t="e">
        <f t="shared" si="19"/>
        <v>#REF!</v>
      </c>
      <c r="K402" s="12" t="e">
        <f>'[4]#REF'!K402</f>
        <v>#REF!</v>
      </c>
      <c r="L402" s="12" t="e">
        <f>'[4]#REF'!L402</f>
        <v>#REF!</v>
      </c>
      <c r="M402" s="31" t="e">
        <f>'[4]#REF'!N402</f>
        <v>#REF!</v>
      </c>
      <c r="N402" s="32" t="e">
        <f t="shared" si="20"/>
        <v>#REF!</v>
      </c>
    </row>
    <row r="403" ht="15.75" spans="1:14">
      <c r="A403" s="12" t="e">
        <f>'[4]#REF'!A403</f>
        <v>#REF!</v>
      </c>
      <c r="B403" s="12" t="e">
        <f>'[4]#REF'!B403</f>
        <v>#REF!</v>
      </c>
      <c r="C403" s="31" t="e">
        <f>'[4]#REF'!D403</f>
        <v>#REF!</v>
      </c>
      <c r="D403" s="32" t="e">
        <f t="shared" si="18"/>
        <v>#REF!</v>
      </c>
      <c r="F403" s="12" t="e">
        <f>'[4]#REF'!F403</f>
        <v>#REF!</v>
      </c>
      <c r="G403" s="12" t="e">
        <f>'[4]#REF'!G403</f>
        <v>#REF!</v>
      </c>
      <c r="H403" s="31" t="e">
        <f>'[4]#REF'!I403</f>
        <v>#REF!</v>
      </c>
      <c r="I403" s="32" t="e">
        <f t="shared" si="19"/>
        <v>#REF!</v>
      </c>
      <c r="K403" s="12" t="e">
        <f>'[4]#REF'!K403</f>
        <v>#REF!</v>
      </c>
      <c r="L403" s="12" t="e">
        <f>'[4]#REF'!L403</f>
        <v>#REF!</v>
      </c>
      <c r="M403" s="31" t="e">
        <f>'[4]#REF'!N403</f>
        <v>#REF!</v>
      </c>
      <c r="N403" s="32" t="e">
        <f t="shared" si="20"/>
        <v>#REF!</v>
      </c>
    </row>
    <row r="404" ht="15.75" spans="1:14">
      <c r="A404" s="12" t="e">
        <f>'[4]#REF'!A404</f>
        <v>#REF!</v>
      </c>
      <c r="B404" s="12" t="e">
        <f>'[4]#REF'!B404</f>
        <v>#REF!</v>
      </c>
      <c r="C404" s="31" t="e">
        <f>'[4]#REF'!D404</f>
        <v>#REF!</v>
      </c>
      <c r="D404" s="32" t="e">
        <f t="shared" si="18"/>
        <v>#REF!</v>
      </c>
      <c r="F404" s="12" t="e">
        <f>'[4]#REF'!F404</f>
        <v>#REF!</v>
      </c>
      <c r="G404" s="12" t="e">
        <f>'[4]#REF'!G404</f>
        <v>#REF!</v>
      </c>
      <c r="H404" s="31" t="e">
        <f>'[4]#REF'!I404</f>
        <v>#REF!</v>
      </c>
      <c r="I404" s="32" t="e">
        <f t="shared" si="19"/>
        <v>#REF!</v>
      </c>
      <c r="K404" s="12" t="e">
        <f>'[4]#REF'!K404</f>
        <v>#REF!</v>
      </c>
      <c r="L404" s="12" t="e">
        <f>'[4]#REF'!L404</f>
        <v>#REF!</v>
      </c>
      <c r="M404" s="31" t="e">
        <f>'[4]#REF'!N404</f>
        <v>#REF!</v>
      </c>
      <c r="N404" s="32" t="e">
        <f t="shared" si="20"/>
        <v>#REF!</v>
      </c>
    </row>
    <row r="405" ht="15.75" spans="1:14">
      <c r="A405" s="12" t="e">
        <f>'[4]#REF'!A405</f>
        <v>#REF!</v>
      </c>
      <c r="B405" s="12" t="e">
        <f>'[4]#REF'!B405</f>
        <v>#REF!</v>
      </c>
      <c r="C405" s="31" t="e">
        <f>'[4]#REF'!D405</f>
        <v>#REF!</v>
      </c>
      <c r="D405" s="32" t="e">
        <f t="shared" si="18"/>
        <v>#REF!</v>
      </c>
      <c r="F405" s="12" t="e">
        <f>'[4]#REF'!F405</f>
        <v>#REF!</v>
      </c>
      <c r="G405" s="12" t="e">
        <f>'[4]#REF'!G405</f>
        <v>#REF!</v>
      </c>
      <c r="H405" s="31" t="e">
        <f>'[4]#REF'!I405</f>
        <v>#REF!</v>
      </c>
      <c r="I405" s="32" t="e">
        <f t="shared" si="19"/>
        <v>#REF!</v>
      </c>
      <c r="K405" s="12" t="e">
        <f>'[4]#REF'!K405</f>
        <v>#REF!</v>
      </c>
      <c r="L405" s="12" t="e">
        <f>'[4]#REF'!L405</f>
        <v>#REF!</v>
      </c>
      <c r="M405" s="31" t="e">
        <f>'[4]#REF'!N405</f>
        <v>#REF!</v>
      </c>
      <c r="N405" s="32" t="e">
        <f t="shared" si="20"/>
        <v>#REF!</v>
      </c>
    </row>
    <row r="406" ht="15.75" spans="1:14">
      <c r="A406" s="12" t="e">
        <f>'[4]#REF'!A406</f>
        <v>#REF!</v>
      </c>
      <c r="B406" s="12" t="e">
        <f>'[4]#REF'!B406</f>
        <v>#REF!</v>
      </c>
      <c r="C406" s="31" t="e">
        <f>'[4]#REF'!D406</f>
        <v>#REF!</v>
      </c>
      <c r="D406" s="32" t="e">
        <f t="shared" si="18"/>
        <v>#REF!</v>
      </c>
      <c r="F406" s="12" t="e">
        <f>'[4]#REF'!F406</f>
        <v>#REF!</v>
      </c>
      <c r="G406" s="12" t="e">
        <f>'[4]#REF'!G406</f>
        <v>#REF!</v>
      </c>
      <c r="H406" s="31" t="e">
        <f>'[4]#REF'!I406</f>
        <v>#REF!</v>
      </c>
      <c r="I406" s="32" t="e">
        <f t="shared" si="19"/>
        <v>#REF!</v>
      </c>
      <c r="K406" s="12" t="e">
        <f>'[4]#REF'!K406</f>
        <v>#REF!</v>
      </c>
      <c r="L406" s="12" t="e">
        <f>'[4]#REF'!L406</f>
        <v>#REF!</v>
      </c>
      <c r="M406" s="31" t="e">
        <f>'[4]#REF'!N406</f>
        <v>#REF!</v>
      </c>
      <c r="N406" s="32" t="e">
        <f t="shared" si="20"/>
        <v>#REF!</v>
      </c>
    </row>
    <row r="407" ht="15.75" spans="1:14">
      <c r="A407" s="12" t="e">
        <f>'[4]#REF'!A407</f>
        <v>#REF!</v>
      </c>
      <c r="B407" s="12" t="e">
        <f>'[4]#REF'!B407</f>
        <v>#REF!</v>
      </c>
      <c r="C407" s="31" t="e">
        <f>'[4]#REF'!D407</f>
        <v>#REF!</v>
      </c>
      <c r="D407" s="32" t="e">
        <f t="shared" si="18"/>
        <v>#REF!</v>
      </c>
      <c r="F407" s="12" t="e">
        <f>'[4]#REF'!F407</f>
        <v>#REF!</v>
      </c>
      <c r="G407" s="12" t="e">
        <f>'[4]#REF'!G407</f>
        <v>#REF!</v>
      </c>
      <c r="H407" s="31" t="e">
        <f>'[4]#REF'!I407</f>
        <v>#REF!</v>
      </c>
      <c r="I407" s="32" t="e">
        <f t="shared" si="19"/>
        <v>#REF!</v>
      </c>
      <c r="K407" s="12" t="e">
        <f>'[4]#REF'!K407</f>
        <v>#REF!</v>
      </c>
      <c r="L407" s="12" t="e">
        <f>'[4]#REF'!L407</f>
        <v>#REF!</v>
      </c>
      <c r="M407" s="31" t="e">
        <f>'[4]#REF'!N407</f>
        <v>#REF!</v>
      </c>
      <c r="N407" s="32" t="e">
        <f t="shared" si="20"/>
        <v>#REF!</v>
      </c>
    </row>
    <row r="408" ht="15.75" spans="1:14">
      <c r="A408" s="12" t="e">
        <f>'[4]#REF'!A408</f>
        <v>#REF!</v>
      </c>
      <c r="B408" s="12" t="e">
        <f>'[4]#REF'!B408</f>
        <v>#REF!</v>
      </c>
      <c r="C408" s="31" t="e">
        <f>'[4]#REF'!D408</f>
        <v>#REF!</v>
      </c>
      <c r="D408" s="32" t="e">
        <f t="shared" si="18"/>
        <v>#REF!</v>
      </c>
      <c r="F408" s="12" t="e">
        <f>'[4]#REF'!F408</f>
        <v>#REF!</v>
      </c>
      <c r="G408" s="12" t="e">
        <f>'[4]#REF'!G408</f>
        <v>#REF!</v>
      </c>
      <c r="H408" s="31" t="e">
        <f>'[4]#REF'!I408</f>
        <v>#REF!</v>
      </c>
      <c r="I408" s="32" t="e">
        <f t="shared" si="19"/>
        <v>#REF!</v>
      </c>
      <c r="K408" s="12" t="e">
        <f>'[4]#REF'!K408</f>
        <v>#REF!</v>
      </c>
      <c r="L408" s="12" t="e">
        <f>'[4]#REF'!L408</f>
        <v>#REF!</v>
      </c>
      <c r="M408" s="31" t="e">
        <f>'[4]#REF'!N408</f>
        <v>#REF!</v>
      </c>
      <c r="N408" s="32" t="e">
        <f t="shared" si="20"/>
        <v>#REF!</v>
      </c>
    </row>
    <row r="409" ht="15.75" spans="1:14">
      <c r="A409" s="12" t="e">
        <f>'[4]#REF'!A409</f>
        <v>#REF!</v>
      </c>
      <c r="B409" s="12" t="e">
        <f>'[4]#REF'!B409</f>
        <v>#REF!</v>
      </c>
      <c r="C409" s="31" t="e">
        <f>'[4]#REF'!D409</f>
        <v>#REF!</v>
      </c>
      <c r="D409" s="32" t="e">
        <f t="shared" si="18"/>
        <v>#REF!</v>
      </c>
      <c r="F409" s="12" t="e">
        <f>'[4]#REF'!F409</f>
        <v>#REF!</v>
      </c>
      <c r="G409" s="12" t="e">
        <f>'[4]#REF'!G409</f>
        <v>#REF!</v>
      </c>
      <c r="H409" s="31" t="e">
        <f>'[4]#REF'!I409</f>
        <v>#REF!</v>
      </c>
      <c r="I409" s="32" t="e">
        <f t="shared" si="19"/>
        <v>#REF!</v>
      </c>
      <c r="K409" s="12" t="e">
        <f>'[4]#REF'!K409</f>
        <v>#REF!</v>
      </c>
      <c r="L409" s="12" t="e">
        <f>'[4]#REF'!L409</f>
        <v>#REF!</v>
      </c>
      <c r="M409" s="31" t="e">
        <f>'[4]#REF'!N409</f>
        <v>#REF!</v>
      </c>
      <c r="N409" s="32" t="e">
        <f t="shared" si="20"/>
        <v>#REF!</v>
      </c>
    </row>
    <row r="410" ht="15.75" spans="1:14">
      <c r="A410" s="12" t="e">
        <f>'[4]#REF'!A410</f>
        <v>#REF!</v>
      </c>
      <c r="B410" s="12" t="e">
        <f>'[4]#REF'!B410</f>
        <v>#REF!</v>
      </c>
      <c r="C410" s="31" t="e">
        <f>'[4]#REF'!D410</f>
        <v>#REF!</v>
      </c>
      <c r="D410" s="32" t="e">
        <f t="shared" si="18"/>
        <v>#REF!</v>
      </c>
      <c r="F410" s="12" t="e">
        <f>'[4]#REF'!F410</f>
        <v>#REF!</v>
      </c>
      <c r="G410" s="12" t="e">
        <f>'[4]#REF'!G410</f>
        <v>#REF!</v>
      </c>
      <c r="H410" s="31" t="e">
        <f>'[4]#REF'!I410</f>
        <v>#REF!</v>
      </c>
      <c r="I410" s="32" t="e">
        <f t="shared" si="19"/>
        <v>#REF!</v>
      </c>
      <c r="K410" s="12" t="e">
        <f>'[4]#REF'!K410</f>
        <v>#REF!</v>
      </c>
      <c r="L410" s="12" t="e">
        <f>'[4]#REF'!L410</f>
        <v>#REF!</v>
      </c>
      <c r="M410" s="31" t="e">
        <f>'[4]#REF'!N410</f>
        <v>#REF!</v>
      </c>
      <c r="N410" s="32" t="e">
        <f t="shared" si="20"/>
        <v>#REF!</v>
      </c>
    </row>
    <row r="411" ht="15.75" spans="1:14">
      <c r="A411" s="12" t="e">
        <f>'[4]#REF'!A411</f>
        <v>#REF!</v>
      </c>
      <c r="B411" s="12" t="e">
        <f>'[4]#REF'!B411</f>
        <v>#REF!</v>
      </c>
      <c r="C411" s="31" t="e">
        <f>'[4]#REF'!D411</f>
        <v>#REF!</v>
      </c>
      <c r="D411" s="32" t="e">
        <f t="shared" si="18"/>
        <v>#REF!</v>
      </c>
      <c r="F411" s="12" t="e">
        <f>'[4]#REF'!F411</f>
        <v>#REF!</v>
      </c>
      <c r="G411" s="12" t="e">
        <f>'[4]#REF'!G411</f>
        <v>#REF!</v>
      </c>
      <c r="H411" s="31" t="e">
        <f>'[4]#REF'!I411</f>
        <v>#REF!</v>
      </c>
      <c r="I411" s="32" t="e">
        <f t="shared" si="19"/>
        <v>#REF!</v>
      </c>
      <c r="K411" s="12" t="e">
        <f>'[4]#REF'!K411</f>
        <v>#REF!</v>
      </c>
      <c r="L411" s="12" t="e">
        <f>'[4]#REF'!L411</f>
        <v>#REF!</v>
      </c>
      <c r="M411" s="31" t="e">
        <f>'[4]#REF'!N411</f>
        <v>#REF!</v>
      </c>
      <c r="N411" s="32" t="e">
        <f t="shared" si="20"/>
        <v>#REF!</v>
      </c>
    </row>
    <row r="412" ht="15.75" spans="1:14">
      <c r="A412" s="12" t="e">
        <f>'[4]#REF'!A412</f>
        <v>#REF!</v>
      </c>
      <c r="B412" s="12" t="e">
        <f>'[4]#REF'!B412</f>
        <v>#REF!</v>
      </c>
      <c r="C412" s="31" t="e">
        <f>'[4]#REF'!D412</f>
        <v>#REF!</v>
      </c>
      <c r="D412" s="32" t="e">
        <f t="shared" si="18"/>
        <v>#REF!</v>
      </c>
      <c r="F412" s="12" t="e">
        <f>'[4]#REF'!F412</f>
        <v>#REF!</v>
      </c>
      <c r="G412" s="12" t="e">
        <f>'[4]#REF'!G412</f>
        <v>#REF!</v>
      </c>
      <c r="H412" s="31" t="e">
        <f>'[4]#REF'!I412</f>
        <v>#REF!</v>
      </c>
      <c r="I412" s="32" t="e">
        <f t="shared" si="19"/>
        <v>#REF!</v>
      </c>
      <c r="K412" s="12" t="e">
        <f>'[4]#REF'!K412</f>
        <v>#REF!</v>
      </c>
      <c r="L412" s="12" t="e">
        <f>'[4]#REF'!L412</f>
        <v>#REF!</v>
      </c>
      <c r="M412" s="31" t="e">
        <f>'[4]#REF'!N412</f>
        <v>#REF!</v>
      </c>
      <c r="N412" s="32" t="e">
        <f t="shared" si="20"/>
        <v>#REF!</v>
      </c>
    </row>
    <row r="413" ht="15.75" spans="1:14">
      <c r="A413" s="12" t="e">
        <f>'[4]#REF'!A413</f>
        <v>#REF!</v>
      </c>
      <c r="B413" s="12" t="e">
        <f>'[4]#REF'!B413</f>
        <v>#REF!</v>
      </c>
      <c r="C413" s="31" t="e">
        <f>'[4]#REF'!D413</f>
        <v>#REF!</v>
      </c>
      <c r="D413" s="32" t="e">
        <f t="shared" si="18"/>
        <v>#REF!</v>
      </c>
      <c r="F413" s="12" t="e">
        <f>'[4]#REF'!F413</f>
        <v>#REF!</v>
      </c>
      <c r="G413" s="12" t="e">
        <f>'[4]#REF'!G413</f>
        <v>#REF!</v>
      </c>
      <c r="H413" s="31" t="e">
        <f>'[4]#REF'!I413</f>
        <v>#REF!</v>
      </c>
      <c r="I413" s="32" t="e">
        <f t="shared" si="19"/>
        <v>#REF!</v>
      </c>
      <c r="K413" s="12" t="e">
        <f>'[4]#REF'!K413</f>
        <v>#REF!</v>
      </c>
      <c r="L413" s="12" t="e">
        <f>'[4]#REF'!L413</f>
        <v>#REF!</v>
      </c>
      <c r="M413" s="31" t="e">
        <f>'[4]#REF'!N413</f>
        <v>#REF!</v>
      </c>
      <c r="N413" s="32" t="e">
        <f t="shared" si="20"/>
        <v>#REF!</v>
      </c>
    </row>
    <row r="414" ht="15.75" spans="1:14">
      <c r="A414" s="12" t="e">
        <f>'[4]#REF'!A414</f>
        <v>#REF!</v>
      </c>
      <c r="B414" s="12" t="e">
        <f>'[4]#REF'!B414</f>
        <v>#REF!</v>
      </c>
      <c r="C414" s="31" t="e">
        <f>'[4]#REF'!D414</f>
        <v>#REF!</v>
      </c>
      <c r="D414" s="32" t="e">
        <f t="shared" si="18"/>
        <v>#REF!</v>
      </c>
      <c r="F414" s="12" t="e">
        <f>'[4]#REF'!F414</f>
        <v>#REF!</v>
      </c>
      <c r="G414" s="12" t="e">
        <f>'[4]#REF'!G414</f>
        <v>#REF!</v>
      </c>
      <c r="H414" s="31" t="e">
        <f>'[4]#REF'!I414</f>
        <v>#REF!</v>
      </c>
      <c r="I414" s="32" t="e">
        <f t="shared" si="19"/>
        <v>#REF!</v>
      </c>
      <c r="K414" s="12" t="e">
        <f>'[4]#REF'!K414</f>
        <v>#REF!</v>
      </c>
      <c r="L414" s="12" t="e">
        <f>'[4]#REF'!L414</f>
        <v>#REF!</v>
      </c>
      <c r="M414" s="31" t="e">
        <f>'[4]#REF'!N414</f>
        <v>#REF!</v>
      </c>
      <c r="N414" s="32" t="e">
        <f t="shared" si="20"/>
        <v>#REF!</v>
      </c>
    </row>
    <row r="415" ht="15.75" spans="1:14">
      <c r="A415" s="12" t="e">
        <f>'[4]#REF'!A415</f>
        <v>#REF!</v>
      </c>
      <c r="B415" s="12" t="e">
        <f>'[4]#REF'!B415</f>
        <v>#REF!</v>
      </c>
      <c r="C415" s="31" t="e">
        <f>'[4]#REF'!D415</f>
        <v>#REF!</v>
      </c>
      <c r="D415" s="32" t="e">
        <f t="shared" si="18"/>
        <v>#REF!</v>
      </c>
      <c r="F415" s="12" t="e">
        <f>'[4]#REF'!F415</f>
        <v>#REF!</v>
      </c>
      <c r="G415" s="12" t="e">
        <f>'[4]#REF'!G415</f>
        <v>#REF!</v>
      </c>
      <c r="H415" s="31" t="e">
        <f>'[4]#REF'!I415</f>
        <v>#REF!</v>
      </c>
      <c r="I415" s="32" t="e">
        <f t="shared" si="19"/>
        <v>#REF!</v>
      </c>
      <c r="K415" s="12" t="e">
        <f>'[4]#REF'!K415</f>
        <v>#REF!</v>
      </c>
      <c r="L415" s="12" t="e">
        <f>'[4]#REF'!L415</f>
        <v>#REF!</v>
      </c>
      <c r="M415" s="31" t="e">
        <f>'[4]#REF'!N415</f>
        <v>#REF!</v>
      </c>
      <c r="N415" s="32" t="e">
        <f t="shared" si="20"/>
        <v>#REF!</v>
      </c>
    </row>
    <row r="416" ht="15.75" spans="1:14">
      <c r="A416" s="12" t="e">
        <f>'[4]#REF'!A416</f>
        <v>#REF!</v>
      </c>
      <c r="B416" s="12" t="e">
        <f>'[4]#REF'!B416</f>
        <v>#REF!</v>
      </c>
      <c r="C416" s="31" t="e">
        <f>'[4]#REF'!D416</f>
        <v>#REF!</v>
      </c>
      <c r="D416" s="32" t="e">
        <f t="shared" si="18"/>
        <v>#REF!</v>
      </c>
      <c r="F416" s="12" t="e">
        <f>'[4]#REF'!F416</f>
        <v>#REF!</v>
      </c>
      <c r="G416" s="12" t="e">
        <f>'[4]#REF'!G416</f>
        <v>#REF!</v>
      </c>
      <c r="H416" s="31" t="e">
        <f>'[4]#REF'!I416</f>
        <v>#REF!</v>
      </c>
      <c r="I416" s="32" t="e">
        <f t="shared" si="19"/>
        <v>#REF!</v>
      </c>
      <c r="K416" s="12" t="e">
        <f>'[4]#REF'!K416</f>
        <v>#REF!</v>
      </c>
      <c r="L416" s="12" t="e">
        <f>'[4]#REF'!L416</f>
        <v>#REF!</v>
      </c>
      <c r="M416" s="31" t="e">
        <f>'[4]#REF'!N416</f>
        <v>#REF!</v>
      </c>
      <c r="N416" s="32" t="e">
        <f t="shared" si="20"/>
        <v>#REF!</v>
      </c>
    </row>
    <row r="417" ht="15.75" spans="1:14">
      <c r="A417" s="12" t="e">
        <f>'[4]#REF'!A417</f>
        <v>#REF!</v>
      </c>
      <c r="B417" s="12" t="e">
        <f>'[4]#REF'!B417</f>
        <v>#REF!</v>
      </c>
      <c r="C417" s="31" t="e">
        <f>'[4]#REF'!D417</f>
        <v>#REF!</v>
      </c>
      <c r="D417" s="32" t="e">
        <f t="shared" si="18"/>
        <v>#REF!</v>
      </c>
      <c r="F417" s="12" t="e">
        <f>'[4]#REF'!F417</f>
        <v>#REF!</v>
      </c>
      <c r="G417" s="12" t="e">
        <f>'[4]#REF'!G417</f>
        <v>#REF!</v>
      </c>
      <c r="H417" s="31" t="e">
        <f>'[4]#REF'!I417</f>
        <v>#REF!</v>
      </c>
      <c r="I417" s="32" t="e">
        <f t="shared" si="19"/>
        <v>#REF!</v>
      </c>
      <c r="K417" s="12" t="e">
        <f>'[4]#REF'!K417</f>
        <v>#REF!</v>
      </c>
      <c r="L417" s="12" t="e">
        <f>'[4]#REF'!L417</f>
        <v>#REF!</v>
      </c>
      <c r="M417" s="31" t="e">
        <f>'[4]#REF'!N417</f>
        <v>#REF!</v>
      </c>
      <c r="N417" s="32" t="e">
        <f t="shared" si="20"/>
        <v>#REF!</v>
      </c>
    </row>
    <row r="418" ht="15.75" spans="1:14">
      <c r="A418" s="12" t="e">
        <f>'[4]#REF'!A418</f>
        <v>#REF!</v>
      </c>
      <c r="B418" s="12" t="e">
        <f>'[4]#REF'!B418</f>
        <v>#REF!</v>
      </c>
      <c r="C418" s="31" t="e">
        <f>'[4]#REF'!D418</f>
        <v>#REF!</v>
      </c>
      <c r="D418" s="32" t="e">
        <f t="shared" si="18"/>
        <v>#REF!</v>
      </c>
      <c r="F418" s="12" t="e">
        <f>'[4]#REF'!F418</f>
        <v>#REF!</v>
      </c>
      <c r="G418" s="12" t="e">
        <f>'[4]#REF'!G418</f>
        <v>#REF!</v>
      </c>
      <c r="H418" s="31" t="e">
        <f>'[4]#REF'!I418</f>
        <v>#REF!</v>
      </c>
      <c r="I418" s="32" t="e">
        <f t="shared" si="19"/>
        <v>#REF!</v>
      </c>
      <c r="K418" s="12" t="e">
        <f>'[4]#REF'!K418</f>
        <v>#REF!</v>
      </c>
      <c r="L418" s="12" t="e">
        <f>'[4]#REF'!L418</f>
        <v>#REF!</v>
      </c>
      <c r="M418" s="31" t="e">
        <f>'[4]#REF'!N418</f>
        <v>#REF!</v>
      </c>
      <c r="N418" s="32" t="e">
        <f t="shared" si="20"/>
        <v>#REF!</v>
      </c>
    </row>
    <row r="419" ht="15.75" spans="1:14">
      <c r="A419" s="12" t="e">
        <f>'[4]#REF'!A419</f>
        <v>#REF!</v>
      </c>
      <c r="B419" s="12" t="e">
        <f>'[4]#REF'!B419</f>
        <v>#REF!</v>
      </c>
      <c r="C419" s="31" t="e">
        <f>'[4]#REF'!D419</f>
        <v>#REF!</v>
      </c>
      <c r="D419" s="32" t="e">
        <f t="shared" si="18"/>
        <v>#REF!</v>
      </c>
      <c r="F419" s="12" t="e">
        <f>'[4]#REF'!F419</f>
        <v>#REF!</v>
      </c>
      <c r="G419" s="12" t="e">
        <f>'[4]#REF'!G419</f>
        <v>#REF!</v>
      </c>
      <c r="H419" s="31" t="e">
        <f>'[4]#REF'!I419</f>
        <v>#REF!</v>
      </c>
      <c r="I419" s="32" t="e">
        <f t="shared" si="19"/>
        <v>#REF!</v>
      </c>
      <c r="K419" s="12" t="e">
        <f>'[4]#REF'!K419</f>
        <v>#REF!</v>
      </c>
      <c r="L419" s="12" t="e">
        <f>'[4]#REF'!L419</f>
        <v>#REF!</v>
      </c>
      <c r="M419" s="31" t="e">
        <f>'[4]#REF'!N419</f>
        <v>#REF!</v>
      </c>
      <c r="N419" s="32" t="e">
        <f t="shared" si="20"/>
        <v>#REF!</v>
      </c>
    </row>
    <row r="420" ht="15.75" spans="1:14">
      <c r="A420" s="12" t="e">
        <f>'[4]#REF'!A420</f>
        <v>#REF!</v>
      </c>
      <c r="B420" s="12" t="e">
        <f>'[4]#REF'!B420</f>
        <v>#REF!</v>
      </c>
      <c r="C420" s="31" t="e">
        <f>'[4]#REF'!D420</f>
        <v>#REF!</v>
      </c>
      <c r="D420" s="32" t="e">
        <f t="shared" si="18"/>
        <v>#REF!</v>
      </c>
      <c r="F420" s="12" t="e">
        <f>'[4]#REF'!F420</f>
        <v>#REF!</v>
      </c>
      <c r="G420" s="12" t="e">
        <f>'[4]#REF'!G420</f>
        <v>#REF!</v>
      </c>
      <c r="H420" s="31" t="e">
        <f>'[4]#REF'!I420</f>
        <v>#REF!</v>
      </c>
      <c r="I420" s="32" t="e">
        <f t="shared" si="19"/>
        <v>#REF!</v>
      </c>
      <c r="K420" s="12" t="e">
        <f>'[4]#REF'!K420</f>
        <v>#REF!</v>
      </c>
      <c r="L420" s="12" t="e">
        <f>'[4]#REF'!L420</f>
        <v>#REF!</v>
      </c>
      <c r="M420" s="31" t="e">
        <f>'[4]#REF'!N420</f>
        <v>#REF!</v>
      </c>
      <c r="N420" s="32" t="e">
        <f t="shared" si="20"/>
        <v>#REF!</v>
      </c>
    </row>
    <row r="421" ht="15.75" spans="1:14">
      <c r="A421" s="12" t="e">
        <f>'[4]#REF'!A421</f>
        <v>#REF!</v>
      </c>
      <c r="B421" s="12" t="e">
        <f>'[4]#REF'!B421</f>
        <v>#REF!</v>
      </c>
      <c r="C421" s="31" t="e">
        <f>'[4]#REF'!D421</f>
        <v>#REF!</v>
      </c>
      <c r="D421" s="32" t="e">
        <f t="shared" si="18"/>
        <v>#REF!</v>
      </c>
      <c r="F421" s="12" t="e">
        <f>'[4]#REF'!F421</f>
        <v>#REF!</v>
      </c>
      <c r="G421" s="12" t="e">
        <f>'[4]#REF'!G421</f>
        <v>#REF!</v>
      </c>
      <c r="H421" s="31" t="e">
        <f>'[4]#REF'!I421</f>
        <v>#REF!</v>
      </c>
      <c r="I421" s="32" t="e">
        <f t="shared" si="19"/>
        <v>#REF!</v>
      </c>
      <c r="K421" s="12" t="e">
        <f>'[4]#REF'!K421</f>
        <v>#REF!</v>
      </c>
      <c r="L421" s="12" t="e">
        <f>'[4]#REF'!L421</f>
        <v>#REF!</v>
      </c>
      <c r="M421" s="31" t="e">
        <f>'[4]#REF'!N421</f>
        <v>#REF!</v>
      </c>
      <c r="N421" s="32" t="e">
        <f t="shared" si="20"/>
        <v>#REF!</v>
      </c>
    </row>
    <row r="422" ht="15.75" spans="1:14">
      <c r="A422" s="12" t="e">
        <f>'[4]#REF'!A422</f>
        <v>#REF!</v>
      </c>
      <c r="B422" s="12" t="e">
        <f>'[4]#REF'!B422</f>
        <v>#REF!</v>
      </c>
      <c r="C422" s="31" t="e">
        <f>'[4]#REF'!D422</f>
        <v>#REF!</v>
      </c>
      <c r="D422" s="32" t="e">
        <f t="shared" si="18"/>
        <v>#REF!</v>
      </c>
      <c r="F422" s="12" t="e">
        <f>'[4]#REF'!F422</f>
        <v>#REF!</v>
      </c>
      <c r="G422" s="12" t="e">
        <f>'[4]#REF'!G422</f>
        <v>#REF!</v>
      </c>
      <c r="H422" s="31" t="e">
        <f>'[4]#REF'!I422</f>
        <v>#REF!</v>
      </c>
      <c r="I422" s="32" t="e">
        <f t="shared" si="19"/>
        <v>#REF!</v>
      </c>
      <c r="K422" s="12" t="e">
        <f>'[4]#REF'!K422</f>
        <v>#REF!</v>
      </c>
      <c r="L422" s="12" t="e">
        <f>'[4]#REF'!L422</f>
        <v>#REF!</v>
      </c>
      <c r="M422" s="31" t="e">
        <f>'[4]#REF'!N422</f>
        <v>#REF!</v>
      </c>
      <c r="N422" s="32" t="e">
        <f t="shared" si="20"/>
        <v>#REF!</v>
      </c>
    </row>
    <row r="423" ht="15.75" spans="1:14">
      <c r="A423" s="12" t="e">
        <f>'[4]#REF'!A423</f>
        <v>#REF!</v>
      </c>
      <c r="B423" s="12" t="e">
        <f>'[4]#REF'!B423</f>
        <v>#REF!</v>
      </c>
      <c r="C423" s="31" t="e">
        <f>'[4]#REF'!D423</f>
        <v>#REF!</v>
      </c>
      <c r="D423" s="32" t="e">
        <f t="shared" si="18"/>
        <v>#REF!</v>
      </c>
      <c r="F423" s="12" t="e">
        <f>'[4]#REF'!F423</f>
        <v>#REF!</v>
      </c>
      <c r="G423" s="12" t="e">
        <f>'[4]#REF'!G423</f>
        <v>#REF!</v>
      </c>
      <c r="H423" s="31" t="e">
        <f>'[4]#REF'!I423</f>
        <v>#REF!</v>
      </c>
      <c r="I423" s="32" t="e">
        <f t="shared" si="19"/>
        <v>#REF!</v>
      </c>
      <c r="K423" s="12" t="e">
        <f>'[4]#REF'!K423</f>
        <v>#REF!</v>
      </c>
      <c r="L423" s="12" t="e">
        <f>'[4]#REF'!L423</f>
        <v>#REF!</v>
      </c>
      <c r="M423" s="31" t="e">
        <f>'[4]#REF'!N423</f>
        <v>#REF!</v>
      </c>
      <c r="N423" s="32" t="e">
        <f t="shared" si="20"/>
        <v>#REF!</v>
      </c>
    </row>
    <row r="424" ht="15.75" spans="1:14">
      <c r="A424" s="12" t="e">
        <f>'[4]#REF'!A424</f>
        <v>#REF!</v>
      </c>
      <c r="B424" s="12" t="e">
        <f>'[4]#REF'!B424</f>
        <v>#REF!</v>
      </c>
      <c r="C424" s="31" t="e">
        <f>'[4]#REF'!D424</f>
        <v>#REF!</v>
      </c>
      <c r="D424" s="32" t="e">
        <f t="shared" si="18"/>
        <v>#REF!</v>
      </c>
      <c r="F424" s="12" t="e">
        <f>'[4]#REF'!F424</f>
        <v>#REF!</v>
      </c>
      <c r="G424" s="12" t="e">
        <f>'[4]#REF'!G424</f>
        <v>#REF!</v>
      </c>
      <c r="H424" s="31" t="e">
        <f>'[4]#REF'!I424</f>
        <v>#REF!</v>
      </c>
      <c r="I424" s="32" t="e">
        <f t="shared" si="19"/>
        <v>#REF!</v>
      </c>
      <c r="K424" s="12" t="e">
        <f>'[4]#REF'!K424</f>
        <v>#REF!</v>
      </c>
      <c r="L424" s="12" t="e">
        <f>'[4]#REF'!L424</f>
        <v>#REF!</v>
      </c>
      <c r="M424" s="31" t="e">
        <f>'[4]#REF'!N424</f>
        <v>#REF!</v>
      </c>
      <c r="N424" s="32" t="e">
        <f t="shared" si="20"/>
        <v>#REF!</v>
      </c>
    </row>
    <row r="425" ht="15.75" spans="1:14">
      <c r="A425" s="12" t="e">
        <f>'[4]#REF'!A425</f>
        <v>#REF!</v>
      </c>
      <c r="B425" s="12" t="e">
        <f>'[4]#REF'!B425</f>
        <v>#REF!</v>
      </c>
      <c r="C425" s="31" t="e">
        <f>'[4]#REF'!D425</f>
        <v>#REF!</v>
      </c>
      <c r="D425" s="32" t="e">
        <f t="shared" si="18"/>
        <v>#REF!</v>
      </c>
      <c r="F425" s="12" t="e">
        <f>'[4]#REF'!F425</f>
        <v>#REF!</v>
      </c>
      <c r="G425" s="12" t="e">
        <f>'[4]#REF'!G425</f>
        <v>#REF!</v>
      </c>
      <c r="H425" s="31" t="e">
        <f>'[4]#REF'!I425</f>
        <v>#REF!</v>
      </c>
      <c r="I425" s="32" t="e">
        <f t="shared" si="19"/>
        <v>#REF!</v>
      </c>
      <c r="K425" s="12" t="e">
        <f>'[4]#REF'!K425</f>
        <v>#REF!</v>
      </c>
      <c r="L425" s="12" t="e">
        <f>'[4]#REF'!L425</f>
        <v>#REF!</v>
      </c>
      <c r="M425" s="31" t="e">
        <f>'[4]#REF'!N425</f>
        <v>#REF!</v>
      </c>
      <c r="N425" s="32" t="e">
        <f t="shared" si="20"/>
        <v>#REF!</v>
      </c>
    </row>
    <row r="426" ht="15.75" spans="1:14">
      <c r="A426" s="12" t="e">
        <f>'[4]#REF'!A426</f>
        <v>#REF!</v>
      </c>
      <c r="B426" s="12" t="e">
        <f>'[4]#REF'!B426</f>
        <v>#REF!</v>
      </c>
      <c r="C426" s="31" t="e">
        <f>'[4]#REF'!D426</f>
        <v>#REF!</v>
      </c>
      <c r="D426" s="32" t="e">
        <f t="shared" si="18"/>
        <v>#REF!</v>
      </c>
      <c r="F426" s="12" t="e">
        <f>'[4]#REF'!F426</f>
        <v>#REF!</v>
      </c>
      <c r="G426" s="12" t="e">
        <f>'[4]#REF'!G426</f>
        <v>#REF!</v>
      </c>
      <c r="H426" s="31" t="e">
        <f>'[4]#REF'!I426</f>
        <v>#REF!</v>
      </c>
      <c r="I426" s="32" t="e">
        <f t="shared" si="19"/>
        <v>#REF!</v>
      </c>
      <c r="K426" s="12" t="e">
        <f>'[4]#REF'!K426</f>
        <v>#REF!</v>
      </c>
      <c r="L426" s="12" t="e">
        <f>'[4]#REF'!L426</f>
        <v>#REF!</v>
      </c>
      <c r="M426" s="31" t="e">
        <f>'[4]#REF'!N426</f>
        <v>#REF!</v>
      </c>
      <c r="N426" s="32" t="e">
        <f t="shared" si="20"/>
        <v>#REF!</v>
      </c>
    </row>
    <row r="427" ht="15.75" spans="1:14">
      <c r="A427" s="12" t="e">
        <f>'[4]#REF'!A427</f>
        <v>#REF!</v>
      </c>
      <c r="B427" s="12" t="e">
        <f>'[4]#REF'!B427</f>
        <v>#REF!</v>
      </c>
      <c r="C427" s="31" t="e">
        <f>'[4]#REF'!D427</f>
        <v>#REF!</v>
      </c>
      <c r="D427" s="32" t="e">
        <f t="shared" si="18"/>
        <v>#REF!</v>
      </c>
      <c r="F427" s="12" t="e">
        <f>'[4]#REF'!F427</f>
        <v>#REF!</v>
      </c>
      <c r="G427" s="12" t="e">
        <f>'[4]#REF'!G427</f>
        <v>#REF!</v>
      </c>
      <c r="H427" s="31" t="e">
        <f>'[4]#REF'!I427</f>
        <v>#REF!</v>
      </c>
      <c r="I427" s="32" t="e">
        <f t="shared" si="19"/>
        <v>#REF!</v>
      </c>
      <c r="K427" s="12" t="e">
        <f>'[4]#REF'!K427</f>
        <v>#REF!</v>
      </c>
      <c r="L427" s="12" t="e">
        <f>'[4]#REF'!L427</f>
        <v>#REF!</v>
      </c>
      <c r="M427" s="31" t="e">
        <f>'[4]#REF'!N427</f>
        <v>#REF!</v>
      </c>
      <c r="N427" s="32" t="e">
        <f t="shared" si="20"/>
        <v>#REF!</v>
      </c>
    </row>
    <row r="428" ht="15.75" spans="1:14">
      <c r="A428" s="12" t="e">
        <f>'[4]#REF'!A428</f>
        <v>#REF!</v>
      </c>
      <c r="B428" s="12" t="e">
        <f>'[4]#REF'!B428</f>
        <v>#REF!</v>
      </c>
      <c r="C428" s="31" t="e">
        <f>'[4]#REF'!D428</f>
        <v>#REF!</v>
      </c>
      <c r="D428" s="32" t="e">
        <f t="shared" si="18"/>
        <v>#REF!</v>
      </c>
      <c r="F428" s="12" t="e">
        <f>'[4]#REF'!F428</f>
        <v>#REF!</v>
      </c>
      <c r="G428" s="12" t="e">
        <f>'[4]#REF'!G428</f>
        <v>#REF!</v>
      </c>
      <c r="H428" s="31" t="e">
        <f>'[4]#REF'!I428</f>
        <v>#REF!</v>
      </c>
      <c r="I428" s="32" t="e">
        <f t="shared" si="19"/>
        <v>#REF!</v>
      </c>
      <c r="K428" s="12" t="e">
        <f>'[4]#REF'!K428</f>
        <v>#REF!</v>
      </c>
      <c r="L428" s="12" t="e">
        <f>'[4]#REF'!L428</f>
        <v>#REF!</v>
      </c>
      <c r="M428" s="31" t="e">
        <f>'[4]#REF'!N428</f>
        <v>#REF!</v>
      </c>
      <c r="N428" s="32" t="e">
        <f t="shared" si="20"/>
        <v>#REF!</v>
      </c>
    </row>
    <row r="429" ht="15.75" spans="1:14">
      <c r="A429" s="12" t="e">
        <f>'[4]#REF'!A429</f>
        <v>#REF!</v>
      </c>
      <c r="B429" s="12" t="e">
        <f>'[4]#REF'!B429</f>
        <v>#REF!</v>
      </c>
      <c r="C429" s="31" t="e">
        <f>'[4]#REF'!D429</f>
        <v>#REF!</v>
      </c>
      <c r="D429" s="32" t="e">
        <f t="shared" si="18"/>
        <v>#REF!</v>
      </c>
      <c r="F429" s="12" t="e">
        <f>'[4]#REF'!F429</f>
        <v>#REF!</v>
      </c>
      <c r="G429" s="12" t="e">
        <f>'[4]#REF'!G429</f>
        <v>#REF!</v>
      </c>
      <c r="H429" s="31" t="e">
        <f>'[4]#REF'!I429</f>
        <v>#REF!</v>
      </c>
      <c r="I429" s="32" t="e">
        <f t="shared" si="19"/>
        <v>#REF!</v>
      </c>
      <c r="K429" s="12" t="e">
        <f>'[4]#REF'!K429</f>
        <v>#REF!</v>
      </c>
      <c r="L429" s="12" t="e">
        <f>'[4]#REF'!L429</f>
        <v>#REF!</v>
      </c>
      <c r="M429" s="31" t="e">
        <f>'[4]#REF'!N429</f>
        <v>#REF!</v>
      </c>
      <c r="N429" s="32" t="e">
        <f t="shared" si="20"/>
        <v>#REF!</v>
      </c>
    </row>
    <row r="430" ht="15.75" spans="1:14">
      <c r="A430" s="12" t="e">
        <f>'[4]#REF'!A430</f>
        <v>#REF!</v>
      </c>
      <c r="B430" s="12" t="e">
        <f>'[4]#REF'!B430</f>
        <v>#REF!</v>
      </c>
      <c r="C430" s="31" t="e">
        <f>'[4]#REF'!D430</f>
        <v>#REF!</v>
      </c>
      <c r="D430" s="32" t="e">
        <f t="shared" si="18"/>
        <v>#REF!</v>
      </c>
      <c r="F430" s="12" t="e">
        <f>'[4]#REF'!F430</f>
        <v>#REF!</v>
      </c>
      <c r="G430" s="12" t="e">
        <f>'[4]#REF'!G430</f>
        <v>#REF!</v>
      </c>
      <c r="H430" s="31" t="e">
        <f>'[4]#REF'!I430</f>
        <v>#REF!</v>
      </c>
      <c r="I430" s="32" t="e">
        <f t="shared" si="19"/>
        <v>#REF!</v>
      </c>
      <c r="K430" s="12" t="e">
        <f>'[4]#REF'!K430</f>
        <v>#REF!</v>
      </c>
      <c r="L430" s="12" t="e">
        <f>'[4]#REF'!L430</f>
        <v>#REF!</v>
      </c>
      <c r="M430" s="31" t="e">
        <f>'[4]#REF'!N430</f>
        <v>#REF!</v>
      </c>
      <c r="N430" s="32" t="e">
        <f t="shared" si="20"/>
        <v>#REF!</v>
      </c>
    </row>
    <row r="431" ht="15.75" spans="1:14">
      <c r="A431" s="12" t="e">
        <f>'[4]#REF'!A431</f>
        <v>#REF!</v>
      </c>
      <c r="B431" s="12" t="e">
        <f>'[4]#REF'!B431</f>
        <v>#REF!</v>
      </c>
      <c r="C431" s="31" t="e">
        <f>'[4]#REF'!D431</f>
        <v>#REF!</v>
      </c>
      <c r="D431" s="32" t="e">
        <f t="shared" si="18"/>
        <v>#REF!</v>
      </c>
      <c r="F431" s="12" t="e">
        <f>'[4]#REF'!F431</f>
        <v>#REF!</v>
      </c>
      <c r="G431" s="12" t="e">
        <f>'[4]#REF'!G431</f>
        <v>#REF!</v>
      </c>
      <c r="H431" s="31" t="e">
        <f>'[4]#REF'!I431</f>
        <v>#REF!</v>
      </c>
      <c r="I431" s="32" t="e">
        <f t="shared" si="19"/>
        <v>#REF!</v>
      </c>
      <c r="K431" s="12" t="e">
        <f>'[4]#REF'!K431</f>
        <v>#REF!</v>
      </c>
      <c r="L431" s="12" t="e">
        <f>'[4]#REF'!L431</f>
        <v>#REF!</v>
      </c>
      <c r="M431" s="31" t="e">
        <f>'[4]#REF'!N431</f>
        <v>#REF!</v>
      </c>
      <c r="N431" s="32" t="e">
        <f t="shared" si="20"/>
        <v>#REF!</v>
      </c>
    </row>
    <row r="432" ht="15.75" spans="1:14">
      <c r="A432" s="12" t="e">
        <f>'[4]#REF'!A432</f>
        <v>#REF!</v>
      </c>
      <c r="B432" s="12" t="e">
        <f>'[4]#REF'!B432</f>
        <v>#REF!</v>
      </c>
      <c r="C432" s="31" t="e">
        <f>'[4]#REF'!D432</f>
        <v>#REF!</v>
      </c>
      <c r="D432" s="32" t="e">
        <f t="shared" si="18"/>
        <v>#REF!</v>
      </c>
      <c r="F432" s="12" t="e">
        <f>'[4]#REF'!F432</f>
        <v>#REF!</v>
      </c>
      <c r="G432" s="12" t="e">
        <f>'[4]#REF'!G432</f>
        <v>#REF!</v>
      </c>
      <c r="H432" s="31" t="e">
        <f>'[4]#REF'!I432</f>
        <v>#REF!</v>
      </c>
      <c r="I432" s="32" t="e">
        <f t="shared" si="19"/>
        <v>#REF!</v>
      </c>
      <c r="K432" s="12" t="e">
        <f>'[4]#REF'!K432</f>
        <v>#REF!</v>
      </c>
      <c r="L432" s="12" t="e">
        <f>'[4]#REF'!L432</f>
        <v>#REF!</v>
      </c>
      <c r="M432" s="31" t="e">
        <f>'[4]#REF'!N432</f>
        <v>#REF!</v>
      </c>
      <c r="N432" s="32" t="e">
        <f t="shared" si="20"/>
        <v>#REF!</v>
      </c>
    </row>
    <row r="433" ht="15.75" spans="1:14">
      <c r="A433" s="12" t="e">
        <f>'[4]#REF'!A433</f>
        <v>#REF!</v>
      </c>
      <c r="B433" s="12" t="e">
        <f>'[4]#REF'!B433</f>
        <v>#REF!</v>
      </c>
      <c r="C433" s="31" t="e">
        <f>'[4]#REF'!D433</f>
        <v>#REF!</v>
      </c>
      <c r="D433" s="32" t="e">
        <f t="shared" si="18"/>
        <v>#REF!</v>
      </c>
      <c r="F433" s="12" t="e">
        <f>'[4]#REF'!F433</f>
        <v>#REF!</v>
      </c>
      <c r="G433" s="12" t="e">
        <f>'[4]#REF'!G433</f>
        <v>#REF!</v>
      </c>
      <c r="H433" s="31" t="e">
        <f>'[4]#REF'!I433</f>
        <v>#REF!</v>
      </c>
      <c r="I433" s="32" t="e">
        <f t="shared" si="19"/>
        <v>#REF!</v>
      </c>
      <c r="K433" s="12" t="e">
        <f>'[4]#REF'!K433</f>
        <v>#REF!</v>
      </c>
      <c r="L433" s="12" t="e">
        <f>'[4]#REF'!L433</f>
        <v>#REF!</v>
      </c>
      <c r="M433" s="31" t="e">
        <f>'[4]#REF'!N433</f>
        <v>#REF!</v>
      </c>
      <c r="N433" s="32" t="e">
        <f t="shared" si="20"/>
        <v>#REF!</v>
      </c>
    </row>
    <row r="434" ht="15.75" spans="1:14">
      <c r="A434" s="12" t="e">
        <f>'[4]#REF'!A434</f>
        <v>#REF!</v>
      </c>
      <c r="B434" s="12" t="e">
        <f>'[4]#REF'!B434</f>
        <v>#REF!</v>
      </c>
      <c r="C434" s="31" t="e">
        <f>'[4]#REF'!D434</f>
        <v>#REF!</v>
      </c>
      <c r="D434" s="32" t="e">
        <f t="shared" si="18"/>
        <v>#REF!</v>
      </c>
      <c r="F434" s="12" t="e">
        <f>'[4]#REF'!F434</f>
        <v>#REF!</v>
      </c>
      <c r="G434" s="12" t="e">
        <f>'[4]#REF'!G434</f>
        <v>#REF!</v>
      </c>
      <c r="H434" s="31" t="e">
        <f>'[4]#REF'!I434</f>
        <v>#REF!</v>
      </c>
      <c r="I434" s="32" t="e">
        <f t="shared" si="19"/>
        <v>#REF!</v>
      </c>
      <c r="K434" s="12" t="e">
        <f>'[4]#REF'!K434</f>
        <v>#REF!</v>
      </c>
      <c r="L434" s="12" t="e">
        <f>'[4]#REF'!L434</f>
        <v>#REF!</v>
      </c>
      <c r="M434" s="31" t="e">
        <f>'[4]#REF'!N434</f>
        <v>#REF!</v>
      </c>
      <c r="N434" s="32" t="e">
        <f t="shared" si="20"/>
        <v>#REF!</v>
      </c>
    </row>
    <row r="435" ht="15.75" spans="1:14">
      <c r="A435" s="12" t="e">
        <f>'[4]#REF'!A435</f>
        <v>#REF!</v>
      </c>
      <c r="B435" s="12" t="e">
        <f>'[4]#REF'!B435</f>
        <v>#REF!</v>
      </c>
      <c r="C435" s="31" t="e">
        <f>'[4]#REF'!D435</f>
        <v>#REF!</v>
      </c>
      <c r="D435" s="32" t="e">
        <f t="shared" si="18"/>
        <v>#REF!</v>
      </c>
      <c r="F435" s="12" t="e">
        <f>'[4]#REF'!F435</f>
        <v>#REF!</v>
      </c>
      <c r="G435" s="12" t="e">
        <f>'[4]#REF'!G435</f>
        <v>#REF!</v>
      </c>
      <c r="H435" s="31" t="e">
        <f>'[4]#REF'!I435</f>
        <v>#REF!</v>
      </c>
      <c r="I435" s="32" t="e">
        <f t="shared" si="19"/>
        <v>#REF!</v>
      </c>
      <c r="K435" s="12" t="e">
        <f>'[4]#REF'!K435</f>
        <v>#REF!</v>
      </c>
      <c r="L435" s="12" t="e">
        <f>'[4]#REF'!L435</f>
        <v>#REF!</v>
      </c>
      <c r="M435" s="31" t="e">
        <f>'[4]#REF'!N435</f>
        <v>#REF!</v>
      </c>
      <c r="N435" s="32" t="e">
        <f t="shared" si="20"/>
        <v>#REF!</v>
      </c>
    </row>
    <row r="436" ht="15.75" spans="1:14">
      <c r="A436" s="12" t="e">
        <f>'[4]#REF'!A436</f>
        <v>#REF!</v>
      </c>
      <c r="B436" s="12" t="e">
        <f>'[4]#REF'!B436</f>
        <v>#REF!</v>
      </c>
      <c r="C436" s="31" t="e">
        <f>'[4]#REF'!D436</f>
        <v>#REF!</v>
      </c>
      <c r="D436" s="32" t="e">
        <f t="shared" si="18"/>
        <v>#REF!</v>
      </c>
      <c r="F436" s="12" t="e">
        <f>'[4]#REF'!F436</f>
        <v>#REF!</v>
      </c>
      <c r="G436" s="12" t="e">
        <f>'[4]#REF'!G436</f>
        <v>#REF!</v>
      </c>
      <c r="H436" s="31" t="e">
        <f>'[4]#REF'!I436</f>
        <v>#REF!</v>
      </c>
      <c r="I436" s="32" t="e">
        <f t="shared" si="19"/>
        <v>#REF!</v>
      </c>
      <c r="K436" s="12" t="e">
        <f>'[4]#REF'!K436</f>
        <v>#REF!</v>
      </c>
      <c r="L436" s="12" t="e">
        <f>'[4]#REF'!L436</f>
        <v>#REF!</v>
      </c>
      <c r="M436" s="31" t="e">
        <f>'[4]#REF'!N436</f>
        <v>#REF!</v>
      </c>
      <c r="N436" s="32" t="e">
        <f t="shared" si="20"/>
        <v>#REF!</v>
      </c>
    </row>
    <row r="437" ht="15.75" spans="1:14">
      <c r="A437" s="12" t="e">
        <f>'[4]#REF'!A437</f>
        <v>#REF!</v>
      </c>
      <c r="B437" s="12" t="e">
        <f>'[4]#REF'!B437</f>
        <v>#REF!</v>
      </c>
      <c r="C437" s="31" t="e">
        <f>'[4]#REF'!D437</f>
        <v>#REF!</v>
      </c>
      <c r="D437" s="32" t="e">
        <f t="shared" si="18"/>
        <v>#REF!</v>
      </c>
      <c r="F437" s="12" t="e">
        <f>'[4]#REF'!F437</f>
        <v>#REF!</v>
      </c>
      <c r="G437" s="12" t="e">
        <f>'[4]#REF'!G437</f>
        <v>#REF!</v>
      </c>
      <c r="H437" s="31" t="e">
        <f>'[4]#REF'!I437</f>
        <v>#REF!</v>
      </c>
      <c r="I437" s="32" t="e">
        <f t="shared" si="19"/>
        <v>#REF!</v>
      </c>
      <c r="K437" s="12" t="e">
        <f>'[4]#REF'!K437</f>
        <v>#REF!</v>
      </c>
      <c r="L437" s="12" t="e">
        <f>'[4]#REF'!L437</f>
        <v>#REF!</v>
      </c>
      <c r="M437" s="31" t="e">
        <f>'[4]#REF'!N437</f>
        <v>#REF!</v>
      </c>
      <c r="N437" s="32" t="e">
        <f t="shared" si="20"/>
        <v>#REF!</v>
      </c>
    </row>
    <row r="438" ht="15.75" spans="1:14">
      <c r="A438" s="12" t="e">
        <f>'[4]#REF'!A438</f>
        <v>#REF!</v>
      </c>
      <c r="B438" s="12" t="e">
        <f>'[4]#REF'!B438</f>
        <v>#REF!</v>
      </c>
      <c r="C438" s="31" t="e">
        <f>'[4]#REF'!D438</f>
        <v>#REF!</v>
      </c>
      <c r="D438" s="32" t="e">
        <f t="shared" si="18"/>
        <v>#REF!</v>
      </c>
      <c r="F438" s="12" t="e">
        <f>'[4]#REF'!F438</f>
        <v>#REF!</v>
      </c>
      <c r="G438" s="12" t="e">
        <f>'[4]#REF'!G438</f>
        <v>#REF!</v>
      </c>
      <c r="H438" s="31" t="e">
        <f>'[4]#REF'!I438</f>
        <v>#REF!</v>
      </c>
      <c r="I438" s="32" t="e">
        <f t="shared" si="19"/>
        <v>#REF!</v>
      </c>
      <c r="K438" s="12" t="e">
        <f>'[4]#REF'!K438</f>
        <v>#REF!</v>
      </c>
      <c r="L438" s="12" t="e">
        <f>'[4]#REF'!L438</f>
        <v>#REF!</v>
      </c>
      <c r="M438" s="31" t="e">
        <f>'[4]#REF'!N438</f>
        <v>#REF!</v>
      </c>
      <c r="N438" s="32" t="e">
        <f t="shared" si="20"/>
        <v>#REF!</v>
      </c>
    </row>
    <row r="439" ht="15.75" spans="1:14">
      <c r="A439" s="12" t="e">
        <f>'[4]#REF'!A439</f>
        <v>#REF!</v>
      </c>
      <c r="B439" s="12" t="e">
        <f>'[4]#REF'!B439</f>
        <v>#REF!</v>
      </c>
      <c r="C439" s="31" t="e">
        <f>'[4]#REF'!D439</f>
        <v>#REF!</v>
      </c>
      <c r="D439" s="32" t="e">
        <f t="shared" si="18"/>
        <v>#REF!</v>
      </c>
      <c r="F439" s="12" t="e">
        <f>'[4]#REF'!F439</f>
        <v>#REF!</v>
      </c>
      <c r="G439" s="12" t="e">
        <f>'[4]#REF'!G439</f>
        <v>#REF!</v>
      </c>
      <c r="H439" s="31" t="e">
        <f>'[4]#REF'!I439</f>
        <v>#REF!</v>
      </c>
      <c r="I439" s="32" t="e">
        <f t="shared" si="19"/>
        <v>#REF!</v>
      </c>
      <c r="K439" s="12" t="e">
        <f>'[4]#REF'!K439</f>
        <v>#REF!</v>
      </c>
      <c r="L439" s="12" t="e">
        <f>'[4]#REF'!L439</f>
        <v>#REF!</v>
      </c>
      <c r="M439" s="31" t="e">
        <f>'[4]#REF'!N439</f>
        <v>#REF!</v>
      </c>
      <c r="N439" s="32" t="e">
        <f t="shared" si="20"/>
        <v>#REF!</v>
      </c>
    </row>
    <row r="440" ht="15.75" spans="1:14">
      <c r="A440" s="12" t="e">
        <f>'[4]#REF'!A440</f>
        <v>#REF!</v>
      </c>
      <c r="B440" s="12" t="e">
        <f>'[4]#REF'!B440</f>
        <v>#REF!</v>
      </c>
      <c r="C440" s="31" t="e">
        <f>'[4]#REF'!D440</f>
        <v>#REF!</v>
      </c>
      <c r="D440" s="32" t="e">
        <f t="shared" si="18"/>
        <v>#REF!</v>
      </c>
      <c r="F440" s="12" t="e">
        <f>'[4]#REF'!F440</f>
        <v>#REF!</v>
      </c>
      <c r="G440" s="12" t="e">
        <f>'[4]#REF'!G440</f>
        <v>#REF!</v>
      </c>
      <c r="H440" s="31" t="e">
        <f>'[4]#REF'!I440</f>
        <v>#REF!</v>
      </c>
      <c r="I440" s="32" t="e">
        <f t="shared" si="19"/>
        <v>#REF!</v>
      </c>
      <c r="K440" s="12" t="e">
        <f>'[4]#REF'!K440</f>
        <v>#REF!</v>
      </c>
      <c r="L440" s="12" t="e">
        <f>'[4]#REF'!L440</f>
        <v>#REF!</v>
      </c>
      <c r="M440" s="31" t="e">
        <f>'[4]#REF'!N440</f>
        <v>#REF!</v>
      </c>
      <c r="N440" s="32" t="e">
        <f t="shared" si="20"/>
        <v>#REF!</v>
      </c>
    </row>
    <row r="441" ht="15.75" spans="1:14">
      <c r="A441" s="12" t="e">
        <f>'[4]#REF'!A441</f>
        <v>#REF!</v>
      </c>
      <c r="B441" s="12" t="e">
        <f>'[4]#REF'!B441</f>
        <v>#REF!</v>
      </c>
      <c r="C441" s="31" t="e">
        <f>'[4]#REF'!D441</f>
        <v>#REF!</v>
      </c>
      <c r="D441" s="32" t="e">
        <f t="shared" si="18"/>
        <v>#REF!</v>
      </c>
      <c r="F441" s="12" t="e">
        <f>'[4]#REF'!F441</f>
        <v>#REF!</v>
      </c>
      <c r="G441" s="12" t="e">
        <f>'[4]#REF'!G441</f>
        <v>#REF!</v>
      </c>
      <c r="H441" s="31" t="e">
        <f>'[4]#REF'!I441</f>
        <v>#REF!</v>
      </c>
      <c r="I441" s="32" t="e">
        <f t="shared" si="19"/>
        <v>#REF!</v>
      </c>
      <c r="K441" s="12" t="e">
        <f>'[4]#REF'!K441</f>
        <v>#REF!</v>
      </c>
      <c r="L441" s="12" t="e">
        <f>'[4]#REF'!L441</f>
        <v>#REF!</v>
      </c>
      <c r="M441" s="31" t="e">
        <f>'[4]#REF'!N441</f>
        <v>#REF!</v>
      </c>
      <c r="N441" s="32" t="e">
        <f t="shared" si="20"/>
        <v>#REF!</v>
      </c>
    </row>
    <row r="442" ht="15.75" spans="1:14">
      <c r="A442" s="12" t="e">
        <f>'[4]#REF'!A442</f>
        <v>#REF!</v>
      </c>
      <c r="B442" s="12" t="e">
        <f>'[4]#REF'!B442</f>
        <v>#REF!</v>
      </c>
      <c r="C442" s="31" t="e">
        <f>'[4]#REF'!D442</f>
        <v>#REF!</v>
      </c>
      <c r="D442" s="32" t="e">
        <f t="shared" si="18"/>
        <v>#REF!</v>
      </c>
      <c r="F442" s="12" t="e">
        <f>'[4]#REF'!F442</f>
        <v>#REF!</v>
      </c>
      <c r="G442" s="12" t="e">
        <f>'[4]#REF'!G442</f>
        <v>#REF!</v>
      </c>
      <c r="H442" s="31" t="e">
        <f>'[4]#REF'!I442</f>
        <v>#REF!</v>
      </c>
      <c r="I442" s="32" t="e">
        <f t="shared" si="19"/>
        <v>#REF!</v>
      </c>
      <c r="K442" s="12" t="e">
        <f>'[4]#REF'!K442</f>
        <v>#REF!</v>
      </c>
      <c r="L442" s="12" t="e">
        <f>'[4]#REF'!L442</f>
        <v>#REF!</v>
      </c>
      <c r="M442" s="31" t="e">
        <f>'[4]#REF'!N442</f>
        <v>#REF!</v>
      </c>
      <c r="N442" s="32" t="e">
        <f t="shared" si="20"/>
        <v>#REF!</v>
      </c>
    </row>
    <row r="443" ht="15.75" spans="1:14">
      <c r="A443" s="12" t="e">
        <f>'[4]#REF'!A443</f>
        <v>#REF!</v>
      </c>
      <c r="B443" s="12" t="e">
        <f>'[4]#REF'!B443</f>
        <v>#REF!</v>
      </c>
      <c r="C443" s="31" t="e">
        <f>'[4]#REF'!D443</f>
        <v>#REF!</v>
      </c>
      <c r="D443" s="32" t="e">
        <f t="shared" si="18"/>
        <v>#REF!</v>
      </c>
      <c r="F443" s="12" t="e">
        <f>'[4]#REF'!F443</f>
        <v>#REF!</v>
      </c>
      <c r="G443" s="12" t="e">
        <f>'[4]#REF'!G443</f>
        <v>#REF!</v>
      </c>
      <c r="H443" s="31" t="e">
        <f>'[4]#REF'!I443</f>
        <v>#REF!</v>
      </c>
      <c r="I443" s="32" t="e">
        <f t="shared" si="19"/>
        <v>#REF!</v>
      </c>
      <c r="K443" s="12" t="e">
        <f>'[4]#REF'!K443</f>
        <v>#REF!</v>
      </c>
      <c r="L443" s="12" t="e">
        <f>'[4]#REF'!L443</f>
        <v>#REF!</v>
      </c>
      <c r="M443" s="31" t="e">
        <f>'[4]#REF'!N443</f>
        <v>#REF!</v>
      </c>
      <c r="N443" s="32" t="e">
        <f t="shared" si="20"/>
        <v>#REF!</v>
      </c>
    </row>
    <row r="444" ht="15.75" spans="1:14">
      <c r="A444" s="12" t="e">
        <f>'[4]#REF'!A444</f>
        <v>#REF!</v>
      </c>
      <c r="B444" s="12" t="e">
        <f>'[4]#REF'!B444</f>
        <v>#REF!</v>
      </c>
      <c r="C444" s="31" t="e">
        <f>'[4]#REF'!D444</f>
        <v>#REF!</v>
      </c>
      <c r="D444" s="32" t="e">
        <f t="shared" si="18"/>
        <v>#REF!</v>
      </c>
      <c r="F444" s="12" t="e">
        <f>'[4]#REF'!F444</f>
        <v>#REF!</v>
      </c>
      <c r="G444" s="12" t="e">
        <f>'[4]#REF'!G444</f>
        <v>#REF!</v>
      </c>
      <c r="H444" s="31" t="e">
        <f>'[4]#REF'!I444</f>
        <v>#REF!</v>
      </c>
      <c r="I444" s="32" t="e">
        <f t="shared" si="19"/>
        <v>#REF!</v>
      </c>
      <c r="K444" s="12" t="e">
        <f>'[4]#REF'!K444</f>
        <v>#REF!</v>
      </c>
      <c r="L444" s="12" t="e">
        <f>'[4]#REF'!L444</f>
        <v>#REF!</v>
      </c>
      <c r="M444" s="31" t="e">
        <f>'[4]#REF'!N444</f>
        <v>#REF!</v>
      </c>
      <c r="N444" s="32" t="e">
        <f t="shared" si="20"/>
        <v>#REF!</v>
      </c>
    </row>
    <row r="445" ht="15.75" spans="1:14">
      <c r="A445" s="12" t="e">
        <f>'[4]#REF'!A445</f>
        <v>#REF!</v>
      </c>
      <c r="B445" s="12" t="e">
        <f>'[4]#REF'!B445</f>
        <v>#REF!</v>
      </c>
      <c r="C445" s="31" t="e">
        <f>'[4]#REF'!D445</f>
        <v>#REF!</v>
      </c>
      <c r="D445" s="32" t="e">
        <f t="shared" si="18"/>
        <v>#REF!</v>
      </c>
      <c r="F445" s="12" t="e">
        <f>'[4]#REF'!F445</f>
        <v>#REF!</v>
      </c>
      <c r="G445" s="12" t="e">
        <f>'[4]#REF'!G445</f>
        <v>#REF!</v>
      </c>
      <c r="H445" s="31" t="e">
        <f>'[4]#REF'!I445</f>
        <v>#REF!</v>
      </c>
      <c r="I445" s="32" t="e">
        <f t="shared" si="19"/>
        <v>#REF!</v>
      </c>
      <c r="K445" s="12" t="e">
        <f>'[4]#REF'!K445</f>
        <v>#REF!</v>
      </c>
      <c r="L445" s="12" t="e">
        <f>'[4]#REF'!L445</f>
        <v>#REF!</v>
      </c>
      <c r="M445" s="31" t="e">
        <f>'[4]#REF'!N445</f>
        <v>#REF!</v>
      </c>
      <c r="N445" s="32" t="e">
        <f t="shared" si="20"/>
        <v>#REF!</v>
      </c>
    </row>
    <row r="446" ht="15.75" spans="1:14">
      <c r="A446" s="12" t="e">
        <f>'[4]#REF'!A446</f>
        <v>#REF!</v>
      </c>
      <c r="B446" s="12" t="e">
        <f>'[4]#REF'!B446</f>
        <v>#REF!</v>
      </c>
      <c r="C446" s="31" t="e">
        <f>'[4]#REF'!D446</f>
        <v>#REF!</v>
      </c>
      <c r="D446" s="32" t="e">
        <f t="shared" si="18"/>
        <v>#REF!</v>
      </c>
      <c r="F446" s="12" t="e">
        <f>'[4]#REF'!F446</f>
        <v>#REF!</v>
      </c>
      <c r="G446" s="12" t="e">
        <f>'[4]#REF'!G446</f>
        <v>#REF!</v>
      </c>
      <c r="H446" s="31" t="e">
        <f>'[4]#REF'!I446</f>
        <v>#REF!</v>
      </c>
      <c r="I446" s="32" t="e">
        <f t="shared" si="19"/>
        <v>#REF!</v>
      </c>
      <c r="K446" s="12" t="e">
        <f>'[4]#REF'!K446</f>
        <v>#REF!</v>
      </c>
      <c r="L446" s="12" t="e">
        <f>'[4]#REF'!L446</f>
        <v>#REF!</v>
      </c>
      <c r="M446" s="31" t="e">
        <f>'[4]#REF'!N446</f>
        <v>#REF!</v>
      </c>
      <c r="N446" s="32" t="e">
        <f t="shared" si="20"/>
        <v>#REF!</v>
      </c>
    </row>
    <row r="447" ht="15.75" spans="1:14">
      <c r="A447" s="12" t="e">
        <f>'[4]#REF'!A447</f>
        <v>#REF!</v>
      </c>
      <c r="B447" s="12" t="e">
        <f>'[4]#REF'!B447</f>
        <v>#REF!</v>
      </c>
      <c r="C447" s="31" t="e">
        <f>'[4]#REF'!D447</f>
        <v>#REF!</v>
      </c>
      <c r="D447" s="32" t="e">
        <f t="shared" si="18"/>
        <v>#REF!</v>
      </c>
      <c r="F447" s="12" t="e">
        <f>'[4]#REF'!F447</f>
        <v>#REF!</v>
      </c>
      <c r="G447" s="12" t="e">
        <f>'[4]#REF'!G447</f>
        <v>#REF!</v>
      </c>
      <c r="H447" s="31" t="e">
        <f>'[4]#REF'!I447</f>
        <v>#REF!</v>
      </c>
      <c r="I447" s="32" t="e">
        <f t="shared" si="19"/>
        <v>#REF!</v>
      </c>
      <c r="K447" s="12" t="e">
        <f>'[4]#REF'!K447</f>
        <v>#REF!</v>
      </c>
      <c r="L447" s="12" t="e">
        <f>'[4]#REF'!L447</f>
        <v>#REF!</v>
      </c>
      <c r="M447" s="31" t="e">
        <f>'[4]#REF'!N447</f>
        <v>#REF!</v>
      </c>
      <c r="N447" s="32" t="e">
        <f t="shared" si="20"/>
        <v>#REF!</v>
      </c>
    </row>
    <row r="448" ht="15.75" spans="1:14">
      <c r="A448" s="12" t="e">
        <f>'[4]#REF'!A448</f>
        <v>#REF!</v>
      </c>
      <c r="B448" s="12" t="e">
        <f>'[4]#REF'!B448</f>
        <v>#REF!</v>
      </c>
      <c r="C448" s="31" t="e">
        <f>'[4]#REF'!D448</f>
        <v>#REF!</v>
      </c>
      <c r="D448" s="32" t="e">
        <f t="shared" si="18"/>
        <v>#REF!</v>
      </c>
      <c r="F448" s="12" t="e">
        <f>'[4]#REF'!F448</f>
        <v>#REF!</v>
      </c>
      <c r="G448" s="12" t="e">
        <f>'[4]#REF'!G448</f>
        <v>#REF!</v>
      </c>
      <c r="H448" s="31" t="e">
        <f>'[4]#REF'!I448</f>
        <v>#REF!</v>
      </c>
      <c r="I448" s="32" t="e">
        <f t="shared" si="19"/>
        <v>#REF!</v>
      </c>
      <c r="K448" s="12" t="e">
        <f>'[4]#REF'!K448</f>
        <v>#REF!</v>
      </c>
      <c r="L448" s="12" t="e">
        <f>'[4]#REF'!L448</f>
        <v>#REF!</v>
      </c>
      <c r="M448" s="31" t="e">
        <f>'[4]#REF'!N448</f>
        <v>#REF!</v>
      </c>
      <c r="N448" s="32" t="e">
        <f t="shared" si="20"/>
        <v>#REF!</v>
      </c>
    </row>
    <row r="449" ht="15.75" spans="1:14">
      <c r="A449" s="12" t="e">
        <f>'[4]#REF'!A449</f>
        <v>#REF!</v>
      </c>
      <c r="B449" s="12" t="e">
        <f>'[4]#REF'!B449</f>
        <v>#REF!</v>
      </c>
      <c r="C449" s="31" t="e">
        <f>'[4]#REF'!D449</f>
        <v>#REF!</v>
      </c>
      <c r="D449" s="32" t="e">
        <f t="shared" si="18"/>
        <v>#REF!</v>
      </c>
      <c r="F449" s="12" t="e">
        <f>'[4]#REF'!F449</f>
        <v>#REF!</v>
      </c>
      <c r="G449" s="12" t="e">
        <f>'[4]#REF'!G449</f>
        <v>#REF!</v>
      </c>
      <c r="H449" s="31" t="e">
        <f>'[4]#REF'!I449</f>
        <v>#REF!</v>
      </c>
      <c r="I449" s="32" t="e">
        <f t="shared" si="19"/>
        <v>#REF!</v>
      </c>
      <c r="K449" s="12" t="e">
        <f>'[4]#REF'!K449</f>
        <v>#REF!</v>
      </c>
      <c r="L449" s="12" t="e">
        <f>'[4]#REF'!L449</f>
        <v>#REF!</v>
      </c>
      <c r="M449" s="31" t="e">
        <f>'[4]#REF'!N449</f>
        <v>#REF!</v>
      </c>
      <c r="N449" s="32" t="e">
        <f t="shared" si="20"/>
        <v>#REF!</v>
      </c>
    </row>
    <row r="450" ht="15.75" spans="1:14">
      <c r="A450" s="12" t="e">
        <f>'[4]#REF'!A450</f>
        <v>#REF!</v>
      </c>
      <c r="B450" s="12" t="e">
        <f>'[4]#REF'!B450</f>
        <v>#REF!</v>
      </c>
      <c r="C450" s="31" t="e">
        <f>'[4]#REF'!D450</f>
        <v>#REF!</v>
      </c>
      <c r="D450" s="32" t="e">
        <f t="shared" si="18"/>
        <v>#REF!</v>
      </c>
      <c r="F450" s="12" t="e">
        <f>'[4]#REF'!F450</f>
        <v>#REF!</v>
      </c>
      <c r="G450" s="12" t="e">
        <f>'[4]#REF'!G450</f>
        <v>#REF!</v>
      </c>
      <c r="H450" s="31" t="e">
        <f>'[4]#REF'!I450</f>
        <v>#REF!</v>
      </c>
      <c r="I450" s="32" t="e">
        <f t="shared" si="19"/>
        <v>#REF!</v>
      </c>
      <c r="K450" s="12" t="e">
        <f>'[4]#REF'!K450</f>
        <v>#REF!</v>
      </c>
      <c r="L450" s="12" t="e">
        <f>'[4]#REF'!L450</f>
        <v>#REF!</v>
      </c>
      <c r="M450" s="31" t="e">
        <f>'[4]#REF'!N450</f>
        <v>#REF!</v>
      </c>
      <c r="N450" s="32" t="e">
        <f t="shared" si="20"/>
        <v>#REF!</v>
      </c>
    </row>
    <row r="451" ht="15.75" spans="1:14">
      <c r="A451" s="12" t="e">
        <f>'[4]#REF'!A451</f>
        <v>#REF!</v>
      </c>
      <c r="B451" s="12" t="e">
        <f>'[4]#REF'!B451</f>
        <v>#REF!</v>
      </c>
      <c r="C451" s="31" t="e">
        <f>'[4]#REF'!D451</f>
        <v>#REF!</v>
      </c>
      <c r="D451" s="32" t="e">
        <f t="shared" si="18"/>
        <v>#REF!</v>
      </c>
      <c r="F451" s="12" t="e">
        <f>'[4]#REF'!F451</f>
        <v>#REF!</v>
      </c>
      <c r="G451" s="12" t="e">
        <f>'[4]#REF'!G451</f>
        <v>#REF!</v>
      </c>
      <c r="H451" s="31" t="e">
        <f>'[4]#REF'!I451</f>
        <v>#REF!</v>
      </c>
      <c r="I451" s="32" t="e">
        <f t="shared" si="19"/>
        <v>#REF!</v>
      </c>
      <c r="K451" s="12" t="e">
        <f>'[4]#REF'!K451</f>
        <v>#REF!</v>
      </c>
      <c r="L451" s="12" t="e">
        <f>'[4]#REF'!L451</f>
        <v>#REF!</v>
      </c>
      <c r="M451" s="31" t="e">
        <f>'[4]#REF'!N451</f>
        <v>#REF!</v>
      </c>
      <c r="N451" s="32" t="e">
        <f t="shared" si="20"/>
        <v>#REF!</v>
      </c>
    </row>
    <row r="452" ht="15.75" spans="1:14">
      <c r="A452" s="12" t="e">
        <f>'[4]#REF'!A452</f>
        <v>#REF!</v>
      </c>
      <c r="B452" s="12" t="e">
        <f>'[4]#REF'!B452</f>
        <v>#REF!</v>
      </c>
      <c r="C452" s="31" t="e">
        <f>'[4]#REF'!D452</f>
        <v>#REF!</v>
      </c>
      <c r="D452" s="32" t="e">
        <f t="shared" si="18"/>
        <v>#REF!</v>
      </c>
      <c r="F452" s="12" t="e">
        <f>'[4]#REF'!F452</f>
        <v>#REF!</v>
      </c>
      <c r="G452" s="12" t="e">
        <f>'[4]#REF'!G452</f>
        <v>#REF!</v>
      </c>
      <c r="H452" s="31" t="e">
        <f>'[4]#REF'!I452</f>
        <v>#REF!</v>
      </c>
      <c r="I452" s="32" t="e">
        <f t="shared" si="19"/>
        <v>#REF!</v>
      </c>
      <c r="K452" s="12" t="e">
        <f>'[4]#REF'!K452</f>
        <v>#REF!</v>
      </c>
      <c r="L452" s="12" t="e">
        <f>'[4]#REF'!L452</f>
        <v>#REF!</v>
      </c>
      <c r="M452" s="31" t="e">
        <f>'[4]#REF'!N452</f>
        <v>#REF!</v>
      </c>
      <c r="N452" s="32" t="e">
        <f t="shared" si="20"/>
        <v>#REF!</v>
      </c>
    </row>
    <row r="453" ht="15.75" spans="1:14">
      <c r="A453" s="12" t="e">
        <f>'[4]#REF'!A453</f>
        <v>#REF!</v>
      </c>
      <c r="B453" s="12" t="e">
        <f>'[4]#REF'!B453</f>
        <v>#REF!</v>
      </c>
      <c r="C453" s="31" t="e">
        <f>'[4]#REF'!D453</f>
        <v>#REF!</v>
      </c>
      <c r="D453" s="32" t="e">
        <f t="shared" si="18"/>
        <v>#REF!</v>
      </c>
      <c r="F453" s="12" t="e">
        <f>'[4]#REF'!F453</f>
        <v>#REF!</v>
      </c>
      <c r="G453" s="12" t="e">
        <f>'[4]#REF'!G453</f>
        <v>#REF!</v>
      </c>
      <c r="H453" s="31" t="e">
        <f>'[4]#REF'!I453</f>
        <v>#REF!</v>
      </c>
      <c r="I453" s="32" t="e">
        <f t="shared" si="19"/>
        <v>#REF!</v>
      </c>
      <c r="K453" s="12" t="e">
        <f>'[4]#REF'!K453</f>
        <v>#REF!</v>
      </c>
      <c r="L453" s="12" t="e">
        <f>'[4]#REF'!L453</f>
        <v>#REF!</v>
      </c>
      <c r="M453" s="31" t="e">
        <f>'[4]#REF'!N453</f>
        <v>#REF!</v>
      </c>
      <c r="N453" s="32" t="e">
        <f t="shared" si="20"/>
        <v>#REF!</v>
      </c>
    </row>
    <row r="454" ht="15.75" spans="1:14">
      <c r="A454" s="12" t="e">
        <f>'[4]#REF'!A454</f>
        <v>#REF!</v>
      </c>
      <c r="B454" s="12" t="e">
        <f>'[4]#REF'!B454</f>
        <v>#REF!</v>
      </c>
      <c r="C454" s="31" t="e">
        <f>'[4]#REF'!D454</f>
        <v>#REF!</v>
      </c>
      <c r="D454" s="32" t="e">
        <f t="shared" ref="D454:D517" si="21">ROUND(C454/$D$4*100,2)</f>
        <v>#REF!</v>
      </c>
      <c r="F454" s="12" t="e">
        <f>'[4]#REF'!F454</f>
        <v>#REF!</v>
      </c>
      <c r="G454" s="12" t="e">
        <f>'[4]#REF'!G454</f>
        <v>#REF!</v>
      </c>
      <c r="H454" s="31" t="e">
        <f>'[4]#REF'!I454</f>
        <v>#REF!</v>
      </c>
      <c r="I454" s="32" t="e">
        <f t="shared" ref="I454:I517" si="22">ROUND(H454/$I$4*100,2)</f>
        <v>#REF!</v>
      </c>
      <c r="K454" s="12" t="e">
        <f>'[4]#REF'!K454</f>
        <v>#REF!</v>
      </c>
      <c r="L454" s="12" t="e">
        <f>'[4]#REF'!L454</f>
        <v>#REF!</v>
      </c>
      <c r="M454" s="31" t="e">
        <f>'[4]#REF'!N454</f>
        <v>#REF!</v>
      </c>
      <c r="N454" s="32" t="e">
        <f t="shared" ref="N454:N517" si="23">ROUND(M454/$N$4*100,2)</f>
        <v>#REF!</v>
      </c>
    </row>
    <row r="455" ht="15.75" spans="1:14">
      <c r="A455" s="12" t="e">
        <f>'[4]#REF'!A455</f>
        <v>#REF!</v>
      </c>
      <c r="B455" s="12" t="e">
        <f>'[4]#REF'!B455</f>
        <v>#REF!</v>
      </c>
      <c r="C455" s="31" t="e">
        <f>'[4]#REF'!D455</f>
        <v>#REF!</v>
      </c>
      <c r="D455" s="32" t="e">
        <f t="shared" si="21"/>
        <v>#REF!</v>
      </c>
      <c r="F455" s="12" t="e">
        <f>'[4]#REF'!F455</f>
        <v>#REF!</v>
      </c>
      <c r="G455" s="12" t="e">
        <f>'[4]#REF'!G455</f>
        <v>#REF!</v>
      </c>
      <c r="H455" s="31" t="e">
        <f>'[4]#REF'!I455</f>
        <v>#REF!</v>
      </c>
      <c r="I455" s="32" t="e">
        <f t="shared" si="22"/>
        <v>#REF!</v>
      </c>
      <c r="K455" s="12" t="e">
        <f>'[4]#REF'!K455</f>
        <v>#REF!</v>
      </c>
      <c r="L455" s="12" t="e">
        <f>'[4]#REF'!L455</f>
        <v>#REF!</v>
      </c>
      <c r="M455" s="31" t="e">
        <f>'[4]#REF'!N455</f>
        <v>#REF!</v>
      </c>
      <c r="N455" s="32" t="e">
        <f t="shared" si="23"/>
        <v>#REF!</v>
      </c>
    </row>
    <row r="456" ht="15.75" spans="1:14">
      <c r="A456" s="12" t="e">
        <f>'[4]#REF'!A456</f>
        <v>#REF!</v>
      </c>
      <c r="B456" s="12" t="e">
        <f>'[4]#REF'!B456</f>
        <v>#REF!</v>
      </c>
      <c r="C456" s="31" t="e">
        <f>'[4]#REF'!D456</f>
        <v>#REF!</v>
      </c>
      <c r="D456" s="32" t="e">
        <f t="shared" si="21"/>
        <v>#REF!</v>
      </c>
      <c r="F456" s="12" t="e">
        <f>'[4]#REF'!F456</f>
        <v>#REF!</v>
      </c>
      <c r="G456" s="12" t="e">
        <f>'[4]#REF'!G456</f>
        <v>#REF!</v>
      </c>
      <c r="H456" s="31" t="e">
        <f>'[4]#REF'!I456</f>
        <v>#REF!</v>
      </c>
      <c r="I456" s="32" t="e">
        <f t="shared" si="22"/>
        <v>#REF!</v>
      </c>
      <c r="K456" s="12" t="e">
        <f>'[4]#REF'!K456</f>
        <v>#REF!</v>
      </c>
      <c r="L456" s="12" t="e">
        <f>'[4]#REF'!L456</f>
        <v>#REF!</v>
      </c>
      <c r="M456" s="31" t="e">
        <f>'[4]#REF'!N456</f>
        <v>#REF!</v>
      </c>
      <c r="N456" s="32" t="e">
        <f t="shared" si="23"/>
        <v>#REF!</v>
      </c>
    </row>
    <row r="457" ht="15.75" spans="1:14">
      <c r="A457" s="12" t="e">
        <f>'[4]#REF'!A457</f>
        <v>#REF!</v>
      </c>
      <c r="B457" s="12" t="e">
        <f>'[4]#REF'!B457</f>
        <v>#REF!</v>
      </c>
      <c r="C457" s="31" t="e">
        <f>'[4]#REF'!D457</f>
        <v>#REF!</v>
      </c>
      <c r="D457" s="32" t="e">
        <f t="shared" si="21"/>
        <v>#REF!</v>
      </c>
      <c r="F457" s="12" t="e">
        <f>'[4]#REF'!F457</f>
        <v>#REF!</v>
      </c>
      <c r="G457" s="12" t="e">
        <f>'[4]#REF'!G457</f>
        <v>#REF!</v>
      </c>
      <c r="H457" s="31" t="e">
        <f>'[4]#REF'!I457</f>
        <v>#REF!</v>
      </c>
      <c r="I457" s="32" t="e">
        <f t="shared" si="22"/>
        <v>#REF!</v>
      </c>
      <c r="K457" s="12" t="e">
        <f>'[4]#REF'!K457</f>
        <v>#REF!</v>
      </c>
      <c r="L457" s="12" t="e">
        <f>'[4]#REF'!L457</f>
        <v>#REF!</v>
      </c>
      <c r="M457" s="31" t="e">
        <f>'[4]#REF'!N457</f>
        <v>#REF!</v>
      </c>
      <c r="N457" s="32" t="e">
        <f t="shared" si="23"/>
        <v>#REF!</v>
      </c>
    </row>
    <row r="458" ht="15.75" spans="1:14">
      <c r="A458" s="12" t="e">
        <f>'[4]#REF'!A458</f>
        <v>#REF!</v>
      </c>
      <c r="B458" s="12" t="e">
        <f>'[4]#REF'!B458</f>
        <v>#REF!</v>
      </c>
      <c r="C458" s="31" t="e">
        <f>'[4]#REF'!D458</f>
        <v>#REF!</v>
      </c>
      <c r="D458" s="32" t="e">
        <f t="shared" si="21"/>
        <v>#REF!</v>
      </c>
      <c r="F458" s="12" t="e">
        <f>'[4]#REF'!F458</f>
        <v>#REF!</v>
      </c>
      <c r="G458" s="12" t="e">
        <f>'[4]#REF'!G458</f>
        <v>#REF!</v>
      </c>
      <c r="H458" s="31" t="e">
        <f>'[4]#REF'!I458</f>
        <v>#REF!</v>
      </c>
      <c r="I458" s="32" t="e">
        <f t="shared" si="22"/>
        <v>#REF!</v>
      </c>
      <c r="K458" s="12" t="e">
        <f>'[4]#REF'!K458</f>
        <v>#REF!</v>
      </c>
      <c r="L458" s="12" t="e">
        <f>'[4]#REF'!L458</f>
        <v>#REF!</v>
      </c>
      <c r="M458" s="31" t="e">
        <f>'[4]#REF'!N458</f>
        <v>#REF!</v>
      </c>
      <c r="N458" s="32" t="e">
        <f t="shared" si="23"/>
        <v>#REF!</v>
      </c>
    </row>
    <row r="459" ht="15.75" spans="1:14">
      <c r="A459" s="12" t="e">
        <f>'[4]#REF'!A459</f>
        <v>#REF!</v>
      </c>
      <c r="B459" s="12" t="e">
        <f>'[4]#REF'!B459</f>
        <v>#REF!</v>
      </c>
      <c r="C459" s="31" t="e">
        <f>'[4]#REF'!D459</f>
        <v>#REF!</v>
      </c>
      <c r="D459" s="32" t="e">
        <f t="shared" si="21"/>
        <v>#REF!</v>
      </c>
      <c r="F459" s="12" t="e">
        <f>'[4]#REF'!F459</f>
        <v>#REF!</v>
      </c>
      <c r="G459" s="12" t="e">
        <f>'[4]#REF'!G459</f>
        <v>#REF!</v>
      </c>
      <c r="H459" s="31" t="e">
        <f>'[4]#REF'!I459</f>
        <v>#REF!</v>
      </c>
      <c r="I459" s="32" t="e">
        <f t="shared" si="22"/>
        <v>#REF!</v>
      </c>
      <c r="K459" s="12" t="e">
        <f>'[4]#REF'!K459</f>
        <v>#REF!</v>
      </c>
      <c r="L459" s="12" t="e">
        <f>'[4]#REF'!L459</f>
        <v>#REF!</v>
      </c>
      <c r="M459" s="31" t="e">
        <f>'[4]#REF'!N459</f>
        <v>#REF!</v>
      </c>
      <c r="N459" s="32" t="e">
        <f t="shared" si="23"/>
        <v>#REF!</v>
      </c>
    </row>
    <row r="460" ht="15.75" spans="1:14">
      <c r="A460" s="12" t="e">
        <f>'[4]#REF'!A460</f>
        <v>#REF!</v>
      </c>
      <c r="B460" s="12" t="e">
        <f>'[4]#REF'!B460</f>
        <v>#REF!</v>
      </c>
      <c r="C460" s="31" t="e">
        <f>'[4]#REF'!D460</f>
        <v>#REF!</v>
      </c>
      <c r="D460" s="32" t="e">
        <f t="shared" si="21"/>
        <v>#REF!</v>
      </c>
      <c r="F460" s="12" t="e">
        <f>'[4]#REF'!F460</f>
        <v>#REF!</v>
      </c>
      <c r="G460" s="12" t="e">
        <f>'[4]#REF'!G460</f>
        <v>#REF!</v>
      </c>
      <c r="H460" s="31" t="e">
        <f>'[4]#REF'!I460</f>
        <v>#REF!</v>
      </c>
      <c r="I460" s="32" t="e">
        <f t="shared" si="22"/>
        <v>#REF!</v>
      </c>
      <c r="K460" s="12" t="e">
        <f>'[4]#REF'!K460</f>
        <v>#REF!</v>
      </c>
      <c r="L460" s="12" t="e">
        <f>'[4]#REF'!L460</f>
        <v>#REF!</v>
      </c>
      <c r="M460" s="31" t="e">
        <f>'[4]#REF'!N460</f>
        <v>#REF!</v>
      </c>
      <c r="N460" s="32" t="e">
        <f t="shared" si="23"/>
        <v>#REF!</v>
      </c>
    </row>
    <row r="461" ht="15.75" spans="1:14">
      <c r="A461" s="12" t="e">
        <f>'[4]#REF'!A461</f>
        <v>#REF!</v>
      </c>
      <c r="B461" s="12" t="e">
        <f>'[4]#REF'!B461</f>
        <v>#REF!</v>
      </c>
      <c r="C461" s="31" t="e">
        <f>'[4]#REF'!D461</f>
        <v>#REF!</v>
      </c>
      <c r="D461" s="32" t="e">
        <f t="shared" si="21"/>
        <v>#REF!</v>
      </c>
      <c r="F461" s="12" t="e">
        <f>'[4]#REF'!F461</f>
        <v>#REF!</v>
      </c>
      <c r="G461" s="12" t="e">
        <f>'[4]#REF'!G461</f>
        <v>#REF!</v>
      </c>
      <c r="H461" s="31" t="e">
        <f>'[4]#REF'!I461</f>
        <v>#REF!</v>
      </c>
      <c r="I461" s="32" t="e">
        <f t="shared" si="22"/>
        <v>#REF!</v>
      </c>
      <c r="K461" s="12" t="e">
        <f>'[4]#REF'!K461</f>
        <v>#REF!</v>
      </c>
      <c r="L461" s="12" t="e">
        <f>'[4]#REF'!L461</f>
        <v>#REF!</v>
      </c>
      <c r="M461" s="31" t="e">
        <f>'[4]#REF'!N461</f>
        <v>#REF!</v>
      </c>
      <c r="N461" s="32" t="e">
        <f t="shared" si="23"/>
        <v>#REF!</v>
      </c>
    </row>
    <row r="462" ht="15.75" spans="1:14">
      <c r="A462" s="12" t="e">
        <f>'[4]#REF'!A462</f>
        <v>#REF!</v>
      </c>
      <c r="B462" s="12" t="e">
        <f>'[4]#REF'!B462</f>
        <v>#REF!</v>
      </c>
      <c r="C462" s="31" t="e">
        <f>'[4]#REF'!D462</f>
        <v>#REF!</v>
      </c>
      <c r="D462" s="32" t="e">
        <f t="shared" si="21"/>
        <v>#REF!</v>
      </c>
      <c r="F462" s="12" t="e">
        <f>'[4]#REF'!F462</f>
        <v>#REF!</v>
      </c>
      <c r="G462" s="12" t="e">
        <f>'[4]#REF'!G462</f>
        <v>#REF!</v>
      </c>
      <c r="H462" s="31" t="e">
        <f>'[4]#REF'!I462</f>
        <v>#REF!</v>
      </c>
      <c r="I462" s="32" t="e">
        <f t="shared" si="22"/>
        <v>#REF!</v>
      </c>
      <c r="K462" s="12" t="e">
        <f>'[4]#REF'!K462</f>
        <v>#REF!</v>
      </c>
      <c r="L462" s="12" t="e">
        <f>'[4]#REF'!L462</f>
        <v>#REF!</v>
      </c>
      <c r="M462" s="31" t="e">
        <f>'[4]#REF'!N462</f>
        <v>#REF!</v>
      </c>
      <c r="N462" s="32" t="e">
        <f t="shared" si="23"/>
        <v>#REF!</v>
      </c>
    </row>
    <row r="463" ht="15.75" spans="1:14">
      <c r="A463" s="12" t="e">
        <f>'[4]#REF'!A463</f>
        <v>#REF!</v>
      </c>
      <c r="B463" s="12" t="e">
        <f>'[4]#REF'!B463</f>
        <v>#REF!</v>
      </c>
      <c r="C463" s="31" t="e">
        <f>'[4]#REF'!D463</f>
        <v>#REF!</v>
      </c>
      <c r="D463" s="32" t="e">
        <f t="shared" si="21"/>
        <v>#REF!</v>
      </c>
      <c r="F463" s="12" t="e">
        <f>'[4]#REF'!F463</f>
        <v>#REF!</v>
      </c>
      <c r="G463" s="12" t="e">
        <f>'[4]#REF'!G463</f>
        <v>#REF!</v>
      </c>
      <c r="H463" s="31" t="e">
        <f>'[4]#REF'!I463</f>
        <v>#REF!</v>
      </c>
      <c r="I463" s="32" t="e">
        <f t="shared" si="22"/>
        <v>#REF!</v>
      </c>
      <c r="K463" s="12" t="e">
        <f>'[4]#REF'!K463</f>
        <v>#REF!</v>
      </c>
      <c r="L463" s="12" t="e">
        <f>'[4]#REF'!L463</f>
        <v>#REF!</v>
      </c>
      <c r="M463" s="31" t="e">
        <f>'[4]#REF'!N463</f>
        <v>#REF!</v>
      </c>
      <c r="N463" s="32" t="e">
        <f t="shared" si="23"/>
        <v>#REF!</v>
      </c>
    </row>
    <row r="464" ht="15.75" spans="1:14">
      <c r="A464" s="12" t="e">
        <f>'[4]#REF'!A464</f>
        <v>#REF!</v>
      </c>
      <c r="B464" s="12" t="e">
        <f>'[4]#REF'!B464</f>
        <v>#REF!</v>
      </c>
      <c r="C464" s="31" t="e">
        <f>'[4]#REF'!D464</f>
        <v>#REF!</v>
      </c>
      <c r="D464" s="32" t="e">
        <f t="shared" si="21"/>
        <v>#REF!</v>
      </c>
      <c r="F464" s="12" t="e">
        <f>'[4]#REF'!F464</f>
        <v>#REF!</v>
      </c>
      <c r="G464" s="12" t="e">
        <f>'[4]#REF'!G464</f>
        <v>#REF!</v>
      </c>
      <c r="H464" s="31" t="e">
        <f>'[4]#REF'!I464</f>
        <v>#REF!</v>
      </c>
      <c r="I464" s="32" t="e">
        <f t="shared" si="22"/>
        <v>#REF!</v>
      </c>
      <c r="K464" s="12" t="e">
        <f>'[4]#REF'!K464</f>
        <v>#REF!</v>
      </c>
      <c r="L464" s="12" t="e">
        <f>'[4]#REF'!L464</f>
        <v>#REF!</v>
      </c>
      <c r="M464" s="31" t="e">
        <f>'[4]#REF'!N464</f>
        <v>#REF!</v>
      </c>
      <c r="N464" s="32" t="e">
        <f t="shared" si="23"/>
        <v>#REF!</v>
      </c>
    </row>
    <row r="465" ht="15.75" spans="1:14">
      <c r="A465" s="12" t="e">
        <f>'[4]#REF'!A465</f>
        <v>#REF!</v>
      </c>
      <c r="B465" s="12" t="e">
        <f>'[4]#REF'!B465</f>
        <v>#REF!</v>
      </c>
      <c r="C465" s="31" t="e">
        <f>'[4]#REF'!D465</f>
        <v>#REF!</v>
      </c>
      <c r="D465" s="32" t="e">
        <f t="shared" si="21"/>
        <v>#REF!</v>
      </c>
      <c r="F465" s="12" t="e">
        <f>'[4]#REF'!F465</f>
        <v>#REF!</v>
      </c>
      <c r="G465" s="12" t="e">
        <f>'[4]#REF'!G465</f>
        <v>#REF!</v>
      </c>
      <c r="H465" s="31" t="e">
        <f>'[4]#REF'!I465</f>
        <v>#REF!</v>
      </c>
      <c r="I465" s="32" t="e">
        <f t="shared" si="22"/>
        <v>#REF!</v>
      </c>
      <c r="K465" s="12" t="e">
        <f>'[4]#REF'!K465</f>
        <v>#REF!</v>
      </c>
      <c r="L465" s="12" t="e">
        <f>'[4]#REF'!L465</f>
        <v>#REF!</v>
      </c>
      <c r="M465" s="31" t="e">
        <f>'[4]#REF'!N465</f>
        <v>#REF!</v>
      </c>
      <c r="N465" s="32" t="e">
        <f t="shared" si="23"/>
        <v>#REF!</v>
      </c>
    </row>
    <row r="466" ht="15.75" spans="1:14">
      <c r="A466" s="12" t="e">
        <f>'[4]#REF'!A466</f>
        <v>#REF!</v>
      </c>
      <c r="B466" s="12" t="e">
        <f>'[4]#REF'!B466</f>
        <v>#REF!</v>
      </c>
      <c r="C466" s="31" t="e">
        <f>'[4]#REF'!D466</f>
        <v>#REF!</v>
      </c>
      <c r="D466" s="32" t="e">
        <f t="shared" si="21"/>
        <v>#REF!</v>
      </c>
      <c r="F466" s="12" t="e">
        <f>'[4]#REF'!F466</f>
        <v>#REF!</v>
      </c>
      <c r="G466" s="12" t="e">
        <f>'[4]#REF'!G466</f>
        <v>#REF!</v>
      </c>
      <c r="H466" s="31" t="e">
        <f>'[4]#REF'!I466</f>
        <v>#REF!</v>
      </c>
      <c r="I466" s="32" t="e">
        <f t="shared" si="22"/>
        <v>#REF!</v>
      </c>
      <c r="K466" s="12" t="e">
        <f>'[4]#REF'!K466</f>
        <v>#REF!</v>
      </c>
      <c r="L466" s="12" t="e">
        <f>'[4]#REF'!L466</f>
        <v>#REF!</v>
      </c>
      <c r="M466" s="31" t="e">
        <f>'[4]#REF'!N466</f>
        <v>#REF!</v>
      </c>
      <c r="N466" s="32" t="e">
        <f t="shared" si="23"/>
        <v>#REF!</v>
      </c>
    </row>
    <row r="467" ht="15.75" spans="1:14">
      <c r="A467" s="12" t="e">
        <f>'[4]#REF'!A467</f>
        <v>#REF!</v>
      </c>
      <c r="B467" s="12" t="e">
        <f>'[4]#REF'!B467</f>
        <v>#REF!</v>
      </c>
      <c r="C467" s="31" t="e">
        <f>'[4]#REF'!D467</f>
        <v>#REF!</v>
      </c>
      <c r="D467" s="32" t="e">
        <f t="shared" si="21"/>
        <v>#REF!</v>
      </c>
      <c r="F467" s="12" t="e">
        <f>'[4]#REF'!F467</f>
        <v>#REF!</v>
      </c>
      <c r="G467" s="12" t="e">
        <f>'[4]#REF'!G467</f>
        <v>#REF!</v>
      </c>
      <c r="H467" s="31" t="e">
        <f>'[4]#REF'!I467</f>
        <v>#REF!</v>
      </c>
      <c r="I467" s="32" t="e">
        <f t="shared" si="22"/>
        <v>#REF!</v>
      </c>
      <c r="K467" s="12" t="e">
        <f>'[4]#REF'!K467</f>
        <v>#REF!</v>
      </c>
      <c r="L467" s="12" t="e">
        <f>'[4]#REF'!L467</f>
        <v>#REF!</v>
      </c>
      <c r="M467" s="31" t="e">
        <f>'[4]#REF'!N467</f>
        <v>#REF!</v>
      </c>
      <c r="N467" s="32" t="e">
        <f t="shared" si="23"/>
        <v>#REF!</v>
      </c>
    </row>
    <row r="468" ht="15.75" spans="1:14">
      <c r="A468" s="12" t="e">
        <f>'[4]#REF'!A468</f>
        <v>#REF!</v>
      </c>
      <c r="B468" s="12" t="e">
        <f>'[4]#REF'!B468</f>
        <v>#REF!</v>
      </c>
      <c r="C468" s="31" t="e">
        <f>'[4]#REF'!D468</f>
        <v>#REF!</v>
      </c>
      <c r="D468" s="32" t="e">
        <f t="shared" si="21"/>
        <v>#REF!</v>
      </c>
      <c r="F468" s="12" t="e">
        <f>'[4]#REF'!F468</f>
        <v>#REF!</v>
      </c>
      <c r="G468" s="12" t="e">
        <f>'[4]#REF'!G468</f>
        <v>#REF!</v>
      </c>
      <c r="H468" s="31" t="e">
        <f>'[4]#REF'!I468</f>
        <v>#REF!</v>
      </c>
      <c r="I468" s="32" t="e">
        <f t="shared" si="22"/>
        <v>#REF!</v>
      </c>
      <c r="K468" s="12" t="e">
        <f>'[4]#REF'!K468</f>
        <v>#REF!</v>
      </c>
      <c r="L468" s="12" t="e">
        <f>'[4]#REF'!L468</f>
        <v>#REF!</v>
      </c>
      <c r="M468" s="31" t="e">
        <f>'[4]#REF'!N468</f>
        <v>#REF!</v>
      </c>
      <c r="N468" s="32" t="e">
        <f t="shared" si="23"/>
        <v>#REF!</v>
      </c>
    </row>
    <row r="469" ht="15.75" spans="1:14">
      <c r="A469" s="12" t="e">
        <f>'[4]#REF'!A469</f>
        <v>#REF!</v>
      </c>
      <c r="B469" s="12" t="e">
        <f>'[4]#REF'!B469</f>
        <v>#REF!</v>
      </c>
      <c r="C469" s="31" t="e">
        <f>'[4]#REF'!D469</f>
        <v>#REF!</v>
      </c>
      <c r="D469" s="32" t="e">
        <f t="shared" si="21"/>
        <v>#REF!</v>
      </c>
      <c r="F469" s="12" t="e">
        <f>'[4]#REF'!F469</f>
        <v>#REF!</v>
      </c>
      <c r="G469" s="12" t="e">
        <f>'[4]#REF'!G469</f>
        <v>#REF!</v>
      </c>
      <c r="H469" s="31" t="e">
        <f>'[4]#REF'!I469</f>
        <v>#REF!</v>
      </c>
      <c r="I469" s="32" t="e">
        <f t="shared" si="22"/>
        <v>#REF!</v>
      </c>
      <c r="K469" s="12" t="e">
        <f>'[4]#REF'!K469</f>
        <v>#REF!</v>
      </c>
      <c r="L469" s="12" t="e">
        <f>'[4]#REF'!L469</f>
        <v>#REF!</v>
      </c>
      <c r="M469" s="31" t="e">
        <f>'[4]#REF'!N469</f>
        <v>#REF!</v>
      </c>
      <c r="N469" s="32" t="e">
        <f t="shared" si="23"/>
        <v>#REF!</v>
      </c>
    </row>
    <row r="470" ht="15.75" spans="1:14">
      <c r="A470" s="12" t="e">
        <f>'[4]#REF'!A470</f>
        <v>#REF!</v>
      </c>
      <c r="B470" s="12" t="e">
        <f>'[4]#REF'!B470</f>
        <v>#REF!</v>
      </c>
      <c r="C470" s="31" t="e">
        <f>'[4]#REF'!D470</f>
        <v>#REF!</v>
      </c>
      <c r="D470" s="32" t="e">
        <f t="shared" si="21"/>
        <v>#REF!</v>
      </c>
      <c r="F470" s="12" t="e">
        <f>'[4]#REF'!F470</f>
        <v>#REF!</v>
      </c>
      <c r="G470" s="12" t="e">
        <f>'[4]#REF'!G470</f>
        <v>#REF!</v>
      </c>
      <c r="H470" s="31" t="e">
        <f>'[4]#REF'!I470</f>
        <v>#REF!</v>
      </c>
      <c r="I470" s="32" t="e">
        <f t="shared" si="22"/>
        <v>#REF!</v>
      </c>
      <c r="K470" s="12" t="e">
        <f>'[4]#REF'!K470</f>
        <v>#REF!</v>
      </c>
      <c r="L470" s="12" t="e">
        <f>'[4]#REF'!L470</f>
        <v>#REF!</v>
      </c>
      <c r="M470" s="31" t="e">
        <f>'[4]#REF'!N470</f>
        <v>#REF!</v>
      </c>
      <c r="N470" s="32" t="e">
        <f t="shared" si="23"/>
        <v>#REF!</v>
      </c>
    </row>
    <row r="471" ht="15.75" spans="1:14">
      <c r="A471" s="12" t="e">
        <f>'[4]#REF'!A471</f>
        <v>#REF!</v>
      </c>
      <c r="B471" s="12" t="e">
        <f>'[4]#REF'!B471</f>
        <v>#REF!</v>
      </c>
      <c r="C471" s="31" t="e">
        <f>'[4]#REF'!D471</f>
        <v>#REF!</v>
      </c>
      <c r="D471" s="32" t="e">
        <f t="shared" si="21"/>
        <v>#REF!</v>
      </c>
      <c r="F471" s="12" t="e">
        <f>'[4]#REF'!F471</f>
        <v>#REF!</v>
      </c>
      <c r="G471" s="12" t="e">
        <f>'[4]#REF'!G471</f>
        <v>#REF!</v>
      </c>
      <c r="H471" s="31" t="e">
        <f>'[4]#REF'!I471</f>
        <v>#REF!</v>
      </c>
      <c r="I471" s="32" t="e">
        <f t="shared" si="22"/>
        <v>#REF!</v>
      </c>
      <c r="K471" s="12" t="e">
        <f>'[4]#REF'!K471</f>
        <v>#REF!</v>
      </c>
      <c r="L471" s="12" t="e">
        <f>'[4]#REF'!L471</f>
        <v>#REF!</v>
      </c>
      <c r="M471" s="31" t="e">
        <f>'[4]#REF'!N471</f>
        <v>#REF!</v>
      </c>
      <c r="N471" s="32" t="e">
        <f t="shared" si="23"/>
        <v>#REF!</v>
      </c>
    </row>
    <row r="472" ht="15.75" spans="1:14">
      <c r="A472" s="12" t="e">
        <f>'[4]#REF'!A472</f>
        <v>#REF!</v>
      </c>
      <c r="B472" s="12" t="e">
        <f>'[4]#REF'!B472</f>
        <v>#REF!</v>
      </c>
      <c r="C472" s="31" t="e">
        <f>'[4]#REF'!D472</f>
        <v>#REF!</v>
      </c>
      <c r="D472" s="32" t="e">
        <f t="shared" si="21"/>
        <v>#REF!</v>
      </c>
      <c r="F472" s="12" t="e">
        <f>'[4]#REF'!F472</f>
        <v>#REF!</v>
      </c>
      <c r="G472" s="12" t="e">
        <f>'[4]#REF'!G472</f>
        <v>#REF!</v>
      </c>
      <c r="H472" s="31" t="e">
        <f>'[4]#REF'!I472</f>
        <v>#REF!</v>
      </c>
      <c r="I472" s="32" t="e">
        <f t="shared" si="22"/>
        <v>#REF!</v>
      </c>
      <c r="K472" s="12" t="e">
        <f>'[4]#REF'!K472</f>
        <v>#REF!</v>
      </c>
      <c r="L472" s="12" t="e">
        <f>'[4]#REF'!L472</f>
        <v>#REF!</v>
      </c>
      <c r="M472" s="31" t="e">
        <f>'[4]#REF'!N472</f>
        <v>#REF!</v>
      </c>
      <c r="N472" s="32" t="e">
        <f t="shared" si="23"/>
        <v>#REF!</v>
      </c>
    </row>
    <row r="473" ht="15.75" spans="1:14">
      <c r="A473" s="12" t="e">
        <f>'[4]#REF'!A473</f>
        <v>#REF!</v>
      </c>
      <c r="B473" s="12" t="e">
        <f>'[4]#REF'!B473</f>
        <v>#REF!</v>
      </c>
      <c r="C473" s="31" t="e">
        <f>'[4]#REF'!D473</f>
        <v>#REF!</v>
      </c>
      <c r="D473" s="32" t="e">
        <f t="shared" si="21"/>
        <v>#REF!</v>
      </c>
      <c r="F473" s="12" t="e">
        <f>'[4]#REF'!F473</f>
        <v>#REF!</v>
      </c>
      <c r="G473" s="12" t="e">
        <f>'[4]#REF'!G473</f>
        <v>#REF!</v>
      </c>
      <c r="H473" s="31" t="e">
        <f>'[4]#REF'!I473</f>
        <v>#REF!</v>
      </c>
      <c r="I473" s="32" t="e">
        <f t="shared" si="22"/>
        <v>#REF!</v>
      </c>
      <c r="K473" s="12" t="e">
        <f>'[4]#REF'!K473</f>
        <v>#REF!</v>
      </c>
      <c r="L473" s="12" t="e">
        <f>'[4]#REF'!L473</f>
        <v>#REF!</v>
      </c>
      <c r="M473" s="31" t="e">
        <f>'[4]#REF'!N473</f>
        <v>#REF!</v>
      </c>
      <c r="N473" s="32" t="e">
        <f t="shared" si="23"/>
        <v>#REF!</v>
      </c>
    </row>
    <row r="474" ht="15.75" spans="1:14">
      <c r="A474" s="12" t="e">
        <f>'[4]#REF'!A474</f>
        <v>#REF!</v>
      </c>
      <c r="B474" s="12" t="e">
        <f>'[4]#REF'!B474</f>
        <v>#REF!</v>
      </c>
      <c r="C474" s="31" t="e">
        <f>'[4]#REF'!D474</f>
        <v>#REF!</v>
      </c>
      <c r="D474" s="32" t="e">
        <f t="shared" si="21"/>
        <v>#REF!</v>
      </c>
      <c r="F474" s="12" t="e">
        <f>'[4]#REF'!F474</f>
        <v>#REF!</v>
      </c>
      <c r="G474" s="12" t="e">
        <f>'[4]#REF'!G474</f>
        <v>#REF!</v>
      </c>
      <c r="H474" s="31" t="e">
        <f>'[4]#REF'!I474</f>
        <v>#REF!</v>
      </c>
      <c r="I474" s="32" t="e">
        <f t="shared" si="22"/>
        <v>#REF!</v>
      </c>
      <c r="K474" s="12" t="e">
        <f>'[4]#REF'!K474</f>
        <v>#REF!</v>
      </c>
      <c r="L474" s="12" t="e">
        <f>'[4]#REF'!L474</f>
        <v>#REF!</v>
      </c>
      <c r="M474" s="31" t="e">
        <f>'[4]#REF'!N474</f>
        <v>#REF!</v>
      </c>
      <c r="N474" s="32" t="e">
        <f t="shared" si="23"/>
        <v>#REF!</v>
      </c>
    </row>
    <row r="475" ht="15.75" spans="1:14">
      <c r="A475" s="12" t="e">
        <f>'[4]#REF'!A475</f>
        <v>#REF!</v>
      </c>
      <c r="B475" s="12" t="e">
        <f>'[4]#REF'!B475</f>
        <v>#REF!</v>
      </c>
      <c r="C475" s="31" t="e">
        <f>'[4]#REF'!D475</f>
        <v>#REF!</v>
      </c>
      <c r="D475" s="32" t="e">
        <f t="shared" si="21"/>
        <v>#REF!</v>
      </c>
      <c r="F475" s="12" t="e">
        <f>'[4]#REF'!F475</f>
        <v>#REF!</v>
      </c>
      <c r="G475" s="12" t="e">
        <f>'[4]#REF'!G475</f>
        <v>#REF!</v>
      </c>
      <c r="H475" s="31" t="e">
        <f>'[4]#REF'!I475</f>
        <v>#REF!</v>
      </c>
      <c r="I475" s="32" t="e">
        <f t="shared" si="22"/>
        <v>#REF!</v>
      </c>
      <c r="K475" s="12" t="e">
        <f>'[4]#REF'!K475</f>
        <v>#REF!</v>
      </c>
      <c r="L475" s="12" t="e">
        <f>'[4]#REF'!L475</f>
        <v>#REF!</v>
      </c>
      <c r="M475" s="31" t="e">
        <f>'[4]#REF'!N475</f>
        <v>#REF!</v>
      </c>
      <c r="N475" s="32" t="e">
        <f t="shared" si="23"/>
        <v>#REF!</v>
      </c>
    </row>
    <row r="476" ht="15.75" spans="1:14">
      <c r="A476" s="12" t="e">
        <f>'[4]#REF'!A476</f>
        <v>#REF!</v>
      </c>
      <c r="B476" s="12" t="e">
        <f>'[4]#REF'!B476</f>
        <v>#REF!</v>
      </c>
      <c r="C476" s="31" t="e">
        <f>'[4]#REF'!D476</f>
        <v>#REF!</v>
      </c>
      <c r="D476" s="32" t="e">
        <f t="shared" si="21"/>
        <v>#REF!</v>
      </c>
      <c r="F476" s="12" t="e">
        <f>'[4]#REF'!F476</f>
        <v>#REF!</v>
      </c>
      <c r="G476" s="12" t="e">
        <f>'[4]#REF'!G476</f>
        <v>#REF!</v>
      </c>
      <c r="H476" s="31" t="e">
        <f>'[4]#REF'!I476</f>
        <v>#REF!</v>
      </c>
      <c r="I476" s="32" t="e">
        <f t="shared" si="22"/>
        <v>#REF!</v>
      </c>
      <c r="K476" s="12" t="e">
        <f>'[4]#REF'!K476</f>
        <v>#REF!</v>
      </c>
      <c r="L476" s="12" t="e">
        <f>'[4]#REF'!L476</f>
        <v>#REF!</v>
      </c>
      <c r="M476" s="31" t="e">
        <f>'[4]#REF'!N476</f>
        <v>#REF!</v>
      </c>
      <c r="N476" s="32" t="e">
        <f t="shared" si="23"/>
        <v>#REF!</v>
      </c>
    </row>
    <row r="477" ht="15.75" spans="1:14">
      <c r="A477" s="12" t="e">
        <f>'[4]#REF'!A477</f>
        <v>#REF!</v>
      </c>
      <c r="B477" s="12" t="e">
        <f>'[4]#REF'!B477</f>
        <v>#REF!</v>
      </c>
      <c r="C477" s="31" t="e">
        <f>'[4]#REF'!D477</f>
        <v>#REF!</v>
      </c>
      <c r="D477" s="32" t="e">
        <f t="shared" si="21"/>
        <v>#REF!</v>
      </c>
      <c r="F477" s="12" t="e">
        <f>'[4]#REF'!F477</f>
        <v>#REF!</v>
      </c>
      <c r="G477" s="12" t="e">
        <f>'[4]#REF'!G477</f>
        <v>#REF!</v>
      </c>
      <c r="H477" s="31" t="e">
        <f>'[4]#REF'!I477</f>
        <v>#REF!</v>
      </c>
      <c r="I477" s="32" t="e">
        <f t="shared" si="22"/>
        <v>#REF!</v>
      </c>
      <c r="K477" s="12" t="e">
        <f>'[4]#REF'!K477</f>
        <v>#REF!</v>
      </c>
      <c r="L477" s="12" t="e">
        <f>'[4]#REF'!L477</f>
        <v>#REF!</v>
      </c>
      <c r="M477" s="31" t="e">
        <f>'[4]#REF'!N477</f>
        <v>#REF!</v>
      </c>
      <c r="N477" s="32" t="e">
        <f t="shared" si="23"/>
        <v>#REF!</v>
      </c>
    </row>
    <row r="478" ht="15.75" spans="1:14">
      <c r="A478" s="12" t="e">
        <f>'[4]#REF'!A478</f>
        <v>#REF!</v>
      </c>
      <c r="B478" s="12" t="e">
        <f>'[4]#REF'!B478</f>
        <v>#REF!</v>
      </c>
      <c r="C478" s="31" t="e">
        <f>'[4]#REF'!D478</f>
        <v>#REF!</v>
      </c>
      <c r="D478" s="32" t="e">
        <f t="shared" si="21"/>
        <v>#REF!</v>
      </c>
      <c r="F478" s="12" t="e">
        <f>'[4]#REF'!F478</f>
        <v>#REF!</v>
      </c>
      <c r="G478" s="12" t="e">
        <f>'[4]#REF'!G478</f>
        <v>#REF!</v>
      </c>
      <c r="H478" s="31" t="e">
        <f>'[4]#REF'!I478</f>
        <v>#REF!</v>
      </c>
      <c r="I478" s="32" t="e">
        <f t="shared" si="22"/>
        <v>#REF!</v>
      </c>
      <c r="K478" s="12" t="e">
        <f>'[4]#REF'!K478</f>
        <v>#REF!</v>
      </c>
      <c r="L478" s="12" t="e">
        <f>'[4]#REF'!L478</f>
        <v>#REF!</v>
      </c>
      <c r="M478" s="31" t="e">
        <f>'[4]#REF'!N478</f>
        <v>#REF!</v>
      </c>
      <c r="N478" s="32" t="e">
        <f t="shared" si="23"/>
        <v>#REF!</v>
      </c>
    </row>
    <row r="479" ht="15.75" spans="1:14">
      <c r="A479" s="12" t="e">
        <f>'[4]#REF'!A479</f>
        <v>#REF!</v>
      </c>
      <c r="B479" s="12" t="e">
        <f>'[4]#REF'!B479</f>
        <v>#REF!</v>
      </c>
      <c r="C479" s="31" t="e">
        <f>'[4]#REF'!D479</f>
        <v>#REF!</v>
      </c>
      <c r="D479" s="32" t="e">
        <f t="shared" si="21"/>
        <v>#REF!</v>
      </c>
      <c r="F479" s="12" t="e">
        <f>'[4]#REF'!F479</f>
        <v>#REF!</v>
      </c>
      <c r="G479" s="12" t="e">
        <f>'[4]#REF'!G479</f>
        <v>#REF!</v>
      </c>
      <c r="H479" s="31" t="e">
        <f>'[4]#REF'!I479</f>
        <v>#REF!</v>
      </c>
      <c r="I479" s="32" t="e">
        <f t="shared" si="22"/>
        <v>#REF!</v>
      </c>
      <c r="K479" s="12" t="e">
        <f>'[4]#REF'!K479</f>
        <v>#REF!</v>
      </c>
      <c r="L479" s="12" t="e">
        <f>'[4]#REF'!L479</f>
        <v>#REF!</v>
      </c>
      <c r="M479" s="31" t="e">
        <f>'[4]#REF'!N479</f>
        <v>#REF!</v>
      </c>
      <c r="N479" s="32" t="e">
        <f t="shared" si="23"/>
        <v>#REF!</v>
      </c>
    </row>
    <row r="480" ht="15.75" spans="1:14">
      <c r="A480" s="12" t="e">
        <f>'[4]#REF'!A480</f>
        <v>#REF!</v>
      </c>
      <c r="B480" s="12" t="e">
        <f>'[4]#REF'!B480</f>
        <v>#REF!</v>
      </c>
      <c r="C480" s="31" t="e">
        <f>'[4]#REF'!D480</f>
        <v>#REF!</v>
      </c>
      <c r="D480" s="32" t="e">
        <f t="shared" si="21"/>
        <v>#REF!</v>
      </c>
      <c r="F480" s="12" t="e">
        <f>'[4]#REF'!F480</f>
        <v>#REF!</v>
      </c>
      <c r="G480" s="12" t="e">
        <f>'[4]#REF'!G480</f>
        <v>#REF!</v>
      </c>
      <c r="H480" s="31" t="e">
        <f>'[4]#REF'!I480</f>
        <v>#REF!</v>
      </c>
      <c r="I480" s="32" t="e">
        <f t="shared" si="22"/>
        <v>#REF!</v>
      </c>
      <c r="K480" s="12" t="e">
        <f>'[4]#REF'!K480</f>
        <v>#REF!</v>
      </c>
      <c r="L480" s="12" t="e">
        <f>'[4]#REF'!L480</f>
        <v>#REF!</v>
      </c>
      <c r="M480" s="31" t="e">
        <f>'[4]#REF'!N480</f>
        <v>#REF!</v>
      </c>
      <c r="N480" s="32" t="e">
        <f t="shared" si="23"/>
        <v>#REF!</v>
      </c>
    </row>
    <row r="481" ht="15.75" spans="1:14">
      <c r="A481" s="12" t="e">
        <f>'[4]#REF'!A481</f>
        <v>#REF!</v>
      </c>
      <c r="B481" s="12" t="e">
        <f>'[4]#REF'!B481</f>
        <v>#REF!</v>
      </c>
      <c r="C481" s="31" t="e">
        <f>'[4]#REF'!D481</f>
        <v>#REF!</v>
      </c>
      <c r="D481" s="32" t="e">
        <f t="shared" si="21"/>
        <v>#REF!</v>
      </c>
      <c r="F481" s="12" t="e">
        <f>'[4]#REF'!F481</f>
        <v>#REF!</v>
      </c>
      <c r="G481" s="12" t="e">
        <f>'[4]#REF'!G481</f>
        <v>#REF!</v>
      </c>
      <c r="H481" s="31" t="e">
        <f>'[4]#REF'!I481</f>
        <v>#REF!</v>
      </c>
      <c r="I481" s="32" t="e">
        <f t="shared" si="22"/>
        <v>#REF!</v>
      </c>
      <c r="K481" s="12" t="e">
        <f>'[4]#REF'!K481</f>
        <v>#REF!</v>
      </c>
      <c r="L481" s="12" t="e">
        <f>'[4]#REF'!L481</f>
        <v>#REF!</v>
      </c>
      <c r="M481" s="31" t="e">
        <f>'[4]#REF'!N481</f>
        <v>#REF!</v>
      </c>
      <c r="N481" s="32" t="e">
        <f t="shared" si="23"/>
        <v>#REF!</v>
      </c>
    </row>
    <row r="482" ht="15.75" spans="1:14">
      <c r="A482" s="12" t="e">
        <f>'[4]#REF'!A482</f>
        <v>#REF!</v>
      </c>
      <c r="B482" s="12" t="e">
        <f>'[4]#REF'!B482</f>
        <v>#REF!</v>
      </c>
      <c r="C482" s="31" t="e">
        <f>'[4]#REF'!D482</f>
        <v>#REF!</v>
      </c>
      <c r="D482" s="32" t="e">
        <f t="shared" si="21"/>
        <v>#REF!</v>
      </c>
      <c r="F482" s="12" t="e">
        <f>'[4]#REF'!F482</f>
        <v>#REF!</v>
      </c>
      <c r="G482" s="12" t="e">
        <f>'[4]#REF'!G482</f>
        <v>#REF!</v>
      </c>
      <c r="H482" s="31" t="e">
        <f>'[4]#REF'!I482</f>
        <v>#REF!</v>
      </c>
      <c r="I482" s="32" t="e">
        <f t="shared" si="22"/>
        <v>#REF!</v>
      </c>
      <c r="K482" s="12" t="e">
        <f>'[4]#REF'!K482</f>
        <v>#REF!</v>
      </c>
      <c r="L482" s="12" t="e">
        <f>'[4]#REF'!L482</f>
        <v>#REF!</v>
      </c>
      <c r="M482" s="31" t="e">
        <f>'[4]#REF'!N482</f>
        <v>#REF!</v>
      </c>
      <c r="N482" s="32" t="e">
        <f t="shared" si="23"/>
        <v>#REF!</v>
      </c>
    </row>
    <row r="483" ht="15.75" spans="1:14">
      <c r="A483" s="12" t="e">
        <f>'[4]#REF'!A483</f>
        <v>#REF!</v>
      </c>
      <c r="B483" s="12" t="e">
        <f>'[4]#REF'!B483</f>
        <v>#REF!</v>
      </c>
      <c r="C483" s="31" t="e">
        <f>'[4]#REF'!D483</f>
        <v>#REF!</v>
      </c>
      <c r="D483" s="32" t="e">
        <f t="shared" si="21"/>
        <v>#REF!</v>
      </c>
      <c r="F483" s="12" t="e">
        <f>'[4]#REF'!F483</f>
        <v>#REF!</v>
      </c>
      <c r="G483" s="12" t="e">
        <f>'[4]#REF'!G483</f>
        <v>#REF!</v>
      </c>
      <c r="H483" s="31" t="e">
        <f>'[4]#REF'!I483</f>
        <v>#REF!</v>
      </c>
      <c r="I483" s="32" t="e">
        <f t="shared" si="22"/>
        <v>#REF!</v>
      </c>
      <c r="K483" s="12" t="e">
        <f>'[4]#REF'!K483</f>
        <v>#REF!</v>
      </c>
      <c r="L483" s="12" t="e">
        <f>'[4]#REF'!L483</f>
        <v>#REF!</v>
      </c>
      <c r="M483" s="31" t="e">
        <f>'[4]#REF'!N483</f>
        <v>#REF!</v>
      </c>
      <c r="N483" s="32" t="e">
        <f t="shared" si="23"/>
        <v>#REF!</v>
      </c>
    </row>
    <row r="484" ht="15.75" spans="1:14">
      <c r="A484" s="12" t="e">
        <f>'[4]#REF'!A484</f>
        <v>#REF!</v>
      </c>
      <c r="B484" s="12" t="e">
        <f>'[4]#REF'!B484</f>
        <v>#REF!</v>
      </c>
      <c r="C484" s="31" t="e">
        <f>'[4]#REF'!D484</f>
        <v>#REF!</v>
      </c>
      <c r="D484" s="32" t="e">
        <f t="shared" si="21"/>
        <v>#REF!</v>
      </c>
      <c r="F484" s="12" t="e">
        <f>'[4]#REF'!F484</f>
        <v>#REF!</v>
      </c>
      <c r="G484" s="12" t="e">
        <f>'[4]#REF'!G484</f>
        <v>#REF!</v>
      </c>
      <c r="H484" s="31" t="e">
        <f>'[4]#REF'!I484</f>
        <v>#REF!</v>
      </c>
      <c r="I484" s="32" t="e">
        <f t="shared" si="22"/>
        <v>#REF!</v>
      </c>
      <c r="K484" s="12" t="e">
        <f>'[4]#REF'!K484</f>
        <v>#REF!</v>
      </c>
      <c r="L484" s="12" t="e">
        <f>'[4]#REF'!L484</f>
        <v>#REF!</v>
      </c>
      <c r="M484" s="31" t="e">
        <f>'[4]#REF'!N484</f>
        <v>#REF!</v>
      </c>
      <c r="N484" s="32" t="e">
        <f t="shared" si="23"/>
        <v>#REF!</v>
      </c>
    </row>
    <row r="485" ht="15.75" spans="1:14">
      <c r="A485" s="12" t="e">
        <f>'[4]#REF'!A485</f>
        <v>#REF!</v>
      </c>
      <c r="B485" s="12" t="e">
        <f>'[4]#REF'!B485</f>
        <v>#REF!</v>
      </c>
      <c r="C485" s="31" t="e">
        <f>'[4]#REF'!D485</f>
        <v>#REF!</v>
      </c>
      <c r="D485" s="32" t="e">
        <f t="shared" si="21"/>
        <v>#REF!</v>
      </c>
      <c r="F485" s="12" t="e">
        <f>'[4]#REF'!F485</f>
        <v>#REF!</v>
      </c>
      <c r="G485" s="12" t="e">
        <f>'[4]#REF'!G485</f>
        <v>#REF!</v>
      </c>
      <c r="H485" s="31" t="e">
        <f>'[4]#REF'!I485</f>
        <v>#REF!</v>
      </c>
      <c r="I485" s="32" t="e">
        <f t="shared" si="22"/>
        <v>#REF!</v>
      </c>
      <c r="K485" s="12" t="e">
        <f>'[4]#REF'!K485</f>
        <v>#REF!</v>
      </c>
      <c r="L485" s="12" t="e">
        <f>'[4]#REF'!L485</f>
        <v>#REF!</v>
      </c>
      <c r="M485" s="31" t="e">
        <f>'[4]#REF'!N485</f>
        <v>#REF!</v>
      </c>
      <c r="N485" s="32" t="e">
        <f t="shared" si="23"/>
        <v>#REF!</v>
      </c>
    </row>
    <row r="486" ht="15.75" spans="1:14">
      <c r="A486" s="12" t="e">
        <f>'[4]#REF'!A486</f>
        <v>#REF!</v>
      </c>
      <c r="B486" s="12" t="e">
        <f>'[4]#REF'!B486</f>
        <v>#REF!</v>
      </c>
      <c r="C486" s="31" t="e">
        <f>'[4]#REF'!D486</f>
        <v>#REF!</v>
      </c>
      <c r="D486" s="32" t="e">
        <f t="shared" si="21"/>
        <v>#REF!</v>
      </c>
      <c r="F486" s="12" t="e">
        <f>'[4]#REF'!F486</f>
        <v>#REF!</v>
      </c>
      <c r="G486" s="12" t="e">
        <f>'[4]#REF'!G486</f>
        <v>#REF!</v>
      </c>
      <c r="H486" s="31" t="e">
        <f>'[4]#REF'!I486</f>
        <v>#REF!</v>
      </c>
      <c r="I486" s="32" t="e">
        <f t="shared" si="22"/>
        <v>#REF!</v>
      </c>
      <c r="K486" s="12" t="e">
        <f>'[4]#REF'!K486</f>
        <v>#REF!</v>
      </c>
      <c r="L486" s="12" t="e">
        <f>'[4]#REF'!L486</f>
        <v>#REF!</v>
      </c>
      <c r="M486" s="31" t="e">
        <f>'[4]#REF'!N486</f>
        <v>#REF!</v>
      </c>
      <c r="N486" s="32" t="e">
        <f t="shared" si="23"/>
        <v>#REF!</v>
      </c>
    </row>
    <row r="487" ht="15.75" spans="1:14">
      <c r="A487" s="12" t="e">
        <f>'[4]#REF'!A487</f>
        <v>#REF!</v>
      </c>
      <c r="B487" s="12" t="e">
        <f>'[4]#REF'!B487</f>
        <v>#REF!</v>
      </c>
      <c r="C487" s="31" t="e">
        <f>'[4]#REF'!D487</f>
        <v>#REF!</v>
      </c>
      <c r="D487" s="32" t="e">
        <f t="shared" si="21"/>
        <v>#REF!</v>
      </c>
      <c r="F487" s="12" t="e">
        <f>'[4]#REF'!F487</f>
        <v>#REF!</v>
      </c>
      <c r="G487" s="12" t="e">
        <f>'[4]#REF'!G487</f>
        <v>#REF!</v>
      </c>
      <c r="H487" s="31" t="e">
        <f>'[4]#REF'!I487</f>
        <v>#REF!</v>
      </c>
      <c r="I487" s="32" t="e">
        <f t="shared" si="22"/>
        <v>#REF!</v>
      </c>
      <c r="K487" s="12" t="e">
        <f>'[4]#REF'!K487</f>
        <v>#REF!</v>
      </c>
      <c r="L487" s="12" t="e">
        <f>'[4]#REF'!L487</f>
        <v>#REF!</v>
      </c>
      <c r="M487" s="31" t="e">
        <f>'[4]#REF'!N487</f>
        <v>#REF!</v>
      </c>
      <c r="N487" s="32" t="e">
        <f t="shared" si="23"/>
        <v>#REF!</v>
      </c>
    </row>
    <row r="488" ht="15.75" spans="1:14">
      <c r="A488" s="12" t="e">
        <f>'[4]#REF'!A488</f>
        <v>#REF!</v>
      </c>
      <c r="B488" s="12" t="e">
        <f>'[4]#REF'!B488</f>
        <v>#REF!</v>
      </c>
      <c r="C488" s="31" t="e">
        <f>'[4]#REF'!D488</f>
        <v>#REF!</v>
      </c>
      <c r="D488" s="32" t="e">
        <f t="shared" si="21"/>
        <v>#REF!</v>
      </c>
      <c r="F488" s="12" t="e">
        <f>'[4]#REF'!F488</f>
        <v>#REF!</v>
      </c>
      <c r="G488" s="12" t="e">
        <f>'[4]#REF'!G488</f>
        <v>#REF!</v>
      </c>
      <c r="H488" s="31" t="e">
        <f>'[4]#REF'!I488</f>
        <v>#REF!</v>
      </c>
      <c r="I488" s="32" t="e">
        <f t="shared" si="22"/>
        <v>#REF!</v>
      </c>
      <c r="K488" s="12" t="e">
        <f>'[4]#REF'!K488</f>
        <v>#REF!</v>
      </c>
      <c r="L488" s="12" t="e">
        <f>'[4]#REF'!L488</f>
        <v>#REF!</v>
      </c>
      <c r="M488" s="31" t="e">
        <f>'[4]#REF'!N488</f>
        <v>#REF!</v>
      </c>
      <c r="N488" s="32" t="e">
        <f t="shared" si="23"/>
        <v>#REF!</v>
      </c>
    </row>
    <row r="489" ht="15.75" spans="1:14">
      <c r="A489" s="12" t="e">
        <f>'[4]#REF'!A489</f>
        <v>#REF!</v>
      </c>
      <c r="B489" s="12" t="e">
        <f>'[4]#REF'!B489</f>
        <v>#REF!</v>
      </c>
      <c r="C489" s="31" t="e">
        <f>'[4]#REF'!D489</f>
        <v>#REF!</v>
      </c>
      <c r="D489" s="32" t="e">
        <f t="shared" si="21"/>
        <v>#REF!</v>
      </c>
      <c r="F489" s="12" t="e">
        <f>'[4]#REF'!F489</f>
        <v>#REF!</v>
      </c>
      <c r="G489" s="12" t="e">
        <f>'[4]#REF'!G489</f>
        <v>#REF!</v>
      </c>
      <c r="H489" s="31" t="e">
        <f>'[4]#REF'!I489</f>
        <v>#REF!</v>
      </c>
      <c r="I489" s="32" t="e">
        <f t="shared" si="22"/>
        <v>#REF!</v>
      </c>
      <c r="K489" s="12" t="e">
        <f>'[4]#REF'!K489</f>
        <v>#REF!</v>
      </c>
      <c r="L489" s="12" t="e">
        <f>'[4]#REF'!L489</f>
        <v>#REF!</v>
      </c>
      <c r="M489" s="31" t="e">
        <f>'[4]#REF'!N489</f>
        <v>#REF!</v>
      </c>
      <c r="N489" s="32" t="e">
        <f t="shared" si="23"/>
        <v>#REF!</v>
      </c>
    </row>
    <row r="490" ht="15.75" spans="1:14">
      <c r="A490" s="12" t="e">
        <f>'[4]#REF'!A490</f>
        <v>#REF!</v>
      </c>
      <c r="B490" s="12" t="e">
        <f>'[4]#REF'!B490</f>
        <v>#REF!</v>
      </c>
      <c r="C490" s="31" t="e">
        <f>'[4]#REF'!D490</f>
        <v>#REF!</v>
      </c>
      <c r="D490" s="32" t="e">
        <f t="shared" si="21"/>
        <v>#REF!</v>
      </c>
      <c r="F490" s="12" t="e">
        <f>'[4]#REF'!F490</f>
        <v>#REF!</v>
      </c>
      <c r="G490" s="12" t="e">
        <f>'[4]#REF'!G490</f>
        <v>#REF!</v>
      </c>
      <c r="H490" s="31" t="e">
        <f>'[4]#REF'!I490</f>
        <v>#REF!</v>
      </c>
      <c r="I490" s="32" t="e">
        <f t="shared" si="22"/>
        <v>#REF!</v>
      </c>
      <c r="K490" s="12" t="e">
        <f>'[4]#REF'!K490</f>
        <v>#REF!</v>
      </c>
      <c r="L490" s="12" t="e">
        <f>'[4]#REF'!L490</f>
        <v>#REF!</v>
      </c>
      <c r="M490" s="31" t="e">
        <f>'[4]#REF'!N490</f>
        <v>#REF!</v>
      </c>
      <c r="N490" s="32" t="e">
        <f t="shared" si="23"/>
        <v>#REF!</v>
      </c>
    </row>
    <row r="491" ht="15.75" spans="1:14">
      <c r="A491" s="12" t="e">
        <f>'[4]#REF'!A491</f>
        <v>#REF!</v>
      </c>
      <c r="B491" s="12" t="e">
        <f>'[4]#REF'!B491</f>
        <v>#REF!</v>
      </c>
      <c r="C491" s="31" t="e">
        <f>'[4]#REF'!D491</f>
        <v>#REF!</v>
      </c>
      <c r="D491" s="32" t="e">
        <f t="shared" si="21"/>
        <v>#REF!</v>
      </c>
      <c r="F491" s="12" t="e">
        <f>'[4]#REF'!F491</f>
        <v>#REF!</v>
      </c>
      <c r="G491" s="12" t="e">
        <f>'[4]#REF'!G491</f>
        <v>#REF!</v>
      </c>
      <c r="H491" s="31" t="e">
        <f>'[4]#REF'!I491</f>
        <v>#REF!</v>
      </c>
      <c r="I491" s="32" t="e">
        <f t="shared" si="22"/>
        <v>#REF!</v>
      </c>
      <c r="K491" s="12" t="e">
        <f>'[4]#REF'!K491</f>
        <v>#REF!</v>
      </c>
      <c r="L491" s="12" t="e">
        <f>'[4]#REF'!L491</f>
        <v>#REF!</v>
      </c>
      <c r="M491" s="31" t="e">
        <f>'[4]#REF'!N491</f>
        <v>#REF!</v>
      </c>
      <c r="N491" s="32" t="e">
        <f t="shared" si="23"/>
        <v>#REF!</v>
      </c>
    </row>
    <row r="492" ht="15.75" spans="1:14">
      <c r="A492" s="12" t="e">
        <f>'[4]#REF'!A492</f>
        <v>#REF!</v>
      </c>
      <c r="B492" s="12" t="e">
        <f>'[4]#REF'!B492</f>
        <v>#REF!</v>
      </c>
      <c r="C492" s="31" t="e">
        <f>'[4]#REF'!D492</f>
        <v>#REF!</v>
      </c>
      <c r="D492" s="32" t="e">
        <f t="shared" si="21"/>
        <v>#REF!</v>
      </c>
      <c r="F492" s="12" t="e">
        <f>'[4]#REF'!F492</f>
        <v>#REF!</v>
      </c>
      <c r="G492" s="12" t="e">
        <f>'[4]#REF'!G492</f>
        <v>#REF!</v>
      </c>
      <c r="H492" s="31" t="e">
        <f>'[4]#REF'!I492</f>
        <v>#REF!</v>
      </c>
      <c r="I492" s="32" t="e">
        <f t="shared" si="22"/>
        <v>#REF!</v>
      </c>
      <c r="K492" s="12" t="e">
        <f>'[4]#REF'!K492</f>
        <v>#REF!</v>
      </c>
      <c r="L492" s="12" t="e">
        <f>'[4]#REF'!L492</f>
        <v>#REF!</v>
      </c>
      <c r="M492" s="31" t="e">
        <f>'[4]#REF'!N492</f>
        <v>#REF!</v>
      </c>
      <c r="N492" s="32" t="e">
        <f t="shared" si="23"/>
        <v>#REF!</v>
      </c>
    </row>
    <row r="493" ht="15.75" spans="1:14">
      <c r="A493" s="12" t="e">
        <f>'[4]#REF'!A493</f>
        <v>#REF!</v>
      </c>
      <c r="B493" s="12" t="e">
        <f>'[4]#REF'!B493</f>
        <v>#REF!</v>
      </c>
      <c r="C493" s="31" t="e">
        <f>'[4]#REF'!D493</f>
        <v>#REF!</v>
      </c>
      <c r="D493" s="32" t="e">
        <f t="shared" si="21"/>
        <v>#REF!</v>
      </c>
      <c r="F493" s="12" t="e">
        <f>'[4]#REF'!F493</f>
        <v>#REF!</v>
      </c>
      <c r="G493" s="12" t="e">
        <f>'[4]#REF'!G493</f>
        <v>#REF!</v>
      </c>
      <c r="H493" s="31" t="e">
        <f>'[4]#REF'!I493</f>
        <v>#REF!</v>
      </c>
      <c r="I493" s="32" t="e">
        <f t="shared" si="22"/>
        <v>#REF!</v>
      </c>
      <c r="K493" s="12" t="e">
        <f>'[4]#REF'!K493</f>
        <v>#REF!</v>
      </c>
      <c r="L493" s="12" t="e">
        <f>'[4]#REF'!L493</f>
        <v>#REF!</v>
      </c>
      <c r="M493" s="31" t="e">
        <f>'[4]#REF'!N493</f>
        <v>#REF!</v>
      </c>
      <c r="N493" s="32" t="e">
        <f t="shared" si="23"/>
        <v>#REF!</v>
      </c>
    </row>
    <row r="494" ht="15.75" spans="1:14">
      <c r="A494" s="12" t="e">
        <f>'[4]#REF'!A494</f>
        <v>#REF!</v>
      </c>
      <c r="B494" s="12" t="e">
        <f>'[4]#REF'!B494</f>
        <v>#REF!</v>
      </c>
      <c r="C494" s="31" t="e">
        <f>'[4]#REF'!D494</f>
        <v>#REF!</v>
      </c>
      <c r="D494" s="32" t="e">
        <f t="shared" si="21"/>
        <v>#REF!</v>
      </c>
      <c r="F494" s="12" t="e">
        <f>'[4]#REF'!F494</f>
        <v>#REF!</v>
      </c>
      <c r="G494" s="12" t="e">
        <f>'[4]#REF'!G494</f>
        <v>#REF!</v>
      </c>
      <c r="H494" s="31" t="e">
        <f>'[4]#REF'!I494</f>
        <v>#REF!</v>
      </c>
      <c r="I494" s="32" t="e">
        <f t="shared" si="22"/>
        <v>#REF!</v>
      </c>
      <c r="K494" s="12" t="e">
        <f>'[4]#REF'!K494</f>
        <v>#REF!</v>
      </c>
      <c r="L494" s="12" t="e">
        <f>'[4]#REF'!L494</f>
        <v>#REF!</v>
      </c>
      <c r="M494" s="31" t="e">
        <f>'[4]#REF'!N494</f>
        <v>#REF!</v>
      </c>
      <c r="N494" s="32" t="e">
        <f t="shared" si="23"/>
        <v>#REF!</v>
      </c>
    </row>
    <row r="495" ht="15.75" spans="1:14">
      <c r="A495" s="12" t="e">
        <f>'[4]#REF'!A495</f>
        <v>#REF!</v>
      </c>
      <c r="B495" s="12" t="e">
        <f>'[4]#REF'!B495</f>
        <v>#REF!</v>
      </c>
      <c r="C495" s="31" t="e">
        <f>'[4]#REF'!D495</f>
        <v>#REF!</v>
      </c>
      <c r="D495" s="32" t="e">
        <f t="shared" si="21"/>
        <v>#REF!</v>
      </c>
      <c r="F495" s="12" t="e">
        <f>'[4]#REF'!F495</f>
        <v>#REF!</v>
      </c>
      <c r="G495" s="12" t="e">
        <f>'[4]#REF'!G495</f>
        <v>#REF!</v>
      </c>
      <c r="H495" s="31" t="e">
        <f>'[4]#REF'!I495</f>
        <v>#REF!</v>
      </c>
      <c r="I495" s="32" t="e">
        <f t="shared" si="22"/>
        <v>#REF!</v>
      </c>
      <c r="K495" s="12" t="e">
        <f>'[4]#REF'!K495</f>
        <v>#REF!</v>
      </c>
      <c r="L495" s="12" t="e">
        <f>'[4]#REF'!L495</f>
        <v>#REF!</v>
      </c>
      <c r="M495" s="31" t="e">
        <f>'[4]#REF'!N495</f>
        <v>#REF!</v>
      </c>
      <c r="N495" s="32" t="e">
        <f t="shared" si="23"/>
        <v>#REF!</v>
      </c>
    </row>
    <row r="496" ht="15.75" spans="1:14">
      <c r="A496" s="12" t="e">
        <f>'[4]#REF'!A496</f>
        <v>#REF!</v>
      </c>
      <c r="B496" s="12" t="e">
        <f>'[4]#REF'!B496</f>
        <v>#REF!</v>
      </c>
      <c r="C496" s="31" t="e">
        <f>'[4]#REF'!D496</f>
        <v>#REF!</v>
      </c>
      <c r="D496" s="32" t="e">
        <f t="shared" si="21"/>
        <v>#REF!</v>
      </c>
      <c r="F496" s="12" t="e">
        <f>'[4]#REF'!F496</f>
        <v>#REF!</v>
      </c>
      <c r="G496" s="12" t="e">
        <f>'[4]#REF'!G496</f>
        <v>#REF!</v>
      </c>
      <c r="H496" s="31" t="e">
        <f>'[4]#REF'!I496</f>
        <v>#REF!</v>
      </c>
      <c r="I496" s="32" t="e">
        <f t="shared" si="22"/>
        <v>#REF!</v>
      </c>
      <c r="K496" s="12" t="e">
        <f>'[4]#REF'!K496</f>
        <v>#REF!</v>
      </c>
      <c r="L496" s="12" t="e">
        <f>'[4]#REF'!L496</f>
        <v>#REF!</v>
      </c>
      <c r="M496" s="31" t="e">
        <f>'[4]#REF'!N496</f>
        <v>#REF!</v>
      </c>
      <c r="N496" s="32" t="e">
        <f t="shared" si="23"/>
        <v>#REF!</v>
      </c>
    </row>
    <row r="497" ht="15.75" spans="1:14">
      <c r="A497" s="12" t="e">
        <f>'[4]#REF'!A497</f>
        <v>#REF!</v>
      </c>
      <c r="B497" s="12" t="e">
        <f>'[4]#REF'!B497</f>
        <v>#REF!</v>
      </c>
      <c r="C497" s="31" t="e">
        <f>'[4]#REF'!D497</f>
        <v>#REF!</v>
      </c>
      <c r="D497" s="32" t="e">
        <f t="shared" si="21"/>
        <v>#REF!</v>
      </c>
      <c r="F497" s="12" t="e">
        <f>'[4]#REF'!F497</f>
        <v>#REF!</v>
      </c>
      <c r="G497" s="12" t="e">
        <f>'[4]#REF'!G497</f>
        <v>#REF!</v>
      </c>
      <c r="H497" s="31" t="e">
        <f>'[4]#REF'!I497</f>
        <v>#REF!</v>
      </c>
      <c r="I497" s="32" t="e">
        <f t="shared" si="22"/>
        <v>#REF!</v>
      </c>
      <c r="K497" s="12" t="e">
        <f>'[4]#REF'!K497</f>
        <v>#REF!</v>
      </c>
      <c r="L497" s="12" t="e">
        <f>'[4]#REF'!L497</f>
        <v>#REF!</v>
      </c>
      <c r="M497" s="31" t="e">
        <f>'[4]#REF'!N497</f>
        <v>#REF!</v>
      </c>
      <c r="N497" s="32" t="e">
        <f t="shared" si="23"/>
        <v>#REF!</v>
      </c>
    </row>
    <row r="498" ht="15.75" spans="1:14">
      <c r="A498" s="12" t="e">
        <f>'[4]#REF'!A498</f>
        <v>#REF!</v>
      </c>
      <c r="B498" s="12" t="e">
        <f>'[4]#REF'!B498</f>
        <v>#REF!</v>
      </c>
      <c r="C498" s="31" t="e">
        <f>'[4]#REF'!D498</f>
        <v>#REF!</v>
      </c>
      <c r="D498" s="32" t="e">
        <f t="shared" si="21"/>
        <v>#REF!</v>
      </c>
      <c r="F498" s="12" t="e">
        <f>'[4]#REF'!F498</f>
        <v>#REF!</v>
      </c>
      <c r="G498" s="12" t="e">
        <f>'[4]#REF'!G498</f>
        <v>#REF!</v>
      </c>
      <c r="H498" s="31" t="e">
        <f>'[4]#REF'!I498</f>
        <v>#REF!</v>
      </c>
      <c r="I498" s="32" t="e">
        <f t="shared" si="22"/>
        <v>#REF!</v>
      </c>
      <c r="K498" s="12" t="e">
        <f>'[4]#REF'!K498</f>
        <v>#REF!</v>
      </c>
      <c r="L498" s="12" t="e">
        <f>'[4]#REF'!L498</f>
        <v>#REF!</v>
      </c>
      <c r="M498" s="31" t="e">
        <f>'[4]#REF'!N498</f>
        <v>#REF!</v>
      </c>
      <c r="N498" s="32" t="e">
        <f t="shared" si="23"/>
        <v>#REF!</v>
      </c>
    </row>
    <row r="499" ht="15.75" spans="1:14">
      <c r="A499" s="12" t="e">
        <f>'[4]#REF'!A499</f>
        <v>#REF!</v>
      </c>
      <c r="B499" s="12" t="e">
        <f>'[4]#REF'!B499</f>
        <v>#REF!</v>
      </c>
      <c r="C499" s="31" t="e">
        <f>'[4]#REF'!D499</f>
        <v>#REF!</v>
      </c>
      <c r="D499" s="32" t="e">
        <f t="shared" si="21"/>
        <v>#REF!</v>
      </c>
      <c r="F499" s="12" t="e">
        <f>'[4]#REF'!F499</f>
        <v>#REF!</v>
      </c>
      <c r="G499" s="12" t="e">
        <f>'[4]#REF'!G499</f>
        <v>#REF!</v>
      </c>
      <c r="H499" s="31" t="e">
        <f>'[4]#REF'!I499</f>
        <v>#REF!</v>
      </c>
      <c r="I499" s="32" t="e">
        <f t="shared" si="22"/>
        <v>#REF!</v>
      </c>
      <c r="K499" s="12" t="e">
        <f>'[4]#REF'!K499</f>
        <v>#REF!</v>
      </c>
      <c r="L499" s="12" t="e">
        <f>'[4]#REF'!L499</f>
        <v>#REF!</v>
      </c>
      <c r="M499" s="31" t="e">
        <f>'[4]#REF'!N499</f>
        <v>#REF!</v>
      </c>
      <c r="N499" s="32" t="e">
        <f t="shared" si="23"/>
        <v>#REF!</v>
      </c>
    </row>
    <row r="500" ht="15.75" spans="1:14">
      <c r="A500" s="12" t="e">
        <f>'[4]#REF'!A500</f>
        <v>#REF!</v>
      </c>
      <c r="B500" s="12" t="e">
        <f>'[4]#REF'!B500</f>
        <v>#REF!</v>
      </c>
      <c r="C500" s="31" t="e">
        <f>'[4]#REF'!D500</f>
        <v>#REF!</v>
      </c>
      <c r="D500" s="32" t="e">
        <f t="shared" si="21"/>
        <v>#REF!</v>
      </c>
      <c r="F500" s="12" t="e">
        <f>'[4]#REF'!F500</f>
        <v>#REF!</v>
      </c>
      <c r="G500" s="12" t="e">
        <f>'[4]#REF'!G500</f>
        <v>#REF!</v>
      </c>
      <c r="H500" s="31" t="e">
        <f>'[4]#REF'!I500</f>
        <v>#REF!</v>
      </c>
      <c r="I500" s="32" t="e">
        <f t="shared" si="22"/>
        <v>#REF!</v>
      </c>
      <c r="K500" s="12" t="e">
        <f>'[4]#REF'!K500</f>
        <v>#REF!</v>
      </c>
      <c r="L500" s="12" t="e">
        <f>'[4]#REF'!L500</f>
        <v>#REF!</v>
      </c>
      <c r="M500" s="31" t="e">
        <f>'[4]#REF'!N500</f>
        <v>#REF!</v>
      </c>
      <c r="N500" s="32" t="e">
        <f t="shared" si="23"/>
        <v>#REF!</v>
      </c>
    </row>
    <row r="501" ht="15.75" spans="1:14">
      <c r="A501" s="12" t="e">
        <f>'[4]#REF'!A501</f>
        <v>#REF!</v>
      </c>
      <c r="B501" s="12" t="e">
        <f>'[4]#REF'!B501</f>
        <v>#REF!</v>
      </c>
      <c r="C501" s="31" t="e">
        <f>'[4]#REF'!D501</f>
        <v>#REF!</v>
      </c>
      <c r="D501" s="32" t="e">
        <f t="shared" si="21"/>
        <v>#REF!</v>
      </c>
      <c r="F501" s="12" t="e">
        <f>'[4]#REF'!F501</f>
        <v>#REF!</v>
      </c>
      <c r="G501" s="12" t="e">
        <f>'[4]#REF'!G501</f>
        <v>#REF!</v>
      </c>
      <c r="H501" s="31" t="e">
        <f>'[4]#REF'!I501</f>
        <v>#REF!</v>
      </c>
      <c r="I501" s="32" t="e">
        <f t="shared" si="22"/>
        <v>#REF!</v>
      </c>
      <c r="K501" s="12" t="e">
        <f>'[4]#REF'!K501</f>
        <v>#REF!</v>
      </c>
      <c r="L501" s="12" t="e">
        <f>'[4]#REF'!L501</f>
        <v>#REF!</v>
      </c>
      <c r="M501" s="31" t="e">
        <f>'[4]#REF'!N501</f>
        <v>#REF!</v>
      </c>
      <c r="N501" s="32" t="e">
        <f t="shared" si="23"/>
        <v>#REF!</v>
      </c>
    </row>
    <row r="502" ht="15.75" spans="1:14">
      <c r="A502" s="12" t="e">
        <f>'[4]#REF'!A502</f>
        <v>#REF!</v>
      </c>
      <c r="B502" s="12" t="e">
        <f>'[4]#REF'!B502</f>
        <v>#REF!</v>
      </c>
      <c r="C502" s="31" t="e">
        <f>'[4]#REF'!D502</f>
        <v>#REF!</v>
      </c>
      <c r="D502" s="32" t="e">
        <f t="shared" si="21"/>
        <v>#REF!</v>
      </c>
      <c r="F502" s="12" t="e">
        <f>'[4]#REF'!F502</f>
        <v>#REF!</v>
      </c>
      <c r="G502" s="12" t="e">
        <f>'[4]#REF'!G502</f>
        <v>#REF!</v>
      </c>
      <c r="H502" s="31" t="e">
        <f>'[4]#REF'!I502</f>
        <v>#REF!</v>
      </c>
      <c r="I502" s="32" t="e">
        <f t="shared" si="22"/>
        <v>#REF!</v>
      </c>
      <c r="K502" s="12" t="e">
        <f>'[4]#REF'!K502</f>
        <v>#REF!</v>
      </c>
      <c r="L502" s="12" t="e">
        <f>'[4]#REF'!L502</f>
        <v>#REF!</v>
      </c>
      <c r="M502" s="31" t="e">
        <f>'[4]#REF'!N502</f>
        <v>#REF!</v>
      </c>
      <c r="N502" s="32" t="e">
        <f t="shared" si="23"/>
        <v>#REF!</v>
      </c>
    </row>
    <row r="503" ht="15.75" spans="1:14">
      <c r="A503" s="12" t="e">
        <f>'[4]#REF'!A503</f>
        <v>#REF!</v>
      </c>
      <c r="B503" s="12" t="e">
        <f>'[4]#REF'!B503</f>
        <v>#REF!</v>
      </c>
      <c r="C503" s="31" t="e">
        <f>'[4]#REF'!D503</f>
        <v>#REF!</v>
      </c>
      <c r="D503" s="32" t="e">
        <f t="shared" si="21"/>
        <v>#REF!</v>
      </c>
      <c r="F503" s="12" t="e">
        <f>'[4]#REF'!F503</f>
        <v>#REF!</v>
      </c>
      <c r="G503" s="12" t="e">
        <f>'[4]#REF'!G503</f>
        <v>#REF!</v>
      </c>
      <c r="H503" s="31" t="e">
        <f>'[4]#REF'!I503</f>
        <v>#REF!</v>
      </c>
      <c r="I503" s="32" t="e">
        <f t="shared" si="22"/>
        <v>#REF!</v>
      </c>
      <c r="K503" s="12" t="e">
        <f>'[4]#REF'!K503</f>
        <v>#REF!</v>
      </c>
      <c r="L503" s="12" t="e">
        <f>'[4]#REF'!L503</f>
        <v>#REF!</v>
      </c>
      <c r="M503" s="31" t="e">
        <f>'[4]#REF'!N503</f>
        <v>#REF!</v>
      </c>
      <c r="N503" s="32" t="e">
        <f t="shared" si="23"/>
        <v>#REF!</v>
      </c>
    </row>
    <row r="504" ht="15.75" spans="1:14">
      <c r="A504" s="12" t="e">
        <f>'[4]#REF'!A504</f>
        <v>#REF!</v>
      </c>
      <c r="B504" s="12" t="e">
        <f>'[4]#REF'!B504</f>
        <v>#REF!</v>
      </c>
      <c r="C504" s="31" t="e">
        <f>'[4]#REF'!D504</f>
        <v>#REF!</v>
      </c>
      <c r="D504" s="32" t="e">
        <f t="shared" si="21"/>
        <v>#REF!</v>
      </c>
      <c r="F504" s="12" t="e">
        <f>'[4]#REF'!F504</f>
        <v>#REF!</v>
      </c>
      <c r="G504" s="12" t="e">
        <f>'[4]#REF'!G504</f>
        <v>#REF!</v>
      </c>
      <c r="H504" s="31" t="e">
        <f>'[4]#REF'!I504</f>
        <v>#REF!</v>
      </c>
      <c r="I504" s="32" t="e">
        <f t="shared" si="22"/>
        <v>#REF!</v>
      </c>
      <c r="K504" s="12" t="e">
        <f>'[4]#REF'!K504</f>
        <v>#REF!</v>
      </c>
      <c r="L504" s="12" t="e">
        <f>'[4]#REF'!L504</f>
        <v>#REF!</v>
      </c>
      <c r="M504" s="31" t="e">
        <f>'[4]#REF'!N504</f>
        <v>#REF!</v>
      </c>
      <c r="N504" s="32" t="e">
        <f t="shared" si="23"/>
        <v>#REF!</v>
      </c>
    </row>
    <row r="505" ht="15.75" spans="1:14">
      <c r="A505" s="12" t="e">
        <f>'[4]#REF'!A505</f>
        <v>#REF!</v>
      </c>
      <c r="B505" s="12" t="e">
        <f>'[4]#REF'!B505</f>
        <v>#REF!</v>
      </c>
      <c r="C505" s="31" t="e">
        <f>'[4]#REF'!D505</f>
        <v>#REF!</v>
      </c>
      <c r="D505" s="32" t="e">
        <f t="shared" si="21"/>
        <v>#REF!</v>
      </c>
      <c r="F505" s="12" t="e">
        <f>'[4]#REF'!F505</f>
        <v>#REF!</v>
      </c>
      <c r="G505" s="12" t="e">
        <f>'[4]#REF'!G505</f>
        <v>#REF!</v>
      </c>
      <c r="H505" s="31" t="e">
        <f>'[4]#REF'!I505</f>
        <v>#REF!</v>
      </c>
      <c r="I505" s="32" t="e">
        <f t="shared" si="22"/>
        <v>#REF!</v>
      </c>
      <c r="K505" s="12" t="e">
        <f>'[4]#REF'!K505</f>
        <v>#REF!</v>
      </c>
      <c r="L505" s="12" t="e">
        <f>'[4]#REF'!L505</f>
        <v>#REF!</v>
      </c>
      <c r="M505" s="31" t="e">
        <f>'[4]#REF'!N505</f>
        <v>#REF!</v>
      </c>
      <c r="N505" s="32" t="e">
        <f t="shared" si="23"/>
        <v>#REF!</v>
      </c>
    </row>
    <row r="506" ht="15.75" spans="1:14">
      <c r="A506" s="12" t="e">
        <f>'[4]#REF'!A506</f>
        <v>#REF!</v>
      </c>
      <c r="B506" s="12" t="e">
        <f>'[4]#REF'!B506</f>
        <v>#REF!</v>
      </c>
      <c r="C506" s="31" t="e">
        <f>'[4]#REF'!D506</f>
        <v>#REF!</v>
      </c>
      <c r="D506" s="32" t="e">
        <f t="shared" si="21"/>
        <v>#REF!</v>
      </c>
      <c r="F506" s="12" t="e">
        <f>'[4]#REF'!F506</f>
        <v>#REF!</v>
      </c>
      <c r="G506" s="12" t="e">
        <f>'[4]#REF'!G506</f>
        <v>#REF!</v>
      </c>
      <c r="H506" s="31" t="e">
        <f>'[4]#REF'!I506</f>
        <v>#REF!</v>
      </c>
      <c r="I506" s="32" t="e">
        <f t="shared" si="22"/>
        <v>#REF!</v>
      </c>
      <c r="K506" s="12" t="e">
        <f>'[4]#REF'!K506</f>
        <v>#REF!</v>
      </c>
      <c r="L506" s="12" t="e">
        <f>'[4]#REF'!L506</f>
        <v>#REF!</v>
      </c>
      <c r="M506" s="31" t="e">
        <f>'[4]#REF'!N506</f>
        <v>#REF!</v>
      </c>
      <c r="N506" s="32" t="e">
        <f t="shared" si="23"/>
        <v>#REF!</v>
      </c>
    </row>
    <row r="507" ht="15.75" spans="1:14">
      <c r="A507" s="12" t="e">
        <f>'[4]#REF'!A507</f>
        <v>#REF!</v>
      </c>
      <c r="B507" s="12" t="e">
        <f>'[4]#REF'!B507</f>
        <v>#REF!</v>
      </c>
      <c r="C507" s="31" t="e">
        <f>'[4]#REF'!D507</f>
        <v>#REF!</v>
      </c>
      <c r="D507" s="32" t="e">
        <f t="shared" si="21"/>
        <v>#REF!</v>
      </c>
      <c r="F507" s="12" t="e">
        <f>'[4]#REF'!F507</f>
        <v>#REF!</v>
      </c>
      <c r="G507" s="12" t="e">
        <f>'[4]#REF'!G507</f>
        <v>#REF!</v>
      </c>
      <c r="H507" s="31" t="e">
        <f>'[4]#REF'!I507</f>
        <v>#REF!</v>
      </c>
      <c r="I507" s="32" t="e">
        <f t="shared" si="22"/>
        <v>#REF!</v>
      </c>
      <c r="K507" s="12" t="e">
        <f>'[4]#REF'!K507</f>
        <v>#REF!</v>
      </c>
      <c r="L507" s="12" t="e">
        <f>'[4]#REF'!L507</f>
        <v>#REF!</v>
      </c>
      <c r="M507" s="31" t="e">
        <f>'[4]#REF'!N507</f>
        <v>#REF!</v>
      </c>
      <c r="N507" s="32" t="e">
        <f t="shared" si="23"/>
        <v>#REF!</v>
      </c>
    </row>
    <row r="508" ht="15.75" spans="1:14">
      <c r="A508" s="12" t="e">
        <f>'[4]#REF'!A508</f>
        <v>#REF!</v>
      </c>
      <c r="B508" s="12" t="e">
        <f>'[4]#REF'!B508</f>
        <v>#REF!</v>
      </c>
      <c r="C508" s="31" t="e">
        <f>'[4]#REF'!D508</f>
        <v>#REF!</v>
      </c>
      <c r="D508" s="32" t="e">
        <f t="shared" si="21"/>
        <v>#REF!</v>
      </c>
      <c r="F508" s="12" t="e">
        <f>'[4]#REF'!F508</f>
        <v>#REF!</v>
      </c>
      <c r="G508" s="12" t="e">
        <f>'[4]#REF'!G508</f>
        <v>#REF!</v>
      </c>
      <c r="H508" s="31" t="e">
        <f>'[4]#REF'!I508</f>
        <v>#REF!</v>
      </c>
      <c r="I508" s="32" t="e">
        <f t="shared" si="22"/>
        <v>#REF!</v>
      </c>
      <c r="K508" s="12" t="e">
        <f>'[4]#REF'!K508</f>
        <v>#REF!</v>
      </c>
      <c r="L508" s="12" t="e">
        <f>'[4]#REF'!L508</f>
        <v>#REF!</v>
      </c>
      <c r="M508" s="31" t="e">
        <f>'[4]#REF'!N508</f>
        <v>#REF!</v>
      </c>
      <c r="N508" s="32" t="e">
        <f t="shared" si="23"/>
        <v>#REF!</v>
      </c>
    </row>
    <row r="509" ht="15.75" spans="1:14">
      <c r="A509" s="12" t="e">
        <f>'[4]#REF'!A509</f>
        <v>#REF!</v>
      </c>
      <c r="B509" s="12" t="e">
        <f>'[4]#REF'!B509</f>
        <v>#REF!</v>
      </c>
      <c r="C509" s="31" t="e">
        <f>'[4]#REF'!D509</f>
        <v>#REF!</v>
      </c>
      <c r="D509" s="32" t="e">
        <f t="shared" si="21"/>
        <v>#REF!</v>
      </c>
      <c r="F509" s="12" t="e">
        <f>'[4]#REF'!F509</f>
        <v>#REF!</v>
      </c>
      <c r="G509" s="12" t="e">
        <f>'[4]#REF'!G509</f>
        <v>#REF!</v>
      </c>
      <c r="H509" s="31" t="e">
        <f>'[4]#REF'!I509</f>
        <v>#REF!</v>
      </c>
      <c r="I509" s="32" t="e">
        <f t="shared" si="22"/>
        <v>#REF!</v>
      </c>
      <c r="K509" s="12" t="e">
        <f>'[4]#REF'!K509</f>
        <v>#REF!</v>
      </c>
      <c r="L509" s="12" t="e">
        <f>'[4]#REF'!L509</f>
        <v>#REF!</v>
      </c>
      <c r="M509" s="31" t="e">
        <f>'[4]#REF'!N509</f>
        <v>#REF!</v>
      </c>
      <c r="N509" s="32" t="e">
        <f t="shared" si="23"/>
        <v>#REF!</v>
      </c>
    </row>
    <row r="510" ht="15.75" spans="1:14">
      <c r="A510" s="12" t="e">
        <f>'[4]#REF'!A510</f>
        <v>#REF!</v>
      </c>
      <c r="B510" s="12" t="e">
        <f>'[4]#REF'!B510</f>
        <v>#REF!</v>
      </c>
      <c r="C510" s="31" t="e">
        <f>'[4]#REF'!D510</f>
        <v>#REF!</v>
      </c>
      <c r="D510" s="32" t="e">
        <f t="shared" si="21"/>
        <v>#REF!</v>
      </c>
      <c r="F510" s="12" t="e">
        <f>'[4]#REF'!F510</f>
        <v>#REF!</v>
      </c>
      <c r="G510" s="12" t="e">
        <f>'[4]#REF'!G510</f>
        <v>#REF!</v>
      </c>
      <c r="H510" s="31" t="e">
        <f>'[4]#REF'!I510</f>
        <v>#REF!</v>
      </c>
      <c r="I510" s="32" t="e">
        <f t="shared" si="22"/>
        <v>#REF!</v>
      </c>
      <c r="K510" s="12" t="e">
        <f>'[4]#REF'!K510</f>
        <v>#REF!</v>
      </c>
      <c r="L510" s="12" t="e">
        <f>'[4]#REF'!L510</f>
        <v>#REF!</v>
      </c>
      <c r="M510" s="31" t="e">
        <f>'[4]#REF'!N510</f>
        <v>#REF!</v>
      </c>
      <c r="N510" s="32" t="e">
        <f t="shared" si="23"/>
        <v>#REF!</v>
      </c>
    </row>
    <row r="511" ht="15.75" spans="1:14">
      <c r="A511" s="12" t="e">
        <f>'[4]#REF'!A511</f>
        <v>#REF!</v>
      </c>
      <c r="B511" s="12" t="e">
        <f>'[4]#REF'!B511</f>
        <v>#REF!</v>
      </c>
      <c r="C511" s="31" t="e">
        <f>'[4]#REF'!D511</f>
        <v>#REF!</v>
      </c>
      <c r="D511" s="32" t="e">
        <f t="shared" si="21"/>
        <v>#REF!</v>
      </c>
      <c r="F511" s="12" t="e">
        <f>'[4]#REF'!F511</f>
        <v>#REF!</v>
      </c>
      <c r="G511" s="12" t="e">
        <f>'[4]#REF'!G511</f>
        <v>#REF!</v>
      </c>
      <c r="H511" s="31" t="e">
        <f>'[4]#REF'!I511</f>
        <v>#REF!</v>
      </c>
      <c r="I511" s="32" t="e">
        <f t="shared" si="22"/>
        <v>#REF!</v>
      </c>
      <c r="K511" s="12" t="e">
        <f>'[4]#REF'!K511</f>
        <v>#REF!</v>
      </c>
      <c r="L511" s="12" t="e">
        <f>'[4]#REF'!L511</f>
        <v>#REF!</v>
      </c>
      <c r="M511" s="31" t="e">
        <f>'[4]#REF'!N511</f>
        <v>#REF!</v>
      </c>
      <c r="N511" s="32" t="e">
        <f t="shared" si="23"/>
        <v>#REF!</v>
      </c>
    </row>
    <row r="512" ht="15.75" spans="1:14">
      <c r="A512" s="12" t="e">
        <f>'[4]#REF'!A512</f>
        <v>#REF!</v>
      </c>
      <c r="B512" s="12" t="e">
        <f>'[4]#REF'!B512</f>
        <v>#REF!</v>
      </c>
      <c r="C512" s="31" t="e">
        <f>'[4]#REF'!D512</f>
        <v>#REF!</v>
      </c>
      <c r="D512" s="32" t="e">
        <f t="shared" si="21"/>
        <v>#REF!</v>
      </c>
      <c r="F512" s="12" t="e">
        <f>'[4]#REF'!F512</f>
        <v>#REF!</v>
      </c>
      <c r="G512" s="12" t="e">
        <f>'[4]#REF'!G512</f>
        <v>#REF!</v>
      </c>
      <c r="H512" s="31" t="e">
        <f>'[4]#REF'!I512</f>
        <v>#REF!</v>
      </c>
      <c r="I512" s="32" t="e">
        <f t="shared" si="22"/>
        <v>#REF!</v>
      </c>
      <c r="K512" s="12" t="e">
        <f>'[4]#REF'!K512</f>
        <v>#REF!</v>
      </c>
      <c r="L512" s="12" t="e">
        <f>'[4]#REF'!L512</f>
        <v>#REF!</v>
      </c>
      <c r="M512" s="31" t="e">
        <f>'[4]#REF'!N512</f>
        <v>#REF!</v>
      </c>
      <c r="N512" s="32" t="e">
        <f t="shared" si="23"/>
        <v>#REF!</v>
      </c>
    </row>
    <row r="513" ht="15.75" spans="1:14">
      <c r="A513" s="12" t="e">
        <f>'[4]#REF'!A513</f>
        <v>#REF!</v>
      </c>
      <c r="B513" s="12" t="e">
        <f>'[4]#REF'!B513</f>
        <v>#REF!</v>
      </c>
      <c r="C513" s="31" t="e">
        <f>'[4]#REF'!D513</f>
        <v>#REF!</v>
      </c>
      <c r="D513" s="32" t="e">
        <f t="shared" si="21"/>
        <v>#REF!</v>
      </c>
      <c r="F513" s="12" t="e">
        <f>'[4]#REF'!F513</f>
        <v>#REF!</v>
      </c>
      <c r="G513" s="12" t="e">
        <f>'[4]#REF'!G513</f>
        <v>#REF!</v>
      </c>
      <c r="H513" s="31" t="e">
        <f>'[4]#REF'!I513</f>
        <v>#REF!</v>
      </c>
      <c r="I513" s="32" t="e">
        <f t="shared" si="22"/>
        <v>#REF!</v>
      </c>
      <c r="K513" s="12" t="e">
        <f>'[4]#REF'!K513</f>
        <v>#REF!</v>
      </c>
      <c r="L513" s="12" t="e">
        <f>'[4]#REF'!L513</f>
        <v>#REF!</v>
      </c>
      <c r="M513" s="31" t="e">
        <f>'[4]#REF'!N513</f>
        <v>#REF!</v>
      </c>
      <c r="N513" s="32" t="e">
        <f t="shared" si="23"/>
        <v>#REF!</v>
      </c>
    </row>
    <row r="514" ht="15.75" spans="1:14">
      <c r="A514" s="12" t="e">
        <f>'[4]#REF'!A514</f>
        <v>#REF!</v>
      </c>
      <c r="B514" s="12" t="e">
        <f>'[4]#REF'!B514</f>
        <v>#REF!</v>
      </c>
      <c r="C514" s="31" t="e">
        <f>'[4]#REF'!D514</f>
        <v>#REF!</v>
      </c>
      <c r="D514" s="32" t="e">
        <f t="shared" si="21"/>
        <v>#REF!</v>
      </c>
      <c r="F514" s="12" t="e">
        <f>'[4]#REF'!F514</f>
        <v>#REF!</v>
      </c>
      <c r="G514" s="12" t="e">
        <f>'[4]#REF'!G514</f>
        <v>#REF!</v>
      </c>
      <c r="H514" s="31" t="e">
        <f>'[4]#REF'!I514</f>
        <v>#REF!</v>
      </c>
      <c r="I514" s="32" t="e">
        <f t="shared" si="22"/>
        <v>#REF!</v>
      </c>
      <c r="K514" s="12" t="e">
        <f>'[4]#REF'!K514</f>
        <v>#REF!</v>
      </c>
      <c r="L514" s="12" t="e">
        <f>'[4]#REF'!L514</f>
        <v>#REF!</v>
      </c>
      <c r="M514" s="31" t="e">
        <f>'[4]#REF'!N514</f>
        <v>#REF!</v>
      </c>
      <c r="N514" s="32" t="e">
        <f t="shared" si="23"/>
        <v>#REF!</v>
      </c>
    </row>
    <row r="515" ht="15.75" spans="1:14">
      <c r="A515" s="12" t="e">
        <f>'[4]#REF'!A515</f>
        <v>#REF!</v>
      </c>
      <c r="B515" s="12" t="e">
        <f>'[4]#REF'!B515</f>
        <v>#REF!</v>
      </c>
      <c r="C515" s="31" t="e">
        <f>'[4]#REF'!D515</f>
        <v>#REF!</v>
      </c>
      <c r="D515" s="32" t="e">
        <f t="shared" si="21"/>
        <v>#REF!</v>
      </c>
      <c r="F515" s="12" t="e">
        <f>'[4]#REF'!F515</f>
        <v>#REF!</v>
      </c>
      <c r="G515" s="12" t="e">
        <f>'[4]#REF'!G515</f>
        <v>#REF!</v>
      </c>
      <c r="H515" s="31" t="e">
        <f>'[4]#REF'!I515</f>
        <v>#REF!</v>
      </c>
      <c r="I515" s="32" t="e">
        <f t="shared" si="22"/>
        <v>#REF!</v>
      </c>
      <c r="K515" s="12" t="e">
        <f>'[4]#REF'!K515</f>
        <v>#REF!</v>
      </c>
      <c r="L515" s="12" t="e">
        <f>'[4]#REF'!L515</f>
        <v>#REF!</v>
      </c>
      <c r="M515" s="31" t="e">
        <f>'[4]#REF'!N515</f>
        <v>#REF!</v>
      </c>
      <c r="N515" s="32" t="e">
        <f t="shared" si="23"/>
        <v>#REF!</v>
      </c>
    </row>
    <row r="516" ht="15.75" spans="1:14">
      <c r="A516" s="12" t="e">
        <f>'[4]#REF'!A516</f>
        <v>#REF!</v>
      </c>
      <c r="B516" s="12" t="e">
        <f>'[4]#REF'!B516</f>
        <v>#REF!</v>
      </c>
      <c r="C516" s="31" t="e">
        <f>'[4]#REF'!D516</f>
        <v>#REF!</v>
      </c>
      <c r="D516" s="32" t="e">
        <f t="shared" si="21"/>
        <v>#REF!</v>
      </c>
      <c r="F516" s="12" t="e">
        <f>'[4]#REF'!F516</f>
        <v>#REF!</v>
      </c>
      <c r="G516" s="12" t="e">
        <f>'[4]#REF'!G516</f>
        <v>#REF!</v>
      </c>
      <c r="H516" s="31" t="e">
        <f>'[4]#REF'!I516</f>
        <v>#REF!</v>
      </c>
      <c r="I516" s="32" t="e">
        <f t="shared" si="22"/>
        <v>#REF!</v>
      </c>
      <c r="K516" s="12" t="e">
        <f>'[4]#REF'!K516</f>
        <v>#REF!</v>
      </c>
      <c r="L516" s="12" t="e">
        <f>'[4]#REF'!L516</f>
        <v>#REF!</v>
      </c>
      <c r="M516" s="31" t="e">
        <f>'[4]#REF'!N516</f>
        <v>#REF!</v>
      </c>
      <c r="N516" s="32" t="e">
        <f t="shared" si="23"/>
        <v>#REF!</v>
      </c>
    </row>
    <row r="517" ht="15.75" spans="1:14">
      <c r="A517" s="12" t="e">
        <f>'[4]#REF'!A517</f>
        <v>#REF!</v>
      </c>
      <c r="B517" s="12" t="e">
        <f>'[4]#REF'!B517</f>
        <v>#REF!</v>
      </c>
      <c r="C517" s="31" t="e">
        <f>'[4]#REF'!D517</f>
        <v>#REF!</v>
      </c>
      <c r="D517" s="32" t="e">
        <f t="shared" si="21"/>
        <v>#REF!</v>
      </c>
      <c r="F517" s="12" t="e">
        <f>'[4]#REF'!F517</f>
        <v>#REF!</v>
      </c>
      <c r="G517" s="12" t="e">
        <f>'[4]#REF'!G517</f>
        <v>#REF!</v>
      </c>
      <c r="H517" s="31" t="e">
        <f>'[4]#REF'!I517</f>
        <v>#REF!</v>
      </c>
      <c r="I517" s="32" t="e">
        <f t="shared" si="22"/>
        <v>#REF!</v>
      </c>
      <c r="K517" s="12" t="e">
        <f>'[4]#REF'!K517</f>
        <v>#REF!</v>
      </c>
      <c r="L517" s="12" t="e">
        <f>'[4]#REF'!L517</f>
        <v>#REF!</v>
      </c>
      <c r="M517" s="31" t="e">
        <f>'[4]#REF'!N517</f>
        <v>#REF!</v>
      </c>
      <c r="N517" s="32" t="e">
        <f t="shared" si="23"/>
        <v>#REF!</v>
      </c>
    </row>
    <row r="518" ht="15.75" spans="1:14">
      <c r="A518" s="12" t="e">
        <f>'[4]#REF'!A518</f>
        <v>#REF!</v>
      </c>
      <c r="B518" s="12" t="e">
        <f>'[4]#REF'!B518</f>
        <v>#REF!</v>
      </c>
      <c r="C518" s="31" t="e">
        <f>'[4]#REF'!D518</f>
        <v>#REF!</v>
      </c>
      <c r="D518" s="32" t="e">
        <f t="shared" ref="D518:D581" si="24">ROUND(C518/$D$4*100,2)</f>
        <v>#REF!</v>
      </c>
      <c r="F518" s="12" t="e">
        <f>'[4]#REF'!F518</f>
        <v>#REF!</v>
      </c>
      <c r="G518" s="12" t="e">
        <f>'[4]#REF'!G518</f>
        <v>#REF!</v>
      </c>
      <c r="H518" s="31" t="e">
        <f>'[4]#REF'!I518</f>
        <v>#REF!</v>
      </c>
      <c r="I518" s="32" t="e">
        <f t="shared" ref="I518:I581" si="25">ROUND(H518/$I$4*100,2)</f>
        <v>#REF!</v>
      </c>
      <c r="K518" s="12" t="e">
        <f>'[4]#REF'!K518</f>
        <v>#REF!</v>
      </c>
      <c r="L518" s="12" t="e">
        <f>'[4]#REF'!L518</f>
        <v>#REF!</v>
      </c>
      <c r="M518" s="31" t="e">
        <f>'[4]#REF'!N518</f>
        <v>#REF!</v>
      </c>
      <c r="N518" s="32" t="e">
        <f t="shared" ref="N518:N581" si="26">ROUND(M518/$N$4*100,2)</f>
        <v>#REF!</v>
      </c>
    </row>
    <row r="519" ht="15.75" spans="1:14">
      <c r="A519" s="12" t="e">
        <f>'[4]#REF'!A519</f>
        <v>#REF!</v>
      </c>
      <c r="B519" s="12" t="e">
        <f>'[4]#REF'!B519</f>
        <v>#REF!</v>
      </c>
      <c r="C519" s="31" t="e">
        <f>'[4]#REF'!D519</f>
        <v>#REF!</v>
      </c>
      <c r="D519" s="32" t="e">
        <f t="shared" si="24"/>
        <v>#REF!</v>
      </c>
      <c r="F519" s="12" t="e">
        <f>'[4]#REF'!F519</f>
        <v>#REF!</v>
      </c>
      <c r="G519" s="12" t="e">
        <f>'[4]#REF'!G519</f>
        <v>#REF!</v>
      </c>
      <c r="H519" s="31" t="e">
        <f>'[4]#REF'!I519</f>
        <v>#REF!</v>
      </c>
      <c r="I519" s="32" t="e">
        <f t="shared" si="25"/>
        <v>#REF!</v>
      </c>
      <c r="K519" s="12" t="e">
        <f>'[4]#REF'!K519</f>
        <v>#REF!</v>
      </c>
      <c r="L519" s="12" t="e">
        <f>'[4]#REF'!L519</f>
        <v>#REF!</v>
      </c>
      <c r="M519" s="31" t="e">
        <f>'[4]#REF'!N519</f>
        <v>#REF!</v>
      </c>
      <c r="N519" s="32" t="e">
        <f t="shared" si="26"/>
        <v>#REF!</v>
      </c>
    </row>
    <row r="520" ht="15.75" spans="1:14">
      <c r="A520" s="12" t="e">
        <f>'[4]#REF'!A520</f>
        <v>#REF!</v>
      </c>
      <c r="B520" s="12" t="e">
        <f>'[4]#REF'!B520</f>
        <v>#REF!</v>
      </c>
      <c r="C520" s="31" t="e">
        <f>'[4]#REF'!D520</f>
        <v>#REF!</v>
      </c>
      <c r="D520" s="32" t="e">
        <f t="shared" si="24"/>
        <v>#REF!</v>
      </c>
      <c r="F520" s="12" t="e">
        <f>'[4]#REF'!F520</f>
        <v>#REF!</v>
      </c>
      <c r="G520" s="12" t="e">
        <f>'[4]#REF'!G520</f>
        <v>#REF!</v>
      </c>
      <c r="H520" s="31" t="e">
        <f>'[4]#REF'!I520</f>
        <v>#REF!</v>
      </c>
      <c r="I520" s="32" t="e">
        <f t="shared" si="25"/>
        <v>#REF!</v>
      </c>
      <c r="K520" s="12" t="e">
        <f>'[4]#REF'!K520</f>
        <v>#REF!</v>
      </c>
      <c r="L520" s="12" t="e">
        <f>'[4]#REF'!L520</f>
        <v>#REF!</v>
      </c>
      <c r="M520" s="31" t="e">
        <f>'[4]#REF'!N520</f>
        <v>#REF!</v>
      </c>
      <c r="N520" s="32" t="e">
        <f t="shared" si="26"/>
        <v>#REF!</v>
      </c>
    </row>
    <row r="521" ht="15.75" spans="1:14">
      <c r="A521" s="12" t="e">
        <f>'[4]#REF'!A521</f>
        <v>#REF!</v>
      </c>
      <c r="B521" s="12" t="e">
        <f>'[4]#REF'!B521</f>
        <v>#REF!</v>
      </c>
      <c r="C521" s="31" t="e">
        <f>'[4]#REF'!D521</f>
        <v>#REF!</v>
      </c>
      <c r="D521" s="32" t="e">
        <f t="shared" si="24"/>
        <v>#REF!</v>
      </c>
      <c r="F521" s="12" t="e">
        <f>'[4]#REF'!F521</f>
        <v>#REF!</v>
      </c>
      <c r="G521" s="12" t="e">
        <f>'[4]#REF'!G521</f>
        <v>#REF!</v>
      </c>
      <c r="H521" s="31" t="e">
        <f>'[4]#REF'!I521</f>
        <v>#REF!</v>
      </c>
      <c r="I521" s="32" t="e">
        <f t="shared" si="25"/>
        <v>#REF!</v>
      </c>
      <c r="K521" s="12" t="e">
        <f>'[4]#REF'!K521</f>
        <v>#REF!</v>
      </c>
      <c r="L521" s="12" t="e">
        <f>'[4]#REF'!L521</f>
        <v>#REF!</v>
      </c>
      <c r="M521" s="31" t="e">
        <f>'[4]#REF'!N521</f>
        <v>#REF!</v>
      </c>
      <c r="N521" s="32" t="e">
        <f t="shared" si="26"/>
        <v>#REF!</v>
      </c>
    </row>
    <row r="522" ht="15.75" spans="1:14">
      <c r="A522" s="12" t="e">
        <f>'[4]#REF'!A522</f>
        <v>#REF!</v>
      </c>
      <c r="B522" s="12" t="e">
        <f>'[4]#REF'!B522</f>
        <v>#REF!</v>
      </c>
      <c r="C522" s="31" t="e">
        <f>'[4]#REF'!D522</f>
        <v>#REF!</v>
      </c>
      <c r="D522" s="32" t="e">
        <f t="shared" si="24"/>
        <v>#REF!</v>
      </c>
      <c r="F522" s="12" t="e">
        <f>'[4]#REF'!F522</f>
        <v>#REF!</v>
      </c>
      <c r="G522" s="12" t="e">
        <f>'[4]#REF'!G522</f>
        <v>#REF!</v>
      </c>
      <c r="H522" s="31" t="e">
        <f>'[4]#REF'!I522</f>
        <v>#REF!</v>
      </c>
      <c r="I522" s="32" t="e">
        <f t="shared" si="25"/>
        <v>#REF!</v>
      </c>
      <c r="K522" s="12" t="e">
        <f>'[4]#REF'!K522</f>
        <v>#REF!</v>
      </c>
      <c r="L522" s="12" t="e">
        <f>'[4]#REF'!L522</f>
        <v>#REF!</v>
      </c>
      <c r="M522" s="31" t="e">
        <f>'[4]#REF'!N522</f>
        <v>#REF!</v>
      </c>
      <c r="N522" s="32" t="e">
        <f t="shared" si="26"/>
        <v>#REF!</v>
      </c>
    </row>
    <row r="523" ht="15.75" spans="1:14">
      <c r="A523" s="12" t="e">
        <f>'[4]#REF'!A523</f>
        <v>#REF!</v>
      </c>
      <c r="B523" s="12" t="e">
        <f>'[4]#REF'!B523</f>
        <v>#REF!</v>
      </c>
      <c r="C523" s="31" t="e">
        <f>'[4]#REF'!D523</f>
        <v>#REF!</v>
      </c>
      <c r="D523" s="32" t="e">
        <f t="shared" si="24"/>
        <v>#REF!</v>
      </c>
      <c r="F523" s="12" t="e">
        <f>'[4]#REF'!F523</f>
        <v>#REF!</v>
      </c>
      <c r="G523" s="12" t="e">
        <f>'[4]#REF'!G523</f>
        <v>#REF!</v>
      </c>
      <c r="H523" s="31" t="e">
        <f>'[4]#REF'!I523</f>
        <v>#REF!</v>
      </c>
      <c r="I523" s="32" t="e">
        <f t="shared" si="25"/>
        <v>#REF!</v>
      </c>
      <c r="K523" s="12" t="e">
        <f>'[4]#REF'!K523</f>
        <v>#REF!</v>
      </c>
      <c r="L523" s="12" t="e">
        <f>'[4]#REF'!L523</f>
        <v>#REF!</v>
      </c>
      <c r="M523" s="31" t="e">
        <f>'[4]#REF'!N523</f>
        <v>#REF!</v>
      </c>
      <c r="N523" s="32" t="e">
        <f t="shared" si="26"/>
        <v>#REF!</v>
      </c>
    </row>
    <row r="524" ht="15.75" spans="1:14">
      <c r="A524" s="12" t="e">
        <f>'[4]#REF'!A524</f>
        <v>#REF!</v>
      </c>
      <c r="B524" s="12" t="e">
        <f>'[4]#REF'!B524</f>
        <v>#REF!</v>
      </c>
      <c r="C524" s="31" t="e">
        <f>'[4]#REF'!D524</f>
        <v>#REF!</v>
      </c>
      <c r="D524" s="32" t="e">
        <f t="shared" si="24"/>
        <v>#REF!</v>
      </c>
      <c r="F524" s="12" t="e">
        <f>'[4]#REF'!F524</f>
        <v>#REF!</v>
      </c>
      <c r="G524" s="12" t="e">
        <f>'[4]#REF'!G524</f>
        <v>#REF!</v>
      </c>
      <c r="H524" s="31" t="e">
        <f>'[4]#REF'!I524</f>
        <v>#REF!</v>
      </c>
      <c r="I524" s="32" t="e">
        <f t="shared" si="25"/>
        <v>#REF!</v>
      </c>
      <c r="K524" s="12" t="e">
        <f>'[4]#REF'!K524</f>
        <v>#REF!</v>
      </c>
      <c r="L524" s="12" t="e">
        <f>'[4]#REF'!L524</f>
        <v>#REF!</v>
      </c>
      <c r="M524" s="31" t="e">
        <f>'[4]#REF'!N524</f>
        <v>#REF!</v>
      </c>
      <c r="N524" s="32" t="e">
        <f t="shared" si="26"/>
        <v>#REF!</v>
      </c>
    </row>
    <row r="525" ht="15.75" spans="1:14">
      <c r="A525" s="12" t="e">
        <f>'[4]#REF'!A525</f>
        <v>#REF!</v>
      </c>
      <c r="B525" s="12" t="e">
        <f>'[4]#REF'!B525</f>
        <v>#REF!</v>
      </c>
      <c r="C525" s="31" t="e">
        <f>'[4]#REF'!D525</f>
        <v>#REF!</v>
      </c>
      <c r="D525" s="32" t="e">
        <f t="shared" si="24"/>
        <v>#REF!</v>
      </c>
      <c r="F525" s="12" t="e">
        <f>'[4]#REF'!F525</f>
        <v>#REF!</v>
      </c>
      <c r="G525" s="12" t="e">
        <f>'[4]#REF'!G525</f>
        <v>#REF!</v>
      </c>
      <c r="H525" s="31" t="e">
        <f>'[4]#REF'!I525</f>
        <v>#REF!</v>
      </c>
      <c r="I525" s="32" t="e">
        <f t="shared" si="25"/>
        <v>#REF!</v>
      </c>
      <c r="K525" s="12" t="e">
        <f>'[4]#REF'!K525</f>
        <v>#REF!</v>
      </c>
      <c r="L525" s="12" t="e">
        <f>'[4]#REF'!L525</f>
        <v>#REF!</v>
      </c>
      <c r="M525" s="31" t="e">
        <f>'[4]#REF'!N525</f>
        <v>#REF!</v>
      </c>
      <c r="N525" s="32" t="e">
        <f t="shared" si="26"/>
        <v>#REF!</v>
      </c>
    </row>
    <row r="526" ht="15.75" spans="1:14">
      <c r="A526" s="12" t="e">
        <f>'[4]#REF'!A526</f>
        <v>#REF!</v>
      </c>
      <c r="B526" s="12" t="e">
        <f>'[4]#REF'!B526</f>
        <v>#REF!</v>
      </c>
      <c r="C526" s="31" t="e">
        <f>'[4]#REF'!D526</f>
        <v>#REF!</v>
      </c>
      <c r="D526" s="32" t="e">
        <f t="shared" si="24"/>
        <v>#REF!</v>
      </c>
      <c r="F526" s="12" t="e">
        <f>'[4]#REF'!F526</f>
        <v>#REF!</v>
      </c>
      <c r="G526" s="12" t="e">
        <f>'[4]#REF'!G526</f>
        <v>#REF!</v>
      </c>
      <c r="H526" s="31" t="e">
        <f>'[4]#REF'!I526</f>
        <v>#REF!</v>
      </c>
      <c r="I526" s="32" t="e">
        <f t="shared" si="25"/>
        <v>#REF!</v>
      </c>
      <c r="K526" s="12" t="e">
        <f>'[4]#REF'!K526</f>
        <v>#REF!</v>
      </c>
      <c r="L526" s="12" t="e">
        <f>'[4]#REF'!L526</f>
        <v>#REF!</v>
      </c>
      <c r="M526" s="31" t="e">
        <f>'[4]#REF'!N526</f>
        <v>#REF!</v>
      </c>
      <c r="N526" s="32" t="e">
        <f t="shared" si="26"/>
        <v>#REF!</v>
      </c>
    </row>
    <row r="527" ht="15.75" spans="1:14">
      <c r="A527" s="12" t="e">
        <f>'[4]#REF'!A527</f>
        <v>#REF!</v>
      </c>
      <c r="B527" s="12" t="e">
        <f>'[4]#REF'!B527</f>
        <v>#REF!</v>
      </c>
      <c r="C527" s="31" t="e">
        <f>'[4]#REF'!D527</f>
        <v>#REF!</v>
      </c>
      <c r="D527" s="32" t="e">
        <f t="shared" si="24"/>
        <v>#REF!</v>
      </c>
      <c r="F527" s="12" t="e">
        <f>'[4]#REF'!F527</f>
        <v>#REF!</v>
      </c>
      <c r="G527" s="12" t="e">
        <f>'[4]#REF'!G527</f>
        <v>#REF!</v>
      </c>
      <c r="H527" s="31" t="e">
        <f>'[4]#REF'!I527</f>
        <v>#REF!</v>
      </c>
      <c r="I527" s="32" t="e">
        <f t="shared" si="25"/>
        <v>#REF!</v>
      </c>
      <c r="K527" s="12" t="e">
        <f>'[4]#REF'!K527</f>
        <v>#REF!</v>
      </c>
      <c r="L527" s="12" t="e">
        <f>'[4]#REF'!L527</f>
        <v>#REF!</v>
      </c>
      <c r="M527" s="31" t="e">
        <f>'[4]#REF'!N527</f>
        <v>#REF!</v>
      </c>
      <c r="N527" s="32" t="e">
        <f t="shared" si="26"/>
        <v>#REF!</v>
      </c>
    </row>
    <row r="528" ht="15.75" spans="1:14">
      <c r="A528" s="12" t="e">
        <f>'[4]#REF'!A528</f>
        <v>#REF!</v>
      </c>
      <c r="B528" s="12" t="e">
        <f>'[4]#REF'!B528</f>
        <v>#REF!</v>
      </c>
      <c r="C528" s="31" t="e">
        <f>'[4]#REF'!D528</f>
        <v>#REF!</v>
      </c>
      <c r="D528" s="32" t="e">
        <f t="shared" si="24"/>
        <v>#REF!</v>
      </c>
      <c r="F528" s="12" t="e">
        <f>'[4]#REF'!F528</f>
        <v>#REF!</v>
      </c>
      <c r="G528" s="12" t="e">
        <f>'[4]#REF'!G528</f>
        <v>#REF!</v>
      </c>
      <c r="H528" s="31" t="e">
        <f>'[4]#REF'!I528</f>
        <v>#REF!</v>
      </c>
      <c r="I528" s="32" t="e">
        <f t="shared" si="25"/>
        <v>#REF!</v>
      </c>
      <c r="K528" s="12" t="e">
        <f>'[4]#REF'!K528</f>
        <v>#REF!</v>
      </c>
      <c r="L528" s="12" t="e">
        <f>'[4]#REF'!L528</f>
        <v>#REF!</v>
      </c>
      <c r="M528" s="31" t="e">
        <f>'[4]#REF'!N528</f>
        <v>#REF!</v>
      </c>
      <c r="N528" s="32" t="e">
        <f t="shared" si="26"/>
        <v>#REF!</v>
      </c>
    </row>
    <row r="529" ht="15.75" spans="1:14">
      <c r="A529" s="12" t="e">
        <f>'[4]#REF'!A529</f>
        <v>#REF!</v>
      </c>
      <c r="B529" s="12" t="e">
        <f>'[4]#REF'!B529</f>
        <v>#REF!</v>
      </c>
      <c r="C529" s="31" t="e">
        <f>'[4]#REF'!D529</f>
        <v>#REF!</v>
      </c>
      <c r="D529" s="32" t="e">
        <f t="shared" si="24"/>
        <v>#REF!</v>
      </c>
      <c r="F529" s="12" t="e">
        <f>'[4]#REF'!F529</f>
        <v>#REF!</v>
      </c>
      <c r="G529" s="12" t="e">
        <f>'[4]#REF'!G529</f>
        <v>#REF!</v>
      </c>
      <c r="H529" s="31" t="e">
        <f>'[4]#REF'!I529</f>
        <v>#REF!</v>
      </c>
      <c r="I529" s="32" t="e">
        <f t="shared" si="25"/>
        <v>#REF!</v>
      </c>
      <c r="K529" s="12" t="e">
        <f>'[4]#REF'!K529</f>
        <v>#REF!</v>
      </c>
      <c r="L529" s="12" t="e">
        <f>'[4]#REF'!L529</f>
        <v>#REF!</v>
      </c>
      <c r="M529" s="31" t="e">
        <f>'[4]#REF'!N529</f>
        <v>#REF!</v>
      </c>
      <c r="N529" s="32" t="e">
        <f t="shared" si="26"/>
        <v>#REF!</v>
      </c>
    </row>
    <row r="530" ht="15.75" spans="1:14">
      <c r="A530" s="12" t="e">
        <f>'[4]#REF'!A530</f>
        <v>#REF!</v>
      </c>
      <c r="B530" s="12" t="e">
        <f>'[4]#REF'!B530</f>
        <v>#REF!</v>
      </c>
      <c r="C530" s="31" t="e">
        <f>'[4]#REF'!D530</f>
        <v>#REF!</v>
      </c>
      <c r="D530" s="32" t="e">
        <f t="shared" si="24"/>
        <v>#REF!</v>
      </c>
      <c r="F530" s="12" t="e">
        <f>'[4]#REF'!F530</f>
        <v>#REF!</v>
      </c>
      <c r="G530" s="12" t="e">
        <f>'[4]#REF'!G530</f>
        <v>#REF!</v>
      </c>
      <c r="H530" s="31" t="e">
        <f>'[4]#REF'!I530</f>
        <v>#REF!</v>
      </c>
      <c r="I530" s="32" t="e">
        <f t="shared" si="25"/>
        <v>#REF!</v>
      </c>
      <c r="K530" s="12" t="e">
        <f>'[4]#REF'!K530</f>
        <v>#REF!</v>
      </c>
      <c r="L530" s="12" t="e">
        <f>'[4]#REF'!L530</f>
        <v>#REF!</v>
      </c>
      <c r="M530" s="31" t="e">
        <f>'[4]#REF'!N530</f>
        <v>#REF!</v>
      </c>
      <c r="N530" s="32" t="e">
        <f t="shared" si="26"/>
        <v>#REF!</v>
      </c>
    </row>
    <row r="531" ht="15.75" spans="1:14">
      <c r="A531" s="12" t="e">
        <f>'[4]#REF'!A531</f>
        <v>#REF!</v>
      </c>
      <c r="B531" s="12" t="e">
        <f>'[4]#REF'!B531</f>
        <v>#REF!</v>
      </c>
      <c r="C531" s="31" t="e">
        <f>'[4]#REF'!D531</f>
        <v>#REF!</v>
      </c>
      <c r="D531" s="32" t="e">
        <f t="shared" si="24"/>
        <v>#REF!</v>
      </c>
      <c r="F531" s="12" t="e">
        <f>'[4]#REF'!F531</f>
        <v>#REF!</v>
      </c>
      <c r="G531" s="12" t="e">
        <f>'[4]#REF'!G531</f>
        <v>#REF!</v>
      </c>
      <c r="H531" s="31" t="e">
        <f>'[4]#REF'!I531</f>
        <v>#REF!</v>
      </c>
      <c r="I531" s="32" t="e">
        <f t="shared" si="25"/>
        <v>#REF!</v>
      </c>
      <c r="K531" s="12" t="e">
        <f>'[4]#REF'!K531</f>
        <v>#REF!</v>
      </c>
      <c r="L531" s="12" t="e">
        <f>'[4]#REF'!L531</f>
        <v>#REF!</v>
      </c>
      <c r="M531" s="31" t="e">
        <f>'[4]#REF'!N531</f>
        <v>#REF!</v>
      </c>
      <c r="N531" s="32" t="e">
        <f t="shared" si="26"/>
        <v>#REF!</v>
      </c>
    </row>
    <row r="532" ht="15.75" spans="1:14">
      <c r="A532" s="12" t="e">
        <f>'[4]#REF'!A532</f>
        <v>#REF!</v>
      </c>
      <c r="B532" s="12" t="e">
        <f>'[4]#REF'!B532</f>
        <v>#REF!</v>
      </c>
      <c r="C532" s="31" t="e">
        <f>'[4]#REF'!D532</f>
        <v>#REF!</v>
      </c>
      <c r="D532" s="32" t="e">
        <f t="shared" si="24"/>
        <v>#REF!</v>
      </c>
      <c r="F532" s="12" t="e">
        <f>'[4]#REF'!F532</f>
        <v>#REF!</v>
      </c>
      <c r="G532" s="12" t="e">
        <f>'[4]#REF'!G532</f>
        <v>#REF!</v>
      </c>
      <c r="H532" s="31" t="e">
        <f>'[4]#REF'!I532</f>
        <v>#REF!</v>
      </c>
      <c r="I532" s="32" t="e">
        <f t="shared" si="25"/>
        <v>#REF!</v>
      </c>
      <c r="K532" s="12" t="e">
        <f>'[4]#REF'!K532</f>
        <v>#REF!</v>
      </c>
      <c r="L532" s="12" t="e">
        <f>'[4]#REF'!L532</f>
        <v>#REF!</v>
      </c>
      <c r="M532" s="31" t="e">
        <f>'[4]#REF'!N532</f>
        <v>#REF!</v>
      </c>
      <c r="N532" s="32" t="e">
        <f t="shared" si="26"/>
        <v>#REF!</v>
      </c>
    </row>
    <row r="533" ht="15.75" spans="1:14">
      <c r="A533" s="12" t="e">
        <f>'[4]#REF'!A533</f>
        <v>#REF!</v>
      </c>
      <c r="B533" s="12" t="e">
        <f>'[4]#REF'!B533</f>
        <v>#REF!</v>
      </c>
      <c r="C533" s="31" t="e">
        <f>'[4]#REF'!D533</f>
        <v>#REF!</v>
      </c>
      <c r="D533" s="32" t="e">
        <f t="shared" si="24"/>
        <v>#REF!</v>
      </c>
      <c r="F533" s="12" t="e">
        <f>'[4]#REF'!F533</f>
        <v>#REF!</v>
      </c>
      <c r="G533" s="12" t="e">
        <f>'[4]#REF'!G533</f>
        <v>#REF!</v>
      </c>
      <c r="H533" s="31" t="e">
        <f>'[4]#REF'!I533</f>
        <v>#REF!</v>
      </c>
      <c r="I533" s="32" t="e">
        <f t="shared" si="25"/>
        <v>#REF!</v>
      </c>
      <c r="K533" s="12" t="e">
        <f>'[4]#REF'!K533</f>
        <v>#REF!</v>
      </c>
      <c r="L533" s="12" t="e">
        <f>'[4]#REF'!L533</f>
        <v>#REF!</v>
      </c>
      <c r="M533" s="31" t="e">
        <f>'[4]#REF'!N533</f>
        <v>#REF!</v>
      </c>
      <c r="N533" s="32" t="e">
        <f t="shared" si="26"/>
        <v>#REF!</v>
      </c>
    </row>
    <row r="534" ht="15.75" spans="1:14">
      <c r="A534" s="12" t="e">
        <f>'[4]#REF'!A534</f>
        <v>#REF!</v>
      </c>
      <c r="B534" s="12" t="e">
        <f>'[4]#REF'!B534</f>
        <v>#REF!</v>
      </c>
      <c r="C534" s="31" t="e">
        <f>'[4]#REF'!D534</f>
        <v>#REF!</v>
      </c>
      <c r="D534" s="32" t="e">
        <f t="shared" si="24"/>
        <v>#REF!</v>
      </c>
      <c r="F534" s="12" t="e">
        <f>'[4]#REF'!F534</f>
        <v>#REF!</v>
      </c>
      <c r="G534" s="12" t="e">
        <f>'[4]#REF'!G534</f>
        <v>#REF!</v>
      </c>
      <c r="H534" s="31" t="e">
        <f>'[4]#REF'!I534</f>
        <v>#REF!</v>
      </c>
      <c r="I534" s="32" t="e">
        <f t="shared" si="25"/>
        <v>#REF!</v>
      </c>
      <c r="K534" s="12" t="e">
        <f>'[4]#REF'!K534</f>
        <v>#REF!</v>
      </c>
      <c r="L534" s="12" t="e">
        <f>'[4]#REF'!L534</f>
        <v>#REF!</v>
      </c>
      <c r="M534" s="31" t="e">
        <f>'[4]#REF'!N534</f>
        <v>#REF!</v>
      </c>
      <c r="N534" s="32" t="e">
        <f t="shared" si="26"/>
        <v>#REF!</v>
      </c>
    </row>
    <row r="535" ht="15.75" spans="1:14">
      <c r="A535" s="12" t="e">
        <f>'[4]#REF'!A535</f>
        <v>#REF!</v>
      </c>
      <c r="B535" s="12" t="e">
        <f>'[4]#REF'!B535</f>
        <v>#REF!</v>
      </c>
      <c r="C535" s="31" t="e">
        <f>'[4]#REF'!D535</f>
        <v>#REF!</v>
      </c>
      <c r="D535" s="32" t="e">
        <f t="shared" si="24"/>
        <v>#REF!</v>
      </c>
      <c r="F535" s="12" t="e">
        <f>'[4]#REF'!F535</f>
        <v>#REF!</v>
      </c>
      <c r="G535" s="12" t="e">
        <f>'[4]#REF'!G535</f>
        <v>#REF!</v>
      </c>
      <c r="H535" s="31" t="e">
        <f>'[4]#REF'!I535</f>
        <v>#REF!</v>
      </c>
      <c r="I535" s="32" t="e">
        <f t="shared" si="25"/>
        <v>#REF!</v>
      </c>
      <c r="K535" s="12" t="e">
        <f>'[4]#REF'!K535</f>
        <v>#REF!</v>
      </c>
      <c r="L535" s="12" t="e">
        <f>'[4]#REF'!L535</f>
        <v>#REF!</v>
      </c>
      <c r="M535" s="31" t="e">
        <f>'[4]#REF'!N535</f>
        <v>#REF!</v>
      </c>
      <c r="N535" s="32" t="e">
        <f t="shared" si="26"/>
        <v>#REF!</v>
      </c>
    </row>
    <row r="536" ht="15.75" spans="1:14">
      <c r="A536" s="12" t="e">
        <f>'[4]#REF'!A536</f>
        <v>#REF!</v>
      </c>
      <c r="B536" s="12" t="e">
        <f>'[4]#REF'!B536</f>
        <v>#REF!</v>
      </c>
      <c r="C536" s="31" t="e">
        <f>'[4]#REF'!D536</f>
        <v>#REF!</v>
      </c>
      <c r="D536" s="32" t="e">
        <f t="shared" si="24"/>
        <v>#REF!</v>
      </c>
      <c r="F536" s="12" t="e">
        <f>'[4]#REF'!F536</f>
        <v>#REF!</v>
      </c>
      <c r="G536" s="12" t="e">
        <f>'[4]#REF'!G536</f>
        <v>#REF!</v>
      </c>
      <c r="H536" s="31" t="e">
        <f>'[4]#REF'!I536</f>
        <v>#REF!</v>
      </c>
      <c r="I536" s="32" t="e">
        <f t="shared" si="25"/>
        <v>#REF!</v>
      </c>
      <c r="K536" s="12" t="e">
        <f>'[4]#REF'!K536</f>
        <v>#REF!</v>
      </c>
      <c r="L536" s="12" t="e">
        <f>'[4]#REF'!L536</f>
        <v>#REF!</v>
      </c>
      <c r="M536" s="31" t="e">
        <f>'[4]#REF'!N536</f>
        <v>#REF!</v>
      </c>
      <c r="N536" s="32" t="e">
        <f t="shared" si="26"/>
        <v>#REF!</v>
      </c>
    </row>
    <row r="537" ht="15.75" spans="1:14">
      <c r="A537" s="12" t="e">
        <f>'[4]#REF'!A537</f>
        <v>#REF!</v>
      </c>
      <c r="B537" s="12" t="e">
        <f>'[4]#REF'!B537</f>
        <v>#REF!</v>
      </c>
      <c r="C537" s="31" t="e">
        <f>'[4]#REF'!D537</f>
        <v>#REF!</v>
      </c>
      <c r="D537" s="32" t="e">
        <f t="shared" si="24"/>
        <v>#REF!</v>
      </c>
      <c r="F537" s="12" t="e">
        <f>'[4]#REF'!F537</f>
        <v>#REF!</v>
      </c>
      <c r="G537" s="12" t="e">
        <f>'[4]#REF'!G537</f>
        <v>#REF!</v>
      </c>
      <c r="H537" s="31" t="e">
        <f>'[4]#REF'!I537</f>
        <v>#REF!</v>
      </c>
      <c r="I537" s="32" t="e">
        <f t="shared" si="25"/>
        <v>#REF!</v>
      </c>
      <c r="K537" s="12" t="e">
        <f>'[4]#REF'!K537</f>
        <v>#REF!</v>
      </c>
      <c r="L537" s="12" t="e">
        <f>'[4]#REF'!L537</f>
        <v>#REF!</v>
      </c>
      <c r="M537" s="31" t="e">
        <f>'[4]#REF'!N537</f>
        <v>#REF!</v>
      </c>
      <c r="N537" s="32" t="e">
        <f t="shared" si="26"/>
        <v>#REF!</v>
      </c>
    </row>
    <row r="538" ht="15.75" spans="1:14">
      <c r="A538" s="12" t="e">
        <f>'[4]#REF'!A538</f>
        <v>#REF!</v>
      </c>
      <c r="B538" s="12" t="e">
        <f>'[4]#REF'!B538</f>
        <v>#REF!</v>
      </c>
      <c r="C538" s="31" t="e">
        <f>'[4]#REF'!D538</f>
        <v>#REF!</v>
      </c>
      <c r="D538" s="32" t="e">
        <f t="shared" si="24"/>
        <v>#REF!</v>
      </c>
      <c r="F538" s="12" t="e">
        <f>'[4]#REF'!F538</f>
        <v>#REF!</v>
      </c>
      <c r="G538" s="12" t="e">
        <f>'[4]#REF'!G538</f>
        <v>#REF!</v>
      </c>
      <c r="H538" s="31" t="e">
        <f>'[4]#REF'!I538</f>
        <v>#REF!</v>
      </c>
      <c r="I538" s="32" t="e">
        <f t="shared" si="25"/>
        <v>#REF!</v>
      </c>
      <c r="K538" s="12" t="e">
        <f>'[4]#REF'!K538</f>
        <v>#REF!</v>
      </c>
      <c r="L538" s="12" t="e">
        <f>'[4]#REF'!L538</f>
        <v>#REF!</v>
      </c>
      <c r="M538" s="31" t="e">
        <f>'[4]#REF'!N538</f>
        <v>#REF!</v>
      </c>
      <c r="N538" s="32" t="e">
        <f t="shared" si="26"/>
        <v>#REF!</v>
      </c>
    </row>
    <row r="539" ht="15.75" spans="1:14">
      <c r="A539" s="12" t="e">
        <f>'[4]#REF'!A539</f>
        <v>#REF!</v>
      </c>
      <c r="B539" s="12" t="e">
        <f>'[4]#REF'!B539</f>
        <v>#REF!</v>
      </c>
      <c r="C539" s="31" t="e">
        <f>'[4]#REF'!D539</f>
        <v>#REF!</v>
      </c>
      <c r="D539" s="32" t="e">
        <f t="shared" si="24"/>
        <v>#REF!</v>
      </c>
      <c r="F539" s="12" t="e">
        <f>'[4]#REF'!F539</f>
        <v>#REF!</v>
      </c>
      <c r="G539" s="12" t="e">
        <f>'[4]#REF'!G539</f>
        <v>#REF!</v>
      </c>
      <c r="H539" s="31" t="e">
        <f>'[4]#REF'!I539</f>
        <v>#REF!</v>
      </c>
      <c r="I539" s="32" t="e">
        <f t="shared" si="25"/>
        <v>#REF!</v>
      </c>
      <c r="K539" s="12" t="e">
        <f>'[4]#REF'!K539</f>
        <v>#REF!</v>
      </c>
      <c r="L539" s="12" t="e">
        <f>'[4]#REF'!L539</f>
        <v>#REF!</v>
      </c>
      <c r="M539" s="31" t="e">
        <f>'[4]#REF'!N539</f>
        <v>#REF!</v>
      </c>
      <c r="N539" s="32" t="e">
        <f t="shared" si="26"/>
        <v>#REF!</v>
      </c>
    </row>
    <row r="540" ht="15.75" spans="1:14">
      <c r="A540" s="12" t="e">
        <f>'[4]#REF'!A540</f>
        <v>#REF!</v>
      </c>
      <c r="B540" s="12" t="e">
        <f>'[4]#REF'!B540</f>
        <v>#REF!</v>
      </c>
      <c r="C540" s="31" t="e">
        <f>'[4]#REF'!D540</f>
        <v>#REF!</v>
      </c>
      <c r="D540" s="32" t="e">
        <f t="shared" si="24"/>
        <v>#REF!</v>
      </c>
      <c r="F540" s="12" t="e">
        <f>'[4]#REF'!F540</f>
        <v>#REF!</v>
      </c>
      <c r="G540" s="12" t="e">
        <f>'[4]#REF'!G540</f>
        <v>#REF!</v>
      </c>
      <c r="H540" s="31" t="e">
        <f>'[4]#REF'!I540</f>
        <v>#REF!</v>
      </c>
      <c r="I540" s="32" t="e">
        <f t="shared" si="25"/>
        <v>#REF!</v>
      </c>
      <c r="K540" s="12" t="e">
        <f>'[4]#REF'!K540</f>
        <v>#REF!</v>
      </c>
      <c r="L540" s="12" t="e">
        <f>'[4]#REF'!L540</f>
        <v>#REF!</v>
      </c>
      <c r="M540" s="31" t="e">
        <f>'[4]#REF'!N540</f>
        <v>#REF!</v>
      </c>
      <c r="N540" s="32" t="e">
        <f t="shared" si="26"/>
        <v>#REF!</v>
      </c>
    </row>
    <row r="541" ht="15.75" spans="1:14">
      <c r="A541" s="12" t="e">
        <f>'[4]#REF'!A541</f>
        <v>#REF!</v>
      </c>
      <c r="B541" s="12" t="e">
        <f>'[4]#REF'!B541</f>
        <v>#REF!</v>
      </c>
      <c r="C541" s="31" t="e">
        <f>'[4]#REF'!D541</f>
        <v>#REF!</v>
      </c>
      <c r="D541" s="32" t="e">
        <f t="shared" si="24"/>
        <v>#REF!</v>
      </c>
      <c r="F541" s="12" t="e">
        <f>'[4]#REF'!F541</f>
        <v>#REF!</v>
      </c>
      <c r="G541" s="12" t="e">
        <f>'[4]#REF'!G541</f>
        <v>#REF!</v>
      </c>
      <c r="H541" s="31" t="e">
        <f>'[4]#REF'!I541</f>
        <v>#REF!</v>
      </c>
      <c r="I541" s="32" t="e">
        <f t="shared" si="25"/>
        <v>#REF!</v>
      </c>
      <c r="K541" s="12" t="e">
        <f>'[4]#REF'!K541</f>
        <v>#REF!</v>
      </c>
      <c r="L541" s="12" t="e">
        <f>'[4]#REF'!L541</f>
        <v>#REF!</v>
      </c>
      <c r="M541" s="31" t="e">
        <f>'[4]#REF'!N541</f>
        <v>#REF!</v>
      </c>
      <c r="N541" s="32" t="e">
        <f t="shared" si="26"/>
        <v>#REF!</v>
      </c>
    </row>
    <row r="542" ht="15.75" spans="1:14">
      <c r="A542" s="12" t="e">
        <f>'[4]#REF'!A542</f>
        <v>#REF!</v>
      </c>
      <c r="B542" s="12" t="e">
        <f>'[4]#REF'!B542</f>
        <v>#REF!</v>
      </c>
      <c r="C542" s="31" t="e">
        <f>'[4]#REF'!D542</f>
        <v>#REF!</v>
      </c>
      <c r="D542" s="32" t="e">
        <f t="shared" si="24"/>
        <v>#REF!</v>
      </c>
      <c r="F542" s="12" t="e">
        <f>'[4]#REF'!F542</f>
        <v>#REF!</v>
      </c>
      <c r="G542" s="12" t="e">
        <f>'[4]#REF'!G542</f>
        <v>#REF!</v>
      </c>
      <c r="H542" s="31" t="e">
        <f>'[4]#REF'!I542</f>
        <v>#REF!</v>
      </c>
      <c r="I542" s="32" t="e">
        <f t="shared" si="25"/>
        <v>#REF!</v>
      </c>
      <c r="K542" s="12" t="e">
        <f>'[4]#REF'!K542</f>
        <v>#REF!</v>
      </c>
      <c r="L542" s="12" t="e">
        <f>'[4]#REF'!L542</f>
        <v>#REF!</v>
      </c>
      <c r="M542" s="31" t="e">
        <f>'[4]#REF'!N542</f>
        <v>#REF!</v>
      </c>
      <c r="N542" s="32" t="e">
        <f t="shared" si="26"/>
        <v>#REF!</v>
      </c>
    </row>
    <row r="543" ht="15.75" spans="1:14">
      <c r="A543" s="12" t="e">
        <f>'[4]#REF'!A543</f>
        <v>#REF!</v>
      </c>
      <c r="B543" s="12" t="e">
        <f>'[4]#REF'!B543</f>
        <v>#REF!</v>
      </c>
      <c r="C543" s="31" t="e">
        <f>'[4]#REF'!D543</f>
        <v>#REF!</v>
      </c>
      <c r="D543" s="32" t="e">
        <f t="shared" si="24"/>
        <v>#REF!</v>
      </c>
      <c r="F543" s="12" t="e">
        <f>'[4]#REF'!F543</f>
        <v>#REF!</v>
      </c>
      <c r="G543" s="12" t="e">
        <f>'[4]#REF'!G543</f>
        <v>#REF!</v>
      </c>
      <c r="H543" s="31" t="e">
        <f>'[4]#REF'!I543</f>
        <v>#REF!</v>
      </c>
      <c r="I543" s="32" t="e">
        <f t="shared" si="25"/>
        <v>#REF!</v>
      </c>
      <c r="K543" s="12" t="e">
        <f>'[4]#REF'!K543</f>
        <v>#REF!</v>
      </c>
      <c r="L543" s="12" t="e">
        <f>'[4]#REF'!L543</f>
        <v>#REF!</v>
      </c>
      <c r="M543" s="31" t="e">
        <f>'[4]#REF'!N543</f>
        <v>#REF!</v>
      </c>
      <c r="N543" s="32" t="e">
        <f t="shared" si="26"/>
        <v>#REF!</v>
      </c>
    </row>
    <row r="544" ht="15.75" spans="1:14">
      <c r="A544" s="12" t="e">
        <f>'[4]#REF'!A544</f>
        <v>#REF!</v>
      </c>
      <c r="B544" s="12" t="e">
        <f>'[4]#REF'!B544</f>
        <v>#REF!</v>
      </c>
      <c r="C544" s="31" t="e">
        <f>'[4]#REF'!D544</f>
        <v>#REF!</v>
      </c>
      <c r="D544" s="32" t="e">
        <f t="shared" si="24"/>
        <v>#REF!</v>
      </c>
      <c r="F544" s="12" t="e">
        <f>'[4]#REF'!F544</f>
        <v>#REF!</v>
      </c>
      <c r="G544" s="12" t="e">
        <f>'[4]#REF'!G544</f>
        <v>#REF!</v>
      </c>
      <c r="H544" s="31" t="e">
        <f>'[4]#REF'!I544</f>
        <v>#REF!</v>
      </c>
      <c r="I544" s="32" t="e">
        <f t="shared" si="25"/>
        <v>#REF!</v>
      </c>
      <c r="K544" s="12" t="e">
        <f>'[4]#REF'!K544</f>
        <v>#REF!</v>
      </c>
      <c r="L544" s="12" t="e">
        <f>'[4]#REF'!L544</f>
        <v>#REF!</v>
      </c>
      <c r="M544" s="31" t="e">
        <f>'[4]#REF'!N544</f>
        <v>#REF!</v>
      </c>
      <c r="N544" s="32" t="e">
        <f t="shared" si="26"/>
        <v>#REF!</v>
      </c>
    </row>
    <row r="545" ht="15.75" spans="1:14">
      <c r="A545" s="12" t="e">
        <f>'[4]#REF'!A545</f>
        <v>#REF!</v>
      </c>
      <c r="B545" s="12" t="e">
        <f>'[4]#REF'!B545</f>
        <v>#REF!</v>
      </c>
      <c r="C545" s="31" t="e">
        <f>'[4]#REF'!D545</f>
        <v>#REF!</v>
      </c>
      <c r="D545" s="32" t="e">
        <f t="shared" si="24"/>
        <v>#REF!</v>
      </c>
      <c r="F545" s="12" t="e">
        <f>'[4]#REF'!F545</f>
        <v>#REF!</v>
      </c>
      <c r="G545" s="12" t="e">
        <f>'[4]#REF'!G545</f>
        <v>#REF!</v>
      </c>
      <c r="H545" s="31" t="e">
        <f>'[4]#REF'!I545</f>
        <v>#REF!</v>
      </c>
      <c r="I545" s="32" t="e">
        <f t="shared" si="25"/>
        <v>#REF!</v>
      </c>
      <c r="K545" s="12" t="e">
        <f>'[4]#REF'!K545</f>
        <v>#REF!</v>
      </c>
      <c r="L545" s="12" t="e">
        <f>'[4]#REF'!L545</f>
        <v>#REF!</v>
      </c>
      <c r="M545" s="31" t="e">
        <f>'[4]#REF'!N545</f>
        <v>#REF!</v>
      </c>
      <c r="N545" s="32" t="e">
        <f t="shared" si="26"/>
        <v>#REF!</v>
      </c>
    </row>
    <row r="546" ht="15.75" spans="1:14">
      <c r="A546" s="12" t="e">
        <f>'[4]#REF'!A546</f>
        <v>#REF!</v>
      </c>
      <c r="B546" s="12" t="e">
        <f>'[4]#REF'!B546</f>
        <v>#REF!</v>
      </c>
      <c r="C546" s="31" t="e">
        <f>'[4]#REF'!D546</f>
        <v>#REF!</v>
      </c>
      <c r="D546" s="32" t="e">
        <f t="shared" si="24"/>
        <v>#REF!</v>
      </c>
      <c r="F546" s="12" t="e">
        <f>'[4]#REF'!F546</f>
        <v>#REF!</v>
      </c>
      <c r="G546" s="12" t="e">
        <f>'[4]#REF'!G546</f>
        <v>#REF!</v>
      </c>
      <c r="H546" s="31" t="e">
        <f>'[4]#REF'!I546</f>
        <v>#REF!</v>
      </c>
      <c r="I546" s="32" t="e">
        <f t="shared" si="25"/>
        <v>#REF!</v>
      </c>
      <c r="K546" s="12" t="e">
        <f>'[4]#REF'!K546</f>
        <v>#REF!</v>
      </c>
      <c r="L546" s="12" t="e">
        <f>'[4]#REF'!L546</f>
        <v>#REF!</v>
      </c>
      <c r="M546" s="31" t="e">
        <f>'[4]#REF'!N546</f>
        <v>#REF!</v>
      </c>
      <c r="N546" s="32" t="e">
        <f t="shared" si="26"/>
        <v>#REF!</v>
      </c>
    </row>
    <row r="547" ht="15.75" spans="1:14">
      <c r="A547" s="12" t="e">
        <f>'[4]#REF'!A547</f>
        <v>#REF!</v>
      </c>
      <c r="B547" s="12" t="e">
        <f>'[4]#REF'!B547</f>
        <v>#REF!</v>
      </c>
      <c r="C547" s="31" t="e">
        <f>'[4]#REF'!D547</f>
        <v>#REF!</v>
      </c>
      <c r="D547" s="32" t="e">
        <f t="shared" si="24"/>
        <v>#REF!</v>
      </c>
      <c r="F547" s="12" t="e">
        <f>'[4]#REF'!F547</f>
        <v>#REF!</v>
      </c>
      <c r="G547" s="12" t="e">
        <f>'[4]#REF'!G547</f>
        <v>#REF!</v>
      </c>
      <c r="H547" s="31" t="e">
        <f>'[4]#REF'!I547</f>
        <v>#REF!</v>
      </c>
      <c r="I547" s="32" t="e">
        <f t="shared" si="25"/>
        <v>#REF!</v>
      </c>
      <c r="K547" s="12" t="e">
        <f>'[4]#REF'!K547</f>
        <v>#REF!</v>
      </c>
      <c r="L547" s="12" t="e">
        <f>'[4]#REF'!L547</f>
        <v>#REF!</v>
      </c>
      <c r="M547" s="31" t="e">
        <f>'[4]#REF'!N547</f>
        <v>#REF!</v>
      </c>
      <c r="N547" s="32" t="e">
        <f t="shared" si="26"/>
        <v>#REF!</v>
      </c>
    </row>
    <row r="548" ht="15.75" spans="1:14">
      <c r="A548" s="12" t="e">
        <f>'[4]#REF'!A548</f>
        <v>#REF!</v>
      </c>
      <c r="B548" s="12" t="e">
        <f>'[4]#REF'!B548</f>
        <v>#REF!</v>
      </c>
      <c r="C548" s="31" t="e">
        <f>'[4]#REF'!D548</f>
        <v>#REF!</v>
      </c>
      <c r="D548" s="32" t="e">
        <f t="shared" si="24"/>
        <v>#REF!</v>
      </c>
      <c r="F548" s="12" t="e">
        <f>'[4]#REF'!F548</f>
        <v>#REF!</v>
      </c>
      <c r="G548" s="12" t="e">
        <f>'[4]#REF'!G548</f>
        <v>#REF!</v>
      </c>
      <c r="H548" s="31" t="e">
        <f>'[4]#REF'!I548</f>
        <v>#REF!</v>
      </c>
      <c r="I548" s="32" t="e">
        <f t="shared" si="25"/>
        <v>#REF!</v>
      </c>
      <c r="K548" s="12" t="e">
        <f>'[4]#REF'!K548</f>
        <v>#REF!</v>
      </c>
      <c r="L548" s="12" t="e">
        <f>'[4]#REF'!L548</f>
        <v>#REF!</v>
      </c>
      <c r="M548" s="31" t="e">
        <f>'[4]#REF'!N548</f>
        <v>#REF!</v>
      </c>
      <c r="N548" s="32" t="e">
        <f t="shared" si="26"/>
        <v>#REF!</v>
      </c>
    </row>
    <row r="549" ht="15.75" spans="1:14">
      <c r="A549" s="12" t="e">
        <f>'[4]#REF'!A549</f>
        <v>#REF!</v>
      </c>
      <c r="B549" s="12" t="e">
        <f>'[4]#REF'!B549</f>
        <v>#REF!</v>
      </c>
      <c r="C549" s="31" t="e">
        <f>'[4]#REF'!D549</f>
        <v>#REF!</v>
      </c>
      <c r="D549" s="32" t="e">
        <f t="shared" si="24"/>
        <v>#REF!</v>
      </c>
      <c r="F549" s="12" t="e">
        <f>'[4]#REF'!F549</f>
        <v>#REF!</v>
      </c>
      <c r="G549" s="12" t="e">
        <f>'[4]#REF'!G549</f>
        <v>#REF!</v>
      </c>
      <c r="H549" s="31" t="e">
        <f>'[4]#REF'!I549</f>
        <v>#REF!</v>
      </c>
      <c r="I549" s="32" t="e">
        <f t="shared" si="25"/>
        <v>#REF!</v>
      </c>
      <c r="K549" s="12" t="e">
        <f>'[4]#REF'!K549</f>
        <v>#REF!</v>
      </c>
      <c r="L549" s="12" t="e">
        <f>'[4]#REF'!L549</f>
        <v>#REF!</v>
      </c>
      <c r="M549" s="31" t="e">
        <f>'[4]#REF'!N549</f>
        <v>#REF!</v>
      </c>
      <c r="N549" s="32" t="e">
        <f t="shared" si="26"/>
        <v>#REF!</v>
      </c>
    </row>
    <row r="550" ht="15.75" spans="1:14">
      <c r="A550" s="12" t="e">
        <f>'[4]#REF'!A550</f>
        <v>#REF!</v>
      </c>
      <c r="B550" s="12" t="e">
        <f>'[4]#REF'!B550</f>
        <v>#REF!</v>
      </c>
      <c r="C550" s="31" t="e">
        <f>'[4]#REF'!D550</f>
        <v>#REF!</v>
      </c>
      <c r="D550" s="32" t="e">
        <f t="shared" si="24"/>
        <v>#REF!</v>
      </c>
      <c r="F550" s="12" t="e">
        <f>'[4]#REF'!F550</f>
        <v>#REF!</v>
      </c>
      <c r="G550" s="12" t="e">
        <f>'[4]#REF'!G550</f>
        <v>#REF!</v>
      </c>
      <c r="H550" s="31" t="e">
        <f>'[4]#REF'!I550</f>
        <v>#REF!</v>
      </c>
      <c r="I550" s="32" t="e">
        <f t="shared" si="25"/>
        <v>#REF!</v>
      </c>
      <c r="K550" s="12" t="e">
        <f>'[4]#REF'!K550</f>
        <v>#REF!</v>
      </c>
      <c r="L550" s="12" t="e">
        <f>'[4]#REF'!L550</f>
        <v>#REF!</v>
      </c>
      <c r="M550" s="31" t="e">
        <f>'[4]#REF'!N550</f>
        <v>#REF!</v>
      </c>
      <c r="N550" s="32" t="e">
        <f t="shared" si="26"/>
        <v>#REF!</v>
      </c>
    </row>
    <row r="551" ht="15.75" spans="1:14">
      <c r="A551" s="12" t="e">
        <f>'[4]#REF'!A551</f>
        <v>#REF!</v>
      </c>
      <c r="B551" s="12" t="e">
        <f>'[4]#REF'!B551</f>
        <v>#REF!</v>
      </c>
      <c r="C551" s="31" t="e">
        <f>'[4]#REF'!D551</f>
        <v>#REF!</v>
      </c>
      <c r="D551" s="32" t="e">
        <f t="shared" si="24"/>
        <v>#REF!</v>
      </c>
      <c r="F551" s="12" t="e">
        <f>'[4]#REF'!F551</f>
        <v>#REF!</v>
      </c>
      <c r="G551" s="12" t="e">
        <f>'[4]#REF'!G551</f>
        <v>#REF!</v>
      </c>
      <c r="H551" s="31" t="e">
        <f>'[4]#REF'!I551</f>
        <v>#REF!</v>
      </c>
      <c r="I551" s="32" t="e">
        <f t="shared" si="25"/>
        <v>#REF!</v>
      </c>
      <c r="K551" s="12" t="e">
        <f>'[4]#REF'!K551</f>
        <v>#REF!</v>
      </c>
      <c r="L551" s="12" t="e">
        <f>'[4]#REF'!L551</f>
        <v>#REF!</v>
      </c>
      <c r="M551" s="31" t="e">
        <f>'[4]#REF'!N551</f>
        <v>#REF!</v>
      </c>
      <c r="N551" s="32" t="e">
        <f t="shared" si="26"/>
        <v>#REF!</v>
      </c>
    </row>
    <row r="552" ht="15.75" spans="1:14">
      <c r="A552" s="12" t="e">
        <f>'[4]#REF'!A552</f>
        <v>#REF!</v>
      </c>
      <c r="B552" s="12" t="e">
        <f>'[4]#REF'!B552</f>
        <v>#REF!</v>
      </c>
      <c r="C552" s="31" t="e">
        <f>'[4]#REF'!D552</f>
        <v>#REF!</v>
      </c>
      <c r="D552" s="32" t="e">
        <f t="shared" si="24"/>
        <v>#REF!</v>
      </c>
      <c r="F552" s="12" t="e">
        <f>'[4]#REF'!F552</f>
        <v>#REF!</v>
      </c>
      <c r="G552" s="12" t="e">
        <f>'[4]#REF'!G552</f>
        <v>#REF!</v>
      </c>
      <c r="H552" s="31" t="e">
        <f>'[4]#REF'!I552</f>
        <v>#REF!</v>
      </c>
      <c r="I552" s="32" t="e">
        <f t="shared" si="25"/>
        <v>#REF!</v>
      </c>
      <c r="K552" s="12" t="e">
        <f>'[4]#REF'!K552</f>
        <v>#REF!</v>
      </c>
      <c r="L552" s="12" t="e">
        <f>'[4]#REF'!L552</f>
        <v>#REF!</v>
      </c>
      <c r="M552" s="31" t="e">
        <f>'[4]#REF'!N552</f>
        <v>#REF!</v>
      </c>
      <c r="N552" s="32" t="e">
        <f t="shared" si="26"/>
        <v>#REF!</v>
      </c>
    </row>
    <row r="553" ht="15.75" spans="1:14">
      <c r="A553" s="12" t="e">
        <f>'[4]#REF'!A553</f>
        <v>#REF!</v>
      </c>
      <c r="B553" s="12" t="e">
        <f>'[4]#REF'!B553</f>
        <v>#REF!</v>
      </c>
      <c r="C553" s="31" t="e">
        <f>'[4]#REF'!D553</f>
        <v>#REF!</v>
      </c>
      <c r="D553" s="32" t="e">
        <f t="shared" si="24"/>
        <v>#REF!</v>
      </c>
      <c r="F553" s="12" t="e">
        <f>'[4]#REF'!F553</f>
        <v>#REF!</v>
      </c>
      <c r="G553" s="12" t="e">
        <f>'[4]#REF'!G553</f>
        <v>#REF!</v>
      </c>
      <c r="H553" s="31" t="e">
        <f>'[4]#REF'!I553</f>
        <v>#REF!</v>
      </c>
      <c r="I553" s="32" t="e">
        <f t="shared" si="25"/>
        <v>#REF!</v>
      </c>
      <c r="K553" s="12" t="e">
        <f>'[4]#REF'!K553</f>
        <v>#REF!</v>
      </c>
      <c r="L553" s="12" t="e">
        <f>'[4]#REF'!L553</f>
        <v>#REF!</v>
      </c>
      <c r="M553" s="31" t="e">
        <f>'[4]#REF'!N553</f>
        <v>#REF!</v>
      </c>
      <c r="N553" s="32" t="e">
        <f t="shared" si="26"/>
        <v>#REF!</v>
      </c>
    </row>
    <row r="554" ht="15.75" spans="1:14">
      <c r="A554" s="12" t="e">
        <f>'[4]#REF'!A554</f>
        <v>#REF!</v>
      </c>
      <c r="B554" s="12" t="e">
        <f>'[4]#REF'!B554</f>
        <v>#REF!</v>
      </c>
      <c r="C554" s="31" t="e">
        <f>'[4]#REF'!D554</f>
        <v>#REF!</v>
      </c>
      <c r="D554" s="32" t="e">
        <f t="shared" si="24"/>
        <v>#REF!</v>
      </c>
      <c r="F554" s="12" t="e">
        <f>'[4]#REF'!F554</f>
        <v>#REF!</v>
      </c>
      <c r="G554" s="12" t="e">
        <f>'[4]#REF'!G554</f>
        <v>#REF!</v>
      </c>
      <c r="H554" s="31" t="e">
        <f>'[4]#REF'!I554</f>
        <v>#REF!</v>
      </c>
      <c r="I554" s="32" t="e">
        <f t="shared" si="25"/>
        <v>#REF!</v>
      </c>
      <c r="K554" s="12" t="e">
        <f>'[4]#REF'!K554</f>
        <v>#REF!</v>
      </c>
      <c r="L554" s="12" t="e">
        <f>'[4]#REF'!L554</f>
        <v>#REF!</v>
      </c>
      <c r="M554" s="31" t="e">
        <f>'[4]#REF'!N554</f>
        <v>#REF!</v>
      </c>
      <c r="N554" s="32" t="e">
        <f t="shared" si="26"/>
        <v>#REF!</v>
      </c>
    </row>
    <row r="555" ht="15.75" spans="1:14">
      <c r="A555" s="12" t="e">
        <f>'[4]#REF'!A555</f>
        <v>#REF!</v>
      </c>
      <c r="B555" s="12" t="e">
        <f>'[4]#REF'!B555</f>
        <v>#REF!</v>
      </c>
      <c r="C555" s="31" t="e">
        <f>'[4]#REF'!D555</f>
        <v>#REF!</v>
      </c>
      <c r="D555" s="32" t="e">
        <f t="shared" si="24"/>
        <v>#REF!</v>
      </c>
      <c r="F555" s="12" t="e">
        <f>'[4]#REF'!F555</f>
        <v>#REF!</v>
      </c>
      <c r="G555" s="12" t="e">
        <f>'[4]#REF'!G555</f>
        <v>#REF!</v>
      </c>
      <c r="H555" s="31" t="e">
        <f>'[4]#REF'!I555</f>
        <v>#REF!</v>
      </c>
      <c r="I555" s="32" t="e">
        <f t="shared" si="25"/>
        <v>#REF!</v>
      </c>
      <c r="K555" s="12" t="e">
        <f>'[4]#REF'!K555</f>
        <v>#REF!</v>
      </c>
      <c r="L555" s="12" t="e">
        <f>'[4]#REF'!L555</f>
        <v>#REF!</v>
      </c>
      <c r="M555" s="31" t="e">
        <f>'[4]#REF'!N555</f>
        <v>#REF!</v>
      </c>
      <c r="N555" s="32" t="e">
        <f t="shared" si="26"/>
        <v>#REF!</v>
      </c>
    </row>
    <row r="556" ht="15.75" spans="1:14">
      <c r="A556" s="12" t="e">
        <f>'[4]#REF'!A556</f>
        <v>#REF!</v>
      </c>
      <c r="B556" s="12" t="e">
        <f>'[4]#REF'!B556</f>
        <v>#REF!</v>
      </c>
      <c r="C556" s="31" t="e">
        <f>'[4]#REF'!D556</f>
        <v>#REF!</v>
      </c>
      <c r="D556" s="32" t="e">
        <f t="shared" si="24"/>
        <v>#REF!</v>
      </c>
      <c r="F556" s="12" t="e">
        <f>'[4]#REF'!F556</f>
        <v>#REF!</v>
      </c>
      <c r="G556" s="12" t="e">
        <f>'[4]#REF'!G556</f>
        <v>#REF!</v>
      </c>
      <c r="H556" s="31" t="e">
        <f>'[4]#REF'!I556</f>
        <v>#REF!</v>
      </c>
      <c r="I556" s="32" t="e">
        <f t="shared" si="25"/>
        <v>#REF!</v>
      </c>
      <c r="K556" s="12" t="e">
        <f>'[4]#REF'!K556</f>
        <v>#REF!</v>
      </c>
      <c r="L556" s="12" t="e">
        <f>'[4]#REF'!L556</f>
        <v>#REF!</v>
      </c>
      <c r="M556" s="31" t="e">
        <f>'[4]#REF'!N556</f>
        <v>#REF!</v>
      </c>
      <c r="N556" s="32" t="e">
        <f t="shared" si="26"/>
        <v>#REF!</v>
      </c>
    </row>
    <row r="557" ht="15.75" spans="1:14">
      <c r="A557" s="12" t="e">
        <f>'[4]#REF'!A557</f>
        <v>#REF!</v>
      </c>
      <c r="B557" s="12" t="e">
        <f>'[4]#REF'!B557</f>
        <v>#REF!</v>
      </c>
      <c r="C557" s="31" t="e">
        <f>'[4]#REF'!D557</f>
        <v>#REF!</v>
      </c>
      <c r="D557" s="32" t="e">
        <f t="shared" si="24"/>
        <v>#REF!</v>
      </c>
      <c r="F557" s="12" t="e">
        <f>'[4]#REF'!F557</f>
        <v>#REF!</v>
      </c>
      <c r="G557" s="12" t="e">
        <f>'[4]#REF'!G557</f>
        <v>#REF!</v>
      </c>
      <c r="H557" s="31" t="e">
        <f>'[4]#REF'!I557</f>
        <v>#REF!</v>
      </c>
      <c r="I557" s="32" t="e">
        <f t="shared" si="25"/>
        <v>#REF!</v>
      </c>
      <c r="K557" s="12" t="e">
        <f>'[4]#REF'!K557</f>
        <v>#REF!</v>
      </c>
      <c r="L557" s="12" t="e">
        <f>'[4]#REF'!L557</f>
        <v>#REF!</v>
      </c>
      <c r="M557" s="31" t="e">
        <f>'[4]#REF'!N557</f>
        <v>#REF!</v>
      </c>
      <c r="N557" s="32" t="e">
        <f t="shared" si="26"/>
        <v>#REF!</v>
      </c>
    </row>
    <row r="558" ht="15.75" spans="1:14">
      <c r="A558" s="12" t="e">
        <f>'[4]#REF'!A558</f>
        <v>#REF!</v>
      </c>
      <c r="B558" s="12" t="e">
        <f>'[4]#REF'!B558</f>
        <v>#REF!</v>
      </c>
      <c r="C558" s="31" t="e">
        <f>'[4]#REF'!D558</f>
        <v>#REF!</v>
      </c>
      <c r="D558" s="32" t="e">
        <f t="shared" si="24"/>
        <v>#REF!</v>
      </c>
      <c r="F558" s="12" t="e">
        <f>'[4]#REF'!F558</f>
        <v>#REF!</v>
      </c>
      <c r="G558" s="12" t="e">
        <f>'[4]#REF'!G558</f>
        <v>#REF!</v>
      </c>
      <c r="H558" s="31" t="e">
        <f>'[4]#REF'!I558</f>
        <v>#REF!</v>
      </c>
      <c r="I558" s="32" t="e">
        <f t="shared" si="25"/>
        <v>#REF!</v>
      </c>
      <c r="K558" s="12" t="e">
        <f>'[4]#REF'!K558</f>
        <v>#REF!</v>
      </c>
      <c r="L558" s="12" t="e">
        <f>'[4]#REF'!L558</f>
        <v>#REF!</v>
      </c>
      <c r="M558" s="31" t="e">
        <f>'[4]#REF'!N558</f>
        <v>#REF!</v>
      </c>
      <c r="N558" s="32" t="e">
        <f t="shared" si="26"/>
        <v>#REF!</v>
      </c>
    </row>
    <row r="559" ht="15.75" spans="1:14">
      <c r="A559" s="12" t="e">
        <f>'[4]#REF'!A559</f>
        <v>#REF!</v>
      </c>
      <c r="B559" s="12" t="e">
        <f>'[4]#REF'!B559</f>
        <v>#REF!</v>
      </c>
      <c r="C559" s="31" t="e">
        <f>'[4]#REF'!D559</f>
        <v>#REF!</v>
      </c>
      <c r="D559" s="32" t="e">
        <f t="shared" si="24"/>
        <v>#REF!</v>
      </c>
      <c r="F559" s="12" t="e">
        <f>'[4]#REF'!F559</f>
        <v>#REF!</v>
      </c>
      <c r="G559" s="12" t="e">
        <f>'[4]#REF'!G559</f>
        <v>#REF!</v>
      </c>
      <c r="H559" s="31" t="e">
        <f>'[4]#REF'!I559</f>
        <v>#REF!</v>
      </c>
      <c r="I559" s="32" t="e">
        <f t="shared" si="25"/>
        <v>#REF!</v>
      </c>
      <c r="K559" s="12" t="e">
        <f>'[4]#REF'!K559</f>
        <v>#REF!</v>
      </c>
      <c r="L559" s="12" t="e">
        <f>'[4]#REF'!L559</f>
        <v>#REF!</v>
      </c>
      <c r="M559" s="31" t="e">
        <f>'[4]#REF'!N559</f>
        <v>#REF!</v>
      </c>
      <c r="N559" s="32" t="e">
        <f t="shared" si="26"/>
        <v>#REF!</v>
      </c>
    </row>
    <row r="560" ht="15.75" spans="1:14">
      <c r="A560" s="12" t="e">
        <f>'[4]#REF'!A560</f>
        <v>#REF!</v>
      </c>
      <c r="B560" s="12" t="e">
        <f>'[4]#REF'!B560</f>
        <v>#REF!</v>
      </c>
      <c r="C560" s="31" t="e">
        <f>'[4]#REF'!D560</f>
        <v>#REF!</v>
      </c>
      <c r="D560" s="32" t="e">
        <f t="shared" si="24"/>
        <v>#REF!</v>
      </c>
      <c r="F560" s="12" t="e">
        <f>'[4]#REF'!F560</f>
        <v>#REF!</v>
      </c>
      <c r="G560" s="12" t="e">
        <f>'[4]#REF'!G560</f>
        <v>#REF!</v>
      </c>
      <c r="H560" s="31" t="e">
        <f>'[4]#REF'!I560</f>
        <v>#REF!</v>
      </c>
      <c r="I560" s="32" t="e">
        <f t="shared" si="25"/>
        <v>#REF!</v>
      </c>
      <c r="K560" s="12" t="e">
        <f>'[4]#REF'!K560</f>
        <v>#REF!</v>
      </c>
      <c r="L560" s="12" t="e">
        <f>'[4]#REF'!L560</f>
        <v>#REF!</v>
      </c>
      <c r="M560" s="31" t="e">
        <f>'[4]#REF'!N560</f>
        <v>#REF!</v>
      </c>
      <c r="N560" s="32" t="e">
        <f t="shared" si="26"/>
        <v>#REF!</v>
      </c>
    </row>
    <row r="561" ht="15.75" spans="1:14">
      <c r="A561" s="12" t="e">
        <f>'[4]#REF'!A561</f>
        <v>#REF!</v>
      </c>
      <c r="B561" s="12" t="e">
        <f>'[4]#REF'!B561</f>
        <v>#REF!</v>
      </c>
      <c r="C561" s="31" t="e">
        <f>'[4]#REF'!D561</f>
        <v>#REF!</v>
      </c>
      <c r="D561" s="32" t="e">
        <f t="shared" si="24"/>
        <v>#REF!</v>
      </c>
      <c r="F561" s="12" t="e">
        <f>'[4]#REF'!F561</f>
        <v>#REF!</v>
      </c>
      <c r="G561" s="12" t="e">
        <f>'[4]#REF'!G561</f>
        <v>#REF!</v>
      </c>
      <c r="H561" s="31" t="e">
        <f>'[4]#REF'!I561</f>
        <v>#REF!</v>
      </c>
      <c r="I561" s="32" t="e">
        <f t="shared" si="25"/>
        <v>#REF!</v>
      </c>
      <c r="K561" s="12" t="e">
        <f>'[4]#REF'!K561</f>
        <v>#REF!</v>
      </c>
      <c r="L561" s="12" t="e">
        <f>'[4]#REF'!L561</f>
        <v>#REF!</v>
      </c>
      <c r="M561" s="31" t="e">
        <f>'[4]#REF'!N561</f>
        <v>#REF!</v>
      </c>
      <c r="N561" s="32" t="e">
        <f t="shared" si="26"/>
        <v>#REF!</v>
      </c>
    </row>
    <row r="562" ht="15.75" spans="1:14">
      <c r="A562" s="12" t="e">
        <f>'[4]#REF'!A562</f>
        <v>#REF!</v>
      </c>
      <c r="B562" s="12" t="e">
        <f>'[4]#REF'!B562</f>
        <v>#REF!</v>
      </c>
      <c r="C562" s="31" t="e">
        <f>'[4]#REF'!D562</f>
        <v>#REF!</v>
      </c>
      <c r="D562" s="32" t="e">
        <f t="shared" si="24"/>
        <v>#REF!</v>
      </c>
      <c r="F562" s="12" t="e">
        <f>'[4]#REF'!F562</f>
        <v>#REF!</v>
      </c>
      <c r="G562" s="12" t="e">
        <f>'[4]#REF'!G562</f>
        <v>#REF!</v>
      </c>
      <c r="H562" s="31" t="e">
        <f>'[4]#REF'!I562</f>
        <v>#REF!</v>
      </c>
      <c r="I562" s="32" t="e">
        <f t="shared" si="25"/>
        <v>#REF!</v>
      </c>
      <c r="K562" s="12" t="e">
        <f>'[4]#REF'!K562</f>
        <v>#REF!</v>
      </c>
      <c r="L562" s="12" t="e">
        <f>'[4]#REF'!L562</f>
        <v>#REF!</v>
      </c>
      <c r="M562" s="31" t="e">
        <f>'[4]#REF'!N562</f>
        <v>#REF!</v>
      </c>
      <c r="N562" s="32" t="e">
        <f t="shared" si="26"/>
        <v>#REF!</v>
      </c>
    </row>
    <row r="563" ht="15.75" spans="1:14">
      <c r="A563" s="12" t="e">
        <f>'[4]#REF'!A563</f>
        <v>#REF!</v>
      </c>
      <c r="B563" s="12" t="e">
        <f>'[4]#REF'!B563</f>
        <v>#REF!</v>
      </c>
      <c r="C563" s="31" t="e">
        <f>'[4]#REF'!D563</f>
        <v>#REF!</v>
      </c>
      <c r="D563" s="32" t="e">
        <f t="shared" si="24"/>
        <v>#REF!</v>
      </c>
      <c r="F563" s="12" t="e">
        <f>'[4]#REF'!F563</f>
        <v>#REF!</v>
      </c>
      <c r="G563" s="12" t="e">
        <f>'[4]#REF'!G563</f>
        <v>#REF!</v>
      </c>
      <c r="H563" s="31" t="e">
        <f>'[4]#REF'!I563</f>
        <v>#REF!</v>
      </c>
      <c r="I563" s="32" t="e">
        <f t="shared" si="25"/>
        <v>#REF!</v>
      </c>
      <c r="K563" s="12" t="e">
        <f>'[4]#REF'!K563</f>
        <v>#REF!</v>
      </c>
      <c r="L563" s="12" t="e">
        <f>'[4]#REF'!L563</f>
        <v>#REF!</v>
      </c>
      <c r="M563" s="31" t="e">
        <f>'[4]#REF'!N563</f>
        <v>#REF!</v>
      </c>
      <c r="N563" s="32" t="e">
        <f t="shared" si="26"/>
        <v>#REF!</v>
      </c>
    </row>
    <row r="564" ht="15.75" spans="1:14">
      <c r="A564" s="12" t="e">
        <f>'[4]#REF'!A564</f>
        <v>#REF!</v>
      </c>
      <c r="B564" s="12" t="e">
        <f>'[4]#REF'!B564</f>
        <v>#REF!</v>
      </c>
      <c r="C564" s="31" t="e">
        <f>'[4]#REF'!D564</f>
        <v>#REF!</v>
      </c>
      <c r="D564" s="32" t="e">
        <f t="shared" si="24"/>
        <v>#REF!</v>
      </c>
      <c r="F564" s="12" t="e">
        <f>'[4]#REF'!F564</f>
        <v>#REF!</v>
      </c>
      <c r="G564" s="12" t="e">
        <f>'[4]#REF'!G564</f>
        <v>#REF!</v>
      </c>
      <c r="H564" s="31" t="e">
        <f>'[4]#REF'!I564</f>
        <v>#REF!</v>
      </c>
      <c r="I564" s="32" t="e">
        <f t="shared" si="25"/>
        <v>#REF!</v>
      </c>
      <c r="K564" s="12" t="e">
        <f>'[4]#REF'!K564</f>
        <v>#REF!</v>
      </c>
      <c r="L564" s="12" t="e">
        <f>'[4]#REF'!L564</f>
        <v>#REF!</v>
      </c>
      <c r="M564" s="31" t="e">
        <f>'[4]#REF'!N564</f>
        <v>#REF!</v>
      </c>
      <c r="N564" s="32" t="e">
        <f t="shared" si="26"/>
        <v>#REF!</v>
      </c>
    </row>
    <row r="565" ht="15.75" spans="1:14">
      <c r="A565" s="12" t="e">
        <f>'[4]#REF'!A565</f>
        <v>#REF!</v>
      </c>
      <c r="B565" s="12" t="e">
        <f>'[4]#REF'!B565</f>
        <v>#REF!</v>
      </c>
      <c r="C565" s="31" t="e">
        <f>'[4]#REF'!D565</f>
        <v>#REF!</v>
      </c>
      <c r="D565" s="32" t="e">
        <f t="shared" si="24"/>
        <v>#REF!</v>
      </c>
      <c r="F565" s="12" t="e">
        <f>'[4]#REF'!F565</f>
        <v>#REF!</v>
      </c>
      <c r="G565" s="12" t="e">
        <f>'[4]#REF'!G565</f>
        <v>#REF!</v>
      </c>
      <c r="H565" s="31" t="e">
        <f>'[4]#REF'!I565</f>
        <v>#REF!</v>
      </c>
      <c r="I565" s="32" t="e">
        <f t="shared" si="25"/>
        <v>#REF!</v>
      </c>
      <c r="K565" s="12" t="e">
        <f>'[4]#REF'!K565</f>
        <v>#REF!</v>
      </c>
      <c r="L565" s="12" t="e">
        <f>'[4]#REF'!L565</f>
        <v>#REF!</v>
      </c>
      <c r="M565" s="31" t="e">
        <f>'[4]#REF'!N565</f>
        <v>#REF!</v>
      </c>
      <c r="N565" s="32" t="e">
        <f t="shared" si="26"/>
        <v>#REF!</v>
      </c>
    </row>
    <row r="566" ht="15.75" spans="1:14">
      <c r="A566" s="12" t="e">
        <f>'[4]#REF'!A566</f>
        <v>#REF!</v>
      </c>
      <c r="B566" s="12" t="e">
        <f>'[4]#REF'!B566</f>
        <v>#REF!</v>
      </c>
      <c r="C566" s="31" t="e">
        <f>'[4]#REF'!D566</f>
        <v>#REF!</v>
      </c>
      <c r="D566" s="32" t="e">
        <f t="shared" si="24"/>
        <v>#REF!</v>
      </c>
      <c r="F566" s="12" t="e">
        <f>'[4]#REF'!F566</f>
        <v>#REF!</v>
      </c>
      <c r="G566" s="12" t="e">
        <f>'[4]#REF'!G566</f>
        <v>#REF!</v>
      </c>
      <c r="H566" s="31" t="e">
        <f>'[4]#REF'!I566</f>
        <v>#REF!</v>
      </c>
      <c r="I566" s="32" t="e">
        <f t="shared" si="25"/>
        <v>#REF!</v>
      </c>
      <c r="K566" s="12" t="e">
        <f>'[4]#REF'!K566</f>
        <v>#REF!</v>
      </c>
      <c r="L566" s="12" t="e">
        <f>'[4]#REF'!L566</f>
        <v>#REF!</v>
      </c>
      <c r="M566" s="31" t="e">
        <f>'[4]#REF'!N566</f>
        <v>#REF!</v>
      </c>
      <c r="N566" s="32" t="e">
        <f t="shared" si="26"/>
        <v>#REF!</v>
      </c>
    </row>
    <row r="567" ht="15.75" spans="1:14">
      <c r="A567" s="12" t="e">
        <f>'[4]#REF'!A567</f>
        <v>#REF!</v>
      </c>
      <c r="B567" s="12" t="e">
        <f>'[4]#REF'!B567</f>
        <v>#REF!</v>
      </c>
      <c r="C567" s="31" t="e">
        <f>'[4]#REF'!D567</f>
        <v>#REF!</v>
      </c>
      <c r="D567" s="32" t="e">
        <f t="shared" si="24"/>
        <v>#REF!</v>
      </c>
      <c r="F567" s="12" t="e">
        <f>'[4]#REF'!F567</f>
        <v>#REF!</v>
      </c>
      <c r="G567" s="12" t="e">
        <f>'[4]#REF'!G567</f>
        <v>#REF!</v>
      </c>
      <c r="H567" s="31" t="e">
        <f>'[4]#REF'!I567</f>
        <v>#REF!</v>
      </c>
      <c r="I567" s="32" t="e">
        <f t="shared" si="25"/>
        <v>#REF!</v>
      </c>
      <c r="K567" s="12" t="e">
        <f>'[4]#REF'!K567</f>
        <v>#REF!</v>
      </c>
      <c r="L567" s="12" t="e">
        <f>'[4]#REF'!L567</f>
        <v>#REF!</v>
      </c>
      <c r="M567" s="31" t="e">
        <f>'[4]#REF'!N567</f>
        <v>#REF!</v>
      </c>
      <c r="N567" s="32" t="e">
        <f t="shared" si="26"/>
        <v>#REF!</v>
      </c>
    </row>
    <row r="568" ht="15.75" spans="1:14">
      <c r="A568" s="12" t="e">
        <f>'[4]#REF'!A568</f>
        <v>#REF!</v>
      </c>
      <c r="B568" s="12" t="e">
        <f>'[4]#REF'!B568</f>
        <v>#REF!</v>
      </c>
      <c r="C568" s="31" t="e">
        <f>'[4]#REF'!D568</f>
        <v>#REF!</v>
      </c>
      <c r="D568" s="32" t="e">
        <f t="shared" si="24"/>
        <v>#REF!</v>
      </c>
      <c r="F568" s="12" t="e">
        <f>'[4]#REF'!F568</f>
        <v>#REF!</v>
      </c>
      <c r="G568" s="12" t="e">
        <f>'[4]#REF'!G568</f>
        <v>#REF!</v>
      </c>
      <c r="H568" s="31" t="e">
        <f>'[4]#REF'!I568</f>
        <v>#REF!</v>
      </c>
      <c r="I568" s="32" t="e">
        <f t="shared" si="25"/>
        <v>#REF!</v>
      </c>
      <c r="K568" s="12" t="e">
        <f>'[4]#REF'!K568</f>
        <v>#REF!</v>
      </c>
      <c r="L568" s="12" t="e">
        <f>'[4]#REF'!L568</f>
        <v>#REF!</v>
      </c>
      <c r="M568" s="31" t="e">
        <f>'[4]#REF'!N568</f>
        <v>#REF!</v>
      </c>
      <c r="N568" s="32" t="e">
        <f t="shared" si="26"/>
        <v>#REF!</v>
      </c>
    </row>
    <row r="569" ht="15.75" spans="1:14">
      <c r="A569" s="12" t="e">
        <f>'[4]#REF'!A569</f>
        <v>#REF!</v>
      </c>
      <c r="B569" s="12" t="e">
        <f>'[4]#REF'!B569</f>
        <v>#REF!</v>
      </c>
      <c r="C569" s="31" t="e">
        <f>'[4]#REF'!D569</f>
        <v>#REF!</v>
      </c>
      <c r="D569" s="32" t="e">
        <f t="shared" si="24"/>
        <v>#REF!</v>
      </c>
      <c r="F569" s="12" t="e">
        <f>'[4]#REF'!F569</f>
        <v>#REF!</v>
      </c>
      <c r="G569" s="12" t="e">
        <f>'[4]#REF'!G569</f>
        <v>#REF!</v>
      </c>
      <c r="H569" s="31" t="e">
        <f>'[4]#REF'!I569</f>
        <v>#REF!</v>
      </c>
      <c r="I569" s="32" t="e">
        <f t="shared" si="25"/>
        <v>#REF!</v>
      </c>
      <c r="K569" s="12" t="e">
        <f>'[4]#REF'!K569</f>
        <v>#REF!</v>
      </c>
      <c r="L569" s="12" t="e">
        <f>'[4]#REF'!L569</f>
        <v>#REF!</v>
      </c>
      <c r="M569" s="31" t="e">
        <f>'[4]#REF'!N569</f>
        <v>#REF!</v>
      </c>
      <c r="N569" s="32" t="e">
        <f t="shared" si="26"/>
        <v>#REF!</v>
      </c>
    </row>
    <row r="570" ht="15.75" spans="1:14">
      <c r="A570" s="12" t="e">
        <f>'[4]#REF'!A570</f>
        <v>#REF!</v>
      </c>
      <c r="B570" s="12" t="e">
        <f>'[4]#REF'!B570</f>
        <v>#REF!</v>
      </c>
      <c r="C570" s="31" t="e">
        <f>'[4]#REF'!D570</f>
        <v>#REF!</v>
      </c>
      <c r="D570" s="32" t="e">
        <f t="shared" si="24"/>
        <v>#REF!</v>
      </c>
      <c r="F570" s="12" t="e">
        <f>'[4]#REF'!F570</f>
        <v>#REF!</v>
      </c>
      <c r="G570" s="12" t="e">
        <f>'[4]#REF'!G570</f>
        <v>#REF!</v>
      </c>
      <c r="H570" s="31" t="e">
        <f>'[4]#REF'!I570</f>
        <v>#REF!</v>
      </c>
      <c r="I570" s="32" t="e">
        <f t="shared" si="25"/>
        <v>#REF!</v>
      </c>
      <c r="K570" s="12" t="e">
        <f>'[4]#REF'!K570</f>
        <v>#REF!</v>
      </c>
      <c r="L570" s="12" t="e">
        <f>'[4]#REF'!L570</f>
        <v>#REF!</v>
      </c>
      <c r="M570" s="31" t="e">
        <f>'[4]#REF'!N570</f>
        <v>#REF!</v>
      </c>
      <c r="N570" s="32" t="e">
        <f t="shared" si="26"/>
        <v>#REF!</v>
      </c>
    </row>
    <row r="571" ht="15.75" spans="1:14">
      <c r="A571" s="12" t="e">
        <f>'[4]#REF'!A571</f>
        <v>#REF!</v>
      </c>
      <c r="B571" s="12" t="e">
        <f>'[4]#REF'!B571</f>
        <v>#REF!</v>
      </c>
      <c r="C571" s="31" t="e">
        <f>'[4]#REF'!D571</f>
        <v>#REF!</v>
      </c>
      <c r="D571" s="32" t="e">
        <f t="shared" si="24"/>
        <v>#REF!</v>
      </c>
      <c r="F571" s="12" t="e">
        <f>'[4]#REF'!F571</f>
        <v>#REF!</v>
      </c>
      <c r="G571" s="12" t="e">
        <f>'[4]#REF'!G571</f>
        <v>#REF!</v>
      </c>
      <c r="H571" s="31" t="e">
        <f>'[4]#REF'!I571</f>
        <v>#REF!</v>
      </c>
      <c r="I571" s="32" t="e">
        <f t="shared" si="25"/>
        <v>#REF!</v>
      </c>
      <c r="K571" s="12" t="e">
        <f>'[4]#REF'!K571</f>
        <v>#REF!</v>
      </c>
      <c r="L571" s="12" t="e">
        <f>'[4]#REF'!L571</f>
        <v>#REF!</v>
      </c>
      <c r="M571" s="31" t="e">
        <f>'[4]#REF'!N571</f>
        <v>#REF!</v>
      </c>
      <c r="N571" s="32" t="e">
        <f t="shared" si="26"/>
        <v>#REF!</v>
      </c>
    </row>
    <row r="572" ht="15.75" spans="1:14">
      <c r="A572" s="12" t="e">
        <f>'[4]#REF'!A572</f>
        <v>#REF!</v>
      </c>
      <c r="B572" s="12" t="e">
        <f>'[4]#REF'!B572</f>
        <v>#REF!</v>
      </c>
      <c r="C572" s="31" t="e">
        <f>'[4]#REF'!D572</f>
        <v>#REF!</v>
      </c>
      <c r="D572" s="32" t="e">
        <f t="shared" si="24"/>
        <v>#REF!</v>
      </c>
      <c r="F572" s="12" t="e">
        <f>'[4]#REF'!F572</f>
        <v>#REF!</v>
      </c>
      <c r="G572" s="12" t="e">
        <f>'[4]#REF'!G572</f>
        <v>#REF!</v>
      </c>
      <c r="H572" s="31" t="e">
        <f>'[4]#REF'!I572</f>
        <v>#REF!</v>
      </c>
      <c r="I572" s="32" t="e">
        <f t="shared" si="25"/>
        <v>#REF!</v>
      </c>
      <c r="K572" s="12" t="e">
        <f>'[4]#REF'!K572</f>
        <v>#REF!</v>
      </c>
      <c r="L572" s="12" t="e">
        <f>'[4]#REF'!L572</f>
        <v>#REF!</v>
      </c>
      <c r="M572" s="31" t="e">
        <f>'[4]#REF'!N572</f>
        <v>#REF!</v>
      </c>
      <c r="N572" s="32" t="e">
        <f t="shared" si="26"/>
        <v>#REF!</v>
      </c>
    </row>
    <row r="573" ht="15.75" spans="1:14">
      <c r="A573" s="12" t="e">
        <f>'[4]#REF'!A573</f>
        <v>#REF!</v>
      </c>
      <c r="B573" s="12" t="e">
        <f>'[4]#REF'!B573</f>
        <v>#REF!</v>
      </c>
      <c r="C573" s="31" t="e">
        <f>'[4]#REF'!D573</f>
        <v>#REF!</v>
      </c>
      <c r="D573" s="32" t="e">
        <f t="shared" si="24"/>
        <v>#REF!</v>
      </c>
      <c r="F573" s="12" t="e">
        <f>'[4]#REF'!F573</f>
        <v>#REF!</v>
      </c>
      <c r="G573" s="12" t="e">
        <f>'[4]#REF'!G573</f>
        <v>#REF!</v>
      </c>
      <c r="H573" s="31" t="e">
        <f>'[4]#REF'!I573</f>
        <v>#REF!</v>
      </c>
      <c r="I573" s="32" t="e">
        <f t="shared" si="25"/>
        <v>#REF!</v>
      </c>
      <c r="K573" s="12" t="e">
        <f>'[4]#REF'!K573</f>
        <v>#REF!</v>
      </c>
      <c r="L573" s="12" t="e">
        <f>'[4]#REF'!L573</f>
        <v>#REF!</v>
      </c>
      <c r="M573" s="31" t="e">
        <f>'[4]#REF'!N573</f>
        <v>#REF!</v>
      </c>
      <c r="N573" s="32" t="e">
        <f t="shared" si="26"/>
        <v>#REF!</v>
      </c>
    </row>
    <row r="574" ht="15.75" spans="1:14">
      <c r="A574" s="12" t="e">
        <f>'[4]#REF'!A574</f>
        <v>#REF!</v>
      </c>
      <c r="B574" s="12" t="e">
        <f>'[4]#REF'!B574</f>
        <v>#REF!</v>
      </c>
      <c r="C574" s="31" t="e">
        <f>'[4]#REF'!D574</f>
        <v>#REF!</v>
      </c>
      <c r="D574" s="32" t="e">
        <f t="shared" si="24"/>
        <v>#REF!</v>
      </c>
      <c r="F574" s="12" t="e">
        <f>'[4]#REF'!F574</f>
        <v>#REF!</v>
      </c>
      <c r="G574" s="12" t="e">
        <f>'[4]#REF'!G574</f>
        <v>#REF!</v>
      </c>
      <c r="H574" s="31" t="e">
        <f>'[4]#REF'!I574</f>
        <v>#REF!</v>
      </c>
      <c r="I574" s="32" t="e">
        <f t="shared" si="25"/>
        <v>#REF!</v>
      </c>
      <c r="K574" s="12" t="e">
        <f>'[4]#REF'!K574</f>
        <v>#REF!</v>
      </c>
      <c r="L574" s="12" t="e">
        <f>'[4]#REF'!L574</f>
        <v>#REF!</v>
      </c>
      <c r="M574" s="31" t="e">
        <f>'[4]#REF'!N574</f>
        <v>#REF!</v>
      </c>
      <c r="N574" s="32" t="e">
        <f t="shared" si="26"/>
        <v>#REF!</v>
      </c>
    </row>
    <row r="575" ht="15.75" spans="1:14">
      <c r="A575" s="12" t="e">
        <f>'[4]#REF'!A575</f>
        <v>#REF!</v>
      </c>
      <c r="B575" s="12" t="e">
        <f>'[4]#REF'!B575</f>
        <v>#REF!</v>
      </c>
      <c r="C575" s="31" t="e">
        <f>'[4]#REF'!D575</f>
        <v>#REF!</v>
      </c>
      <c r="D575" s="32" t="e">
        <f t="shared" si="24"/>
        <v>#REF!</v>
      </c>
      <c r="F575" s="12" t="e">
        <f>'[4]#REF'!F575</f>
        <v>#REF!</v>
      </c>
      <c r="G575" s="12" t="e">
        <f>'[4]#REF'!G575</f>
        <v>#REF!</v>
      </c>
      <c r="H575" s="31" t="e">
        <f>'[4]#REF'!I575</f>
        <v>#REF!</v>
      </c>
      <c r="I575" s="32" t="e">
        <f t="shared" si="25"/>
        <v>#REF!</v>
      </c>
      <c r="K575" s="12" t="e">
        <f>'[4]#REF'!K575</f>
        <v>#REF!</v>
      </c>
      <c r="L575" s="12" t="e">
        <f>'[4]#REF'!L575</f>
        <v>#REF!</v>
      </c>
      <c r="M575" s="31" t="e">
        <f>'[4]#REF'!N575</f>
        <v>#REF!</v>
      </c>
      <c r="N575" s="32" t="e">
        <f t="shared" si="26"/>
        <v>#REF!</v>
      </c>
    </row>
    <row r="576" ht="15.75" spans="1:14">
      <c r="A576" s="12" t="e">
        <f>'[4]#REF'!A576</f>
        <v>#REF!</v>
      </c>
      <c r="B576" s="12" t="e">
        <f>'[4]#REF'!B576</f>
        <v>#REF!</v>
      </c>
      <c r="C576" s="31" t="e">
        <f>'[4]#REF'!D576</f>
        <v>#REF!</v>
      </c>
      <c r="D576" s="32" t="e">
        <f t="shared" si="24"/>
        <v>#REF!</v>
      </c>
      <c r="F576" s="12" t="e">
        <f>'[4]#REF'!F576</f>
        <v>#REF!</v>
      </c>
      <c r="G576" s="12" t="e">
        <f>'[4]#REF'!G576</f>
        <v>#REF!</v>
      </c>
      <c r="H576" s="31" t="e">
        <f>'[4]#REF'!I576</f>
        <v>#REF!</v>
      </c>
      <c r="I576" s="32" t="e">
        <f t="shared" si="25"/>
        <v>#REF!</v>
      </c>
      <c r="K576" s="12" t="e">
        <f>'[4]#REF'!K576</f>
        <v>#REF!</v>
      </c>
      <c r="L576" s="12" t="e">
        <f>'[4]#REF'!L576</f>
        <v>#REF!</v>
      </c>
      <c r="M576" s="31" t="e">
        <f>'[4]#REF'!N576</f>
        <v>#REF!</v>
      </c>
      <c r="N576" s="32" t="e">
        <f t="shared" si="26"/>
        <v>#REF!</v>
      </c>
    </row>
    <row r="577" ht="15.75" spans="1:14">
      <c r="A577" s="12" t="e">
        <f>'[4]#REF'!A577</f>
        <v>#REF!</v>
      </c>
      <c r="B577" s="12" t="e">
        <f>'[4]#REF'!B577</f>
        <v>#REF!</v>
      </c>
      <c r="C577" s="31" t="e">
        <f>'[4]#REF'!D577</f>
        <v>#REF!</v>
      </c>
      <c r="D577" s="32" t="e">
        <f t="shared" si="24"/>
        <v>#REF!</v>
      </c>
      <c r="F577" s="12" t="e">
        <f>'[4]#REF'!F577</f>
        <v>#REF!</v>
      </c>
      <c r="G577" s="12" t="e">
        <f>'[4]#REF'!G577</f>
        <v>#REF!</v>
      </c>
      <c r="H577" s="31" t="e">
        <f>'[4]#REF'!I577</f>
        <v>#REF!</v>
      </c>
      <c r="I577" s="32" t="e">
        <f t="shared" si="25"/>
        <v>#REF!</v>
      </c>
      <c r="K577" s="12" t="e">
        <f>'[4]#REF'!K577</f>
        <v>#REF!</v>
      </c>
      <c r="L577" s="12" t="e">
        <f>'[4]#REF'!L577</f>
        <v>#REF!</v>
      </c>
      <c r="M577" s="31" t="e">
        <f>'[4]#REF'!N577</f>
        <v>#REF!</v>
      </c>
      <c r="N577" s="32" t="e">
        <f t="shared" si="26"/>
        <v>#REF!</v>
      </c>
    </row>
    <row r="578" ht="15.75" spans="1:14">
      <c r="A578" s="12" t="e">
        <f>'[4]#REF'!A578</f>
        <v>#REF!</v>
      </c>
      <c r="B578" s="12" t="e">
        <f>'[4]#REF'!B578</f>
        <v>#REF!</v>
      </c>
      <c r="C578" s="31" t="e">
        <f>'[4]#REF'!D578</f>
        <v>#REF!</v>
      </c>
      <c r="D578" s="32" t="e">
        <f t="shared" si="24"/>
        <v>#REF!</v>
      </c>
      <c r="F578" s="12" t="e">
        <f>'[4]#REF'!F578</f>
        <v>#REF!</v>
      </c>
      <c r="G578" s="12" t="e">
        <f>'[4]#REF'!G578</f>
        <v>#REF!</v>
      </c>
      <c r="H578" s="31" t="e">
        <f>'[4]#REF'!I578</f>
        <v>#REF!</v>
      </c>
      <c r="I578" s="32" t="e">
        <f t="shared" si="25"/>
        <v>#REF!</v>
      </c>
      <c r="K578" s="12" t="e">
        <f>'[4]#REF'!K578</f>
        <v>#REF!</v>
      </c>
      <c r="L578" s="12" t="e">
        <f>'[4]#REF'!L578</f>
        <v>#REF!</v>
      </c>
      <c r="M578" s="31" t="e">
        <f>'[4]#REF'!N578</f>
        <v>#REF!</v>
      </c>
      <c r="N578" s="32" t="e">
        <f t="shared" si="26"/>
        <v>#REF!</v>
      </c>
    </row>
    <row r="579" ht="15.75" spans="1:14">
      <c r="A579" s="12" t="e">
        <f>'[4]#REF'!A579</f>
        <v>#REF!</v>
      </c>
      <c r="B579" s="12" t="e">
        <f>'[4]#REF'!B579</f>
        <v>#REF!</v>
      </c>
      <c r="C579" s="31" t="e">
        <f>'[4]#REF'!D579</f>
        <v>#REF!</v>
      </c>
      <c r="D579" s="32" t="e">
        <f t="shared" si="24"/>
        <v>#REF!</v>
      </c>
      <c r="F579" s="12" t="e">
        <f>'[4]#REF'!F579</f>
        <v>#REF!</v>
      </c>
      <c r="G579" s="12" t="e">
        <f>'[4]#REF'!G579</f>
        <v>#REF!</v>
      </c>
      <c r="H579" s="31" t="e">
        <f>'[4]#REF'!I579</f>
        <v>#REF!</v>
      </c>
      <c r="I579" s="32" t="e">
        <f t="shared" si="25"/>
        <v>#REF!</v>
      </c>
      <c r="K579" s="12" t="e">
        <f>'[4]#REF'!K579</f>
        <v>#REF!</v>
      </c>
      <c r="L579" s="12" t="e">
        <f>'[4]#REF'!L579</f>
        <v>#REF!</v>
      </c>
      <c r="M579" s="31" t="e">
        <f>'[4]#REF'!N579</f>
        <v>#REF!</v>
      </c>
      <c r="N579" s="32" t="e">
        <f t="shared" si="26"/>
        <v>#REF!</v>
      </c>
    </row>
    <row r="580" ht="15.75" spans="1:14">
      <c r="A580" s="12" t="e">
        <f>'[4]#REF'!A580</f>
        <v>#REF!</v>
      </c>
      <c r="B580" s="12" t="e">
        <f>'[4]#REF'!B580</f>
        <v>#REF!</v>
      </c>
      <c r="C580" s="31" t="e">
        <f>'[4]#REF'!D580</f>
        <v>#REF!</v>
      </c>
      <c r="D580" s="32" t="e">
        <f t="shared" si="24"/>
        <v>#REF!</v>
      </c>
      <c r="F580" s="12" t="e">
        <f>'[4]#REF'!F580</f>
        <v>#REF!</v>
      </c>
      <c r="G580" s="12" t="e">
        <f>'[4]#REF'!G580</f>
        <v>#REF!</v>
      </c>
      <c r="H580" s="31" t="e">
        <f>'[4]#REF'!I580</f>
        <v>#REF!</v>
      </c>
      <c r="I580" s="32" t="e">
        <f t="shared" si="25"/>
        <v>#REF!</v>
      </c>
      <c r="K580" s="12" t="e">
        <f>'[4]#REF'!K580</f>
        <v>#REF!</v>
      </c>
      <c r="L580" s="12" t="e">
        <f>'[4]#REF'!L580</f>
        <v>#REF!</v>
      </c>
      <c r="M580" s="31" t="e">
        <f>'[4]#REF'!N580</f>
        <v>#REF!</v>
      </c>
      <c r="N580" s="32" t="e">
        <f t="shared" si="26"/>
        <v>#REF!</v>
      </c>
    </row>
    <row r="581" ht="15.75" spans="1:14">
      <c r="A581" s="12" t="e">
        <f>'[4]#REF'!A581</f>
        <v>#REF!</v>
      </c>
      <c r="B581" s="12" t="e">
        <f>'[4]#REF'!B581</f>
        <v>#REF!</v>
      </c>
      <c r="C581" s="31" t="e">
        <f>'[4]#REF'!D581</f>
        <v>#REF!</v>
      </c>
      <c r="D581" s="32" t="e">
        <f t="shared" si="24"/>
        <v>#REF!</v>
      </c>
      <c r="F581" s="12" t="e">
        <f>'[4]#REF'!F581</f>
        <v>#REF!</v>
      </c>
      <c r="G581" s="12" t="e">
        <f>'[4]#REF'!G581</f>
        <v>#REF!</v>
      </c>
      <c r="H581" s="31" t="e">
        <f>'[4]#REF'!I581</f>
        <v>#REF!</v>
      </c>
      <c r="I581" s="32" t="e">
        <f t="shared" si="25"/>
        <v>#REF!</v>
      </c>
      <c r="K581" s="12" t="e">
        <f>'[4]#REF'!K581</f>
        <v>#REF!</v>
      </c>
      <c r="L581" s="12" t="e">
        <f>'[4]#REF'!L581</f>
        <v>#REF!</v>
      </c>
      <c r="M581" s="31" t="e">
        <f>'[4]#REF'!N581</f>
        <v>#REF!</v>
      </c>
      <c r="N581" s="32" t="e">
        <f t="shared" si="26"/>
        <v>#REF!</v>
      </c>
    </row>
    <row r="582" ht="15.75" spans="1:14">
      <c r="A582" s="12" t="e">
        <f>'[4]#REF'!A582</f>
        <v>#REF!</v>
      </c>
      <c r="B582" s="12" t="e">
        <f>'[4]#REF'!B582</f>
        <v>#REF!</v>
      </c>
      <c r="C582" s="31" t="e">
        <f>'[4]#REF'!D582</f>
        <v>#REF!</v>
      </c>
      <c r="D582" s="32" t="e">
        <f t="shared" ref="D582:D645" si="27">ROUND(C582/$D$4*100,2)</f>
        <v>#REF!</v>
      </c>
      <c r="F582" s="12" t="e">
        <f>'[4]#REF'!F582</f>
        <v>#REF!</v>
      </c>
      <c r="G582" s="12" t="e">
        <f>'[4]#REF'!G582</f>
        <v>#REF!</v>
      </c>
      <c r="H582" s="31" t="e">
        <f>'[4]#REF'!I582</f>
        <v>#REF!</v>
      </c>
      <c r="I582" s="32" t="e">
        <f t="shared" ref="I582:I645" si="28">ROUND(H582/$I$4*100,2)</f>
        <v>#REF!</v>
      </c>
      <c r="K582" s="12" t="e">
        <f>'[4]#REF'!K582</f>
        <v>#REF!</v>
      </c>
      <c r="L582" s="12" t="e">
        <f>'[4]#REF'!L582</f>
        <v>#REF!</v>
      </c>
      <c r="M582" s="31" t="e">
        <f>'[4]#REF'!N582</f>
        <v>#REF!</v>
      </c>
      <c r="N582" s="32" t="e">
        <f t="shared" ref="N582:N645" si="29">ROUND(M582/$N$4*100,2)</f>
        <v>#REF!</v>
      </c>
    </row>
    <row r="583" ht="15.75" spans="1:14">
      <c r="A583" s="12" t="e">
        <f>'[4]#REF'!A583</f>
        <v>#REF!</v>
      </c>
      <c r="B583" s="12" t="e">
        <f>'[4]#REF'!B583</f>
        <v>#REF!</v>
      </c>
      <c r="C583" s="31" t="e">
        <f>'[4]#REF'!D583</f>
        <v>#REF!</v>
      </c>
      <c r="D583" s="32" t="e">
        <f t="shared" si="27"/>
        <v>#REF!</v>
      </c>
      <c r="F583" s="12" t="e">
        <f>'[4]#REF'!F583</f>
        <v>#REF!</v>
      </c>
      <c r="G583" s="12" t="e">
        <f>'[4]#REF'!G583</f>
        <v>#REF!</v>
      </c>
      <c r="H583" s="31" t="e">
        <f>'[4]#REF'!I583</f>
        <v>#REF!</v>
      </c>
      <c r="I583" s="32" t="e">
        <f t="shared" si="28"/>
        <v>#REF!</v>
      </c>
      <c r="K583" s="12" t="e">
        <f>'[4]#REF'!K583</f>
        <v>#REF!</v>
      </c>
      <c r="L583" s="12" t="e">
        <f>'[4]#REF'!L583</f>
        <v>#REF!</v>
      </c>
      <c r="M583" s="31" t="e">
        <f>'[4]#REF'!N583</f>
        <v>#REF!</v>
      </c>
      <c r="N583" s="32" t="e">
        <f t="shared" si="29"/>
        <v>#REF!</v>
      </c>
    </row>
    <row r="584" ht="15.75" spans="1:14">
      <c r="A584" s="12" t="e">
        <f>'[4]#REF'!A584</f>
        <v>#REF!</v>
      </c>
      <c r="B584" s="12" t="e">
        <f>'[4]#REF'!B584</f>
        <v>#REF!</v>
      </c>
      <c r="C584" s="31" t="e">
        <f>'[4]#REF'!D584</f>
        <v>#REF!</v>
      </c>
      <c r="D584" s="32" t="e">
        <f t="shared" si="27"/>
        <v>#REF!</v>
      </c>
      <c r="F584" s="12" t="e">
        <f>'[4]#REF'!F584</f>
        <v>#REF!</v>
      </c>
      <c r="G584" s="12" t="e">
        <f>'[4]#REF'!G584</f>
        <v>#REF!</v>
      </c>
      <c r="H584" s="31" t="e">
        <f>'[4]#REF'!I584</f>
        <v>#REF!</v>
      </c>
      <c r="I584" s="32" t="e">
        <f t="shared" si="28"/>
        <v>#REF!</v>
      </c>
      <c r="K584" s="12" t="e">
        <f>'[4]#REF'!K584</f>
        <v>#REF!</v>
      </c>
      <c r="L584" s="12" t="e">
        <f>'[4]#REF'!L584</f>
        <v>#REF!</v>
      </c>
      <c r="M584" s="31" t="e">
        <f>'[4]#REF'!N584</f>
        <v>#REF!</v>
      </c>
      <c r="N584" s="32" t="e">
        <f t="shared" si="29"/>
        <v>#REF!</v>
      </c>
    </row>
    <row r="585" ht="15.75" spans="1:14">
      <c r="A585" s="12" t="e">
        <f>'[4]#REF'!A585</f>
        <v>#REF!</v>
      </c>
      <c r="B585" s="12" t="e">
        <f>'[4]#REF'!B585</f>
        <v>#REF!</v>
      </c>
      <c r="C585" s="31" t="e">
        <f>'[4]#REF'!D585</f>
        <v>#REF!</v>
      </c>
      <c r="D585" s="32" t="e">
        <f t="shared" si="27"/>
        <v>#REF!</v>
      </c>
      <c r="F585" s="12" t="e">
        <f>'[4]#REF'!F585</f>
        <v>#REF!</v>
      </c>
      <c r="G585" s="12" t="e">
        <f>'[4]#REF'!G585</f>
        <v>#REF!</v>
      </c>
      <c r="H585" s="31" t="e">
        <f>'[4]#REF'!I585</f>
        <v>#REF!</v>
      </c>
      <c r="I585" s="32" t="e">
        <f t="shared" si="28"/>
        <v>#REF!</v>
      </c>
      <c r="K585" s="12" t="e">
        <f>'[4]#REF'!K585</f>
        <v>#REF!</v>
      </c>
      <c r="L585" s="12" t="e">
        <f>'[4]#REF'!L585</f>
        <v>#REF!</v>
      </c>
      <c r="M585" s="31" t="e">
        <f>'[4]#REF'!N585</f>
        <v>#REF!</v>
      </c>
      <c r="N585" s="32" t="e">
        <f t="shared" si="29"/>
        <v>#REF!</v>
      </c>
    </row>
    <row r="586" ht="15.75" spans="1:14">
      <c r="A586" s="12" t="e">
        <f>'[4]#REF'!A586</f>
        <v>#REF!</v>
      </c>
      <c r="B586" s="12" t="e">
        <f>'[4]#REF'!B586</f>
        <v>#REF!</v>
      </c>
      <c r="C586" s="31" t="e">
        <f>'[4]#REF'!D586</f>
        <v>#REF!</v>
      </c>
      <c r="D586" s="32" t="e">
        <f t="shared" si="27"/>
        <v>#REF!</v>
      </c>
      <c r="F586" s="12" t="e">
        <f>'[4]#REF'!F586</f>
        <v>#REF!</v>
      </c>
      <c r="G586" s="12" t="e">
        <f>'[4]#REF'!G586</f>
        <v>#REF!</v>
      </c>
      <c r="H586" s="31" t="e">
        <f>'[4]#REF'!I586</f>
        <v>#REF!</v>
      </c>
      <c r="I586" s="32" t="e">
        <f t="shared" si="28"/>
        <v>#REF!</v>
      </c>
      <c r="K586" s="12" t="e">
        <f>'[4]#REF'!K586</f>
        <v>#REF!</v>
      </c>
      <c r="L586" s="12" t="e">
        <f>'[4]#REF'!L586</f>
        <v>#REF!</v>
      </c>
      <c r="M586" s="31" t="e">
        <f>'[4]#REF'!N586</f>
        <v>#REF!</v>
      </c>
      <c r="N586" s="32" t="e">
        <f t="shared" si="29"/>
        <v>#REF!</v>
      </c>
    </row>
    <row r="587" ht="15.75" spans="1:14">
      <c r="A587" s="12" t="e">
        <f>'[4]#REF'!A587</f>
        <v>#REF!</v>
      </c>
      <c r="B587" s="12" t="e">
        <f>'[4]#REF'!B587</f>
        <v>#REF!</v>
      </c>
      <c r="C587" s="31" t="e">
        <f>'[4]#REF'!D587</f>
        <v>#REF!</v>
      </c>
      <c r="D587" s="32" t="e">
        <f t="shared" si="27"/>
        <v>#REF!</v>
      </c>
      <c r="F587" s="12" t="e">
        <f>'[4]#REF'!F587</f>
        <v>#REF!</v>
      </c>
      <c r="G587" s="12" t="e">
        <f>'[4]#REF'!G587</f>
        <v>#REF!</v>
      </c>
      <c r="H587" s="31" t="e">
        <f>'[4]#REF'!I587</f>
        <v>#REF!</v>
      </c>
      <c r="I587" s="32" t="e">
        <f t="shared" si="28"/>
        <v>#REF!</v>
      </c>
      <c r="K587" s="12" t="e">
        <f>'[4]#REF'!K587</f>
        <v>#REF!</v>
      </c>
      <c r="L587" s="12" t="e">
        <f>'[4]#REF'!L587</f>
        <v>#REF!</v>
      </c>
      <c r="M587" s="31" t="e">
        <f>'[4]#REF'!N587</f>
        <v>#REF!</v>
      </c>
      <c r="N587" s="32" t="e">
        <f t="shared" si="29"/>
        <v>#REF!</v>
      </c>
    </row>
    <row r="588" ht="15.75" spans="1:14">
      <c r="A588" s="12" t="e">
        <f>'[4]#REF'!A588</f>
        <v>#REF!</v>
      </c>
      <c r="B588" s="12" t="e">
        <f>'[4]#REF'!B588</f>
        <v>#REF!</v>
      </c>
      <c r="C588" s="31" t="e">
        <f>'[4]#REF'!D588</f>
        <v>#REF!</v>
      </c>
      <c r="D588" s="32" t="e">
        <f t="shared" si="27"/>
        <v>#REF!</v>
      </c>
      <c r="F588" s="12" t="e">
        <f>'[4]#REF'!F588</f>
        <v>#REF!</v>
      </c>
      <c r="G588" s="12" t="e">
        <f>'[4]#REF'!G588</f>
        <v>#REF!</v>
      </c>
      <c r="H588" s="31" t="e">
        <f>'[4]#REF'!I588</f>
        <v>#REF!</v>
      </c>
      <c r="I588" s="32" t="e">
        <f t="shared" si="28"/>
        <v>#REF!</v>
      </c>
      <c r="K588" s="12" t="e">
        <f>'[4]#REF'!K588</f>
        <v>#REF!</v>
      </c>
      <c r="L588" s="12" t="e">
        <f>'[4]#REF'!L588</f>
        <v>#REF!</v>
      </c>
      <c r="M588" s="31" t="e">
        <f>'[4]#REF'!N588</f>
        <v>#REF!</v>
      </c>
      <c r="N588" s="32" t="e">
        <f t="shared" si="29"/>
        <v>#REF!</v>
      </c>
    </row>
    <row r="589" ht="15.75" spans="1:14">
      <c r="A589" s="12" t="e">
        <f>'[4]#REF'!A589</f>
        <v>#REF!</v>
      </c>
      <c r="B589" s="12" t="e">
        <f>'[4]#REF'!B589</f>
        <v>#REF!</v>
      </c>
      <c r="C589" s="31" t="e">
        <f>'[4]#REF'!D589</f>
        <v>#REF!</v>
      </c>
      <c r="D589" s="32" t="e">
        <f t="shared" si="27"/>
        <v>#REF!</v>
      </c>
      <c r="F589" s="12" t="e">
        <f>'[4]#REF'!F589</f>
        <v>#REF!</v>
      </c>
      <c r="G589" s="12" t="e">
        <f>'[4]#REF'!G589</f>
        <v>#REF!</v>
      </c>
      <c r="H589" s="31" t="e">
        <f>'[4]#REF'!I589</f>
        <v>#REF!</v>
      </c>
      <c r="I589" s="32" t="e">
        <f t="shared" si="28"/>
        <v>#REF!</v>
      </c>
      <c r="K589" s="12" t="e">
        <f>'[4]#REF'!K589</f>
        <v>#REF!</v>
      </c>
      <c r="L589" s="12" t="e">
        <f>'[4]#REF'!L589</f>
        <v>#REF!</v>
      </c>
      <c r="M589" s="31" t="e">
        <f>'[4]#REF'!N589</f>
        <v>#REF!</v>
      </c>
      <c r="N589" s="32" t="e">
        <f t="shared" si="29"/>
        <v>#REF!</v>
      </c>
    </row>
    <row r="590" ht="15.75" spans="1:14">
      <c r="A590" s="12" t="e">
        <f>'[4]#REF'!A590</f>
        <v>#REF!</v>
      </c>
      <c r="B590" s="12" t="e">
        <f>'[4]#REF'!B590</f>
        <v>#REF!</v>
      </c>
      <c r="C590" s="31" t="e">
        <f>'[4]#REF'!D590</f>
        <v>#REF!</v>
      </c>
      <c r="D590" s="32" t="e">
        <f t="shared" si="27"/>
        <v>#REF!</v>
      </c>
      <c r="F590" s="12" t="e">
        <f>'[4]#REF'!F590</f>
        <v>#REF!</v>
      </c>
      <c r="G590" s="12" t="e">
        <f>'[4]#REF'!G590</f>
        <v>#REF!</v>
      </c>
      <c r="H590" s="31" t="e">
        <f>'[4]#REF'!I590</f>
        <v>#REF!</v>
      </c>
      <c r="I590" s="32" t="e">
        <f t="shared" si="28"/>
        <v>#REF!</v>
      </c>
      <c r="K590" s="12" t="e">
        <f>'[4]#REF'!K590</f>
        <v>#REF!</v>
      </c>
      <c r="L590" s="12" t="e">
        <f>'[4]#REF'!L590</f>
        <v>#REF!</v>
      </c>
      <c r="M590" s="31" t="e">
        <f>'[4]#REF'!N590</f>
        <v>#REF!</v>
      </c>
      <c r="N590" s="32" t="e">
        <f t="shared" si="29"/>
        <v>#REF!</v>
      </c>
    </row>
    <row r="591" ht="15.75" spans="1:14">
      <c r="A591" s="12" t="e">
        <f>'[4]#REF'!A591</f>
        <v>#REF!</v>
      </c>
      <c r="B591" s="12" t="e">
        <f>'[4]#REF'!B591</f>
        <v>#REF!</v>
      </c>
      <c r="C591" s="31" t="e">
        <f>'[4]#REF'!D591</f>
        <v>#REF!</v>
      </c>
      <c r="D591" s="32" t="e">
        <f t="shared" si="27"/>
        <v>#REF!</v>
      </c>
      <c r="F591" s="12" t="e">
        <f>'[4]#REF'!F591</f>
        <v>#REF!</v>
      </c>
      <c r="G591" s="12" t="e">
        <f>'[4]#REF'!G591</f>
        <v>#REF!</v>
      </c>
      <c r="H591" s="31" t="e">
        <f>'[4]#REF'!I591</f>
        <v>#REF!</v>
      </c>
      <c r="I591" s="32" t="e">
        <f t="shared" si="28"/>
        <v>#REF!</v>
      </c>
      <c r="K591" s="12" t="e">
        <f>'[4]#REF'!K591</f>
        <v>#REF!</v>
      </c>
      <c r="L591" s="12" t="e">
        <f>'[4]#REF'!L591</f>
        <v>#REF!</v>
      </c>
      <c r="M591" s="31" t="e">
        <f>'[4]#REF'!N591</f>
        <v>#REF!</v>
      </c>
      <c r="N591" s="32" t="e">
        <f t="shared" si="29"/>
        <v>#REF!</v>
      </c>
    </row>
    <row r="592" ht="15.75" spans="1:14">
      <c r="A592" s="12" t="e">
        <f>'[4]#REF'!A592</f>
        <v>#REF!</v>
      </c>
      <c r="B592" s="12" t="e">
        <f>'[4]#REF'!B592</f>
        <v>#REF!</v>
      </c>
      <c r="C592" s="31" t="e">
        <f>'[4]#REF'!D592</f>
        <v>#REF!</v>
      </c>
      <c r="D592" s="32" t="e">
        <f t="shared" si="27"/>
        <v>#REF!</v>
      </c>
      <c r="F592" s="12" t="e">
        <f>'[4]#REF'!F592</f>
        <v>#REF!</v>
      </c>
      <c r="G592" s="12" t="e">
        <f>'[4]#REF'!G592</f>
        <v>#REF!</v>
      </c>
      <c r="H592" s="31" t="e">
        <f>'[4]#REF'!I592</f>
        <v>#REF!</v>
      </c>
      <c r="I592" s="32" t="e">
        <f t="shared" si="28"/>
        <v>#REF!</v>
      </c>
      <c r="K592" s="12" t="e">
        <f>'[4]#REF'!K592</f>
        <v>#REF!</v>
      </c>
      <c r="L592" s="12" t="e">
        <f>'[4]#REF'!L592</f>
        <v>#REF!</v>
      </c>
      <c r="M592" s="31" t="e">
        <f>'[4]#REF'!N592</f>
        <v>#REF!</v>
      </c>
      <c r="N592" s="32" t="e">
        <f t="shared" si="29"/>
        <v>#REF!</v>
      </c>
    </row>
    <row r="593" ht="15.75" spans="1:14">
      <c r="A593" s="12" t="e">
        <f>'[4]#REF'!A593</f>
        <v>#REF!</v>
      </c>
      <c r="B593" s="12" t="e">
        <f>'[4]#REF'!B593</f>
        <v>#REF!</v>
      </c>
      <c r="C593" s="31" t="e">
        <f>'[4]#REF'!D593</f>
        <v>#REF!</v>
      </c>
      <c r="D593" s="32" t="e">
        <f t="shared" si="27"/>
        <v>#REF!</v>
      </c>
      <c r="F593" s="12" t="e">
        <f>'[4]#REF'!F593</f>
        <v>#REF!</v>
      </c>
      <c r="G593" s="12" t="e">
        <f>'[4]#REF'!G593</f>
        <v>#REF!</v>
      </c>
      <c r="H593" s="31" t="e">
        <f>'[4]#REF'!I593</f>
        <v>#REF!</v>
      </c>
      <c r="I593" s="32" t="e">
        <f t="shared" si="28"/>
        <v>#REF!</v>
      </c>
      <c r="K593" s="12" t="e">
        <f>'[4]#REF'!K593</f>
        <v>#REF!</v>
      </c>
      <c r="L593" s="12" t="e">
        <f>'[4]#REF'!L593</f>
        <v>#REF!</v>
      </c>
      <c r="M593" s="31" t="e">
        <f>'[4]#REF'!N593</f>
        <v>#REF!</v>
      </c>
      <c r="N593" s="32" t="e">
        <f t="shared" si="29"/>
        <v>#REF!</v>
      </c>
    </row>
    <row r="594" ht="15.75" spans="1:14">
      <c r="A594" s="12" t="e">
        <f>'[4]#REF'!A594</f>
        <v>#REF!</v>
      </c>
      <c r="B594" s="12" t="e">
        <f>'[4]#REF'!B594</f>
        <v>#REF!</v>
      </c>
      <c r="C594" s="31" t="e">
        <f>'[4]#REF'!D594</f>
        <v>#REF!</v>
      </c>
      <c r="D594" s="32" t="e">
        <f t="shared" si="27"/>
        <v>#REF!</v>
      </c>
      <c r="F594" s="12" t="e">
        <f>'[4]#REF'!F594</f>
        <v>#REF!</v>
      </c>
      <c r="G594" s="12" t="e">
        <f>'[4]#REF'!G594</f>
        <v>#REF!</v>
      </c>
      <c r="H594" s="31" t="e">
        <f>'[4]#REF'!I594</f>
        <v>#REF!</v>
      </c>
      <c r="I594" s="32" t="e">
        <f t="shared" si="28"/>
        <v>#REF!</v>
      </c>
      <c r="K594" s="12" t="e">
        <f>'[4]#REF'!K594</f>
        <v>#REF!</v>
      </c>
      <c r="L594" s="12" t="e">
        <f>'[4]#REF'!L594</f>
        <v>#REF!</v>
      </c>
      <c r="M594" s="31" t="e">
        <f>'[4]#REF'!N594</f>
        <v>#REF!</v>
      </c>
      <c r="N594" s="32" t="e">
        <f t="shared" si="29"/>
        <v>#REF!</v>
      </c>
    </row>
    <row r="595" ht="15.75" spans="1:14">
      <c r="A595" s="12" t="e">
        <f>'[4]#REF'!A595</f>
        <v>#REF!</v>
      </c>
      <c r="B595" s="12" t="e">
        <f>'[4]#REF'!B595</f>
        <v>#REF!</v>
      </c>
      <c r="C595" s="31" t="e">
        <f>'[4]#REF'!D595</f>
        <v>#REF!</v>
      </c>
      <c r="D595" s="32" t="e">
        <f t="shared" si="27"/>
        <v>#REF!</v>
      </c>
      <c r="F595" s="12" t="e">
        <f>'[4]#REF'!F595</f>
        <v>#REF!</v>
      </c>
      <c r="G595" s="12" t="e">
        <f>'[4]#REF'!G595</f>
        <v>#REF!</v>
      </c>
      <c r="H595" s="31" t="e">
        <f>'[4]#REF'!I595</f>
        <v>#REF!</v>
      </c>
      <c r="I595" s="32" t="e">
        <f t="shared" si="28"/>
        <v>#REF!</v>
      </c>
      <c r="K595" s="12" t="e">
        <f>'[4]#REF'!K595</f>
        <v>#REF!</v>
      </c>
      <c r="L595" s="12" t="e">
        <f>'[4]#REF'!L595</f>
        <v>#REF!</v>
      </c>
      <c r="M595" s="31" t="e">
        <f>'[4]#REF'!N595</f>
        <v>#REF!</v>
      </c>
      <c r="N595" s="32" t="e">
        <f t="shared" si="29"/>
        <v>#REF!</v>
      </c>
    </row>
    <row r="596" ht="15.75" spans="1:14">
      <c r="A596" s="12" t="e">
        <f>'[4]#REF'!A596</f>
        <v>#REF!</v>
      </c>
      <c r="B596" s="12" t="e">
        <f>'[4]#REF'!B596</f>
        <v>#REF!</v>
      </c>
      <c r="C596" s="31" t="e">
        <f>'[4]#REF'!D596</f>
        <v>#REF!</v>
      </c>
      <c r="D596" s="32" t="e">
        <f t="shared" si="27"/>
        <v>#REF!</v>
      </c>
      <c r="F596" s="12" t="e">
        <f>'[4]#REF'!F596</f>
        <v>#REF!</v>
      </c>
      <c r="G596" s="12" t="e">
        <f>'[4]#REF'!G596</f>
        <v>#REF!</v>
      </c>
      <c r="H596" s="31" t="e">
        <f>'[4]#REF'!I596</f>
        <v>#REF!</v>
      </c>
      <c r="I596" s="32" t="e">
        <f t="shared" si="28"/>
        <v>#REF!</v>
      </c>
      <c r="K596" s="12" t="e">
        <f>'[4]#REF'!K596</f>
        <v>#REF!</v>
      </c>
      <c r="L596" s="12" t="e">
        <f>'[4]#REF'!L596</f>
        <v>#REF!</v>
      </c>
      <c r="M596" s="31" t="e">
        <f>'[4]#REF'!N596</f>
        <v>#REF!</v>
      </c>
      <c r="N596" s="32" t="e">
        <f t="shared" si="29"/>
        <v>#REF!</v>
      </c>
    </row>
    <row r="597" ht="15.75" spans="1:14">
      <c r="A597" s="12" t="e">
        <f>'[4]#REF'!A597</f>
        <v>#REF!</v>
      </c>
      <c r="B597" s="12" t="e">
        <f>'[4]#REF'!B597</f>
        <v>#REF!</v>
      </c>
      <c r="C597" s="31" t="e">
        <f>'[4]#REF'!D597</f>
        <v>#REF!</v>
      </c>
      <c r="D597" s="32" t="e">
        <f t="shared" si="27"/>
        <v>#REF!</v>
      </c>
      <c r="F597" s="12" t="e">
        <f>'[4]#REF'!F597</f>
        <v>#REF!</v>
      </c>
      <c r="G597" s="12" t="e">
        <f>'[4]#REF'!G597</f>
        <v>#REF!</v>
      </c>
      <c r="H597" s="31" t="e">
        <f>'[4]#REF'!I597</f>
        <v>#REF!</v>
      </c>
      <c r="I597" s="32" t="e">
        <f t="shared" si="28"/>
        <v>#REF!</v>
      </c>
      <c r="K597" s="12" t="e">
        <f>'[4]#REF'!K597</f>
        <v>#REF!</v>
      </c>
      <c r="L597" s="12" t="e">
        <f>'[4]#REF'!L597</f>
        <v>#REF!</v>
      </c>
      <c r="M597" s="31" t="e">
        <f>'[4]#REF'!N597</f>
        <v>#REF!</v>
      </c>
      <c r="N597" s="32" t="e">
        <f t="shared" si="29"/>
        <v>#REF!</v>
      </c>
    </row>
    <row r="598" ht="15.75" spans="1:14">
      <c r="A598" s="12" t="e">
        <f>'[4]#REF'!A598</f>
        <v>#REF!</v>
      </c>
      <c r="B598" s="12" t="e">
        <f>'[4]#REF'!B598</f>
        <v>#REF!</v>
      </c>
      <c r="C598" s="31" t="e">
        <f>'[4]#REF'!D598</f>
        <v>#REF!</v>
      </c>
      <c r="D598" s="32" t="e">
        <f t="shared" si="27"/>
        <v>#REF!</v>
      </c>
      <c r="F598" s="12" t="e">
        <f>'[4]#REF'!F598</f>
        <v>#REF!</v>
      </c>
      <c r="G598" s="12" t="e">
        <f>'[4]#REF'!G598</f>
        <v>#REF!</v>
      </c>
      <c r="H598" s="31" t="e">
        <f>'[4]#REF'!I598</f>
        <v>#REF!</v>
      </c>
      <c r="I598" s="32" t="e">
        <f t="shared" si="28"/>
        <v>#REF!</v>
      </c>
      <c r="K598" s="12" t="e">
        <f>'[4]#REF'!K598</f>
        <v>#REF!</v>
      </c>
      <c r="L598" s="12" t="e">
        <f>'[4]#REF'!L598</f>
        <v>#REF!</v>
      </c>
      <c r="M598" s="31" t="e">
        <f>'[4]#REF'!N598</f>
        <v>#REF!</v>
      </c>
      <c r="N598" s="32" t="e">
        <f t="shared" si="29"/>
        <v>#REF!</v>
      </c>
    </row>
    <row r="599" ht="15.75" spans="1:14">
      <c r="A599" s="12" t="e">
        <f>'[4]#REF'!A599</f>
        <v>#REF!</v>
      </c>
      <c r="B599" s="12" t="e">
        <f>'[4]#REF'!B599</f>
        <v>#REF!</v>
      </c>
      <c r="C599" s="31" t="e">
        <f>'[4]#REF'!D599</f>
        <v>#REF!</v>
      </c>
      <c r="D599" s="32" t="e">
        <f t="shared" si="27"/>
        <v>#REF!</v>
      </c>
      <c r="F599" s="12" t="e">
        <f>'[4]#REF'!F599</f>
        <v>#REF!</v>
      </c>
      <c r="G599" s="12" t="e">
        <f>'[4]#REF'!G599</f>
        <v>#REF!</v>
      </c>
      <c r="H599" s="31" t="e">
        <f>'[4]#REF'!I599</f>
        <v>#REF!</v>
      </c>
      <c r="I599" s="32" t="e">
        <f t="shared" si="28"/>
        <v>#REF!</v>
      </c>
      <c r="K599" s="12" t="e">
        <f>'[4]#REF'!K599</f>
        <v>#REF!</v>
      </c>
      <c r="L599" s="12" t="e">
        <f>'[4]#REF'!L599</f>
        <v>#REF!</v>
      </c>
      <c r="M599" s="31" t="e">
        <f>'[4]#REF'!N599</f>
        <v>#REF!</v>
      </c>
      <c r="N599" s="32" t="e">
        <f t="shared" si="29"/>
        <v>#REF!</v>
      </c>
    </row>
    <row r="600" ht="15.75" spans="1:14">
      <c r="A600" s="12" t="e">
        <f>'[4]#REF'!A600</f>
        <v>#REF!</v>
      </c>
      <c r="B600" s="12" t="e">
        <f>'[4]#REF'!B600</f>
        <v>#REF!</v>
      </c>
      <c r="C600" s="31" t="e">
        <f>'[4]#REF'!D600</f>
        <v>#REF!</v>
      </c>
      <c r="D600" s="32" t="e">
        <f t="shared" si="27"/>
        <v>#REF!</v>
      </c>
      <c r="F600" s="12" t="e">
        <f>'[4]#REF'!F600</f>
        <v>#REF!</v>
      </c>
      <c r="G600" s="12" t="e">
        <f>'[4]#REF'!G600</f>
        <v>#REF!</v>
      </c>
      <c r="H600" s="31" t="e">
        <f>'[4]#REF'!I600</f>
        <v>#REF!</v>
      </c>
      <c r="I600" s="32" t="e">
        <f t="shared" si="28"/>
        <v>#REF!</v>
      </c>
      <c r="K600" s="12" t="e">
        <f>'[4]#REF'!K600</f>
        <v>#REF!</v>
      </c>
      <c r="L600" s="12" t="e">
        <f>'[4]#REF'!L600</f>
        <v>#REF!</v>
      </c>
      <c r="M600" s="31" t="e">
        <f>'[4]#REF'!N600</f>
        <v>#REF!</v>
      </c>
      <c r="N600" s="32" t="e">
        <f t="shared" si="29"/>
        <v>#REF!</v>
      </c>
    </row>
    <row r="601" ht="15.75" spans="1:14">
      <c r="A601" s="12" t="e">
        <f>'[4]#REF'!A601</f>
        <v>#REF!</v>
      </c>
      <c r="B601" s="12" t="e">
        <f>'[4]#REF'!B601</f>
        <v>#REF!</v>
      </c>
      <c r="C601" s="31" t="e">
        <f>'[4]#REF'!D601</f>
        <v>#REF!</v>
      </c>
      <c r="D601" s="32" t="e">
        <f t="shared" si="27"/>
        <v>#REF!</v>
      </c>
      <c r="F601" s="12" t="e">
        <f>'[4]#REF'!F601</f>
        <v>#REF!</v>
      </c>
      <c r="G601" s="12" t="e">
        <f>'[4]#REF'!G601</f>
        <v>#REF!</v>
      </c>
      <c r="H601" s="31" t="e">
        <f>'[4]#REF'!I601</f>
        <v>#REF!</v>
      </c>
      <c r="I601" s="32" t="e">
        <f t="shared" si="28"/>
        <v>#REF!</v>
      </c>
      <c r="K601" s="12" t="e">
        <f>'[4]#REF'!K601</f>
        <v>#REF!</v>
      </c>
      <c r="L601" s="12" t="e">
        <f>'[4]#REF'!L601</f>
        <v>#REF!</v>
      </c>
      <c r="M601" s="31" t="e">
        <f>'[4]#REF'!N601</f>
        <v>#REF!</v>
      </c>
      <c r="N601" s="32" t="e">
        <f t="shared" si="29"/>
        <v>#REF!</v>
      </c>
    </row>
    <row r="602" ht="15.75" spans="1:14">
      <c r="A602" s="12" t="e">
        <f>'[4]#REF'!A602</f>
        <v>#REF!</v>
      </c>
      <c r="B602" s="12" t="e">
        <f>'[4]#REF'!B602</f>
        <v>#REF!</v>
      </c>
      <c r="C602" s="31" t="e">
        <f>'[4]#REF'!D602</f>
        <v>#REF!</v>
      </c>
      <c r="D602" s="32" t="e">
        <f t="shared" si="27"/>
        <v>#REF!</v>
      </c>
      <c r="F602" s="12" t="e">
        <f>'[4]#REF'!F602</f>
        <v>#REF!</v>
      </c>
      <c r="G602" s="12" t="e">
        <f>'[4]#REF'!G602</f>
        <v>#REF!</v>
      </c>
      <c r="H602" s="31" t="e">
        <f>'[4]#REF'!I602</f>
        <v>#REF!</v>
      </c>
      <c r="I602" s="32" t="e">
        <f t="shared" si="28"/>
        <v>#REF!</v>
      </c>
      <c r="K602" s="12" t="e">
        <f>'[4]#REF'!K602</f>
        <v>#REF!</v>
      </c>
      <c r="L602" s="12" t="e">
        <f>'[4]#REF'!L602</f>
        <v>#REF!</v>
      </c>
      <c r="M602" s="31" t="e">
        <f>'[4]#REF'!N602</f>
        <v>#REF!</v>
      </c>
      <c r="N602" s="32" t="e">
        <f t="shared" si="29"/>
        <v>#REF!</v>
      </c>
    </row>
    <row r="603" ht="15.75" spans="1:14">
      <c r="A603" s="12" t="e">
        <f>'[4]#REF'!A603</f>
        <v>#REF!</v>
      </c>
      <c r="B603" s="12" t="e">
        <f>'[4]#REF'!B603</f>
        <v>#REF!</v>
      </c>
      <c r="C603" s="31" t="e">
        <f>'[4]#REF'!D603</f>
        <v>#REF!</v>
      </c>
      <c r="D603" s="32" t="e">
        <f t="shared" si="27"/>
        <v>#REF!</v>
      </c>
      <c r="F603" s="12" t="e">
        <f>'[4]#REF'!F603</f>
        <v>#REF!</v>
      </c>
      <c r="G603" s="12" t="e">
        <f>'[4]#REF'!G603</f>
        <v>#REF!</v>
      </c>
      <c r="H603" s="31" t="e">
        <f>'[4]#REF'!I603</f>
        <v>#REF!</v>
      </c>
      <c r="I603" s="32" t="e">
        <f t="shared" si="28"/>
        <v>#REF!</v>
      </c>
      <c r="K603" s="12" t="e">
        <f>'[4]#REF'!K603</f>
        <v>#REF!</v>
      </c>
      <c r="L603" s="12" t="e">
        <f>'[4]#REF'!L603</f>
        <v>#REF!</v>
      </c>
      <c r="M603" s="31" t="e">
        <f>'[4]#REF'!N603</f>
        <v>#REF!</v>
      </c>
      <c r="N603" s="32" t="e">
        <f t="shared" si="29"/>
        <v>#REF!</v>
      </c>
    </row>
    <row r="604" ht="15.75" spans="1:14">
      <c r="A604" s="12" t="e">
        <f>'[4]#REF'!A604</f>
        <v>#REF!</v>
      </c>
      <c r="B604" s="12" t="e">
        <f>'[4]#REF'!B604</f>
        <v>#REF!</v>
      </c>
      <c r="C604" s="31" t="e">
        <f>'[4]#REF'!D604</f>
        <v>#REF!</v>
      </c>
      <c r="D604" s="32" t="e">
        <f t="shared" si="27"/>
        <v>#REF!</v>
      </c>
      <c r="F604" s="12" t="e">
        <f>'[4]#REF'!F604</f>
        <v>#REF!</v>
      </c>
      <c r="G604" s="12" t="e">
        <f>'[4]#REF'!G604</f>
        <v>#REF!</v>
      </c>
      <c r="H604" s="31" t="e">
        <f>'[4]#REF'!I604</f>
        <v>#REF!</v>
      </c>
      <c r="I604" s="32" t="e">
        <f t="shared" si="28"/>
        <v>#REF!</v>
      </c>
      <c r="K604" s="12" t="e">
        <f>'[4]#REF'!K604</f>
        <v>#REF!</v>
      </c>
      <c r="L604" s="12" t="e">
        <f>'[4]#REF'!L604</f>
        <v>#REF!</v>
      </c>
      <c r="M604" s="31" t="e">
        <f>'[4]#REF'!N604</f>
        <v>#REF!</v>
      </c>
      <c r="N604" s="32" t="e">
        <f t="shared" si="29"/>
        <v>#REF!</v>
      </c>
    </row>
    <row r="605" ht="15.75" spans="1:14">
      <c r="A605" s="12" t="e">
        <f>'[4]#REF'!A605</f>
        <v>#REF!</v>
      </c>
      <c r="B605" s="12" t="e">
        <f>'[4]#REF'!B605</f>
        <v>#REF!</v>
      </c>
      <c r="C605" s="31" t="e">
        <f>'[4]#REF'!D605</f>
        <v>#REF!</v>
      </c>
      <c r="D605" s="32" t="e">
        <f t="shared" si="27"/>
        <v>#REF!</v>
      </c>
      <c r="F605" s="12" t="e">
        <f>'[4]#REF'!F605</f>
        <v>#REF!</v>
      </c>
      <c r="G605" s="12" t="e">
        <f>'[4]#REF'!G605</f>
        <v>#REF!</v>
      </c>
      <c r="H605" s="31" t="e">
        <f>'[4]#REF'!I605</f>
        <v>#REF!</v>
      </c>
      <c r="I605" s="32" t="e">
        <f t="shared" si="28"/>
        <v>#REF!</v>
      </c>
      <c r="K605" s="12" t="e">
        <f>'[4]#REF'!K605</f>
        <v>#REF!</v>
      </c>
      <c r="L605" s="12" t="e">
        <f>'[4]#REF'!L605</f>
        <v>#REF!</v>
      </c>
      <c r="M605" s="31" t="e">
        <f>'[4]#REF'!N605</f>
        <v>#REF!</v>
      </c>
      <c r="N605" s="32" t="e">
        <f t="shared" si="29"/>
        <v>#REF!</v>
      </c>
    </row>
    <row r="606" ht="15.75" spans="1:14">
      <c r="A606" s="12" t="e">
        <f>'[4]#REF'!A606</f>
        <v>#REF!</v>
      </c>
      <c r="B606" s="12" t="e">
        <f>'[4]#REF'!B606</f>
        <v>#REF!</v>
      </c>
      <c r="C606" s="31" t="e">
        <f>'[4]#REF'!D606</f>
        <v>#REF!</v>
      </c>
      <c r="D606" s="32" t="e">
        <f t="shared" si="27"/>
        <v>#REF!</v>
      </c>
      <c r="F606" s="12" t="e">
        <f>'[4]#REF'!F606</f>
        <v>#REF!</v>
      </c>
      <c r="G606" s="12" t="e">
        <f>'[4]#REF'!G606</f>
        <v>#REF!</v>
      </c>
      <c r="H606" s="31" t="e">
        <f>'[4]#REF'!I606</f>
        <v>#REF!</v>
      </c>
      <c r="I606" s="32" t="e">
        <f t="shared" si="28"/>
        <v>#REF!</v>
      </c>
      <c r="K606" s="12" t="e">
        <f>'[4]#REF'!K606</f>
        <v>#REF!</v>
      </c>
      <c r="L606" s="12" t="e">
        <f>'[4]#REF'!L606</f>
        <v>#REF!</v>
      </c>
      <c r="M606" s="31" t="e">
        <f>'[4]#REF'!N606</f>
        <v>#REF!</v>
      </c>
      <c r="N606" s="32" t="e">
        <f t="shared" si="29"/>
        <v>#REF!</v>
      </c>
    </row>
    <row r="607" ht="15.75" spans="1:14">
      <c r="A607" s="12" t="e">
        <f>'[4]#REF'!A607</f>
        <v>#REF!</v>
      </c>
      <c r="B607" s="12" t="e">
        <f>'[4]#REF'!B607</f>
        <v>#REF!</v>
      </c>
      <c r="C607" s="31" t="e">
        <f>'[4]#REF'!D607</f>
        <v>#REF!</v>
      </c>
      <c r="D607" s="32" t="e">
        <f t="shared" si="27"/>
        <v>#REF!</v>
      </c>
      <c r="F607" s="12" t="e">
        <f>'[4]#REF'!F607</f>
        <v>#REF!</v>
      </c>
      <c r="G607" s="12" t="e">
        <f>'[4]#REF'!G607</f>
        <v>#REF!</v>
      </c>
      <c r="H607" s="31" t="e">
        <f>'[4]#REF'!I607</f>
        <v>#REF!</v>
      </c>
      <c r="I607" s="32" t="e">
        <f t="shared" si="28"/>
        <v>#REF!</v>
      </c>
      <c r="K607" s="12" t="e">
        <f>'[4]#REF'!K607</f>
        <v>#REF!</v>
      </c>
      <c r="L607" s="12" t="e">
        <f>'[4]#REF'!L607</f>
        <v>#REF!</v>
      </c>
      <c r="M607" s="31" t="e">
        <f>'[4]#REF'!N607</f>
        <v>#REF!</v>
      </c>
      <c r="N607" s="32" t="e">
        <f t="shared" si="29"/>
        <v>#REF!</v>
      </c>
    </row>
    <row r="608" ht="15.75" spans="1:14">
      <c r="A608" s="12" t="e">
        <f>'[4]#REF'!A608</f>
        <v>#REF!</v>
      </c>
      <c r="B608" s="12" t="e">
        <f>'[4]#REF'!B608</f>
        <v>#REF!</v>
      </c>
      <c r="C608" s="31" t="e">
        <f>'[4]#REF'!D608</f>
        <v>#REF!</v>
      </c>
      <c r="D608" s="32" t="e">
        <f t="shared" si="27"/>
        <v>#REF!</v>
      </c>
      <c r="F608" s="12" t="e">
        <f>'[4]#REF'!F608</f>
        <v>#REF!</v>
      </c>
      <c r="G608" s="12" t="e">
        <f>'[4]#REF'!G608</f>
        <v>#REF!</v>
      </c>
      <c r="H608" s="31" t="e">
        <f>'[4]#REF'!I608</f>
        <v>#REF!</v>
      </c>
      <c r="I608" s="32" t="e">
        <f t="shared" si="28"/>
        <v>#REF!</v>
      </c>
      <c r="K608" s="12" t="e">
        <f>'[4]#REF'!K608</f>
        <v>#REF!</v>
      </c>
      <c r="L608" s="12" t="e">
        <f>'[4]#REF'!L608</f>
        <v>#REF!</v>
      </c>
      <c r="M608" s="31" t="e">
        <f>'[4]#REF'!N608</f>
        <v>#REF!</v>
      </c>
      <c r="N608" s="32" t="e">
        <f t="shared" si="29"/>
        <v>#REF!</v>
      </c>
    </row>
    <row r="609" ht="15.75" spans="1:14">
      <c r="A609" s="12" t="e">
        <f>'[4]#REF'!A609</f>
        <v>#REF!</v>
      </c>
      <c r="B609" s="12" t="e">
        <f>'[4]#REF'!B609</f>
        <v>#REF!</v>
      </c>
      <c r="C609" s="31" t="e">
        <f>'[4]#REF'!D609</f>
        <v>#REF!</v>
      </c>
      <c r="D609" s="32" t="e">
        <f t="shared" si="27"/>
        <v>#REF!</v>
      </c>
      <c r="F609" s="12" t="e">
        <f>'[4]#REF'!F609</f>
        <v>#REF!</v>
      </c>
      <c r="G609" s="12" t="e">
        <f>'[4]#REF'!G609</f>
        <v>#REF!</v>
      </c>
      <c r="H609" s="31" t="e">
        <f>'[4]#REF'!I609</f>
        <v>#REF!</v>
      </c>
      <c r="I609" s="32" t="e">
        <f t="shared" si="28"/>
        <v>#REF!</v>
      </c>
      <c r="K609" s="12" t="e">
        <f>'[4]#REF'!K609</f>
        <v>#REF!</v>
      </c>
      <c r="L609" s="12" t="e">
        <f>'[4]#REF'!L609</f>
        <v>#REF!</v>
      </c>
      <c r="M609" s="31" t="e">
        <f>'[4]#REF'!N609</f>
        <v>#REF!</v>
      </c>
      <c r="N609" s="32" t="e">
        <f t="shared" si="29"/>
        <v>#REF!</v>
      </c>
    </row>
    <row r="610" ht="15.75" spans="1:14">
      <c r="A610" s="12" t="e">
        <f>'[4]#REF'!A610</f>
        <v>#REF!</v>
      </c>
      <c r="B610" s="12" t="e">
        <f>'[4]#REF'!B610</f>
        <v>#REF!</v>
      </c>
      <c r="C610" s="31" t="e">
        <f>'[4]#REF'!D610</f>
        <v>#REF!</v>
      </c>
      <c r="D610" s="32" t="e">
        <f t="shared" si="27"/>
        <v>#REF!</v>
      </c>
      <c r="F610" s="12" t="e">
        <f>'[4]#REF'!F610</f>
        <v>#REF!</v>
      </c>
      <c r="G610" s="12" t="e">
        <f>'[4]#REF'!G610</f>
        <v>#REF!</v>
      </c>
      <c r="H610" s="31" t="e">
        <f>'[4]#REF'!I610</f>
        <v>#REF!</v>
      </c>
      <c r="I610" s="32" t="e">
        <f t="shared" si="28"/>
        <v>#REF!</v>
      </c>
      <c r="K610" s="12" t="e">
        <f>'[4]#REF'!K610</f>
        <v>#REF!</v>
      </c>
      <c r="L610" s="12" t="e">
        <f>'[4]#REF'!L610</f>
        <v>#REF!</v>
      </c>
      <c r="M610" s="31" t="e">
        <f>'[4]#REF'!N610</f>
        <v>#REF!</v>
      </c>
      <c r="N610" s="32" t="e">
        <f t="shared" si="29"/>
        <v>#REF!</v>
      </c>
    </row>
    <row r="611" ht="15.75" spans="1:14">
      <c r="A611" s="12" t="e">
        <f>'[4]#REF'!A611</f>
        <v>#REF!</v>
      </c>
      <c r="B611" s="12" t="e">
        <f>'[4]#REF'!B611</f>
        <v>#REF!</v>
      </c>
      <c r="C611" s="31" t="e">
        <f>'[4]#REF'!D611</f>
        <v>#REF!</v>
      </c>
      <c r="D611" s="32" t="e">
        <f t="shared" si="27"/>
        <v>#REF!</v>
      </c>
      <c r="F611" s="12" t="e">
        <f>'[4]#REF'!F611</f>
        <v>#REF!</v>
      </c>
      <c r="G611" s="12" t="e">
        <f>'[4]#REF'!G611</f>
        <v>#REF!</v>
      </c>
      <c r="H611" s="31" t="e">
        <f>'[4]#REF'!I611</f>
        <v>#REF!</v>
      </c>
      <c r="I611" s="32" t="e">
        <f t="shared" si="28"/>
        <v>#REF!</v>
      </c>
      <c r="K611" s="12" t="e">
        <f>'[4]#REF'!K611</f>
        <v>#REF!</v>
      </c>
      <c r="L611" s="12" t="e">
        <f>'[4]#REF'!L611</f>
        <v>#REF!</v>
      </c>
      <c r="M611" s="31" t="e">
        <f>'[4]#REF'!N611</f>
        <v>#REF!</v>
      </c>
      <c r="N611" s="32" t="e">
        <f t="shared" si="29"/>
        <v>#REF!</v>
      </c>
    </row>
    <row r="612" ht="15.75" spans="1:14">
      <c r="A612" s="12" t="e">
        <f>'[4]#REF'!A612</f>
        <v>#REF!</v>
      </c>
      <c r="B612" s="12" t="e">
        <f>'[4]#REF'!B612</f>
        <v>#REF!</v>
      </c>
      <c r="C612" s="31" t="e">
        <f>'[4]#REF'!D612</f>
        <v>#REF!</v>
      </c>
      <c r="D612" s="32" t="e">
        <f t="shared" si="27"/>
        <v>#REF!</v>
      </c>
      <c r="F612" s="12" t="e">
        <f>'[4]#REF'!F612</f>
        <v>#REF!</v>
      </c>
      <c r="G612" s="12" t="e">
        <f>'[4]#REF'!G612</f>
        <v>#REF!</v>
      </c>
      <c r="H612" s="31" t="e">
        <f>'[4]#REF'!I612</f>
        <v>#REF!</v>
      </c>
      <c r="I612" s="32" t="e">
        <f t="shared" si="28"/>
        <v>#REF!</v>
      </c>
      <c r="K612" s="12" t="e">
        <f>'[4]#REF'!K612</f>
        <v>#REF!</v>
      </c>
      <c r="L612" s="12" t="e">
        <f>'[4]#REF'!L612</f>
        <v>#REF!</v>
      </c>
      <c r="M612" s="31" t="e">
        <f>'[4]#REF'!N612</f>
        <v>#REF!</v>
      </c>
      <c r="N612" s="32" t="e">
        <f t="shared" si="29"/>
        <v>#REF!</v>
      </c>
    </row>
    <row r="613" ht="15.75" spans="1:14">
      <c r="A613" s="12" t="e">
        <f>'[4]#REF'!A613</f>
        <v>#REF!</v>
      </c>
      <c r="B613" s="12" t="e">
        <f>'[4]#REF'!B613</f>
        <v>#REF!</v>
      </c>
      <c r="C613" s="31" t="e">
        <f>'[4]#REF'!D613</f>
        <v>#REF!</v>
      </c>
      <c r="D613" s="32" t="e">
        <f t="shared" si="27"/>
        <v>#REF!</v>
      </c>
      <c r="F613" s="12" t="e">
        <f>'[4]#REF'!F613</f>
        <v>#REF!</v>
      </c>
      <c r="G613" s="12" t="e">
        <f>'[4]#REF'!G613</f>
        <v>#REF!</v>
      </c>
      <c r="H613" s="31" t="e">
        <f>'[4]#REF'!I613</f>
        <v>#REF!</v>
      </c>
      <c r="I613" s="32" t="e">
        <f t="shared" si="28"/>
        <v>#REF!</v>
      </c>
      <c r="K613" s="12" t="e">
        <f>'[4]#REF'!K613</f>
        <v>#REF!</v>
      </c>
      <c r="L613" s="12" t="e">
        <f>'[4]#REF'!L613</f>
        <v>#REF!</v>
      </c>
      <c r="M613" s="31" t="e">
        <f>'[4]#REF'!N613</f>
        <v>#REF!</v>
      </c>
      <c r="N613" s="32" t="e">
        <f t="shared" si="29"/>
        <v>#REF!</v>
      </c>
    </row>
    <row r="614" ht="15.75" spans="1:14">
      <c r="A614" s="12" t="e">
        <f>'[4]#REF'!A614</f>
        <v>#REF!</v>
      </c>
      <c r="B614" s="12" t="e">
        <f>'[4]#REF'!B614</f>
        <v>#REF!</v>
      </c>
      <c r="C614" s="31" t="e">
        <f>'[4]#REF'!D614</f>
        <v>#REF!</v>
      </c>
      <c r="D614" s="32" t="e">
        <f t="shared" si="27"/>
        <v>#REF!</v>
      </c>
      <c r="F614" s="12" t="e">
        <f>'[4]#REF'!F614</f>
        <v>#REF!</v>
      </c>
      <c r="G614" s="12" t="e">
        <f>'[4]#REF'!G614</f>
        <v>#REF!</v>
      </c>
      <c r="H614" s="31" t="e">
        <f>'[4]#REF'!I614</f>
        <v>#REF!</v>
      </c>
      <c r="I614" s="32" t="e">
        <f t="shared" si="28"/>
        <v>#REF!</v>
      </c>
      <c r="K614" s="12" t="e">
        <f>'[4]#REF'!K614</f>
        <v>#REF!</v>
      </c>
      <c r="L614" s="12" t="e">
        <f>'[4]#REF'!L614</f>
        <v>#REF!</v>
      </c>
      <c r="M614" s="31" t="e">
        <f>'[4]#REF'!N614</f>
        <v>#REF!</v>
      </c>
      <c r="N614" s="32" t="e">
        <f t="shared" si="29"/>
        <v>#REF!</v>
      </c>
    </row>
    <row r="615" ht="15.75" spans="1:14">
      <c r="A615" s="12" t="e">
        <f>'[4]#REF'!A615</f>
        <v>#REF!</v>
      </c>
      <c r="B615" s="12" t="e">
        <f>'[4]#REF'!B615</f>
        <v>#REF!</v>
      </c>
      <c r="C615" s="31" t="e">
        <f>'[4]#REF'!D615</f>
        <v>#REF!</v>
      </c>
      <c r="D615" s="32" t="e">
        <f t="shared" si="27"/>
        <v>#REF!</v>
      </c>
      <c r="F615" s="12" t="e">
        <f>'[4]#REF'!F615</f>
        <v>#REF!</v>
      </c>
      <c r="G615" s="12" t="e">
        <f>'[4]#REF'!G615</f>
        <v>#REF!</v>
      </c>
      <c r="H615" s="31" t="e">
        <f>'[4]#REF'!I615</f>
        <v>#REF!</v>
      </c>
      <c r="I615" s="32" t="e">
        <f t="shared" si="28"/>
        <v>#REF!</v>
      </c>
      <c r="K615" s="12" t="e">
        <f>'[4]#REF'!K615</f>
        <v>#REF!</v>
      </c>
      <c r="L615" s="12" t="e">
        <f>'[4]#REF'!L615</f>
        <v>#REF!</v>
      </c>
      <c r="M615" s="31" t="e">
        <f>'[4]#REF'!N615</f>
        <v>#REF!</v>
      </c>
      <c r="N615" s="32" t="e">
        <f t="shared" si="29"/>
        <v>#REF!</v>
      </c>
    </row>
    <row r="616" ht="15.75" spans="1:14">
      <c r="A616" s="12" t="e">
        <f>'[4]#REF'!A616</f>
        <v>#REF!</v>
      </c>
      <c r="B616" s="12" t="e">
        <f>'[4]#REF'!B616</f>
        <v>#REF!</v>
      </c>
      <c r="C616" s="31" t="e">
        <f>'[4]#REF'!D616</f>
        <v>#REF!</v>
      </c>
      <c r="D616" s="32" t="e">
        <f t="shared" si="27"/>
        <v>#REF!</v>
      </c>
      <c r="F616" s="12" t="e">
        <f>'[4]#REF'!F616</f>
        <v>#REF!</v>
      </c>
      <c r="G616" s="12" t="e">
        <f>'[4]#REF'!G616</f>
        <v>#REF!</v>
      </c>
      <c r="H616" s="31" t="e">
        <f>'[4]#REF'!I616</f>
        <v>#REF!</v>
      </c>
      <c r="I616" s="32" t="e">
        <f t="shared" si="28"/>
        <v>#REF!</v>
      </c>
      <c r="K616" s="12" t="e">
        <f>'[4]#REF'!K616</f>
        <v>#REF!</v>
      </c>
      <c r="L616" s="12" t="e">
        <f>'[4]#REF'!L616</f>
        <v>#REF!</v>
      </c>
      <c r="M616" s="31" t="e">
        <f>'[4]#REF'!N616</f>
        <v>#REF!</v>
      </c>
      <c r="N616" s="32" t="e">
        <f t="shared" si="29"/>
        <v>#REF!</v>
      </c>
    </row>
    <row r="617" ht="15.75" spans="1:14">
      <c r="A617" s="12" t="e">
        <f>'[4]#REF'!A617</f>
        <v>#REF!</v>
      </c>
      <c r="B617" s="12" t="e">
        <f>'[4]#REF'!B617</f>
        <v>#REF!</v>
      </c>
      <c r="C617" s="31" t="e">
        <f>'[4]#REF'!D617</f>
        <v>#REF!</v>
      </c>
      <c r="D617" s="32" t="e">
        <f t="shared" si="27"/>
        <v>#REF!</v>
      </c>
      <c r="F617" s="12" t="e">
        <f>'[4]#REF'!F617</f>
        <v>#REF!</v>
      </c>
      <c r="G617" s="12" t="e">
        <f>'[4]#REF'!G617</f>
        <v>#REF!</v>
      </c>
      <c r="H617" s="31" t="e">
        <f>'[4]#REF'!I617</f>
        <v>#REF!</v>
      </c>
      <c r="I617" s="32" t="e">
        <f t="shared" si="28"/>
        <v>#REF!</v>
      </c>
      <c r="K617" s="12" t="e">
        <f>'[4]#REF'!K617</f>
        <v>#REF!</v>
      </c>
      <c r="L617" s="12" t="e">
        <f>'[4]#REF'!L617</f>
        <v>#REF!</v>
      </c>
      <c r="M617" s="31" t="e">
        <f>'[4]#REF'!N617</f>
        <v>#REF!</v>
      </c>
      <c r="N617" s="32" t="e">
        <f t="shared" si="29"/>
        <v>#REF!</v>
      </c>
    </row>
    <row r="618" ht="15.75" spans="1:14">
      <c r="A618" s="12" t="e">
        <f>'[4]#REF'!A618</f>
        <v>#REF!</v>
      </c>
      <c r="B618" s="12" t="e">
        <f>'[4]#REF'!B618</f>
        <v>#REF!</v>
      </c>
      <c r="C618" s="31" t="e">
        <f>'[4]#REF'!D618</f>
        <v>#REF!</v>
      </c>
      <c r="D618" s="32" t="e">
        <f t="shared" si="27"/>
        <v>#REF!</v>
      </c>
      <c r="F618" s="12" t="e">
        <f>'[4]#REF'!F618</f>
        <v>#REF!</v>
      </c>
      <c r="G618" s="12" t="e">
        <f>'[4]#REF'!G618</f>
        <v>#REF!</v>
      </c>
      <c r="H618" s="31" t="e">
        <f>'[4]#REF'!I618</f>
        <v>#REF!</v>
      </c>
      <c r="I618" s="32" t="e">
        <f t="shared" si="28"/>
        <v>#REF!</v>
      </c>
      <c r="K618" s="12" t="e">
        <f>'[4]#REF'!K618</f>
        <v>#REF!</v>
      </c>
      <c r="L618" s="12" t="e">
        <f>'[4]#REF'!L618</f>
        <v>#REF!</v>
      </c>
      <c r="M618" s="31" t="e">
        <f>'[4]#REF'!N618</f>
        <v>#REF!</v>
      </c>
      <c r="N618" s="32" t="e">
        <f t="shared" si="29"/>
        <v>#REF!</v>
      </c>
    </row>
    <row r="619" ht="15.75" spans="1:14">
      <c r="A619" s="12" t="e">
        <f>'[4]#REF'!A619</f>
        <v>#REF!</v>
      </c>
      <c r="B619" s="12" t="e">
        <f>'[4]#REF'!B619</f>
        <v>#REF!</v>
      </c>
      <c r="C619" s="31" t="e">
        <f>'[4]#REF'!D619</f>
        <v>#REF!</v>
      </c>
      <c r="D619" s="32" t="e">
        <f t="shared" si="27"/>
        <v>#REF!</v>
      </c>
      <c r="F619" s="12" t="e">
        <f>'[4]#REF'!F619</f>
        <v>#REF!</v>
      </c>
      <c r="G619" s="12" t="e">
        <f>'[4]#REF'!G619</f>
        <v>#REF!</v>
      </c>
      <c r="H619" s="31" t="e">
        <f>'[4]#REF'!I619</f>
        <v>#REF!</v>
      </c>
      <c r="I619" s="32" t="e">
        <f t="shared" si="28"/>
        <v>#REF!</v>
      </c>
      <c r="K619" s="12" t="e">
        <f>'[4]#REF'!K619</f>
        <v>#REF!</v>
      </c>
      <c r="L619" s="12" t="e">
        <f>'[4]#REF'!L619</f>
        <v>#REF!</v>
      </c>
      <c r="M619" s="31" t="e">
        <f>'[4]#REF'!N619</f>
        <v>#REF!</v>
      </c>
      <c r="N619" s="32" t="e">
        <f t="shared" si="29"/>
        <v>#REF!</v>
      </c>
    </row>
    <row r="620" ht="15.75" spans="1:14">
      <c r="A620" s="12" t="e">
        <f>'[4]#REF'!A620</f>
        <v>#REF!</v>
      </c>
      <c r="B620" s="12" t="e">
        <f>'[4]#REF'!B620</f>
        <v>#REF!</v>
      </c>
      <c r="C620" s="31" t="e">
        <f>'[4]#REF'!D620</f>
        <v>#REF!</v>
      </c>
      <c r="D620" s="32" t="e">
        <f t="shared" si="27"/>
        <v>#REF!</v>
      </c>
      <c r="F620" s="12" t="e">
        <f>'[4]#REF'!F620</f>
        <v>#REF!</v>
      </c>
      <c r="G620" s="12" t="e">
        <f>'[4]#REF'!G620</f>
        <v>#REF!</v>
      </c>
      <c r="H620" s="31" t="e">
        <f>'[4]#REF'!I620</f>
        <v>#REF!</v>
      </c>
      <c r="I620" s="32" t="e">
        <f t="shared" si="28"/>
        <v>#REF!</v>
      </c>
      <c r="K620" s="12" t="e">
        <f>'[4]#REF'!K620</f>
        <v>#REF!</v>
      </c>
      <c r="L620" s="12" t="e">
        <f>'[4]#REF'!L620</f>
        <v>#REF!</v>
      </c>
      <c r="M620" s="31" t="e">
        <f>'[4]#REF'!N620</f>
        <v>#REF!</v>
      </c>
      <c r="N620" s="32" t="e">
        <f t="shared" si="29"/>
        <v>#REF!</v>
      </c>
    </row>
    <row r="621" ht="15.75" spans="1:14">
      <c r="A621" s="12" t="e">
        <f>'[4]#REF'!A621</f>
        <v>#REF!</v>
      </c>
      <c r="B621" s="12" t="e">
        <f>'[4]#REF'!B621</f>
        <v>#REF!</v>
      </c>
      <c r="C621" s="31" t="e">
        <f>'[4]#REF'!D621</f>
        <v>#REF!</v>
      </c>
      <c r="D621" s="32" t="e">
        <f t="shared" si="27"/>
        <v>#REF!</v>
      </c>
      <c r="F621" s="12" t="e">
        <f>'[4]#REF'!F621</f>
        <v>#REF!</v>
      </c>
      <c r="G621" s="12" t="e">
        <f>'[4]#REF'!G621</f>
        <v>#REF!</v>
      </c>
      <c r="H621" s="31" t="e">
        <f>'[4]#REF'!I621</f>
        <v>#REF!</v>
      </c>
      <c r="I621" s="32" t="e">
        <f t="shared" si="28"/>
        <v>#REF!</v>
      </c>
      <c r="K621" s="12" t="e">
        <f>'[4]#REF'!K621</f>
        <v>#REF!</v>
      </c>
      <c r="L621" s="12" t="e">
        <f>'[4]#REF'!L621</f>
        <v>#REF!</v>
      </c>
      <c r="M621" s="31" t="e">
        <f>'[4]#REF'!N621</f>
        <v>#REF!</v>
      </c>
      <c r="N621" s="32" t="e">
        <f t="shared" si="29"/>
        <v>#REF!</v>
      </c>
    </row>
    <row r="622" ht="15.75" spans="1:14">
      <c r="A622" s="12" t="e">
        <f>'[4]#REF'!A622</f>
        <v>#REF!</v>
      </c>
      <c r="B622" s="12" t="e">
        <f>'[4]#REF'!B622</f>
        <v>#REF!</v>
      </c>
      <c r="C622" s="31" t="e">
        <f>'[4]#REF'!D622</f>
        <v>#REF!</v>
      </c>
      <c r="D622" s="32" t="e">
        <f t="shared" si="27"/>
        <v>#REF!</v>
      </c>
      <c r="F622" s="12" t="e">
        <f>'[4]#REF'!F622</f>
        <v>#REF!</v>
      </c>
      <c r="G622" s="12" t="e">
        <f>'[4]#REF'!G622</f>
        <v>#REF!</v>
      </c>
      <c r="H622" s="31" t="e">
        <f>'[4]#REF'!I622</f>
        <v>#REF!</v>
      </c>
      <c r="I622" s="32" t="e">
        <f t="shared" si="28"/>
        <v>#REF!</v>
      </c>
      <c r="K622" s="12" t="e">
        <f>'[4]#REF'!K622</f>
        <v>#REF!</v>
      </c>
      <c r="L622" s="12" t="e">
        <f>'[4]#REF'!L622</f>
        <v>#REF!</v>
      </c>
      <c r="M622" s="31" t="e">
        <f>'[4]#REF'!N622</f>
        <v>#REF!</v>
      </c>
      <c r="N622" s="32" t="e">
        <f t="shared" si="29"/>
        <v>#REF!</v>
      </c>
    </row>
    <row r="623" ht="15.75" spans="1:14">
      <c r="A623" s="12" t="e">
        <f>'[4]#REF'!A623</f>
        <v>#REF!</v>
      </c>
      <c r="B623" s="12" t="e">
        <f>'[4]#REF'!B623</f>
        <v>#REF!</v>
      </c>
      <c r="C623" s="31" t="e">
        <f>'[4]#REF'!D623</f>
        <v>#REF!</v>
      </c>
      <c r="D623" s="32" t="e">
        <f t="shared" si="27"/>
        <v>#REF!</v>
      </c>
      <c r="F623" s="12" t="e">
        <f>'[4]#REF'!F623</f>
        <v>#REF!</v>
      </c>
      <c r="G623" s="12" t="e">
        <f>'[4]#REF'!G623</f>
        <v>#REF!</v>
      </c>
      <c r="H623" s="31" t="e">
        <f>'[4]#REF'!I623</f>
        <v>#REF!</v>
      </c>
      <c r="I623" s="32" t="e">
        <f t="shared" si="28"/>
        <v>#REF!</v>
      </c>
      <c r="K623" s="12" t="e">
        <f>'[4]#REF'!K623</f>
        <v>#REF!</v>
      </c>
      <c r="L623" s="12" t="e">
        <f>'[4]#REF'!L623</f>
        <v>#REF!</v>
      </c>
      <c r="M623" s="31" t="e">
        <f>'[4]#REF'!N623</f>
        <v>#REF!</v>
      </c>
      <c r="N623" s="32" t="e">
        <f t="shared" si="29"/>
        <v>#REF!</v>
      </c>
    </row>
    <row r="624" ht="15.75" spans="1:14">
      <c r="A624" s="12" t="e">
        <f>'[4]#REF'!A624</f>
        <v>#REF!</v>
      </c>
      <c r="B624" s="12" t="e">
        <f>'[4]#REF'!B624</f>
        <v>#REF!</v>
      </c>
      <c r="C624" s="31" t="e">
        <f>'[4]#REF'!D624</f>
        <v>#REF!</v>
      </c>
      <c r="D624" s="32" t="e">
        <f t="shared" si="27"/>
        <v>#REF!</v>
      </c>
      <c r="F624" s="12" t="e">
        <f>'[4]#REF'!F624</f>
        <v>#REF!</v>
      </c>
      <c r="G624" s="12" t="e">
        <f>'[4]#REF'!G624</f>
        <v>#REF!</v>
      </c>
      <c r="H624" s="31" t="e">
        <f>'[4]#REF'!I624</f>
        <v>#REF!</v>
      </c>
      <c r="I624" s="32" t="e">
        <f t="shared" si="28"/>
        <v>#REF!</v>
      </c>
      <c r="K624" s="12" t="e">
        <f>'[4]#REF'!K624</f>
        <v>#REF!</v>
      </c>
      <c r="L624" s="12" t="e">
        <f>'[4]#REF'!L624</f>
        <v>#REF!</v>
      </c>
      <c r="M624" s="31" t="e">
        <f>'[4]#REF'!N624</f>
        <v>#REF!</v>
      </c>
      <c r="N624" s="32" t="e">
        <f t="shared" si="29"/>
        <v>#REF!</v>
      </c>
    </row>
    <row r="625" ht="15.75" spans="1:14">
      <c r="A625" s="12" t="e">
        <f>'[4]#REF'!A625</f>
        <v>#REF!</v>
      </c>
      <c r="B625" s="12" t="e">
        <f>'[4]#REF'!B625</f>
        <v>#REF!</v>
      </c>
      <c r="C625" s="31" t="e">
        <f>'[4]#REF'!D625</f>
        <v>#REF!</v>
      </c>
      <c r="D625" s="32" t="e">
        <f t="shared" si="27"/>
        <v>#REF!</v>
      </c>
      <c r="F625" s="12" t="e">
        <f>'[4]#REF'!F625</f>
        <v>#REF!</v>
      </c>
      <c r="G625" s="12" t="e">
        <f>'[4]#REF'!G625</f>
        <v>#REF!</v>
      </c>
      <c r="H625" s="31" t="e">
        <f>'[4]#REF'!I625</f>
        <v>#REF!</v>
      </c>
      <c r="I625" s="32" t="e">
        <f t="shared" si="28"/>
        <v>#REF!</v>
      </c>
      <c r="K625" s="12" t="e">
        <f>'[4]#REF'!K625</f>
        <v>#REF!</v>
      </c>
      <c r="L625" s="12" t="e">
        <f>'[4]#REF'!L625</f>
        <v>#REF!</v>
      </c>
      <c r="M625" s="31" t="e">
        <f>'[4]#REF'!N625</f>
        <v>#REF!</v>
      </c>
      <c r="N625" s="32" t="e">
        <f t="shared" si="29"/>
        <v>#REF!</v>
      </c>
    </row>
    <row r="626" ht="15.75" spans="1:14">
      <c r="A626" s="12" t="e">
        <f>'[4]#REF'!A626</f>
        <v>#REF!</v>
      </c>
      <c r="B626" s="12" t="e">
        <f>'[4]#REF'!B626</f>
        <v>#REF!</v>
      </c>
      <c r="C626" s="31" t="e">
        <f>'[4]#REF'!D626</f>
        <v>#REF!</v>
      </c>
      <c r="D626" s="32" t="e">
        <f t="shared" si="27"/>
        <v>#REF!</v>
      </c>
      <c r="F626" s="12" t="e">
        <f>'[4]#REF'!F626</f>
        <v>#REF!</v>
      </c>
      <c r="G626" s="12" t="e">
        <f>'[4]#REF'!G626</f>
        <v>#REF!</v>
      </c>
      <c r="H626" s="31" t="e">
        <f>'[4]#REF'!I626</f>
        <v>#REF!</v>
      </c>
      <c r="I626" s="32" t="e">
        <f t="shared" si="28"/>
        <v>#REF!</v>
      </c>
      <c r="K626" s="12" t="e">
        <f>'[4]#REF'!K626</f>
        <v>#REF!</v>
      </c>
      <c r="L626" s="12" t="e">
        <f>'[4]#REF'!L626</f>
        <v>#REF!</v>
      </c>
      <c r="M626" s="31" t="e">
        <f>'[4]#REF'!N626</f>
        <v>#REF!</v>
      </c>
      <c r="N626" s="32" t="e">
        <f t="shared" si="29"/>
        <v>#REF!</v>
      </c>
    </row>
    <row r="627" ht="15.75" spans="1:14">
      <c r="A627" s="12" t="e">
        <f>'[4]#REF'!A627</f>
        <v>#REF!</v>
      </c>
      <c r="B627" s="12" t="e">
        <f>'[4]#REF'!B627</f>
        <v>#REF!</v>
      </c>
      <c r="C627" s="31" t="e">
        <f>'[4]#REF'!D627</f>
        <v>#REF!</v>
      </c>
      <c r="D627" s="32" t="e">
        <f t="shared" si="27"/>
        <v>#REF!</v>
      </c>
      <c r="F627" s="12" t="e">
        <f>'[4]#REF'!F627</f>
        <v>#REF!</v>
      </c>
      <c r="G627" s="12" t="e">
        <f>'[4]#REF'!G627</f>
        <v>#REF!</v>
      </c>
      <c r="H627" s="31" t="e">
        <f>'[4]#REF'!I627</f>
        <v>#REF!</v>
      </c>
      <c r="I627" s="32" t="e">
        <f t="shared" si="28"/>
        <v>#REF!</v>
      </c>
      <c r="K627" s="12" t="e">
        <f>'[4]#REF'!K627</f>
        <v>#REF!</v>
      </c>
      <c r="L627" s="12" t="e">
        <f>'[4]#REF'!L627</f>
        <v>#REF!</v>
      </c>
      <c r="M627" s="31" t="e">
        <f>'[4]#REF'!N627</f>
        <v>#REF!</v>
      </c>
      <c r="N627" s="32" t="e">
        <f t="shared" si="29"/>
        <v>#REF!</v>
      </c>
    </row>
    <row r="628" ht="15.75" spans="1:14">
      <c r="A628" s="12" t="e">
        <f>'[4]#REF'!A628</f>
        <v>#REF!</v>
      </c>
      <c r="B628" s="12" t="e">
        <f>'[4]#REF'!B628</f>
        <v>#REF!</v>
      </c>
      <c r="C628" s="31" t="e">
        <f>'[4]#REF'!D628</f>
        <v>#REF!</v>
      </c>
      <c r="D628" s="32" t="e">
        <f t="shared" si="27"/>
        <v>#REF!</v>
      </c>
      <c r="F628" s="12" t="e">
        <f>'[4]#REF'!F628</f>
        <v>#REF!</v>
      </c>
      <c r="G628" s="12" t="e">
        <f>'[4]#REF'!G628</f>
        <v>#REF!</v>
      </c>
      <c r="H628" s="31" t="e">
        <f>'[4]#REF'!I628</f>
        <v>#REF!</v>
      </c>
      <c r="I628" s="32" t="e">
        <f t="shared" si="28"/>
        <v>#REF!</v>
      </c>
      <c r="K628" s="12" t="e">
        <f>'[4]#REF'!K628</f>
        <v>#REF!</v>
      </c>
      <c r="L628" s="12" t="e">
        <f>'[4]#REF'!L628</f>
        <v>#REF!</v>
      </c>
      <c r="M628" s="31" t="e">
        <f>'[4]#REF'!N628</f>
        <v>#REF!</v>
      </c>
      <c r="N628" s="32" t="e">
        <f t="shared" si="29"/>
        <v>#REF!</v>
      </c>
    </row>
    <row r="629" ht="15.75" spans="1:14">
      <c r="A629" s="12" t="e">
        <f>'[4]#REF'!A629</f>
        <v>#REF!</v>
      </c>
      <c r="B629" s="12" t="e">
        <f>'[4]#REF'!B629</f>
        <v>#REF!</v>
      </c>
      <c r="C629" s="31" t="e">
        <f>'[4]#REF'!D629</f>
        <v>#REF!</v>
      </c>
      <c r="D629" s="32" t="e">
        <f t="shared" si="27"/>
        <v>#REF!</v>
      </c>
      <c r="F629" s="12" t="e">
        <f>'[4]#REF'!F629</f>
        <v>#REF!</v>
      </c>
      <c r="G629" s="12" t="e">
        <f>'[4]#REF'!G629</f>
        <v>#REF!</v>
      </c>
      <c r="H629" s="31" t="e">
        <f>'[4]#REF'!I629</f>
        <v>#REF!</v>
      </c>
      <c r="I629" s="32" t="e">
        <f t="shared" si="28"/>
        <v>#REF!</v>
      </c>
      <c r="K629" s="12" t="e">
        <f>'[4]#REF'!K629</f>
        <v>#REF!</v>
      </c>
      <c r="L629" s="12" t="e">
        <f>'[4]#REF'!L629</f>
        <v>#REF!</v>
      </c>
      <c r="M629" s="31" t="e">
        <f>'[4]#REF'!N629</f>
        <v>#REF!</v>
      </c>
      <c r="N629" s="32" t="e">
        <f t="shared" si="29"/>
        <v>#REF!</v>
      </c>
    </row>
    <row r="630" ht="15.75" spans="1:14">
      <c r="A630" s="12" t="e">
        <f>'[4]#REF'!A630</f>
        <v>#REF!</v>
      </c>
      <c r="B630" s="12" t="e">
        <f>'[4]#REF'!B630</f>
        <v>#REF!</v>
      </c>
      <c r="C630" s="31" t="e">
        <f>'[4]#REF'!D630</f>
        <v>#REF!</v>
      </c>
      <c r="D630" s="32" t="e">
        <f t="shared" si="27"/>
        <v>#REF!</v>
      </c>
      <c r="F630" s="12" t="e">
        <f>'[4]#REF'!F630</f>
        <v>#REF!</v>
      </c>
      <c r="G630" s="12" t="e">
        <f>'[4]#REF'!G630</f>
        <v>#REF!</v>
      </c>
      <c r="H630" s="31" t="e">
        <f>'[4]#REF'!I630</f>
        <v>#REF!</v>
      </c>
      <c r="I630" s="32" t="e">
        <f t="shared" si="28"/>
        <v>#REF!</v>
      </c>
      <c r="K630" s="12" t="e">
        <f>'[4]#REF'!K630</f>
        <v>#REF!</v>
      </c>
      <c r="L630" s="12" t="e">
        <f>'[4]#REF'!L630</f>
        <v>#REF!</v>
      </c>
      <c r="M630" s="31" t="e">
        <f>'[4]#REF'!N630</f>
        <v>#REF!</v>
      </c>
      <c r="N630" s="32" t="e">
        <f t="shared" si="29"/>
        <v>#REF!</v>
      </c>
    </row>
    <row r="631" ht="15.75" spans="1:14">
      <c r="A631" s="12" t="e">
        <f>'[4]#REF'!A631</f>
        <v>#REF!</v>
      </c>
      <c r="B631" s="12" t="e">
        <f>'[4]#REF'!B631</f>
        <v>#REF!</v>
      </c>
      <c r="C631" s="31" t="e">
        <f>'[4]#REF'!D631</f>
        <v>#REF!</v>
      </c>
      <c r="D631" s="32" t="e">
        <f t="shared" si="27"/>
        <v>#REF!</v>
      </c>
      <c r="F631" s="12" t="e">
        <f>'[4]#REF'!F631</f>
        <v>#REF!</v>
      </c>
      <c r="G631" s="12" t="e">
        <f>'[4]#REF'!G631</f>
        <v>#REF!</v>
      </c>
      <c r="H631" s="31" t="e">
        <f>'[4]#REF'!I631</f>
        <v>#REF!</v>
      </c>
      <c r="I631" s="32" t="e">
        <f t="shared" si="28"/>
        <v>#REF!</v>
      </c>
      <c r="K631" s="12" t="e">
        <f>'[4]#REF'!K631</f>
        <v>#REF!</v>
      </c>
      <c r="L631" s="12" t="e">
        <f>'[4]#REF'!L631</f>
        <v>#REF!</v>
      </c>
      <c r="M631" s="31" t="e">
        <f>'[4]#REF'!N631</f>
        <v>#REF!</v>
      </c>
      <c r="N631" s="32" t="e">
        <f t="shared" si="29"/>
        <v>#REF!</v>
      </c>
    </row>
    <row r="632" ht="15.75" spans="1:14">
      <c r="A632" s="12" t="e">
        <f>'[4]#REF'!A632</f>
        <v>#REF!</v>
      </c>
      <c r="B632" s="12" t="e">
        <f>'[4]#REF'!B632</f>
        <v>#REF!</v>
      </c>
      <c r="C632" s="31" t="e">
        <f>'[4]#REF'!D632</f>
        <v>#REF!</v>
      </c>
      <c r="D632" s="32" t="e">
        <f t="shared" si="27"/>
        <v>#REF!</v>
      </c>
      <c r="F632" s="12" t="e">
        <f>'[4]#REF'!F632</f>
        <v>#REF!</v>
      </c>
      <c r="G632" s="12" t="e">
        <f>'[4]#REF'!G632</f>
        <v>#REF!</v>
      </c>
      <c r="H632" s="31" t="e">
        <f>'[4]#REF'!I632</f>
        <v>#REF!</v>
      </c>
      <c r="I632" s="32" t="e">
        <f t="shared" si="28"/>
        <v>#REF!</v>
      </c>
      <c r="K632" s="12" t="e">
        <f>'[4]#REF'!K632</f>
        <v>#REF!</v>
      </c>
      <c r="L632" s="12" t="e">
        <f>'[4]#REF'!L632</f>
        <v>#REF!</v>
      </c>
      <c r="M632" s="31" t="e">
        <f>'[4]#REF'!N632</f>
        <v>#REF!</v>
      </c>
      <c r="N632" s="32" t="e">
        <f t="shared" si="29"/>
        <v>#REF!</v>
      </c>
    </row>
    <row r="633" ht="15.75" spans="1:14">
      <c r="A633" s="12" t="e">
        <f>'[4]#REF'!A633</f>
        <v>#REF!</v>
      </c>
      <c r="B633" s="12" t="e">
        <f>'[4]#REF'!B633</f>
        <v>#REF!</v>
      </c>
      <c r="C633" s="31" t="e">
        <f>'[4]#REF'!D633</f>
        <v>#REF!</v>
      </c>
      <c r="D633" s="32" t="e">
        <f t="shared" si="27"/>
        <v>#REF!</v>
      </c>
      <c r="F633" s="12" t="e">
        <f>'[4]#REF'!F633</f>
        <v>#REF!</v>
      </c>
      <c r="G633" s="12" t="e">
        <f>'[4]#REF'!G633</f>
        <v>#REF!</v>
      </c>
      <c r="H633" s="31" t="e">
        <f>'[4]#REF'!I633</f>
        <v>#REF!</v>
      </c>
      <c r="I633" s="32" t="e">
        <f t="shared" si="28"/>
        <v>#REF!</v>
      </c>
      <c r="K633" s="12" t="e">
        <f>'[4]#REF'!K633</f>
        <v>#REF!</v>
      </c>
      <c r="L633" s="12" t="e">
        <f>'[4]#REF'!L633</f>
        <v>#REF!</v>
      </c>
      <c r="M633" s="31" t="e">
        <f>'[4]#REF'!N633</f>
        <v>#REF!</v>
      </c>
      <c r="N633" s="32" t="e">
        <f t="shared" si="29"/>
        <v>#REF!</v>
      </c>
    </row>
    <row r="634" ht="15.75" spans="1:14">
      <c r="A634" s="12" t="e">
        <f>'[4]#REF'!A634</f>
        <v>#REF!</v>
      </c>
      <c r="B634" s="12" t="e">
        <f>'[4]#REF'!B634</f>
        <v>#REF!</v>
      </c>
      <c r="C634" s="31" t="e">
        <f>'[4]#REF'!D634</f>
        <v>#REF!</v>
      </c>
      <c r="D634" s="32" t="e">
        <f t="shared" si="27"/>
        <v>#REF!</v>
      </c>
      <c r="F634" s="12" t="e">
        <f>'[4]#REF'!F634</f>
        <v>#REF!</v>
      </c>
      <c r="G634" s="12" t="e">
        <f>'[4]#REF'!G634</f>
        <v>#REF!</v>
      </c>
      <c r="H634" s="31" t="e">
        <f>'[4]#REF'!I634</f>
        <v>#REF!</v>
      </c>
      <c r="I634" s="32" t="e">
        <f t="shared" si="28"/>
        <v>#REF!</v>
      </c>
      <c r="K634" s="12" t="e">
        <f>'[4]#REF'!K634</f>
        <v>#REF!</v>
      </c>
      <c r="L634" s="12" t="e">
        <f>'[4]#REF'!L634</f>
        <v>#REF!</v>
      </c>
      <c r="M634" s="31" t="e">
        <f>'[4]#REF'!N634</f>
        <v>#REF!</v>
      </c>
      <c r="N634" s="32" t="e">
        <f t="shared" si="29"/>
        <v>#REF!</v>
      </c>
    </row>
    <row r="635" ht="15.75" spans="1:14">
      <c r="A635" s="12" t="e">
        <f>'[4]#REF'!A635</f>
        <v>#REF!</v>
      </c>
      <c r="B635" s="12" t="e">
        <f>'[4]#REF'!B635</f>
        <v>#REF!</v>
      </c>
      <c r="C635" s="31" t="e">
        <f>'[4]#REF'!D635</f>
        <v>#REF!</v>
      </c>
      <c r="D635" s="32" t="e">
        <f t="shared" si="27"/>
        <v>#REF!</v>
      </c>
      <c r="F635" s="12" t="e">
        <f>'[4]#REF'!F635</f>
        <v>#REF!</v>
      </c>
      <c r="G635" s="12" t="e">
        <f>'[4]#REF'!G635</f>
        <v>#REF!</v>
      </c>
      <c r="H635" s="31" t="e">
        <f>'[4]#REF'!I635</f>
        <v>#REF!</v>
      </c>
      <c r="I635" s="32" t="e">
        <f t="shared" si="28"/>
        <v>#REF!</v>
      </c>
      <c r="K635" s="12" t="e">
        <f>'[4]#REF'!K635</f>
        <v>#REF!</v>
      </c>
      <c r="L635" s="12" t="e">
        <f>'[4]#REF'!L635</f>
        <v>#REF!</v>
      </c>
      <c r="M635" s="31" t="e">
        <f>'[4]#REF'!N635</f>
        <v>#REF!</v>
      </c>
      <c r="N635" s="32" t="e">
        <f t="shared" si="29"/>
        <v>#REF!</v>
      </c>
    </row>
    <row r="636" ht="15.75" spans="1:14">
      <c r="A636" s="12" t="e">
        <f>'[4]#REF'!A636</f>
        <v>#REF!</v>
      </c>
      <c r="B636" s="12" t="e">
        <f>'[4]#REF'!B636</f>
        <v>#REF!</v>
      </c>
      <c r="C636" s="31" t="e">
        <f>'[4]#REF'!D636</f>
        <v>#REF!</v>
      </c>
      <c r="D636" s="32" t="e">
        <f t="shared" si="27"/>
        <v>#REF!</v>
      </c>
      <c r="F636" s="12" t="e">
        <f>'[4]#REF'!F636</f>
        <v>#REF!</v>
      </c>
      <c r="G636" s="12" t="e">
        <f>'[4]#REF'!G636</f>
        <v>#REF!</v>
      </c>
      <c r="H636" s="31" t="e">
        <f>'[4]#REF'!I636</f>
        <v>#REF!</v>
      </c>
      <c r="I636" s="32" t="e">
        <f t="shared" si="28"/>
        <v>#REF!</v>
      </c>
      <c r="K636" s="12" t="e">
        <f>'[4]#REF'!K636</f>
        <v>#REF!</v>
      </c>
      <c r="L636" s="12" t="e">
        <f>'[4]#REF'!L636</f>
        <v>#REF!</v>
      </c>
      <c r="M636" s="31" t="e">
        <f>'[4]#REF'!N636</f>
        <v>#REF!</v>
      </c>
      <c r="N636" s="32" t="e">
        <f t="shared" si="29"/>
        <v>#REF!</v>
      </c>
    </row>
    <row r="637" ht="15.75" spans="1:14">
      <c r="A637" s="12" t="e">
        <f>'[4]#REF'!A637</f>
        <v>#REF!</v>
      </c>
      <c r="B637" s="12" t="e">
        <f>'[4]#REF'!B637</f>
        <v>#REF!</v>
      </c>
      <c r="C637" s="31" t="e">
        <f>'[4]#REF'!D637</f>
        <v>#REF!</v>
      </c>
      <c r="D637" s="32" t="e">
        <f t="shared" si="27"/>
        <v>#REF!</v>
      </c>
      <c r="F637" s="12" t="e">
        <f>'[4]#REF'!F637</f>
        <v>#REF!</v>
      </c>
      <c r="G637" s="12" t="e">
        <f>'[4]#REF'!G637</f>
        <v>#REF!</v>
      </c>
      <c r="H637" s="31" t="e">
        <f>'[4]#REF'!I637</f>
        <v>#REF!</v>
      </c>
      <c r="I637" s="32" t="e">
        <f t="shared" si="28"/>
        <v>#REF!</v>
      </c>
      <c r="K637" s="12" t="e">
        <f>'[4]#REF'!K637</f>
        <v>#REF!</v>
      </c>
      <c r="L637" s="12" t="e">
        <f>'[4]#REF'!L637</f>
        <v>#REF!</v>
      </c>
      <c r="M637" s="31" t="e">
        <f>'[4]#REF'!N637</f>
        <v>#REF!</v>
      </c>
      <c r="N637" s="32" t="e">
        <f t="shared" si="29"/>
        <v>#REF!</v>
      </c>
    </row>
    <row r="638" ht="15.75" spans="1:14">
      <c r="A638" s="12" t="e">
        <f>'[4]#REF'!A638</f>
        <v>#REF!</v>
      </c>
      <c r="B638" s="12" t="e">
        <f>'[4]#REF'!B638</f>
        <v>#REF!</v>
      </c>
      <c r="C638" s="31" t="e">
        <f>'[4]#REF'!D638</f>
        <v>#REF!</v>
      </c>
      <c r="D638" s="32" t="e">
        <f t="shared" si="27"/>
        <v>#REF!</v>
      </c>
      <c r="F638" s="12" t="e">
        <f>'[4]#REF'!F638</f>
        <v>#REF!</v>
      </c>
      <c r="G638" s="12" t="e">
        <f>'[4]#REF'!G638</f>
        <v>#REF!</v>
      </c>
      <c r="H638" s="31" t="e">
        <f>'[4]#REF'!I638</f>
        <v>#REF!</v>
      </c>
      <c r="I638" s="32" t="e">
        <f t="shared" si="28"/>
        <v>#REF!</v>
      </c>
      <c r="K638" s="12" t="e">
        <f>'[4]#REF'!K638</f>
        <v>#REF!</v>
      </c>
      <c r="L638" s="12" t="e">
        <f>'[4]#REF'!L638</f>
        <v>#REF!</v>
      </c>
      <c r="M638" s="31" t="e">
        <f>'[4]#REF'!N638</f>
        <v>#REF!</v>
      </c>
      <c r="N638" s="32" t="e">
        <f t="shared" si="29"/>
        <v>#REF!</v>
      </c>
    </row>
    <row r="639" ht="15.75" spans="1:14">
      <c r="A639" s="12" t="e">
        <f>'[4]#REF'!A639</f>
        <v>#REF!</v>
      </c>
      <c r="B639" s="12" t="e">
        <f>'[4]#REF'!B639</f>
        <v>#REF!</v>
      </c>
      <c r="C639" s="31" t="e">
        <f>'[4]#REF'!D639</f>
        <v>#REF!</v>
      </c>
      <c r="D639" s="32" t="e">
        <f t="shared" si="27"/>
        <v>#REF!</v>
      </c>
      <c r="F639" s="12" t="e">
        <f>'[4]#REF'!F639</f>
        <v>#REF!</v>
      </c>
      <c r="G639" s="12" t="e">
        <f>'[4]#REF'!G639</f>
        <v>#REF!</v>
      </c>
      <c r="H639" s="31" t="e">
        <f>'[4]#REF'!I639</f>
        <v>#REF!</v>
      </c>
      <c r="I639" s="32" t="e">
        <f t="shared" si="28"/>
        <v>#REF!</v>
      </c>
      <c r="K639" s="12" t="e">
        <f>'[4]#REF'!K639</f>
        <v>#REF!</v>
      </c>
      <c r="L639" s="12" t="e">
        <f>'[4]#REF'!L639</f>
        <v>#REF!</v>
      </c>
      <c r="M639" s="31" t="e">
        <f>'[4]#REF'!N639</f>
        <v>#REF!</v>
      </c>
      <c r="N639" s="32" t="e">
        <f t="shared" si="29"/>
        <v>#REF!</v>
      </c>
    </row>
    <row r="640" ht="15.75" spans="1:14">
      <c r="A640" s="12" t="e">
        <f>'[4]#REF'!A640</f>
        <v>#REF!</v>
      </c>
      <c r="B640" s="12" t="e">
        <f>'[4]#REF'!B640</f>
        <v>#REF!</v>
      </c>
      <c r="C640" s="31" t="e">
        <f>'[4]#REF'!D640</f>
        <v>#REF!</v>
      </c>
      <c r="D640" s="32" t="e">
        <f t="shared" si="27"/>
        <v>#REF!</v>
      </c>
      <c r="F640" s="12" t="e">
        <f>'[4]#REF'!F640</f>
        <v>#REF!</v>
      </c>
      <c r="G640" s="12" t="e">
        <f>'[4]#REF'!G640</f>
        <v>#REF!</v>
      </c>
      <c r="H640" s="31" t="e">
        <f>'[4]#REF'!I640</f>
        <v>#REF!</v>
      </c>
      <c r="I640" s="32" t="e">
        <f t="shared" si="28"/>
        <v>#REF!</v>
      </c>
      <c r="K640" s="12" t="e">
        <f>'[4]#REF'!K640</f>
        <v>#REF!</v>
      </c>
      <c r="L640" s="12" t="e">
        <f>'[4]#REF'!L640</f>
        <v>#REF!</v>
      </c>
      <c r="M640" s="31" t="e">
        <f>'[4]#REF'!N640</f>
        <v>#REF!</v>
      </c>
      <c r="N640" s="32" t="e">
        <f t="shared" si="29"/>
        <v>#REF!</v>
      </c>
    </row>
    <row r="641" ht="15.75" spans="1:14">
      <c r="A641" s="12" t="e">
        <f>'[4]#REF'!A641</f>
        <v>#REF!</v>
      </c>
      <c r="B641" s="12" t="e">
        <f>'[4]#REF'!B641</f>
        <v>#REF!</v>
      </c>
      <c r="C641" s="31" t="e">
        <f>'[4]#REF'!D641</f>
        <v>#REF!</v>
      </c>
      <c r="D641" s="32" t="e">
        <f t="shared" si="27"/>
        <v>#REF!</v>
      </c>
      <c r="F641" s="12" t="e">
        <f>'[4]#REF'!F641</f>
        <v>#REF!</v>
      </c>
      <c r="G641" s="12" t="e">
        <f>'[4]#REF'!G641</f>
        <v>#REF!</v>
      </c>
      <c r="H641" s="31" t="e">
        <f>'[4]#REF'!I641</f>
        <v>#REF!</v>
      </c>
      <c r="I641" s="32" t="e">
        <f t="shared" si="28"/>
        <v>#REF!</v>
      </c>
      <c r="K641" s="12" t="e">
        <f>'[4]#REF'!K641</f>
        <v>#REF!</v>
      </c>
      <c r="L641" s="12" t="e">
        <f>'[4]#REF'!L641</f>
        <v>#REF!</v>
      </c>
      <c r="M641" s="31" t="e">
        <f>'[4]#REF'!N641</f>
        <v>#REF!</v>
      </c>
      <c r="N641" s="32" t="e">
        <f t="shared" si="29"/>
        <v>#REF!</v>
      </c>
    </row>
    <row r="642" ht="15.75" spans="1:14">
      <c r="A642" s="12" t="e">
        <f>'[4]#REF'!A642</f>
        <v>#REF!</v>
      </c>
      <c r="B642" s="12" t="e">
        <f>'[4]#REF'!B642</f>
        <v>#REF!</v>
      </c>
      <c r="C642" s="31" t="e">
        <f>'[4]#REF'!D642</f>
        <v>#REF!</v>
      </c>
      <c r="D642" s="32" t="e">
        <f t="shared" si="27"/>
        <v>#REF!</v>
      </c>
      <c r="F642" s="12" t="e">
        <f>'[4]#REF'!F642</f>
        <v>#REF!</v>
      </c>
      <c r="G642" s="12" t="e">
        <f>'[4]#REF'!G642</f>
        <v>#REF!</v>
      </c>
      <c r="H642" s="31" t="e">
        <f>'[4]#REF'!I642</f>
        <v>#REF!</v>
      </c>
      <c r="I642" s="32" t="e">
        <f t="shared" si="28"/>
        <v>#REF!</v>
      </c>
      <c r="K642" s="12" t="e">
        <f>'[4]#REF'!K642</f>
        <v>#REF!</v>
      </c>
      <c r="L642" s="12" t="e">
        <f>'[4]#REF'!L642</f>
        <v>#REF!</v>
      </c>
      <c r="M642" s="31" t="e">
        <f>'[4]#REF'!N642</f>
        <v>#REF!</v>
      </c>
      <c r="N642" s="32" t="e">
        <f t="shared" si="29"/>
        <v>#REF!</v>
      </c>
    </row>
    <row r="643" ht="15.75" spans="1:14">
      <c r="A643" s="12" t="e">
        <f>'[4]#REF'!A643</f>
        <v>#REF!</v>
      </c>
      <c r="B643" s="12" t="e">
        <f>'[4]#REF'!B643</f>
        <v>#REF!</v>
      </c>
      <c r="C643" s="31" t="e">
        <f>'[4]#REF'!D643</f>
        <v>#REF!</v>
      </c>
      <c r="D643" s="32" t="e">
        <f t="shared" si="27"/>
        <v>#REF!</v>
      </c>
      <c r="F643" s="12" t="e">
        <f>'[4]#REF'!F643</f>
        <v>#REF!</v>
      </c>
      <c r="G643" s="12" t="e">
        <f>'[4]#REF'!G643</f>
        <v>#REF!</v>
      </c>
      <c r="H643" s="31" t="e">
        <f>'[4]#REF'!I643</f>
        <v>#REF!</v>
      </c>
      <c r="I643" s="32" t="e">
        <f t="shared" si="28"/>
        <v>#REF!</v>
      </c>
      <c r="K643" s="12" t="e">
        <f>'[4]#REF'!K643</f>
        <v>#REF!</v>
      </c>
      <c r="L643" s="12" t="e">
        <f>'[4]#REF'!L643</f>
        <v>#REF!</v>
      </c>
      <c r="M643" s="31" t="e">
        <f>'[4]#REF'!N643</f>
        <v>#REF!</v>
      </c>
      <c r="N643" s="32" t="e">
        <f t="shared" si="29"/>
        <v>#REF!</v>
      </c>
    </row>
    <row r="644" ht="15.75" spans="1:14">
      <c r="A644" s="12" t="e">
        <f>'[4]#REF'!A644</f>
        <v>#REF!</v>
      </c>
      <c r="B644" s="12" t="e">
        <f>'[4]#REF'!B644</f>
        <v>#REF!</v>
      </c>
      <c r="C644" s="31" t="e">
        <f>'[4]#REF'!D644</f>
        <v>#REF!</v>
      </c>
      <c r="D644" s="32" t="e">
        <f t="shared" si="27"/>
        <v>#REF!</v>
      </c>
      <c r="F644" s="12" t="e">
        <f>'[4]#REF'!F644</f>
        <v>#REF!</v>
      </c>
      <c r="G644" s="12" t="e">
        <f>'[4]#REF'!G644</f>
        <v>#REF!</v>
      </c>
      <c r="H644" s="31" t="e">
        <f>'[4]#REF'!I644</f>
        <v>#REF!</v>
      </c>
      <c r="I644" s="32" t="e">
        <f t="shared" si="28"/>
        <v>#REF!</v>
      </c>
      <c r="K644" s="12" t="e">
        <f>'[4]#REF'!K644</f>
        <v>#REF!</v>
      </c>
      <c r="L644" s="12" t="e">
        <f>'[4]#REF'!L644</f>
        <v>#REF!</v>
      </c>
      <c r="M644" s="31" t="e">
        <f>'[4]#REF'!N644</f>
        <v>#REF!</v>
      </c>
      <c r="N644" s="32" t="e">
        <f t="shared" si="29"/>
        <v>#REF!</v>
      </c>
    </row>
    <row r="645" ht="15.75" spans="1:14">
      <c r="A645" s="12" t="e">
        <f>'[4]#REF'!A645</f>
        <v>#REF!</v>
      </c>
      <c r="B645" s="12" t="e">
        <f>'[4]#REF'!B645</f>
        <v>#REF!</v>
      </c>
      <c r="C645" s="31" t="e">
        <f>'[4]#REF'!D645</f>
        <v>#REF!</v>
      </c>
      <c r="D645" s="32" t="e">
        <f t="shared" si="27"/>
        <v>#REF!</v>
      </c>
      <c r="F645" s="12" t="e">
        <f>'[4]#REF'!F645</f>
        <v>#REF!</v>
      </c>
      <c r="G645" s="12" t="e">
        <f>'[4]#REF'!G645</f>
        <v>#REF!</v>
      </c>
      <c r="H645" s="31" t="e">
        <f>'[4]#REF'!I645</f>
        <v>#REF!</v>
      </c>
      <c r="I645" s="32" t="e">
        <f t="shared" si="28"/>
        <v>#REF!</v>
      </c>
      <c r="K645" s="12" t="e">
        <f>'[4]#REF'!K645</f>
        <v>#REF!</v>
      </c>
      <c r="L645" s="12" t="e">
        <f>'[4]#REF'!L645</f>
        <v>#REF!</v>
      </c>
      <c r="M645" s="31" t="e">
        <f>'[4]#REF'!N645</f>
        <v>#REF!</v>
      </c>
      <c r="N645" s="32" t="e">
        <f t="shared" si="29"/>
        <v>#REF!</v>
      </c>
    </row>
    <row r="646" ht="15.75" spans="1:14">
      <c r="A646" s="12" t="e">
        <f>'[4]#REF'!A646</f>
        <v>#REF!</v>
      </c>
      <c r="B646" s="12" t="e">
        <f>'[4]#REF'!B646</f>
        <v>#REF!</v>
      </c>
      <c r="C646" s="31" t="e">
        <f>'[4]#REF'!D646</f>
        <v>#REF!</v>
      </c>
      <c r="D646" s="32" t="e">
        <f t="shared" ref="D646:D709" si="30">ROUND(C646/$D$4*100,2)</f>
        <v>#REF!</v>
      </c>
      <c r="F646" s="12" t="e">
        <f>'[4]#REF'!F646</f>
        <v>#REF!</v>
      </c>
      <c r="G646" s="12" t="e">
        <f>'[4]#REF'!G646</f>
        <v>#REF!</v>
      </c>
      <c r="H646" s="31" t="e">
        <f>'[4]#REF'!I646</f>
        <v>#REF!</v>
      </c>
      <c r="I646" s="32" t="e">
        <f t="shared" ref="I646:I709" si="31">ROUND(H646/$I$4*100,2)</f>
        <v>#REF!</v>
      </c>
      <c r="K646" s="12" t="e">
        <f>'[4]#REF'!K646</f>
        <v>#REF!</v>
      </c>
      <c r="L646" s="12" t="e">
        <f>'[4]#REF'!L646</f>
        <v>#REF!</v>
      </c>
      <c r="M646" s="31" t="e">
        <f>'[4]#REF'!N646</f>
        <v>#REF!</v>
      </c>
      <c r="N646" s="32" t="e">
        <f t="shared" ref="N646:N692" si="32">ROUND(M646/$N$4*100,2)</f>
        <v>#REF!</v>
      </c>
    </row>
    <row r="647" ht="15.75" spans="1:14">
      <c r="A647" s="12" t="e">
        <f>'[4]#REF'!A647</f>
        <v>#REF!</v>
      </c>
      <c r="B647" s="12" t="e">
        <f>'[4]#REF'!B647</f>
        <v>#REF!</v>
      </c>
      <c r="C647" s="31" t="e">
        <f>'[4]#REF'!D647</f>
        <v>#REF!</v>
      </c>
      <c r="D647" s="32" t="e">
        <f t="shared" si="30"/>
        <v>#REF!</v>
      </c>
      <c r="F647" s="12" t="e">
        <f>'[4]#REF'!F647</f>
        <v>#REF!</v>
      </c>
      <c r="G647" s="12" t="e">
        <f>'[4]#REF'!G647</f>
        <v>#REF!</v>
      </c>
      <c r="H647" s="31" t="e">
        <f>'[4]#REF'!I647</f>
        <v>#REF!</v>
      </c>
      <c r="I647" s="32" t="e">
        <f t="shared" si="31"/>
        <v>#REF!</v>
      </c>
      <c r="K647" s="12" t="e">
        <f>'[4]#REF'!K647</f>
        <v>#REF!</v>
      </c>
      <c r="L647" s="12" t="e">
        <f>'[4]#REF'!L647</f>
        <v>#REF!</v>
      </c>
      <c r="M647" s="31" t="e">
        <f>'[4]#REF'!N647</f>
        <v>#REF!</v>
      </c>
      <c r="N647" s="32" t="e">
        <f t="shared" si="32"/>
        <v>#REF!</v>
      </c>
    </row>
    <row r="648" ht="15.75" spans="1:14">
      <c r="A648" s="12" t="e">
        <f>'[4]#REF'!A648</f>
        <v>#REF!</v>
      </c>
      <c r="B648" s="12" t="e">
        <f>'[4]#REF'!B648</f>
        <v>#REF!</v>
      </c>
      <c r="C648" s="31" t="e">
        <f>'[4]#REF'!D648</f>
        <v>#REF!</v>
      </c>
      <c r="D648" s="32" t="e">
        <f t="shared" si="30"/>
        <v>#REF!</v>
      </c>
      <c r="F648" s="12" t="e">
        <f>'[4]#REF'!F648</f>
        <v>#REF!</v>
      </c>
      <c r="G648" s="12" t="e">
        <f>'[4]#REF'!G648</f>
        <v>#REF!</v>
      </c>
      <c r="H648" s="31" t="e">
        <f>'[4]#REF'!I648</f>
        <v>#REF!</v>
      </c>
      <c r="I648" s="32" t="e">
        <f t="shared" si="31"/>
        <v>#REF!</v>
      </c>
      <c r="K648" s="12" t="e">
        <f>'[4]#REF'!K648</f>
        <v>#REF!</v>
      </c>
      <c r="L648" s="12" t="e">
        <f>'[4]#REF'!L648</f>
        <v>#REF!</v>
      </c>
      <c r="M648" s="31" t="e">
        <f>'[4]#REF'!N648</f>
        <v>#REF!</v>
      </c>
      <c r="N648" s="32" t="e">
        <f t="shared" si="32"/>
        <v>#REF!</v>
      </c>
    </row>
    <row r="649" ht="15.75" spans="1:14">
      <c r="A649" s="12" t="e">
        <f>'[4]#REF'!A649</f>
        <v>#REF!</v>
      </c>
      <c r="B649" s="12" t="e">
        <f>'[4]#REF'!B649</f>
        <v>#REF!</v>
      </c>
      <c r="C649" s="31" t="e">
        <f>'[4]#REF'!D649</f>
        <v>#REF!</v>
      </c>
      <c r="D649" s="32" t="e">
        <f t="shared" si="30"/>
        <v>#REF!</v>
      </c>
      <c r="F649" s="12" t="e">
        <f>'[4]#REF'!F649</f>
        <v>#REF!</v>
      </c>
      <c r="G649" s="12" t="e">
        <f>'[4]#REF'!G649</f>
        <v>#REF!</v>
      </c>
      <c r="H649" s="31" t="e">
        <f>'[4]#REF'!I649</f>
        <v>#REF!</v>
      </c>
      <c r="I649" s="32" t="e">
        <f t="shared" si="31"/>
        <v>#REF!</v>
      </c>
      <c r="K649" s="12" t="e">
        <f>'[4]#REF'!K649</f>
        <v>#REF!</v>
      </c>
      <c r="L649" s="12" t="e">
        <f>'[4]#REF'!L649</f>
        <v>#REF!</v>
      </c>
      <c r="M649" s="31" t="e">
        <f>'[4]#REF'!N649</f>
        <v>#REF!</v>
      </c>
      <c r="N649" s="32" t="e">
        <f t="shared" si="32"/>
        <v>#REF!</v>
      </c>
    </row>
    <row r="650" ht="15.75" spans="1:14">
      <c r="A650" s="12" t="e">
        <f>'[4]#REF'!A650</f>
        <v>#REF!</v>
      </c>
      <c r="B650" s="12" t="e">
        <f>'[4]#REF'!B650</f>
        <v>#REF!</v>
      </c>
      <c r="C650" s="31" t="e">
        <f>'[4]#REF'!D650</f>
        <v>#REF!</v>
      </c>
      <c r="D650" s="32" t="e">
        <f t="shared" si="30"/>
        <v>#REF!</v>
      </c>
      <c r="F650" s="12" t="e">
        <f>'[4]#REF'!F650</f>
        <v>#REF!</v>
      </c>
      <c r="G650" s="12" t="e">
        <f>'[4]#REF'!G650</f>
        <v>#REF!</v>
      </c>
      <c r="H650" s="31" t="e">
        <f>'[4]#REF'!I650</f>
        <v>#REF!</v>
      </c>
      <c r="I650" s="32" t="e">
        <f t="shared" si="31"/>
        <v>#REF!</v>
      </c>
      <c r="K650" s="12" t="e">
        <f>'[4]#REF'!K650</f>
        <v>#REF!</v>
      </c>
      <c r="L650" s="12" t="e">
        <f>'[4]#REF'!L650</f>
        <v>#REF!</v>
      </c>
      <c r="M650" s="31" t="e">
        <f>'[4]#REF'!N650</f>
        <v>#REF!</v>
      </c>
      <c r="N650" s="32" t="e">
        <f t="shared" si="32"/>
        <v>#REF!</v>
      </c>
    </row>
    <row r="651" ht="15.75" spans="1:14">
      <c r="A651" s="12" t="e">
        <f>'[4]#REF'!A651</f>
        <v>#REF!</v>
      </c>
      <c r="B651" s="12" t="e">
        <f>'[4]#REF'!B651</f>
        <v>#REF!</v>
      </c>
      <c r="C651" s="31" t="e">
        <f>'[4]#REF'!D651</f>
        <v>#REF!</v>
      </c>
      <c r="D651" s="32" t="e">
        <f t="shared" si="30"/>
        <v>#REF!</v>
      </c>
      <c r="F651" s="12" t="e">
        <f>'[4]#REF'!F651</f>
        <v>#REF!</v>
      </c>
      <c r="G651" s="12" t="e">
        <f>'[4]#REF'!G651</f>
        <v>#REF!</v>
      </c>
      <c r="H651" s="31" t="e">
        <f>'[4]#REF'!I651</f>
        <v>#REF!</v>
      </c>
      <c r="I651" s="32" t="e">
        <f t="shared" si="31"/>
        <v>#REF!</v>
      </c>
      <c r="K651" s="12" t="e">
        <f>'[4]#REF'!K651</f>
        <v>#REF!</v>
      </c>
      <c r="L651" s="12" t="e">
        <f>'[4]#REF'!L651</f>
        <v>#REF!</v>
      </c>
      <c r="M651" s="31" t="e">
        <f>'[4]#REF'!N651</f>
        <v>#REF!</v>
      </c>
      <c r="N651" s="32" t="e">
        <f t="shared" si="32"/>
        <v>#REF!</v>
      </c>
    </row>
    <row r="652" ht="15.75" spans="1:14">
      <c r="A652" s="12" t="e">
        <f>'[4]#REF'!A652</f>
        <v>#REF!</v>
      </c>
      <c r="B652" s="12" t="e">
        <f>'[4]#REF'!B652</f>
        <v>#REF!</v>
      </c>
      <c r="C652" s="31" t="e">
        <f>'[4]#REF'!D652</f>
        <v>#REF!</v>
      </c>
      <c r="D652" s="32" t="e">
        <f t="shared" si="30"/>
        <v>#REF!</v>
      </c>
      <c r="F652" s="12" t="e">
        <f>'[4]#REF'!F652</f>
        <v>#REF!</v>
      </c>
      <c r="G652" s="12" t="e">
        <f>'[4]#REF'!G652</f>
        <v>#REF!</v>
      </c>
      <c r="H652" s="31" t="e">
        <f>'[4]#REF'!I652</f>
        <v>#REF!</v>
      </c>
      <c r="I652" s="32" t="e">
        <f t="shared" si="31"/>
        <v>#REF!</v>
      </c>
      <c r="K652" s="12" t="e">
        <f>'[4]#REF'!K652</f>
        <v>#REF!</v>
      </c>
      <c r="L652" s="12" t="e">
        <f>'[4]#REF'!L652</f>
        <v>#REF!</v>
      </c>
      <c r="M652" s="31" t="e">
        <f>'[4]#REF'!N652</f>
        <v>#REF!</v>
      </c>
      <c r="N652" s="32" t="e">
        <f t="shared" si="32"/>
        <v>#REF!</v>
      </c>
    </row>
    <row r="653" ht="15.75" spans="1:14">
      <c r="A653" s="12" t="e">
        <f>'[4]#REF'!A653</f>
        <v>#REF!</v>
      </c>
      <c r="B653" s="12" t="e">
        <f>'[4]#REF'!B653</f>
        <v>#REF!</v>
      </c>
      <c r="C653" s="31" t="e">
        <f>'[4]#REF'!D653</f>
        <v>#REF!</v>
      </c>
      <c r="D653" s="32" t="e">
        <f t="shared" si="30"/>
        <v>#REF!</v>
      </c>
      <c r="F653" s="12" t="e">
        <f>'[4]#REF'!F653</f>
        <v>#REF!</v>
      </c>
      <c r="G653" s="12" t="e">
        <f>'[4]#REF'!G653</f>
        <v>#REF!</v>
      </c>
      <c r="H653" s="31" t="e">
        <f>'[4]#REF'!I653</f>
        <v>#REF!</v>
      </c>
      <c r="I653" s="32" t="e">
        <f t="shared" si="31"/>
        <v>#REF!</v>
      </c>
      <c r="K653" s="12" t="e">
        <f>'[4]#REF'!K653</f>
        <v>#REF!</v>
      </c>
      <c r="L653" s="12" t="e">
        <f>'[4]#REF'!L653</f>
        <v>#REF!</v>
      </c>
      <c r="M653" s="31" t="e">
        <f>'[4]#REF'!N653</f>
        <v>#REF!</v>
      </c>
      <c r="N653" s="32" t="e">
        <f t="shared" si="32"/>
        <v>#REF!</v>
      </c>
    </row>
    <row r="654" ht="15.75" spans="1:14">
      <c r="A654" s="12" t="e">
        <f>'[4]#REF'!A654</f>
        <v>#REF!</v>
      </c>
      <c r="B654" s="12" t="e">
        <f>'[4]#REF'!B654</f>
        <v>#REF!</v>
      </c>
      <c r="C654" s="31" t="e">
        <f>'[4]#REF'!D654</f>
        <v>#REF!</v>
      </c>
      <c r="D654" s="32" t="e">
        <f t="shared" si="30"/>
        <v>#REF!</v>
      </c>
      <c r="F654" s="12" t="e">
        <f>'[4]#REF'!F654</f>
        <v>#REF!</v>
      </c>
      <c r="G654" s="12" t="e">
        <f>'[4]#REF'!G654</f>
        <v>#REF!</v>
      </c>
      <c r="H654" s="31" t="e">
        <f>'[4]#REF'!I654</f>
        <v>#REF!</v>
      </c>
      <c r="I654" s="32" t="e">
        <f t="shared" si="31"/>
        <v>#REF!</v>
      </c>
      <c r="K654" s="12" t="e">
        <f>'[4]#REF'!K654</f>
        <v>#REF!</v>
      </c>
      <c r="L654" s="12" t="e">
        <f>'[4]#REF'!L654</f>
        <v>#REF!</v>
      </c>
      <c r="M654" s="31" t="e">
        <f>'[4]#REF'!N654</f>
        <v>#REF!</v>
      </c>
      <c r="N654" s="32" t="e">
        <f t="shared" si="32"/>
        <v>#REF!</v>
      </c>
    </row>
    <row r="655" ht="15.75" spans="1:14">
      <c r="A655" s="12" t="e">
        <f>'[4]#REF'!A655</f>
        <v>#REF!</v>
      </c>
      <c r="B655" s="12" t="e">
        <f>'[4]#REF'!B655</f>
        <v>#REF!</v>
      </c>
      <c r="C655" s="31" t="e">
        <f>'[4]#REF'!D655</f>
        <v>#REF!</v>
      </c>
      <c r="D655" s="32" t="e">
        <f t="shared" si="30"/>
        <v>#REF!</v>
      </c>
      <c r="F655" s="12" t="e">
        <f>'[4]#REF'!F655</f>
        <v>#REF!</v>
      </c>
      <c r="G655" s="12" t="e">
        <f>'[4]#REF'!G655</f>
        <v>#REF!</v>
      </c>
      <c r="H655" s="31" t="e">
        <f>'[4]#REF'!I655</f>
        <v>#REF!</v>
      </c>
      <c r="I655" s="32" t="e">
        <f t="shared" si="31"/>
        <v>#REF!</v>
      </c>
      <c r="K655" s="12" t="e">
        <f>'[4]#REF'!K655</f>
        <v>#REF!</v>
      </c>
      <c r="L655" s="12" t="e">
        <f>'[4]#REF'!L655</f>
        <v>#REF!</v>
      </c>
      <c r="M655" s="31" t="e">
        <f>'[4]#REF'!N655</f>
        <v>#REF!</v>
      </c>
      <c r="N655" s="32" t="e">
        <f t="shared" si="32"/>
        <v>#REF!</v>
      </c>
    </row>
    <row r="656" ht="15.75" spans="1:14">
      <c r="A656" s="12" t="e">
        <f>'[4]#REF'!A656</f>
        <v>#REF!</v>
      </c>
      <c r="B656" s="12" t="e">
        <f>'[4]#REF'!B656</f>
        <v>#REF!</v>
      </c>
      <c r="C656" s="31" t="e">
        <f>'[4]#REF'!D656</f>
        <v>#REF!</v>
      </c>
      <c r="D656" s="32" t="e">
        <f t="shared" si="30"/>
        <v>#REF!</v>
      </c>
      <c r="F656" s="12" t="e">
        <f>'[4]#REF'!F656</f>
        <v>#REF!</v>
      </c>
      <c r="G656" s="12" t="e">
        <f>'[4]#REF'!G656</f>
        <v>#REF!</v>
      </c>
      <c r="H656" s="31" t="e">
        <f>'[4]#REF'!I656</f>
        <v>#REF!</v>
      </c>
      <c r="I656" s="32" t="e">
        <f t="shared" si="31"/>
        <v>#REF!</v>
      </c>
      <c r="K656" s="12" t="e">
        <f>'[4]#REF'!K656</f>
        <v>#REF!</v>
      </c>
      <c r="L656" s="12" t="e">
        <f>'[4]#REF'!L656</f>
        <v>#REF!</v>
      </c>
      <c r="M656" s="31" t="e">
        <f>'[4]#REF'!N656</f>
        <v>#REF!</v>
      </c>
      <c r="N656" s="32" t="e">
        <f t="shared" si="32"/>
        <v>#REF!</v>
      </c>
    </row>
    <row r="657" ht="15.75" spans="1:14">
      <c r="A657" s="12" t="e">
        <f>'[4]#REF'!A657</f>
        <v>#REF!</v>
      </c>
      <c r="B657" s="12" t="e">
        <f>'[4]#REF'!B657</f>
        <v>#REF!</v>
      </c>
      <c r="C657" s="31" t="e">
        <f>'[4]#REF'!D657</f>
        <v>#REF!</v>
      </c>
      <c r="D657" s="32" t="e">
        <f t="shared" si="30"/>
        <v>#REF!</v>
      </c>
      <c r="F657" s="12" t="e">
        <f>'[4]#REF'!F657</f>
        <v>#REF!</v>
      </c>
      <c r="G657" s="12" t="e">
        <f>'[4]#REF'!G657</f>
        <v>#REF!</v>
      </c>
      <c r="H657" s="31" t="e">
        <f>'[4]#REF'!I657</f>
        <v>#REF!</v>
      </c>
      <c r="I657" s="32" t="e">
        <f t="shared" si="31"/>
        <v>#REF!</v>
      </c>
      <c r="K657" s="12" t="e">
        <f>'[4]#REF'!K657</f>
        <v>#REF!</v>
      </c>
      <c r="L657" s="12" t="e">
        <f>'[4]#REF'!L657</f>
        <v>#REF!</v>
      </c>
      <c r="M657" s="31" t="e">
        <f>'[4]#REF'!N657</f>
        <v>#REF!</v>
      </c>
      <c r="N657" s="32" t="e">
        <f t="shared" si="32"/>
        <v>#REF!</v>
      </c>
    </row>
    <row r="658" ht="15.75" spans="1:14">
      <c r="A658" s="12" t="e">
        <f>'[4]#REF'!A658</f>
        <v>#REF!</v>
      </c>
      <c r="B658" s="12" t="e">
        <f>'[4]#REF'!B658</f>
        <v>#REF!</v>
      </c>
      <c r="C658" s="31" t="e">
        <f>'[4]#REF'!D658</f>
        <v>#REF!</v>
      </c>
      <c r="D658" s="32" t="e">
        <f t="shared" si="30"/>
        <v>#REF!</v>
      </c>
      <c r="F658" s="12" t="e">
        <f>'[4]#REF'!F658</f>
        <v>#REF!</v>
      </c>
      <c r="G658" s="12" t="e">
        <f>'[4]#REF'!G658</f>
        <v>#REF!</v>
      </c>
      <c r="H658" s="31" t="e">
        <f>'[4]#REF'!I658</f>
        <v>#REF!</v>
      </c>
      <c r="I658" s="32" t="e">
        <f t="shared" si="31"/>
        <v>#REF!</v>
      </c>
      <c r="K658" s="12" t="e">
        <f>'[4]#REF'!K658</f>
        <v>#REF!</v>
      </c>
      <c r="L658" s="12" t="e">
        <f>'[4]#REF'!L658</f>
        <v>#REF!</v>
      </c>
      <c r="M658" s="31" t="e">
        <f>'[4]#REF'!N658</f>
        <v>#REF!</v>
      </c>
      <c r="N658" s="32" t="e">
        <f t="shared" si="32"/>
        <v>#REF!</v>
      </c>
    </row>
    <row r="659" ht="15.75" spans="1:14">
      <c r="A659" s="12" t="e">
        <f>'[4]#REF'!A659</f>
        <v>#REF!</v>
      </c>
      <c r="B659" s="12" t="e">
        <f>'[4]#REF'!B659</f>
        <v>#REF!</v>
      </c>
      <c r="C659" s="31" t="e">
        <f>'[4]#REF'!D659</f>
        <v>#REF!</v>
      </c>
      <c r="D659" s="32" t="e">
        <f t="shared" si="30"/>
        <v>#REF!</v>
      </c>
      <c r="F659" s="12" t="e">
        <f>'[4]#REF'!F659</f>
        <v>#REF!</v>
      </c>
      <c r="G659" s="12" t="e">
        <f>'[4]#REF'!G659</f>
        <v>#REF!</v>
      </c>
      <c r="H659" s="31" t="e">
        <f>'[4]#REF'!I659</f>
        <v>#REF!</v>
      </c>
      <c r="I659" s="32" t="e">
        <f t="shared" si="31"/>
        <v>#REF!</v>
      </c>
      <c r="K659" s="12" t="e">
        <f>'[4]#REF'!K659</f>
        <v>#REF!</v>
      </c>
      <c r="L659" s="12" t="e">
        <f>'[4]#REF'!L659</f>
        <v>#REF!</v>
      </c>
      <c r="M659" s="31" t="e">
        <f>'[4]#REF'!N659</f>
        <v>#REF!</v>
      </c>
      <c r="N659" s="32" t="e">
        <f t="shared" si="32"/>
        <v>#REF!</v>
      </c>
    </row>
    <row r="660" ht="15.75" spans="1:14">
      <c r="A660" s="12" t="e">
        <f>'[4]#REF'!A660</f>
        <v>#REF!</v>
      </c>
      <c r="B660" s="12" t="e">
        <f>'[4]#REF'!B660</f>
        <v>#REF!</v>
      </c>
      <c r="C660" s="31" t="e">
        <f>'[4]#REF'!D660</f>
        <v>#REF!</v>
      </c>
      <c r="D660" s="32" t="e">
        <f t="shared" si="30"/>
        <v>#REF!</v>
      </c>
      <c r="F660" s="12" t="e">
        <f>'[4]#REF'!F660</f>
        <v>#REF!</v>
      </c>
      <c r="G660" s="12" t="e">
        <f>'[4]#REF'!G660</f>
        <v>#REF!</v>
      </c>
      <c r="H660" s="31" t="e">
        <f>'[4]#REF'!I660</f>
        <v>#REF!</v>
      </c>
      <c r="I660" s="32" t="e">
        <f t="shared" si="31"/>
        <v>#REF!</v>
      </c>
      <c r="K660" s="12" t="e">
        <f>'[4]#REF'!K660</f>
        <v>#REF!</v>
      </c>
      <c r="L660" s="12" t="e">
        <f>'[4]#REF'!L660</f>
        <v>#REF!</v>
      </c>
      <c r="M660" s="31" t="e">
        <f>'[4]#REF'!N660</f>
        <v>#REF!</v>
      </c>
      <c r="N660" s="32" t="e">
        <f t="shared" si="32"/>
        <v>#REF!</v>
      </c>
    </row>
    <row r="661" ht="15.75" spans="1:14">
      <c r="A661" s="12" t="e">
        <f>'[4]#REF'!A661</f>
        <v>#REF!</v>
      </c>
      <c r="B661" s="12" t="e">
        <f>'[4]#REF'!B661</f>
        <v>#REF!</v>
      </c>
      <c r="C661" s="31" t="e">
        <f>'[4]#REF'!D661</f>
        <v>#REF!</v>
      </c>
      <c r="D661" s="32" t="e">
        <f t="shared" si="30"/>
        <v>#REF!</v>
      </c>
      <c r="F661" s="12" t="e">
        <f>'[4]#REF'!F661</f>
        <v>#REF!</v>
      </c>
      <c r="G661" s="12" t="e">
        <f>'[4]#REF'!G661</f>
        <v>#REF!</v>
      </c>
      <c r="H661" s="31" t="e">
        <f>'[4]#REF'!I661</f>
        <v>#REF!</v>
      </c>
      <c r="I661" s="32" t="e">
        <f t="shared" si="31"/>
        <v>#REF!</v>
      </c>
      <c r="K661" s="12" t="e">
        <f>'[4]#REF'!K661</f>
        <v>#REF!</v>
      </c>
      <c r="L661" s="12" t="e">
        <f>'[4]#REF'!L661</f>
        <v>#REF!</v>
      </c>
      <c r="M661" s="31" t="e">
        <f>'[4]#REF'!N661</f>
        <v>#REF!</v>
      </c>
      <c r="N661" s="32" t="e">
        <f t="shared" si="32"/>
        <v>#REF!</v>
      </c>
    </row>
    <row r="662" ht="15.75" spans="1:14">
      <c r="A662" s="12" t="e">
        <f>'[4]#REF'!A662</f>
        <v>#REF!</v>
      </c>
      <c r="B662" s="12" t="e">
        <f>'[4]#REF'!B662</f>
        <v>#REF!</v>
      </c>
      <c r="C662" s="31" t="e">
        <f>'[4]#REF'!D662</f>
        <v>#REF!</v>
      </c>
      <c r="D662" s="32" t="e">
        <f t="shared" si="30"/>
        <v>#REF!</v>
      </c>
      <c r="F662" s="12" t="e">
        <f>'[4]#REF'!F662</f>
        <v>#REF!</v>
      </c>
      <c r="G662" s="12" t="e">
        <f>'[4]#REF'!G662</f>
        <v>#REF!</v>
      </c>
      <c r="H662" s="31" t="e">
        <f>'[4]#REF'!I662</f>
        <v>#REF!</v>
      </c>
      <c r="I662" s="32" t="e">
        <f t="shared" si="31"/>
        <v>#REF!</v>
      </c>
      <c r="K662" s="12" t="e">
        <f>'[4]#REF'!K662</f>
        <v>#REF!</v>
      </c>
      <c r="L662" s="12" t="e">
        <f>'[4]#REF'!L662</f>
        <v>#REF!</v>
      </c>
      <c r="M662" s="31" t="e">
        <f>'[4]#REF'!N662</f>
        <v>#REF!</v>
      </c>
      <c r="N662" s="32" t="e">
        <f t="shared" si="32"/>
        <v>#REF!</v>
      </c>
    </row>
    <row r="663" ht="15.75" spans="1:14">
      <c r="A663" s="12" t="e">
        <f>'[4]#REF'!A663</f>
        <v>#REF!</v>
      </c>
      <c r="B663" s="12" t="e">
        <f>'[4]#REF'!B663</f>
        <v>#REF!</v>
      </c>
      <c r="C663" s="31" t="e">
        <f>'[4]#REF'!D663</f>
        <v>#REF!</v>
      </c>
      <c r="D663" s="32" t="e">
        <f t="shared" si="30"/>
        <v>#REF!</v>
      </c>
      <c r="F663" s="12" t="e">
        <f>'[4]#REF'!F663</f>
        <v>#REF!</v>
      </c>
      <c r="G663" s="12" t="e">
        <f>'[4]#REF'!G663</f>
        <v>#REF!</v>
      </c>
      <c r="H663" s="31" t="e">
        <f>'[4]#REF'!I663</f>
        <v>#REF!</v>
      </c>
      <c r="I663" s="32" t="e">
        <f t="shared" si="31"/>
        <v>#REF!</v>
      </c>
      <c r="K663" s="12" t="e">
        <f>'[4]#REF'!K663</f>
        <v>#REF!</v>
      </c>
      <c r="L663" s="12" t="e">
        <f>'[4]#REF'!L663</f>
        <v>#REF!</v>
      </c>
      <c r="M663" s="31" t="e">
        <f>'[4]#REF'!N663</f>
        <v>#REF!</v>
      </c>
      <c r="N663" s="32" t="e">
        <f t="shared" si="32"/>
        <v>#REF!</v>
      </c>
    </row>
    <row r="664" ht="15.75" spans="1:14">
      <c r="A664" s="12" t="e">
        <f>'[4]#REF'!A664</f>
        <v>#REF!</v>
      </c>
      <c r="B664" s="12" t="e">
        <f>'[4]#REF'!B664</f>
        <v>#REF!</v>
      </c>
      <c r="C664" s="31" t="e">
        <f>'[4]#REF'!D664</f>
        <v>#REF!</v>
      </c>
      <c r="D664" s="32" t="e">
        <f t="shared" si="30"/>
        <v>#REF!</v>
      </c>
      <c r="F664" s="12" t="e">
        <f>'[4]#REF'!F664</f>
        <v>#REF!</v>
      </c>
      <c r="G664" s="12" t="e">
        <f>'[4]#REF'!G664</f>
        <v>#REF!</v>
      </c>
      <c r="H664" s="31" t="e">
        <f>'[4]#REF'!I664</f>
        <v>#REF!</v>
      </c>
      <c r="I664" s="32" t="e">
        <f t="shared" si="31"/>
        <v>#REF!</v>
      </c>
      <c r="K664" s="12" t="e">
        <f>'[4]#REF'!K664</f>
        <v>#REF!</v>
      </c>
      <c r="L664" s="12" t="e">
        <f>'[4]#REF'!L664</f>
        <v>#REF!</v>
      </c>
      <c r="M664" s="31" t="e">
        <f>'[4]#REF'!N664</f>
        <v>#REF!</v>
      </c>
      <c r="N664" s="32" t="e">
        <f t="shared" si="32"/>
        <v>#REF!</v>
      </c>
    </row>
    <row r="665" ht="15.75" spans="1:14">
      <c r="A665" s="12" t="e">
        <f>'[4]#REF'!A665</f>
        <v>#REF!</v>
      </c>
      <c r="B665" s="12" t="e">
        <f>'[4]#REF'!B665</f>
        <v>#REF!</v>
      </c>
      <c r="C665" s="31" t="e">
        <f>'[4]#REF'!D665</f>
        <v>#REF!</v>
      </c>
      <c r="D665" s="32" t="e">
        <f t="shared" si="30"/>
        <v>#REF!</v>
      </c>
      <c r="F665" s="12" t="e">
        <f>'[4]#REF'!F665</f>
        <v>#REF!</v>
      </c>
      <c r="G665" s="12" t="e">
        <f>'[4]#REF'!G665</f>
        <v>#REF!</v>
      </c>
      <c r="H665" s="31" t="e">
        <f>'[4]#REF'!I665</f>
        <v>#REF!</v>
      </c>
      <c r="I665" s="32" t="e">
        <f t="shared" si="31"/>
        <v>#REF!</v>
      </c>
      <c r="K665" s="12" t="e">
        <f>'[4]#REF'!K665</f>
        <v>#REF!</v>
      </c>
      <c r="L665" s="12" t="e">
        <f>'[4]#REF'!L665</f>
        <v>#REF!</v>
      </c>
      <c r="M665" s="31" t="e">
        <f>'[4]#REF'!N665</f>
        <v>#REF!</v>
      </c>
      <c r="N665" s="32" t="e">
        <f t="shared" si="32"/>
        <v>#REF!</v>
      </c>
    </row>
    <row r="666" ht="15.75" spans="1:14">
      <c r="A666" s="12" t="e">
        <f>'[4]#REF'!A666</f>
        <v>#REF!</v>
      </c>
      <c r="B666" s="12" t="e">
        <f>'[4]#REF'!B666</f>
        <v>#REF!</v>
      </c>
      <c r="C666" s="31" t="e">
        <f>'[4]#REF'!D666</f>
        <v>#REF!</v>
      </c>
      <c r="D666" s="32" t="e">
        <f t="shared" si="30"/>
        <v>#REF!</v>
      </c>
      <c r="F666" s="12" t="e">
        <f>'[4]#REF'!F666</f>
        <v>#REF!</v>
      </c>
      <c r="G666" s="12" t="e">
        <f>'[4]#REF'!G666</f>
        <v>#REF!</v>
      </c>
      <c r="H666" s="31" t="e">
        <f>'[4]#REF'!I666</f>
        <v>#REF!</v>
      </c>
      <c r="I666" s="32" t="e">
        <f t="shared" si="31"/>
        <v>#REF!</v>
      </c>
      <c r="K666" s="12" t="e">
        <f>'[4]#REF'!K666</f>
        <v>#REF!</v>
      </c>
      <c r="L666" s="12" t="e">
        <f>'[4]#REF'!L666</f>
        <v>#REF!</v>
      </c>
      <c r="M666" s="31" t="e">
        <f>'[4]#REF'!N666</f>
        <v>#REF!</v>
      </c>
      <c r="N666" s="32" t="e">
        <f t="shared" si="32"/>
        <v>#REF!</v>
      </c>
    </row>
    <row r="667" ht="15.75" spans="1:14">
      <c r="A667" s="12" t="e">
        <f>'[4]#REF'!A667</f>
        <v>#REF!</v>
      </c>
      <c r="B667" s="12" t="e">
        <f>'[4]#REF'!B667</f>
        <v>#REF!</v>
      </c>
      <c r="C667" s="31" t="e">
        <f>'[4]#REF'!D667</f>
        <v>#REF!</v>
      </c>
      <c r="D667" s="32" t="e">
        <f t="shared" si="30"/>
        <v>#REF!</v>
      </c>
      <c r="F667" s="12" t="e">
        <f>'[4]#REF'!F667</f>
        <v>#REF!</v>
      </c>
      <c r="G667" s="12" t="e">
        <f>'[4]#REF'!G667</f>
        <v>#REF!</v>
      </c>
      <c r="H667" s="31" t="e">
        <f>'[4]#REF'!I667</f>
        <v>#REF!</v>
      </c>
      <c r="I667" s="32" t="e">
        <f t="shared" si="31"/>
        <v>#REF!</v>
      </c>
      <c r="K667" s="12" t="e">
        <f>'[4]#REF'!K667</f>
        <v>#REF!</v>
      </c>
      <c r="L667" s="12" t="e">
        <f>'[4]#REF'!L667</f>
        <v>#REF!</v>
      </c>
      <c r="M667" s="31" t="e">
        <f>'[4]#REF'!N667</f>
        <v>#REF!</v>
      </c>
      <c r="N667" s="32" t="e">
        <f t="shared" si="32"/>
        <v>#REF!</v>
      </c>
    </row>
    <row r="668" ht="15.75" spans="1:14">
      <c r="A668" s="12" t="e">
        <f>'[4]#REF'!A668</f>
        <v>#REF!</v>
      </c>
      <c r="B668" s="12" t="e">
        <f>'[4]#REF'!B668</f>
        <v>#REF!</v>
      </c>
      <c r="C668" s="31" t="e">
        <f>'[4]#REF'!D668</f>
        <v>#REF!</v>
      </c>
      <c r="D668" s="32" t="e">
        <f t="shared" si="30"/>
        <v>#REF!</v>
      </c>
      <c r="F668" s="12" t="e">
        <f>'[4]#REF'!F668</f>
        <v>#REF!</v>
      </c>
      <c r="G668" s="12" t="e">
        <f>'[4]#REF'!G668</f>
        <v>#REF!</v>
      </c>
      <c r="H668" s="31" t="e">
        <f>'[4]#REF'!I668</f>
        <v>#REF!</v>
      </c>
      <c r="I668" s="32" t="e">
        <f t="shared" si="31"/>
        <v>#REF!</v>
      </c>
      <c r="K668" s="12" t="e">
        <f>'[4]#REF'!K668</f>
        <v>#REF!</v>
      </c>
      <c r="L668" s="12" t="e">
        <f>'[4]#REF'!L668</f>
        <v>#REF!</v>
      </c>
      <c r="M668" s="31" t="e">
        <f>'[4]#REF'!N668</f>
        <v>#REF!</v>
      </c>
      <c r="N668" s="32" t="e">
        <f t="shared" si="32"/>
        <v>#REF!</v>
      </c>
    </row>
    <row r="669" ht="15.75" spans="1:14">
      <c r="A669" s="12" t="e">
        <f>'[4]#REF'!A669</f>
        <v>#REF!</v>
      </c>
      <c r="B669" s="12" t="e">
        <f>'[4]#REF'!B669</f>
        <v>#REF!</v>
      </c>
      <c r="C669" s="31" t="e">
        <f>'[4]#REF'!D669</f>
        <v>#REF!</v>
      </c>
      <c r="D669" s="32" t="e">
        <f t="shared" si="30"/>
        <v>#REF!</v>
      </c>
      <c r="F669" s="12" t="e">
        <f>'[4]#REF'!F669</f>
        <v>#REF!</v>
      </c>
      <c r="G669" s="12" t="e">
        <f>'[4]#REF'!G669</f>
        <v>#REF!</v>
      </c>
      <c r="H669" s="31" t="e">
        <f>'[4]#REF'!I669</f>
        <v>#REF!</v>
      </c>
      <c r="I669" s="32" t="e">
        <f t="shared" si="31"/>
        <v>#REF!</v>
      </c>
      <c r="K669" s="12" t="e">
        <f>'[4]#REF'!K669</f>
        <v>#REF!</v>
      </c>
      <c r="L669" s="12" t="e">
        <f>'[4]#REF'!L669</f>
        <v>#REF!</v>
      </c>
      <c r="M669" s="31" t="e">
        <f>'[4]#REF'!N669</f>
        <v>#REF!</v>
      </c>
      <c r="N669" s="32" t="e">
        <f t="shared" si="32"/>
        <v>#REF!</v>
      </c>
    </row>
    <row r="670" ht="15.75" spans="1:14">
      <c r="A670" s="12" t="e">
        <f>'[4]#REF'!A670</f>
        <v>#REF!</v>
      </c>
      <c r="B670" s="12" t="e">
        <f>'[4]#REF'!B670</f>
        <v>#REF!</v>
      </c>
      <c r="C670" s="31" t="e">
        <f>'[4]#REF'!D670</f>
        <v>#REF!</v>
      </c>
      <c r="D670" s="32" t="e">
        <f t="shared" si="30"/>
        <v>#REF!</v>
      </c>
      <c r="F670" s="12" t="e">
        <f>'[4]#REF'!F670</f>
        <v>#REF!</v>
      </c>
      <c r="G670" s="12" t="e">
        <f>'[4]#REF'!G670</f>
        <v>#REF!</v>
      </c>
      <c r="H670" s="31" t="e">
        <f>'[4]#REF'!I670</f>
        <v>#REF!</v>
      </c>
      <c r="I670" s="32" t="e">
        <f t="shared" si="31"/>
        <v>#REF!</v>
      </c>
      <c r="K670" s="12" t="e">
        <f>'[4]#REF'!K670</f>
        <v>#REF!</v>
      </c>
      <c r="L670" s="12" t="e">
        <f>'[4]#REF'!L670</f>
        <v>#REF!</v>
      </c>
      <c r="M670" s="31" t="e">
        <f>'[4]#REF'!N670</f>
        <v>#REF!</v>
      </c>
      <c r="N670" s="32" t="e">
        <f t="shared" si="32"/>
        <v>#REF!</v>
      </c>
    </row>
    <row r="671" ht="15.75" spans="1:14">
      <c r="A671" s="12" t="e">
        <f>'[4]#REF'!A671</f>
        <v>#REF!</v>
      </c>
      <c r="B671" s="12" t="e">
        <f>'[4]#REF'!B671</f>
        <v>#REF!</v>
      </c>
      <c r="C671" s="31" t="e">
        <f>'[4]#REF'!D671</f>
        <v>#REF!</v>
      </c>
      <c r="D671" s="32" t="e">
        <f t="shared" si="30"/>
        <v>#REF!</v>
      </c>
      <c r="F671" s="12" t="e">
        <f>'[4]#REF'!F671</f>
        <v>#REF!</v>
      </c>
      <c r="G671" s="12" t="e">
        <f>'[4]#REF'!G671</f>
        <v>#REF!</v>
      </c>
      <c r="H671" s="31" t="e">
        <f>'[4]#REF'!I671</f>
        <v>#REF!</v>
      </c>
      <c r="I671" s="32" t="e">
        <f t="shared" si="31"/>
        <v>#REF!</v>
      </c>
      <c r="K671" s="12" t="e">
        <f>'[4]#REF'!K671</f>
        <v>#REF!</v>
      </c>
      <c r="L671" s="12" t="e">
        <f>'[4]#REF'!L671</f>
        <v>#REF!</v>
      </c>
      <c r="M671" s="31" t="e">
        <f>'[4]#REF'!N671</f>
        <v>#REF!</v>
      </c>
      <c r="N671" s="32" t="e">
        <f t="shared" si="32"/>
        <v>#REF!</v>
      </c>
    </row>
    <row r="672" ht="15.75" spans="1:14">
      <c r="A672" s="12" t="e">
        <f>'[4]#REF'!A672</f>
        <v>#REF!</v>
      </c>
      <c r="B672" s="12" t="e">
        <f>'[4]#REF'!B672</f>
        <v>#REF!</v>
      </c>
      <c r="C672" s="31" t="e">
        <f>'[4]#REF'!D672</f>
        <v>#REF!</v>
      </c>
      <c r="D672" s="32" t="e">
        <f t="shared" si="30"/>
        <v>#REF!</v>
      </c>
      <c r="F672" s="12" t="e">
        <f>'[4]#REF'!F672</f>
        <v>#REF!</v>
      </c>
      <c r="G672" s="12" t="e">
        <f>'[4]#REF'!G672</f>
        <v>#REF!</v>
      </c>
      <c r="H672" s="31" t="e">
        <f>'[4]#REF'!I672</f>
        <v>#REF!</v>
      </c>
      <c r="I672" s="32" t="e">
        <f t="shared" si="31"/>
        <v>#REF!</v>
      </c>
      <c r="K672" s="12" t="e">
        <f>'[4]#REF'!K672</f>
        <v>#REF!</v>
      </c>
      <c r="L672" s="12" t="e">
        <f>'[4]#REF'!L672</f>
        <v>#REF!</v>
      </c>
      <c r="M672" s="31" t="e">
        <f>'[4]#REF'!N672</f>
        <v>#REF!</v>
      </c>
      <c r="N672" s="32" t="e">
        <f t="shared" si="32"/>
        <v>#REF!</v>
      </c>
    </row>
    <row r="673" ht="15.75" spans="1:14">
      <c r="A673" s="12" t="e">
        <f>'[4]#REF'!A673</f>
        <v>#REF!</v>
      </c>
      <c r="B673" s="12" t="e">
        <f>'[4]#REF'!B673</f>
        <v>#REF!</v>
      </c>
      <c r="C673" s="31" t="e">
        <f>'[4]#REF'!D673</f>
        <v>#REF!</v>
      </c>
      <c r="D673" s="32" t="e">
        <f t="shared" si="30"/>
        <v>#REF!</v>
      </c>
      <c r="F673" s="12" t="e">
        <f>'[4]#REF'!F673</f>
        <v>#REF!</v>
      </c>
      <c r="G673" s="12" t="e">
        <f>'[4]#REF'!G673</f>
        <v>#REF!</v>
      </c>
      <c r="H673" s="31" t="e">
        <f>'[4]#REF'!I673</f>
        <v>#REF!</v>
      </c>
      <c r="I673" s="32" t="e">
        <f t="shared" si="31"/>
        <v>#REF!</v>
      </c>
      <c r="K673" s="12" t="e">
        <f>'[4]#REF'!K673</f>
        <v>#REF!</v>
      </c>
      <c r="L673" s="12" t="e">
        <f>'[4]#REF'!L673</f>
        <v>#REF!</v>
      </c>
      <c r="M673" s="31" t="e">
        <f>'[4]#REF'!N673</f>
        <v>#REF!</v>
      </c>
      <c r="N673" s="32" t="e">
        <f t="shared" si="32"/>
        <v>#REF!</v>
      </c>
    </row>
    <row r="674" ht="15.75" spans="1:14">
      <c r="A674" s="12" t="e">
        <f>'[4]#REF'!A674</f>
        <v>#REF!</v>
      </c>
      <c r="B674" s="12" t="e">
        <f>'[4]#REF'!B674</f>
        <v>#REF!</v>
      </c>
      <c r="C674" s="31" t="e">
        <f>'[4]#REF'!D674</f>
        <v>#REF!</v>
      </c>
      <c r="D674" s="32" t="e">
        <f t="shared" si="30"/>
        <v>#REF!</v>
      </c>
      <c r="F674" s="12" t="e">
        <f>'[4]#REF'!F674</f>
        <v>#REF!</v>
      </c>
      <c r="G674" s="12" t="e">
        <f>'[4]#REF'!G674</f>
        <v>#REF!</v>
      </c>
      <c r="H674" s="31" t="e">
        <f>'[4]#REF'!I674</f>
        <v>#REF!</v>
      </c>
      <c r="I674" s="32" t="e">
        <f t="shared" si="31"/>
        <v>#REF!</v>
      </c>
      <c r="K674" s="12" t="e">
        <f>'[4]#REF'!K674</f>
        <v>#REF!</v>
      </c>
      <c r="L674" s="12" t="e">
        <f>'[4]#REF'!L674</f>
        <v>#REF!</v>
      </c>
      <c r="M674" s="31" t="e">
        <f>'[4]#REF'!N674</f>
        <v>#REF!</v>
      </c>
      <c r="N674" s="32" t="e">
        <f t="shared" si="32"/>
        <v>#REF!</v>
      </c>
    </row>
    <row r="675" ht="15.75" spans="1:14">
      <c r="A675" s="12" t="e">
        <f>'[4]#REF'!A675</f>
        <v>#REF!</v>
      </c>
      <c r="B675" s="12" t="e">
        <f>'[4]#REF'!B675</f>
        <v>#REF!</v>
      </c>
      <c r="C675" s="31" t="e">
        <f>'[4]#REF'!D675</f>
        <v>#REF!</v>
      </c>
      <c r="D675" s="32" t="e">
        <f t="shared" si="30"/>
        <v>#REF!</v>
      </c>
      <c r="F675" s="12" t="e">
        <f>'[4]#REF'!F675</f>
        <v>#REF!</v>
      </c>
      <c r="G675" s="12" t="e">
        <f>'[4]#REF'!G675</f>
        <v>#REF!</v>
      </c>
      <c r="H675" s="31" t="e">
        <f>'[4]#REF'!I675</f>
        <v>#REF!</v>
      </c>
      <c r="I675" s="32" t="e">
        <f t="shared" si="31"/>
        <v>#REF!</v>
      </c>
      <c r="K675" s="12" t="e">
        <f>'[4]#REF'!K675</f>
        <v>#REF!</v>
      </c>
      <c r="L675" s="12" t="e">
        <f>'[4]#REF'!L675</f>
        <v>#REF!</v>
      </c>
      <c r="M675" s="31" t="e">
        <f>'[4]#REF'!N675</f>
        <v>#REF!</v>
      </c>
      <c r="N675" s="32" t="e">
        <f t="shared" si="32"/>
        <v>#REF!</v>
      </c>
    </row>
    <row r="676" ht="15.75" spans="1:14">
      <c r="A676" s="12" t="e">
        <f>'[4]#REF'!A676</f>
        <v>#REF!</v>
      </c>
      <c r="B676" s="12" t="e">
        <f>'[4]#REF'!B676</f>
        <v>#REF!</v>
      </c>
      <c r="C676" s="31" t="e">
        <f>'[4]#REF'!D676</f>
        <v>#REF!</v>
      </c>
      <c r="D676" s="32" t="e">
        <f t="shared" si="30"/>
        <v>#REF!</v>
      </c>
      <c r="F676" s="12" t="e">
        <f>'[4]#REF'!F676</f>
        <v>#REF!</v>
      </c>
      <c r="G676" s="12" t="e">
        <f>'[4]#REF'!G676</f>
        <v>#REF!</v>
      </c>
      <c r="H676" s="31" t="e">
        <f>'[4]#REF'!I676</f>
        <v>#REF!</v>
      </c>
      <c r="I676" s="32" t="e">
        <f t="shared" si="31"/>
        <v>#REF!</v>
      </c>
      <c r="K676" s="12" t="e">
        <f>'[4]#REF'!K676</f>
        <v>#REF!</v>
      </c>
      <c r="L676" s="12" t="e">
        <f>'[4]#REF'!L676</f>
        <v>#REF!</v>
      </c>
      <c r="M676" s="31" t="e">
        <f>'[4]#REF'!N676</f>
        <v>#REF!</v>
      </c>
      <c r="N676" s="32" t="e">
        <f t="shared" si="32"/>
        <v>#REF!</v>
      </c>
    </row>
    <row r="677" ht="15.75" spans="1:14">
      <c r="A677" s="12" t="e">
        <f>'[4]#REF'!A677</f>
        <v>#REF!</v>
      </c>
      <c r="B677" s="12" t="e">
        <f>'[4]#REF'!B677</f>
        <v>#REF!</v>
      </c>
      <c r="C677" s="31" t="e">
        <f>'[4]#REF'!D677</f>
        <v>#REF!</v>
      </c>
      <c r="D677" s="32" t="e">
        <f t="shared" si="30"/>
        <v>#REF!</v>
      </c>
      <c r="F677" s="12" t="e">
        <f>'[4]#REF'!F677</f>
        <v>#REF!</v>
      </c>
      <c r="G677" s="12" t="e">
        <f>'[4]#REF'!G677</f>
        <v>#REF!</v>
      </c>
      <c r="H677" s="31" t="e">
        <f>'[4]#REF'!I677</f>
        <v>#REF!</v>
      </c>
      <c r="I677" s="32" t="e">
        <f t="shared" si="31"/>
        <v>#REF!</v>
      </c>
      <c r="K677" s="12" t="e">
        <f>'[4]#REF'!K677</f>
        <v>#REF!</v>
      </c>
      <c r="L677" s="12" t="e">
        <f>'[4]#REF'!L677</f>
        <v>#REF!</v>
      </c>
      <c r="M677" s="31" t="e">
        <f>'[4]#REF'!N677</f>
        <v>#REF!</v>
      </c>
      <c r="N677" s="32" t="e">
        <f t="shared" si="32"/>
        <v>#REF!</v>
      </c>
    </row>
    <row r="678" ht="15.75" spans="1:14">
      <c r="A678" s="12" t="e">
        <f>'[4]#REF'!A678</f>
        <v>#REF!</v>
      </c>
      <c r="B678" s="12" t="e">
        <f>'[4]#REF'!B678</f>
        <v>#REF!</v>
      </c>
      <c r="C678" s="31" t="e">
        <f>'[4]#REF'!D678</f>
        <v>#REF!</v>
      </c>
      <c r="D678" s="32" t="e">
        <f t="shared" si="30"/>
        <v>#REF!</v>
      </c>
      <c r="F678" s="12" t="e">
        <f>'[4]#REF'!F678</f>
        <v>#REF!</v>
      </c>
      <c r="G678" s="12" t="e">
        <f>'[4]#REF'!G678</f>
        <v>#REF!</v>
      </c>
      <c r="H678" s="31" t="e">
        <f>'[4]#REF'!I678</f>
        <v>#REF!</v>
      </c>
      <c r="I678" s="32" t="e">
        <f t="shared" si="31"/>
        <v>#REF!</v>
      </c>
      <c r="K678" s="12" t="e">
        <f>'[4]#REF'!K678</f>
        <v>#REF!</v>
      </c>
      <c r="L678" s="12" t="e">
        <f>'[4]#REF'!L678</f>
        <v>#REF!</v>
      </c>
      <c r="M678" s="31" t="e">
        <f>'[4]#REF'!N678</f>
        <v>#REF!</v>
      </c>
      <c r="N678" s="32" t="e">
        <f t="shared" si="32"/>
        <v>#REF!</v>
      </c>
    </row>
    <row r="679" ht="15.75" spans="1:14">
      <c r="A679" s="12" t="e">
        <f>'[4]#REF'!A679</f>
        <v>#REF!</v>
      </c>
      <c r="B679" s="12" t="e">
        <f>'[4]#REF'!B679</f>
        <v>#REF!</v>
      </c>
      <c r="C679" s="31" t="e">
        <f>'[4]#REF'!D679</f>
        <v>#REF!</v>
      </c>
      <c r="D679" s="32" t="e">
        <f t="shared" si="30"/>
        <v>#REF!</v>
      </c>
      <c r="F679" s="12" t="e">
        <f>'[4]#REF'!F679</f>
        <v>#REF!</v>
      </c>
      <c r="G679" s="12" t="e">
        <f>'[4]#REF'!G679</f>
        <v>#REF!</v>
      </c>
      <c r="H679" s="31" t="e">
        <f>'[4]#REF'!I679</f>
        <v>#REF!</v>
      </c>
      <c r="I679" s="32" t="e">
        <f t="shared" si="31"/>
        <v>#REF!</v>
      </c>
      <c r="K679" s="12" t="e">
        <f>'[4]#REF'!K679</f>
        <v>#REF!</v>
      </c>
      <c r="L679" s="12" t="e">
        <f>'[4]#REF'!L679</f>
        <v>#REF!</v>
      </c>
      <c r="M679" s="31" t="e">
        <f>'[4]#REF'!N679</f>
        <v>#REF!</v>
      </c>
      <c r="N679" s="32" t="e">
        <f t="shared" si="32"/>
        <v>#REF!</v>
      </c>
    </row>
    <row r="680" ht="15.75" spans="1:14">
      <c r="A680" s="12" t="e">
        <f>'[4]#REF'!A680</f>
        <v>#REF!</v>
      </c>
      <c r="B680" s="12" t="e">
        <f>'[4]#REF'!B680</f>
        <v>#REF!</v>
      </c>
      <c r="C680" s="31" t="e">
        <f>'[4]#REF'!D680</f>
        <v>#REF!</v>
      </c>
      <c r="D680" s="32" t="e">
        <f t="shared" si="30"/>
        <v>#REF!</v>
      </c>
      <c r="F680" s="12" t="e">
        <f>'[4]#REF'!F680</f>
        <v>#REF!</v>
      </c>
      <c r="G680" s="12" t="e">
        <f>'[4]#REF'!G680</f>
        <v>#REF!</v>
      </c>
      <c r="H680" s="31" t="e">
        <f>'[4]#REF'!I680</f>
        <v>#REF!</v>
      </c>
      <c r="I680" s="32" t="e">
        <f t="shared" si="31"/>
        <v>#REF!</v>
      </c>
      <c r="K680" s="12" t="e">
        <f>'[4]#REF'!K680</f>
        <v>#REF!</v>
      </c>
      <c r="L680" s="12" t="e">
        <f>'[4]#REF'!L680</f>
        <v>#REF!</v>
      </c>
      <c r="M680" s="31" t="e">
        <f>'[4]#REF'!N680</f>
        <v>#REF!</v>
      </c>
      <c r="N680" s="32" t="e">
        <f t="shared" si="32"/>
        <v>#REF!</v>
      </c>
    </row>
    <row r="681" ht="15.75" spans="1:14">
      <c r="A681" s="12" t="e">
        <f>'[4]#REF'!A681</f>
        <v>#REF!</v>
      </c>
      <c r="B681" s="12" t="e">
        <f>'[4]#REF'!B681</f>
        <v>#REF!</v>
      </c>
      <c r="C681" s="31" t="e">
        <f>'[4]#REF'!D681</f>
        <v>#REF!</v>
      </c>
      <c r="D681" s="32" t="e">
        <f t="shared" si="30"/>
        <v>#REF!</v>
      </c>
      <c r="F681" s="12" t="e">
        <f>'[4]#REF'!F681</f>
        <v>#REF!</v>
      </c>
      <c r="G681" s="12" t="e">
        <f>'[4]#REF'!G681</f>
        <v>#REF!</v>
      </c>
      <c r="H681" s="31" t="e">
        <f>'[4]#REF'!I681</f>
        <v>#REF!</v>
      </c>
      <c r="I681" s="32" t="e">
        <f t="shared" si="31"/>
        <v>#REF!</v>
      </c>
      <c r="K681" s="12" t="e">
        <f>'[4]#REF'!K681</f>
        <v>#REF!</v>
      </c>
      <c r="L681" s="12" t="e">
        <f>'[4]#REF'!L681</f>
        <v>#REF!</v>
      </c>
      <c r="M681" s="31" t="e">
        <f>'[4]#REF'!N681</f>
        <v>#REF!</v>
      </c>
      <c r="N681" s="32" t="e">
        <f t="shared" si="32"/>
        <v>#REF!</v>
      </c>
    </row>
    <row r="682" ht="15.75" spans="1:14">
      <c r="A682" s="12" t="e">
        <f>'[4]#REF'!A682</f>
        <v>#REF!</v>
      </c>
      <c r="B682" s="12" t="e">
        <f>'[4]#REF'!B682</f>
        <v>#REF!</v>
      </c>
      <c r="C682" s="31" t="e">
        <f>'[4]#REF'!D682</f>
        <v>#REF!</v>
      </c>
      <c r="D682" s="32" t="e">
        <f t="shared" si="30"/>
        <v>#REF!</v>
      </c>
      <c r="F682" s="12" t="e">
        <f>'[4]#REF'!F682</f>
        <v>#REF!</v>
      </c>
      <c r="G682" s="12" t="e">
        <f>'[4]#REF'!G682</f>
        <v>#REF!</v>
      </c>
      <c r="H682" s="31" t="e">
        <f>'[4]#REF'!I682</f>
        <v>#REF!</v>
      </c>
      <c r="I682" s="32" t="e">
        <f t="shared" si="31"/>
        <v>#REF!</v>
      </c>
      <c r="K682" s="12" t="e">
        <f>'[4]#REF'!K682</f>
        <v>#REF!</v>
      </c>
      <c r="L682" s="12" t="e">
        <f>'[4]#REF'!L682</f>
        <v>#REF!</v>
      </c>
      <c r="M682" s="31" t="e">
        <f>'[4]#REF'!N682</f>
        <v>#REF!</v>
      </c>
      <c r="N682" s="32" t="e">
        <f t="shared" si="32"/>
        <v>#REF!</v>
      </c>
    </row>
    <row r="683" ht="15.75" spans="1:14">
      <c r="A683" s="12" t="e">
        <f>'[4]#REF'!A683</f>
        <v>#REF!</v>
      </c>
      <c r="B683" s="12" t="e">
        <f>'[4]#REF'!B683</f>
        <v>#REF!</v>
      </c>
      <c r="C683" s="31" t="e">
        <f>'[4]#REF'!D683</f>
        <v>#REF!</v>
      </c>
      <c r="D683" s="32" t="e">
        <f t="shared" si="30"/>
        <v>#REF!</v>
      </c>
      <c r="F683" s="12" t="e">
        <f>'[4]#REF'!F683</f>
        <v>#REF!</v>
      </c>
      <c r="G683" s="12" t="e">
        <f>'[4]#REF'!G683</f>
        <v>#REF!</v>
      </c>
      <c r="H683" s="31" t="e">
        <f>'[4]#REF'!I683</f>
        <v>#REF!</v>
      </c>
      <c r="I683" s="32" t="e">
        <f t="shared" si="31"/>
        <v>#REF!</v>
      </c>
      <c r="K683" s="12" t="e">
        <f>'[4]#REF'!K683</f>
        <v>#REF!</v>
      </c>
      <c r="L683" s="12" t="e">
        <f>'[4]#REF'!L683</f>
        <v>#REF!</v>
      </c>
      <c r="M683" s="31" t="e">
        <f>'[4]#REF'!N683</f>
        <v>#REF!</v>
      </c>
      <c r="N683" s="32" t="e">
        <f t="shared" si="32"/>
        <v>#REF!</v>
      </c>
    </row>
    <row r="684" ht="15.75" spans="1:14">
      <c r="A684" s="12" t="e">
        <f>'[4]#REF'!A684</f>
        <v>#REF!</v>
      </c>
      <c r="B684" s="12" t="e">
        <f>'[4]#REF'!B684</f>
        <v>#REF!</v>
      </c>
      <c r="C684" s="31" t="e">
        <f>'[4]#REF'!D684</f>
        <v>#REF!</v>
      </c>
      <c r="D684" s="32" t="e">
        <f t="shared" si="30"/>
        <v>#REF!</v>
      </c>
      <c r="F684" s="12" t="e">
        <f>'[4]#REF'!F684</f>
        <v>#REF!</v>
      </c>
      <c r="G684" s="12" t="e">
        <f>'[4]#REF'!G684</f>
        <v>#REF!</v>
      </c>
      <c r="H684" s="31" t="e">
        <f>'[4]#REF'!I684</f>
        <v>#REF!</v>
      </c>
      <c r="I684" s="32" t="e">
        <f t="shared" si="31"/>
        <v>#REF!</v>
      </c>
      <c r="K684" s="12" t="e">
        <f>'[4]#REF'!K684</f>
        <v>#REF!</v>
      </c>
      <c r="L684" s="12" t="e">
        <f>'[4]#REF'!L684</f>
        <v>#REF!</v>
      </c>
      <c r="M684" s="31" t="e">
        <f>'[4]#REF'!N684</f>
        <v>#REF!</v>
      </c>
      <c r="N684" s="32" t="e">
        <f t="shared" si="32"/>
        <v>#REF!</v>
      </c>
    </row>
    <row r="685" ht="15.75" spans="1:14">
      <c r="A685" s="12" t="e">
        <f>'[4]#REF'!A685</f>
        <v>#REF!</v>
      </c>
      <c r="B685" s="12" t="e">
        <f>'[4]#REF'!B685</f>
        <v>#REF!</v>
      </c>
      <c r="C685" s="31" t="e">
        <f>'[4]#REF'!D685</f>
        <v>#REF!</v>
      </c>
      <c r="D685" s="32" t="e">
        <f t="shared" si="30"/>
        <v>#REF!</v>
      </c>
      <c r="F685" s="12" t="e">
        <f>'[4]#REF'!F685</f>
        <v>#REF!</v>
      </c>
      <c r="G685" s="12" t="e">
        <f>'[4]#REF'!G685</f>
        <v>#REF!</v>
      </c>
      <c r="H685" s="31" t="e">
        <f>'[4]#REF'!I685</f>
        <v>#REF!</v>
      </c>
      <c r="I685" s="32" t="e">
        <f t="shared" si="31"/>
        <v>#REF!</v>
      </c>
      <c r="K685" s="12" t="e">
        <f>'[4]#REF'!K685</f>
        <v>#REF!</v>
      </c>
      <c r="L685" s="12" t="e">
        <f>'[4]#REF'!L685</f>
        <v>#REF!</v>
      </c>
      <c r="M685" s="31" t="e">
        <f>'[4]#REF'!N685</f>
        <v>#REF!</v>
      </c>
      <c r="N685" s="32" t="e">
        <f t="shared" si="32"/>
        <v>#REF!</v>
      </c>
    </row>
    <row r="686" ht="15.75" spans="1:14">
      <c r="A686" s="12" t="e">
        <f>'[4]#REF'!A686</f>
        <v>#REF!</v>
      </c>
      <c r="B686" s="12" t="e">
        <f>'[4]#REF'!B686</f>
        <v>#REF!</v>
      </c>
      <c r="C686" s="31" t="e">
        <f>'[4]#REF'!D686</f>
        <v>#REF!</v>
      </c>
      <c r="D686" s="32" t="e">
        <f t="shared" si="30"/>
        <v>#REF!</v>
      </c>
      <c r="F686" s="12" t="e">
        <f>'[4]#REF'!F686</f>
        <v>#REF!</v>
      </c>
      <c r="G686" s="12" t="e">
        <f>'[4]#REF'!G686</f>
        <v>#REF!</v>
      </c>
      <c r="H686" s="31" t="e">
        <f>'[4]#REF'!I686</f>
        <v>#REF!</v>
      </c>
      <c r="I686" s="32" t="e">
        <f t="shared" si="31"/>
        <v>#REF!</v>
      </c>
      <c r="K686" s="12" t="e">
        <f>'[4]#REF'!K686</f>
        <v>#REF!</v>
      </c>
      <c r="L686" s="12" t="e">
        <f>'[4]#REF'!L686</f>
        <v>#REF!</v>
      </c>
      <c r="M686" s="31" t="e">
        <f>'[4]#REF'!N686</f>
        <v>#REF!</v>
      </c>
      <c r="N686" s="32" t="e">
        <f t="shared" si="32"/>
        <v>#REF!</v>
      </c>
    </row>
    <row r="687" ht="15.75" spans="1:14">
      <c r="A687" s="12" t="e">
        <f>'[4]#REF'!A687</f>
        <v>#REF!</v>
      </c>
      <c r="B687" s="12" t="e">
        <f>'[4]#REF'!B687</f>
        <v>#REF!</v>
      </c>
      <c r="C687" s="31" t="e">
        <f>'[4]#REF'!D687</f>
        <v>#REF!</v>
      </c>
      <c r="D687" s="32" t="e">
        <f t="shared" si="30"/>
        <v>#REF!</v>
      </c>
      <c r="F687" s="12" t="e">
        <f>'[4]#REF'!F687</f>
        <v>#REF!</v>
      </c>
      <c r="G687" s="12" t="e">
        <f>'[4]#REF'!G687</f>
        <v>#REF!</v>
      </c>
      <c r="H687" s="31" t="e">
        <f>'[4]#REF'!I687</f>
        <v>#REF!</v>
      </c>
      <c r="I687" s="32" t="e">
        <f t="shared" si="31"/>
        <v>#REF!</v>
      </c>
      <c r="K687" s="12" t="e">
        <f>'[4]#REF'!K687</f>
        <v>#REF!</v>
      </c>
      <c r="L687" s="12" t="e">
        <f>'[4]#REF'!L687</f>
        <v>#REF!</v>
      </c>
      <c r="M687" s="31" t="e">
        <f>'[4]#REF'!N687</f>
        <v>#REF!</v>
      </c>
      <c r="N687" s="32" t="e">
        <f t="shared" si="32"/>
        <v>#REF!</v>
      </c>
    </row>
    <row r="688" ht="15.75" spans="1:14">
      <c r="A688" s="12" t="e">
        <f>'[4]#REF'!A688</f>
        <v>#REF!</v>
      </c>
      <c r="B688" s="12" t="e">
        <f>'[4]#REF'!B688</f>
        <v>#REF!</v>
      </c>
      <c r="C688" s="31" t="e">
        <f>'[4]#REF'!D688</f>
        <v>#REF!</v>
      </c>
      <c r="D688" s="32" t="e">
        <f t="shared" si="30"/>
        <v>#REF!</v>
      </c>
      <c r="F688" s="12" t="e">
        <f>'[4]#REF'!F688</f>
        <v>#REF!</v>
      </c>
      <c r="G688" s="12" t="e">
        <f>'[4]#REF'!G688</f>
        <v>#REF!</v>
      </c>
      <c r="H688" s="31" t="e">
        <f>'[4]#REF'!I688</f>
        <v>#REF!</v>
      </c>
      <c r="I688" s="32" t="e">
        <f t="shared" si="31"/>
        <v>#REF!</v>
      </c>
      <c r="K688" s="12" t="e">
        <f>'[4]#REF'!K688</f>
        <v>#REF!</v>
      </c>
      <c r="L688" s="12" t="e">
        <f>'[4]#REF'!L688</f>
        <v>#REF!</v>
      </c>
      <c r="M688" s="31" t="e">
        <f>'[4]#REF'!N688</f>
        <v>#REF!</v>
      </c>
      <c r="N688" s="32" t="e">
        <f t="shared" si="32"/>
        <v>#REF!</v>
      </c>
    </row>
    <row r="689" ht="15.75" spans="1:14">
      <c r="A689" s="12" t="e">
        <f>'[4]#REF'!A689</f>
        <v>#REF!</v>
      </c>
      <c r="B689" s="12" t="e">
        <f>'[4]#REF'!B689</f>
        <v>#REF!</v>
      </c>
      <c r="C689" s="31" t="e">
        <f>'[4]#REF'!D689</f>
        <v>#REF!</v>
      </c>
      <c r="D689" s="32" t="e">
        <f t="shared" si="30"/>
        <v>#REF!</v>
      </c>
      <c r="F689" s="12" t="e">
        <f>'[4]#REF'!F689</f>
        <v>#REF!</v>
      </c>
      <c r="G689" s="12" t="e">
        <f>'[4]#REF'!G689</f>
        <v>#REF!</v>
      </c>
      <c r="H689" s="31" t="e">
        <f>'[4]#REF'!I689</f>
        <v>#REF!</v>
      </c>
      <c r="I689" s="32" t="e">
        <f t="shared" si="31"/>
        <v>#REF!</v>
      </c>
      <c r="K689" s="12" t="e">
        <f>'[4]#REF'!K689</f>
        <v>#REF!</v>
      </c>
      <c r="L689" s="12" t="e">
        <f>'[4]#REF'!L689</f>
        <v>#REF!</v>
      </c>
      <c r="M689" s="31" t="e">
        <f>'[4]#REF'!N689</f>
        <v>#REF!</v>
      </c>
      <c r="N689" s="32" t="e">
        <f t="shared" si="32"/>
        <v>#REF!</v>
      </c>
    </row>
    <row r="690" ht="15.75" spans="1:14">
      <c r="A690" s="12" t="e">
        <f>'[4]#REF'!A690</f>
        <v>#REF!</v>
      </c>
      <c r="B690" s="12" t="e">
        <f>'[4]#REF'!B690</f>
        <v>#REF!</v>
      </c>
      <c r="C690" s="31" t="e">
        <f>'[4]#REF'!D690</f>
        <v>#REF!</v>
      </c>
      <c r="D690" s="32" t="e">
        <f t="shared" si="30"/>
        <v>#REF!</v>
      </c>
      <c r="F690" s="12" t="e">
        <f>'[4]#REF'!F690</f>
        <v>#REF!</v>
      </c>
      <c r="G690" s="12" t="e">
        <f>'[4]#REF'!G690</f>
        <v>#REF!</v>
      </c>
      <c r="H690" s="31" t="e">
        <f>'[4]#REF'!I690</f>
        <v>#REF!</v>
      </c>
      <c r="I690" s="32" t="e">
        <f t="shared" si="31"/>
        <v>#REF!</v>
      </c>
      <c r="K690" s="12" t="e">
        <f>'[4]#REF'!K690</f>
        <v>#REF!</v>
      </c>
      <c r="L690" s="12" t="e">
        <f>'[4]#REF'!L690</f>
        <v>#REF!</v>
      </c>
      <c r="M690" s="31" t="e">
        <f>'[4]#REF'!N690</f>
        <v>#REF!</v>
      </c>
      <c r="N690" s="32" t="e">
        <f t="shared" si="32"/>
        <v>#REF!</v>
      </c>
    </row>
    <row r="691" ht="15.75" spans="1:14">
      <c r="A691" s="12" t="e">
        <f>'[4]#REF'!A691</f>
        <v>#REF!</v>
      </c>
      <c r="B691" s="12" t="e">
        <f>'[4]#REF'!B691</f>
        <v>#REF!</v>
      </c>
      <c r="C691" s="31" t="e">
        <f>'[4]#REF'!D691</f>
        <v>#REF!</v>
      </c>
      <c r="D691" s="32" t="e">
        <f t="shared" si="30"/>
        <v>#REF!</v>
      </c>
      <c r="F691" s="12" t="e">
        <f>'[4]#REF'!F691</f>
        <v>#REF!</v>
      </c>
      <c r="G691" s="12" t="e">
        <f>'[4]#REF'!G691</f>
        <v>#REF!</v>
      </c>
      <c r="H691" s="31" t="e">
        <f>'[4]#REF'!I691</f>
        <v>#REF!</v>
      </c>
      <c r="I691" s="32" t="e">
        <f t="shared" si="31"/>
        <v>#REF!</v>
      </c>
      <c r="K691" s="12" t="e">
        <f>'[4]#REF'!K691</f>
        <v>#REF!</v>
      </c>
      <c r="L691" s="12" t="e">
        <f>'[4]#REF'!L691</f>
        <v>#REF!</v>
      </c>
      <c r="M691" s="31" t="e">
        <f>'[4]#REF'!N691</f>
        <v>#REF!</v>
      </c>
      <c r="N691" s="32" t="e">
        <f t="shared" si="32"/>
        <v>#REF!</v>
      </c>
    </row>
    <row r="692" ht="15.75" spans="1:14">
      <c r="A692" s="12" t="e">
        <f>'[4]#REF'!A692</f>
        <v>#REF!</v>
      </c>
      <c r="B692" s="12" t="e">
        <f>'[4]#REF'!B692</f>
        <v>#REF!</v>
      </c>
      <c r="C692" s="31" t="e">
        <f>'[4]#REF'!D692</f>
        <v>#REF!</v>
      </c>
      <c r="D692" s="32" t="e">
        <f t="shared" si="30"/>
        <v>#REF!</v>
      </c>
      <c r="F692" s="12" t="e">
        <f>'[4]#REF'!F692</f>
        <v>#REF!</v>
      </c>
      <c r="G692" s="12" t="e">
        <f>'[4]#REF'!G692</f>
        <v>#REF!</v>
      </c>
      <c r="H692" s="31" t="e">
        <f>'[4]#REF'!I692</f>
        <v>#REF!</v>
      </c>
      <c r="I692" s="32" t="e">
        <f t="shared" si="31"/>
        <v>#REF!</v>
      </c>
      <c r="K692" s="12" t="e">
        <f>'[4]#REF'!K692</f>
        <v>#REF!</v>
      </c>
      <c r="L692" s="12" t="e">
        <f>'[4]#REF'!L692</f>
        <v>#REF!</v>
      </c>
      <c r="M692" s="31" t="e">
        <f>'[4]#REF'!N692</f>
        <v>#REF!</v>
      </c>
      <c r="N692" s="32" t="e">
        <f t="shared" si="32"/>
        <v>#REF!</v>
      </c>
    </row>
    <row r="693" ht="15.75" spans="1:14">
      <c r="A693" s="12" t="e">
        <f>'[4]#REF'!A693</f>
        <v>#REF!</v>
      </c>
      <c r="B693" s="12" t="e">
        <f>'[4]#REF'!B693</f>
        <v>#REF!</v>
      </c>
      <c r="C693" s="31" t="e">
        <f>'[4]#REF'!D693</f>
        <v>#REF!</v>
      </c>
      <c r="D693" s="32" t="e">
        <f t="shared" si="30"/>
        <v>#REF!</v>
      </c>
      <c r="F693" s="12" t="e">
        <f>'[4]#REF'!F693</f>
        <v>#REF!</v>
      </c>
      <c r="G693" s="12" t="e">
        <f>'[4]#REF'!G693</f>
        <v>#REF!</v>
      </c>
      <c r="H693" s="31" t="e">
        <f>'[4]#REF'!I693</f>
        <v>#REF!</v>
      </c>
      <c r="I693" s="32" t="e">
        <f t="shared" si="31"/>
        <v>#REF!</v>
      </c>
    </row>
    <row r="694" ht="15.75" spans="1:14">
      <c r="A694" s="12" t="e">
        <f>'[4]#REF'!A694</f>
        <v>#REF!</v>
      </c>
      <c r="B694" s="12" t="e">
        <f>'[4]#REF'!B694</f>
        <v>#REF!</v>
      </c>
      <c r="C694" s="31" t="e">
        <f>'[4]#REF'!D694</f>
        <v>#REF!</v>
      </c>
      <c r="D694" s="32" t="e">
        <f t="shared" si="30"/>
        <v>#REF!</v>
      </c>
      <c r="F694" s="12" t="e">
        <f>'[4]#REF'!F694</f>
        <v>#REF!</v>
      </c>
      <c r="G694" s="12" t="e">
        <f>'[4]#REF'!G694</f>
        <v>#REF!</v>
      </c>
      <c r="H694" s="31" t="e">
        <f>'[4]#REF'!I694</f>
        <v>#REF!</v>
      </c>
      <c r="I694" s="32" t="e">
        <f t="shared" si="31"/>
        <v>#REF!</v>
      </c>
    </row>
    <row r="695" ht="15.75" spans="1:14">
      <c r="A695" s="12" t="e">
        <f>'[4]#REF'!A695</f>
        <v>#REF!</v>
      </c>
      <c r="B695" s="12" t="e">
        <f>'[4]#REF'!B695</f>
        <v>#REF!</v>
      </c>
      <c r="C695" s="31" t="e">
        <f>'[4]#REF'!D695</f>
        <v>#REF!</v>
      </c>
      <c r="D695" s="32" t="e">
        <f t="shared" si="30"/>
        <v>#REF!</v>
      </c>
      <c r="F695" s="12" t="e">
        <f>'[4]#REF'!F695</f>
        <v>#REF!</v>
      </c>
      <c r="G695" s="12" t="e">
        <f>'[4]#REF'!G695</f>
        <v>#REF!</v>
      </c>
      <c r="H695" s="31" t="e">
        <f>'[4]#REF'!I695</f>
        <v>#REF!</v>
      </c>
      <c r="I695" s="32" t="e">
        <f t="shared" si="31"/>
        <v>#REF!</v>
      </c>
    </row>
    <row r="696" ht="15.75" spans="1:14">
      <c r="A696" s="12" t="e">
        <f>'[4]#REF'!A696</f>
        <v>#REF!</v>
      </c>
      <c r="B696" s="12" t="e">
        <f>'[4]#REF'!B696</f>
        <v>#REF!</v>
      </c>
      <c r="C696" s="31" t="e">
        <f>'[4]#REF'!D696</f>
        <v>#REF!</v>
      </c>
      <c r="D696" s="32" t="e">
        <f t="shared" si="30"/>
        <v>#REF!</v>
      </c>
      <c r="F696" s="12" t="e">
        <f>'[4]#REF'!F696</f>
        <v>#REF!</v>
      </c>
      <c r="G696" s="12" t="e">
        <f>'[4]#REF'!G696</f>
        <v>#REF!</v>
      </c>
      <c r="H696" s="31" t="e">
        <f>'[4]#REF'!I696</f>
        <v>#REF!</v>
      </c>
      <c r="I696" s="32" t="e">
        <f t="shared" si="31"/>
        <v>#REF!</v>
      </c>
    </row>
    <row r="697" ht="15.75" spans="1:14">
      <c r="A697" s="12" t="e">
        <f>'[4]#REF'!A697</f>
        <v>#REF!</v>
      </c>
      <c r="B697" s="12" t="e">
        <f>'[4]#REF'!B697</f>
        <v>#REF!</v>
      </c>
      <c r="C697" s="31" t="e">
        <f>'[4]#REF'!D697</f>
        <v>#REF!</v>
      </c>
      <c r="D697" s="32" t="e">
        <f t="shared" si="30"/>
        <v>#REF!</v>
      </c>
      <c r="F697" s="12" t="e">
        <f>'[4]#REF'!F697</f>
        <v>#REF!</v>
      </c>
      <c r="G697" s="12" t="e">
        <f>'[4]#REF'!G697</f>
        <v>#REF!</v>
      </c>
      <c r="H697" s="31" t="e">
        <f>'[4]#REF'!I697</f>
        <v>#REF!</v>
      </c>
      <c r="I697" s="32" t="e">
        <f t="shared" si="31"/>
        <v>#REF!</v>
      </c>
    </row>
    <row r="698" ht="15.75" spans="1:14">
      <c r="A698" s="12" t="e">
        <f>'[4]#REF'!A698</f>
        <v>#REF!</v>
      </c>
      <c r="B698" s="12" t="e">
        <f>'[4]#REF'!B698</f>
        <v>#REF!</v>
      </c>
      <c r="C698" s="31" t="e">
        <f>'[4]#REF'!D698</f>
        <v>#REF!</v>
      </c>
      <c r="D698" s="32" t="e">
        <f t="shared" si="30"/>
        <v>#REF!</v>
      </c>
      <c r="F698" s="12" t="e">
        <f>'[4]#REF'!F698</f>
        <v>#REF!</v>
      </c>
      <c r="G698" s="12" t="e">
        <f>'[4]#REF'!G698</f>
        <v>#REF!</v>
      </c>
      <c r="H698" s="31" t="e">
        <f>'[4]#REF'!I698</f>
        <v>#REF!</v>
      </c>
      <c r="I698" s="32" t="e">
        <f t="shared" si="31"/>
        <v>#REF!</v>
      </c>
    </row>
    <row r="699" ht="15.75" spans="1:14">
      <c r="A699" s="12" t="e">
        <f>'[4]#REF'!A699</f>
        <v>#REF!</v>
      </c>
      <c r="B699" s="12" t="e">
        <f>'[4]#REF'!B699</f>
        <v>#REF!</v>
      </c>
      <c r="C699" s="31" t="e">
        <f>'[4]#REF'!D699</f>
        <v>#REF!</v>
      </c>
      <c r="D699" s="32" t="e">
        <f t="shared" si="30"/>
        <v>#REF!</v>
      </c>
      <c r="F699" s="12" t="e">
        <f>'[4]#REF'!F699</f>
        <v>#REF!</v>
      </c>
      <c r="G699" s="12" t="e">
        <f>'[4]#REF'!G699</f>
        <v>#REF!</v>
      </c>
      <c r="H699" s="31" t="e">
        <f>'[4]#REF'!I699</f>
        <v>#REF!</v>
      </c>
      <c r="I699" s="32" t="e">
        <f t="shared" si="31"/>
        <v>#REF!</v>
      </c>
    </row>
    <row r="700" ht="15.75" spans="1:14">
      <c r="A700" s="12" t="e">
        <f>'[4]#REF'!A700</f>
        <v>#REF!</v>
      </c>
      <c r="B700" s="12" t="e">
        <f>'[4]#REF'!B700</f>
        <v>#REF!</v>
      </c>
      <c r="C700" s="31" t="e">
        <f>'[4]#REF'!D700</f>
        <v>#REF!</v>
      </c>
      <c r="D700" s="32" t="e">
        <f t="shared" si="30"/>
        <v>#REF!</v>
      </c>
      <c r="F700" s="12" t="e">
        <f>'[4]#REF'!F700</f>
        <v>#REF!</v>
      </c>
      <c r="G700" s="12" t="e">
        <f>'[4]#REF'!G700</f>
        <v>#REF!</v>
      </c>
      <c r="H700" s="31" t="e">
        <f>'[4]#REF'!I700</f>
        <v>#REF!</v>
      </c>
      <c r="I700" s="32" t="e">
        <f t="shared" si="31"/>
        <v>#REF!</v>
      </c>
    </row>
    <row r="701" ht="15.75" spans="1:14">
      <c r="A701" s="12" t="e">
        <f>'[4]#REF'!A701</f>
        <v>#REF!</v>
      </c>
      <c r="B701" s="12" t="e">
        <f>'[4]#REF'!B701</f>
        <v>#REF!</v>
      </c>
      <c r="C701" s="31" t="e">
        <f>'[4]#REF'!D701</f>
        <v>#REF!</v>
      </c>
      <c r="D701" s="32" t="e">
        <f t="shared" si="30"/>
        <v>#REF!</v>
      </c>
      <c r="F701" s="12" t="e">
        <f>'[4]#REF'!F701</f>
        <v>#REF!</v>
      </c>
      <c r="G701" s="12" t="e">
        <f>'[4]#REF'!G701</f>
        <v>#REF!</v>
      </c>
      <c r="H701" s="31" t="e">
        <f>'[4]#REF'!I701</f>
        <v>#REF!</v>
      </c>
      <c r="I701" s="32" t="e">
        <f t="shared" si="31"/>
        <v>#REF!</v>
      </c>
    </row>
    <row r="702" ht="15.75" spans="1:14">
      <c r="A702" s="12" t="e">
        <f>'[4]#REF'!A702</f>
        <v>#REF!</v>
      </c>
      <c r="B702" s="12" t="e">
        <f>'[4]#REF'!B702</f>
        <v>#REF!</v>
      </c>
      <c r="C702" s="31" t="e">
        <f>'[4]#REF'!D702</f>
        <v>#REF!</v>
      </c>
      <c r="D702" s="32" t="e">
        <f t="shared" si="30"/>
        <v>#REF!</v>
      </c>
      <c r="F702" s="12" t="e">
        <f>'[4]#REF'!F702</f>
        <v>#REF!</v>
      </c>
      <c r="G702" s="12" t="e">
        <f>'[4]#REF'!G702</f>
        <v>#REF!</v>
      </c>
      <c r="H702" s="31" t="e">
        <f>'[4]#REF'!I702</f>
        <v>#REF!</v>
      </c>
      <c r="I702" s="32" t="e">
        <f t="shared" si="31"/>
        <v>#REF!</v>
      </c>
    </row>
    <row r="703" ht="15.75" spans="1:14">
      <c r="A703" s="12" t="e">
        <f>'[4]#REF'!A703</f>
        <v>#REF!</v>
      </c>
      <c r="B703" s="12" t="e">
        <f>'[4]#REF'!B703</f>
        <v>#REF!</v>
      </c>
      <c r="C703" s="31" t="e">
        <f>'[4]#REF'!D703</f>
        <v>#REF!</v>
      </c>
      <c r="D703" s="32" t="e">
        <f t="shared" si="30"/>
        <v>#REF!</v>
      </c>
      <c r="F703" s="12" t="e">
        <f>'[4]#REF'!F703</f>
        <v>#REF!</v>
      </c>
      <c r="G703" s="12" t="e">
        <f>'[4]#REF'!G703</f>
        <v>#REF!</v>
      </c>
      <c r="H703" s="31" t="e">
        <f>'[4]#REF'!I703</f>
        <v>#REF!</v>
      </c>
      <c r="I703" s="32" t="e">
        <f t="shared" si="31"/>
        <v>#REF!</v>
      </c>
    </row>
    <row r="704" ht="15.75" spans="1:14">
      <c r="A704" s="12" t="e">
        <f>'[4]#REF'!A704</f>
        <v>#REF!</v>
      </c>
      <c r="B704" s="12" t="e">
        <f>'[4]#REF'!B704</f>
        <v>#REF!</v>
      </c>
      <c r="C704" s="31" t="e">
        <f>'[4]#REF'!D704</f>
        <v>#REF!</v>
      </c>
      <c r="D704" s="32" t="e">
        <f t="shared" si="30"/>
        <v>#REF!</v>
      </c>
      <c r="F704" s="12" t="e">
        <f>'[4]#REF'!F704</f>
        <v>#REF!</v>
      </c>
      <c r="G704" s="12" t="e">
        <f>'[4]#REF'!G704</f>
        <v>#REF!</v>
      </c>
      <c r="H704" s="31" t="e">
        <f>'[4]#REF'!I704</f>
        <v>#REF!</v>
      </c>
      <c r="I704" s="32" t="e">
        <f t="shared" si="31"/>
        <v>#REF!</v>
      </c>
    </row>
    <row r="705" ht="15.75" spans="1:9">
      <c r="A705" s="12" t="e">
        <f>'[4]#REF'!A705</f>
        <v>#REF!</v>
      </c>
      <c r="B705" s="12" t="e">
        <f>'[4]#REF'!B705</f>
        <v>#REF!</v>
      </c>
      <c r="C705" s="31" t="e">
        <f>'[4]#REF'!D705</f>
        <v>#REF!</v>
      </c>
      <c r="D705" s="32" t="e">
        <f t="shared" si="30"/>
        <v>#REF!</v>
      </c>
      <c r="F705" s="12" t="e">
        <f>'[4]#REF'!F705</f>
        <v>#REF!</v>
      </c>
      <c r="G705" s="12" t="e">
        <f>'[4]#REF'!G705</f>
        <v>#REF!</v>
      </c>
      <c r="H705" s="31" t="e">
        <f>'[4]#REF'!I705</f>
        <v>#REF!</v>
      </c>
      <c r="I705" s="32" t="e">
        <f t="shared" si="31"/>
        <v>#REF!</v>
      </c>
    </row>
    <row r="706" ht="15.75" spans="1:9">
      <c r="A706" s="12" t="e">
        <f>'[4]#REF'!A706</f>
        <v>#REF!</v>
      </c>
      <c r="B706" s="12" t="e">
        <f>'[4]#REF'!B706</f>
        <v>#REF!</v>
      </c>
      <c r="C706" s="31" t="e">
        <f>'[4]#REF'!D706</f>
        <v>#REF!</v>
      </c>
      <c r="D706" s="32" t="e">
        <f t="shared" si="30"/>
        <v>#REF!</v>
      </c>
      <c r="F706" s="12" t="e">
        <f>'[4]#REF'!F706</f>
        <v>#REF!</v>
      </c>
      <c r="G706" s="12" t="e">
        <f>'[4]#REF'!G706</f>
        <v>#REF!</v>
      </c>
      <c r="H706" s="31" t="e">
        <f>'[4]#REF'!I706</f>
        <v>#REF!</v>
      </c>
      <c r="I706" s="32" t="e">
        <f t="shared" si="31"/>
        <v>#REF!</v>
      </c>
    </row>
    <row r="707" ht="15.75" spans="1:9">
      <c r="A707" s="12" t="e">
        <f>'[4]#REF'!A707</f>
        <v>#REF!</v>
      </c>
      <c r="B707" s="12" t="e">
        <f>'[4]#REF'!B707</f>
        <v>#REF!</v>
      </c>
      <c r="C707" s="31" t="e">
        <f>'[4]#REF'!D707</f>
        <v>#REF!</v>
      </c>
      <c r="D707" s="32" t="e">
        <f t="shared" si="30"/>
        <v>#REF!</v>
      </c>
      <c r="F707" s="12" t="e">
        <f>'[4]#REF'!F707</f>
        <v>#REF!</v>
      </c>
      <c r="G707" s="12" t="e">
        <f>'[4]#REF'!G707</f>
        <v>#REF!</v>
      </c>
      <c r="H707" s="31" t="e">
        <f>'[4]#REF'!I707</f>
        <v>#REF!</v>
      </c>
      <c r="I707" s="32" t="e">
        <f t="shared" si="31"/>
        <v>#REF!</v>
      </c>
    </row>
    <row r="708" ht="15.75" spans="1:9">
      <c r="A708" s="12" t="e">
        <f>'[4]#REF'!A708</f>
        <v>#REF!</v>
      </c>
      <c r="B708" s="12" t="e">
        <f>'[4]#REF'!B708</f>
        <v>#REF!</v>
      </c>
      <c r="C708" s="31" t="e">
        <f>'[4]#REF'!D708</f>
        <v>#REF!</v>
      </c>
      <c r="D708" s="32" t="e">
        <f t="shared" si="30"/>
        <v>#REF!</v>
      </c>
      <c r="F708" s="12" t="e">
        <f>'[4]#REF'!F708</f>
        <v>#REF!</v>
      </c>
      <c r="G708" s="12" t="e">
        <f>'[4]#REF'!G708</f>
        <v>#REF!</v>
      </c>
      <c r="H708" s="31" t="e">
        <f>'[4]#REF'!I708</f>
        <v>#REF!</v>
      </c>
      <c r="I708" s="32" t="e">
        <f t="shared" si="31"/>
        <v>#REF!</v>
      </c>
    </row>
    <row r="709" ht="15.75" spans="1:9">
      <c r="A709" s="12" t="e">
        <f>'[4]#REF'!A709</f>
        <v>#REF!</v>
      </c>
      <c r="B709" s="12" t="e">
        <f>'[4]#REF'!B709</f>
        <v>#REF!</v>
      </c>
      <c r="C709" s="31" t="e">
        <f>'[4]#REF'!D709</f>
        <v>#REF!</v>
      </c>
      <c r="D709" s="32" t="e">
        <f t="shared" si="30"/>
        <v>#REF!</v>
      </c>
      <c r="F709" s="12" t="e">
        <f>'[4]#REF'!F709</f>
        <v>#REF!</v>
      </c>
      <c r="G709" s="12" t="e">
        <f>'[4]#REF'!G709</f>
        <v>#REF!</v>
      </c>
      <c r="H709" s="31" t="e">
        <f>'[4]#REF'!I709</f>
        <v>#REF!</v>
      </c>
      <c r="I709" s="32" t="e">
        <f t="shared" si="31"/>
        <v>#REF!</v>
      </c>
    </row>
    <row r="710" ht="15.75" spans="1:9">
      <c r="A710" s="12" t="e">
        <f>'[4]#REF'!A710</f>
        <v>#REF!</v>
      </c>
      <c r="B710" s="12" t="e">
        <f>'[4]#REF'!B710</f>
        <v>#REF!</v>
      </c>
      <c r="C710" s="31" t="e">
        <f>'[4]#REF'!D710</f>
        <v>#REF!</v>
      </c>
      <c r="D710" s="32" t="e">
        <f t="shared" ref="D710:D773" si="33">ROUND(C710/$D$4*100,2)</f>
        <v>#REF!</v>
      </c>
      <c r="F710" s="12" t="e">
        <f>'[4]#REF'!F710</f>
        <v>#REF!</v>
      </c>
      <c r="G710" s="12" t="e">
        <f>'[4]#REF'!G710</f>
        <v>#REF!</v>
      </c>
      <c r="H710" s="31" t="e">
        <f>'[4]#REF'!I710</f>
        <v>#REF!</v>
      </c>
      <c r="I710" s="32" t="e">
        <f t="shared" ref="I710:I773" si="34">ROUND(H710/$I$4*100,2)</f>
        <v>#REF!</v>
      </c>
    </row>
    <row r="711" ht="15.75" spans="1:9">
      <c r="A711" s="12" t="e">
        <f>'[4]#REF'!A711</f>
        <v>#REF!</v>
      </c>
      <c r="B711" s="12" t="e">
        <f>'[4]#REF'!B711</f>
        <v>#REF!</v>
      </c>
      <c r="C711" s="31" t="e">
        <f>'[4]#REF'!D711</f>
        <v>#REF!</v>
      </c>
      <c r="D711" s="32" t="e">
        <f t="shared" si="33"/>
        <v>#REF!</v>
      </c>
      <c r="F711" s="12" t="e">
        <f>'[4]#REF'!F711</f>
        <v>#REF!</v>
      </c>
      <c r="G711" s="12" t="e">
        <f>'[4]#REF'!G711</f>
        <v>#REF!</v>
      </c>
      <c r="H711" s="31" t="e">
        <f>'[4]#REF'!I711</f>
        <v>#REF!</v>
      </c>
      <c r="I711" s="32" t="e">
        <f t="shared" si="34"/>
        <v>#REF!</v>
      </c>
    </row>
    <row r="712" ht="15.75" spans="1:9">
      <c r="A712" s="12" t="e">
        <f>'[4]#REF'!A712</f>
        <v>#REF!</v>
      </c>
      <c r="B712" s="12" t="e">
        <f>'[4]#REF'!B712</f>
        <v>#REF!</v>
      </c>
      <c r="C712" s="31" t="e">
        <f>'[4]#REF'!D712</f>
        <v>#REF!</v>
      </c>
      <c r="D712" s="32" t="e">
        <f t="shared" si="33"/>
        <v>#REF!</v>
      </c>
      <c r="F712" s="12" t="e">
        <f>'[4]#REF'!F712</f>
        <v>#REF!</v>
      </c>
      <c r="G712" s="12" t="e">
        <f>'[4]#REF'!G712</f>
        <v>#REF!</v>
      </c>
      <c r="H712" s="31" t="e">
        <f>'[4]#REF'!I712</f>
        <v>#REF!</v>
      </c>
      <c r="I712" s="32" t="e">
        <f t="shared" si="34"/>
        <v>#REF!</v>
      </c>
    </row>
    <row r="713" ht="15.75" spans="1:9">
      <c r="A713" s="12" t="e">
        <f>'[4]#REF'!A713</f>
        <v>#REF!</v>
      </c>
      <c r="B713" s="12" t="e">
        <f>'[4]#REF'!B713</f>
        <v>#REF!</v>
      </c>
      <c r="C713" s="31" t="e">
        <f>'[4]#REF'!D713</f>
        <v>#REF!</v>
      </c>
      <c r="D713" s="32" t="e">
        <f t="shared" si="33"/>
        <v>#REF!</v>
      </c>
      <c r="F713" s="12" t="e">
        <f>'[4]#REF'!F713</f>
        <v>#REF!</v>
      </c>
      <c r="G713" s="12" t="e">
        <f>'[4]#REF'!G713</f>
        <v>#REF!</v>
      </c>
      <c r="H713" s="31" t="e">
        <f>'[4]#REF'!I713</f>
        <v>#REF!</v>
      </c>
      <c r="I713" s="32" t="e">
        <f t="shared" si="34"/>
        <v>#REF!</v>
      </c>
    </row>
    <row r="714" ht="15.75" spans="1:9">
      <c r="A714" s="12" t="e">
        <f>'[4]#REF'!A714</f>
        <v>#REF!</v>
      </c>
      <c r="B714" s="12" t="e">
        <f>'[4]#REF'!B714</f>
        <v>#REF!</v>
      </c>
      <c r="C714" s="31" t="e">
        <f>'[4]#REF'!D714</f>
        <v>#REF!</v>
      </c>
      <c r="D714" s="32" t="e">
        <f t="shared" si="33"/>
        <v>#REF!</v>
      </c>
      <c r="F714" s="12" t="e">
        <f>'[4]#REF'!F714</f>
        <v>#REF!</v>
      </c>
      <c r="G714" s="12" t="e">
        <f>'[4]#REF'!G714</f>
        <v>#REF!</v>
      </c>
      <c r="H714" s="31" t="e">
        <f>'[4]#REF'!I714</f>
        <v>#REF!</v>
      </c>
      <c r="I714" s="32" t="e">
        <f t="shared" si="34"/>
        <v>#REF!</v>
      </c>
    </row>
    <row r="715" ht="15.75" spans="1:9">
      <c r="A715" s="12" t="e">
        <f>'[4]#REF'!A715</f>
        <v>#REF!</v>
      </c>
      <c r="B715" s="12" t="e">
        <f>'[4]#REF'!B715</f>
        <v>#REF!</v>
      </c>
      <c r="C715" s="31" t="e">
        <f>'[4]#REF'!D715</f>
        <v>#REF!</v>
      </c>
      <c r="D715" s="32" t="e">
        <f t="shared" si="33"/>
        <v>#REF!</v>
      </c>
      <c r="F715" s="12" t="e">
        <f>'[4]#REF'!F715</f>
        <v>#REF!</v>
      </c>
      <c r="G715" s="12" t="e">
        <f>'[4]#REF'!G715</f>
        <v>#REF!</v>
      </c>
      <c r="H715" s="31" t="e">
        <f>'[4]#REF'!I715</f>
        <v>#REF!</v>
      </c>
      <c r="I715" s="32" t="e">
        <f t="shared" si="34"/>
        <v>#REF!</v>
      </c>
    </row>
    <row r="716" ht="15.75" spans="1:9">
      <c r="A716" s="12" t="e">
        <f>'[4]#REF'!A716</f>
        <v>#REF!</v>
      </c>
      <c r="B716" s="12" t="e">
        <f>'[4]#REF'!B716</f>
        <v>#REF!</v>
      </c>
      <c r="C716" s="31" t="e">
        <f>'[4]#REF'!D716</f>
        <v>#REF!</v>
      </c>
      <c r="D716" s="32" t="e">
        <f t="shared" si="33"/>
        <v>#REF!</v>
      </c>
      <c r="F716" s="12" t="e">
        <f>'[4]#REF'!F716</f>
        <v>#REF!</v>
      </c>
      <c r="G716" s="12" t="e">
        <f>'[4]#REF'!G716</f>
        <v>#REF!</v>
      </c>
      <c r="H716" s="31" t="e">
        <f>'[4]#REF'!I716</f>
        <v>#REF!</v>
      </c>
      <c r="I716" s="32" t="e">
        <f t="shared" si="34"/>
        <v>#REF!</v>
      </c>
    </row>
    <row r="717" ht="15.75" spans="1:9">
      <c r="A717" s="12" t="e">
        <f>'[4]#REF'!A717</f>
        <v>#REF!</v>
      </c>
      <c r="B717" s="12" t="e">
        <f>'[4]#REF'!B717</f>
        <v>#REF!</v>
      </c>
      <c r="C717" s="31" t="e">
        <f>'[4]#REF'!D717</f>
        <v>#REF!</v>
      </c>
      <c r="D717" s="32" t="e">
        <f t="shared" si="33"/>
        <v>#REF!</v>
      </c>
      <c r="F717" s="12" t="e">
        <f>'[4]#REF'!F717</f>
        <v>#REF!</v>
      </c>
      <c r="G717" s="12" t="e">
        <f>'[4]#REF'!G717</f>
        <v>#REF!</v>
      </c>
      <c r="H717" s="31" t="e">
        <f>'[4]#REF'!I717</f>
        <v>#REF!</v>
      </c>
      <c r="I717" s="32" t="e">
        <f t="shared" si="34"/>
        <v>#REF!</v>
      </c>
    </row>
    <row r="718" ht="15.75" spans="1:9">
      <c r="A718" s="12" t="e">
        <f>'[4]#REF'!A718</f>
        <v>#REF!</v>
      </c>
      <c r="B718" s="12" t="e">
        <f>'[4]#REF'!B718</f>
        <v>#REF!</v>
      </c>
      <c r="C718" s="31" t="e">
        <f>'[4]#REF'!D718</f>
        <v>#REF!</v>
      </c>
      <c r="D718" s="32" t="e">
        <f t="shared" si="33"/>
        <v>#REF!</v>
      </c>
      <c r="F718" s="12" t="e">
        <f>'[4]#REF'!F718</f>
        <v>#REF!</v>
      </c>
      <c r="G718" s="12" t="e">
        <f>'[4]#REF'!G718</f>
        <v>#REF!</v>
      </c>
      <c r="H718" s="31" t="e">
        <f>'[4]#REF'!I718</f>
        <v>#REF!</v>
      </c>
      <c r="I718" s="32" t="e">
        <f t="shared" si="34"/>
        <v>#REF!</v>
      </c>
    </row>
    <row r="719" ht="15.75" spans="1:9">
      <c r="A719" s="12" t="e">
        <f>'[4]#REF'!A719</f>
        <v>#REF!</v>
      </c>
      <c r="B719" s="12" t="e">
        <f>'[4]#REF'!B719</f>
        <v>#REF!</v>
      </c>
      <c r="C719" s="31" t="e">
        <f>'[4]#REF'!D719</f>
        <v>#REF!</v>
      </c>
      <c r="D719" s="32" t="e">
        <f t="shared" si="33"/>
        <v>#REF!</v>
      </c>
      <c r="F719" s="12" t="e">
        <f>'[4]#REF'!F719</f>
        <v>#REF!</v>
      </c>
      <c r="G719" s="12" t="e">
        <f>'[4]#REF'!G719</f>
        <v>#REF!</v>
      </c>
      <c r="H719" s="31" t="e">
        <f>'[4]#REF'!I719</f>
        <v>#REF!</v>
      </c>
      <c r="I719" s="32" t="e">
        <f t="shared" si="34"/>
        <v>#REF!</v>
      </c>
    </row>
    <row r="720" ht="15.75" spans="1:9">
      <c r="A720" s="12" t="e">
        <f>'[4]#REF'!A720</f>
        <v>#REF!</v>
      </c>
      <c r="B720" s="12" t="e">
        <f>'[4]#REF'!B720</f>
        <v>#REF!</v>
      </c>
      <c r="C720" s="31" t="e">
        <f>'[4]#REF'!D720</f>
        <v>#REF!</v>
      </c>
      <c r="D720" s="32" t="e">
        <f t="shared" si="33"/>
        <v>#REF!</v>
      </c>
      <c r="F720" s="12" t="e">
        <f>'[4]#REF'!F720</f>
        <v>#REF!</v>
      </c>
      <c r="G720" s="12" t="e">
        <f>'[4]#REF'!G720</f>
        <v>#REF!</v>
      </c>
      <c r="H720" s="31" t="e">
        <f>'[4]#REF'!I720</f>
        <v>#REF!</v>
      </c>
      <c r="I720" s="32" t="e">
        <f t="shared" si="34"/>
        <v>#REF!</v>
      </c>
    </row>
    <row r="721" ht="15.75" spans="1:9">
      <c r="A721" s="12" t="e">
        <f>'[4]#REF'!A721</f>
        <v>#REF!</v>
      </c>
      <c r="B721" s="12" t="e">
        <f>'[4]#REF'!B721</f>
        <v>#REF!</v>
      </c>
      <c r="C721" s="31" t="e">
        <f>'[4]#REF'!D721</f>
        <v>#REF!</v>
      </c>
      <c r="D721" s="32" t="e">
        <f t="shared" si="33"/>
        <v>#REF!</v>
      </c>
      <c r="F721" s="12" t="e">
        <f>'[4]#REF'!F721</f>
        <v>#REF!</v>
      </c>
      <c r="G721" s="12" t="e">
        <f>'[4]#REF'!G721</f>
        <v>#REF!</v>
      </c>
      <c r="H721" s="31" t="e">
        <f>'[4]#REF'!I721</f>
        <v>#REF!</v>
      </c>
      <c r="I721" s="32" t="e">
        <f t="shared" si="34"/>
        <v>#REF!</v>
      </c>
    </row>
    <row r="722" ht="15.75" spans="1:9">
      <c r="A722" s="12" t="e">
        <f>'[4]#REF'!A722</f>
        <v>#REF!</v>
      </c>
      <c r="B722" s="12" t="e">
        <f>'[4]#REF'!B722</f>
        <v>#REF!</v>
      </c>
      <c r="C722" s="31" t="e">
        <f>'[4]#REF'!D722</f>
        <v>#REF!</v>
      </c>
      <c r="D722" s="32" t="e">
        <f t="shared" si="33"/>
        <v>#REF!</v>
      </c>
      <c r="F722" s="12" t="e">
        <f>'[4]#REF'!F722</f>
        <v>#REF!</v>
      </c>
      <c r="G722" s="12" t="e">
        <f>'[4]#REF'!G722</f>
        <v>#REF!</v>
      </c>
      <c r="H722" s="31" t="e">
        <f>'[4]#REF'!I722</f>
        <v>#REF!</v>
      </c>
      <c r="I722" s="32" t="e">
        <f t="shared" si="34"/>
        <v>#REF!</v>
      </c>
    </row>
    <row r="723" ht="15.75" spans="1:9">
      <c r="A723" s="12" t="e">
        <f>'[4]#REF'!A723</f>
        <v>#REF!</v>
      </c>
      <c r="B723" s="12" t="e">
        <f>'[4]#REF'!B723</f>
        <v>#REF!</v>
      </c>
      <c r="C723" s="31" t="e">
        <f>'[4]#REF'!D723</f>
        <v>#REF!</v>
      </c>
      <c r="D723" s="32" t="e">
        <f t="shared" si="33"/>
        <v>#REF!</v>
      </c>
      <c r="F723" s="12" t="e">
        <f>'[4]#REF'!F723</f>
        <v>#REF!</v>
      </c>
      <c r="G723" s="12" t="e">
        <f>'[4]#REF'!G723</f>
        <v>#REF!</v>
      </c>
      <c r="H723" s="31" t="e">
        <f>'[4]#REF'!I723</f>
        <v>#REF!</v>
      </c>
      <c r="I723" s="32" t="e">
        <f t="shared" si="34"/>
        <v>#REF!</v>
      </c>
    </row>
    <row r="724" ht="15.75" spans="1:9">
      <c r="A724" s="12" t="e">
        <f>'[4]#REF'!A724</f>
        <v>#REF!</v>
      </c>
      <c r="B724" s="12" t="e">
        <f>'[4]#REF'!B724</f>
        <v>#REF!</v>
      </c>
      <c r="C724" s="31" t="e">
        <f>'[4]#REF'!D724</f>
        <v>#REF!</v>
      </c>
      <c r="D724" s="32" t="e">
        <f t="shared" si="33"/>
        <v>#REF!</v>
      </c>
      <c r="F724" s="12" t="e">
        <f>'[4]#REF'!F724</f>
        <v>#REF!</v>
      </c>
      <c r="G724" s="12" t="e">
        <f>'[4]#REF'!G724</f>
        <v>#REF!</v>
      </c>
      <c r="H724" s="31" t="e">
        <f>'[4]#REF'!I724</f>
        <v>#REF!</v>
      </c>
      <c r="I724" s="32" t="e">
        <f t="shared" si="34"/>
        <v>#REF!</v>
      </c>
    </row>
    <row r="725" ht="15.75" spans="1:9">
      <c r="A725" s="12" t="e">
        <f>'[4]#REF'!A725</f>
        <v>#REF!</v>
      </c>
      <c r="B725" s="12" t="e">
        <f>'[4]#REF'!B725</f>
        <v>#REF!</v>
      </c>
      <c r="C725" s="31" t="e">
        <f>'[4]#REF'!D725</f>
        <v>#REF!</v>
      </c>
      <c r="D725" s="32" t="e">
        <f t="shared" si="33"/>
        <v>#REF!</v>
      </c>
      <c r="F725" s="12" t="e">
        <f>'[4]#REF'!F725</f>
        <v>#REF!</v>
      </c>
      <c r="G725" s="12" t="e">
        <f>'[4]#REF'!G725</f>
        <v>#REF!</v>
      </c>
      <c r="H725" s="31" t="e">
        <f>'[4]#REF'!I725</f>
        <v>#REF!</v>
      </c>
      <c r="I725" s="32" t="e">
        <f t="shared" si="34"/>
        <v>#REF!</v>
      </c>
    </row>
    <row r="726" ht="15.75" spans="1:9">
      <c r="A726" s="12" t="e">
        <f>'[4]#REF'!A726</f>
        <v>#REF!</v>
      </c>
      <c r="B726" s="12" t="e">
        <f>'[4]#REF'!B726</f>
        <v>#REF!</v>
      </c>
      <c r="C726" s="31" t="e">
        <f>'[4]#REF'!D726</f>
        <v>#REF!</v>
      </c>
      <c r="D726" s="32" t="e">
        <f t="shared" si="33"/>
        <v>#REF!</v>
      </c>
      <c r="F726" s="12" t="e">
        <f>'[4]#REF'!F726</f>
        <v>#REF!</v>
      </c>
      <c r="G726" s="12" t="e">
        <f>'[4]#REF'!G726</f>
        <v>#REF!</v>
      </c>
      <c r="H726" s="31" t="e">
        <f>'[4]#REF'!I726</f>
        <v>#REF!</v>
      </c>
      <c r="I726" s="32" t="e">
        <f t="shared" si="34"/>
        <v>#REF!</v>
      </c>
    </row>
    <row r="727" ht="15.75" spans="1:9">
      <c r="A727" s="12" t="e">
        <f>'[4]#REF'!A727</f>
        <v>#REF!</v>
      </c>
      <c r="B727" s="12" t="e">
        <f>'[4]#REF'!B727</f>
        <v>#REF!</v>
      </c>
      <c r="C727" s="31" t="e">
        <f>'[4]#REF'!D727</f>
        <v>#REF!</v>
      </c>
      <c r="D727" s="32" t="e">
        <f t="shared" si="33"/>
        <v>#REF!</v>
      </c>
      <c r="F727" s="12" t="e">
        <f>'[4]#REF'!F727</f>
        <v>#REF!</v>
      </c>
      <c r="G727" s="12" t="e">
        <f>'[4]#REF'!G727</f>
        <v>#REF!</v>
      </c>
      <c r="H727" s="31" t="e">
        <f>'[4]#REF'!I727</f>
        <v>#REF!</v>
      </c>
      <c r="I727" s="32" t="e">
        <f t="shared" si="34"/>
        <v>#REF!</v>
      </c>
    </row>
    <row r="728" ht="15.75" spans="1:9">
      <c r="A728" s="12" t="e">
        <f>'[4]#REF'!A728</f>
        <v>#REF!</v>
      </c>
      <c r="B728" s="12" t="e">
        <f>'[4]#REF'!B728</f>
        <v>#REF!</v>
      </c>
      <c r="C728" s="31" t="e">
        <f>'[4]#REF'!D728</f>
        <v>#REF!</v>
      </c>
      <c r="D728" s="32" t="e">
        <f t="shared" si="33"/>
        <v>#REF!</v>
      </c>
      <c r="F728" s="12" t="e">
        <f>'[4]#REF'!F728</f>
        <v>#REF!</v>
      </c>
      <c r="G728" s="12" t="e">
        <f>'[4]#REF'!G728</f>
        <v>#REF!</v>
      </c>
      <c r="H728" s="31" t="e">
        <f>'[4]#REF'!I728</f>
        <v>#REF!</v>
      </c>
      <c r="I728" s="32" t="e">
        <f t="shared" si="34"/>
        <v>#REF!</v>
      </c>
    </row>
    <row r="729" ht="15.75" spans="1:9">
      <c r="A729" s="12" t="e">
        <f>'[4]#REF'!A729</f>
        <v>#REF!</v>
      </c>
      <c r="B729" s="12" t="e">
        <f>'[4]#REF'!B729</f>
        <v>#REF!</v>
      </c>
      <c r="C729" s="31" t="e">
        <f>'[4]#REF'!D729</f>
        <v>#REF!</v>
      </c>
      <c r="D729" s="32" t="e">
        <f t="shared" si="33"/>
        <v>#REF!</v>
      </c>
      <c r="F729" s="12" t="e">
        <f>'[4]#REF'!F729</f>
        <v>#REF!</v>
      </c>
      <c r="G729" s="12" t="e">
        <f>'[4]#REF'!G729</f>
        <v>#REF!</v>
      </c>
      <c r="H729" s="31" t="e">
        <f>'[4]#REF'!I729</f>
        <v>#REF!</v>
      </c>
      <c r="I729" s="32" t="e">
        <f t="shared" si="34"/>
        <v>#REF!</v>
      </c>
    </row>
    <row r="730" ht="15.75" spans="1:9">
      <c r="A730" s="12" t="e">
        <f>'[4]#REF'!A730</f>
        <v>#REF!</v>
      </c>
      <c r="B730" s="12" t="e">
        <f>'[4]#REF'!B730</f>
        <v>#REF!</v>
      </c>
      <c r="C730" s="31" t="e">
        <f>'[4]#REF'!D730</f>
        <v>#REF!</v>
      </c>
      <c r="D730" s="32" t="e">
        <f t="shared" si="33"/>
        <v>#REF!</v>
      </c>
      <c r="F730" s="12" t="e">
        <f>'[4]#REF'!F730</f>
        <v>#REF!</v>
      </c>
      <c r="G730" s="12" t="e">
        <f>'[4]#REF'!G730</f>
        <v>#REF!</v>
      </c>
      <c r="H730" s="31" t="e">
        <f>'[4]#REF'!I730</f>
        <v>#REF!</v>
      </c>
      <c r="I730" s="32" t="e">
        <f t="shared" si="34"/>
        <v>#REF!</v>
      </c>
    </row>
    <row r="731" ht="15.75" spans="1:9">
      <c r="A731" s="12" t="e">
        <f>'[4]#REF'!A731</f>
        <v>#REF!</v>
      </c>
      <c r="B731" s="12" t="e">
        <f>'[4]#REF'!B731</f>
        <v>#REF!</v>
      </c>
      <c r="C731" s="31" t="e">
        <f>'[4]#REF'!D731</f>
        <v>#REF!</v>
      </c>
      <c r="D731" s="32" t="e">
        <f t="shared" si="33"/>
        <v>#REF!</v>
      </c>
      <c r="F731" s="12" t="e">
        <f>'[4]#REF'!F731</f>
        <v>#REF!</v>
      </c>
      <c r="G731" s="12" t="e">
        <f>'[4]#REF'!G731</f>
        <v>#REF!</v>
      </c>
      <c r="H731" s="31" t="e">
        <f>'[4]#REF'!I731</f>
        <v>#REF!</v>
      </c>
      <c r="I731" s="32" t="e">
        <f t="shared" si="34"/>
        <v>#REF!</v>
      </c>
    </row>
    <row r="732" ht="15.75" spans="1:9">
      <c r="A732" s="12" t="e">
        <f>'[4]#REF'!A732</f>
        <v>#REF!</v>
      </c>
      <c r="B732" s="12" t="e">
        <f>'[4]#REF'!B732</f>
        <v>#REF!</v>
      </c>
      <c r="C732" s="31" t="e">
        <f>'[4]#REF'!D732</f>
        <v>#REF!</v>
      </c>
      <c r="D732" s="32" t="e">
        <f t="shared" si="33"/>
        <v>#REF!</v>
      </c>
      <c r="F732" s="12" t="e">
        <f>'[4]#REF'!F732</f>
        <v>#REF!</v>
      </c>
      <c r="G732" s="12" t="e">
        <f>'[4]#REF'!G732</f>
        <v>#REF!</v>
      </c>
      <c r="H732" s="31" t="e">
        <f>'[4]#REF'!I732</f>
        <v>#REF!</v>
      </c>
      <c r="I732" s="32" t="e">
        <f t="shared" si="34"/>
        <v>#REF!</v>
      </c>
    </row>
    <row r="733" ht="15.75" spans="1:9">
      <c r="A733" s="12" t="e">
        <f>'[4]#REF'!A733</f>
        <v>#REF!</v>
      </c>
      <c r="B733" s="12" t="e">
        <f>'[4]#REF'!B733</f>
        <v>#REF!</v>
      </c>
      <c r="C733" s="31" t="e">
        <f>'[4]#REF'!D733</f>
        <v>#REF!</v>
      </c>
      <c r="D733" s="32" t="e">
        <f t="shared" si="33"/>
        <v>#REF!</v>
      </c>
      <c r="F733" s="12" t="e">
        <f>'[4]#REF'!F733</f>
        <v>#REF!</v>
      </c>
      <c r="G733" s="12" t="e">
        <f>'[4]#REF'!G733</f>
        <v>#REF!</v>
      </c>
      <c r="H733" s="31" t="e">
        <f>'[4]#REF'!I733</f>
        <v>#REF!</v>
      </c>
      <c r="I733" s="32" t="e">
        <f t="shared" si="34"/>
        <v>#REF!</v>
      </c>
    </row>
    <row r="734" ht="15.75" spans="1:9">
      <c r="A734" s="12" t="e">
        <f>'[4]#REF'!A734</f>
        <v>#REF!</v>
      </c>
      <c r="B734" s="12" t="e">
        <f>'[4]#REF'!B734</f>
        <v>#REF!</v>
      </c>
      <c r="C734" s="31" t="e">
        <f>'[4]#REF'!D734</f>
        <v>#REF!</v>
      </c>
      <c r="D734" s="32" t="e">
        <f t="shared" si="33"/>
        <v>#REF!</v>
      </c>
      <c r="F734" s="12" t="e">
        <f>'[4]#REF'!F734</f>
        <v>#REF!</v>
      </c>
      <c r="G734" s="12" t="e">
        <f>'[4]#REF'!G734</f>
        <v>#REF!</v>
      </c>
      <c r="H734" s="31" t="e">
        <f>'[4]#REF'!I734</f>
        <v>#REF!</v>
      </c>
      <c r="I734" s="32" t="e">
        <f t="shared" si="34"/>
        <v>#REF!</v>
      </c>
    </row>
    <row r="735" ht="15.75" spans="1:9">
      <c r="A735" s="12" t="e">
        <f>'[4]#REF'!A735</f>
        <v>#REF!</v>
      </c>
      <c r="B735" s="12" t="e">
        <f>'[4]#REF'!B735</f>
        <v>#REF!</v>
      </c>
      <c r="C735" s="31" t="e">
        <f>'[4]#REF'!D735</f>
        <v>#REF!</v>
      </c>
      <c r="D735" s="32" t="e">
        <f t="shared" si="33"/>
        <v>#REF!</v>
      </c>
      <c r="F735" s="12" t="e">
        <f>'[4]#REF'!F735</f>
        <v>#REF!</v>
      </c>
      <c r="G735" s="12" t="e">
        <f>'[4]#REF'!G735</f>
        <v>#REF!</v>
      </c>
      <c r="H735" s="31" t="e">
        <f>'[4]#REF'!I735</f>
        <v>#REF!</v>
      </c>
      <c r="I735" s="32" t="e">
        <f t="shared" si="34"/>
        <v>#REF!</v>
      </c>
    </row>
    <row r="736" ht="15.75" spans="1:9">
      <c r="A736" s="12" t="e">
        <f>'[4]#REF'!A736</f>
        <v>#REF!</v>
      </c>
      <c r="B736" s="12" t="e">
        <f>'[4]#REF'!B736</f>
        <v>#REF!</v>
      </c>
      <c r="C736" s="31" t="e">
        <f>'[4]#REF'!D736</f>
        <v>#REF!</v>
      </c>
      <c r="D736" s="32" t="e">
        <f t="shared" si="33"/>
        <v>#REF!</v>
      </c>
      <c r="F736" s="12" t="e">
        <f>'[4]#REF'!F736</f>
        <v>#REF!</v>
      </c>
      <c r="G736" s="12" t="e">
        <f>'[4]#REF'!G736</f>
        <v>#REF!</v>
      </c>
      <c r="H736" s="31" t="e">
        <f>'[4]#REF'!I736</f>
        <v>#REF!</v>
      </c>
      <c r="I736" s="32" t="e">
        <f t="shared" si="34"/>
        <v>#REF!</v>
      </c>
    </row>
    <row r="737" ht="15.75" spans="1:9">
      <c r="A737" s="12" t="e">
        <f>'[4]#REF'!A737</f>
        <v>#REF!</v>
      </c>
      <c r="B737" s="12" t="e">
        <f>'[4]#REF'!B737</f>
        <v>#REF!</v>
      </c>
      <c r="C737" s="31" t="e">
        <f>'[4]#REF'!D737</f>
        <v>#REF!</v>
      </c>
      <c r="D737" s="32" t="e">
        <f t="shared" si="33"/>
        <v>#REF!</v>
      </c>
      <c r="F737" s="12" t="e">
        <f>'[4]#REF'!F737</f>
        <v>#REF!</v>
      </c>
      <c r="G737" s="12" t="e">
        <f>'[4]#REF'!G737</f>
        <v>#REF!</v>
      </c>
      <c r="H737" s="31" t="e">
        <f>'[4]#REF'!I737</f>
        <v>#REF!</v>
      </c>
      <c r="I737" s="32" t="e">
        <f t="shared" si="34"/>
        <v>#REF!</v>
      </c>
    </row>
    <row r="738" ht="15.75" spans="1:9">
      <c r="A738" s="12" t="e">
        <f>'[4]#REF'!A738</f>
        <v>#REF!</v>
      </c>
      <c r="B738" s="12" t="e">
        <f>'[4]#REF'!B738</f>
        <v>#REF!</v>
      </c>
      <c r="C738" s="31" t="e">
        <f>'[4]#REF'!D738</f>
        <v>#REF!</v>
      </c>
      <c r="D738" s="32" t="e">
        <f t="shared" si="33"/>
        <v>#REF!</v>
      </c>
      <c r="F738" s="12" t="e">
        <f>'[4]#REF'!F738</f>
        <v>#REF!</v>
      </c>
      <c r="G738" s="12" t="e">
        <f>'[4]#REF'!G738</f>
        <v>#REF!</v>
      </c>
      <c r="H738" s="31" t="e">
        <f>'[4]#REF'!I738</f>
        <v>#REF!</v>
      </c>
      <c r="I738" s="32" t="e">
        <f t="shared" si="34"/>
        <v>#REF!</v>
      </c>
    </row>
    <row r="739" ht="15.75" spans="1:9">
      <c r="A739" s="12" t="e">
        <f>'[4]#REF'!A739</f>
        <v>#REF!</v>
      </c>
      <c r="B739" s="12" t="e">
        <f>'[4]#REF'!B739</f>
        <v>#REF!</v>
      </c>
      <c r="C739" s="31" t="e">
        <f>'[4]#REF'!D739</f>
        <v>#REF!</v>
      </c>
      <c r="D739" s="32" t="e">
        <f t="shared" si="33"/>
        <v>#REF!</v>
      </c>
      <c r="F739" s="12" t="e">
        <f>'[4]#REF'!F739</f>
        <v>#REF!</v>
      </c>
      <c r="G739" s="12" t="e">
        <f>'[4]#REF'!G739</f>
        <v>#REF!</v>
      </c>
      <c r="H739" s="31" t="e">
        <f>'[4]#REF'!I739</f>
        <v>#REF!</v>
      </c>
      <c r="I739" s="32" t="e">
        <f t="shared" si="34"/>
        <v>#REF!</v>
      </c>
    </row>
    <row r="740" ht="15.75" spans="1:9">
      <c r="A740" s="12" t="e">
        <f>'[4]#REF'!A740</f>
        <v>#REF!</v>
      </c>
      <c r="B740" s="12" t="e">
        <f>'[4]#REF'!B740</f>
        <v>#REF!</v>
      </c>
      <c r="C740" s="31" t="e">
        <f>'[4]#REF'!D740</f>
        <v>#REF!</v>
      </c>
      <c r="D740" s="32" t="e">
        <f t="shared" si="33"/>
        <v>#REF!</v>
      </c>
      <c r="F740" s="12" t="e">
        <f>'[4]#REF'!F740</f>
        <v>#REF!</v>
      </c>
      <c r="G740" s="12" t="e">
        <f>'[4]#REF'!G740</f>
        <v>#REF!</v>
      </c>
      <c r="H740" s="31" t="e">
        <f>'[4]#REF'!I740</f>
        <v>#REF!</v>
      </c>
      <c r="I740" s="32" t="e">
        <f t="shared" si="34"/>
        <v>#REF!</v>
      </c>
    </row>
    <row r="741" ht="15.75" spans="1:9">
      <c r="A741" s="12" t="e">
        <f>'[4]#REF'!A741</f>
        <v>#REF!</v>
      </c>
      <c r="B741" s="12" t="e">
        <f>'[4]#REF'!B741</f>
        <v>#REF!</v>
      </c>
      <c r="C741" s="31" t="e">
        <f>'[4]#REF'!D741</f>
        <v>#REF!</v>
      </c>
      <c r="D741" s="32" t="e">
        <f t="shared" si="33"/>
        <v>#REF!</v>
      </c>
      <c r="F741" s="12" t="e">
        <f>'[4]#REF'!F741</f>
        <v>#REF!</v>
      </c>
      <c r="G741" s="12" t="e">
        <f>'[4]#REF'!G741</f>
        <v>#REF!</v>
      </c>
      <c r="H741" s="31" t="e">
        <f>'[4]#REF'!I741</f>
        <v>#REF!</v>
      </c>
      <c r="I741" s="32" t="e">
        <f t="shared" si="34"/>
        <v>#REF!</v>
      </c>
    </row>
    <row r="742" ht="15.75" spans="1:9">
      <c r="A742" s="12" t="e">
        <f>'[4]#REF'!A742</f>
        <v>#REF!</v>
      </c>
      <c r="B742" s="12" t="e">
        <f>'[4]#REF'!B742</f>
        <v>#REF!</v>
      </c>
      <c r="C742" s="31" t="e">
        <f>'[4]#REF'!D742</f>
        <v>#REF!</v>
      </c>
      <c r="D742" s="32" t="e">
        <f t="shared" si="33"/>
        <v>#REF!</v>
      </c>
      <c r="F742" s="12" t="e">
        <f>'[4]#REF'!F742</f>
        <v>#REF!</v>
      </c>
      <c r="G742" s="12" t="e">
        <f>'[4]#REF'!G742</f>
        <v>#REF!</v>
      </c>
      <c r="H742" s="31" t="e">
        <f>'[4]#REF'!I742</f>
        <v>#REF!</v>
      </c>
      <c r="I742" s="32" t="e">
        <f t="shared" si="34"/>
        <v>#REF!</v>
      </c>
    </row>
    <row r="743" ht="15.75" spans="1:9">
      <c r="A743" s="12" t="e">
        <f>'[4]#REF'!A743</f>
        <v>#REF!</v>
      </c>
      <c r="B743" s="12" t="e">
        <f>'[4]#REF'!B743</f>
        <v>#REF!</v>
      </c>
      <c r="C743" s="31" t="e">
        <f>'[4]#REF'!D743</f>
        <v>#REF!</v>
      </c>
      <c r="D743" s="32" t="e">
        <f t="shared" si="33"/>
        <v>#REF!</v>
      </c>
      <c r="F743" s="12" t="e">
        <f>'[4]#REF'!F743</f>
        <v>#REF!</v>
      </c>
      <c r="G743" s="12" t="e">
        <f>'[4]#REF'!G743</f>
        <v>#REF!</v>
      </c>
      <c r="H743" s="31" t="e">
        <f>'[4]#REF'!I743</f>
        <v>#REF!</v>
      </c>
      <c r="I743" s="32" t="e">
        <f t="shared" si="34"/>
        <v>#REF!</v>
      </c>
    </row>
    <row r="744" ht="15.75" spans="1:9">
      <c r="A744" s="12" t="e">
        <f>'[4]#REF'!A744</f>
        <v>#REF!</v>
      </c>
      <c r="B744" s="12" t="e">
        <f>'[4]#REF'!B744</f>
        <v>#REF!</v>
      </c>
      <c r="C744" s="31" t="e">
        <f>'[4]#REF'!D744</f>
        <v>#REF!</v>
      </c>
      <c r="D744" s="32" t="e">
        <f t="shared" si="33"/>
        <v>#REF!</v>
      </c>
      <c r="F744" s="12" t="e">
        <f>'[4]#REF'!F744</f>
        <v>#REF!</v>
      </c>
      <c r="G744" s="12" t="e">
        <f>'[4]#REF'!G744</f>
        <v>#REF!</v>
      </c>
      <c r="H744" s="31" t="e">
        <f>'[4]#REF'!I744</f>
        <v>#REF!</v>
      </c>
      <c r="I744" s="32" t="e">
        <f t="shared" si="34"/>
        <v>#REF!</v>
      </c>
    </row>
    <row r="745" ht="15.75" spans="1:9">
      <c r="A745" s="12" t="e">
        <f>'[4]#REF'!A745</f>
        <v>#REF!</v>
      </c>
      <c r="B745" s="12" t="e">
        <f>'[4]#REF'!B745</f>
        <v>#REF!</v>
      </c>
      <c r="C745" s="31" t="e">
        <f>'[4]#REF'!D745</f>
        <v>#REF!</v>
      </c>
      <c r="D745" s="32" t="e">
        <f t="shared" si="33"/>
        <v>#REF!</v>
      </c>
      <c r="F745" s="12" t="e">
        <f>'[4]#REF'!F745</f>
        <v>#REF!</v>
      </c>
      <c r="G745" s="12" t="e">
        <f>'[4]#REF'!G745</f>
        <v>#REF!</v>
      </c>
      <c r="H745" s="31" t="e">
        <f>'[4]#REF'!I745</f>
        <v>#REF!</v>
      </c>
      <c r="I745" s="32" t="e">
        <f t="shared" si="34"/>
        <v>#REF!</v>
      </c>
    </row>
    <row r="746" ht="15.75" spans="1:9">
      <c r="A746" s="12" t="e">
        <f>'[4]#REF'!A746</f>
        <v>#REF!</v>
      </c>
      <c r="B746" s="12" t="e">
        <f>'[4]#REF'!B746</f>
        <v>#REF!</v>
      </c>
      <c r="C746" s="31" t="e">
        <f>'[4]#REF'!D746</f>
        <v>#REF!</v>
      </c>
      <c r="D746" s="32" t="e">
        <f t="shared" si="33"/>
        <v>#REF!</v>
      </c>
      <c r="F746" s="12" t="e">
        <f>'[4]#REF'!F746</f>
        <v>#REF!</v>
      </c>
      <c r="G746" s="12" t="e">
        <f>'[4]#REF'!G746</f>
        <v>#REF!</v>
      </c>
      <c r="H746" s="31" t="e">
        <f>'[4]#REF'!I746</f>
        <v>#REF!</v>
      </c>
      <c r="I746" s="32" t="e">
        <f t="shared" si="34"/>
        <v>#REF!</v>
      </c>
    </row>
    <row r="747" ht="15.75" spans="1:9">
      <c r="A747" s="12" t="e">
        <f>'[4]#REF'!A747</f>
        <v>#REF!</v>
      </c>
      <c r="B747" s="12" t="e">
        <f>'[4]#REF'!B747</f>
        <v>#REF!</v>
      </c>
      <c r="C747" s="31" t="e">
        <f>'[4]#REF'!D747</f>
        <v>#REF!</v>
      </c>
      <c r="D747" s="32" t="e">
        <f t="shared" si="33"/>
        <v>#REF!</v>
      </c>
      <c r="F747" s="12" t="e">
        <f>'[4]#REF'!F747</f>
        <v>#REF!</v>
      </c>
      <c r="G747" s="12" t="e">
        <f>'[4]#REF'!G747</f>
        <v>#REF!</v>
      </c>
      <c r="H747" s="31" t="e">
        <f>'[4]#REF'!I747</f>
        <v>#REF!</v>
      </c>
      <c r="I747" s="32" t="e">
        <f t="shared" si="34"/>
        <v>#REF!</v>
      </c>
    </row>
    <row r="748" ht="15.75" spans="1:9">
      <c r="A748" s="12" t="e">
        <f>'[4]#REF'!A748</f>
        <v>#REF!</v>
      </c>
      <c r="B748" s="12" t="e">
        <f>'[4]#REF'!B748</f>
        <v>#REF!</v>
      </c>
      <c r="C748" s="31" t="e">
        <f>'[4]#REF'!D748</f>
        <v>#REF!</v>
      </c>
      <c r="D748" s="32" t="e">
        <f t="shared" si="33"/>
        <v>#REF!</v>
      </c>
      <c r="F748" s="12" t="e">
        <f>'[4]#REF'!F748</f>
        <v>#REF!</v>
      </c>
      <c r="G748" s="12" t="e">
        <f>'[4]#REF'!G748</f>
        <v>#REF!</v>
      </c>
      <c r="H748" s="31" t="e">
        <f>'[4]#REF'!I748</f>
        <v>#REF!</v>
      </c>
      <c r="I748" s="32" t="e">
        <f t="shared" si="34"/>
        <v>#REF!</v>
      </c>
    </row>
    <row r="749" ht="15.75" spans="1:9">
      <c r="A749" s="12" t="e">
        <f>'[4]#REF'!A749</f>
        <v>#REF!</v>
      </c>
      <c r="B749" s="12" t="e">
        <f>'[4]#REF'!B749</f>
        <v>#REF!</v>
      </c>
      <c r="C749" s="31" t="e">
        <f>'[4]#REF'!D749</f>
        <v>#REF!</v>
      </c>
      <c r="D749" s="32" t="e">
        <f t="shared" si="33"/>
        <v>#REF!</v>
      </c>
      <c r="F749" s="12" t="e">
        <f>'[4]#REF'!F749</f>
        <v>#REF!</v>
      </c>
      <c r="G749" s="12" t="e">
        <f>'[4]#REF'!G749</f>
        <v>#REF!</v>
      </c>
      <c r="H749" s="31" t="e">
        <f>'[4]#REF'!I749</f>
        <v>#REF!</v>
      </c>
      <c r="I749" s="32" t="e">
        <f t="shared" si="34"/>
        <v>#REF!</v>
      </c>
    </row>
    <row r="750" ht="15.75" spans="1:9">
      <c r="A750" s="12" t="e">
        <f>'[4]#REF'!A750</f>
        <v>#REF!</v>
      </c>
      <c r="B750" s="12" t="e">
        <f>'[4]#REF'!B750</f>
        <v>#REF!</v>
      </c>
      <c r="C750" s="31" t="e">
        <f>'[4]#REF'!D750</f>
        <v>#REF!</v>
      </c>
      <c r="D750" s="32" t="e">
        <f t="shared" si="33"/>
        <v>#REF!</v>
      </c>
      <c r="F750" s="12" t="e">
        <f>'[4]#REF'!F750</f>
        <v>#REF!</v>
      </c>
      <c r="G750" s="12" t="e">
        <f>'[4]#REF'!G750</f>
        <v>#REF!</v>
      </c>
      <c r="H750" s="31" t="e">
        <f>'[4]#REF'!I750</f>
        <v>#REF!</v>
      </c>
      <c r="I750" s="32" t="e">
        <f t="shared" si="34"/>
        <v>#REF!</v>
      </c>
    </row>
    <row r="751" ht="15.75" spans="1:9">
      <c r="A751" s="12" t="e">
        <f>'[4]#REF'!A751</f>
        <v>#REF!</v>
      </c>
      <c r="B751" s="12" t="e">
        <f>'[4]#REF'!B751</f>
        <v>#REF!</v>
      </c>
      <c r="C751" s="31" t="e">
        <f>'[4]#REF'!D751</f>
        <v>#REF!</v>
      </c>
      <c r="D751" s="32" t="e">
        <f t="shared" si="33"/>
        <v>#REF!</v>
      </c>
      <c r="F751" s="12" t="e">
        <f>'[4]#REF'!F751</f>
        <v>#REF!</v>
      </c>
      <c r="G751" s="12" t="e">
        <f>'[4]#REF'!G751</f>
        <v>#REF!</v>
      </c>
      <c r="H751" s="31" t="e">
        <f>'[4]#REF'!I751</f>
        <v>#REF!</v>
      </c>
      <c r="I751" s="32" t="e">
        <f t="shared" si="34"/>
        <v>#REF!</v>
      </c>
    </row>
    <row r="752" ht="15.75" spans="1:9">
      <c r="A752" s="12" t="e">
        <f>'[4]#REF'!A752</f>
        <v>#REF!</v>
      </c>
      <c r="B752" s="12" t="e">
        <f>'[4]#REF'!B752</f>
        <v>#REF!</v>
      </c>
      <c r="C752" s="31" t="e">
        <f>'[4]#REF'!D752</f>
        <v>#REF!</v>
      </c>
      <c r="D752" s="32" t="e">
        <f t="shared" si="33"/>
        <v>#REF!</v>
      </c>
      <c r="F752" s="12" t="e">
        <f>'[4]#REF'!F752</f>
        <v>#REF!</v>
      </c>
      <c r="G752" s="12" t="e">
        <f>'[4]#REF'!G752</f>
        <v>#REF!</v>
      </c>
      <c r="H752" s="31" t="e">
        <f>'[4]#REF'!I752</f>
        <v>#REF!</v>
      </c>
      <c r="I752" s="32" t="e">
        <f t="shared" si="34"/>
        <v>#REF!</v>
      </c>
    </row>
    <row r="753" ht="15.75" spans="1:9">
      <c r="A753" s="12" t="e">
        <f>'[4]#REF'!A753</f>
        <v>#REF!</v>
      </c>
      <c r="B753" s="12" t="e">
        <f>'[4]#REF'!B753</f>
        <v>#REF!</v>
      </c>
      <c r="C753" s="31" t="e">
        <f>'[4]#REF'!D753</f>
        <v>#REF!</v>
      </c>
      <c r="D753" s="32" t="e">
        <f t="shared" si="33"/>
        <v>#REF!</v>
      </c>
      <c r="F753" s="12" t="e">
        <f>'[4]#REF'!F753</f>
        <v>#REF!</v>
      </c>
      <c r="G753" s="12" t="e">
        <f>'[4]#REF'!G753</f>
        <v>#REF!</v>
      </c>
      <c r="H753" s="31" t="e">
        <f>'[4]#REF'!I753</f>
        <v>#REF!</v>
      </c>
      <c r="I753" s="32" t="e">
        <f t="shared" si="34"/>
        <v>#REF!</v>
      </c>
    </row>
    <row r="754" ht="15.75" spans="1:9">
      <c r="A754" s="12" t="e">
        <f>'[4]#REF'!A754</f>
        <v>#REF!</v>
      </c>
      <c r="B754" s="12" t="e">
        <f>'[4]#REF'!B754</f>
        <v>#REF!</v>
      </c>
      <c r="C754" s="31" t="e">
        <f>'[4]#REF'!D754</f>
        <v>#REF!</v>
      </c>
      <c r="D754" s="32" t="e">
        <f t="shared" si="33"/>
        <v>#REF!</v>
      </c>
      <c r="F754" s="12" t="e">
        <f>'[4]#REF'!F754</f>
        <v>#REF!</v>
      </c>
      <c r="G754" s="12" t="e">
        <f>'[4]#REF'!G754</f>
        <v>#REF!</v>
      </c>
      <c r="H754" s="31" t="e">
        <f>'[4]#REF'!I754</f>
        <v>#REF!</v>
      </c>
      <c r="I754" s="32" t="e">
        <f t="shared" si="34"/>
        <v>#REF!</v>
      </c>
    </row>
    <row r="755" ht="15.75" spans="1:9">
      <c r="A755" s="12" t="e">
        <f>'[4]#REF'!A755</f>
        <v>#REF!</v>
      </c>
      <c r="B755" s="12" t="e">
        <f>'[4]#REF'!B755</f>
        <v>#REF!</v>
      </c>
      <c r="C755" s="31" t="e">
        <f>'[4]#REF'!D755</f>
        <v>#REF!</v>
      </c>
      <c r="D755" s="32" t="e">
        <f t="shared" si="33"/>
        <v>#REF!</v>
      </c>
      <c r="F755" s="12" t="e">
        <f>'[4]#REF'!F755</f>
        <v>#REF!</v>
      </c>
      <c r="G755" s="12" t="e">
        <f>'[4]#REF'!G755</f>
        <v>#REF!</v>
      </c>
      <c r="H755" s="31" t="e">
        <f>'[4]#REF'!I755</f>
        <v>#REF!</v>
      </c>
      <c r="I755" s="32" t="e">
        <f t="shared" si="34"/>
        <v>#REF!</v>
      </c>
    </row>
    <row r="756" ht="15.75" spans="1:9">
      <c r="A756" s="12" t="e">
        <f>'[4]#REF'!A756</f>
        <v>#REF!</v>
      </c>
      <c r="B756" s="12" t="e">
        <f>'[4]#REF'!B756</f>
        <v>#REF!</v>
      </c>
      <c r="C756" s="31" t="e">
        <f>'[4]#REF'!D756</f>
        <v>#REF!</v>
      </c>
      <c r="D756" s="32" t="e">
        <f t="shared" si="33"/>
        <v>#REF!</v>
      </c>
      <c r="F756" s="12" t="e">
        <f>'[4]#REF'!F756</f>
        <v>#REF!</v>
      </c>
      <c r="G756" s="12" t="e">
        <f>'[4]#REF'!G756</f>
        <v>#REF!</v>
      </c>
      <c r="H756" s="31" t="e">
        <f>'[4]#REF'!I756</f>
        <v>#REF!</v>
      </c>
      <c r="I756" s="32" t="e">
        <f t="shared" si="34"/>
        <v>#REF!</v>
      </c>
    </row>
    <row r="757" ht="15.75" spans="1:9">
      <c r="A757" s="12" t="e">
        <f>'[4]#REF'!A757</f>
        <v>#REF!</v>
      </c>
      <c r="B757" s="12" t="e">
        <f>'[4]#REF'!B757</f>
        <v>#REF!</v>
      </c>
      <c r="C757" s="31" t="e">
        <f>'[4]#REF'!D757</f>
        <v>#REF!</v>
      </c>
      <c r="D757" s="32" t="e">
        <f t="shared" si="33"/>
        <v>#REF!</v>
      </c>
      <c r="F757" s="12" t="e">
        <f>'[4]#REF'!F757</f>
        <v>#REF!</v>
      </c>
      <c r="G757" s="12" t="e">
        <f>'[4]#REF'!G757</f>
        <v>#REF!</v>
      </c>
      <c r="H757" s="31" t="e">
        <f>'[4]#REF'!I757</f>
        <v>#REF!</v>
      </c>
      <c r="I757" s="32" t="e">
        <f t="shared" si="34"/>
        <v>#REF!</v>
      </c>
    </row>
    <row r="758" ht="15.75" spans="1:9">
      <c r="A758" s="12" t="e">
        <f>'[4]#REF'!A758</f>
        <v>#REF!</v>
      </c>
      <c r="B758" s="12" t="e">
        <f>'[4]#REF'!B758</f>
        <v>#REF!</v>
      </c>
      <c r="C758" s="31" t="e">
        <f>'[4]#REF'!D758</f>
        <v>#REF!</v>
      </c>
      <c r="D758" s="32" t="e">
        <f t="shared" si="33"/>
        <v>#REF!</v>
      </c>
      <c r="F758" s="12" t="e">
        <f>'[4]#REF'!F758</f>
        <v>#REF!</v>
      </c>
      <c r="G758" s="12" t="e">
        <f>'[4]#REF'!G758</f>
        <v>#REF!</v>
      </c>
      <c r="H758" s="31" t="e">
        <f>'[4]#REF'!I758</f>
        <v>#REF!</v>
      </c>
      <c r="I758" s="32" t="e">
        <f t="shared" si="34"/>
        <v>#REF!</v>
      </c>
    </row>
    <row r="759" ht="15.75" spans="1:9">
      <c r="A759" s="12" t="e">
        <f>'[4]#REF'!A759</f>
        <v>#REF!</v>
      </c>
      <c r="B759" s="12" t="e">
        <f>'[4]#REF'!B759</f>
        <v>#REF!</v>
      </c>
      <c r="C759" s="31" t="e">
        <f>'[4]#REF'!D759</f>
        <v>#REF!</v>
      </c>
      <c r="D759" s="32" t="e">
        <f t="shared" si="33"/>
        <v>#REF!</v>
      </c>
      <c r="F759" s="12" t="e">
        <f>'[4]#REF'!F759</f>
        <v>#REF!</v>
      </c>
      <c r="G759" s="12" t="e">
        <f>'[4]#REF'!G759</f>
        <v>#REF!</v>
      </c>
      <c r="H759" s="31" t="e">
        <f>'[4]#REF'!I759</f>
        <v>#REF!</v>
      </c>
      <c r="I759" s="32" t="e">
        <f t="shared" si="34"/>
        <v>#REF!</v>
      </c>
    </row>
    <row r="760" ht="15.75" spans="1:9">
      <c r="A760" s="12" t="e">
        <f>'[4]#REF'!A760</f>
        <v>#REF!</v>
      </c>
      <c r="B760" s="12" t="e">
        <f>'[4]#REF'!B760</f>
        <v>#REF!</v>
      </c>
      <c r="C760" s="31" t="e">
        <f>'[4]#REF'!D760</f>
        <v>#REF!</v>
      </c>
      <c r="D760" s="32" t="e">
        <f t="shared" si="33"/>
        <v>#REF!</v>
      </c>
      <c r="F760" s="12" t="e">
        <f>'[4]#REF'!F760</f>
        <v>#REF!</v>
      </c>
      <c r="G760" s="12" t="e">
        <f>'[4]#REF'!G760</f>
        <v>#REF!</v>
      </c>
      <c r="H760" s="31" t="e">
        <f>'[4]#REF'!I760</f>
        <v>#REF!</v>
      </c>
      <c r="I760" s="32" t="e">
        <f t="shared" si="34"/>
        <v>#REF!</v>
      </c>
    </row>
    <row r="761" ht="15.75" spans="1:9">
      <c r="A761" s="12" t="e">
        <f>'[4]#REF'!A761</f>
        <v>#REF!</v>
      </c>
      <c r="B761" s="12" t="e">
        <f>'[4]#REF'!B761</f>
        <v>#REF!</v>
      </c>
      <c r="C761" s="31" t="e">
        <f>'[4]#REF'!D761</f>
        <v>#REF!</v>
      </c>
      <c r="D761" s="32" t="e">
        <f t="shared" si="33"/>
        <v>#REF!</v>
      </c>
      <c r="F761" s="12" t="e">
        <f>'[4]#REF'!F761</f>
        <v>#REF!</v>
      </c>
      <c r="G761" s="12" t="e">
        <f>'[4]#REF'!G761</f>
        <v>#REF!</v>
      </c>
      <c r="H761" s="31" t="e">
        <f>'[4]#REF'!I761</f>
        <v>#REF!</v>
      </c>
      <c r="I761" s="32" t="e">
        <f t="shared" si="34"/>
        <v>#REF!</v>
      </c>
    </row>
    <row r="762" ht="15.75" spans="1:9">
      <c r="A762" s="12" t="e">
        <f>'[4]#REF'!A762</f>
        <v>#REF!</v>
      </c>
      <c r="B762" s="12" t="e">
        <f>'[4]#REF'!B762</f>
        <v>#REF!</v>
      </c>
      <c r="C762" s="31" t="e">
        <f>'[4]#REF'!D762</f>
        <v>#REF!</v>
      </c>
      <c r="D762" s="32" t="e">
        <f t="shared" si="33"/>
        <v>#REF!</v>
      </c>
      <c r="F762" s="12" t="e">
        <f>'[4]#REF'!F762</f>
        <v>#REF!</v>
      </c>
      <c r="G762" s="12" t="e">
        <f>'[4]#REF'!G762</f>
        <v>#REF!</v>
      </c>
      <c r="H762" s="31" t="e">
        <f>'[4]#REF'!I762</f>
        <v>#REF!</v>
      </c>
      <c r="I762" s="32" t="e">
        <f t="shared" si="34"/>
        <v>#REF!</v>
      </c>
    </row>
    <row r="763" ht="15.75" spans="1:9">
      <c r="A763" s="12" t="e">
        <f>'[4]#REF'!A763</f>
        <v>#REF!</v>
      </c>
      <c r="B763" s="12" t="e">
        <f>'[4]#REF'!B763</f>
        <v>#REF!</v>
      </c>
      <c r="C763" s="31" t="e">
        <f>'[4]#REF'!D763</f>
        <v>#REF!</v>
      </c>
      <c r="D763" s="32" t="e">
        <f t="shared" si="33"/>
        <v>#REF!</v>
      </c>
      <c r="F763" s="12" t="e">
        <f>'[4]#REF'!F763</f>
        <v>#REF!</v>
      </c>
      <c r="G763" s="12" t="e">
        <f>'[4]#REF'!G763</f>
        <v>#REF!</v>
      </c>
      <c r="H763" s="31" t="e">
        <f>'[4]#REF'!I763</f>
        <v>#REF!</v>
      </c>
      <c r="I763" s="32" t="e">
        <f t="shared" si="34"/>
        <v>#REF!</v>
      </c>
    </row>
    <row r="764" ht="15.75" spans="1:9">
      <c r="A764" s="12" t="e">
        <f>'[4]#REF'!A764</f>
        <v>#REF!</v>
      </c>
      <c r="B764" s="12" t="e">
        <f>'[4]#REF'!B764</f>
        <v>#REF!</v>
      </c>
      <c r="C764" s="31" t="e">
        <f>'[4]#REF'!D764</f>
        <v>#REF!</v>
      </c>
      <c r="D764" s="32" t="e">
        <f t="shared" si="33"/>
        <v>#REF!</v>
      </c>
      <c r="F764" s="12" t="e">
        <f>'[4]#REF'!F764</f>
        <v>#REF!</v>
      </c>
      <c r="G764" s="12" t="e">
        <f>'[4]#REF'!G764</f>
        <v>#REF!</v>
      </c>
      <c r="H764" s="31" t="e">
        <f>'[4]#REF'!I764</f>
        <v>#REF!</v>
      </c>
      <c r="I764" s="32" t="e">
        <f t="shared" si="34"/>
        <v>#REF!</v>
      </c>
    </row>
    <row r="765" ht="15.75" spans="1:9">
      <c r="A765" s="12" t="e">
        <f>'[4]#REF'!A765</f>
        <v>#REF!</v>
      </c>
      <c r="B765" s="12" t="e">
        <f>'[4]#REF'!B765</f>
        <v>#REF!</v>
      </c>
      <c r="C765" s="31" t="e">
        <f>'[4]#REF'!D765</f>
        <v>#REF!</v>
      </c>
      <c r="D765" s="32" t="e">
        <f t="shared" si="33"/>
        <v>#REF!</v>
      </c>
      <c r="F765" s="12" t="e">
        <f>'[4]#REF'!F765</f>
        <v>#REF!</v>
      </c>
      <c r="G765" s="12" t="e">
        <f>'[4]#REF'!G765</f>
        <v>#REF!</v>
      </c>
      <c r="H765" s="31" t="e">
        <f>'[4]#REF'!I765</f>
        <v>#REF!</v>
      </c>
      <c r="I765" s="32" t="e">
        <f t="shared" si="34"/>
        <v>#REF!</v>
      </c>
    </row>
    <row r="766" ht="15.75" spans="1:9">
      <c r="A766" s="12" t="e">
        <f>'[4]#REF'!A766</f>
        <v>#REF!</v>
      </c>
      <c r="B766" s="12" t="e">
        <f>'[4]#REF'!B766</f>
        <v>#REF!</v>
      </c>
      <c r="C766" s="31" t="e">
        <f>'[4]#REF'!D766</f>
        <v>#REF!</v>
      </c>
      <c r="D766" s="32" t="e">
        <f t="shared" si="33"/>
        <v>#REF!</v>
      </c>
      <c r="F766" s="12" t="e">
        <f>'[4]#REF'!F766</f>
        <v>#REF!</v>
      </c>
      <c r="G766" s="12" t="e">
        <f>'[4]#REF'!G766</f>
        <v>#REF!</v>
      </c>
      <c r="H766" s="31" t="e">
        <f>'[4]#REF'!I766</f>
        <v>#REF!</v>
      </c>
      <c r="I766" s="32" t="e">
        <f t="shared" si="34"/>
        <v>#REF!</v>
      </c>
    </row>
    <row r="767" ht="15.75" spans="1:9">
      <c r="A767" s="12" t="e">
        <f>'[4]#REF'!A767</f>
        <v>#REF!</v>
      </c>
      <c r="B767" s="12" t="e">
        <f>'[4]#REF'!B767</f>
        <v>#REF!</v>
      </c>
      <c r="C767" s="31" t="e">
        <f>'[4]#REF'!D767</f>
        <v>#REF!</v>
      </c>
      <c r="D767" s="32" t="e">
        <f t="shared" si="33"/>
        <v>#REF!</v>
      </c>
      <c r="F767" s="12" t="e">
        <f>'[4]#REF'!F767</f>
        <v>#REF!</v>
      </c>
      <c r="G767" s="12" t="e">
        <f>'[4]#REF'!G767</f>
        <v>#REF!</v>
      </c>
      <c r="H767" s="31" t="e">
        <f>'[4]#REF'!I767</f>
        <v>#REF!</v>
      </c>
      <c r="I767" s="32" t="e">
        <f t="shared" si="34"/>
        <v>#REF!</v>
      </c>
    </row>
    <row r="768" ht="15.75" spans="1:9">
      <c r="A768" s="12" t="e">
        <f>'[4]#REF'!A768</f>
        <v>#REF!</v>
      </c>
      <c r="B768" s="12" t="e">
        <f>'[4]#REF'!B768</f>
        <v>#REF!</v>
      </c>
      <c r="C768" s="31" t="e">
        <f>'[4]#REF'!D768</f>
        <v>#REF!</v>
      </c>
      <c r="D768" s="32" t="e">
        <f t="shared" si="33"/>
        <v>#REF!</v>
      </c>
      <c r="F768" s="12" t="e">
        <f>'[4]#REF'!F768</f>
        <v>#REF!</v>
      </c>
      <c r="G768" s="12" t="e">
        <f>'[4]#REF'!G768</f>
        <v>#REF!</v>
      </c>
      <c r="H768" s="31" t="e">
        <f>'[4]#REF'!I768</f>
        <v>#REF!</v>
      </c>
      <c r="I768" s="32" t="e">
        <f t="shared" si="34"/>
        <v>#REF!</v>
      </c>
    </row>
    <row r="769" ht="15.75" spans="1:9">
      <c r="A769" s="12" t="e">
        <f>'[4]#REF'!A769</f>
        <v>#REF!</v>
      </c>
      <c r="B769" s="12" t="e">
        <f>'[4]#REF'!B769</f>
        <v>#REF!</v>
      </c>
      <c r="C769" s="31" t="e">
        <f>'[4]#REF'!D769</f>
        <v>#REF!</v>
      </c>
      <c r="D769" s="32" t="e">
        <f t="shared" si="33"/>
        <v>#REF!</v>
      </c>
      <c r="F769" s="12" t="e">
        <f>'[4]#REF'!F769</f>
        <v>#REF!</v>
      </c>
      <c r="G769" s="12" t="e">
        <f>'[4]#REF'!G769</f>
        <v>#REF!</v>
      </c>
      <c r="H769" s="31" t="e">
        <f>'[4]#REF'!I769</f>
        <v>#REF!</v>
      </c>
      <c r="I769" s="32" t="e">
        <f t="shared" si="34"/>
        <v>#REF!</v>
      </c>
    </row>
    <row r="770" ht="15.75" spans="1:9">
      <c r="A770" s="12" t="e">
        <f>'[4]#REF'!A770</f>
        <v>#REF!</v>
      </c>
      <c r="B770" s="12" t="e">
        <f>'[4]#REF'!B770</f>
        <v>#REF!</v>
      </c>
      <c r="C770" s="31" t="e">
        <f>'[4]#REF'!D770</f>
        <v>#REF!</v>
      </c>
      <c r="D770" s="32" t="e">
        <f t="shared" si="33"/>
        <v>#REF!</v>
      </c>
      <c r="F770" s="12" t="e">
        <f>'[4]#REF'!F770</f>
        <v>#REF!</v>
      </c>
      <c r="G770" s="12" t="e">
        <f>'[4]#REF'!G770</f>
        <v>#REF!</v>
      </c>
      <c r="H770" s="31" t="e">
        <f>'[4]#REF'!I770</f>
        <v>#REF!</v>
      </c>
      <c r="I770" s="32" t="e">
        <f t="shared" si="34"/>
        <v>#REF!</v>
      </c>
    </row>
    <row r="771" ht="15.75" spans="1:9">
      <c r="A771" s="12" t="e">
        <f>'[4]#REF'!A771</f>
        <v>#REF!</v>
      </c>
      <c r="B771" s="12" t="e">
        <f>'[4]#REF'!B771</f>
        <v>#REF!</v>
      </c>
      <c r="C771" s="31" t="e">
        <f>'[4]#REF'!D771</f>
        <v>#REF!</v>
      </c>
      <c r="D771" s="32" t="e">
        <f t="shared" si="33"/>
        <v>#REF!</v>
      </c>
      <c r="F771" s="12" t="e">
        <f>'[4]#REF'!F771</f>
        <v>#REF!</v>
      </c>
      <c r="G771" s="12" t="e">
        <f>'[4]#REF'!G771</f>
        <v>#REF!</v>
      </c>
      <c r="H771" s="31" t="e">
        <f>'[4]#REF'!I771</f>
        <v>#REF!</v>
      </c>
      <c r="I771" s="32" t="e">
        <f t="shared" si="34"/>
        <v>#REF!</v>
      </c>
    </row>
    <row r="772" ht="15.75" spans="1:9">
      <c r="A772" s="12" t="e">
        <f>'[4]#REF'!A772</f>
        <v>#REF!</v>
      </c>
      <c r="B772" s="12" t="e">
        <f>'[4]#REF'!B772</f>
        <v>#REF!</v>
      </c>
      <c r="C772" s="31" t="e">
        <f>'[4]#REF'!D772</f>
        <v>#REF!</v>
      </c>
      <c r="D772" s="32" t="e">
        <f t="shared" si="33"/>
        <v>#REF!</v>
      </c>
      <c r="F772" s="12" t="e">
        <f>'[4]#REF'!F772</f>
        <v>#REF!</v>
      </c>
      <c r="G772" s="12" t="e">
        <f>'[4]#REF'!G772</f>
        <v>#REF!</v>
      </c>
      <c r="H772" s="31" t="e">
        <f>'[4]#REF'!I772</f>
        <v>#REF!</v>
      </c>
      <c r="I772" s="32" t="e">
        <f t="shared" si="34"/>
        <v>#REF!</v>
      </c>
    </row>
    <row r="773" ht="15.75" spans="1:9">
      <c r="A773" s="12" t="e">
        <f>'[4]#REF'!A773</f>
        <v>#REF!</v>
      </c>
      <c r="B773" s="12" t="e">
        <f>'[4]#REF'!B773</f>
        <v>#REF!</v>
      </c>
      <c r="C773" s="31" t="e">
        <f>'[4]#REF'!D773</f>
        <v>#REF!</v>
      </c>
      <c r="D773" s="32" t="e">
        <f t="shared" si="33"/>
        <v>#REF!</v>
      </c>
      <c r="F773" s="12" t="e">
        <f>'[4]#REF'!F773</f>
        <v>#REF!</v>
      </c>
      <c r="G773" s="12" t="e">
        <f>'[4]#REF'!G773</f>
        <v>#REF!</v>
      </c>
      <c r="H773" s="31" t="e">
        <f>'[4]#REF'!I773</f>
        <v>#REF!</v>
      </c>
      <c r="I773" s="32" t="e">
        <f t="shared" si="34"/>
        <v>#REF!</v>
      </c>
    </row>
    <row r="774" ht="15.75" spans="1:9">
      <c r="A774" s="12" t="e">
        <f>'[4]#REF'!A774</f>
        <v>#REF!</v>
      </c>
      <c r="B774" s="12" t="e">
        <f>'[4]#REF'!B774</f>
        <v>#REF!</v>
      </c>
      <c r="C774" s="31" t="e">
        <f>'[4]#REF'!D774</f>
        <v>#REF!</v>
      </c>
      <c r="D774" s="32" t="e">
        <f t="shared" ref="D774:D837" si="35">ROUND(C774/$D$4*100,2)</f>
        <v>#REF!</v>
      </c>
      <c r="F774" s="12" t="e">
        <f>'[4]#REF'!F774</f>
        <v>#REF!</v>
      </c>
      <c r="G774" s="12" t="e">
        <f>'[4]#REF'!G774</f>
        <v>#REF!</v>
      </c>
      <c r="H774" s="31" t="e">
        <f>'[4]#REF'!I774</f>
        <v>#REF!</v>
      </c>
      <c r="I774" s="32" t="e">
        <f t="shared" ref="I774:I837" si="36">ROUND(H774/$I$4*100,2)</f>
        <v>#REF!</v>
      </c>
    </row>
    <row r="775" ht="15.75" spans="1:9">
      <c r="A775" s="12" t="e">
        <f>'[4]#REF'!A775</f>
        <v>#REF!</v>
      </c>
      <c r="B775" s="12" t="e">
        <f>'[4]#REF'!B775</f>
        <v>#REF!</v>
      </c>
      <c r="C775" s="31" t="e">
        <f>'[4]#REF'!D775</f>
        <v>#REF!</v>
      </c>
      <c r="D775" s="32" t="e">
        <f t="shared" si="35"/>
        <v>#REF!</v>
      </c>
      <c r="F775" s="12" t="e">
        <f>'[4]#REF'!F775</f>
        <v>#REF!</v>
      </c>
      <c r="G775" s="12" t="e">
        <f>'[4]#REF'!G775</f>
        <v>#REF!</v>
      </c>
      <c r="H775" s="31" t="e">
        <f>'[4]#REF'!I775</f>
        <v>#REF!</v>
      </c>
      <c r="I775" s="32" t="e">
        <f t="shared" si="36"/>
        <v>#REF!</v>
      </c>
    </row>
    <row r="776" ht="15.75" spans="1:9">
      <c r="A776" s="12" t="e">
        <f>'[4]#REF'!A776</f>
        <v>#REF!</v>
      </c>
      <c r="B776" s="12" t="e">
        <f>'[4]#REF'!B776</f>
        <v>#REF!</v>
      </c>
      <c r="C776" s="31" t="e">
        <f>'[4]#REF'!D776</f>
        <v>#REF!</v>
      </c>
      <c r="D776" s="32" t="e">
        <f t="shared" si="35"/>
        <v>#REF!</v>
      </c>
      <c r="F776" s="12" t="e">
        <f>'[4]#REF'!F776</f>
        <v>#REF!</v>
      </c>
      <c r="G776" s="12" t="e">
        <f>'[4]#REF'!G776</f>
        <v>#REF!</v>
      </c>
      <c r="H776" s="31" t="e">
        <f>'[4]#REF'!I776</f>
        <v>#REF!</v>
      </c>
      <c r="I776" s="32" t="e">
        <f t="shared" si="36"/>
        <v>#REF!</v>
      </c>
    </row>
    <row r="777" ht="15.75" spans="1:9">
      <c r="A777" s="12" t="e">
        <f>'[4]#REF'!A777</f>
        <v>#REF!</v>
      </c>
      <c r="B777" s="12" t="e">
        <f>'[4]#REF'!B777</f>
        <v>#REF!</v>
      </c>
      <c r="C777" s="31" t="e">
        <f>'[4]#REF'!D777</f>
        <v>#REF!</v>
      </c>
      <c r="D777" s="32" t="e">
        <f t="shared" si="35"/>
        <v>#REF!</v>
      </c>
      <c r="F777" s="12" t="e">
        <f>'[4]#REF'!F777</f>
        <v>#REF!</v>
      </c>
      <c r="G777" s="12" t="e">
        <f>'[4]#REF'!G777</f>
        <v>#REF!</v>
      </c>
      <c r="H777" s="31" t="e">
        <f>'[4]#REF'!I777</f>
        <v>#REF!</v>
      </c>
      <c r="I777" s="32" t="e">
        <f t="shared" si="36"/>
        <v>#REF!</v>
      </c>
    </row>
    <row r="778" ht="15.75" spans="1:9">
      <c r="A778" s="12" t="e">
        <f>'[4]#REF'!A778</f>
        <v>#REF!</v>
      </c>
      <c r="B778" s="12" t="e">
        <f>'[4]#REF'!B778</f>
        <v>#REF!</v>
      </c>
      <c r="C778" s="31" t="e">
        <f>'[4]#REF'!D778</f>
        <v>#REF!</v>
      </c>
      <c r="D778" s="32" t="e">
        <f t="shared" si="35"/>
        <v>#REF!</v>
      </c>
      <c r="F778" s="12" t="e">
        <f>'[4]#REF'!F778</f>
        <v>#REF!</v>
      </c>
      <c r="G778" s="12" t="e">
        <f>'[4]#REF'!G778</f>
        <v>#REF!</v>
      </c>
      <c r="H778" s="31" t="e">
        <f>'[4]#REF'!I778</f>
        <v>#REF!</v>
      </c>
      <c r="I778" s="32" t="e">
        <f t="shared" si="36"/>
        <v>#REF!</v>
      </c>
    </row>
    <row r="779" ht="15.75" spans="1:9">
      <c r="A779" s="12" t="e">
        <f>'[4]#REF'!A779</f>
        <v>#REF!</v>
      </c>
      <c r="B779" s="12" t="e">
        <f>'[4]#REF'!B779</f>
        <v>#REF!</v>
      </c>
      <c r="C779" s="31" t="e">
        <f>'[4]#REF'!D779</f>
        <v>#REF!</v>
      </c>
      <c r="D779" s="32" t="e">
        <f t="shared" si="35"/>
        <v>#REF!</v>
      </c>
      <c r="F779" s="12" t="e">
        <f>'[4]#REF'!F779</f>
        <v>#REF!</v>
      </c>
      <c r="G779" s="12" t="e">
        <f>'[4]#REF'!G779</f>
        <v>#REF!</v>
      </c>
      <c r="H779" s="31" t="e">
        <f>'[4]#REF'!I779</f>
        <v>#REF!</v>
      </c>
      <c r="I779" s="32" t="e">
        <f t="shared" si="36"/>
        <v>#REF!</v>
      </c>
    </row>
    <row r="780" ht="15.75" spans="1:9">
      <c r="A780" s="12" t="e">
        <f>'[4]#REF'!A780</f>
        <v>#REF!</v>
      </c>
      <c r="B780" s="12" t="e">
        <f>'[4]#REF'!B780</f>
        <v>#REF!</v>
      </c>
      <c r="C780" s="31" t="e">
        <f>'[4]#REF'!D780</f>
        <v>#REF!</v>
      </c>
      <c r="D780" s="32" t="e">
        <f t="shared" si="35"/>
        <v>#REF!</v>
      </c>
      <c r="F780" s="12" t="e">
        <f>'[4]#REF'!F780</f>
        <v>#REF!</v>
      </c>
      <c r="G780" s="12" t="e">
        <f>'[4]#REF'!G780</f>
        <v>#REF!</v>
      </c>
      <c r="H780" s="31" t="e">
        <f>'[4]#REF'!I780</f>
        <v>#REF!</v>
      </c>
      <c r="I780" s="32" t="e">
        <f t="shared" si="36"/>
        <v>#REF!</v>
      </c>
    </row>
    <row r="781" ht="15.75" spans="1:9">
      <c r="A781" s="12" t="e">
        <f>'[4]#REF'!A781</f>
        <v>#REF!</v>
      </c>
      <c r="B781" s="12" t="e">
        <f>'[4]#REF'!B781</f>
        <v>#REF!</v>
      </c>
      <c r="C781" s="31" t="e">
        <f>'[4]#REF'!D781</f>
        <v>#REF!</v>
      </c>
      <c r="D781" s="32" t="e">
        <f t="shared" si="35"/>
        <v>#REF!</v>
      </c>
      <c r="F781" s="12" t="e">
        <f>'[4]#REF'!F781</f>
        <v>#REF!</v>
      </c>
      <c r="G781" s="12" t="e">
        <f>'[4]#REF'!G781</f>
        <v>#REF!</v>
      </c>
      <c r="H781" s="31" t="e">
        <f>'[4]#REF'!I781</f>
        <v>#REF!</v>
      </c>
      <c r="I781" s="32" t="e">
        <f t="shared" si="36"/>
        <v>#REF!</v>
      </c>
    </row>
    <row r="782" ht="15.75" spans="1:9">
      <c r="A782" s="12" t="e">
        <f>'[4]#REF'!A782</f>
        <v>#REF!</v>
      </c>
      <c r="B782" s="12" t="e">
        <f>'[4]#REF'!B782</f>
        <v>#REF!</v>
      </c>
      <c r="C782" s="31" t="e">
        <f>'[4]#REF'!D782</f>
        <v>#REF!</v>
      </c>
      <c r="D782" s="32" t="e">
        <f t="shared" si="35"/>
        <v>#REF!</v>
      </c>
      <c r="F782" s="12" t="e">
        <f>'[4]#REF'!F782</f>
        <v>#REF!</v>
      </c>
      <c r="G782" s="12" t="e">
        <f>'[4]#REF'!G782</f>
        <v>#REF!</v>
      </c>
      <c r="H782" s="31" t="e">
        <f>'[4]#REF'!I782</f>
        <v>#REF!</v>
      </c>
      <c r="I782" s="32" t="e">
        <f t="shared" si="36"/>
        <v>#REF!</v>
      </c>
    </row>
    <row r="783" ht="15.75" spans="1:9">
      <c r="A783" s="12" t="e">
        <f>'[4]#REF'!A783</f>
        <v>#REF!</v>
      </c>
      <c r="B783" s="12" t="e">
        <f>'[4]#REF'!B783</f>
        <v>#REF!</v>
      </c>
      <c r="C783" s="31" t="e">
        <f>'[4]#REF'!D783</f>
        <v>#REF!</v>
      </c>
      <c r="D783" s="32" t="e">
        <f t="shared" si="35"/>
        <v>#REF!</v>
      </c>
      <c r="F783" s="12" t="e">
        <f>'[4]#REF'!F783</f>
        <v>#REF!</v>
      </c>
      <c r="G783" s="12" t="e">
        <f>'[4]#REF'!G783</f>
        <v>#REF!</v>
      </c>
      <c r="H783" s="31" t="e">
        <f>'[4]#REF'!I783</f>
        <v>#REF!</v>
      </c>
      <c r="I783" s="32" t="e">
        <f t="shared" si="36"/>
        <v>#REF!</v>
      </c>
    </row>
    <row r="784" ht="15.75" spans="1:9">
      <c r="A784" s="12" t="e">
        <f>'[4]#REF'!A784</f>
        <v>#REF!</v>
      </c>
      <c r="B784" s="12" t="e">
        <f>'[4]#REF'!B784</f>
        <v>#REF!</v>
      </c>
      <c r="C784" s="31" t="e">
        <f>'[4]#REF'!D784</f>
        <v>#REF!</v>
      </c>
      <c r="D784" s="32" t="e">
        <f t="shared" si="35"/>
        <v>#REF!</v>
      </c>
      <c r="F784" s="12" t="e">
        <f>'[4]#REF'!F784</f>
        <v>#REF!</v>
      </c>
      <c r="G784" s="12" t="e">
        <f>'[4]#REF'!G784</f>
        <v>#REF!</v>
      </c>
      <c r="H784" s="31" t="e">
        <f>'[4]#REF'!I784</f>
        <v>#REF!</v>
      </c>
      <c r="I784" s="32" t="e">
        <f t="shared" si="36"/>
        <v>#REF!</v>
      </c>
    </row>
    <row r="785" ht="15.75" spans="1:9">
      <c r="A785" s="12" t="e">
        <f>'[4]#REF'!A785</f>
        <v>#REF!</v>
      </c>
      <c r="B785" s="12" t="e">
        <f>'[4]#REF'!B785</f>
        <v>#REF!</v>
      </c>
      <c r="C785" s="31" t="e">
        <f>'[4]#REF'!D785</f>
        <v>#REF!</v>
      </c>
      <c r="D785" s="32" t="e">
        <f t="shared" si="35"/>
        <v>#REF!</v>
      </c>
      <c r="F785" s="12" t="e">
        <f>'[4]#REF'!F785</f>
        <v>#REF!</v>
      </c>
      <c r="G785" s="12" t="e">
        <f>'[4]#REF'!G785</f>
        <v>#REF!</v>
      </c>
      <c r="H785" s="31" t="e">
        <f>'[4]#REF'!I785</f>
        <v>#REF!</v>
      </c>
      <c r="I785" s="32" t="e">
        <f t="shared" si="36"/>
        <v>#REF!</v>
      </c>
    </row>
    <row r="786" ht="15.75" spans="1:9">
      <c r="A786" s="12" t="e">
        <f>'[4]#REF'!A786</f>
        <v>#REF!</v>
      </c>
      <c r="B786" s="12" t="e">
        <f>'[4]#REF'!B786</f>
        <v>#REF!</v>
      </c>
      <c r="C786" s="31" t="e">
        <f>'[4]#REF'!D786</f>
        <v>#REF!</v>
      </c>
      <c r="D786" s="32" t="e">
        <f t="shared" si="35"/>
        <v>#REF!</v>
      </c>
      <c r="F786" s="12" t="e">
        <f>'[4]#REF'!F786</f>
        <v>#REF!</v>
      </c>
      <c r="G786" s="12" t="e">
        <f>'[4]#REF'!G786</f>
        <v>#REF!</v>
      </c>
      <c r="H786" s="31" t="e">
        <f>'[4]#REF'!I786</f>
        <v>#REF!</v>
      </c>
      <c r="I786" s="32" t="e">
        <f t="shared" si="36"/>
        <v>#REF!</v>
      </c>
    </row>
    <row r="787" ht="15.75" spans="1:9">
      <c r="A787" s="12" t="e">
        <f>'[4]#REF'!A787</f>
        <v>#REF!</v>
      </c>
      <c r="B787" s="12" t="e">
        <f>'[4]#REF'!B787</f>
        <v>#REF!</v>
      </c>
      <c r="C787" s="31" t="e">
        <f>'[4]#REF'!D787</f>
        <v>#REF!</v>
      </c>
      <c r="D787" s="32" t="e">
        <f t="shared" si="35"/>
        <v>#REF!</v>
      </c>
      <c r="F787" s="12" t="e">
        <f>'[4]#REF'!F787</f>
        <v>#REF!</v>
      </c>
      <c r="G787" s="12" t="e">
        <f>'[4]#REF'!G787</f>
        <v>#REF!</v>
      </c>
      <c r="H787" s="31" t="e">
        <f>'[4]#REF'!I787</f>
        <v>#REF!</v>
      </c>
      <c r="I787" s="32" t="e">
        <f t="shared" si="36"/>
        <v>#REF!</v>
      </c>
    </row>
    <row r="788" ht="15.75" spans="1:9">
      <c r="A788" s="12" t="e">
        <f>'[4]#REF'!A788</f>
        <v>#REF!</v>
      </c>
      <c r="B788" s="12" t="e">
        <f>'[4]#REF'!B788</f>
        <v>#REF!</v>
      </c>
      <c r="C788" s="31" t="e">
        <f>'[4]#REF'!D788</f>
        <v>#REF!</v>
      </c>
      <c r="D788" s="32" t="e">
        <f t="shared" si="35"/>
        <v>#REF!</v>
      </c>
      <c r="F788" s="12" t="e">
        <f>'[4]#REF'!F788</f>
        <v>#REF!</v>
      </c>
      <c r="G788" s="12" t="e">
        <f>'[4]#REF'!G788</f>
        <v>#REF!</v>
      </c>
      <c r="H788" s="31" t="e">
        <f>'[4]#REF'!I788</f>
        <v>#REF!</v>
      </c>
      <c r="I788" s="32" t="e">
        <f t="shared" si="36"/>
        <v>#REF!</v>
      </c>
    </row>
    <row r="789" ht="15.75" spans="1:9">
      <c r="A789" s="12" t="e">
        <f>'[4]#REF'!A789</f>
        <v>#REF!</v>
      </c>
      <c r="B789" s="12" t="e">
        <f>'[4]#REF'!B789</f>
        <v>#REF!</v>
      </c>
      <c r="C789" s="31" t="e">
        <f>'[4]#REF'!D789</f>
        <v>#REF!</v>
      </c>
      <c r="D789" s="32" t="e">
        <f t="shared" si="35"/>
        <v>#REF!</v>
      </c>
      <c r="F789" s="12" t="e">
        <f>'[4]#REF'!F789</f>
        <v>#REF!</v>
      </c>
      <c r="G789" s="12" t="e">
        <f>'[4]#REF'!G789</f>
        <v>#REF!</v>
      </c>
      <c r="H789" s="31" t="e">
        <f>'[4]#REF'!I789</f>
        <v>#REF!</v>
      </c>
      <c r="I789" s="32" t="e">
        <f t="shared" si="36"/>
        <v>#REF!</v>
      </c>
    </row>
    <row r="790" ht="15.75" spans="1:9">
      <c r="A790" s="12" t="e">
        <f>'[4]#REF'!A790</f>
        <v>#REF!</v>
      </c>
      <c r="B790" s="12" t="e">
        <f>'[4]#REF'!B790</f>
        <v>#REF!</v>
      </c>
      <c r="C790" s="31" t="e">
        <f>'[4]#REF'!D790</f>
        <v>#REF!</v>
      </c>
      <c r="D790" s="32" t="e">
        <f t="shared" si="35"/>
        <v>#REF!</v>
      </c>
      <c r="F790" s="12" t="e">
        <f>'[4]#REF'!F790</f>
        <v>#REF!</v>
      </c>
      <c r="G790" s="12" t="e">
        <f>'[4]#REF'!G790</f>
        <v>#REF!</v>
      </c>
      <c r="H790" s="31" t="e">
        <f>'[4]#REF'!I790</f>
        <v>#REF!</v>
      </c>
      <c r="I790" s="32" t="e">
        <f t="shared" si="36"/>
        <v>#REF!</v>
      </c>
    </row>
    <row r="791" ht="15.75" spans="1:9">
      <c r="A791" s="12" t="e">
        <f>'[4]#REF'!A791</f>
        <v>#REF!</v>
      </c>
      <c r="B791" s="12" t="e">
        <f>'[4]#REF'!B791</f>
        <v>#REF!</v>
      </c>
      <c r="C791" s="31" t="e">
        <f>'[4]#REF'!D791</f>
        <v>#REF!</v>
      </c>
      <c r="D791" s="32" t="e">
        <f t="shared" si="35"/>
        <v>#REF!</v>
      </c>
      <c r="F791" s="12" t="e">
        <f>'[4]#REF'!F791</f>
        <v>#REF!</v>
      </c>
      <c r="G791" s="12" t="e">
        <f>'[4]#REF'!G791</f>
        <v>#REF!</v>
      </c>
      <c r="H791" s="31" t="e">
        <f>'[4]#REF'!I791</f>
        <v>#REF!</v>
      </c>
      <c r="I791" s="32" t="e">
        <f t="shared" si="36"/>
        <v>#REF!</v>
      </c>
    </row>
    <row r="792" ht="15.75" spans="1:9">
      <c r="A792" s="12" t="e">
        <f>'[4]#REF'!A792</f>
        <v>#REF!</v>
      </c>
      <c r="B792" s="12" t="e">
        <f>'[4]#REF'!B792</f>
        <v>#REF!</v>
      </c>
      <c r="C792" s="31" t="e">
        <f>'[4]#REF'!D792</f>
        <v>#REF!</v>
      </c>
      <c r="D792" s="32" t="e">
        <f t="shared" si="35"/>
        <v>#REF!</v>
      </c>
      <c r="F792" s="12" t="e">
        <f>'[4]#REF'!F792</f>
        <v>#REF!</v>
      </c>
      <c r="G792" s="12" t="e">
        <f>'[4]#REF'!G792</f>
        <v>#REF!</v>
      </c>
      <c r="H792" s="31" t="e">
        <f>'[4]#REF'!I792</f>
        <v>#REF!</v>
      </c>
      <c r="I792" s="32" t="e">
        <f t="shared" si="36"/>
        <v>#REF!</v>
      </c>
    </row>
    <row r="793" ht="15.75" spans="1:9">
      <c r="A793" s="12" t="e">
        <f>'[4]#REF'!A793</f>
        <v>#REF!</v>
      </c>
      <c r="B793" s="12" t="e">
        <f>'[4]#REF'!B793</f>
        <v>#REF!</v>
      </c>
      <c r="C793" s="31" t="e">
        <f>'[4]#REF'!D793</f>
        <v>#REF!</v>
      </c>
      <c r="D793" s="32" t="e">
        <f t="shared" si="35"/>
        <v>#REF!</v>
      </c>
      <c r="F793" s="12" t="e">
        <f>'[4]#REF'!F793</f>
        <v>#REF!</v>
      </c>
      <c r="G793" s="12" t="e">
        <f>'[4]#REF'!G793</f>
        <v>#REF!</v>
      </c>
      <c r="H793" s="31" t="e">
        <f>'[4]#REF'!I793</f>
        <v>#REF!</v>
      </c>
      <c r="I793" s="32" t="e">
        <f t="shared" si="36"/>
        <v>#REF!</v>
      </c>
    </row>
    <row r="794" ht="15.75" spans="1:9">
      <c r="A794" s="12" t="e">
        <f>'[4]#REF'!A794</f>
        <v>#REF!</v>
      </c>
      <c r="B794" s="12" t="e">
        <f>'[4]#REF'!B794</f>
        <v>#REF!</v>
      </c>
      <c r="C794" s="31" t="e">
        <f>'[4]#REF'!D794</f>
        <v>#REF!</v>
      </c>
      <c r="D794" s="32" t="e">
        <f t="shared" si="35"/>
        <v>#REF!</v>
      </c>
      <c r="F794" s="12" t="e">
        <f>'[4]#REF'!F794</f>
        <v>#REF!</v>
      </c>
      <c r="G794" s="12" t="e">
        <f>'[4]#REF'!G794</f>
        <v>#REF!</v>
      </c>
      <c r="H794" s="31" t="e">
        <f>'[4]#REF'!I794</f>
        <v>#REF!</v>
      </c>
      <c r="I794" s="32" t="e">
        <f t="shared" si="36"/>
        <v>#REF!</v>
      </c>
    </row>
    <row r="795" ht="15.75" spans="1:9">
      <c r="A795" s="12" t="e">
        <f>'[4]#REF'!A795</f>
        <v>#REF!</v>
      </c>
      <c r="B795" s="12" t="e">
        <f>'[4]#REF'!B795</f>
        <v>#REF!</v>
      </c>
      <c r="C795" s="31" t="e">
        <f>'[4]#REF'!D795</f>
        <v>#REF!</v>
      </c>
      <c r="D795" s="32" t="e">
        <f t="shared" si="35"/>
        <v>#REF!</v>
      </c>
      <c r="F795" s="12" t="e">
        <f>'[4]#REF'!F795</f>
        <v>#REF!</v>
      </c>
      <c r="G795" s="12" t="e">
        <f>'[4]#REF'!G795</f>
        <v>#REF!</v>
      </c>
      <c r="H795" s="31" t="e">
        <f>'[4]#REF'!I795</f>
        <v>#REF!</v>
      </c>
      <c r="I795" s="32" t="e">
        <f t="shared" si="36"/>
        <v>#REF!</v>
      </c>
    </row>
    <row r="796" ht="15.75" spans="1:9">
      <c r="A796" s="12" t="e">
        <f>'[4]#REF'!A796</f>
        <v>#REF!</v>
      </c>
      <c r="B796" s="12" t="e">
        <f>'[4]#REF'!B796</f>
        <v>#REF!</v>
      </c>
      <c r="C796" s="31" t="e">
        <f>'[4]#REF'!D796</f>
        <v>#REF!</v>
      </c>
      <c r="D796" s="32" t="e">
        <f t="shared" si="35"/>
        <v>#REF!</v>
      </c>
      <c r="F796" s="12" t="e">
        <f>'[4]#REF'!F796</f>
        <v>#REF!</v>
      </c>
      <c r="G796" s="12" t="e">
        <f>'[4]#REF'!G796</f>
        <v>#REF!</v>
      </c>
      <c r="H796" s="31" t="e">
        <f>'[4]#REF'!I796</f>
        <v>#REF!</v>
      </c>
      <c r="I796" s="32" t="e">
        <f t="shared" si="36"/>
        <v>#REF!</v>
      </c>
    </row>
    <row r="797" ht="15.75" spans="1:9">
      <c r="A797" s="12" t="e">
        <f>'[4]#REF'!A797</f>
        <v>#REF!</v>
      </c>
      <c r="B797" s="12" t="e">
        <f>'[4]#REF'!B797</f>
        <v>#REF!</v>
      </c>
      <c r="C797" s="31" t="e">
        <f>'[4]#REF'!D797</f>
        <v>#REF!</v>
      </c>
      <c r="D797" s="32" t="e">
        <f t="shared" si="35"/>
        <v>#REF!</v>
      </c>
      <c r="F797" s="12" t="e">
        <f>'[4]#REF'!F797</f>
        <v>#REF!</v>
      </c>
      <c r="G797" s="12" t="e">
        <f>'[4]#REF'!G797</f>
        <v>#REF!</v>
      </c>
      <c r="H797" s="31" t="e">
        <f>'[4]#REF'!I797</f>
        <v>#REF!</v>
      </c>
      <c r="I797" s="32" t="e">
        <f t="shared" si="36"/>
        <v>#REF!</v>
      </c>
    </row>
    <row r="798" ht="15.75" spans="1:9">
      <c r="A798" s="12" t="e">
        <f>'[4]#REF'!A798</f>
        <v>#REF!</v>
      </c>
      <c r="B798" s="12" t="e">
        <f>'[4]#REF'!B798</f>
        <v>#REF!</v>
      </c>
      <c r="C798" s="31" t="e">
        <f>'[4]#REF'!D798</f>
        <v>#REF!</v>
      </c>
      <c r="D798" s="32" t="e">
        <f t="shared" si="35"/>
        <v>#REF!</v>
      </c>
      <c r="F798" s="12" t="e">
        <f>'[4]#REF'!F798</f>
        <v>#REF!</v>
      </c>
      <c r="G798" s="12" t="e">
        <f>'[4]#REF'!G798</f>
        <v>#REF!</v>
      </c>
      <c r="H798" s="31" t="e">
        <f>'[4]#REF'!I798</f>
        <v>#REF!</v>
      </c>
      <c r="I798" s="32" t="e">
        <f t="shared" si="36"/>
        <v>#REF!</v>
      </c>
    </row>
    <row r="799" ht="15.75" spans="1:9">
      <c r="A799" s="12" t="e">
        <f>'[4]#REF'!A799</f>
        <v>#REF!</v>
      </c>
      <c r="B799" s="12" t="e">
        <f>'[4]#REF'!B799</f>
        <v>#REF!</v>
      </c>
      <c r="C799" s="31" t="e">
        <f>'[4]#REF'!D799</f>
        <v>#REF!</v>
      </c>
      <c r="D799" s="32" t="e">
        <f t="shared" si="35"/>
        <v>#REF!</v>
      </c>
      <c r="F799" s="12" t="e">
        <f>'[4]#REF'!F799</f>
        <v>#REF!</v>
      </c>
      <c r="G799" s="12" t="e">
        <f>'[4]#REF'!G799</f>
        <v>#REF!</v>
      </c>
      <c r="H799" s="31" t="e">
        <f>'[4]#REF'!I799</f>
        <v>#REF!</v>
      </c>
      <c r="I799" s="32" t="e">
        <f t="shared" si="36"/>
        <v>#REF!</v>
      </c>
    </row>
    <row r="800" ht="15.75" spans="1:9">
      <c r="A800" s="12" t="e">
        <f>'[4]#REF'!A800</f>
        <v>#REF!</v>
      </c>
      <c r="B800" s="12" t="e">
        <f>'[4]#REF'!B800</f>
        <v>#REF!</v>
      </c>
      <c r="C800" s="31" t="e">
        <f>'[4]#REF'!D800</f>
        <v>#REF!</v>
      </c>
      <c r="D800" s="32" t="e">
        <f t="shared" si="35"/>
        <v>#REF!</v>
      </c>
      <c r="F800" s="12" t="e">
        <f>'[4]#REF'!F800</f>
        <v>#REF!</v>
      </c>
      <c r="G800" s="12" t="e">
        <f>'[4]#REF'!G800</f>
        <v>#REF!</v>
      </c>
      <c r="H800" s="31" t="e">
        <f>'[4]#REF'!I800</f>
        <v>#REF!</v>
      </c>
      <c r="I800" s="32" t="e">
        <f t="shared" si="36"/>
        <v>#REF!</v>
      </c>
    </row>
    <row r="801" ht="15.75" spans="1:9">
      <c r="A801" s="12" t="e">
        <f>'[4]#REF'!A801</f>
        <v>#REF!</v>
      </c>
      <c r="B801" s="12" t="e">
        <f>'[4]#REF'!B801</f>
        <v>#REF!</v>
      </c>
      <c r="C801" s="31" t="e">
        <f>'[4]#REF'!D801</f>
        <v>#REF!</v>
      </c>
      <c r="D801" s="32" t="e">
        <f t="shared" si="35"/>
        <v>#REF!</v>
      </c>
      <c r="F801" s="12" t="e">
        <f>'[4]#REF'!F801</f>
        <v>#REF!</v>
      </c>
      <c r="G801" s="12" t="e">
        <f>'[4]#REF'!G801</f>
        <v>#REF!</v>
      </c>
      <c r="H801" s="31" t="e">
        <f>'[4]#REF'!I801</f>
        <v>#REF!</v>
      </c>
      <c r="I801" s="32" t="e">
        <f t="shared" si="36"/>
        <v>#REF!</v>
      </c>
    </row>
    <row r="802" ht="15.75" spans="1:9">
      <c r="A802" s="12" t="e">
        <f>'[4]#REF'!A802</f>
        <v>#REF!</v>
      </c>
      <c r="B802" s="12" t="e">
        <f>'[4]#REF'!B802</f>
        <v>#REF!</v>
      </c>
      <c r="C802" s="31" t="e">
        <f>'[4]#REF'!D802</f>
        <v>#REF!</v>
      </c>
      <c r="D802" s="32" t="e">
        <f t="shared" si="35"/>
        <v>#REF!</v>
      </c>
      <c r="F802" s="12" t="e">
        <f>'[4]#REF'!F802</f>
        <v>#REF!</v>
      </c>
      <c r="G802" s="12" t="e">
        <f>'[4]#REF'!G802</f>
        <v>#REF!</v>
      </c>
      <c r="H802" s="31" t="e">
        <f>'[4]#REF'!I802</f>
        <v>#REF!</v>
      </c>
      <c r="I802" s="32" t="e">
        <f t="shared" si="36"/>
        <v>#REF!</v>
      </c>
    </row>
    <row r="803" ht="15.75" spans="1:9">
      <c r="A803" s="12" t="e">
        <f>'[4]#REF'!A803</f>
        <v>#REF!</v>
      </c>
      <c r="B803" s="12" t="e">
        <f>'[4]#REF'!B803</f>
        <v>#REF!</v>
      </c>
      <c r="C803" s="31" t="e">
        <f>'[4]#REF'!D803</f>
        <v>#REF!</v>
      </c>
      <c r="D803" s="32" t="e">
        <f t="shared" si="35"/>
        <v>#REF!</v>
      </c>
      <c r="F803" s="12" t="e">
        <f>'[4]#REF'!F803</f>
        <v>#REF!</v>
      </c>
      <c r="G803" s="12" t="e">
        <f>'[4]#REF'!G803</f>
        <v>#REF!</v>
      </c>
      <c r="H803" s="31" t="e">
        <f>'[4]#REF'!I803</f>
        <v>#REF!</v>
      </c>
      <c r="I803" s="32" t="e">
        <f t="shared" si="36"/>
        <v>#REF!</v>
      </c>
    </row>
    <row r="804" ht="15.75" spans="1:9">
      <c r="A804" s="12" t="e">
        <f>'[4]#REF'!A804</f>
        <v>#REF!</v>
      </c>
      <c r="B804" s="12" t="e">
        <f>'[4]#REF'!B804</f>
        <v>#REF!</v>
      </c>
      <c r="C804" s="31" t="e">
        <f>'[4]#REF'!D804</f>
        <v>#REF!</v>
      </c>
      <c r="D804" s="32" t="e">
        <f t="shared" si="35"/>
        <v>#REF!</v>
      </c>
      <c r="F804" s="12" t="e">
        <f>'[4]#REF'!F804</f>
        <v>#REF!</v>
      </c>
      <c r="G804" s="12" t="e">
        <f>'[4]#REF'!G804</f>
        <v>#REF!</v>
      </c>
      <c r="H804" s="31" t="e">
        <f>'[4]#REF'!I804</f>
        <v>#REF!</v>
      </c>
      <c r="I804" s="32" t="e">
        <f t="shared" si="36"/>
        <v>#REF!</v>
      </c>
    </row>
    <row r="805" ht="15.75" spans="1:9">
      <c r="A805" s="12" t="e">
        <f>'[4]#REF'!A805</f>
        <v>#REF!</v>
      </c>
      <c r="B805" s="12" t="e">
        <f>'[4]#REF'!B805</f>
        <v>#REF!</v>
      </c>
      <c r="C805" s="31" t="e">
        <f>'[4]#REF'!D805</f>
        <v>#REF!</v>
      </c>
      <c r="D805" s="32" t="e">
        <f t="shared" si="35"/>
        <v>#REF!</v>
      </c>
      <c r="F805" s="12" t="e">
        <f>'[4]#REF'!F805</f>
        <v>#REF!</v>
      </c>
      <c r="G805" s="12" t="e">
        <f>'[4]#REF'!G805</f>
        <v>#REF!</v>
      </c>
      <c r="H805" s="31" t="e">
        <f>'[4]#REF'!I805</f>
        <v>#REF!</v>
      </c>
      <c r="I805" s="32" t="e">
        <f t="shared" si="36"/>
        <v>#REF!</v>
      </c>
    </row>
    <row r="806" ht="15.75" spans="1:9">
      <c r="A806" s="12" t="e">
        <f>'[4]#REF'!A806</f>
        <v>#REF!</v>
      </c>
      <c r="B806" s="12" t="e">
        <f>'[4]#REF'!B806</f>
        <v>#REF!</v>
      </c>
      <c r="C806" s="31" t="e">
        <f>'[4]#REF'!D806</f>
        <v>#REF!</v>
      </c>
      <c r="D806" s="32" t="e">
        <f t="shared" si="35"/>
        <v>#REF!</v>
      </c>
      <c r="F806" s="12" t="e">
        <f>'[4]#REF'!F806</f>
        <v>#REF!</v>
      </c>
      <c r="G806" s="12" t="e">
        <f>'[4]#REF'!G806</f>
        <v>#REF!</v>
      </c>
      <c r="H806" s="31" t="e">
        <f>'[4]#REF'!I806</f>
        <v>#REF!</v>
      </c>
      <c r="I806" s="32" t="e">
        <f t="shared" si="36"/>
        <v>#REF!</v>
      </c>
    </row>
    <row r="807" ht="15.75" spans="1:9">
      <c r="A807" s="12" t="e">
        <f>'[4]#REF'!A807</f>
        <v>#REF!</v>
      </c>
      <c r="B807" s="12" t="e">
        <f>'[4]#REF'!B807</f>
        <v>#REF!</v>
      </c>
      <c r="C807" s="31" t="e">
        <f>'[4]#REF'!D807</f>
        <v>#REF!</v>
      </c>
      <c r="D807" s="32" t="e">
        <f t="shared" si="35"/>
        <v>#REF!</v>
      </c>
      <c r="F807" s="12" t="e">
        <f>'[4]#REF'!F807</f>
        <v>#REF!</v>
      </c>
      <c r="G807" s="12" t="e">
        <f>'[4]#REF'!G807</f>
        <v>#REF!</v>
      </c>
      <c r="H807" s="31" t="e">
        <f>'[4]#REF'!I807</f>
        <v>#REF!</v>
      </c>
      <c r="I807" s="32" t="e">
        <f t="shared" si="36"/>
        <v>#REF!</v>
      </c>
    </row>
    <row r="808" ht="15.75" spans="1:9">
      <c r="A808" s="12" t="e">
        <f>'[4]#REF'!A808</f>
        <v>#REF!</v>
      </c>
      <c r="B808" s="12" t="e">
        <f>'[4]#REF'!B808</f>
        <v>#REF!</v>
      </c>
      <c r="C808" s="31" t="e">
        <f>'[4]#REF'!D808</f>
        <v>#REF!</v>
      </c>
      <c r="D808" s="32" t="e">
        <f t="shared" si="35"/>
        <v>#REF!</v>
      </c>
      <c r="F808" s="12" t="e">
        <f>'[4]#REF'!F808</f>
        <v>#REF!</v>
      </c>
      <c r="G808" s="12" t="e">
        <f>'[4]#REF'!G808</f>
        <v>#REF!</v>
      </c>
      <c r="H808" s="31" t="e">
        <f>'[4]#REF'!I808</f>
        <v>#REF!</v>
      </c>
      <c r="I808" s="32" t="e">
        <f t="shared" si="36"/>
        <v>#REF!</v>
      </c>
    </row>
    <row r="809" ht="15.75" spans="1:9">
      <c r="A809" s="12" t="e">
        <f>'[4]#REF'!A809</f>
        <v>#REF!</v>
      </c>
      <c r="B809" s="12" t="e">
        <f>'[4]#REF'!B809</f>
        <v>#REF!</v>
      </c>
      <c r="C809" s="31" t="e">
        <f>'[4]#REF'!D809</f>
        <v>#REF!</v>
      </c>
      <c r="D809" s="32" t="e">
        <f t="shared" si="35"/>
        <v>#REF!</v>
      </c>
      <c r="F809" s="12" t="e">
        <f>'[4]#REF'!F809</f>
        <v>#REF!</v>
      </c>
      <c r="G809" s="12" t="e">
        <f>'[4]#REF'!G809</f>
        <v>#REF!</v>
      </c>
      <c r="H809" s="31" t="e">
        <f>'[4]#REF'!I809</f>
        <v>#REF!</v>
      </c>
      <c r="I809" s="32" t="e">
        <f t="shared" si="36"/>
        <v>#REF!</v>
      </c>
    </row>
    <row r="810" ht="15.75" spans="1:9">
      <c r="A810" s="12" t="e">
        <f>'[4]#REF'!A810</f>
        <v>#REF!</v>
      </c>
      <c r="B810" s="12" t="e">
        <f>'[4]#REF'!B810</f>
        <v>#REF!</v>
      </c>
      <c r="C810" s="31" t="e">
        <f>'[4]#REF'!D810</f>
        <v>#REF!</v>
      </c>
      <c r="D810" s="32" t="e">
        <f t="shared" si="35"/>
        <v>#REF!</v>
      </c>
      <c r="F810" s="12" t="e">
        <f>'[4]#REF'!F810</f>
        <v>#REF!</v>
      </c>
      <c r="G810" s="12" t="e">
        <f>'[4]#REF'!G810</f>
        <v>#REF!</v>
      </c>
      <c r="H810" s="31" t="e">
        <f>'[4]#REF'!I810</f>
        <v>#REF!</v>
      </c>
      <c r="I810" s="32" t="e">
        <f t="shared" si="36"/>
        <v>#REF!</v>
      </c>
    </row>
    <row r="811" ht="15.75" spans="1:9">
      <c r="A811" s="12" t="e">
        <f>'[4]#REF'!A811</f>
        <v>#REF!</v>
      </c>
      <c r="B811" s="12" t="e">
        <f>'[4]#REF'!B811</f>
        <v>#REF!</v>
      </c>
      <c r="C811" s="31" t="e">
        <f>'[4]#REF'!D811</f>
        <v>#REF!</v>
      </c>
      <c r="D811" s="32" t="e">
        <f t="shared" si="35"/>
        <v>#REF!</v>
      </c>
      <c r="F811" s="12" t="e">
        <f>'[4]#REF'!F811</f>
        <v>#REF!</v>
      </c>
      <c r="G811" s="12" t="e">
        <f>'[4]#REF'!G811</f>
        <v>#REF!</v>
      </c>
      <c r="H811" s="31" t="e">
        <f>'[4]#REF'!I811</f>
        <v>#REF!</v>
      </c>
      <c r="I811" s="32" t="e">
        <f t="shared" si="36"/>
        <v>#REF!</v>
      </c>
    </row>
    <row r="812" ht="15.75" spans="1:9">
      <c r="A812" s="12" t="e">
        <f>'[4]#REF'!A812</f>
        <v>#REF!</v>
      </c>
      <c r="B812" s="12" t="e">
        <f>'[4]#REF'!B812</f>
        <v>#REF!</v>
      </c>
      <c r="C812" s="31" t="e">
        <f>'[4]#REF'!D812</f>
        <v>#REF!</v>
      </c>
      <c r="D812" s="32" t="e">
        <f t="shared" si="35"/>
        <v>#REF!</v>
      </c>
      <c r="F812" s="12" t="e">
        <f>'[4]#REF'!F812</f>
        <v>#REF!</v>
      </c>
      <c r="G812" s="12" t="e">
        <f>'[4]#REF'!G812</f>
        <v>#REF!</v>
      </c>
      <c r="H812" s="31" t="e">
        <f>'[4]#REF'!I812</f>
        <v>#REF!</v>
      </c>
      <c r="I812" s="32" t="e">
        <f t="shared" si="36"/>
        <v>#REF!</v>
      </c>
    </row>
    <row r="813" ht="15.75" spans="1:9">
      <c r="A813" s="12" t="e">
        <f>'[4]#REF'!A813</f>
        <v>#REF!</v>
      </c>
      <c r="B813" s="12" t="e">
        <f>'[4]#REF'!B813</f>
        <v>#REF!</v>
      </c>
      <c r="C813" s="31" t="e">
        <f>'[4]#REF'!D813</f>
        <v>#REF!</v>
      </c>
      <c r="D813" s="32" t="e">
        <f t="shared" si="35"/>
        <v>#REF!</v>
      </c>
      <c r="F813" s="12" t="e">
        <f>'[4]#REF'!F813</f>
        <v>#REF!</v>
      </c>
      <c r="G813" s="12" t="e">
        <f>'[4]#REF'!G813</f>
        <v>#REF!</v>
      </c>
      <c r="H813" s="31" t="e">
        <f>'[4]#REF'!I813</f>
        <v>#REF!</v>
      </c>
      <c r="I813" s="32" t="e">
        <f t="shared" si="36"/>
        <v>#REF!</v>
      </c>
    </row>
    <row r="814" ht="15.75" spans="1:9">
      <c r="A814" s="12" t="e">
        <f>'[4]#REF'!A814</f>
        <v>#REF!</v>
      </c>
      <c r="B814" s="12" t="e">
        <f>'[4]#REF'!B814</f>
        <v>#REF!</v>
      </c>
      <c r="C814" s="31" t="e">
        <f>'[4]#REF'!D814</f>
        <v>#REF!</v>
      </c>
      <c r="D814" s="32" t="e">
        <f t="shared" si="35"/>
        <v>#REF!</v>
      </c>
      <c r="F814" s="12" t="e">
        <f>'[4]#REF'!F814</f>
        <v>#REF!</v>
      </c>
      <c r="G814" s="12" t="e">
        <f>'[4]#REF'!G814</f>
        <v>#REF!</v>
      </c>
      <c r="H814" s="31" t="e">
        <f>'[4]#REF'!I814</f>
        <v>#REF!</v>
      </c>
      <c r="I814" s="32" t="e">
        <f t="shared" si="36"/>
        <v>#REF!</v>
      </c>
    </row>
    <row r="815" ht="15.75" spans="1:9">
      <c r="A815" s="12" t="e">
        <f>'[4]#REF'!A815</f>
        <v>#REF!</v>
      </c>
      <c r="B815" s="12" t="e">
        <f>'[4]#REF'!B815</f>
        <v>#REF!</v>
      </c>
      <c r="C815" s="31" t="e">
        <f>'[4]#REF'!D815</f>
        <v>#REF!</v>
      </c>
      <c r="D815" s="32" t="e">
        <f t="shared" si="35"/>
        <v>#REF!</v>
      </c>
      <c r="F815" s="12" t="e">
        <f>'[4]#REF'!F815</f>
        <v>#REF!</v>
      </c>
      <c r="G815" s="12" t="e">
        <f>'[4]#REF'!G815</f>
        <v>#REF!</v>
      </c>
      <c r="H815" s="31" t="e">
        <f>'[4]#REF'!I815</f>
        <v>#REF!</v>
      </c>
      <c r="I815" s="32" t="e">
        <f t="shared" si="36"/>
        <v>#REF!</v>
      </c>
    </row>
    <row r="816" ht="15.75" spans="1:9">
      <c r="A816" s="12" t="e">
        <f>'[4]#REF'!A816</f>
        <v>#REF!</v>
      </c>
      <c r="B816" s="12" t="e">
        <f>'[4]#REF'!B816</f>
        <v>#REF!</v>
      </c>
      <c r="C816" s="31" t="e">
        <f>'[4]#REF'!D816</f>
        <v>#REF!</v>
      </c>
      <c r="D816" s="32" t="e">
        <f t="shared" si="35"/>
        <v>#REF!</v>
      </c>
      <c r="F816" s="12" t="e">
        <f>'[4]#REF'!F816</f>
        <v>#REF!</v>
      </c>
      <c r="G816" s="12" t="e">
        <f>'[4]#REF'!G816</f>
        <v>#REF!</v>
      </c>
      <c r="H816" s="31" t="e">
        <f>'[4]#REF'!I816</f>
        <v>#REF!</v>
      </c>
      <c r="I816" s="32" t="e">
        <f t="shared" si="36"/>
        <v>#REF!</v>
      </c>
    </row>
    <row r="817" ht="15.75" spans="1:9">
      <c r="A817" s="12" t="e">
        <f>'[4]#REF'!A817</f>
        <v>#REF!</v>
      </c>
      <c r="B817" s="12" t="e">
        <f>'[4]#REF'!B817</f>
        <v>#REF!</v>
      </c>
      <c r="C817" s="31" t="e">
        <f>'[4]#REF'!D817</f>
        <v>#REF!</v>
      </c>
      <c r="D817" s="32" t="e">
        <f t="shared" si="35"/>
        <v>#REF!</v>
      </c>
      <c r="F817" s="12" t="e">
        <f>'[4]#REF'!F817</f>
        <v>#REF!</v>
      </c>
      <c r="G817" s="12" t="e">
        <f>'[4]#REF'!G817</f>
        <v>#REF!</v>
      </c>
      <c r="H817" s="31" t="e">
        <f>'[4]#REF'!I817</f>
        <v>#REF!</v>
      </c>
      <c r="I817" s="32" t="e">
        <f t="shared" si="36"/>
        <v>#REF!</v>
      </c>
    </row>
    <row r="818" ht="15.75" spans="1:9">
      <c r="A818" s="12" t="e">
        <f>'[4]#REF'!A818</f>
        <v>#REF!</v>
      </c>
      <c r="B818" s="12" t="e">
        <f>'[4]#REF'!B818</f>
        <v>#REF!</v>
      </c>
      <c r="C818" s="31" t="e">
        <f>'[4]#REF'!D818</f>
        <v>#REF!</v>
      </c>
      <c r="D818" s="32" t="e">
        <f t="shared" si="35"/>
        <v>#REF!</v>
      </c>
      <c r="F818" s="12" t="e">
        <f>'[4]#REF'!F818</f>
        <v>#REF!</v>
      </c>
      <c r="G818" s="12" t="e">
        <f>'[4]#REF'!G818</f>
        <v>#REF!</v>
      </c>
      <c r="H818" s="31" t="e">
        <f>'[4]#REF'!I818</f>
        <v>#REF!</v>
      </c>
      <c r="I818" s="32" t="e">
        <f t="shared" si="36"/>
        <v>#REF!</v>
      </c>
    </row>
    <row r="819" ht="15.75" spans="1:9">
      <c r="A819" s="12" t="e">
        <f>'[4]#REF'!A819</f>
        <v>#REF!</v>
      </c>
      <c r="B819" s="12" t="e">
        <f>'[4]#REF'!B819</f>
        <v>#REF!</v>
      </c>
      <c r="C819" s="31" t="e">
        <f>'[4]#REF'!D819</f>
        <v>#REF!</v>
      </c>
      <c r="D819" s="32" t="e">
        <f t="shared" si="35"/>
        <v>#REF!</v>
      </c>
      <c r="F819" s="12" t="e">
        <f>'[4]#REF'!F819</f>
        <v>#REF!</v>
      </c>
      <c r="G819" s="12" t="e">
        <f>'[4]#REF'!G819</f>
        <v>#REF!</v>
      </c>
      <c r="H819" s="31" t="e">
        <f>'[4]#REF'!I819</f>
        <v>#REF!</v>
      </c>
      <c r="I819" s="32" t="e">
        <f t="shared" si="36"/>
        <v>#REF!</v>
      </c>
    </row>
    <row r="820" ht="15.75" spans="1:9">
      <c r="A820" s="12" t="e">
        <f>'[4]#REF'!A820</f>
        <v>#REF!</v>
      </c>
      <c r="B820" s="12" t="e">
        <f>'[4]#REF'!B820</f>
        <v>#REF!</v>
      </c>
      <c r="C820" s="31" t="e">
        <f>'[4]#REF'!D820</f>
        <v>#REF!</v>
      </c>
      <c r="D820" s="32" t="e">
        <f t="shared" si="35"/>
        <v>#REF!</v>
      </c>
      <c r="F820" s="12" t="e">
        <f>'[4]#REF'!F820</f>
        <v>#REF!</v>
      </c>
      <c r="G820" s="12" t="e">
        <f>'[4]#REF'!G820</f>
        <v>#REF!</v>
      </c>
      <c r="H820" s="31" t="e">
        <f>'[4]#REF'!I820</f>
        <v>#REF!</v>
      </c>
      <c r="I820" s="32" t="e">
        <f t="shared" si="36"/>
        <v>#REF!</v>
      </c>
    </row>
    <row r="821" ht="15.75" spans="1:9">
      <c r="A821" s="12" t="e">
        <f>'[4]#REF'!A821</f>
        <v>#REF!</v>
      </c>
      <c r="B821" s="12" t="e">
        <f>'[4]#REF'!B821</f>
        <v>#REF!</v>
      </c>
      <c r="C821" s="31" t="e">
        <f>'[4]#REF'!D821</f>
        <v>#REF!</v>
      </c>
      <c r="D821" s="32" t="e">
        <f t="shared" si="35"/>
        <v>#REF!</v>
      </c>
      <c r="F821" s="12" t="e">
        <f>'[4]#REF'!F821</f>
        <v>#REF!</v>
      </c>
      <c r="G821" s="12" t="e">
        <f>'[4]#REF'!G821</f>
        <v>#REF!</v>
      </c>
      <c r="H821" s="31" t="e">
        <f>'[4]#REF'!I821</f>
        <v>#REF!</v>
      </c>
      <c r="I821" s="32" t="e">
        <f t="shared" si="36"/>
        <v>#REF!</v>
      </c>
    </row>
    <row r="822" ht="15.75" spans="1:9">
      <c r="A822" s="12" t="e">
        <f>'[4]#REF'!A822</f>
        <v>#REF!</v>
      </c>
      <c r="B822" s="12" t="e">
        <f>'[4]#REF'!B822</f>
        <v>#REF!</v>
      </c>
      <c r="C822" s="31" t="e">
        <f>'[4]#REF'!D822</f>
        <v>#REF!</v>
      </c>
      <c r="D822" s="32" t="e">
        <f t="shared" si="35"/>
        <v>#REF!</v>
      </c>
      <c r="F822" s="12" t="e">
        <f>'[4]#REF'!F822</f>
        <v>#REF!</v>
      </c>
      <c r="G822" s="12" t="e">
        <f>'[4]#REF'!G822</f>
        <v>#REF!</v>
      </c>
      <c r="H822" s="31" t="e">
        <f>'[4]#REF'!I822</f>
        <v>#REF!</v>
      </c>
      <c r="I822" s="32" t="e">
        <f t="shared" si="36"/>
        <v>#REF!</v>
      </c>
    </row>
    <row r="823" ht="15.75" spans="1:9">
      <c r="A823" s="12" t="e">
        <f>'[4]#REF'!A823</f>
        <v>#REF!</v>
      </c>
      <c r="B823" s="12" t="e">
        <f>'[4]#REF'!B823</f>
        <v>#REF!</v>
      </c>
      <c r="C823" s="31" t="e">
        <f>'[4]#REF'!D823</f>
        <v>#REF!</v>
      </c>
      <c r="D823" s="32" t="e">
        <f t="shared" si="35"/>
        <v>#REF!</v>
      </c>
      <c r="F823" s="12" t="e">
        <f>'[4]#REF'!F823</f>
        <v>#REF!</v>
      </c>
      <c r="G823" s="12" t="e">
        <f>'[4]#REF'!G823</f>
        <v>#REF!</v>
      </c>
      <c r="H823" s="31" t="e">
        <f>'[4]#REF'!I823</f>
        <v>#REF!</v>
      </c>
      <c r="I823" s="32" t="e">
        <f t="shared" si="36"/>
        <v>#REF!</v>
      </c>
    </row>
    <row r="824" ht="15.75" spans="1:9">
      <c r="A824" s="12" t="e">
        <f>'[4]#REF'!A824</f>
        <v>#REF!</v>
      </c>
      <c r="B824" s="12" t="e">
        <f>'[4]#REF'!B824</f>
        <v>#REF!</v>
      </c>
      <c r="C824" s="31" t="e">
        <f>'[4]#REF'!D824</f>
        <v>#REF!</v>
      </c>
      <c r="D824" s="32" t="e">
        <f t="shared" si="35"/>
        <v>#REF!</v>
      </c>
      <c r="F824" s="12" t="e">
        <f>'[4]#REF'!F824</f>
        <v>#REF!</v>
      </c>
      <c r="G824" s="12" t="e">
        <f>'[4]#REF'!G824</f>
        <v>#REF!</v>
      </c>
      <c r="H824" s="31" t="e">
        <f>'[4]#REF'!I824</f>
        <v>#REF!</v>
      </c>
      <c r="I824" s="32" t="e">
        <f t="shared" si="36"/>
        <v>#REF!</v>
      </c>
    </row>
    <row r="825" ht="15.75" spans="1:9">
      <c r="A825" s="12" t="e">
        <f>'[4]#REF'!A825</f>
        <v>#REF!</v>
      </c>
      <c r="B825" s="12" t="e">
        <f>'[4]#REF'!B825</f>
        <v>#REF!</v>
      </c>
      <c r="C825" s="31" t="e">
        <f>'[4]#REF'!D825</f>
        <v>#REF!</v>
      </c>
      <c r="D825" s="32" t="e">
        <f t="shared" si="35"/>
        <v>#REF!</v>
      </c>
      <c r="F825" s="12" t="e">
        <f>'[4]#REF'!F825</f>
        <v>#REF!</v>
      </c>
      <c r="G825" s="12" t="e">
        <f>'[4]#REF'!G825</f>
        <v>#REF!</v>
      </c>
      <c r="H825" s="31" t="e">
        <f>'[4]#REF'!I825</f>
        <v>#REF!</v>
      </c>
      <c r="I825" s="32" t="e">
        <f t="shared" si="36"/>
        <v>#REF!</v>
      </c>
    </row>
    <row r="826" ht="15.75" spans="1:9">
      <c r="A826" s="12" t="e">
        <f>'[4]#REF'!A826</f>
        <v>#REF!</v>
      </c>
      <c r="B826" s="12" t="e">
        <f>'[4]#REF'!B826</f>
        <v>#REF!</v>
      </c>
      <c r="C826" s="31" t="e">
        <f>'[4]#REF'!D826</f>
        <v>#REF!</v>
      </c>
      <c r="D826" s="32" t="e">
        <f t="shared" si="35"/>
        <v>#REF!</v>
      </c>
      <c r="F826" s="12" t="e">
        <f>'[4]#REF'!F826</f>
        <v>#REF!</v>
      </c>
      <c r="G826" s="12" t="e">
        <f>'[4]#REF'!G826</f>
        <v>#REF!</v>
      </c>
      <c r="H826" s="31" t="e">
        <f>'[4]#REF'!I826</f>
        <v>#REF!</v>
      </c>
      <c r="I826" s="32" t="e">
        <f t="shared" si="36"/>
        <v>#REF!</v>
      </c>
    </row>
    <row r="827" ht="15.75" spans="1:9">
      <c r="A827" s="12" t="e">
        <f>'[4]#REF'!A827</f>
        <v>#REF!</v>
      </c>
      <c r="B827" s="12" t="e">
        <f>'[4]#REF'!B827</f>
        <v>#REF!</v>
      </c>
      <c r="C827" s="31" t="e">
        <f>'[4]#REF'!D827</f>
        <v>#REF!</v>
      </c>
      <c r="D827" s="32" t="e">
        <f t="shared" si="35"/>
        <v>#REF!</v>
      </c>
      <c r="F827" s="12" t="e">
        <f>'[4]#REF'!F827</f>
        <v>#REF!</v>
      </c>
      <c r="G827" s="12" t="e">
        <f>'[4]#REF'!G827</f>
        <v>#REF!</v>
      </c>
      <c r="H827" s="31" t="e">
        <f>'[4]#REF'!I827</f>
        <v>#REF!</v>
      </c>
      <c r="I827" s="32" t="e">
        <f t="shared" si="36"/>
        <v>#REF!</v>
      </c>
    </row>
    <row r="828" ht="15.75" spans="1:9">
      <c r="A828" s="12" t="e">
        <f>'[4]#REF'!A828</f>
        <v>#REF!</v>
      </c>
      <c r="B828" s="12" t="e">
        <f>'[4]#REF'!B828</f>
        <v>#REF!</v>
      </c>
      <c r="C828" s="31" t="e">
        <f>'[4]#REF'!D828</f>
        <v>#REF!</v>
      </c>
      <c r="D828" s="32" t="e">
        <f t="shared" si="35"/>
        <v>#REF!</v>
      </c>
      <c r="F828" s="12" t="e">
        <f>'[4]#REF'!F828</f>
        <v>#REF!</v>
      </c>
      <c r="G828" s="12" t="e">
        <f>'[4]#REF'!G828</f>
        <v>#REF!</v>
      </c>
      <c r="H828" s="31" t="e">
        <f>'[4]#REF'!I828</f>
        <v>#REF!</v>
      </c>
      <c r="I828" s="32" t="e">
        <f t="shared" si="36"/>
        <v>#REF!</v>
      </c>
    </row>
    <row r="829" ht="15.75" spans="1:9">
      <c r="A829" s="12" t="e">
        <f>'[4]#REF'!A829</f>
        <v>#REF!</v>
      </c>
      <c r="B829" s="12" t="e">
        <f>'[4]#REF'!B829</f>
        <v>#REF!</v>
      </c>
      <c r="C829" s="31" t="e">
        <f>'[4]#REF'!D829</f>
        <v>#REF!</v>
      </c>
      <c r="D829" s="32" t="e">
        <f t="shared" si="35"/>
        <v>#REF!</v>
      </c>
      <c r="F829" s="12" t="e">
        <f>'[4]#REF'!F829</f>
        <v>#REF!</v>
      </c>
      <c r="G829" s="12" t="e">
        <f>'[4]#REF'!G829</f>
        <v>#REF!</v>
      </c>
      <c r="H829" s="31" t="e">
        <f>'[4]#REF'!I829</f>
        <v>#REF!</v>
      </c>
      <c r="I829" s="32" t="e">
        <f t="shared" si="36"/>
        <v>#REF!</v>
      </c>
    </row>
    <row r="830" ht="15.75" spans="1:9">
      <c r="A830" s="12" t="e">
        <f>'[4]#REF'!A830</f>
        <v>#REF!</v>
      </c>
      <c r="B830" s="12" t="e">
        <f>'[4]#REF'!B830</f>
        <v>#REF!</v>
      </c>
      <c r="C830" s="31" t="e">
        <f>'[4]#REF'!D830</f>
        <v>#REF!</v>
      </c>
      <c r="D830" s="32" t="e">
        <f t="shared" si="35"/>
        <v>#REF!</v>
      </c>
      <c r="F830" s="12" t="e">
        <f>'[4]#REF'!F830</f>
        <v>#REF!</v>
      </c>
      <c r="G830" s="12" t="e">
        <f>'[4]#REF'!G830</f>
        <v>#REF!</v>
      </c>
      <c r="H830" s="31" t="e">
        <f>'[4]#REF'!I830</f>
        <v>#REF!</v>
      </c>
      <c r="I830" s="32" t="e">
        <f t="shared" si="36"/>
        <v>#REF!</v>
      </c>
    </row>
    <row r="831" ht="15.75" spans="1:9">
      <c r="A831" s="12" t="e">
        <f>'[4]#REF'!A831</f>
        <v>#REF!</v>
      </c>
      <c r="B831" s="12" t="e">
        <f>'[4]#REF'!B831</f>
        <v>#REF!</v>
      </c>
      <c r="C831" s="31" t="e">
        <f>'[4]#REF'!D831</f>
        <v>#REF!</v>
      </c>
      <c r="D831" s="32" t="e">
        <f t="shared" si="35"/>
        <v>#REF!</v>
      </c>
      <c r="F831" s="12" t="e">
        <f>'[4]#REF'!F831</f>
        <v>#REF!</v>
      </c>
      <c r="G831" s="12" t="e">
        <f>'[4]#REF'!G831</f>
        <v>#REF!</v>
      </c>
      <c r="H831" s="31" t="e">
        <f>'[4]#REF'!I831</f>
        <v>#REF!</v>
      </c>
      <c r="I831" s="32" t="e">
        <f t="shared" si="36"/>
        <v>#REF!</v>
      </c>
    </row>
    <row r="832" ht="15.75" spans="1:9">
      <c r="A832" s="12" t="e">
        <f>'[4]#REF'!A832</f>
        <v>#REF!</v>
      </c>
      <c r="B832" s="12" t="e">
        <f>'[4]#REF'!B832</f>
        <v>#REF!</v>
      </c>
      <c r="C832" s="31" t="e">
        <f>'[4]#REF'!D832</f>
        <v>#REF!</v>
      </c>
      <c r="D832" s="32" t="e">
        <f t="shared" si="35"/>
        <v>#REF!</v>
      </c>
      <c r="F832" s="12" t="e">
        <f>'[4]#REF'!F832</f>
        <v>#REF!</v>
      </c>
      <c r="G832" s="12" t="e">
        <f>'[4]#REF'!G832</f>
        <v>#REF!</v>
      </c>
      <c r="H832" s="31" t="e">
        <f>'[4]#REF'!I832</f>
        <v>#REF!</v>
      </c>
      <c r="I832" s="32" t="e">
        <f t="shared" si="36"/>
        <v>#REF!</v>
      </c>
    </row>
    <row r="833" ht="15.75" spans="1:9">
      <c r="A833" s="12" t="e">
        <f>'[4]#REF'!A833</f>
        <v>#REF!</v>
      </c>
      <c r="B833" s="12" t="e">
        <f>'[4]#REF'!B833</f>
        <v>#REF!</v>
      </c>
      <c r="C833" s="31" t="e">
        <f>'[4]#REF'!D833</f>
        <v>#REF!</v>
      </c>
      <c r="D833" s="32" t="e">
        <f t="shared" si="35"/>
        <v>#REF!</v>
      </c>
      <c r="F833" s="12" t="e">
        <f>'[4]#REF'!F833</f>
        <v>#REF!</v>
      </c>
      <c r="G833" s="12" t="e">
        <f>'[4]#REF'!G833</f>
        <v>#REF!</v>
      </c>
      <c r="H833" s="31" t="e">
        <f>'[4]#REF'!I833</f>
        <v>#REF!</v>
      </c>
      <c r="I833" s="32" t="e">
        <f t="shared" si="36"/>
        <v>#REF!</v>
      </c>
    </row>
    <row r="834" ht="15.75" spans="1:9">
      <c r="A834" s="12" t="e">
        <f>'[4]#REF'!A834</f>
        <v>#REF!</v>
      </c>
      <c r="B834" s="12" t="e">
        <f>'[4]#REF'!B834</f>
        <v>#REF!</v>
      </c>
      <c r="C834" s="31" t="e">
        <f>'[4]#REF'!D834</f>
        <v>#REF!</v>
      </c>
      <c r="D834" s="32" t="e">
        <f t="shared" si="35"/>
        <v>#REF!</v>
      </c>
      <c r="F834" s="12" t="e">
        <f>'[4]#REF'!F834</f>
        <v>#REF!</v>
      </c>
      <c r="G834" s="12" t="e">
        <f>'[4]#REF'!G834</f>
        <v>#REF!</v>
      </c>
      <c r="H834" s="31" t="e">
        <f>'[4]#REF'!I834</f>
        <v>#REF!</v>
      </c>
      <c r="I834" s="32" t="e">
        <f t="shared" si="36"/>
        <v>#REF!</v>
      </c>
    </row>
    <row r="835" ht="15.75" spans="1:9">
      <c r="A835" s="12" t="e">
        <f>'[4]#REF'!A835</f>
        <v>#REF!</v>
      </c>
      <c r="B835" s="12" t="e">
        <f>'[4]#REF'!B835</f>
        <v>#REF!</v>
      </c>
      <c r="C835" s="31" t="e">
        <f>'[4]#REF'!D835</f>
        <v>#REF!</v>
      </c>
      <c r="D835" s="32" t="e">
        <f t="shared" si="35"/>
        <v>#REF!</v>
      </c>
      <c r="F835" s="12" t="e">
        <f>'[4]#REF'!F835</f>
        <v>#REF!</v>
      </c>
      <c r="G835" s="12" t="e">
        <f>'[4]#REF'!G835</f>
        <v>#REF!</v>
      </c>
      <c r="H835" s="31" t="e">
        <f>'[4]#REF'!I835</f>
        <v>#REF!</v>
      </c>
      <c r="I835" s="32" t="e">
        <f t="shared" si="36"/>
        <v>#REF!</v>
      </c>
    </row>
    <row r="836" ht="15.75" spans="1:9">
      <c r="A836" s="12" t="e">
        <f>'[4]#REF'!A836</f>
        <v>#REF!</v>
      </c>
      <c r="B836" s="12" t="e">
        <f>'[4]#REF'!B836</f>
        <v>#REF!</v>
      </c>
      <c r="C836" s="31" t="e">
        <f>'[4]#REF'!D836</f>
        <v>#REF!</v>
      </c>
      <c r="D836" s="32" t="e">
        <f t="shared" si="35"/>
        <v>#REF!</v>
      </c>
      <c r="F836" s="12" t="e">
        <f>'[4]#REF'!F836</f>
        <v>#REF!</v>
      </c>
      <c r="G836" s="12" t="e">
        <f>'[4]#REF'!G836</f>
        <v>#REF!</v>
      </c>
      <c r="H836" s="31" t="e">
        <f>'[4]#REF'!I836</f>
        <v>#REF!</v>
      </c>
      <c r="I836" s="32" t="e">
        <f t="shared" si="36"/>
        <v>#REF!</v>
      </c>
    </row>
    <row r="837" ht="15.75" spans="1:9">
      <c r="A837" s="12" t="e">
        <f>'[4]#REF'!A837</f>
        <v>#REF!</v>
      </c>
      <c r="B837" s="12" t="e">
        <f>'[4]#REF'!B837</f>
        <v>#REF!</v>
      </c>
      <c r="C837" s="31" t="e">
        <f>'[4]#REF'!D837</f>
        <v>#REF!</v>
      </c>
      <c r="D837" s="32" t="e">
        <f t="shared" si="35"/>
        <v>#REF!</v>
      </c>
      <c r="F837" s="12" t="e">
        <f>'[4]#REF'!F837</f>
        <v>#REF!</v>
      </c>
      <c r="G837" s="12" t="e">
        <f>'[4]#REF'!G837</f>
        <v>#REF!</v>
      </c>
      <c r="H837" s="31" t="e">
        <f>'[4]#REF'!I837</f>
        <v>#REF!</v>
      </c>
      <c r="I837" s="32" t="e">
        <f t="shared" si="36"/>
        <v>#REF!</v>
      </c>
    </row>
    <row r="838" ht="15.75" spans="1:9">
      <c r="A838" s="12" t="e">
        <f>'[4]#REF'!A838</f>
        <v>#REF!</v>
      </c>
      <c r="B838" s="12" t="e">
        <f>'[4]#REF'!B838</f>
        <v>#REF!</v>
      </c>
      <c r="C838" s="31" t="e">
        <f>'[4]#REF'!D838</f>
        <v>#REF!</v>
      </c>
      <c r="D838" s="32" t="e">
        <f t="shared" ref="D838:D901" si="37">ROUND(C838/$D$4*100,2)</f>
        <v>#REF!</v>
      </c>
      <c r="F838" s="12" t="e">
        <f>'[4]#REF'!F838</f>
        <v>#REF!</v>
      </c>
      <c r="G838" s="12" t="e">
        <f>'[4]#REF'!G838</f>
        <v>#REF!</v>
      </c>
      <c r="H838" s="31" t="e">
        <f>'[4]#REF'!I838</f>
        <v>#REF!</v>
      </c>
      <c r="I838" s="32" t="e">
        <f t="shared" ref="I838:I901" si="38">ROUND(H838/$I$4*100,2)</f>
        <v>#REF!</v>
      </c>
    </row>
    <row r="839" ht="15.75" spans="1:9">
      <c r="A839" s="12" t="e">
        <f>'[4]#REF'!A839</f>
        <v>#REF!</v>
      </c>
      <c r="B839" s="12" t="e">
        <f>'[4]#REF'!B839</f>
        <v>#REF!</v>
      </c>
      <c r="C839" s="31" t="e">
        <f>'[4]#REF'!D839</f>
        <v>#REF!</v>
      </c>
      <c r="D839" s="32" t="e">
        <f t="shared" si="37"/>
        <v>#REF!</v>
      </c>
      <c r="F839" s="12" t="e">
        <f>'[4]#REF'!F839</f>
        <v>#REF!</v>
      </c>
      <c r="G839" s="12" t="e">
        <f>'[4]#REF'!G839</f>
        <v>#REF!</v>
      </c>
      <c r="H839" s="31" t="e">
        <f>'[4]#REF'!I839</f>
        <v>#REF!</v>
      </c>
      <c r="I839" s="32" t="e">
        <f t="shared" si="38"/>
        <v>#REF!</v>
      </c>
    </row>
    <row r="840" ht="15.75" spans="1:9">
      <c r="A840" s="12" t="e">
        <f>'[4]#REF'!A840</f>
        <v>#REF!</v>
      </c>
      <c r="B840" s="12" t="e">
        <f>'[4]#REF'!B840</f>
        <v>#REF!</v>
      </c>
      <c r="C840" s="31" t="e">
        <f>'[4]#REF'!D840</f>
        <v>#REF!</v>
      </c>
      <c r="D840" s="32" t="e">
        <f t="shared" si="37"/>
        <v>#REF!</v>
      </c>
      <c r="F840" s="12" t="e">
        <f>'[4]#REF'!F840</f>
        <v>#REF!</v>
      </c>
      <c r="G840" s="12" t="e">
        <f>'[4]#REF'!G840</f>
        <v>#REF!</v>
      </c>
      <c r="H840" s="31" t="e">
        <f>'[4]#REF'!I840</f>
        <v>#REF!</v>
      </c>
      <c r="I840" s="32" t="e">
        <f t="shared" si="38"/>
        <v>#REF!</v>
      </c>
    </row>
    <row r="841" ht="15.75" spans="1:9">
      <c r="A841" s="12" t="e">
        <f>'[4]#REF'!A841</f>
        <v>#REF!</v>
      </c>
      <c r="B841" s="12" t="e">
        <f>'[4]#REF'!B841</f>
        <v>#REF!</v>
      </c>
      <c r="C841" s="31" t="e">
        <f>'[4]#REF'!D841</f>
        <v>#REF!</v>
      </c>
      <c r="D841" s="32" t="e">
        <f t="shared" si="37"/>
        <v>#REF!</v>
      </c>
      <c r="F841" s="12" t="e">
        <f>'[4]#REF'!F841</f>
        <v>#REF!</v>
      </c>
      <c r="G841" s="12" t="e">
        <f>'[4]#REF'!G841</f>
        <v>#REF!</v>
      </c>
      <c r="H841" s="31" t="e">
        <f>'[4]#REF'!I841</f>
        <v>#REF!</v>
      </c>
      <c r="I841" s="32" t="e">
        <f t="shared" si="38"/>
        <v>#REF!</v>
      </c>
    </row>
    <row r="842" ht="15.75" spans="1:9">
      <c r="A842" s="12" t="e">
        <f>'[4]#REF'!A842</f>
        <v>#REF!</v>
      </c>
      <c r="B842" s="12" t="e">
        <f>'[4]#REF'!B842</f>
        <v>#REF!</v>
      </c>
      <c r="C842" s="31" t="e">
        <f>'[4]#REF'!D842</f>
        <v>#REF!</v>
      </c>
      <c r="D842" s="32" t="e">
        <f t="shared" si="37"/>
        <v>#REF!</v>
      </c>
      <c r="F842" s="12" t="e">
        <f>'[4]#REF'!F842</f>
        <v>#REF!</v>
      </c>
      <c r="G842" s="12" t="e">
        <f>'[4]#REF'!G842</f>
        <v>#REF!</v>
      </c>
      <c r="H842" s="31" t="e">
        <f>'[4]#REF'!I842</f>
        <v>#REF!</v>
      </c>
      <c r="I842" s="32" t="e">
        <f t="shared" si="38"/>
        <v>#REF!</v>
      </c>
    </row>
    <row r="843" ht="15.75" spans="1:9">
      <c r="A843" s="12" t="e">
        <f>'[4]#REF'!A843</f>
        <v>#REF!</v>
      </c>
      <c r="B843" s="12" t="e">
        <f>'[4]#REF'!B843</f>
        <v>#REF!</v>
      </c>
      <c r="C843" s="31" t="e">
        <f>'[4]#REF'!D843</f>
        <v>#REF!</v>
      </c>
      <c r="D843" s="32" t="e">
        <f t="shared" si="37"/>
        <v>#REF!</v>
      </c>
      <c r="F843" s="12" t="e">
        <f>'[4]#REF'!F843</f>
        <v>#REF!</v>
      </c>
      <c r="G843" s="12" t="e">
        <f>'[4]#REF'!G843</f>
        <v>#REF!</v>
      </c>
      <c r="H843" s="31" t="e">
        <f>'[4]#REF'!I843</f>
        <v>#REF!</v>
      </c>
      <c r="I843" s="32" t="e">
        <f t="shared" si="38"/>
        <v>#REF!</v>
      </c>
    </row>
    <row r="844" ht="15.75" spans="1:9">
      <c r="A844" s="12" t="e">
        <f>'[4]#REF'!A844</f>
        <v>#REF!</v>
      </c>
      <c r="B844" s="12" t="e">
        <f>'[4]#REF'!B844</f>
        <v>#REF!</v>
      </c>
      <c r="C844" s="31" t="e">
        <f>'[4]#REF'!D844</f>
        <v>#REF!</v>
      </c>
      <c r="D844" s="32" t="e">
        <f t="shared" si="37"/>
        <v>#REF!</v>
      </c>
      <c r="F844" s="12" t="e">
        <f>'[4]#REF'!F844</f>
        <v>#REF!</v>
      </c>
      <c r="G844" s="12" t="e">
        <f>'[4]#REF'!G844</f>
        <v>#REF!</v>
      </c>
      <c r="H844" s="31" t="e">
        <f>'[4]#REF'!I844</f>
        <v>#REF!</v>
      </c>
      <c r="I844" s="32" t="e">
        <f t="shared" si="38"/>
        <v>#REF!</v>
      </c>
    </row>
    <row r="845" ht="15.75" spans="1:9">
      <c r="A845" s="12" t="e">
        <f>'[4]#REF'!A845</f>
        <v>#REF!</v>
      </c>
      <c r="B845" s="12" t="e">
        <f>'[4]#REF'!B845</f>
        <v>#REF!</v>
      </c>
      <c r="C845" s="31" t="e">
        <f>'[4]#REF'!D845</f>
        <v>#REF!</v>
      </c>
      <c r="D845" s="32" t="e">
        <f t="shared" si="37"/>
        <v>#REF!</v>
      </c>
      <c r="F845" s="12" t="e">
        <f>'[4]#REF'!F845</f>
        <v>#REF!</v>
      </c>
      <c r="G845" s="12" t="e">
        <f>'[4]#REF'!G845</f>
        <v>#REF!</v>
      </c>
      <c r="H845" s="31" t="e">
        <f>'[4]#REF'!I845</f>
        <v>#REF!</v>
      </c>
      <c r="I845" s="32" t="e">
        <f t="shared" si="38"/>
        <v>#REF!</v>
      </c>
    </row>
    <row r="846" ht="15.75" spans="1:9">
      <c r="A846" s="12" t="e">
        <f>'[4]#REF'!A846</f>
        <v>#REF!</v>
      </c>
      <c r="B846" s="12" t="e">
        <f>'[4]#REF'!B846</f>
        <v>#REF!</v>
      </c>
      <c r="C846" s="31" t="e">
        <f>'[4]#REF'!D846</f>
        <v>#REF!</v>
      </c>
      <c r="D846" s="32" t="e">
        <f t="shared" si="37"/>
        <v>#REF!</v>
      </c>
      <c r="F846" s="12" t="e">
        <f>'[4]#REF'!F846</f>
        <v>#REF!</v>
      </c>
      <c r="G846" s="12" t="e">
        <f>'[4]#REF'!G846</f>
        <v>#REF!</v>
      </c>
      <c r="H846" s="31" t="e">
        <f>'[4]#REF'!I846</f>
        <v>#REF!</v>
      </c>
      <c r="I846" s="32" t="e">
        <f t="shared" si="38"/>
        <v>#REF!</v>
      </c>
    </row>
    <row r="847" ht="15.75" spans="1:9">
      <c r="A847" s="12" t="e">
        <f>'[4]#REF'!A847</f>
        <v>#REF!</v>
      </c>
      <c r="B847" s="12" t="e">
        <f>'[4]#REF'!B847</f>
        <v>#REF!</v>
      </c>
      <c r="C847" s="31" t="e">
        <f>'[4]#REF'!D847</f>
        <v>#REF!</v>
      </c>
      <c r="D847" s="32" t="e">
        <f t="shared" si="37"/>
        <v>#REF!</v>
      </c>
      <c r="F847" s="12" t="e">
        <f>'[4]#REF'!F847</f>
        <v>#REF!</v>
      </c>
      <c r="G847" s="12" t="e">
        <f>'[4]#REF'!G847</f>
        <v>#REF!</v>
      </c>
      <c r="H847" s="31" t="e">
        <f>'[4]#REF'!I847</f>
        <v>#REF!</v>
      </c>
      <c r="I847" s="32" t="e">
        <f t="shared" si="38"/>
        <v>#REF!</v>
      </c>
    </row>
    <row r="848" ht="15.75" spans="1:9">
      <c r="A848" s="12" t="e">
        <f>'[4]#REF'!A848</f>
        <v>#REF!</v>
      </c>
      <c r="B848" s="12" t="e">
        <f>'[4]#REF'!B848</f>
        <v>#REF!</v>
      </c>
      <c r="C848" s="31" t="e">
        <f>'[4]#REF'!D848</f>
        <v>#REF!</v>
      </c>
      <c r="D848" s="32" t="e">
        <f t="shared" si="37"/>
        <v>#REF!</v>
      </c>
      <c r="F848" s="12" t="e">
        <f>'[4]#REF'!F848</f>
        <v>#REF!</v>
      </c>
      <c r="G848" s="12" t="e">
        <f>'[4]#REF'!G848</f>
        <v>#REF!</v>
      </c>
      <c r="H848" s="31" t="e">
        <f>'[4]#REF'!I848</f>
        <v>#REF!</v>
      </c>
      <c r="I848" s="32" t="e">
        <f t="shared" si="38"/>
        <v>#REF!</v>
      </c>
    </row>
    <row r="849" ht="15.75" spans="1:9">
      <c r="A849" s="12" t="e">
        <f>'[4]#REF'!A849</f>
        <v>#REF!</v>
      </c>
      <c r="B849" s="12" t="e">
        <f>'[4]#REF'!B849</f>
        <v>#REF!</v>
      </c>
      <c r="C849" s="31" t="e">
        <f>'[4]#REF'!D849</f>
        <v>#REF!</v>
      </c>
      <c r="D849" s="32" t="e">
        <f t="shared" si="37"/>
        <v>#REF!</v>
      </c>
      <c r="F849" s="12" t="e">
        <f>'[4]#REF'!F849</f>
        <v>#REF!</v>
      </c>
      <c r="G849" s="12" t="e">
        <f>'[4]#REF'!G849</f>
        <v>#REF!</v>
      </c>
      <c r="H849" s="31" t="e">
        <f>'[4]#REF'!I849</f>
        <v>#REF!</v>
      </c>
      <c r="I849" s="32" t="e">
        <f t="shared" si="38"/>
        <v>#REF!</v>
      </c>
    </row>
    <row r="850" ht="15.75" spans="1:9">
      <c r="A850" s="12" t="e">
        <f>'[4]#REF'!A850</f>
        <v>#REF!</v>
      </c>
      <c r="B850" s="12" t="e">
        <f>'[4]#REF'!B850</f>
        <v>#REF!</v>
      </c>
      <c r="C850" s="31" t="e">
        <f>'[4]#REF'!D850</f>
        <v>#REF!</v>
      </c>
      <c r="D850" s="32" t="e">
        <f t="shared" si="37"/>
        <v>#REF!</v>
      </c>
      <c r="F850" s="12" t="e">
        <f>'[4]#REF'!F850</f>
        <v>#REF!</v>
      </c>
      <c r="G850" s="12" t="e">
        <f>'[4]#REF'!G850</f>
        <v>#REF!</v>
      </c>
      <c r="H850" s="31" t="e">
        <f>'[4]#REF'!I850</f>
        <v>#REF!</v>
      </c>
      <c r="I850" s="32" t="e">
        <f t="shared" si="38"/>
        <v>#REF!</v>
      </c>
    </row>
    <row r="851" ht="15.75" spans="1:9">
      <c r="A851" s="12" t="e">
        <f>'[4]#REF'!A851</f>
        <v>#REF!</v>
      </c>
      <c r="B851" s="12" t="e">
        <f>'[4]#REF'!B851</f>
        <v>#REF!</v>
      </c>
      <c r="C851" s="31" t="e">
        <f>'[4]#REF'!D851</f>
        <v>#REF!</v>
      </c>
      <c r="D851" s="32" t="e">
        <f t="shared" si="37"/>
        <v>#REF!</v>
      </c>
      <c r="F851" s="12" t="e">
        <f>'[4]#REF'!F851</f>
        <v>#REF!</v>
      </c>
      <c r="G851" s="12" t="e">
        <f>'[4]#REF'!G851</f>
        <v>#REF!</v>
      </c>
      <c r="H851" s="31" t="e">
        <f>'[4]#REF'!I851</f>
        <v>#REF!</v>
      </c>
      <c r="I851" s="32" t="e">
        <f t="shared" si="38"/>
        <v>#REF!</v>
      </c>
    </row>
    <row r="852" ht="15.75" spans="1:9">
      <c r="A852" s="12" t="e">
        <f>'[4]#REF'!A852</f>
        <v>#REF!</v>
      </c>
      <c r="B852" s="12" t="e">
        <f>'[4]#REF'!B852</f>
        <v>#REF!</v>
      </c>
      <c r="C852" s="31" t="e">
        <f>'[4]#REF'!D852</f>
        <v>#REF!</v>
      </c>
      <c r="D852" s="32" t="e">
        <f t="shared" si="37"/>
        <v>#REF!</v>
      </c>
      <c r="F852" s="12" t="e">
        <f>'[4]#REF'!F852</f>
        <v>#REF!</v>
      </c>
      <c r="G852" s="12" t="e">
        <f>'[4]#REF'!G852</f>
        <v>#REF!</v>
      </c>
      <c r="H852" s="31" t="e">
        <f>'[4]#REF'!I852</f>
        <v>#REF!</v>
      </c>
      <c r="I852" s="32" t="e">
        <f t="shared" si="38"/>
        <v>#REF!</v>
      </c>
    </row>
    <row r="853" ht="15.75" spans="1:9">
      <c r="A853" s="12" t="e">
        <f>'[4]#REF'!A853</f>
        <v>#REF!</v>
      </c>
      <c r="B853" s="12" t="e">
        <f>'[4]#REF'!B853</f>
        <v>#REF!</v>
      </c>
      <c r="C853" s="31" t="e">
        <f>'[4]#REF'!D853</f>
        <v>#REF!</v>
      </c>
      <c r="D853" s="32" t="e">
        <f t="shared" si="37"/>
        <v>#REF!</v>
      </c>
      <c r="F853" s="12" t="e">
        <f>'[4]#REF'!F853</f>
        <v>#REF!</v>
      </c>
      <c r="G853" s="12" t="e">
        <f>'[4]#REF'!G853</f>
        <v>#REF!</v>
      </c>
      <c r="H853" s="31" t="e">
        <f>'[4]#REF'!I853</f>
        <v>#REF!</v>
      </c>
      <c r="I853" s="32" t="e">
        <f t="shared" si="38"/>
        <v>#REF!</v>
      </c>
    </row>
    <row r="854" ht="15.75" spans="1:9">
      <c r="A854" s="12" t="e">
        <f>'[4]#REF'!A854</f>
        <v>#REF!</v>
      </c>
      <c r="B854" s="12" t="e">
        <f>'[4]#REF'!B854</f>
        <v>#REF!</v>
      </c>
      <c r="C854" s="31" t="e">
        <f>'[4]#REF'!D854</f>
        <v>#REF!</v>
      </c>
      <c r="D854" s="32" t="e">
        <f t="shared" si="37"/>
        <v>#REF!</v>
      </c>
      <c r="F854" s="12" t="e">
        <f>'[4]#REF'!F854</f>
        <v>#REF!</v>
      </c>
      <c r="G854" s="12" t="e">
        <f>'[4]#REF'!G854</f>
        <v>#REF!</v>
      </c>
      <c r="H854" s="31" t="e">
        <f>'[4]#REF'!I854</f>
        <v>#REF!</v>
      </c>
      <c r="I854" s="32" t="e">
        <f t="shared" si="38"/>
        <v>#REF!</v>
      </c>
    </row>
    <row r="855" ht="15.75" spans="1:9">
      <c r="A855" s="12" t="e">
        <f>'[4]#REF'!A855</f>
        <v>#REF!</v>
      </c>
      <c r="B855" s="12" t="e">
        <f>'[4]#REF'!B855</f>
        <v>#REF!</v>
      </c>
      <c r="C855" s="31" t="e">
        <f>'[4]#REF'!D855</f>
        <v>#REF!</v>
      </c>
      <c r="D855" s="32" t="e">
        <f t="shared" si="37"/>
        <v>#REF!</v>
      </c>
      <c r="F855" s="12" t="e">
        <f>'[4]#REF'!F855</f>
        <v>#REF!</v>
      </c>
      <c r="G855" s="12" t="e">
        <f>'[4]#REF'!G855</f>
        <v>#REF!</v>
      </c>
      <c r="H855" s="31" t="e">
        <f>'[4]#REF'!I855</f>
        <v>#REF!</v>
      </c>
      <c r="I855" s="32" t="e">
        <f t="shared" si="38"/>
        <v>#REF!</v>
      </c>
    </row>
    <row r="856" ht="15.75" spans="1:9">
      <c r="A856" s="12" t="e">
        <f>'[4]#REF'!A856</f>
        <v>#REF!</v>
      </c>
      <c r="B856" s="12" t="e">
        <f>'[4]#REF'!B856</f>
        <v>#REF!</v>
      </c>
      <c r="C856" s="31" t="e">
        <f>'[4]#REF'!D856</f>
        <v>#REF!</v>
      </c>
      <c r="D856" s="32" t="e">
        <f t="shared" si="37"/>
        <v>#REF!</v>
      </c>
      <c r="F856" s="12" t="e">
        <f>'[4]#REF'!F856</f>
        <v>#REF!</v>
      </c>
      <c r="G856" s="12" t="e">
        <f>'[4]#REF'!G856</f>
        <v>#REF!</v>
      </c>
      <c r="H856" s="31" t="e">
        <f>'[4]#REF'!I856</f>
        <v>#REF!</v>
      </c>
      <c r="I856" s="32" t="e">
        <f t="shared" si="38"/>
        <v>#REF!</v>
      </c>
    </row>
    <row r="857" ht="15.75" spans="1:9">
      <c r="A857" s="12" t="e">
        <f>'[4]#REF'!A857</f>
        <v>#REF!</v>
      </c>
      <c r="B857" s="12" t="e">
        <f>'[4]#REF'!B857</f>
        <v>#REF!</v>
      </c>
      <c r="C857" s="31" t="e">
        <f>'[4]#REF'!D857</f>
        <v>#REF!</v>
      </c>
      <c r="D857" s="32" t="e">
        <f t="shared" si="37"/>
        <v>#REF!</v>
      </c>
      <c r="F857" s="12" t="e">
        <f>'[4]#REF'!F857</f>
        <v>#REF!</v>
      </c>
      <c r="G857" s="12" t="e">
        <f>'[4]#REF'!G857</f>
        <v>#REF!</v>
      </c>
      <c r="H857" s="31" t="e">
        <f>'[4]#REF'!I857</f>
        <v>#REF!</v>
      </c>
      <c r="I857" s="32" t="e">
        <f t="shared" si="38"/>
        <v>#REF!</v>
      </c>
    </row>
    <row r="858" ht="15.75" spans="1:9">
      <c r="A858" s="12" t="e">
        <f>'[4]#REF'!A858</f>
        <v>#REF!</v>
      </c>
      <c r="B858" s="12" t="e">
        <f>'[4]#REF'!B858</f>
        <v>#REF!</v>
      </c>
      <c r="C858" s="31" t="e">
        <f>'[4]#REF'!D858</f>
        <v>#REF!</v>
      </c>
      <c r="D858" s="32" t="e">
        <f t="shared" si="37"/>
        <v>#REF!</v>
      </c>
      <c r="F858" s="12" t="e">
        <f>'[4]#REF'!F858</f>
        <v>#REF!</v>
      </c>
      <c r="G858" s="12" t="e">
        <f>'[4]#REF'!G858</f>
        <v>#REF!</v>
      </c>
      <c r="H858" s="31" t="e">
        <f>'[4]#REF'!I858</f>
        <v>#REF!</v>
      </c>
      <c r="I858" s="32" t="e">
        <f t="shared" si="38"/>
        <v>#REF!</v>
      </c>
    </row>
    <row r="859" ht="15.75" spans="1:9">
      <c r="A859" s="12" t="e">
        <f>'[4]#REF'!A859</f>
        <v>#REF!</v>
      </c>
      <c r="B859" s="12" t="e">
        <f>'[4]#REF'!B859</f>
        <v>#REF!</v>
      </c>
      <c r="C859" s="31" t="e">
        <f>'[4]#REF'!D859</f>
        <v>#REF!</v>
      </c>
      <c r="D859" s="32" t="e">
        <f t="shared" si="37"/>
        <v>#REF!</v>
      </c>
      <c r="F859" s="12" t="e">
        <f>'[4]#REF'!F859</f>
        <v>#REF!</v>
      </c>
      <c r="G859" s="12" t="e">
        <f>'[4]#REF'!G859</f>
        <v>#REF!</v>
      </c>
      <c r="H859" s="31" t="e">
        <f>'[4]#REF'!I859</f>
        <v>#REF!</v>
      </c>
      <c r="I859" s="32" t="e">
        <f t="shared" si="38"/>
        <v>#REF!</v>
      </c>
    </row>
    <row r="860" ht="15.75" spans="1:9">
      <c r="A860" s="12" t="e">
        <f>'[4]#REF'!A860</f>
        <v>#REF!</v>
      </c>
      <c r="B860" s="12" t="e">
        <f>'[4]#REF'!B860</f>
        <v>#REF!</v>
      </c>
      <c r="C860" s="31" t="e">
        <f>'[4]#REF'!D860</f>
        <v>#REF!</v>
      </c>
      <c r="D860" s="32" t="e">
        <f t="shared" si="37"/>
        <v>#REF!</v>
      </c>
      <c r="F860" s="12" t="e">
        <f>'[4]#REF'!F860</f>
        <v>#REF!</v>
      </c>
      <c r="G860" s="12" t="e">
        <f>'[4]#REF'!G860</f>
        <v>#REF!</v>
      </c>
      <c r="H860" s="31" t="e">
        <f>'[4]#REF'!I860</f>
        <v>#REF!</v>
      </c>
      <c r="I860" s="32" t="e">
        <f t="shared" si="38"/>
        <v>#REF!</v>
      </c>
    </row>
    <row r="861" ht="15.75" spans="1:9">
      <c r="A861" s="12" t="e">
        <f>'[4]#REF'!A861</f>
        <v>#REF!</v>
      </c>
      <c r="B861" s="12" t="e">
        <f>'[4]#REF'!B861</f>
        <v>#REF!</v>
      </c>
      <c r="C861" s="31" t="e">
        <f>'[4]#REF'!D861</f>
        <v>#REF!</v>
      </c>
      <c r="D861" s="32" t="e">
        <f t="shared" si="37"/>
        <v>#REF!</v>
      </c>
      <c r="F861" s="12" t="e">
        <f>'[4]#REF'!F861</f>
        <v>#REF!</v>
      </c>
      <c r="G861" s="12" t="e">
        <f>'[4]#REF'!G861</f>
        <v>#REF!</v>
      </c>
      <c r="H861" s="31" t="e">
        <f>'[4]#REF'!I861</f>
        <v>#REF!</v>
      </c>
      <c r="I861" s="32" t="e">
        <f t="shared" si="38"/>
        <v>#REF!</v>
      </c>
    </row>
    <row r="862" ht="15.75" spans="1:9">
      <c r="A862" s="12" t="e">
        <f>'[4]#REF'!A862</f>
        <v>#REF!</v>
      </c>
      <c r="B862" s="12" t="e">
        <f>'[4]#REF'!B862</f>
        <v>#REF!</v>
      </c>
      <c r="C862" s="31" t="e">
        <f>'[4]#REF'!D862</f>
        <v>#REF!</v>
      </c>
      <c r="D862" s="32" t="e">
        <f t="shared" si="37"/>
        <v>#REF!</v>
      </c>
      <c r="F862" s="12" t="e">
        <f>'[4]#REF'!F862</f>
        <v>#REF!</v>
      </c>
      <c r="G862" s="12" t="e">
        <f>'[4]#REF'!G862</f>
        <v>#REF!</v>
      </c>
      <c r="H862" s="31" t="e">
        <f>'[4]#REF'!I862</f>
        <v>#REF!</v>
      </c>
      <c r="I862" s="32" t="e">
        <f t="shared" si="38"/>
        <v>#REF!</v>
      </c>
    </row>
    <row r="863" ht="15.75" spans="1:9">
      <c r="A863" s="12" t="e">
        <f>'[4]#REF'!A863</f>
        <v>#REF!</v>
      </c>
      <c r="B863" s="12" t="e">
        <f>'[4]#REF'!B863</f>
        <v>#REF!</v>
      </c>
      <c r="C863" s="31" t="e">
        <f>'[4]#REF'!D863</f>
        <v>#REF!</v>
      </c>
      <c r="D863" s="32" t="e">
        <f t="shared" si="37"/>
        <v>#REF!</v>
      </c>
      <c r="F863" s="12" t="e">
        <f>'[4]#REF'!F863</f>
        <v>#REF!</v>
      </c>
      <c r="G863" s="12" t="e">
        <f>'[4]#REF'!G863</f>
        <v>#REF!</v>
      </c>
      <c r="H863" s="31" t="e">
        <f>'[4]#REF'!I863</f>
        <v>#REF!</v>
      </c>
      <c r="I863" s="32" t="e">
        <f t="shared" si="38"/>
        <v>#REF!</v>
      </c>
    </row>
    <row r="864" ht="15.75" spans="1:9">
      <c r="A864" s="12" t="e">
        <f>'[4]#REF'!A864</f>
        <v>#REF!</v>
      </c>
      <c r="B864" s="12" t="e">
        <f>'[4]#REF'!B864</f>
        <v>#REF!</v>
      </c>
      <c r="C864" s="31" t="e">
        <f>'[4]#REF'!D864</f>
        <v>#REF!</v>
      </c>
      <c r="D864" s="32" t="e">
        <f t="shared" si="37"/>
        <v>#REF!</v>
      </c>
      <c r="F864" s="12" t="e">
        <f>'[4]#REF'!F864</f>
        <v>#REF!</v>
      </c>
      <c r="G864" s="12" t="e">
        <f>'[4]#REF'!G864</f>
        <v>#REF!</v>
      </c>
      <c r="H864" s="31" t="e">
        <f>'[4]#REF'!I864</f>
        <v>#REF!</v>
      </c>
      <c r="I864" s="32" t="e">
        <f t="shared" si="38"/>
        <v>#REF!</v>
      </c>
    </row>
    <row r="865" ht="15.75" spans="1:9">
      <c r="A865" s="12" t="e">
        <f>'[4]#REF'!A865</f>
        <v>#REF!</v>
      </c>
      <c r="B865" s="12" t="e">
        <f>'[4]#REF'!B865</f>
        <v>#REF!</v>
      </c>
      <c r="C865" s="31" t="e">
        <f>'[4]#REF'!D865</f>
        <v>#REF!</v>
      </c>
      <c r="D865" s="32" t="e">
        <f t="shared" si="37"/>
        <v>#REF!</v>
      </c>
      <c r="F865" s="12" t="e">
        <f>'[4]#REF'!F865</f>
        <v>#REF!</v>
      </c>
      <c r="G865" s="12" t="e">
        <f>'[4]#REF'!G865</f>
        <v>#REF!</v>
      </c>
      <c r="H865" s="31" t="e">
        <f>'[4]#REF'!I865</f>
        <v>#REF!</v>
      </c>
      <c r="I865" s="32" t="e">
        <f t="shared" si="38"/>
        <v>#REF!</v>
      </c>
    </row>
    <row r="866" ht="15.75" spans="1:9">
      <c r="A866" s="12" t="e">
        <f>'[4]#REF'!A866</f>
        <v>#REF!</v>
      </c>
      <c r="B866" s="12" t="e">
        <f>'[4]#REF'!B866</f>
        <v>#REF!</v>
      </c>
      <c r="C866" s="31" t="e">
        <f>'[4]#REF'!D866</f>
        <v>#REF!</v>
      </c>
      <c r="D866" s="32" t="e">
        <f t="shared" si="37"/>
        <v>#REF!</v>
      </c>
      <c r="F866" s="12" t="e">
        <f>'[4]#REF'!F866</f>
        <v>#REF!</v>
      </c>
      <c r="G866" s="12" t="e">
        <f>'[4]#REF'!G866</f>
        <v>#REF!</v>
      </c>
      <c r="H866" s="31" t="e">
        <f>'[4]#REF'!I866</f>
        <v>#REF!</v>
      </c>
      <c r="I866" s="32" t="e">
        <f t="shared" si="38"/>
        <v>#REF!</v>
      </c>
    </row>
    <row r="867" ht="15.75" spans="1:9">
      <c r="A867" s="12" t="e">
        <f>'[4]#REF'!A867</f>
        <v>#REF!</v>
      </c>
      <c r="B867" s="12" t="e">
        <f>'[4]#REF'!B867</f>
        <v>#REF!</v>
      </c>
      <c r="C867" s="31" t="e">
        <f>'[4]#REF'!D867</f>
        <v>#REF!</v>
      </c>
      <c r="D867" s="32" t="e">
        <f t="shared" si="37"/>
        <v>#REF!</v>
      </c>
      <c r="F867" s="12" t="e">
        <f>'[4]#REF'!F867</f>
        <v>#REF!</v>
      </c>
      <c r="G867" s="12" t="e">
        <f>'[4]#REF'!G867</f>
        <v>#REF!</v>
      </c>
      <c r="H867" s="31" t="e">
        <f>'[4]#REF'!I867</f>
        <v>#REF!</v>
      </c>
      <c r="I867" s="32" t="e">
        <f t="shared" si="38"/>
        <v>#REF!</v>
      </c>
    </row>
    <row r="868" ht="15.75" spans="1:9">
      <c r="A868" s="12" t="e">
        <f>'[4]#REF'!A868</f>
        <v>#REF!</v>
      </c>
      <c r="B868" s="12" t="e">
        <f>'[4]#REF'!B868</f>
        <v>#REF!</v>
      </c>
      <c r="C868" s="31" t="e">
        <f>'[4]#REF'!D868</f>
        <v>#REF!</v>
      </c>
      <c r="D868" s="32" t="e">
        <f t="shared" si="37"/>
        <v>#REF!</v>
      </c>
      <c r="F868" s="12" t="e">
        <f>'[4]#REF'!F868</f>
        <v>#REF!</v>
      </c>
      <c r="G868" s="12" t="e">
        <f>'[4]#REF'!G868</f>
        <v>#REF!</v>
      </c>
      <c r="H868" s="31" t="e">
        <f>'[4]#REF'!I868</f>
        <v>#REF!</v>
      </c>
      <c r="I868" s="32" t="e">
        <f t="shared" si="38"/>
        <v>#REF!</v>
      </c>
    </row>
    <row r="869" ht="15.75" spans="1:9">
      <c r="A869" s="12" t="e">
        <f>'[4]#REF'!A869</f>
        <v>#REF!</v>
      </c>
      <c r="B869" s="12" t="e">
        <f>'[4]#REF'!B869</f>
        <v>#REF!</v>
      </c>
      <c r="C869" s="31" t="e">
        <f>'[4]#REF'!D869</f>
        <v>#REF!</v>
      </c>
      <c r="D869" s="32" t="e">
        <f t="shared" si="37"/>
        <v>#REF!</v>
      </c>
      <c r="F869" s="12" t="e">
        <f>'[4]#REF'!F869</f>
        <v>#REF!</v>
      </c>
      <c r="G869" s="12" t="e">
        <f>'[4]#REF'!G869</f>
        <v>#REF!</v>
      </c>
      <c r="H869" s="31" t="e">
        <f>'[4]#REF'!I869</f>
        <v>#REF!</v>
      </c>
      <c r="I869" s="32" t="e">
        <f t="shared" si="38"/>
        <v>#REF!</v>
      </c>
    </row>
    <row r="870" ht="15.75" spans="1:9">
      <c r="A870" s="12" t="e">
        <f>'[4]#REF'!A870</f>
        <v>#REF!</v>
      </c>
      <c r="B870" s="12" t="e">
        <f>'[4]#REF'!B870</f>
        <v>#REF!</v>
      </c>
      <c r="C870" s="31" t="e">
        <f>'[4]#REF'!D870</f>
        <v>#REF!</v>
      </c>
      <c r="D870" s="32" t="e">
        <f t="shared" si="37"/>
        <v>#REF!</v>
      </c>
      <c r="F870" s="12" t="e">
        <f>'[4]#REF'!F870</f>
        <v>#REF!</v>
      </c>
      <c r="G870" s="12" t="e">
        <f>'[4]#REF'!G870</f>
        <v>#REF!</v>
      </c>
      <c r="H870" s="31" t="e">
        <f>'[4]#REF'!I870</f>
        <v>#REF!</v>
      </c>
      <c r="I870" s="32" t="e">
        <f t="shared" si="38"/>
        <v>#REF!</v>
      </c>
    </row>
    <row r="871" ht="15.75" spans="1:9">
      <c r="A871" s="12" t="e">
        <f>'[4]#REF'!A871</f>
        <v>#REF!</v>
      </c>
      <c r="B871" s="12" t="e">
        <f>'[4]#REF'!B871</f>
        <v>#REF!</v>
      </c>
      <c r="C871" s="31" t="e">
        <f>'[4]#REF'!D871</f>
        <v>#REF!</v>
      </c>
      <c r="D871" s="32" t="e">
        <f t="shared" si="37"/>
        <v>#REF!</v>
      </c>
      <c r="F871" s="12" t="e">
        <f>'[4]#REF'!F871</f>
        <v>#REF!</v>
      </c>
      <c r="G871" s="12" t="e">
        <f>'[4]#REF'!G871</f>
        <v>#REF!</v>
      </c>
      <c r="H871" s="31" t="e">
        <f>'[4]#REF'!I871</f>
        <v>#REF!</v>
      </c>
      <c r="I871" s="32" t="e">
        <f t="shared" si="38"/>
        <v>#REF!</v>
      </c>
    </row>
    <row r="872" ht="15.75" spans="1:9">
      <c r="A872" s="12" t="e">
        <f>'[4]#REF'!A872</f>
        <v>#REF!</v>
      </c>
      <c r="B872" s="12" t="e">
        <f>'[4]#REF'!B872</f>
        <v>#REF!</v>
      </c>
      <c r="C872" s="31" t="e">
        <f>'[4]#REF'!D872</f>
        <v>#REF!</v>
      </c>
      <c r="D872" s="32" t="e">
        <f t="shared" si="37"/>
        <v>#REF!</v>
      </c>
      <c r="F872" s="12" t="e">
        <f>'[4]#REF'!F872</f>
        <v>#REF!</v>
      </c>
      <c r="G872" s="12" t="e">
        <f>'[4]#REF'!G872</f>
        <v>#REF!</v>
      </c>
      <c r="H872" s="31" t="e">
        <f>'[4]#REF'!I872</f>
        <v>#REF!</v>
      </c>
      <c r="I872" s="32" t="e">
        <f t="shared" si="38"/>
        <v>#REF!</v>
      </c>
    </row>
    <row r="873" ht="15.75" spans="1:9">
      <c r="A873" s="12" t="e">
        <f>'[4]#REF'!A873</f>
        <v>#REF!</v>
      </c>
      <c r="B873" s="12" t="e">
        <f>'[4]#REF'!B873</f>
        <v>#REF!</v>
      </c>
      <c r="C873" s="31" t="e">
        <f>'[4]#REF'!D873</f>
        <v>#REF!</v>
      </c>
      <c r="D873" s="32" t="e">
        <f t="shared" si="37"/>
        <v>#REF!</v>
      </c>
      <c r="F873" s="12" t="e">
        <f>'[4]#REF'!F873</f>
        <v>#REF!</v>
      </c>
      <c r="G873" s="12" t="e">
        <f>'[4]#REF'!G873</f>
        <v>#REF!</v>
      </c>
      <c r="H873" s="31" t="e">
        <f>'[4]#REF'!I873</f>
        <v>#REF!</v>
      </c>
      <c r="I873" s="32" t="e">
        <f t="shared" si="38"/>
        <v>#REF!</v>
      </c>
    </row>
    <row r="874" ht="15.75" spans="1:9">
      <c r="A874" s="12" t="e">
        <f>'[4]#REF'!A874</f>
        <v>#REF!</v>
      </c>
      <c r="B874" s="12" t="e">
        <f>'[4]#REF'!B874</f>
        <v>#REF!</v>
      </c>
      <c r="C874" s="31" t="e">
        <f>'[4]#REF'!D874</f>
        <v>#REF!</v>
      </c>
      <c r="D874" s="32" t="e">
        <f t="shared" si="37"/>
        <v>#REF!</v>
      </c>
      <c r="F874" s="12" t="e">
        <f>'[4]#REF'!F874</f>
        <v>#REF!</v>
      </c>
      <c r="G874" s="12" t="e">
        <f>'[4]#REF'!G874</f>
        <v>#REF!</v>
      </c>
      <c r="H874" s="31" t="e">
        <f>'[4]#REF'!I874</f>
        <v>#REF!</v>
      </c>
      <c r="I874" s="32" t="e">
        <f t="shared" si="38"/>
        <v>#REF!</v>
      </c>
    </row>
    <row r="875" ht="15.75" spans="1:9">
      <c r="A875" s="12" t="e">
        <f>'[4]#REF'!A875</f>
        <v>#REF!</v>
      </c>
      <c r="B875" s="12" t="e">
        <f>'[4]#REF'!B875</f>
        <v>#REF!</v>
      </c>
      <c r="C875" s="31" t="e">
        <f>'[4]#REF'!D875</f>
        <v>#REF!</v>
      </c>
      <c r="D875" s="32" t="e">
        <f t="shared" si="37"/>
        <v>#REF!</v>
      </c>
      <c r="F875" s="12" t="e">
        <f>'[4]#REF'!F875</f>
        <v>#REF!</v>
      </c>
      <c r="G875" s="12" t="e">
        <f>'[4]#REF'!G875</f>
        <v>#REF!</v>
      </c>
      <c r="H875" s="31" t="e">
        <f>'[4]#REF'!I875</f>
        <v>#REF!</v>
      </c>
      <c r="I875" s="32" t="e">
        <f t="shared" si="38"/>
        <v>#REF!</v>
      </c>
    </row>
    <row r="876" ht="15.75" spans="1:9">
      <c r="A876" s="12" t="e">
        <f>'[4]#REF'!A876</f>
        <v>#REF!</v>
      </c>
      <c r="B876" s="12" t="e">
        <f>'[4]#REF'!B876</f>
        <v>#REF!</v>
      </c>
      <c r="C876" s="31" t="e">
        <f>'[4]#REF'!D876</f>
        <v>#REF!</v>
      </c>
      <c r="D876" s="32" t="e">
        <f t="shared" si="37"/>
        <v>#REF!</v>
      </c>
      <c r="F876" s="12" t="e">
        <f>'[4]#REF'!F876</f>
        <v>#REF!</v>
      </c>
      <c r="G876" s="12" t="e">
        <f>'[4]#REF'!G876</f>
        <v>#REF!</v>
      </c>
      <c r="H876" s="31" t="e">
        <f>'[4]#REF'!I876</f>
        <v>#REF!</v>
      </c>
      <c r="I876" s="32" t="e">
        <f t="shared" si="38"/>
        <v>#REF!</v>
      </c>
    </row>
    <row r="877" ht="15.75" spans="1:9">
      <c r="A877" s="12" t="e">
        <f>'[4]#REF'!A877</f>
        <v>#REF!</v>
      </c>
      <c r="B877" s="12" t="e">
        <f>'[4]#REF'!B877</f>
        <v>#REF!</v>
      </c>
      <c r="C877" s="31" t="e">
        <f>'[4]#REF'!D877</f>
        <v>#REF!</v>
      </c>
      <c r="D877" s="32" t="e">
        <f t="shared" si="37"/>
        <v>#REF!</v>
      </c>
      <c r="F877" s="12" t="e">
        <f>'[4]#REF'!F877</f>
        <v>#REF!</v>
      </c>
      <c r="G877" s="12" t="e">
        <f>'[4]#REF'!G877</f>
        <v>#REF!</v>
      </c>
      <c r="H877" s="31" t="e">
        <f>'[4]#REF'!I877</f>
        <v>#REF!</v>
      </c>
      <c r="I877" s="32" t="e">
        <f t="shared" si="38"/>
        <v>#REF!</v>
      </c>
    </row>
    <row r="878" ht="15.75" spans="1:9">
      <c r="A878" s="12" t="e">
        <f>'[4]#REF'!A878</f>
        <v>#REF!</v>
      </c>
      <c r="B878" s="12" t="e">
        <f>'[4]#REF'!B878</f>
        <v>#REF!</v>
      </c>
      <c r="C878" s="31" t="e">
        <f>'[4]#REF'!D878</f>
        <v>#REF!</v>
      </c>
      <c r="D878" s="32" t="e">
        <f t="shared" si="37"/>
        <v>#REF!</v>
      </c>
      <c r="F878" s="12" t="e">
        <f>'[4]#REF'!F878</f>
        <v>#REF!</v>
      </c>
      <c r="G878" s="12" t="e">
        <f>'[4]#REF'!G878</f>
        <v>#REF!</v>
      </c>
      <c r="H878" s="31" t="e">
        <f>'[4]#REF'!I878</f>
        <v>#REF!</v>
      </c>
      <c r="I878" s="32" t="e">
        <f t="shared" si="38"/>
        <v>#REF!</v>
      </c>
    </row>
    <row r="879" ht="15.75" spans="1:9">
      <c r="A879" s="12" t="e">
        <f>'[4]#REF'!A879</f>
        <v>#REF!</v>
      </c>
      <c r="B879" s="12" t="e">
        <f>'[4]#REF'!B879</f>
        <v>#REF!</v>
      </c>
      <c r="C879" s="31" t="e">
        <f>'[4]#REF'!D879</f>
        <v>#REF!</v>
      </c>
      <c r="D879" s="32" t="e">
        <f t="shared" si="37"/>
        <v>#REF!</v>
      </c>
      <c r="F879" s="12" t="e">
        <f>'[4]#REF'!F879</f>
        <v>#REF!</v>
      </c>
      <c r="G879" s="12" t="e">
        <f>'[4]#REF'!G879</f>
        <v>#REF!</v>
      </c>
      <c r="H879" s="31" t="e">
        <f>'[4]#REF'!I879</f>
        <v>#REF!</v>
      </c>
      <c r="I879" s="32" t="e">
        <f t="shared" si="38"/>
        <v>#REF!</v>
      </c>
    </row>
    <row r="880" ht="15.75" spans="1:9">
      <c r="A880" s="12" t="e">
        <f>'[4]#REF'!A880</f>
        <v>#REF!</v>
      </c>
      <c r="B880" s="12" t="e">
        <f>'[4]#REF'!B880</f>
        <v>#REF!</v>
      </c>
      <c r="C880" s="31" t="e">
        <f>'[4]#REF'!D880</f>
        <v>#REF!</v>
      </c>
      <c r="D880" s="32" t="e">
        <f t="shared" si="37"/>
        <v>#REF!</v>
      </c>
      <c r="F880" s="12" t="e">
        <f>'[4]#REF'!F880</f>
        <v>#REF!</v>
      </c>
      <c r="G880" s="12" t="e">
        <f>'[4]#REF'!G880</f>
        <v>#REF!</v>
      </c>
      <c r="H880" s="31" t="e">
        <f>'[4]#REF'!I880</f>
        <v>#REF!</v>
      </c>
      <c r="I880" s="32" t="e">
        <f t="shared" si="38"/>
        <v>#REF!</v>
      </c>
    </row>
    <row r="881" ht="15.75" spans="1:9">
      <c r="A881" s="12" t="e">
        <f>'[4]#REF'!A881</f>
        <v>#REF!</v>
      </c>
      <c r="B881" s="12" t="e">
        <f>'[4]#REF'!B881</f>
        <v>#REF!</v>
      </c>
      <c r="C881" s="31" t="e">
        <f>'[4]#REF'!D881</f>
        <v>#REF!</v>
      </c>
      <c r="D881" s="32" t="e">
        <f t="shared" si="37"/>
        <v>#REF!</v>
      </c>
      <c r="F881" s="12" t="e">
        <f>'[4]#REF'!F881</f>
        <v>#REF!</v>
      </c>
      <c r="G881" s="12" t="e">
        <f>'[4]#REF'!G881</f>
        <v>#REF!</v>
      </c>
      <c r="H881" s="31" t="e">
        <f>'[4]#REF'!I881</f>
        <v>#REF!</v>
      </c>
      <c r="I881" s="32" t="e">
        <f t="shared" si="38"/>
        <v>#REF!</v>
      </c>
    </row>
    <row r="882" ht="15.75" spans="1:9">
      <c r="A882" s="12" t="e">
        <f>'[4]#REF'!A882</f>
        <v>#REF!</v>
      </c>
      <c r="B882" s="12" t="e">
        <f>'[4]#REF'!B882</f>
        <v>#REF!</v>
      </c>
      <c r="C882" s="31" t="e">
        <f>'[4]#REF'!D882</f>
        <v>#REF!</v>
      </c>
      <c r="D882" s="32" t="e">
        <f t="shared" si="37"/>
        <v>#REF!</v>
      </c>
      <c r="F882" s="12" t="e">
        <f>'[4]#REF'!F882</f>
        <v>#REF!</v>
      </c>
      <c r="G882" s="12" t="e">
        <f>'[4]#REF'!G882</f>
        <v>#REF!</v>
      </c>
      <c r="H882" s="31" t="e">
        <f>'[4]#REF'!I882</f>
        <v>#REF!</v>
      </c>
      <c r="I882" s="32" t="e">
        <f t="shared" si="38"/>
        <v>#REF!</v>
      </c>
    </row>
    <row r="883" ht="15.75" spans="1:9">
      <c r="A883" s="12" t="e">
        <f>'[4]#REF'!A883</f>
        <v>#REF!</v>
      </c>
      <c r="B883" s="12" t="e">
        <f>'[4]#REF'!B883</f>
        <v>#REF!</v>
      </c>
      <c r="C883" s="31" t="e">
        <f>'[4]#REF'!D883</f>
        <v>#REF!</v>
      </c>
      <c r="D883" s="32" t="e">
        <f t="shared" si="37"/>
        <v>#REF!</v>
      </c>
      <c r="F883" s="12" t="e">
        <f>'[4]#REF'!F883</f>
        <v>#REF!</v>
      </c>
      <c r="G883" s="12" t="e">
        <f>'[4]#REF'!G883</f>
        <v>#REF!</v>
      </c>
      <c r="H883" s="31" t="e">
        <f>'[4]#REF'!I883</f>
        <v>#REF!</v>
      </c>
      <c r="I883" s="32" t="e">
        <f t="shared" si="38"/>
        <v>#REF!</v>
      </c>
    </row>
    <row r="884" ht="15.75" spans="1:9">
      <c r="A884" s="12" t="e">
        <f>'[4]#REF'!A884</f>
        <v>#REF!</v>
      </c>
      <c r="B884" s="12" t="e">
        <f>'[4]#REF'!B884</f>
        <v>#REF!</v>
      </c>
      <c r="C884" s="31" t="e">
        <f>'[4]#REF'!D884</f>
        <v>#REF!</v>
      </c>
      <c r="D884" s="32" t="e">
        <f t="shared" si="37"/>
        <v>#REF!</v>
      </c>
      <c r="F884" s="12" t="e">
        <f>'[4]#REF'!F884</f>
        <v>#REF!</v>
      </c>
      <c r="G884" s="12" t="e">
        <f>'[4]#REF'!G884</f>
        <v>#REF!</v>
      </c>
      <c r="H884" s="31" t="e">
        <f>'[4]#REF'!I884</f>
        <v>#REF!</v>
      </c>
      <c r="I884" s="32" t="e">
        <f t="shared" si="38"/>
        <v>#REF!</v>
      </c>
    </row>
    <row r="885" ht="15.75" spans="1:9">
      <c r="A885" s="12" t="e">
        <f>'[4]#REF'!A885</f>
        <v>#REF!</v>
      </c>
      <c r="B885" s="12" t="e">
        <f>'[4]#REF'!B885</f>
        <v>#REF!</v>
      </c>
      <c r="C885" s="31" t="e">
        <f>'[4]#REF'!D885</f>
        <v>#REF!</v>
      </c>
      <c r="D885" s="32" t="e">
        <f t="shared" si="37"/>
        <v>#REF!</v>
      </c>
      <c r="F885" s="12" t="e">
        <f>'[4]#REF'!F885</f>
        <v>#REF!</v>
      </c>
      <c r="G885" s="12" t="e">
        <f>'[4]#REF'!G885</f>
        <v>#REF!</v>
      </c>
      <c r="H885" s="31" t="e">
        <f>'[4]#REF'!I885</f>
        <v>#REF!</v>
      </c>
      <c r="I885" s="32" t="e">
        <f t="shared" si="38"/>
        <v>#REF!</v>
      </c>
    </row>
    <row r="886" ht="15.75" spans="1:9">
      <c r="A886" s="12" t="e">
        <f>'[4]#REF'!A886</f>
        <v>#REF!</v>
      </c>
      <c r="B886" s="12" t="e">
        <f>'[4]#REF'!B886</f>
        <v>#REF!</v>
      </c>
      <c r="C886" s="31" t="e">
        <f>'[4]#REF'!D886</f>
        <v>#REF!</v>
      </c>
      <c r="D886" s="32" t="e">
        <f t="shared" si="37"/>
        <v>#REF!</v>
      </c>
      <c r="F886" s="12" t="e">
        <f>'[4]#REF'!F886</f>
        <v>#REF!</v>
      </c>
      <c r="G886" s="12" t="e">
        <f>'[4]#REF'!G886</f>
        <v>#REF!</v>
      </c>
      <c r="H886" s="31" t="e">
        <f>'[4]#REF'!I886</f>
        <v>#REF!</v>
      </c>
      <c r="I886" s="32" t="e">
        <f t="shared" si="38"/>
        <v>#REF!</v>
      </c>
    </row>
    <row r="887" ht="15.75" spans="1:9">
      <c r="A887" s="12" t="e">
        <f>'[4]#REF'!A887</f>
        <v>#REF!</v>
      </c>
      <c r="B887" s="12" t="e">
        <f>'[4]#REF'!B887</f>
        <v>#REF!</v>
      </c>
      <c r="C887" s="31" t="e">
        <f>'[4]#REF'!D887</f>
        <v>#REF!</v>
      </c>
      <c r="D887" s="32" t="e">
        <f t="shared" si="37"/>
        <v>#REF!</v>
      </c>
      <c r="F887" s="12" t="e">
        <f>'[4]#REF'!F887</f>
        <v>#REF!</v>
      </c>
      <c r="G887" s="12" t="e">
        <f>'[4]#REF'!G887</f>
        <v>#REF!</v>
      </c>
      <c r="H887" s="31" t="e">
        <f>'[4]#REF'!I887</f>
        <v>#REF!</v>
      </c>
      <c r="I887" s="32" t="e">
        <f t="shared" si="38"/>
        <v>#REF!</v>
      </c>
    </row>
    <row r="888" ht="15.75" spans="1:9">
      <c r="A888" s="12" t="e">
        <f>'[4]#REF'!A888</f>
        <v>#REF!</v>
      </c>
      <c r="B888" s="12" t="e">
        <f>'[4]#REF'!B888</f>
        <v>#REF!</v>
      </c>
      <c r="C888" s="31" t="e">
        <f>'[4]#REF'!D888</f>
        <v>#REF!</v>
      </c>
      <c r="D888" s="32" t="e">
        <f t="shared" si="37"/>
        <v>#REF!</v>
      </c>
      <c r="F888" s="12" t="e">
        <f>'[4]#REF'!F888</f>
        <v>#REF!</v>
      </c>
      <c r="G888" s="12" t="e">
        <f>'[4]#REF'!G888</f>
        <v>#REF!</v>
      </c>
      <c r="H888" s="31" t="e">
        <f>'[4]#REF'!I888</f>
        <v>#REF!</v>
      </c>
      <c r="I888" s="32" t="e">
        <f t="shared" si="38"/>
        <v>#REF!</v>
      </c>
    </row>
    <row r="889" ht="15.75" spans="1:9">
      <c r="A889" s="12" t="e">
        <f>'[4]#REF'!A889</f>
        <v>#REF!</v>
      </c>
      <c r="B889" s="12" t="e">
        <f>'[4]#REF'!B889</f>
        <v>#REF!</v>
      </c>
      <c r="C889" s="31" t="e">
        <f>'[4]#REF'!D889</f>
        <v>#REF!</v>
      </c>
      <c r="D889" s="32" t="e">
        <f t="shared" si="37"/>
        <v>#REF!</v>
      </c>
      <c r="F889" s="12" t="e">
        <f>'[4]#REF'!F889</f>
        <v>#REF!</v>
      </c>
      <c r="G889" s="12" t="e">
        <f>'[4]#REF'!G889</f>
        <v>#REF!</v>
      </c>
      <c r="H889" s="31" t="e">
        <f>'[4]#REF'!I889</f>
        <v>#REF!</v>
      </c>
      <c r="I889" s="32" t="e">
        <f t="shared" si="38"/>
        <v>#REF!</v>
      </c>
    </row>
    <row r="890" ht="15.75" spans="1:9">
      <c r="A890" s="12" t="e">
        <f>'[4]#REF'!A890</f>
        <v>#REF!</v>
      </c>
      <c r="B890" s="12" t="e">
        <f>'[4]#REF'!B890</f>
        <v>#REF!</v>
      </c>
      <c r="C890" s="31" t="e">
        <f>'[4]#REF'!D890</f>
        <v>#REF!</v>
      </c>
      <c r="D890" s="32" t="e">
        <f t="shared" si="37"/>
        <v>#REF!</v>
      </c>
      <c r="F890" s="12" t="e">
        <f>'[4]#REF'!F890</f>
        <v>#REF!</v>
      </c>
      <c r="G890" s="12" t="e">
        <f>'[4]#REF'!G890</f>
        <v>#REF!</v>
      </c>
      <c r="H890" s="31" t="e">
        <f>'[4]#REF'!I890</f>
        <v>#REF!</v>
      </c>
      <c r="I890" s="32" t="e">
        <f t="shared" si="38"/>
        <v>#REF!</v>
      </c>
    </row>
    <row r="891" ht="15.75" spans="1:9">
      <c r="A891" s="12" t="e">
        <f>'[4]#REF'!A891</f>
        <v>#REF!</v>
      </c>
      <c r="B891" s="12" t="e">
        <f>'[4]#REF'!B891</f>
        <v>#REF!</v>
      </c>
      <c r="C891" s="31" t="e">
        <f>'[4]#REF'!D891</f>
        <v>#REF!</v>
      </c>
      <c r="D891" s="32" t="e">
        <f t="shared" si="37"/>
        <v>#REF!</v>
      </c>
      <c r="F891" s="12" t="e">
        <f>'[4]#REF'!F891</f>
        <v>#REF!</v>
      </c>
      <c r="G891" s="12" t="e">
        <f>'[4]#REF'!G891</f>
        <v>#REF!</v>
      </c>
      <c r="H891" s="31" t="e">
        <f>'[4]#REF'!I891</f>
        <v>#REF!</v>
      </c>
      <c r="I891" s="32" t="e">
        <f t="shared" si="38"/>
        <v>#REF!</v>
      </c>
    </row>
    <row r="892" ht="15.75" spans="1:9">
      <c r="A892" s="12" t="e">
        <f>'[4]#REF'!A892</f>
        <v>#REF!</v>
      </c>
      <c r="B892" s="12" t="e">
        <f>'[4]#REF'!B892</f>
        <v>#REF!</v>
      </c>
      <c r="C892" s="31" t="e">
        <f>'[4]#REF'!D892</f>
        <v>#REF!</v>
      </c>
      <c r="D892" s="32" t="e">
        <f t="shared" si="37"/>
        <v>#REF!</v>
      </c>
      <c r="F892" s="12" t="e">
        <f>'[4]#REF'!F892</f>
        <v>#REF!</v>
      </c>
      <c r="G892" s="12" t="e">
        <f>'[4]#REF'!G892</f>
        <v>#REF!</v>
      </c>
      <c r="H892" s="31" t="e">
        <f>'[4]#REF'!I892</f>
        <v>#REF!</v>
      </c>
      <c r="I892" s="32" t="e">
        <f t="shared" si="38"/>
        <v>#REF!</v>
      </c>
    </row>
    <row r="893" ht="15.75" spans="1:9">
      <c r="A893" s="12" t="e">
        <f>'[4]#REF'!A893</f>
        <v>#REF!</v>
      </c>
      <c r="B893" s="12" t="e">
        <f>'[4]#REF'!B893</f>
        <v>#REF!</v>
      </c>
      <c r="C893" s="31" t="e">
        <f>'[4]#REF'!D893</f>
        <v>#REF!</v>
      </c>
      <c r="D893" s="32" t="e">
        <f t="shared" si="37"/>
        <v>#REF!</v>
      </c>
      <c r="F893" s="12" t="e">
        <f>'[4]#REF'!F893</f>
        <v>#REF!</v>
      </c>
      <c r="G893" s="12" t="e">
        <f>'[4]#REF'!G893</f>
        <v>#REF!</v>
      </c>
      <c r="H893" s="31" t="e">
        <f>'[4]#REF'!I893</f>
        <v>#REF!</v>
      </c>
      <c r="I893" s="32" t="e">
        <f t="shared" si="38"/>
        <v>#REF!</v>
      </c>
    </row>
    <row r="894" ht="15.75" spans="1:9">
      <c r="A894" s="12" t="e">
        <f>'[4]#REF'!A894</f>
        <v>#REF!</v>
      </c>
      <c r="B894" s="12" t="e">
        <f>'[4]#REF'!B894</f>
        <v>#REF!</v>
      </c>
      <c r="C894" s="31" t="e">
        <f>'[4]#REF'!D894</f>
        <v>#REF!</v>
      </c>
      <c r="D894" s="32" t="e">
        <f t="shared" si="37"/>
        <v>#REF!</v>
      </c>
      <c r="F894" s="12" t="e">
        <f>'[4]#REF'!F894</f>
        <v>#REF!</v>
      </c>
      <c r="G894" s="12" t="e">
        <f>'[4]#REF'!G894</f>
        <v>#REF!</v>
      </c>
      <c r="H894" s="31" t="e">
        <f>'[4]#REF'!I894</f>
        <v>#REF!</v>
      </c>
      <c r="I894" s="32" t="e">
        <f t="shared" si="38"/>
        <v>#REF!</v>
      </c>
    </row>
    <row r="895" ht="15.75" spans="1:9">
      <c r="A895" s="12" t="e">
        <f>'[4]#REF'!A895</f>
        <v>#REF!</v>
      </c>
      <c r="B895" s="12" t="e">
        <f>'[4]#REF'!B895</f>
        <v>#REF!</v>
      </c>
      <c r="C895" s="31" t="e">
        <f>'[4]#REF'!D895</f>
        <v>#REF!</v>
      </c>
      <c r="D895" s="32" t="e">
        <f t="shared" si="37"/>
        <v>#REF!</v>
      </c>
      <c r="F895" s="12" t="e">
        <f>'[4]#REF'!F895</f>
        <v>#REF!</v>
      </c>
      <c r="G895" s="12" t="e">
        <f>'[4]#REF'!G895</f>
        <v>#REF!</v>
      </c>
      <c r="H895" s="31" t="e">
        <f>'[4]#REF'!I895</f>
        <v>#REF!</v>
      </c>
      <c r="I895" s="32" t="e">
        <f t="shared" si="38"/>
        <v>#REF!</v>
      </c>
    </row>
    <row r="896" ht="15.75" spans="1:9">
      <c r="A896" s="12" t="e">
        <f>'[4]#REF'!A896</f>
        <v>#REF!</v>
      </c>
      <c r="B896" s="12" t="e">
        <f>'[4]#REF'!B896</f>
        <v>#REF!</v>
      </c>
      <c r="C896" s="31" t="e">
        <f>'[4]#REF'!D896</f>
        <v>#REF!</v>
      </c>
      <c r="D896" s="32" t="e">
        <f t="shared" si="37"/>
        <v>#REF!</v>
      </c>
      <c r="F896" s="12" t="e">
        <f>'[4]#REF'!F896</f>
        <v>#REF!</v>
      </c>
      <c r="G896" s="12" t="e">
        <f>'[4]#REF'!G896</f>
        <v>#REF!</v>
      </c>
      <c r="H896" s="31" t="e">
        <f>'[4]#REF'!I896</f>
        <v>#REF!</v>
      </c>
      <c r="I896" s="32" t="e">
        <f t="shared" si="38"/>
        <v>#REF!</v>
      </c>
    </row>
    <row r="897" ht="15.75" spans="1:9">
      <c r="A897" s="12" t="e">
        <f>'[4]#REF'!A897</f>
        <v>#REF!</v>
      </c>
      <c r="B897" s="12" t="e">
        <f>'[4]#REF'!B897</f>
        <v>#REF!</v>
      </c>
      <c r="C897" s="31" t="e">
        <f>'[4]#REF'!D897</f>
        <v>#REF!</v>
      </c>
      <c r="D897" s="32" t="e">
        <f t="shared" si="37"/>
        <v>#REF!</v>
      </c>
      <c r="F897" s="12" t="e">
        <f>'[4]#REF'!F897</f>
        <v>#REF!</v>
      </c>
      <c r="G897" s="12" t="e">
        <f>'[4]#REF'!G897</f>
        <v>#REF!</v>
      </c>
      <c r="H897" s="31" t="e">
        <f>'[4]#REF'!I897</f>
        <v>#REF!</v>
      </c>
      <c r="I897" s="32" t="e">
        <f t="shared" si="38"/>
        <v>#REF!</v>
      </c>
    </row>
    <row r="898" ht="15.75" spans="1:9">
      <c r="A898" s="12" t="e">
        <f>'[4]#REF'!A898</f>
        <v>#REF!</v>
      </c>
      <c r="B898" s="12" t="e">
        <f>'[4]#REF'!B898</f>
        <v>#REF!</v>
      </c>
      <c r="C898" s="31" t="e">
        <f>'[4]#REF'!D898</f>
        <v>#REF!</v>
      </c>
      <c r="D898" s="32" t="e">
        <f t="shared" si="37"/>
        <v>#REF!</v>
      </c>
      <c r="F898" s="12" t="e">
        <f>'[4]#REF'!F898</f>
        <v>#REF!</v>
      </c>
      <c r="G898" s="12" t="e">
        <f>'[4]#REF'!G898</f>
        <v>#REF!</v>
      </c>
      <c r="H898" s="31" t="e">
        <f>'[4]#REF'!I898</f>
        <v>#REF!</v>
      </c>
      <c r="I898" s="32" t="e">
        <f t="shared" si="38"/>
        <v>#REF!</v>
      </c>
    </row>
    <row r="899" ht="15.75" spans="1:9">
      <c r="A899" s="12" t="e">
        <f>'[4]#REF'!A899</f>
        <v>#REF!</v>
      </c>
      <c r="B899" s="12" t="e">
        <f>'[4]#REF'!B899</f>
        <v>#REF!</v>
      </c>
      <c r="C899" s="31" t="e">
        <f>'[4]#REF'!D899</f>
        <v>#REF!</v>
      </c>
      <c r="D899" s="32" t="e">
        <f t="shared" si="37"/>
        <v>#REF!</v>
      </c>
      <c r="F899" s="12" t="e">
        <f>'[4]#REF'!F899</f>
        <v>#REF!</v>
      </c>
      <c r="G899" s="12" t="e">
        <f>'[4]#REF'!G899</f>
        <v>#REF!</v>
      </c>
      <c r="H899" s="31" t="e">
        <f>'[4]#REF'!I899</f>
        <v>#REF!</v>
      </c>
      <c r="I899" s="32" t="e">
        <f t="shared" si="38"/>
        <v>#REF!</v>
      </c>
    </row>
    <row r="900" ht="15.75" spans="1:9">
      <c r="A900" s="12" t="e">
        <f>'[4]#REF'!A900</f>
        <v>#REF!</v>
      </c>
      <c r="B900" s="12" t="e">
        <f>'[4]#REF'!B900</f>
        <v>#REF!</v>
      </c>
      <c r="C900" s="31" t="e">
        <f>'[4]#REF'!D900</f>
        <v>#REF!</v>
      </c>
      <c r="D900" s="32" t="e">
        <f t="shared" si="37"/>
        <v>#REF!</v>
      </c>
      <c r="F900" s="12" t="e">
        <f>'[4]#REF'!F900</f>
        <v>#REF!</v>
      </c>
      <c r="G900" s="12" t="e">
        <f>'[4]#REF'!G900</f>
        <v>#REF!</v>
      </c>
      <c r="H900" s="31" t="e">
        <f>'[4]#REF'!I900</f>
        <v>#REF!</v>
      </c>
      <c r="I900" s="32" t="e">
        <f t="shared" si="38"/>
        <v>#REF!</v>
      </c>
    </row>
    <row r="901" ht="15.75" spans="1:9">
      <c r="A901" s="12" t="e">
        <f>'[4]#REF'!A901</f>
        <v>#REF!</v>
      </c>
      <c r="B901" s="12" t="e">
        <f>'[4]#REF'!B901</f>
        <v>#REF!</v>
      </c>
      <c r="C901" s="31" t="e">
        <f>'[4]#REF'!D901</f>
        <v>#REF!</v>
      </c>
      <c r="D901" s="32" t="e">
        <f t="shared" si="37"/>
        <v>#REF!</v>
      </c>
      <c r="F901" s="12" t="e">
        <f>'[4]#REF'!F901</f>
        <v>#REF!</v>
      </c>
      <c r="G901" s="12" t="e">
        <f>'[4]#REF'!G901</f>
        <v>#REF!</v>
      </c>
      <c r="H901" s="31" t="e">
        <f>'[4]#REF'!I901</f>
        <v>#REF!</v>
      </c>
      <c r="I901" s="32" t="e">
        <f t="shared" si="38"/>
        <v>#REF!</v>
      </c>
    </row>
    <row r="902" ht="15.75" spans="1:9">
      <c r="A902" s="12" t="e">
        <f>'[4]#REF'!A902</f>
        <v>#REF!</v>
      </c>
      <c r="B902" s="12" t="e">
        <f>'[4]#REF'!B902</f>
        <v>#REF!</v>
      </c>
      <c r="C902" s="31" t="e">
        <f>'[4]#REF'!D902</f>
        <v>#REF!</v>
      </c>
      <c r="D902" s="32" t="e">
        <f t="shared" ref="D902:D965" si="39">ROUND(C902/$D$4*100,2)</f>
        <v>#REF!</v>
      </c>
      <c r="F902" s="12" t="e">
        <f>'[4]#REF'!F902</f>
        <v>#REF!</v>
      </c>
      <c r="G902" s="12" t="e">
        <f>'[4]#REF'!G902</f>
        <v>#REF!</v>
      </c>
      <c r="H902" s="31" t="e">
        <f>'[4]#REF'!I902</f>
        <v>#REF!</v>
      </c>
      <c r="I902" s="32" t="e">
        <f t="shared" ref="I902:I965" si="40">ROUND(H902/$I$4*100,2)</f>
        <v>#REF!</v>
      </c>
    </row>
    <row r="903" ht="15.75" spans="1:9">
      <c r="A903" s="12" t="e">
        <f>'[4]#REF'!A903</f>
        <v>#REF!</v>
      </c>
      <c r="B903" s="12" t="e">
        <f>'[4]#REF'!B903</f>
        <v>#REF!</v>
      </c>
      <c r="C903" s="31" t="e">
        <f>'[4]#REF'!D903</f>
        <v>#REF!</v>
      </c>
      <c r="D903" s="32" t="e">
        <f t="shared" si="39"/>
        <v>#REF!</v>
      </c>
      <c r="F903" s="12" t="e">
        <f>'[4]#REF'!F903</f>
        <v>#REF!</v>
      </c>
      <c r="G903" s="12" t="e">
        <f>'[4]#REF'!G903</f>
        <v>#REF!</v>
      </c>
      <c r="H903" s="31" t="e">
        <f>'[4]#REF'!I903</f>
        <v>#REF!</v>
      </c>
      <c r="I903" s="32" t="e">
        <f t="shared" si="40"/>
        <v>#REF!</v>
      </c>
    </row>
    <row r="904" ht="15.75" spans="1:9">
      <c r="A904" s="12" t="e">
        <f>'[4]#REF'!A904</f>
        <v>#REF!</v>
      </c>
      <c r="B904" s="12" t="e">
        <f>'[4]#REF'!B904</f>
        <v>#REF!</v>
      </c>
      <c r="C904" s="31" t="e">
        <f>'[4]#REF'!D904</f>
        <v>#REF!</v>
      </c>
      <c r="D904" s="32" t="e">
        <f t="shared" si="39"/>
        <v>#REF!</v>
      </c>
      <c r="F904" s="12" t="e">
        <f>'[4]#REF'!F904</f>
        <v>#REF!</v>
      </c>
      <c r="G904" s="12" t="e">
        <f>'[4]#REF'!G904</f>
        <v>#REF!</v>
      </c>
      <c r="H904" s="31" t="e">
        <f>'[4]#REF'!I904</f>
        <v>#REF!</v>
      </c>
      <c r="I904" s="32" t="e">
        <f t="shared" si="40"/>
        <v>#REF!</v>
      </c>
    </row>
    <row r="905" ht="15.75" spans="1:9">
      <c r="A905" s="12" t="e">
        <f>'[4]#REF'!A905</f>
        <v>#REF!</v>
      </c>
      <c r="B905" s="12" t="e">
        <f>'[4]#REF'!B905</f>
        <v>#REF!</v>
      </c>
      <c r="C905" s="31" t="e">
        <f>'[4]#REF'!D905</f>
        <v>#REF!</v>
      </c>
      <c r="D905" s="32" t="e">
        <f t="shared" si="39"/>
        <v>#REF!</v>
      </c>
      <c r="F905" s="12" t="e">
        <f>'[4]#REF'!F905</f>
        <v>#REF!</v>
      </c>
      <c r="G905" s="12" t="e">
        <f>'[4]#REF'!G905</f>
        <v>#REF!</v>
      </c>
      <c r="H905" s="31" t="e">
        <f>'[4]#REF'!I905</f>
        <v>#REF!</v>
      </c>
      <c r="I905" s="32" t="e">
        <f t="shared" si="40"/>
        <v>#REF!</v>
      </c>
    </row>
    <row r="906" ht="15.75" spans="1:9">
      <c r="A906" s="12" t="e">
        <f>'[4]#REF'!A906</f>
        <v>#REF!</v>
      </c>
      <c r="B906" s="12" t="e">
        <f>'[4]#REF'!B906</f>
        <v>#REF!</v>
      </c>
      <c r="C906" s="31" t="e">
        <f>'[4]#REF'!D906</f>
        <v>#REF!</v>
      </c>
      <c r="D906" s="32" t="e">
        <f t="shared" si="39"/>
        <v>#REF!</v>
      </c>
      <c r="F906" s="12" t="e">
        <f>'[4]#REF'!F906</f>
        <v>#REF!</v>
      </c>
      <c r="G906" s="12" t="e">
        <f>'[4]#REF'!G906</f>
        <v>#REF!</v>
      </c>
      <c r="H906" s="31" t="e">
        <f>'[4]#REF'!I906</f>
        <v>#REF!</v>
      </c>
      <c r="I906" s="32" t="e">
        <f t="shared" si="40"/>
        <v>#REF!</v>
      </c>
    </row>
    <row r="907" ht="15.75" spans="1:9">
      <c r="A907" s="12" t="e">
        <f>'[4]#REF'!A907</f>
        <v>#REF!</v>
      </c>
      <c r="B907" s="12" t="e">
        <f>'[4]#REF'!B907</f>
        <v>#REF!</v>
      </c>
      <c r="C907" s="31" t="e">
        <f>'[4]#REF'!D907</f>
        <v>#REF!</v>
      </c>
      <c r="D907" s="32" t="e">
        <f t="shared" si="39"/>
        <v>#REF!</v>
      </c>
      <c r="F907" s="12" t="e">
        <f>'[4]#REF'!F907</f>
        <v>#REF!</v>
      </c>
      <c r="G907" s="12" t="e">
        <f>'[4]#REF'!G907</f>
        <v>#REF!</v>
      </c>
      <c r="H907" s="31" t="e">
        <f>'[4]#REF'!I907</f>
        <v>#REF!</v>
      </c>
      <c r="I907" s="32" t="e">
        <f t="shared" si="40"/>
        <v>#REF!</v>
      </c>
    </row>
    <row r="908" ht="15.75" spans="1:9">
      <c r="A908" s="12" t="e">
        <f>'[4]#REF'!A908</f>
        <v>#REF!</v>
      </c>
      <c r="B908" s="12" t="e">
        <f>'[4]#REF'!B908</f>
        <v>#REF!</v>
      </c>
      <c r="C908" s="31" t="e">
        <f>'[4]#REF'!D908</f>
        <v>#REF!</v>
      </c>
      <c r="D908" s="32" t="e">
        <f t="shared" si="39"/>
        <v>#REF!</v>
      </c>
      <c r="F908" s="12" t="e">
        <f>'[4]#REF'!F908</f>
        <v>#REF!</v>
      </c>
      <c r="G908" s="12" t="e">
        <f>'[4]#REF'!G908</f>
        <v>#REF!</v>
      </c>
      <c r="H908" s="31" t="e">
        <f>'[4]#REF'!I908</f>
        <v>#REF!</v>
      </c>
      <c r="I908" s="32" t="e">
        <f t="shared" si="40"/>
        <v>#REF!</v>
      </c>
    </row>
    <row r="909" ht="15.75" spans="1:9">
      <c r="A909" s="12" t="e">
        <f>'[4]#REF'!A909</f>
        <v>#REF!</v>
      </c>
      <c r="B909" s="12" t="e">
        <f>'[4]#REF'!B909</f>
        <v>#REF!</v>
      </c>
      <c r="C909" s="31" t="e">
        <f>'[4]#REF'!D909</f>
        <v>#REF!</v>
      </c>
      <c r="D909" s="32" t="e">
        <f t="shared" si="39"/>
        <v>#REF!</v>
      </c>
      <c r="F909" s="12" t="e">
        <f>'[4]#REF'!F909</f>
        <v>#REF!</v>
      </c>
      <c r="G909" s="12" t="e">
        <f>'[4]#REF'!G909</f>
        <v>#REF!</v>
      </c>
      <c r="H909" s="31" t="e">
        <f>'[4]#REF'!I909</f>
        <v>#REF!</v>
      </c>
      <c r="I909" s="32" t="e">
        <f t="shared" si="40"/>
        <v>#REF!</v>
      </c>
    </row>
    <row r="910" ht="15.75" spans="1:9">
      <c r="A910" s="12" t="e">
        <f>'[4]#REF'!A910</f>
        <v>#REF!</v>
      </c>
      <c r="B910" s="12" t="e">
        <f>'[4]#REF'!B910</f>
        <v>#REF!</v>
      </c>
      <c r="C910" s="31" t="e">
        <f>'[4]#REF'!D910</f>
        <v>#REF!</v>
      </c>
      <c r="D910" s="32" t="e">
        <f t="shared" si="39"/>
        <v>#REF!</v>
      </c>
      <c r="F910" s="12" t="e">
        <f>'[4]#REF'!F910</f>
        <v>#REF!</v>
      </c>
      <c r="G910" s="12" t="e">
        <f>'[4]#REF'!G910</f>
        <v>#REF!</v>
      </c>
      <c r="H910" s="31" t="e">
        <f>'[4]#REF'!I910</f>
        <v>#REF!</v>
      </c>
      <c r="I910" s="32" t="e">
        <f t="shared" si="40"/>
        <v>#REF!</v>
      </c>
    </row>
    <row r="911" ht="15.75" spans="1:9">
      <c r="A911" s="12" t="e">
        <f>'[4]#REF'!A911</f>
        <v>#REF!</v>
      </c>
      <c r="B911" s="12" t="e">
        <f>'[4]#REF'!B911</f>
        <v>#REF!</v>
      </c>
      <c r="C911" s="31" t="e">
        <f>'[4]#REF'!D911</f>
        <v>#REF!</v>
      </c>
      <c r="D911" s="32" t="e">
        <f t="shared" si="39"/>
        <v>#REF!</v>
      </c>
      <c r="F911" s="12" t="e">
        <f>'[4]#REF'!F911</f>
        <v>#REF!</v>
      </c>
      <c r="G911" s="12" t="e">
        <f>'[4]#REF'!G911</f>
        <v>#REF!</v>
      </c>
      <c r="H911" s="31" t="e">
        <f>'[4]#REF'!I911</f>
        <v>#REF!</v>
      </c>
      <c r="I911" s="32" t="e">
        <f t="shared" si="40"/>
        <v>#REF!</v>
      </c>
    </row>
    <row r="912" ht="15.75" spans="1:9">
      <c r="A912" s="12" t="e">
        <f>'[4]#REF'!A912</f>
        <v>#REF!</v>
      </c>
      <c r="B912" s="12" t="e">
        <f>'[4]#REF'!B912</f>
        <v>#REF!</v>
      </c>
      <c r="C912" s="31" t="e">
        <f>'[4]#REF'!D912</f>
        <v>#REF!</v>
      </c>
      <c r="D912" s="32" t="e">
        <f t="shared" si="39"/>
        <v>#REF!</v>
      </c>
      <c r="F912" s="12" t="e">
        <f>'[4]#REF'!F912</f>
        <v>#REF!</v>
      </c>
      <c r="G912" s="12" t="e">
        <f>'[4]#REF'!G912</f>
        <v>#REF!</v>
      </c>
      <c r="H912" s="31" t="e">
        <f>'[4]#REF'!I912</f>
        <v>#REF!</v>
      </c>
      <c r="I912" s="32" t="e">
        <f t="shared" si="40"/>
        <v>#REF!</v>
      </c>
    </row>
    <row r="913" ht="15.75" spans="1:9">
      <c r="A913" s="12" t="e">
        <f>'[4]#REF'!A913</f>
        <v>#REF!</v>
      </c>
      <c r="B913" s="12" t="e">
        <f>'[4]#REF'!B913</f>
        <v>#REF!</v>
      </c>
      <c r="C913" s="31" t="e">
        <f>'[4]#REF'!D913</f>
        <v>#REF!</v>
      </c>
      <c r="D913" s="32" t="e">
        <f t="shared" si="39"/>
        <v>#REF!</v>
      </c>
      <c r="F913" s="12" t="e">
        <f>'[4]#REF'!F913</f>
        <v>#REF!</v>
      </c>
      <c r="G913" s="12" t="e">
        <f>'[4]#REF'!G913</f>
        <v>#REF!</v>
      </c>
      <c r="H913" s="31" t="e">
        <f>'[4]#REF'!I913</f>
        <v>#REF!</v>
      </c>
      <c r="I913" s="32" t="e">
        <f t="shared" si="40"/>
        <v>#REF!</v>
      </c>
    </row>
    <row r="914" ht="15.75" spans="1:9">
      <c r="A914" s="12" t="e">
        <f>'[4]#REF'!A914</f>
        <v>#REF!</v>
      </c>
      <c r="B914" s="12" t="e">
        <f>'[4]#REF'!B914</f>
        <v>#REF!</v>
      </c>
      <c r="C914" s="31" t="e">
        <f>'[4]#REF'!D914</f>
        <v>#REF!</v>
      </c>
      <c r="D914" s="32" t="e">
        <f t="shared" si="39"/>
        <v>#REF!</v>
      </c>
      <c r="F914" s="12" t="e">
        <f>'[4]#REF'!F914</f>
        <v>#REF!</v>
      </c>
      <c r="G914" s="12" t="e">
        <f>'[4]#REF'!G914</f>
        <v>#REF!</v>
      </c>
      <c r="H914" s="31" t="e">
        <f>'[4]#REF'!I914</f>
        <v>#REF!</v>
      </c>
      <c r="I914" s="32" t="e">
        <f t="shared" si="40"/>
        <v>#REF!</v>
      </c>
    </row>
    <row r="915" ht="15.75" spans="1:9">
      <c r="A915" s="12" t="e">
        <f>'[4]#REF'!A915</f>
        <v>#REF!</v>
      </c>
      <c r="B915" s="12" t="e">
        <f>'[4]#REF'!B915</f>
        <v>#REF!</v>
      </c>
      <c r="C915" s="31" t="e">
        <f>'[4]#REF'!D915</f>
        <v>#REF!</v>
      </c>
      <c r="D915" s="32" t="e">
        <f t="shared" si="39"/>
        <v>#REF!</v>
      </c>
      <c r="F915" s="12" t="e">
        <f>'[4]#REF'!F915</f>
        <v>#REF!</v>
      </c>
      <c r="G915" s="12" t="e">
        <f>'[4]#REF'!G915</f>
        <v>#REF!</v>
      </c>
      <c r="H915" s="31" t="e">
        <f>'[4]#REF'!I915</f>
        <v>#REF!</v>
      </c>
      <c r="I915" s="32" t="e">
        <f t="shared" si="40"/>
        <v>#REF!</v>
      </c>
    </row>
    <row r="916" ht="15.75" spans="1:9">
      <c r="A916" s="12" t="e">
        <f>'[4]#REF'!A916</f>
        <v>#REF!</v>
      </c>
      <c r="B916" s="12" t="e">
        <f>'[4]#REF'!B916</f>
        <v>#REF!</v>
      </c>
      <c r="C916" s="31" t="e">
        <f>'[4]#REF'!D916</f>
        <v>#REF!</v>
      </c>
      <c r="D916" s="32" t="e">
        <f t="shared" si="39"/>
        <v>#REF!</v>
      </c>
      <c r="F916" s="12" t="e">
        <f>'[4]#REF'!F916</f>
        <v>#REF!</v>
      </c>
      <c r="G916" s="12" t="e">
        <f>'[4]#REF'!G916</f>
        <v>#REF!</v>
      </c>
      <c r="H916" s="31" t="e">
        <f>'[4]#REF'!I916</f>
        <v>#REF!</v>
      </c>
      <c r="I916" s="32" t="e">
        <f t="shared" si="40"/>
        <v>#REF!</v>
      </c>
    </row>
    <row r="917" ht="15.75" spans="1:9">
      <c r="A917" s="12" t="e">
        <f>'[4]#REF'!A917</f>
        <v>#REF!</v>
      </c>
      <c r="B917" s="12" t="e">
        <f>'[4]#REF'!B917</f>
        <v>#REF!</v>
      </c>
      <c r="C917" s="31" t="e">
        <f>'[4]#REF'!D917</f>
        <v>#REF!</v>
      </c>
      <c r="D917" s="32" t="e">
        <f t="shared" si="39"/>
        <v>#REF!</v>
      </c>
      <c r="F917" s="12" t="e">
        <f>'[4]#REF'!F917</f>
        <v>#REF!</v>
      </c>
      <c r="G917" s="12" t="e">
        <f>'[4]#REF'!G917</f>
        <v>#REF!</v>
      </c>
      <c r="H917" s="31" t="e">
        <f>'[4]#REF'!I917</f>
        <v>#REF!</v>
      </c>
      <c r="I917" s="32" t="e">
        <f t="shared" si="40"/>
        <v>#REF!</v>
      </c>
    </row>
    <row r="918" ht="15.75" spans="1:9">
      <c r="A918" s="12" t="e">
        <f>'[4]#REF'!A918</f>
        <v>#REF!</v>
      </c>
      <c r="B918" s="12" t="e">
        <f>'[4]#REF'!B918</f>
        <v>#REF!</v>
      </c>
      <c r="C918" s="31" t="e">
        <f>'[4]#REF'!D918</f>
        <v>#REF!</v>
      </c>
      <c r="D918" s="32" t="e">
        <f t="shared" si="39"/>
        <v>#REF!</v>
      </c>
      <c r="F918" s="12" t="e">
        <f>'[4]#REF'!F918</f>
        <v>#REF!</v>
      </c>
      <c r="G918" s="12" t="e">
        <f>'[4]#REF'!G918</f>
        <v>#REF!</v>
      </c>
      <c r="H918" s="31" t="e">
        <f>'[4]#REF'!I918</f>
        <v>#REF!</v>
      </c>
      <c r="I918" s="32" t="e">
        <f t="shared" si="40"/>
        <v>#REF!</v>
      </c>
    </row>
    <row r="919" ht="15.75" spans="1:9">
      <c r="A919" s="12" t="e">
        <f>'[4]#REF'!A919</f>
        <v>#REF!</v>
      </c>
      <c r="B919" s="12" t="e">
        <f>'[4]#REF'!B919</f>
        <v>#REF!</v>
      </c>
      <c r="C919" s="31" t="e">
        <f>'[4]#REF'!D919</f>
        <v>#REF!</v>
      </c>
      <c r="D919" s="32" t="e">
        <f t="shared" si="39"/>
        <v>#REF!</v>
      </c>
      <c r="F919" s="12" t="e">
        <f>'[4]#REF'!F919</f>
        <v>#REF!</v>
      </c>
      <c r="G919" s="12" t="e">
        <f>'[4]#REF'!G919</f>
        <v>#REF!</v>
      </c>
      <c r="H919" s="31" t="e">
        <f>'[4]#REF'!I919</f>
        <v>#REF!</v>
      </c>
      <c r="I919" s="32" t="e">
        <f t="shared" si="40"/>
        <v>#REF!</v>
      </c>
    </row>
    <row r="920" ht="15.75" spans="1:9">
      <c r="A920" s="12" t="e">
        <f>'[4]#REF'!A920</f>
        <v>#REF!</v>
      </c>
      <c r="B920" s="12" t="e">
        <f>'[4]#REF'!B920</f>
        <v>#REF!</v>
      </c>
      <c r="C920" s="31" t="e">
        <f>'[4]#REF'!D920</f>
        <v>#REF!</v>
      </c>
      <c r="D920" s="32" t="e">
        <f t="shared" si="39"/>
        <v>#REF!</v>
      </c>
      <c r="F920" s="12" t="e">
        <f>'[4]#REF'!F920</f>
        <v>#REF!</v>
      </c>
      <c r="G920" s="12" t="e">
        <f>'[4]#REF'!G920</f>
        <v>#REF!</v>
      </c>
      <c r="H920" s="31" t="e">
        <f>'[4]#REF'!I920</f>
        <v>#REF!</v>
      </c>
      <c r="I920" s="32" t="e">
        <f t="shared" si="40"/>
        <v>#REF!</v>
      </c>
    </row>
    <row r="921" ht="15.75" spans="1:9">
      <c r="A921" s="12" t="e">
        <f>'[4]#REF'!A921</f>
        <v>#REF!</v>
      </c>
      <c r="B921" s="12" t="e">
        <f>'[4]#REF'!B921</f>
        <v>#REF!</v>
      </c>
      <c r="C921" s="31" t="e">
        <f>'[4]#REF'!D921</f>
        <v>#REF!</v>
      </c>
      <c r="D921" s="32" t="e">
        <f t="shared" si="39"/>
        <v>#REF!</v>
      </c>
      <c r="F921" s="12" t="e">
        <f>'[4]#REF'!F921</f>
        <v>#REF!</v>
      </c>
      <c r="G921" s="12" t="e">
        <f>'[4]#REF'!G921</f>
        <v>#REF!</v>
      </c>
      <c r="H921" s="31" t="e">
        <f>'[4]#REF'!I921</f>
        <v>#REF!</v>
      </c>
      <c r="I921" s="32" t="e">
        <f t="shared" si="40"/>
        <v>#REF!</v>
      </c>
    </row>
    <row r="922" ht="15.75" spans="1:9">
      <c r="A922" s="12" t="e">
        <f>'[4]#REF'!A922</f>
        <v>#REF!</v>
      </c>
      <c r="B922" s="12" t="e">
        <f>'[4]#REF'!B922</f>
        <v>#REF!</v>
      </c>
      <c r="C922" s="31" t="e">
        <f>'[4]#REF'!D922</f>
        <v>#REF!</v>
      </c>
      <c r="D922" s="32" t="e">
        <f t="shared" si="39"/>
        <v>#REF!</v>
      </c>
      <c r="F922" s="12" t="e">
        <f>'[4]#REF'!F922</f>
        <v>#REF!</v>
      </c>
      <c r="G922" s="12" t="e">
        <f>'[4]#REF'!G922</f>
        <v>#REF!</v>
      </c>
      <c r="H922" s="31" t="e">
        <f>'[4]#REF'!I922</f>
        <v>#REF!</v>
      </c>
      <c r="I922" s="32" t="e">
        <f t="shared" si="40"/>
        <v>#REF!</v>
      </c>
    </row>
    <row r="923" ht="15.75" spans="1:9">
      <c r="A923" s="12" t="e">
        <f>'[4]#REF'!A923</f>
        <v>#REF!</v>
      </c>
      <c r="B923" s="12" t="e">
        <f>'[4]#REF'!B923</f>
        <v>#REF!</v>
      </c>
      <c r="C923" s="31" t="e">
        <f>'[4]#REF'!D923</f>
        <v>#REF!</v>
      </c>
      <c r="D923" s="32" t="e">
        <f t="shared" si="39"/>
        <v>#REF!</v>
      </c>
      <c r="F923" s="12" t="e">
        <f>'[4]#REF'!F923</f>
        <v>#REF!</v>
      </c>
      <c r="G923" s="12" t="e">
        <f>'[4]#REF'!G923</f>
        <v>#REF!</v>
      </c>
      <c r="H923" s="31" t="e">
        <f>'[4]#REF'!I923</f>
        <v>#REF!</v>
      </c>
      <c r="I923" s="32" t="e">
        <f t="shared" si="40"/>
        <v>#REF!</v>
      </c>
    </row>
    <row r="924" ht="15.75" spans="1:9">
      <c r="A924" s="12" t="e">
        <f>'[4]#REF'!A924</f>
        <v>#REF!</v>
      </c>
      <c r="B924" s="12" t="e">
        <f>'[4]#REF'!B924</f>
        <v>#REF!</v>
      </c>
      <c r="C924" s="31" t="e">
        <f>'[4]#REF'!D924</f>
        <v>#REF!</v>
      </c>
      <c r="D924" s="32" t="e">
        <f t="shared" si="39"/>
        <v>#REF!</v>
      </c>
      <c r="F924" s="12" t="e">
        <f>'[4]#REF'!F924</f>
        <v>#REF!</v>
      </c>
      <c r="G924" s="12" t="e">
        <f>'[4]#REF'!G924</f>
        <v>#REF!</v>
      </c>
      <c r="H924" s="31" t="e">
        <f>'[4]#REF'!I924</f>
        <v>#REF!</v>
      </c>
      <c r="I924" s="32" t="e">
        <f t="shared" si="40"/>
        <v>#REF!</v>
      </c>
    </row>
    <row r="925" ht="15.75" spans="1:9">
      <c r="A925" s="12" t="e">
        <f>'[4]#REF'!A925</f>
        <v>#REF!</v>
      </c>
      <c r="B925" s="12" t="e">
        <f>'[4]#REF'!B925</f>
        <v>#REF!</v>
      </c>
      <c r="C925" s="31" t="e">
        <f>'[4]#REF'!D925</f>
        <v>#REF!</v>
      </c>
      <c r="D925" s="32" t="e">
        <f t="shared" si="39"/>
        <v>#REF!</v>
      </c>
      <c r="F925" s="12" t="e">
        <f>'[4]#REF'!F925</f>
        <v>#REF!</v>
      </c>
      <c r="G925" s="12" t="e">
        <f>'[4]#REF'!G925</f>
        <v>#REF!</v>
      </c>
      <c r="H925" s="31" t="e">
        <f>'[4]#REF'!I925</f>
        <v>#REF!</v>
      </c>
      <c r="I925" s="32" t="e">
        <f t="shared" si="40"/>
        <v>#REF!</v>
      </c>
    </row>
    <row r="926" ht="15.75" spans="1:9">
      <c r="A926" s="12" t="e">
        <f>'[4]#REF'!A926</f>
        <v>#REF!</v>
      </c>
      <c r="B926" s="12" t="e">
        <f>'[4]#REF'!B926</f>
        <v>#REF!</v>
      </c>
      <c r="C926" s="31" t="e">
        <f>'[4]#REF'!D926</f>
        <v>#REF!</v>
      </c>
      <c r="D926" s="32" t="e">
        <f t="shared" si="39"/>
        <v>#REF!</v>
      </c>
      <c r="F926" s="12" t="e">
        <f>'[4]#REF'!F926</f>
        <v>#REF!</v>
      </c>
      <c r="G926" s="12" t="e">
        <f>'[4]#REF'!G926</f>
        <v>#REF!</v>
      </c>
      <c r="H926" s="31" t="e">
        <f>'[4]#REF'!I926</f>
        <v>#REF!</v>
      </c>
      <c r="I926" s="32" t="e">
        <f t="shared" si="40"/>
        <v>#REF!</v>
      </c>
    </row>
    <row r="927" ht="15.75" spans="1:9">
      <c r="A927" s="12" t="e">
        <f>'[4]#REF'!A927</f>
        <v>#REF!</v>
      </c>
      <c r="B927" s="12" t="e">
        <f>'[4]#REF'!B927</f>
        <v>#REF!</v>
      </c>
      <c r="C927" s="31" t="e">
        <f>'[4]#REF'!D927</f>
        <v>#REF!</v>
      </c>
      <c r="D927" s="32" t="e">
        <f t="shared" si="39"/>
        <v>#REF!</v>
      </c>
      <c r="F927" s="12" t="e">
        <f>'[4]#REF'!F927</f>
        <v>#REF!</v>
      </c>
      <c r="G927" s="12" t="e">
        <f>'[4]#REF'!G927</f>
        <v>#REF!</v>
      </c>
      <c r="H927" s="31" t="e">
        <f>'[4]#REF'!I927</f>
        <v>#REF!</v>
      </c>
      <c r="I927" s="32" t="e">
        <f t="shared" si="40"/>
        <v>#REF!</v>
      </c>
    </row>
    <row r="928" ht="15.75" spans="1:9">
      <c r="A928" s="12" t="e">
        <f>'[4]#REF'!A928</f>
        <v>#REF!</v>
      </c>
      <c r="B928" s="12" t="e">
        <f>'[4]#REF'!B928</f>
        <v>#REF!</v>
      </c>
      <c r="C928" s="31" t="e">
        <f>'[4]#REF'!D928</f>
        <v>#REF!</v>
      </c>
      <c r="D928" s="32" t="e">
        <f t="shared" si="39"/>
        <v>#REF!</v>
      </c>
      <c r="F928" s="12" t="e">
        <f>'[4]#REF'!F928</f>
        <v>#REF!</v>
      </c>
      <c r="G928" s="12" t="e">
        <f>'[4]#REF'!G928</f>
        <v>#REF!</v>
      </c>
      <c r="H928" s="31" t="e">
        <f>'[4]#REF'!I928</f>
        <v>#REF!</v>
      </c>
      <c r="I928" s="32" t="e">
        <f t="shared" si="40"/>
        <v>#REF!</v>
      </c>
    </row>
    <row r="929" ht="15.75" spans="1:9">
      <c r="A929" s="12" t="e">
        <f>'[4]#REF'!A929</f>
        <v>#REF!</v>
      </c>
      <c r="B929" s="12" t="e">
        <f>'[4]#REF'!B929</f>
        <v>#REF!</v>
      </c>
      <c r="C929" s="31" t="e">
        <f>'[4]#REF'!D929</f>
        <v>#REF!</v>
      </c>
      <c r="D929" s="32" t="e">
        <f t="shared" si="39"/>
        <v>#REF!</v>
      </c>
      <c r="F929" s="12" t="e">
        <f>'[4]#REF'!F929</f>
        <v>#REF!</v>
      </c>
      <c r="G929" s="12" t="e">
        <f>'[4]#REF'!G929</f>
        <v>#REF!</v>
      </c>
      <c r="H929" s="31" t="e">
        <f>'[4]#REF'!I929</f>
        <v>#REF!</v>
      </c>
      <c r="I929" s="32" t="e">
        <f t="shared" si="40"/>
        <v>#REF!</v>
      </c>
    </row>
    <row r="930" ht="15.75" spans="1:9">
      <c r="A930" s="12" t="e">
        <f>'[4]#REF'!A930</f>
        <v>#REF!</v>
      </c>
      <c r="B930" s="12" t="e">
        <f>'[4]#REF'!B930</f>
        <v>#REF!</v>
      </c>
      <c r="C930" s="31" t="e">
        <f>'[4]#REF'!D930</f>
        <v>#REF!</v>
      </c>
      <c r="D930" s="32" t="e">
        <f t="shared" si="39"/>
        <v>#REF!</v>
      </c>
      <c r="F930" s="12" t="e">
        <f>'[4]#REF'!F930</f>
        <v>#REF!</v>
      </c>
      <c r="G930" s="12" t="e">
        <f>'[4]#REF'!G930</f>
        <v>#REF!</v>
      </c>
      <c r="H930" s="31" t="e">
        <f>'[4]#REF'!I930</f>
        <v>#REF!</v>
      </c>
      <c r="I930" s="32" t="e">
        <f t="shared" si="40"/>
        <v>#REF!</v>
      </c>
    </row>
    <row r="931" ht="15.75" spans="1:9">
      <c r="A931" s="12" t="e">
        <f>'[4]#REF'!A931</f>
        <v>#REF!</v>
      </c>
      <c r="B931" s="12" t="e">
        <f>'[4]#REF'!B931</f>
        <v>#REF!</v>
      </c>
      <c r="C931" s="31" t="e">
        <f>'[4]#REF'!D931</f>
        <v>#REF!</v>
      </c>
      <c r="D931" s="32" t="e">
        <f t="shared" si="39"/>
        <v>#REF!</v>
      </c>
      <c r="F931" s="12" t="e">
        <f>'[4]#REF'!F931</f>
        <v>#REF!</v>
      </c>
      <c r="G931" s="12" t="e">
        <f>'[4]#REF'!G931</f>
        <v>#REF!</v>
      </c>
      <c r="H931" s="31" t="e">
        <f>'[4]#REF'!I931</f>
        <v>#REF!</v>
      </c>
      <c r="I931" s="32" t="e">
        <f t="shared" si="40"/>
        <v>#REF!</v>
      </c>
    </row>
    <row r="932" ht="15.75" spans="1:9">
      <c r="A932" s="12" t="e">
        <f>'[4]#REF'!A932</f>
        <v>#REF!</v>
      </c>
      <c r="B932" s="12" t="e">
        <f>'[4]#REF'!B932</f>
        <v>#REF!</v>
      </c>
      <c r="C932" s="31" t="e">
        <f>'[4]#REF'!D932</f>
        <v>#REF!</v>
      </c>
      <c r="D932" s="32" t="e">
        <f t="shared" si="39"/>
        <v>#REF!</v>
      </c>
      <c r="F932" s="12" t="e">
        <f>'[4]#REF'!F932</f>
        <v>#REF!</v>
      </c>
      <c r="G932" s="12" t="e">
        <f>'[4]#REF'!G932</f>
        <v>#REF!</v>
      </c>
      <c r="H932" s="31" t="e">
        <f>'[4]#REF'!I932</f>
        <v>#REF!</v>
      </c>
      <c r="I932" s="32" t="e">
        <f t="shared" si="40"/>
        <v>#REF!</v>
      </c>
    </row>
    <row r="933" ht="15.75" spans="1:9">
      <c r="A933" s="12" t="e">
        <f>'[4]#REF'!A933</f>
        <v>#REF!</v>
      </c>
      <c r="B933" s="12" t="e">
        <f>'[4]#REF'!B933</f>
        <v>#REF!</v>
      </c>
      <c r="C933" s="31" t="e">
        <f>'[4]#REF'!D933</f>
        <v>#REF!</v>
      </c>
      <c r="D933" s="32" t="e">
        <f t="shared" si="39"/>
        <v>#REF!</v>
      </c>
      <c r="F933" s="12" t="e">
        <f>'[4]#REF'!F933</f>
        <v>#REF!</v>
      </c>
      <c r="G933" s="12" t="e">
        <f>'[4]#REF'!G933</f>
        <v>#REF!</v>
      </c>
      <c r="H933" s="31" t="e">
        <f>'[4]#REF'!I933</f>
        <v>#REF!</v>
      </c>
      <c r="I933" s="32" t="e">
        <f t="shared" si="40"/>
        <v>#REF!</v>
      </c>
    </row>
    <row r="934" ht="15.75" spans="1:9">
      <c r="A934" s="12" t="e">
        <f>'[4]#REF'!A934</f>
        <v>#REF!</v>
      </c>
      <c r="B934" s="12" t="e">
        <f>'[4]#REF'!B934</f>
        <v>#REF!</v>
      </c>
      <c r="C934" s="31" t="e">
        <f>'[4]#REF'!D934</f>
        <v>#REF!</v>
      </c>
      <c r="D934" s="32" t="e">
        <f t="shared" si="39"/>
        <v>#REF!</v>
      </c>
      <c r="F934" s="12" t="e">
        <f>'[4]#REF'!F934</f>
        <v>#REF!</v>
      </c>
      <c r="G934" s="12" t="e">
        <f>'[4]#REF'!G934</f>
        <v>#REF!</v>
      </c>
      <c r="H934" s="31" t="e">
        <f>'[4]#REF'!I934</f>
        <v>#REF!</v>
      </c>
      <c r="I934" s="32" t="e">
        <f t="shared" si="40"/>
        <v>#REF!</v>
      </c>
    </row>
    <row r="935" ht="15.75" spans="1:9">
      <c r="A935" s="12" t="e">
        <f>'[4]#REF'!A935</f>
        <v>#REF!</v>
      </c>
      <c r="B935" s="12" t="e">
        <f>'[4]#REF'!B935</f>
        <v>#REF!</v>
      </c>
      <c r="C935" s="31" t="e">
        <f>'[4]#REF'!D935</f>
        <v>#REF!</v>
      </c>
      <c r="D935" s="32" t="e">
        <f t="shared" si="39"/>
        <v>#REF!</v>
      </c>
      <c r="F935" s="12" t="e">
        <f>'[4]#REF'!F935</f>
        <v>#REF!</v>
      </c>
      <c r="G935" s="12" t="e">
        <f>'[4]#REF'!G935</f>
        <v>#REF!</v>
      </c>
      <c r="H935" s="31" t="e">
        <f>'[4]#REF'!I935</f>
        <v>#REF!</v>
      </c>
      <c r="I935" s="32" t="e">
        <f t="shared" si="40"/>
        <v>#REF!</v>
      </c>
    </row>
    <row r="936" ht="15.75" spans="1:9">
      <c r="A936" s="12" t="e">
        <f>'[4]#REF'!A936</f>
        <v>#REF!</v>
      </c>
      <c r="B936" s="12" t="e">
        <f>'[4]#REF'!B936</f>
        <v>#REF!</v>
      </c>
      <c r="C936" s="31" t="e">
        <f>'[4]#REF'!D936</f>
        <v>#REF!</v>
      </c>
      <c r="D936" s="32" t="e">
        <f t="shared" si="39"/>
        <v>#REF!</v>
      </c>
      <c r="F936" s="12" t="e">
        <f>'[4]#REF'!F936</f>
        <v>#REF!</v>
      </c>
      <c r="G936" s="12" t="e">
        <f>'[4]#REF'!G936</f>
        <v>#REF!</v>
      </c>
      <c r="H936" s="31" t="e">
        <f>'[4]#REF'!I936</f>
        <v>#REF!</v>
      </c>
      <c r="I936" s="32" t="e">
        <f t="shared" si="40"/>
        <v>#REF!</v>
      </c>
    </row>
    <row r="937" ht="15.75" spans="1:9">
      <c r="A937" s="12" t="e">
        <f>'[4]#REF'!A937</f>
        <v>#REF!</v>
      </c>
      <c r="B937" s="12" t="e">
        <f>'[4]#REF'!B937</f>
        <v>#REF!</v>
      </c>
      <c r="C937" s="31" t="e">
        <f>'[4]#REF'!D937</f>
        <v>#REF!</v>
      </c>
      <c r="D937" s="32" t="e">
        <f t="shared" si="39"/>
        <v>#REF!</v>
      </c>
      <c r="F937" s="12" t="e">
        <f>'[4]#REF'!F937</f>
        <v>#REF!</v>
      </c>
      <c r="G937" s="12" t="e">
        <f>'[4]#REF'!G937</f>
        <v>#REF!</v>
      </c>
      <c r="H937" s="31" t="e">
        <f>'[4]#REF'!I937</f>
        <v>#REF!</v>
      </c>
      <c r="I937" s="32" t="e">
        <f t="shared" si="40"/>
        <v>#REF!</v>
      </c>
    </row>
    <row r="938" ht="15.75" spans="1:9">
      <c r="A938" s="12" t="e">
        <f>'[4]#REF'!A938</f>
        <v>#REF!</v>
      </c>
      <c r="B938" s="12" t="e">
        <f>'[4]#REF'!B938</f>
        <v>#REF!</v>
      </c>
      <c r="C938" s="31" t="e">
        <f>'[4]#REF'!D938</f>
        <v>#REF!</v>
      </c>
      <c r="D938" s="32" t="e">
        <f t="shared" si="39"/>
        <v>#REF!</v>
      </c>
      <c r="F938" s="12" t="e">
        <f>'[4]#REF'!F938</f>
        <v>#REF!</v>
      </c>
      <c r="G938" s="12" t="e">
        <f>'[4]#REF'!G938</f>
        <v>#REF!</v>
      </c>
      <c r="H938" s="31" t="e">
        <f>'[4]#REF'!I938</f>
        <v>#REF!</v>
      </c>
      <c r="I938" s="32" t="e">
        <f t="shared" si="40"/>
        <v>#REF!</v>
      </c>
    </row>
    <row r="939" ht="15.75" spans="1:9">
      <c r="A939" s="12" t="e">
        <f>'[4]#REF'!A939</f>
        <v>#REF!</v>
      </c>
      <c r="B939" s="12" t="e">
        <f>'[4]#REF'!B939</f>
        <v>#REF!</v>
      </c>
      <c r="C939" s="31" t="e">
        <f>'[4]#REF'!D939</f>
        <v>#REF!</v>
      </c>
      <c r="D939" s="32" t="e">
        <f t="shared" si="39"/>
        <v>#REF!</v>
      </c>
      <c r="F939" s="12" t="e">
        <f>'[4]#REF'!F939</f>
        <v>#REF!</v>
      </c>
      <c r="G939" s="12" t="e">
        <f>'[4]#REF'!G939</f>
        <v>#REF!</v>
      </c>
      <c r="H939" s="31" t="e">
        <f>'[4]#REF'!I939</f>
        <v>#REF!</v>
      </c>
      <c r="I939" s="32" t="e">
        <f t="shared" si="40"/>
        <v>#REF!</v>
      </c>
    </row>
    <row r="940" ht="15.75" spans="1:9">
      <c r="A940" s="12" t="e">
        <f>'[4]#REF'!A940</f>
        <v>#REF!</v>
      </c>
      <c r="B940" s="12" t="e">
        <f>'[4]#REF'!B940</f>
        <v>#REF!</v>
      </c>
      <c r="C940" s="31" t="e">
        <f>'[4]#REF'!D940</f>
        <v>#REF!</v>
      </c>
      <c r="D940" s="32" t="e">
        <f t="shared" si="39"/>
        <v>#REF!</v>
      </c>
      <c r="F940" s="12" t="e">
        <f>'[4]#REF'!F940</f>
        <v>#REF!</v>
      </c>
      <c r="G940" s="12" t="e">
        <f>'[4]#REF'!G940</f>
        <v>#REF!</v>
      </c>
      <c r="H940" s="31" t="e">
        <f>'[4]#REF'!I940</f>
        <v>#REF!</v>
      </c>
      <c r="I940" s="32" t="e">
        <f t="shared" si="40"/>
        <v>#REF!</v>
      </c>
    </row>
    <row r="941" ht="15.75" spans="1:9">
      <c r="A941" s="12" t="e">
        <f>'[4]#REF'!A941</f>
        <v>#REF!</v>
      </c>
      <c r="B941" s="12" t="e">
        <f>'[4]#REF'!B941</f>
        <v>#REF!</v>
      </c>
      <c r="C941" s="31" t="e">
        <f>'[4]#REF'!D941</f>
        <v>#REF!</v>
      </c>
      <c r="D941" s="32" t="e">
        <f t="shared" si="39"/>
        <v>#REF!</v>
      </c>
      <c r="F941" s="12" t="e">
        <f>'[4]#REF'!F941</f>
        <v>#REF!</v>
      </c>
      <c r="G941" s="12" t="e">
        <f>'[4]#REF'!G941</f>
        <v>#REF!</v>
      </c>
      <c r="H941" s="31" t="e">
        <f>'[4]#REF'!I941</f>
        <v>#REF!</v>
      </c>
      <c r="I941" s="32" t="e">
        <f t="shared" si="40"/>
        <v>#REF!</v>
      </c>
    </row>
    <row r="942" ht="15.75" spans="1:9">
      <c r="A942" s="12" t="e">
        <f>'[4]#REF'!A942</f>
        <v>#REF!</v>
      </c>
      <c r="B942" s="12" t="e">
        <f>'[4]#REF'!B942</f>
        <v>#REF!</v>
      </c>
      <c r="C942" s="31" t="e">
        <f>'[4]#REF'!D942</f>
        <v>#REF!</v>
      </c>
      <c r="D942" s="32" t="e">
        <f t="shared" si="39"/>
        <v>#REF!</v>
      </c>
      <c r="F942" s="12" t="e">
        <f>'[4]#REF'!F942</f>
        <v>#REF!</v>
      </c>
      <c r="G942" s="12" t="e">
        <f>'[4]#REF'!G942</f>
        <v>#REF!</v>
      </c>
      <c r="H942" s="31" t="e">
        <f>'[4]#REF'!I942</f>
        <v>#REF!</v>
      </c>
      <c r="I942" s="32" t="e">
        <f t="shared" si="40"/>
        <v>#REF!</v>
      </c>
    </row>
    <row r="943" ht="15.75" spans="1:9">
      <c r="A943" s="12" t="e">
        <f>'[4]#REF'!A943</f>
        <v>#REF!</v>
      </c>
      <c r="B943" s="12" t="e">
        <f>'[4]#REF'!B943</f>
        <v>#REF!</v>
      </c>
      <c r="C943" s="31" t="e">
        <f>'[4]#REF'!D943</f>
        <v>#REF!</v>
      </c>
      <c r="D943" s="32" t="e">
        <f t="shared" si="39"/>
        <v>#REF!</v>
      </c>
      <c r="F943" s="12" t="e">
        <f>'[4]#REF'!F943</f>
        <v>#REF!</v>
      </c>
      <c r="G943" s="12" t="e">
        <f>'[4]#REF'!G943</f>
        <v>#REF!</v>
      </c>
      <c r="H943" s="31" t="e">
        <f>'[4]#REF'!I943</f>
        <v>#REF!</v>
      </c>
      <c r="I943" s="32" t="e">
        <f t="shared" si="40"/>
        <v>#REF!</v>
      </c>
    </row>
    <row r="944" ht="15.75" spans="1:9">
      <c r="A944" s="12" t="e">
        <f>'[4]#REF'!A944</f>
        <v>#REF!</v>
      </c>
      <c r="B944" s="12" t="e">
        <f>'[4]#REF'!B944</f>
        <v>#REF!</v>
      </c>
      <c r="C944" s="31" t="e">
        <f>'[4]#REF'!D944</f>
        <v>#REF!</v>
      </c>
      <c r="D944" s="32" t="e">
        <f t="shared" si="39"/>
        <v>#REF!</v>
      </c>
      <c r="F944" s="12" t="e">
        <f>'[4]#REF'!F944</f>
        <v>#REF!</v>
      </c>
      <c r="G944" s="12" t="e">
        <f>'[4]#REF'!G944</f>
        <v>#REF!</v>
      </c>
      <c r="H944" s="31" t="e">
        <f>'[4]#REF'!I944</f>
        <v>#REF!</v>
      </c>
      <c r="I944" s="32" t="e">
        <f t="shared" si="40"/>
        <v>#REF!</v>
      </c>
    </row>
    <row r="945" ht="15.75" spans="1:9">
      <c r="A945" s="12" t="e">
        <f>'[4]#REF'!A945</f>
        <v>#REF!</v>
      </c>
      <c r="B945" s="12" t="e">
        <f>'[4]#REF'!B945</f>
        <v>#REF!</v>
      </c>
      <c r="C945" s="31" t="e">
        <f>'[4]#REF'!D945</f>
        <v>#REF!</v>
      </c>
      <c r="D945" s="32" t="e">
        <f t="shared" si="39"/>
        <v>#REF!</v>
      </c>
      <c r="F945" s="12" t="e">
        <f>'[4]#REF'!F945</f>
        <v>#REF!</v>
      </c>
      <c r="G945" s="12" t="e">
        <f>'[4]#REF'!G945</f>
        <v>#REF!</v>
      </c>
      <c r="H945" s="31" t="e">
        <f>'[4]#REF'!I945</f>
        <v>#REF!</v>
      </c>
      <c r="I945" s="32" t="e">
        <f t="shared" si="40"/>
        <v>#REF!</v>
      </c>
    </row>
    <row r="946" ht="15.75" spans="1:9">
      <c r="A946" s="12" t="e">
        <f>'[4]#REF'!A946</f>
        <v>#REF!</v>
      </c>
      <c r="B946" s="12" t="e">
        <f>'[4]#REF'!B946</f>
        <v>#REF!</v>
      </c>
      <c r="C946" s="31" t="e">
        <f>'[4]#REF'!D946</f>
        <v>#REF!</v>
      </c>
      <c r="D946" s="32" t="e">
        <f t="shared" si="39"/>
        <v>#REF!</v>
      </c>
      <c r="F946" s="12" t="e">
        <f>'[4]#REF'!F946</f>
        <v>#REF!</v>
      </c>
      <c r="G946" s="12" t="e">
        <f>'[4]#REF'!G946</f>
        <v>#REF!</v>
      </c>
      <c r="H946" s="31" t="e">
        <f>'[4]#REF'!I946</f>
        <v>#REF!</v>
      </c>
      <c r="I946" s="32" t="e">
        <f t="shared" si="40"/>
        <v>#REF!</v>
      </c>
    </row>
    <row r="947" ht="15.75" spans="1:9">
      <c r="A947" s="12" t="e">
        <f>'[4]#REF'!A947</f>
        <v>#REF!</v>
      </c>
      <c r="B947" s="12" t="e">
        <f>'[4]#REF'!B947</f>
        <v>#REF!</v>
      </c>
      <c r="C947" s="31" t="e">
        <f>'[4]#REF'!D947</f>
        <v>#REF!</v>
      </c>
      <c r="D947" s="32" t="e">
        <f t="shared" si="39"/>
        <v>#REF!</v>
      </c>
      <c r="F947" s="12" t="e">
        <f>'[4]#REF'!F947</f>
        <v>#REF!</v>
      </c>
      <c r="G947" s="12" t="e">
        <f>'[4]#REF'!G947</f>
        <v>#REF!</v>
      </c>
      <c r="H947" s="31" t="e">
        <f>'[4]#REF'!I947</f>
        <v>#REF!</v>
      </c>
      <c r="I947" s="32" t="e">
        <f t="shared" si="40"/>
        <v>#REF!</v>
      </c>
    </row>
    <row r="948" ht="15.75" spans="1:9">
      <c r="A948" s="12" t="e">
        <f>'[4]#REF'!A948</f>
        <v>#REF!</v>
      </c>
      <c r="B948" s="12" t="e">
        <f>'[4]#REF'!B948</f>
        <v>#REF!</v>
      </c>
      <c r="C948" s="31" t="e">
        <f>'[4]#REF'!D948</f>
        <v>#REF!</v>
      </c>
      <c r="D948" s="32" t="e">
        <f t="shared" si="39"/>
        <v>#REF!</v>
      </c>
      <c r="F948" s="12" t="e">
        <f>'[4]#REF'!F948</f>
        <v>#REF!</v>
      </c>
      <c r="G948" s="12" t="e">
        <f>'[4]#REF'!G948</f>
        <v>#REF!</v>
      </c>
      <c r="H948" s="31" t="e">
        <f>'[4]#REF'!I948</f>
        <v>#REF!</v>
      </c>
      <c r="I948" s="32" t="e">
        <f t="shared" si="40"/>
        <v>#REF!</v>
      </c>
    </row>
    <row r="949" ht="15.75" spans="1:9">
      <c r="A949" s="12" t="e">
        <f>'[4]#REF'!A949</f>
        <v>#REF!</v>
      </c>
      <c r="B949" s="12" t="e">
        <f>'[4]#REF'!B949</f>
        <v>#REF!</v>
      </c>
      <c r="C949" s="31" t="e">
        <f>'[4]#REF'!D949</f>
        <v>#REF!</v>
      </c>
      <c r="D949" s="32" t="e">
        <f t="shared" si="39"/>
        <v>#REF!</v>
      </c>
      <c r="F949" s="12" t="e">
        <f>'[4]#REF'!F949</f>
        <v>#REF!</v>
      </c>
      <c r="G949" s="12" t="e">
        <f>'[4]#REF'!G949</f>
        <v>#REF!</v>
      </c>
      <c r="H949" s="31" t="e">
        <f>'[4]#REF'!I949</f>
        <v>#REF!</v>
      </c>
      <c r="I949" s="32" t="e">
        <f t="shared" si="40"/>
        <v>#REF!</v>
      </c>
    </row>
    <row r="950" ht="15.75" spans="1:9">
      <c r="A950" s="12" t="e">
        <f>'[4]#REF'!A950</f>
        <v>#REF!</v>
      </c>
      <c r="B950" s="12" t="e">
        <f>'[4]#REF'!B950</f>
        <v>#REF!</v>
      </c>
      <c r="C950" s="31" t="e">
        <f>'[4]#REF'!D950</f>
        <v>#REF!</v>
      </c>
      <c r="D950" s="32" t="e">
        <f t="shared" si="39"/>
        <v>#REF!</v>
      </c>
      <c r="F950" s="12" t="e">
        <f>'[4]#REF'!F950</f>
        <v>#REF!</v>
      </c>
      <c r="G950" s="12" t="e">
        <f>'[4]#REF'!G950</f>
        <v>#REF!</v>
      </c>
      <c r="H950" s="31" t="e">
        <f>'[4]#REF'!I950</f>
        <v>#REF!</v>
      </c>
      <c r="I950" s="32" t="e">
        <f t="shared" si="40"/>
        <v>#REF!</v>
      </c>
    </row>
    <row r="951" ht="15.75" spans="1:9">
      <c r="A951" s="12" t="e">
        <f>'[4]#REF'!A951</f>
        <v>#REF!</v>
      </c>
      <c r="B951" s="12" t="e">
        <f>'[4]#REF'!B951</f>
        <v>#REF!</v>
      </c>
      <c r="C951" s="31" t="e">
        <f>'[4]#REF'!D951</f>
        <v>#REF!</v>
      </c>
      <c r="D951" s="32" t="e">
        <f t="shared" si="39"/>
        <v>#REF!</v>
      </c>
      <c r="F951" s="12" t="e">
        <f>'[4]#REF'!F951</f>
        <v>#REF!</v>
      </c>
      <c r="G951" s="12" t="e">
        <f>'[4]#REF'!G951</f>
        <v>#REF!</v>
      </c>
      <c r="H951" s="31" t="e">
        <f>'[4]#REF'!I951</f>
        <v>#REF!</v>
      </c>
      <c r="I951" s="32" t="e">
        <f t="shared" si="40"/>
        <v>#REF!</v>
      </c>
    </row>
    <row r="952" ht="15.75" spans="1:9">
      <c r="A952" s="12" t="e">
        <f>'[4]#REF'!A952</f>
        <v>#REF!</v>
      </c>
      <c r="B952" s="12" t="e">
        <f>'[4]#REF'!B952</f>
        <v>#REF!</v>
      </c>
      <c r="C952" s="31" t="e">
        <f>'[4]#REF'!D952</f>
        <v>#REF!</v>
      </c>
      <c r="D952" s="32" t="e">
        <f t="shared" si="39"/>
        <v>#REF!</v>
      </c>
      <c r="F952" s="12" t="e">
        <f>'[4]#REF'!F952</f>
        <v>#REF!</v>
      </c>
      <c r="G952" s="12" t="e">
        <f>'[4]#REF'!G952</f>
        <v>#REF!</v>
      </c>
      <c r="H952" s="31" t="e">
        <f>'[4]#REF'!I952</f>
        <v>#REF!</v>
      </c>
      <c r="I952" s="32" t="e">
        <f t="shared" si="40"/>
        <v>#REF!</v>
      </c>
    </row>
    <row r="953" ht="15.75" spans="1:9">
      <c r="A953" s="12" t="e">
        <f>'[4]#REF'!A953</f>
        <v>#REF!</v>
      </c>
      <c r="B953" s="12" t="e">
        <f>'[4]#REF'!B953</f>
        <v>#REF!</v>
      </c>
      <c r="C953" s="31" t="e">
        <f>'[4]#REF'!D953</f>
        <v>#REF!</v>
      </c>
      <c r="D953" s="32" t="e">
        <f t="shared" si="39"/>
        <v>#REF!</v>
      </c>
      <c r="F953" s="12" t="e">
        <f>'[4]#REF'!F953</f>
        <v>#REF!</v>
      </c>
      <c r="G953" s="12" t="e">
        <f>'[4]#REF'!G953</f>
        <v>#REF!</v>
      </c>
      <c r="H953" s="31" t="e">
        <f>'[4]#REF'!I953</f>
        <v>#REF!</v>
      </c>
      <c r="I953" s="32" t="e">
        <f t="shared" si="40"/>
        <v>#REF!</v>
      </c>
    </row>
    <row r="954" ht="15.75" spans="1:9">
      <c r="A954" s="12" t="e">
        <f>'[4]#REF'!A954</f>
        <v>#REF!</v>
      </c>
      <c r="B954" s="12" t="e">
        <f>'[4]#REF'!B954</f>
        <v>#REF!</v>
      </c>
      <c r="C954" s="31" t="e">
        <f>'[4]#REF'!D954</f>
        <v>#REF!</v>
      </c>
      <c r="D954" s="32" t="e">
        <f t="shared" si="39"/>
        <v>#REF!</v>
      </c>
      <c r="F954" s="12" t="e">
        <f>'[4]#REF'!F954</f>
        <v>#REF!</v>
      </c>
      <c r="G954" s="12" t="e">
        <f>'[4]#REF'!G954</f>
        <v>#REF!</v>
      </c>
      <c r="H954" s="31" t="e">
        <f>'[4]#REF'!I954</f>
        <v>#REF!</v>
      </c>
      <c r="I954" s="32" t="e">
        <f t="shared" si="40"/>
        <v>#REF!</v>
      </c>
    </row>
    <row r="955" ht="15.75" spans="1:9">
      <c r="A955" s="12" t="e">
        <f>'[4]#REF'!A955</f>
        <v>#REF!</v>
      </c>
      <c r="B955" s="12" t="e">
        <f>'[4]#REF'!B955</f>
        <v>#REF!</v>
      </c>
      <c r="C955" s="31" t="e">
        <f>'[4]#REF'!D955</f>
        <v>#REF!</v>
      </c>
      <c r="D955" s="32" t="e">
        <f t="shared" si="39"/>
        <v>#REF!</v>
      </c>
      <c r="F955" s="12" t="e">
        <f>'[4]#REF'!F955</f>
        <v>#REF!</v>
      </c>
      <c r="G955" s="12" t="e">
        <f>'[4]#REF'!G955</f>
        <v>#REF!</v>
      </c>
      <c r="H955" s="31" t="e">
        <f>'[4]#REF'!I955</f>
        <v>#REF!</v>
      </c>
      <c r="I955" s="32" t="e">
        <f t="shared" si="40"/>
        <v>#REF!</v>
      </c>
    </row>
    <row r="956" ht="15.75" spans="1:9">
      <c r="A956" s="12" t="e">
        <f>'[4]#REF'!A956</f>
        <v>#REF!</v>
      </c>
      <c r="B956" s="12" t="e">
        <f>'[4]#REF'!B956</f>
        <v>#REF!</v>
      </c>
      <c r="C956" s="31" t="e">
        <f>'[4]#REF'!D956</f>
        <v>#REF!</v>
      </c>
      <c r="D956" s="32" t="e">
        <f t="shared" si="39"/>
        <v>#REF!</v>
      </c>
      <c r="F956" s="12" t="e">
        <f>'[4]#REF'!F956</f>
        <v>#REF!</v>
      </c>
      <c r="G956" s="12" t="e">
        <f>'[4]#REF'!G956</f>
        <v>#REF!</v>
      </c>
      <c r="H956" s="31" t="e">
        <f>'[4]#REF'!I956</f>
        <v>#REF!</v>
      </c>
      <c r="I956" s="32" t="e">
        <f t="shared" si="40"/>
        <v>#REF!</v>
      </c>
    </row>
    <row r="957" ht="15.75" spans="1:9">
      <c r="A957" s="12" t="e">
        <f>'[4]#REF'!A957</f>
        <v>#REF!</v>
      </c>
      <c r="B957" s="12" t="e">
        <f>'[4]#REF'!B957</f>
        <v>#REF!</v>
      </c>
      <c r="C957" s="31" t="e">
        <f>'[4]#REF'!D957</f>
        <v>#REF!</v>
      </c>
      <c r="D957" s="32" t="e">
        <f t="shared" si="39"/>
        <v>#REF!</v>
      </c>
      <c r="F957" s="12" t="e">
        <f>'[4]#REF'!F957</f>
        <v>#REF!</v>
      </c>
      <c r="G957" s="12" t="e">
        <f>'[4]#REF'!G957</f>
        <v>#REF!</v>
      </c>
      <c r="H957" s="31" t="e">
        <f>'[4]#REF'!I957</f>
        <v>#REF!</v>
      </c>
      <c r="I957" s="32" t="e">
        <f t="shared" si="40"/>
        <v>#REF!</v>
      </c>
    </row>
    <row r="958" ht="15.75" spans="1:9">
      <c r="A958" s="12" t="e">
        <f>'[4]#REF'!A958</f>
        <v>#REF!</v>
      </c>
      <c r="B958" s="12" t="e">
        <f>'[4]#REF'!B958</f>
        <v>#REF!</v>
      </c>
      <c r="C958" s="31" t="e">
        <f>'[4]#REF'!D958</f>
        <v>#REF!</v>
      </c>
      <c r="D958" s="32" t="e">
        <f t="shared" si="39"/>
        <v>#REF!</v>
      </c>
      <c r="F958" s="12" t="e">
        <f>'[4]#REF'!F958</f>
        <v>#REF!</v>
      </c>
      <c r="G958" s="12" t="e">
        <f>'[4]#REF'!G958</f>
        <v>#REF!</v>
      </c>
      <c r="H958" s="31" t="e">
        <f>'[4]#REF'!I958</f>
        <v>#REF!</v>
      </c>
      <c r="I958" s="32" t="e">
        <f t="shared" si="40"/>
        <v>#REF!</v>
      </c>
    </row>
    <row r="959" ht="15.75" spans="1:9">
      <c r="A959" s="12" t="e">
        <f>'[4]#REF'!A959</f>
        <v>#REF!</v>
      </c>
      <c r="B959" s="12" t="e">
        <f>'[4]#REF'!B959</f>
        <v>#REF!</v>
      </c>
      <c r="C959" s="31" t="e">
        <f>'[4]#REF'!D959</f>
        <v>#REF!</v>
      </c>
      <c r="D959" s="32" t="e">
        <f t="shared" si="39"/>
        <v>#REF!</v>
      </c>
      <c r="F959" s="12" t="e">
        <f>'[4]#REF'!F959</f>
        <v>#REF!</v>
      </c>
      <c r="G959" s="12" t="e">
        <f>'[4]#REF'!G959</f>
        <v>#REF!</v>
      </c>
      <c r="H959" s="31" t="e">
        <f>'[4]#REF'!I959</f>
        <v>#REF!</v>
      </c>
      <c r="I959" s="32" t="e">
        <f t="shared" si="40"/>
        <v>#REF!</v>
      </c>
    </row>
    <row r="960" ht="15.75" spans="1:9">
      <c r="A960" s="12" t="e">
        <f>'[4]#REF'!A960</f>
        <v>#REF!</v>
      </c>
      <c r="B960" s="12" t="e">
        <f>'[4]#REF'!B960</f>
        <v>#REF!</v>
      </c>
      <c r="C960" s="31" t="e">
        <f>'[4]#REF'!D960</f>
        <v>#REF!</v>
      </c>
      <c r="D960" s="32" t="e">
        <f t="shared" si="39"/>
        <v>#REF!</v>
      </c>
      <c r="F960" s="12" t="e">
        <f>'[4]#REF'!F960</f>
        <v>#REF!</v>
      </c>
      <c r="G960" s="12" t="e">
        <f>'[4]#REF'!G960</f>
        <v>#REF!</v>
      </c>
      <c r="H960" s="31" t="e">
        <f>'[4]#REF'!I960</f>
        <v>#REF!</v>
      </c>
      <c r="I960" s="32" t="e">
        <f t="shared" si="40"/>
        <v>#REF!</v>
      </c>
    </row>
    <row r="961" ht="15.75" spans="1:9">
      <c r="A961" s="12" t="e">
        <f>'[4]#REF'!A961</f>
        <v>#REF!</v>
      </c>
      <c r="B961" s="12" t="e">
        <f>'[4]#REF'!B961</f>
        <v>#REF!</v>
      </c>
      <c r="C961" s="31" t="e">
        <f>'[4]#REF'!D961</f>
        <v>#REF!</v>
      </c>
      <c r="D961" s="32" t="e">
        <f t="shared" si="39"/>
        <v>#REF!</v>
      </c>
      <c r="F961" s="12" t="e">
        <f>'[4]#REF'!F961</f>
        <v>#REF!</v>
      </c>
      <c r="G961" s="12" t="e">
        <f>'[4]#REF'!G961</f>
        <v>#REF!</v>
      </c>
      <c r="H961" s="31" t="e">
        <f>'[4]#REF'!I961</f>
        <v>#REF!</v>
      </c>
      <c r="I961" s="32" t="e">
        <f t="shared" si="40"/>
        <v>#REF!</v>
      </c>
    </row>
    <row r="962" ht="15.75" spans="1:9">
      <c r="A962" s="12" t="e">
        <f>'[4]#REF'!A962</f>
        <v>#REF!</v>
      </c>
      <c r="B962" s="12" t="e">
        <f>'[4]#REF'!B962</f>
        <v>#REF!</v>
      </c>
      <c r="C962" s="31" t="e">
        <f>'[4]#REF'!D962</f>
        <v>#REF!</v>
      </c>
      <c r="D962" s="32" t="e">
        <f t="shared" si="39"/>
        <v>#REF!</v>
      </c>
      <c r="F962" s="12" t="e">
        <f>'[4]#REF'!F962</f>
        <v>#REF!</v>
      </c>
      <c r="G962" s="12" t="e">
        <f>'[4]#REF'!G962</f>
        <v>#REF!</v>
      </c>
      <c r="H962" s="31" t="e">
        <f>'[4]#REF'!I962</f>
        <v>#REF!</v>
      </c>
      <c r="I962" s="32" t="e">
        <f t="shared" si="40"/>
        <v>#REF!</v>
      </c>
    </row>
    <row r="963" ht="15.75" spans="1:9">
      <c r="A963" s="12" t="e">
        <f>'[4]#REF'!A963</f>
        <v>#REF!</v>
      </c>
      <c r="B963" s="12" t="e">
        <f>'[4]#REF'!B963</f>
        <v>#REF!</v>
      </c>
      <c r="C963" s="31" t="e">
        <f>'[4]#REF'!D963</f>
        <v>#REF!</v>
      </c>
      <c r="D963" s="32" t="e">
        <f t="shared" si="39"/>
        <v>#REF!</v>
      </c>
      <c r="F963" s="12" t="e">
        <f>'[4]#REF'!F963</f>
        <v>#REF!</v>
      </c>
      <c r="G963" s="12" t="e">
        <f>'[4]#REF'!G963</f>
        <v>#REF!</v>
      </c>
      <c r="H963" s="31" t="e">
        <f>'[4]#REF'!I963</f>
        <v>#REF!</v>
      </c>
      <c r="I963" s="32" t="e">
        <f t="shared" si="40"/>
        <v>#REF!</v>
      </c>
    </row>
    <row r="964" ht="15.75" spans="1:9">
      <c r="A964" s="12" t="e">
        <f>'[4]#REF'!A964</f>
        <v>#REF!</v>
      </c>
      <c r="B964" s="12" t="e">
        <f>'[4]#REF'!B964</f>
        <v>#REF!</v>
      </c>
      <c r="C964" s="31" t="e">
        <f>'[4]#REF'!D964</f>
        <v>#REF!</v>
      </c>
      <c r="D964" s="32" t="e">
        <f t="shared" si="39"/>
        <v>#REF!</v>
      </c>
      <c r="F964" s="12" t="e">
        <f>'[4]#REF'!F964</f>
        <v>#REF!</v>
      </c>
      <c r="G964" s="12" t="e">
        <f>'[4]#REF'!G964</f>
        <v>#REF!</v>
      </c>
      <c r="H964" s="31" t="e">
        <f>'[4]#REF'!I964</f>
        <v>#REF!</v>
      </c>
      <c r="I964" s="32" t="e">
        <f t="shared" si="40"/>
        <v>#REF!</v>
      </c>
    </row>
    <row r="965" ht="15.75" spans="1:9">
      <c r="A965" s="12" t="e">
        <f>'[4]#REF'!A965</f>
        <v>#REF!</v>
      </c>
      <c r="B965" s="12" t="e">
        <f>'[4]#REF'!B965</f>
        <v>#REF!</v>
      </c>
      <c r="C965" s="31" t="e">
        <f>'[4]#REF'!D965</f>
        <v>#REF!</v>
      </c>
      <c r="D965" s="32" t="e">
        <f t="shared" si="39"/>
        <v>#REF!</v>
      </c>
      <c r="F965" s="12" t="e">
        <f>'[4]#REF'!F965</f>
        <v>#REF!</v>
      </c>
      <c r="G965" s="12" t="e">
        <f>'[4]#REF'!G965</f>
        <v>#REF!</v>
      </c>
      <c r="H965" s="31" t="e">
        <f>'[4]#REF'!I965</f>
        <v>#REF!</v>
      </c>
      <c r="I965" s="32" t="e">
        <f t="shared" si="40"/>
        <v>#REF!</v>
      </c>
    </row>
    <row r="966" ht="15.75" spans="1:9">
      <c r="A966" s="12" t="e">
        <f>'[4]#REF'!A966</f>
        <v>#REF!</v>
      </c>
      <c r="B966" s="12" t="e">
        <f>'[4]#REF'!B966</f>
        <v>#REF!</v>
      </c>
      <c r="C966" s="31" t="e">
        <f>'[4]#REF'!D966</f>
        <v>#REF!</v>
      </c>
      <c r="D966" s="32" t="e">
        <f t="shared" ref="D966:D1029" si="41">ROUND(C966/$D$4*100,2)</f>
        <v>#REF!</v>
      </c>
      <c r="F966" s="12" t="e">
        <f>'[4]#REF'!F966</f>
        <v>#REF!</v>
      </c>
      <c r="G966" s="12" t="e">
        <f>'[4]#REF'!G966</f>
        <v>#REF!</v>
      </c>
      <c r="H966" s="31" t="e">
        <f>'[4]#REF'!I966</f>
        <v>#REF!</v>
      </c>
      <c r="I966" s="32" t="e">
        <f t="shared" ref="I966:I1029" si="42">ROUND(H966/$I$4*100,2)</f>
        <v>#REF!</v>
      </c>
    </row>
    <row r="967" ht="15.75" spans="1:9">
      <c r="A967" s="12" t="e">
        <f>'[4]#REF'!A967</f>
        <v>#REF!</v>
      </c>
      <c r="B967" s="12" t="e">
        <f>'[4]#REF'!B967</f>
        <v>#REF!</v>
      </c>
      <c r="C967" s="31" t="e">
        <f>'[4]#REF'!D967</f>
        <v>#REF!</v>
      </c>
      <c r="D967" s="32" t="e">
        <f t="shared" si="41"/>
        <v>#REF!</v>
      </c>
      <c r="F967" s="12" t="e">
        <f>'[4]#REF'!F967</f>
        <v>#REF!</v>
      </c>
      <c r="G967" s="12" t="e">
        <f>'[4]#REF'!G967</f>
        <v>#REF!</v>
      </c>
      <c r="H967" s="31" t="e">
        <f>'[4]#REF'!I967</f>
        <v>#REF!</v>
      </c>
      <c r="I967" s="32" t="e">
        <f t="shared" si="42"/>
        <v>#REF!</v>
      </c>
    </row>
    <row r="968" ht="15.75" spans="1:9">
      <c r="A968" s="12" t="e">
        <f>'[4]#REF'!A968</f>
        <v>#REF!</v>
      </c>
      <c r="B968" s="12" t="e">
        <f>'[4]#REF'!B968</f>
        <v>#REF!</v>
      </c>
      <c r="C968" s="31" t="e">
        <f>'[4]#REF'!D968</f>
        <v>#REF!</v>
      </c>
      <c r="D968" s="32" t="e">
        <f t="shared" si="41"/>
        <v>#REF!</v>
      </c>
      <c r="F968" s="12" t="e">
        <f>'[4]#REF'!F968</f>
        <v>#REF!</v>
      </c>
      <c r="G968" s="12" t="e">
        <f>'[4]#REF'!G968</f>
        <v>#REF!</v>
      </c>
      <c r="H968" s="31" t="e">
        <f>'[4]#REF'!I968</f>
        <v>#REF!</v>
      </c>
      <c r="I968" s="32" t="e">
        <f t="shared" si="42"/>
        <v>#REF!</v>
      </c>
    </row>
    <row r="969" ht="15.75" spans="1:9">
      <c r="A969" s="12" t="e">
        <f>'[4]#REF'!A969</f>
        <v>#REF!</v>
      </c>
      <c r="B969" s="12" t="e">
        <f>'[4]#REF'!B969</f>
        <v>#REF!</v>
      </c>
      <c r="C969" s="31" t="e">
        <f>'[4]#REF'!D969</f>
        <v>#REF!</v>
      </c>
      <c r="D969" s="32" t="e">
        <f t="shared" si="41"/>
        <v>#REF!</v>
      </c>
      <c r="F969" s="12" t="e">
        <f>'[4]#REF'!F969</f>
        <v>#REF!</v>
      </c>
      <c r="G969" s="12" t="e">
        <f>'[4]#REF'!G969</f>
        <v>#REF!</v>
      </c>
      <c r="H969" s="31" t="e">
        <f>'[4]#REF'!I969</f>
        <v>#REF!</v>
      </c>
      <c r="I969" s="32" t="e">
        <f t="shared" si="42"/>
        <v>#REF!</v>
      </c>
    </row>
    <row r="970" ht="15.75" spans="1:9">
      <c r="A970" s="12" t="e">
        <f>'[4]#REF'!A970</f>
        <v>#REF!</v>
      </c>
      <c r="B970" s="12" t="e">
        <f>'[4]#REF'!B970</f>
        <v>#REF!</v>
      </c>
      <c r="C970" s="31" t="e">
        <f>'[4]#REF'!D970</f>
        <v>#REF!</v>
      </c>
      <c r="D970" s="32" t="e">
        <f t="shared" si="41"/>
        <v>#REF!</v>
      </c>
      <c r="F970" s="12" t="e">
        <f>'[4]#REF'!F970</f>
        <v>#REF!</v>
      </c>
      <c r="G970" s="12" t="e">
        <f>'[4]#REF'!G970</f>
        <v>#REF!</v>
      </c>
      <c r="H970" s="31" t="e">
        <f>'[4]#REF'!I970</f>
        <v>#REF!</v>
      </c>
      <c r="I970" s="32" t="e">
        <f t="shared" si="42"/>
        <v>#REF!</v>
      </c>
    </row>
    <row r="971" ht="15.75" spans="1:9">
      <c r="A971" s="12" t="e">
        <f>'[4]#REF'!A971</f>
        <v>#REF!</v>
      </c>
      <c r="B971" s="12" t="e">
        <f>'[4]#REF'!B971</f>
        <v>#REF!</v>
      </c>
      <c r="C971" s="31" t="e">
        <f>'[4]#REF'!D971</f>
        <v>#REF!</v>
      </c>
      <c r="D971" s="32" t="e">
        <f t="shared" si="41"/>
        <v>#REF!</v>
      </c>
      <c r="F971" s="12" t="e">
        <f>'[4]#REF'!F971</f>
        <v>#REF!</v>
      </c>
      <c r="G971" s="12" t="e">
        <f>'[4]#REF'!G971</f>
        <v>#REF!</v>
      </c>
      <c r="H971" s="31" t="e">
        <f>'[4]#REF'!I971</f>
        <v>#REF!</v>
      </c>
      <c r="I971" s="32" t="e">
        <f t="shared" si="42"/>
        <v>#REF!</v>
      </c>
    </row>
    <row r="972" ht="15.75" spans="1:9">
      <c r="A972" s="12" t="e">
        <f>'[4]#REF'!A972</f>
        <v>#REF!</v>
      </c>
      <c r="B972" s="12" t="e">
        <f>'[4]#REF'!B972</f>
        <v>#REF!</v>
      </c>
      <c r="C972" s="31" t="e">
        <f>'[4]#REF'!D972</f>
        <v>#REF!</v>
      </c>
      <c r="D972" s="32" t="e">
        <f t="shared" si="41"/>
        <v>#REF!</v>
      </c>
      <c r="F972" s="12" t="e">
        <f>'[4]#REF'!F972</f>
        <v>#REF!</v>
      </c>
      <c r="G972" s="12" t="e">
        <f>'[4]#REF'!G972</f>
        <v>#REF!</v>
      </c>
      <c r="H972" s="31" t="e">
        <f>'[4]#REF'!I972</f>
        <v>#REF!</v>
      </c>
      <c r="I972" s="32" t="e">
        <f t="shared" si="42"/>
        <v>#REF!</v>
      </c>
    </row>
    <row r="973" ht="15.75" spans="1:9">
      <c r="A973" s="12" t="e">
        <f>'[4]#REF'!A973</f>
        <v>#REF!</v>
      </c>
      <c r="B973" s="12" t="e">
        <f>'[4]#REF'!B973</f>
        <v>#REF!</v>
      </c>
      <c r="C973" s="31" t="e">
        <f>'[4]#REF'!D973</f>
        <v>#REF!</v>
      </c>
      <c r="D973" s="32" t="e">
        <f t="shared" si="41"/>
        <v>#REF!</v>
      </c>
      <c r="F973" s="12" t="e">
        <f>'[4]#REF'!F973</f>
        <v>#REF!</v>
      </c>
      <c r="G973" s="12" t="e">
        <f>'[4]#REF'!G973</f>
        <v>#REF!</v>
      </c>
      <c r="H973" s="31" t="e">
        <f>'[4]#REF'!I973</f>
        <v>#REF!</v>
      </c>
      <c r="I973" s="32" t="e">
        <f t="shared" si="42"/>
        <v>#REF!</v>
      </c>
    </row>
    <row r="974" ht="15.75" spans="1:9">
      <c r="A974" s="12" t="e">
        <f>'[4]#REF'!A974</f>
        <v>#REF!</v>
      </c>
      <c r="B974" s="12" t="e">
        <f>'[4]#REF'!B974</f>
        <v>#REF!</v>
      </c>
      <c r="C974" s="31" t="e">
        <f>'[4]#REF'!D974</f>
        <v>#REF!</v>
      </c>
      <c r="D974" s="32" t="e">
        <f t="shared" si="41"/>
        <v>#REF!</v>
      </c>
      <c r="F974" s="12" t="e">
        <f>'[4]#REF'!F974</f>
        <v>#REF!</v>
      </c>
      <c r="G974" s="12" t="e">
        <f>'[4]#REF'!G974</f>
        <v>#REF!</v>
      </c>
      <c r="H974" s="31" t="e">
        <f>'[4]#REF'!I974</f>
        <v>#REF!</v>
      </c>
      <c r="I974" s="32" t="e">
        <f t="shared" si="42"/>
        <v>#REF!</v>
      </c>
    </row>
    <row r="975" ht="15.75" spans="1:9">
      <c r="A975" s="12" t="e">
        <f>'[4]#REF'!A975</f>
        <v>#REF!</v>
      </c>
      <c r="B975" s="12" t="e">
        <f>'[4]#REF'!B975</f>
        <v>#REF!</v>
      </c>
      <c r="C975" s="31" t="e">
        <f>'[4]#REF'!D975</f>
        <v>#REF!</v>
      </c>
      <c r="D975" s="32" t="e">
        <f t="shared" si="41"/>
        <v>#REF!</v>
      </c>
      <c r="F975" s="12" t="e">
        <f>'[4]#REF'!F975</f>
        <v>#REF!</v>
      </c>
      <c r="G975" s="12" t="e">
        <f>'[4]#REF'!G975</f>
        <v>#REF!</v>
      </c>
      <c r="H975" s="31" t="e">
        <f>'[4]#REF'!I975</f>
        <v>#REF!</v>
      </c>
      <c r="I975" s="32" t="e">
        <f t="shared" si="42"/>
        <v>#REF!</v>
      </c>
    </row>
    <row r="976" ht="15.75" spans="1:9">
      <c r="A976" s="12" t="e">
        <f>'[4]#REF'!A976</f>
        <v>#REF!</v>
      </c>
      <c r="B976" s="12" t="e">
        <f>'[4]#REF'!B976</f>
        <v>#REF!</v>
      </c>
      <c r="C976" s="31" t="e">
        <f>'[4]#REF'!D976</f>
        <v>#REF!</v>
      </c>
      <c r="D976" s="32" t="e">
        <f t="shared" si="41"/>
        <v>#REF!</v>
      </c>
      <c r="F976" s="12" t="e">
        <f>'[4]#REF'!F976</f>
        <v>#REF!</v>
      </c>
      <c r="G976" s="12" t="e">
        <f>'[4]#REF'!G976</f>
        <v>#REF!</v>
      </c>
      <c r="H976" s="31" t="e">
        <f>'[4]#REF'!I976</f>
        <v>#REF!</v>
      </c>
      <c r="I976" s="32" t="e">
        <f t="shared" si="42"/>
        <v>#REF!</v>
      </c>
    </row>
    <row r="977" ht="15.75" spans="1:9">
      <c r="A977" s="12" t="e">
        <f>'[4]#REF'!A977</f>
        <v>#REF!</v>
      </c>
      <c r="B977" s="12" t="e">
        <f>'[4]#REF'!B977</f>
        <v>#REF!</v>
      </c>
      <c r="C977" s="31" t="e">
        <f>'[4]#REF'!D977</f>
        <v>#REF!</v>
      </c>
      <c r="D977" s="32" t="e">
        <f t="shared" si="41"/>
        <v>#REF!</v>
      </c>
      <c r="F977" s="12" t="e">
        <f>'[4]#REF'!F977</f>
        <v>#REF!</v>
      </c>
      <c r="G977" s="12" t="e">
        <f>'[4]#REF'!G977</f>
        <v>#REF!</v>
      </c>
      <c r="H977" s="31" t="e">
        <f>'[4]#REF'!I977</f>
        <v>#REF!</v>
      </c>
      <c r="I977" s="32" t="e">
        <f t="shared" si="42"/>
        <v>#REF!</v>
      </c>
    </row>
    <row r="978" ht="15.75" spans="1:9">
      <c r="A978" s="12" t="e">
        <f>'[4]#REF'!A978</f>
        <v>#REF!</v>
      </c>
      <c r="B978" s="12" t="e">
        <f>'[4]#REF'!B978</f>
        <v>#REF!</v>
      </c>
      <c r="C978" s="31" t="e">
        <f>'[4]#REF'!D978</f>
        <v>#REF!</v>
      </c>
      <c r="D978" s="32" t="e">
        <f t="shared" si="41"/>
        <v>#REF!</v>
      </c>
      <c r="F978" s="12" t="e">
        <f>'[4]#REF'!F978</f>
        <v>#REF!</v>
      </c>
      <c r="G978" s="12" t="e">
        <f>'[4]#REF'!G978</f>
        <v>#REF!</v>
      </c>
      <c r="H978" s="31" t="e">
        <f>'[4]#REF'!I978</f>
        <v>#REF!</v>
      </c>
      <c r="I978" s="32" t="e">
        <f t="shared" si="42"/>
        <v>#REF!</v>
      </c>
    </row>
    <row r="979" ht="15.75" spans="1:9">
      <c r="A979" s="12" t="e">
        <f>'[4]#REF'!A979</f>
        <v>#REF!</v>
      </c>
      <c r="B979" s="12" t="e">
        <f>'[4]#REF'!B979</f>
        <v>#REF!</v>
      </c>
      <c r="C979" s="31" t="e">
        <f>'[4]#REF'!D979</f>
        <v>#REF!</v>
      </c>
      <c r="D979" s="32" t="e">
        <f t="shared" si="41"/>
        <v>#REF!</v>
      </c>
      <c r="F979" s="12" t="e">
        <f>'[4]#REF'!F979</f>
        <v>#REF!</v>
      </c>
      <c r="G979" s="12" t="e">
        <f>'[4]#REF'!G979</f>
        <v>#REF!</v>
      </c>
      <c r="H979" s="31" t="e">
        <f>'[4]#REF'!I979</f>
        <v>#REF!</v>
      </c>
      <c r="I979" s="32" t="e">
        <f t="shared" si="42"/>
        <v>#REF!</v>
      </c>
    </row>
    <row r="980" ht="15.75" spans="1:9">
      <c r="A980" s="12" t="e">
        <f>'[4]#REF'!A980</f>
        <v>#REF!</v>
      </c>
      <c r="B980" s="12" t="e">
        <f>'[4]#REF'!B980</f>
        <v>#REF!</v>
      </c>
      <c r="C980" s="31" t="e">
        <f>'[4]#REF'!D980</f>
        <v>#REF!</v>
      </c>
      <c r="D980" s="32" t="e">
        <f t="shared" si="41"/>
        <v>#REF!</v>
      </c>
      <c r="F980" s="12" t="e">
        <f>'[4]#REF'!F980</f>
        <v>#REF!</v>
      </c>
      <c r="G980" s="12" t="e">
        <f>'[4]#REF'!G980</f>
        <v>#REF!</v>
      </c>
      <c r="H980" s="31" t="e">
        <f>'[4]#REF'!I980</f>
        <v>#REF!</v>
      </c>
      <c r="I980" s="32" t="e">
        <f t="shared" si="42"/>
        <v>#REF!</v>
      </c>
    </row>
    <row r="981" ht="15.75" spans="1:9">
      <c r="A981" s="12" t="e">
        <f>'[4]#REF'!A981</f>
        <v>#REF!</v>
      </c>
      <c r="B981" s="12" t="e">
        <f>'[4]#REF'!B981</f>
        <v>#REF!</v>
      </c>
      <c r="C981" s="31" t="e">
        <f>'[4]#REF'!D981</f>
        <v>#REF!</v>
      </c>
      <c r="D981" s="32" t="e">
        <f t="shared" si="41"/>
        <v>#REF!</v>
      </c>
      <c r="F981" s="12" t="e">
        <f>'[4]#REF'!F981</f>
        <v>#REF!</v>
      </c>
      <c r="G981" s="12" t="e">
        <f>'[4]#REF'!G981</f>
        <v>#REF!</v>
      </c>
      <c r="H981" s="31" t="e">
        <f>'[4]#REF'!I981</f>
        <v>#REF!</v>
      </c>
      <c r="I981" s="32" t="e">
        <f t="shared" si="42"/>
        <v>#REF!</v>
      </c>
    </row>
    <row r="982" ht="15.75" spans="1:9">
      <c r="A982" s="12" t="e">
        <f>'[4]#REF'!A982</f>
        <v>#REF!</v>
      </c>
      <c r="B982" s="12" t="e">
        <f>'[4]#REF'!B982</f>
        <v>#REF!</v>
      </c>
      <c r="C982" s="31" t="e">
        <f>'[4]#REF'!D982</f>
        <v>#REF!</v>
      </c>
      <c r="D982" s="32" t="e">
        <f t="shared" si="41"/>
        <v>#REF!</v>
      </c>
      <c r="F982" s="12" t="e">
        <f>'[4]#REF'!F982</f>
        <v>#REF!</v>
      </c>
      <c r="G982" s="12" t="e">
        <f>'[4]#REF'!G982</f>
        <v>#REF!</v>
      </c>
      <c r="H982" s="31" t="e">
        <f>'[4]#REF'!I982</f>
        <v>#REF!</v>
      </c>
      <c r="I982" s="32" t="e">
        <f t="shared" si="42"/>
        <v>#REF!</v>
      </c>
    </row>
    <row r="983" ht="15.75" spans="1:9">
      <c r="A983" s="12" t="e">
        <f>'[4]#REF'!A983</f>
        <v>#REF!</v>
      </c>
      <c r="B983" s="12" t="e">
        <f>'[4]#REF'!B983</f>
        <v>#REF!</v>
      </c>
      <c r="C983" s="31" t="e">
        <f>'[4]#REF'!D983</f>
        <v>#REF!</v>
      </c>
      <c r="D983" s="32" t="e">
        <f t="shared" si="41"/>
        <v>#REF!</v>
      </c>
      <c r="F983" s="12" t="e">
        <f>'[4]#REF'!F983</f>
        <v>#REF!</v>
      </c>
      <c r="G983" s="12" t="e">
        <f>'[4]#REF'!G983</f>
        <v>#REF!</v>
      </c>
      <c r="H983" s="31" t="e">
        <f>'[4]#REF'!I983</f>
        <v>#REF!</v>
      </c>
      <c r="I983" s="32" t="e">
        <f t="shared" si="42"/>
        <v>#REF!</v>
      </c>
    </row>
    <row r="984" ht="15.75" spans="1:9">
      <c r="A984" s="12" t="e">
        <f>'[4]#REF'!A984</f>
        <v>#REF!</v>
      </c>
      <c r="B984" s="12" t="e">
        <f>'[4]#REF'!B984</f>
        <v>#REF!</v>
      </c>
      <c r="C984" s="31" t="e">
        <f>'[4]#REF'!D984</f>
        <v>#REF!</v>
      </c>
      <c r="D984" s="32" t="e">
        <f t="shared" si="41"/>
        <v>#REF!</v>
      </c>
      <c r="F984" s="12" t="e">
        <f>'[4]#REF'!F984</f>
        <v>#REF!</v>
      </c>
      <c r="G984" s="12" t="e">
        <f>'[4]#REF'!G984</f>
        <v>#REF!</v>
      </c>
      <c r="H984" s="31" t="e">
        <f>'[4]#REF'!I984</f>
        <v>#REF!</v>
      </c>
      <c r="I984" s="32" t="e">
        <f t="shared" si="42"/>
        <v>#REF!</v>
      </c>
    </row>
    <row r="985" ht="15.75" spans="1:9">
      <c r="A985" s="12" t="e">
        <f>'[4]#REF'!A985</f>
        <v>#REF!</v>
      </c>
      <c r="B985" s="12" t="e">
        <f>'[4]#REF'!B985</f>
        <v>#REF!</v>
      </c>
      <c r="C985" s="31" t="e">
        <f>'[4]#REF'!D985</f>
        <v>#REF!</v>
      </c>
      <c r="D985" s="32" t="e">
        <f t="shared" si="41"/>
        <v>#REF!</v>
      </c>
      <c r="F985" s="12" t="e">
        <f>'[4]#REF'!F985</f>
        <v>#REF!</v>
      </c>
      <c r="G985" s="12" t="e">
        <f>'[4]#REF'!G985</f>
        <v>#REF!</v>
      </c>
      <c r="H985" s="31" t="e">
        <f>'[4]#REF'!I985</f>
        <v>#REF!</v>
      </c>
      <c r="I985" s="32" t="e">
        <f t="shared" si="42"/>
        <v>#REF!</v>
      </c>
    </row>
    <row r="986" ht="15.75" spans="1:9">
      <c r="A986" s="12" t="e">
        <f>'[4]#REF'!A986</f>
        <v>#REF!</v>
      </c>
      <c r="B986" s="12" t="e">
        <f>'[4]#REF'!B986</f>
        <v>#REF!</v>
      </c>
      <c r="C986" s="31" t="e">
        <f>'[4]#REF'!D986</f>
        <v>#REF!</v>
      </c>
      <c r="D986" s="32" t="e">
        <f t="shared" si="41"/>
        <v>#REF!</v>
      </c>
      <c r="F986" s="12" t="e">
        <f>'[4]#REF'!F986</f>
        <v>#REF!</v>
      </c>
      <c r="G986" s="12" t="e">
        <f>'[4]#REF'!G986</f>
        <v>#REF!</v>
      </c>
      <c r="H986" s="31" t="e">
        <f>'[4]#REF'!I986</f>
        <v>#REF!</v>
      </c>
      <c r="I986" s="32" t="e">
        <f t="shared" si="42"/>
        <v>#REF!</v>
      </c>
    </row>
    <row r="987" ht="15.75" spans="1:9">
      <c r="A987" s="12" t="e">
        <f>'[4]#REF'!A987</f>
        <v>#REF!</v>
      </c>
      <c r="B987" s="12" t="e">
        <f>'[4]#REF'!B987</f>
        <v>#REF!</v>
      </c>
      <c r="C987" s="31" t="e">
        <f>'[4]#REF'!D987</f>
        <v>#REF!</v>
      </c>
      <c r="D987" s="32" t="e">
        <f t="shared" si="41"/>
        <v>#REF!</v>
      </c>
      <c r="F987" s="12" t="e">
        <f>'[4]#REF'!F987</f>
        <v>#REF!</v>
      </c>
      <c r="G987" s="12" t="e">
        <f>'[4]#REF'!G987</f>
        <v>#REF!</v>
      </c>
      <c r="H987" s="31" t="e">
        <f>'[4]#REF'!I987</f>
        <v>#REF!</v>
      </c>
      <c r="I987" s="32" t="e">
        <f t="shared" si="42"/>
        <v>#REF!</v>
      </c>
    </row>
    <row r="988" ht="15.75" spans="1:9">
      <c r="A988" s="12" t="e">
        <f>'[4]#REF'!A988</f>
        <v>#REF!</v>
      </c>
      <c r="B988" s="12" t="e">
        <f>'[4]#REF'!B988</f>
        <v>#REF!</v>
      </c>
      <c r="C988" s="31" t="e">
        <f>'[4]#REF'!D988</f>
        <v>#REF!</v>
      </c>
      <c r="D988" s="32" t="e">
        <f t="shared" si="41"/>
        <v>#REF!</v>
      </c>
      <c r="F988" s="12" t="e">
        <f>'[4]#REF'!F988</f>
        <v>#REF!</v>
      </c>
      <c r="G988" s="12" t="e">
        <f>'[4]#REF'!G988</f>
        <v>#REF!</v>
      </c>
      <c r="H988" s="31" t="e">
        <f>'[4]#REF'!I988</f>
        <v>#REF!</v>
      </c>
      <c r="I988" s="32" t="e">
        <f t="shared" si="42"/>
        <v>#REF!</v>
      </c>
    </row>
    <row r="989" ht="15.75" spans="1:9">
      <c r="A989" s="12" t="e">
        <f>'[4]#REF'!A989</f>
        <v>#REF!</v>
      </c>
      <c r="B989" s="12" t="e">
        <f>'[4]#REF'!B989</f>
        <v>#REF!</v>
      </c>
      <c r="C989" s="31" t="e">
        <f>'[4]#REF'!D989</f>
        <v>#REF!</v>
      </c>
      <c r="D989" s="32" t="e">
        <f t="shared" si="41"/>
        <v>#REF!</v>
      </c>
      <c r="F989" s="12" t="e">
        <f>'[4]#REF'!F989</f>
        <v>#REF!</v>
      </c>
      <c r="G989" s="12" t="e">
        <f>'[4]#REF'!G989</f>
        <v>#REF!</v>
      </c>
      <c r="H989" s="31" t="e">
        <f>'[4]#REF'!I989</f>
        <v>#REF!</v>
      </c>
      <c r="I989" s="32" t="e">
        <f t="shared" si="42"/>
        <v>#REF!</v>
      </c>
    </row>
    <row r="990" ht="15.75" spans="1:9">
      <c r="A990" s="12" t="e">
        <f>'[4]#REF'!A990</f>
        <v>#REF!</v>
      </c>
      <c r="B990" s="12" t="e">
        <f>'[4]#REF'!B990</f>
        <v>#REF!</v>
      </c>
      <c r="C990" s="31" t="e">
        <f>'[4]#REF'!D990</f>
        <v>#REF!</v>
      </c>
      <c r="D990" s="32" t="e">
        <f t="shared" si="41"/>
        <v>#REF!</v>
      </c>
      <c r="F990" s="12" t="e">
        <f>'[4]#REF'!F990</f>
        <v>#REF!</v>
      </c>
      <c r="G990" s="12" t="e">
        <f>'[4]#REF'!G990</f>
        <v>#REF!</v>
      </c>
      <c r="H990" s="31" t="e">
        <f>'[4]#REF'!I990</f>
        <v>#REF!</v>
      </c>
      <c r="I990" s="32" t="e">
        <f t="shared" si="42"/>
        <v>#REF!</v>
      </c>
    </row>
    <row r="991" ht="15.75" spans="1:9">
      <c r="A991" s="12" t="e">
        <f>'[4]#REF'!A991</f>
        <v>#REF!</v>
      </c>
      <c r="B991" s="12" t="e">
        <f>'[4]#REF'!B991</f>
        <v>#REF!</v>
      </c>
      <c r="C991" s="31" t="e">
        <f>'[4]#REF'!D991</f>
        <v>#REF!</v>
      </c>
      <c r="D991" s="32" t="e">
        <f t="shared" si="41"/>
        <v>#REF!</v>
      </c>
      <c r="F991" s="12" t="e">
        <f>'[4]#REF'!F991</f>
        <v>#REF!</v>
      </c>
      <c r="G991" s="12" t="e">
        <f>'[4]#REF'!G991</f>
        <v>#REF!</v>
      </c>
      <c r="H991" s="31" t="e">
        <f>'[4]#REF'!I991</f>
        <v>#REF!</v>
      </c>
      <c r="I991" s="32" t="e">
        <f t="shared" si="42"/>
        <v>#REF!</v>
      </c>
    </row>
    <row r="992" ht="15.75" spans="1:9">
      <c r="A992" s="12" t="e">
        <f>'[4]#REF'!A992</f>
        <v>#REF!</v>
      </c>
      <c r="B992" s="12" t="e">
        <f>'[4]#REF'!B992</f>
        <v>#REF!</v>
      </c>
      <c r="C992" s="31" t="e">
        <f>'[4]#REF'!D992</f>
        <v>#REF!</v>
      </c>
      <c r="D992" s="32" t="e">
        <f t="shared" si="41"/>
        <v>#REF!</v>
      </c>
      <c r="F992" s="12" t="e">
        <f>'[4]#REF'!F992</f>
        <v>#REF!</v>
      </c>
      <c r="G992" s="12" t="e">
        <f>'[4]#REF'!G992</f>
        <v>#REF!</v>
      </c>
      <c r="H992" s="31" t="e">
        <f>'[4]#REF'!I992</f>
        <v>#REF!</v>
      </c>
      <c r="I992" s="32" t="e">
        <f t="shared" si="42"/>
        <v>#REF!</v>
      </c>
    </row>
    <row r="993" ht="15.75" spans="1:9">
      <c r="A993" s="12" t="e">
        <f>'[4]#REF'!A993</f>
        <v>#REF!</v>
      </c>
      <c r="B993" s="12" t="e">
        <f>'[4]#REF'!B993</f>
        <v>#REF!</v>
      </c>
      <c r="C993" s="31" t="e">
        <f>'[4]#REF'!D993</f>
        <v>#REF!</v>
      </c>
      <c r="D993" s="32" t="e">
        <f t="shared" si="41"/>
        <v>#REF!</v>
      </c>
      <c r="F993" s="12" t="e">
        <f>'[4]#REF'!F993</f>
        <v>#REF!</v>
      </c>
      <c r="G993" s="12" t="e">
        <f>'[4]#REF'!G993</f>
        <v>#REF!</v>
      </c>
      <c r="H993" s="31" t="e">
        <f>'[4]#REF'!I993</f>
        <v>#REF!</v>
      </c>
      <c r="I993" s="32" t="e">
        <f t="shared" si="42"/>
        <v>#REF!</v>
      </c>
    </row>
    <row r="994" ht="15.75" spans="1:9">
      <c r="A994" s="12" t="e">
        <f>'[4]#REF'!A994</f>
        <v>#REF!</v>
      </c>
      <c r="B994" s="12" t="e">
        <f>'[4]#REF'!B994</f>
        <v>#REF!</v>
      </c>
      <c r="C994" s="31" t="e">
        <f>'[4]#REF'!D994</f>
        <v>#REF!</v>
      </c>
      <c r="D994" s="32" t="e">
        <f t="shared" si="41"/>
        <v>#REF!</v>
      </c>
      <c r="F994" s="12" t="e">
        <f>'[4]#REF'!F994</f>
        <v>#REF!</v>
      </c>
      <c r="G994" s="12" t="e">
        <f>'[4]#REF'!G994</f>
        <v>#REF!</v>
      </c>
      <c r="H994" s="31" t="e">
        <f>'[4]#REF'!I994</f>
        <v>#REF!</v>
      </c>
      <c r="I994" s="32" t="e">
        <f t="shared" si="42"/>
        <v>#REF!</v>
      </c>
    </row>
    <row r="995" ht="15.75" spans="1:9">
      <c r="A995" s="12" t="e">
        <f>'[4]#REF'!A995</f>
        <v>#REF!</v>
      </c>
      <c r="B995" s="12" t="e">
        <f>'[4]#REF'!B995</f>
        <v>#REF!</v>
      </c>
      <c r="C995" s="31" t="e">
        <f>'[4]#REF'!D995</f>
        <v>#REF!</v>
      </c>
      <c r="D995" s="32" t="e">
        <f t="shared" si="41"/>
        <v>#REF!</v>
      </c>
      <c r="F995" s="12" t="e">
        <f>'[4]#REF'!F995</f>
        <v>#REF!</v>
      </c>
      <c r="G995" s="12" t="e">
        <f>'[4]#REF'!G995</f>
        <v>#REF!</v>
      </c>
      <c r="H995" s="31" t="e">
        <f>'[4]#REF'!I995</f>
        <v>#REF!</v>
      </c>
      <c r="I995" s="32" t="e">
        <f t="shared" si="42"/>
        <v>#REF!</v>
      </c>
    </row>
    <row r="996" ht="15.75" spans="1:9">
      <c r="A996" s="12" t="e">
        <f>'[4]#REF'!A996</f>
        <v>#REF!</v>
      </c>
      <c r="B996" s="12" t="e">
        <f>'[4]#REF'!B996</f>
        <v>#REF!</v>
      </c>
      <c r="C996" s="31" t="e">
        <f>'[4]#REF'!D996</f>
        <v>#REF!</v>
      </c>
      <c r="D996" s="32" t="e">
        <f t="shared" si="41"/>
        <v>#REF!</v>
      </c>
      <c r="F996" s="12" t="e">
        <f>'[4]#REF'!F996</f>
        <v>#REF!</v>
      </c>
      <c r="G996" s="12" t="e">
        <f>'[4]#REF'!G996</f>
        <v>#REF!</v>
      </c>
      <c r="H996" s="31" t="e">
        <f>'[4]#REF'!I996</f>
        <v>#REF!</v>
      </c>
      <c r="I996" s="32" t="e">
        <f t="shared" si="42"/>
        <v>#REF!</v>
      </c>
    </row>
    <row r="997" ht="15.75" spans="1:9">
      <c r="A997" s="12" t="e">
        <f>'[4]#REF'!A997</f>
        <v>#REF!</v>
      </c>
      <c r="B997" s="12" t="e">
        <f>'[4]#REF'!B997</f>
        <v>#REF!</v>
      </c>
      <c r="C997" s="31" t="e">
        <f>'[4]#REF'!D997</f>
        <v>#REF!</v>
      </c>
      <c r="D997" s="32" t="e">
        <f t="shared" si="41"/>
        <v>#REF!</v>
      </c>
      <c r="F997" s="12" t="e">
        <f>'[4]#REF'!F997</f>
        <v>#REF!</v>
      </c>
      <c r="G997" s="12" t="e">
        <f>'[4]#REF'!G997</f>
        <v>#REF!</v>
      </c>
      <c r="H997" s="31" t="e">
        <f>'[4]#REF'!I997</f>
        <v>#REF!</v>
      </c>
      <c r="I997" s="32" t="e">
        <f t="shared" si="42"/>
        <v>#REF!</v>
      </c>
    </row>
    <row r="998" ht="15.75" spans="1:9">
      <c r="A998" s="12" t="e">
        <f>'[4]#REF'!A998</f>
        <v>#REF!</v>
      </c>
      <c r="B998" s="12" t="e">
        <f>'[4]#REF'!B998</f>
        <v>#REF!</v>
      </c>
      <c r="C998" s="31" t="e">
        <f>'[4]#REF'!D998</f>
        <v>#REF!</v>
      </c>
      <c r="D998" s="32" t="e">
        <f t="shared" si="41"/>
        <v>#REF!</v>
      </c>
      <c r="F998" s="12" t="e">
        <f>'[4]#REF'!F998</f>
        <v>#REF!</v>
      </c>
      <c r="G998" s="12" t="e">
        <f>'[4]#REF'!G998</f>
        <v>#REF!</v>
      </c>
      <c r="H998" s="31" t="e">
        <f>'[4]#REF'!I998</f>
        <v>#REF!</v>
      </c>
      <c r="I998" s="32" t="e">
        <f t="shared" si="42"/>
        <v>#REF!</v>
      </c>
    </row>
    <row r="999" ht="15.75" spans="1:9">
      <c r="A999" s="12" t="e">
        <f>'[4]#REF'!A999</f>
        <v>#REF!</v>
      </c>
      <c r="B999" s="12" t="e">
        <f>'[4]#REF'!B999</f>
        <v>#REF!</v>
      </c>
      <c r="C999" s="31" t="e">
        <f>'[4]#REF'!D999</f>
        <v>#REF!</v>
      </c>
      <c r="D999" s="32" t="e">
        <f t="shared" si="41"/>
        <v>#REF!</v>
      </c>
      <c r="F999" s="12" t="e">
        <f>'[4]#REF'!F999</f>
        <v>#REF!</v>
      </c>
      <c r="G999" s="12" t="e">
        <f>'[4]#REF'!G999</f>
        <v>#REF!</v>
      </c>
      <c r="H999" s="31" t="e">
        <f>'[4]#REF'!I999</f>
        <v>#REF!</v>
      </c>
      <c r="I999" s="32" t="e">
        <f t="shared" si="42"/>
        <v>#REF!</v>
      </c>
    </row>
    <row r="1000" ht="15.75" spans="1:9">
      <c r="A1000" s="12" t="e">
        <f>'[4]#REF'!A1000</f>
        <v>#REF!</v>
      </c>
      <c r="B1000" s="12" t="e">
        <f>'[4]#REF'!B1000</f>
        <v>#REF!</v>
      </c>
      <c r="C1000" s="31" t="e">
        <f>'[4]#REF'!D1000</f>
        <v>#REF!</v>
      </c>
      <c r="D1000" s="32" t="e">
        <f t="shared" si="41"/>
        <v>#REF!</v>
      </c>
      <c r="F1000" s="12" t="e">
        <f>'[4]#REF'!F1000</f>
        <v>#REF!</v>
      </c>
      <c r="G1000" s="12" t="e">
        <f>'[4]#REF'!G1000</f>
        <v>#REF!</v>
      </c>
      <c r="H1000" s="31" t="e">
        <f>'[4]#REF'!I1000</f>
        <v>#REF!</v>
      </c>
      <c r="I1000" s="32" t="e">
        <f t="shared" si="42"/>
        <v>#REF!</v>
      </c>
    </row>
    <row r="1001" ht="15.75" spans="1:9">
      <c r="A1001" s="12" t="e">
        <f>'[4]#REF'!A1001</f>
        <v>#REF!</v>
      </c>
      <c r="B1001" s="12" t="e">
        <f>'[4]#REF'!B1001</f>
        <v>#REF!</v>
      </c>
      <c r="C1001" s="31" t="e">
        <f>'[4]#REF'!D1001</f>
        <v>#REF!</v>
      </c>
      <c r="D1001" s="32" t="e">
        <f t="shared" si="41"/>
        <v>#REF!</v>
      </c>
      <c r="F1001" s="12" t="e">
        <f>'[4]#REF'!F1001</f>
        <v>#REF!</v>
      </c>
      <c r="G1001" s="12" t="e">
        <f>'[4]#REF'!G1001</f>
        <v>#REF!</v>
      </c>
      <c r="H1001" s="31" t="e">
        <f>'[4]#REF'!I1001</f>
        <v>#REF!</v>
      </c>
      <c r="I1001" s="32" t="e">
        <f t="shared" si="42"/>
        <v>#REF!</v>
      </c>
    </row>
    <row r="1002" ht="15.75" spans="1:9">
      <c r="A1002" s="12" t="e">
        <f>'[4]#REF'!A1002</f>
        <v>#REF!</v>
      </c>
      <c r="B1002" s="12" t="e">
        <f>'[4]#REF'!B1002</f>
        <v>#REF!</v>
      </c>
      <c r="C1002" s="31" t="e">
        <f>'[4]#REF'!D1002</f>
        <v>#REF!</v>
      </c>
      <c r="D1002" s="32" t="e">
        <f t="shared" si="41"/>
        <v>#REF!</v>
      </c>
      <c r="F1002" s="12" t="e">
        <f>'[4]#REF'!F1002</f>
        <v>#REF!</v>
      </c>
      <c r="G1002" s="12" t="e">
        <f>'[4]#REF'!G1002</f>
        <v>#REF!</v>
      </c>
      <c r="H1002" s="31" t="e">
        <f>'[4]#REF'!I1002</f>
        <v>#REF!</v>
      </c>
      <c r="I1002" s="32" t="e">
        <f t="shared" si="42"/>
        <v>#REF!</v>
      </c>
    </row>
    <row r="1003" ht="15.75" spans="1:9">
      <c r="A1003" s="12" t="e">
        <f>'[4]#REF'!A1003</f>
        <v>#REF!</v>
      </c>
      <c r="B1003" s="12" t="e">
        <f>'[4]#REF'!B1003</f>
        <v>#REF!</v>
      </c>
      <c r="C1003" s="31" t="e">
        <f>'[4]#REF'!D1003</f>
        <v>#REF!</v>
      </c>
      <c r="D1003" s="32" t="e">
        <f t="shared" si="41"/>
        <v>#REF!</v>
      </c>
      <c r="F1003" s="12" t="e">
        <f>'[4]#REF'!F1003</f>
        <v>#REF!</v>
      </c>
      <c r="G1003" s="12" t="e">
        <f>'[4]#REF'!G1003</f>
        <v>#REF!</v>
      </c>
      <c r="H1003" s="31" t="e">
        <f>'[4]#REF'!I1003</f>
        <v>#REF!</v>
      </c>
      <c r="I1003" s="32" t="e">
        <f t="shared" si="42"/>
        <v>#REF!</v>
      </c>
    </row>
    <row r="1004" ht="15.75" spans="1:9">
      <c r="A1004" s="12" t="e">
        <f>'[4]#REF'!A1004</f>
        <v>#REF!</v>
      </c>
      <c r="B1004" s="12" t="e">
        <f>'[4]#REF'!B1004</f>
        <v>#REF!</v>
      </c>
      <c r="C1004" s="31" t="e">
        <f>'[4]#REF'!D1004</f>
        <v>#REF!</v>
      </c>
      <c r="D1004" s="32" t="e">
        <f t="shared" si="41"/>
        <v>#REF!</v>
      </c>
      <c r="F1004" s="12" t="e">
        <f>'[4]#REF'!F1004</f>
        <v>#REF!</v>
      </c>
      <c r="G1004" s="12" t="e">
        <f>'[4]#REF'!G1004</f>
        <v>#REF!</v>
      </c>
      <c r="H1004" s="31" t="e">
        <f>'[4]#REF'!I1004</f>
        <v>#REF!</v>
      </c>
      <c r="I1004" s="32" t="e">
        <f t="shared" si="42"/>
        <v>#REF!</v>
      </c>
    </row>
    <row r="1005" ht="15.75" spans="1:9">
      <c r="A1005" s="12" t="e">
        <f>'[4]#REF'!A1005</f>
        <v>#REF!</v>
      </c>
      <c r="B1005" s="12" t="e">
        <f>'[4]#REF'!B1005</f>
        <v>#REF!</v>
      </c>
      <c r="C1005" s="31" t="e">
        <f>'[4]#REF'!D1005</f>
        <v>#REF!</v>
      </c>
      <c r="D1005" s="32" t="e">
        <f t="shared" si="41"/>
        <v>#REF!</v>
      </c>
      <c r="F1005" s="12" t="e">
        <f>'[4]#REF'!F1005</f>
        <v>#REF!</v>
      </c>
      <c r="G1005" s="12" t="e">
        <f>'[4]#REF'!G1005</f>
        <v>#REF!</v>
      </c>
      <c r="H1005" s="31" t="e">
        <f>'[4]#REF'!I1005</f>
        <v>#REF!</v>
      </c>
      <c r="I1005" s="32" t="e">
        <f t="shared" si="42"/>
        <v>#REF!</v>
      </c>
    </row>
    <row r="1006" ht="15.75" spans="1:9">
      <c r="A1006" s="12" t="e">
        <f>'[4]#REF'!A1006</f>
        <v>#REF!</v>
      </c>
      <c r="B1006" s="12" t="e">
        <f>'[4]#REF'!B1006</f>
        <v>#REF!</v>
      </c>
      <c r="C1006" s="31" t="e">
        <f>'[4]#REF'!D1006</f>
        <v>#REF!</v>
      </c>
      <c r="D1006" s="32" t="e">
        <f t="shared" si="41"/>
        <v>#REF!</v>
      </c>
      <c r="F1006" s="12" t="e">
        <f>'[4]#REF'!F1006</f>
        <v>#REF!</v>
      </c>
      <c r="G1006" s="12" t="e">
        <f>'[4]#REF'!G1006</f>
        <v>#REF!</v>
      </c>
      <c r="H1006" s="31" t="e">
        <f>'[4]#REF'!I1006</f>
        <v>#REF!</v>
      </c>
      <c r="I1006" s="32" t="e">
        <f t="shared" si="42"/>
        <v>#REF!</v>
      </c>
    </row>
    <row r="1007" ht="15.75" spans="1:9">
      <c r="A1007" s="12" t="e">
        <f>'[4]#REF'!A1007</f>
        <v>#REF!</v>
      </c>
      <c r="B1007" s="12" t="e">
        <f>'[4]#REF'!B1007</f>
        <v>#REF!</v>
      </c>
      <c r="C1007" s="31" t="e">
        <f>'[4]#REF'!D1007</f>
        <v>#REF!</v>
      </c>
      <c r="D1007" s="32" t="e">
        <f t="shared" si="41"/>
        <v>#REF!</v>
      </c>
      <c r="F1007" s="12" t="e">
        <f>'[4]#REF'!F1007</f>
        <v>#REF!</v>
      </c>
      <c r="G1007" s="12" t="e">
        <f>'[4]#REF'!G1007</f>
        <v>#REF!</v>
      </c>
      <c r="H1007" s="31" t="e">
        <f>'[4]#REF'!I1007</f>
        <v>#REF!</v>
      </c>
      <c r="I1007" s="32" t="e">
        <f t="shared" si="42"/>
        <v>#REF!</v>
      </c>
    </row>
    <row r="1008" ht="15.75" spans="1:9">
      <c r="A1008" s="12" t="e">
        <f>'[4]#REF'!A1008</f>
        <v>#REF!</v>
      </c>
      <c r="B1008" s="12" t="e">
        <f>'[4]#REF'!B1008</f>
        <v>#REF!</v>
      </c>
      <c r="C1008" s="31" t="e">
        <f>'[4]#REF'!D1008</f>
        <v>#REF!</v>
      </c>
      <c r="D1008" s="32" t="e">
        <f t="shared" si="41"/>
        <v>#REF!</v>
      </c>
      <c r="F1008" s="12" t="e">
        <f>'[4]#REF'!F1008</f>
        <v>#REF!</v>
      </c>
      <c r="G1008" s="12" t="e">
        <f>'[4]#REF'!G1008</f>
        <v>#REF!</v>
      </c>
      <c r="H1008" s="31" t="e">
        <f>'[4]#REF'!I1008</f>
        <v>#REF!</v>
      </c>
      <c r="I1008" s="32" t="e">
        <f t="shared" si="42"/>
        <v>#REF!</v>
      </c>
    </row>
    <row r="1009" ht="15.75" spans="1:9">
      <c r="A1009" s="12" t="e">
        <f>'[4]#REF'!A1009</f>
        <v>#REF!</v>
      </c>
      <c r="B1009" s="12" t="e">
        <f>'[4]#REF'!B1009</f>
        <v>#REF!</v>
      </c>
      <c r="C1009" s="31" t="e">
        <f>'[4]#REF'!D1009</f>
        <v>#REF!</v>
      </c>
      <c r="D1009" s="32" t="e">
        <f t="shared" si="41"/>
        <v>#REF!</v>
      </c>
      <c r="F1009" s="12" t="e">
        <f>'[4]#REF'!F1009</f>
        <v>#REF!</v>
      </c>
      <c r="G1009" s="12" t="e">
        <f>'[4]#REF'!G1009</f>
        <v>#REF!</v>
      </c>
      <c r="H1009" s="31" t="e">
        <f>'[4]#REF'!I1009</f>
        <v>#REF!</v>
      </c>
      <c r="I1009" s="32" t="e">
        <f t="shared" si="42"/>
        <v>#REF!</v>
      </c>
    </row>
    <row r="1010" ht="15.75" spans="1:9">
      <c r="A1010" s="12" t="e">
        <f>'[4]#REF'!A1010</f>
        <v>#REF!</v>
      </c>
      <c r="B1010" s="12" t="e">
        <f>'[4]#REF'!B1010</f>
        <v>#REF!</v>
      </c>
      <c r="C1010" s="31" t="e">
        <f>'[4]#REF'!D1010</f>
        <v>#REF!</v>
      </c>
      <c r="D1010" s="32" t="e">
        <f t="shared" si="41"/>
        <v>#REF!</v>
      </c>
      <c r="F1010" s="12" t="e">
        <f>'[4]#REF'!F1010</f>
        <v>#REF!</v>
      </c>
      <c r="G1010" s="12" t="e">
        <f>'[4]#REF'!G1010</f>
        <v>#REF!</v>
      </c>
      <c r="H1010" s="31" t="e">
        <f>'[4]#REF'!I1010</f>
        <v>#REF!</v>
      </c>
      <c r="I1010" s="32" t="e">
        <f t="shared" si="42"/>
        <v>#REF!</v>
      </c>
    </row>
    <row r="1011" ht="15.75" spans="1:9">
      <c r="A1011" s="12" t="e">
        <f>'[4]#REF'!A1011</f>
        <v>#REF!</v>
      </c>
      <c r="B1011" s="12" t="e">
        <f>'[4]#REF'!B1011</f>
        <v>#REF!</v>
      </c>
      <c r="C1011" s="31" t="e">
        <f>'[4]#REF'!D1011</f>
        <v>#REF!</v>
      </c>
      <c r="D1011" s="32" t="e">
        <f t="shared" si="41"/>
        <v>#REF!</v>
      </c>
      <c r="F1011" s="12" t="e">
        <f>'[4]#REF'!F1011</f>
        <v>#REF!</v>
      </c>
      <c r="G1011" s="12" t="e">
        <f>'[4]#REF'!G1011</f>
        <v>#REF!</v>
      </c>
      <c r="H1011" s="31" t="e">
        <f>'[4]#REF'!I1011</f>
        <v>#REF!</v>
      </c>
      <c r="I1011" s="32" t="e">
        <f t="shared" si="42"/>
        <v>#REF!</v>
      </c>
    </row>
    <row r="1012" ht="15.75" spans="1:9">
      <c r="A1012" s="12" t="e">
        <f>'[4]#REF'!A1012</f>
        <v>#REF!</v>
      </c>
      <c r="B1012" s="12" t="e">
        <f>'[4]#REF'!B1012</f>
        <v>#REF!</v>
      </c>
      <c r="C1012" s="31" t="e">
        <f>'[4]#REF'!D1012</f>
        <v>#REF!</v>
      </c>
      <c r="D1012" s="32" t="e">
        <f t="shared" si="41"/>
        <v>#REF!</v>
      </c>
      <c r="F1012" s="12" t="e">
        <f>'[4]#REF'!F1012</f>
        <v>#REF!</v>
      </c>
      <c r="G1012" s="12" t="e">
        <f>'[4]#REF'!G1012</f>
        <v>#REF!</v>
      </c>
      <c r="H1012" s="31" t="e">
        <f>'[4]#REF'!I1012</f>
        <v>#REF!</v>
      </c>
      <c r="I1012" s="32" t="e">
        <f t="shared" si="42"/>
        <v>#REF!</v>
      </c>
    </row>
    <row r="1013" ht="15.75" spans="1:9">
      <c r="A1013" s="12" t="e">
        <f>'[4]#REF'!A1013</f>
        <v>#REF!</v>
      </c>
      <c r="B1013" s="12" t="e">
        <f>'[4]#REF'!B1013</f>
        <v>#REF!</v>
      </c>
      <c r="C1013" s="31" t="e">
        <f>'[4]#REF'!D1013</f>
        <v>#REF!</v>
      </c>
      <c r="D1013" s="32" t="e">
        <f t="shared" si="41"/>
        <v>#REF!</v>
      </c>
      <c r="F1013" s="12" t="e">
        <f>'[4]#REF'!F1013</f>
        <v>#REF!</v>
      </c>
      <c r="G1013" s="12" t="e">
        <f>'[4]#REF'!G1013</f>
        <v>#REF!</v>
      </c>
      <c r="H1013" s="31" t="e">
        <f>'[4]#REF'!I1013</f>
        <v>#REF!</v>
      </c>
      <c r="I1013" s="32" t="e">
        <f t="shared" si="42"/>
        <v>#REF!</v>
      </c>
    </row>
    <row r="1014" ht="15.75" spans="1:9">
      <c r="A1014" s="12" t="e">
        <f>'[4]#REF'!A1014</f>
        <v>#REF!</v>
      </c>
      <c r="B1014" s="12" t="e">
        <f>'[4]#REF'!B1014</f>
        <v>#REF!</v>
      </c>
      <c r="C1014" s="31" t="e">
        <f>'[4]#REF'!D1014</f>
        <v>#REF!</v>
      </c>
      <c r="D1014" s="32" t="e">
        <f t="shared" si="41"/>
        <v>#REF!</v>
      </c>
      <c r="F1014" s="12" t="e">
        <f>'[4]#REF'!F1014</f>
        <v>#REF!</v>
      </c>
      <c r="G1014" s="12" t="e">
        <f>'[4]#REF'!G1014</f>
        <v>#REF!</v>
      </c>
      <c r="H1014" s="31" t="e">
        <f>'[4]#REF'!I1014</f>
        <v>#REF!</v>
      </c>
      <c r="I1014" s="32" t="e">
        <f t="shared" si="42"/>
        <v>#REF!</v>
      </c>
    </row>
    <row r="1015" ht="15.75" spans="1:9">
      <c r="A1015" s="12" t="e">
        <f>'[4]#REF'!A1015</f>
        <v>#REF!</v>
      </c>
      <c r="B1015" s="12" t="e">
        <f>'[4]#REF'!B1015</f>
        <v>#REF!</v>
      </c>
      <c r="C1015" s="31" t="e">
        <f>'[4]#REF'!D1015</f>
        <v>#REF!</v>
      </c>
      <c r="D1015" s="32" t="e">
        <f t="shared" si="41"/>
        <v>#REF!</v>
      </c>
      <c r="F1015" s="12" t="e">
        <f>'[4]#REF'!F1015</f>
        <v>#REF!</v>
      </c>
      <c r="G1015" s="12" t="e">
        <f>'[4]#REF'!G1015</f>
        <v>#REF!</v>
      </c>
      <c r="H1015" s="31" t="e">
        <f>'[4]#REF'!I1015</f>
        <v>#REF!</v>
      </c>
      <c r="I1015" s="32" t="e">
        <f t="shared" si="42"/>
        <v>#REF!</v>
      </c>
    </row>
    <row r="1016" ht="15.75" spans="1:9">
      <c r="A1016" s="12" t="e">
        <f>'[4]#REF'!A1016</f>
        <v>#REF!</v>
      </c>
      <c r="B1016" s="12" t="e">
        <f>'[4]#REF'!B1016</f>
        <v>#REF!</v>
      </c>
      <c r="C1016" s="31" t="e">
        <f>'[4]#REF'!D1016</f>
        <v>#REF!</v>
      </c>
      <c r="D1016" s="32" t="e">
        <f t="shared" si="41"/>
        <v>#REF!</v>
      </c>
      <c r="F1016" s="12" t="e">
        <f>'[4]#REF'!F1016</f>
        <v>#REF!</v>
      </c>
      <c r="G1016" s="12" t="e">
        <f>'[4]#REF'!G1016</f>
        <v>#REF!</v>
      </c>
      <c r="H1016" s="31" t="e">
        <f>'[4]#REF'!I1016</f>
        <v>#REF!</v>
      </c>
      <c r="I1016" s="32" t="e">
        <f t="shared" si="42"/>
        <v>#REF!</v>
      </c>
    </row>
    <row r="1017" ht="15.75" spans="1:9">
      <c r="A1017" s="12" t="e">
        <f>'[4]#REF'!A1017</f>
        <v>#REF!</v>
      </c>
      <c r="B1017" s="12" t="e">
        <f>'[4]#REF'!B1017</f>
        <v>#REF!</v>
      </c>
      <c r="C1017" s="31" t="e">
        <f>'[4]#REF'!D1017</f>
        <v>#REF!</v>
      </c>
      <c r="D1017" s="32" t="e">
        <f t="shared" si="41"/>
        <v>#REF!</v>
      </c>
      <c r="F1017" s="12" t="e">
        <f>'[4]#REF'!F1017</f>
        <v>#REF!</v>
      </c>
      <c r="G1017" s="12" t="e">
        <f>'[4]#REF'!G1017</f>
        <v>#REF!</v>
      </c>
      <c r="H1017" s="31" t="e">
        <f>'[4]#REF'!I1017</f>
        <v>#REF!</v>
      </c>
      <c r="I1017" s="32" t="e">
        <f t="shared" si="42"/>
        <v>#REF!</v>
      </c>
    </row>
    <row r="1018" ht="15.75" spans="1:9">
      <c r="A1018" s="12" t="e">
        <f>'[4]#REF'!A1018</f>
        <v>#REF!</v>
      </c>
      <c r="B1018" s="12" t="e">
        <f>'[4]#REF'!B1018</f>
        <v>#REF!</v>
      </c>
      <c r="C1018" s="31" t="e">
        <f>'[4]#REF'!D1018</f>
        <v>#REF!</v>
      </c>
      <c r="D1018" s="32" t="e">
        <f t="shared" si="41"/>
        <v>#REF!</v>
      </c>
      <c r="F1018" s="12" t="e">
        <f>'[4]#REF'!F1018</f>
        <v>#REF!</v>
      </c>
      <c r="G1018" s="12" t="e">
        <f>'[4]#REF'!G1018</f>
        <v>#REF!</v>
      </c>
      <c r="H1018" s="31" t="e">
        <f>'[4]#REF'!I1018</f>
        <v>#REF!</v>
      </c>
      <c r="I1018" s="32" t="e">
        <f t="shared" si="42"/>
        <v>#REF!</v>
      </c>
    </row>
    <row r="1019" ht="15.75" spans="1:9">
      <c r="A1019" s="12" t="e">
        <f>'[4]#REF'!A1019</f>
        <v>#REF!</v>
      </c>
      <c r="B1019" s="12" t="e">
        <f>'[4]#REF'!B1019</f>
        <v>#REF!</v>
      </c>
      <c r="C1019" s="31" t="e">
        <f>'[4]#REF'!D1019</f>
        <v>#REF!</v>
      </c>
      <c r="D1019" s="32" t="e">
        <f t="shared" si="41"/>
        <v>#REF!</v>
      </c>
      <c r="F1019" s="12" t="e">
        <f>'[4]#REF'!F1019</f>
        <v>#REF!</v>
      </c>
      <c r="G1019" s="12" t="e">
        <f>'[4]#REF'!G1019</f>
        <v>#REF!</v>
      </c>
      <c r="H1019" s="31" t="e">
        <f>'[4]#REF'!I1019</f>
        <v>#REF!</v>
      </c>
      <c r="I1019" s="32" t="e">
        <f t="shared" si="42"/>
        <v>#REF!</v>
      </c>
    </row>
    <row r="1020" ht="15.75" spans="1:9">
      <c r="A1020" s="12" t="e">
        <f>'[4]#REF'!A1020</f>
        <v>#REF!</v>
      </c>
      <c r="B1020" s="12" t="e">
        <f>'[4]#REF'!B1020</f>
        <v>#REF!</v>
      </c>
      <c r="C1020" s="31" t="e">
        <f>'[4]#REF'!D1020</f>
        <v>#REF!</v>
      </c>
      <c r="D1020" s="32" t="e">
        <f t="shared" si="41"/>
        <v>#REF!</v>
      </c>
      <c r="F1020" s="12" t="e">
        <f>'[4]#REF'!F1020</f>
        <v>#REF!</v>
      </c>
      <c r="G1020" s="12" t="e">
        <f>'[4]#REF'!G1020</f>
        <v>#REF!</v>
      </c>
      <c r="H1020" s="31" t="e">
        <f>'[4]#REF'!I1020</f>
        <v>#REF!</v>
      </c>
      <c r="I1020" s="32" t="e">
        <f t="shared" si="42"/>
        <v>#REF!</v>
      </c>
    </row>
    <row r="1021" ht="15.75" spans="1:9">
      <c r="A1021" s="12" t="e">
        <f>'[4]#REF'!A1021</f>
        <v>#REF!</v>
      </c>
      <c r="B1021" s="12" t="e">
        <f>'[4]#REF'!B1021</f>
        <v>#REF!</v>
      </c>
      <c r="C1021" s="31" t="e">
        <f>'[4]#REF'!D1021</f>
        <v>#REF!</v>
      </c>
      <c r="D1021" s="32" t="e">
        <f t="shared" si="41"/>
        <v>#REF!</v>
      </c>
      <c r="F1021" s="12" t="e">
        <f>'[4]#REF'!F1021</f>
        <v>#REF!</v>
      </c>
      <c r="G1021" s="12" t="e">
        <f>'[4]#REF'!G1021</f>
        <v>#REF!</v>
      </c>
      <c r="H1021" s="31" t="e">
        <f>'[4]#REF'!I1021</f>
        <v>#REF!</v>
      </c>
      <c r="I1021" s="32" t="e">
        <f t="shared" si="42"/>
        <v>#REF!</v>
      </c>
    </row>
    <row r="1022" ht="15.75" spans="1:9">
      <c r="A1022" s="12" t="e">
        <f>'[4]#REF'!A1022</f>
        <v>#REF!</v>
      </c>
      <c r="B1022" s="12" t="e">
        <f>'[4]#REF'!B1022</f>
        <v>#REF!</v>
      </c>
      <c r="C1022" s="31" t="e">
        <f>'[4]#REF'!D1022</f>
        <v>#REF!</v>
      </c>
      <c r="D1022" s="32" t="e">
        <f t="shared" si="41"/>
        <v>#REF!</v>
      </c>
      <c r="F1022" s="12" t="e">
        <f>'[4]#REF'!F1022</f>
        <v>#REF!</v>
      </c>
      <c r="G1022" s="12" t="e">
        <f>'[4]#REF'!G1022</f>
        <v>#REF!</v>
      </c>
      <c r="H1022" s="31" t="e">
        <f>'[4]#REF'!I1022</f>
        <v>#REF!</v>
      </c>
      <c r="I1022" s="32" t="e">
        <f t="shared" si="42"/>
        <v>#REF!</v>
      </c>
    </row>
    <row r="1023" ht="15.75" spans="1:9">
      <c r="A1023" s="12" t="e">
        <f>'[4]#REF'!A1023</f>
        <v>#REF!</v>
      </c>
      <c r="B1023" s="12" t="e">
        <f>'[4]#REF'!B1023</f>
        <v>#REF!</v>
      </c>
      <c r="C1023" s="31" t="e">
        <f>'[4]#REF'!D1023</f>
        <v>#REF!</v>
      </c>
      <c r="D1023" s="32" t="e">
        <f t="shared" si="41"/>
        <v>#REF!</v>
      </c>
      <c r="F1023" s="12" t="e">
        <f>'[4]#REF'!F1023</f>
        <v>#REF!</v>
      </c>
      <c r="G1023" s="12" t="e">
        <f>'[4]#REF'!G1023</f>
        <v>#REF!</v>
      </c>
      <c r="H1023" s="31" t="e">
        <f>'[4]#REF'!I1023</f>
        <v>#REF!</v>
      </c>
      <c r="I1023" s="32" t="e">
        <f t="shared" si="42"/>
        <v>#REF!</v>
      </c>
    </row>
    <row r="1024" ht="15.75" spans="1:9">
      <c r="A1024" s="12" t="e">
        <f>'[4]#REF'!A1024</f>
        <v>#REF!</v>
      </c>
      <c r="B1024" s="12" t="e">
        <f>'[4]#REF'!B1024</f>
        <v>#REF!</v>
      </c>
      <c r="C1024" s="31" t="e">
        <f>'[4]#REF'!D1024</f>
        <v>#REF!</v>
      </c>
      <c r="D1024" s="32" t="e">
        <f t="shared" si="41"/>
        <v>#REF!</v>
      </c>
      <c r="F1024" s="12" t="e">
        <f>'[4]#REF'!F1024</f>
        <v>#REF!</v>
      </c>
      <c r="G1024" s="12" t="e">
        <f>'[4]#REF'!G1024</f>
        <v>#REF!</v>
      </c>
      <c r="H1024" s="31" t="e">
        <f>'[4]#REF'!I1024</f>
        <v>#REF!</v>
      </c>
      <c r="I1024" s="32" t="e">
        <f t="shared" si="42"/>
        <v>#REF!</v>
      </c>
    </row>
    <row r="1025" ht="15.75" spans="1:9">
      <c r="A1025" s="12" t="e">
        <f>'[4]#REF'!A1025</f>
        <v>#REF!</v>
      </c>
      <c r="B1025" s="12" t="e">
        <f>'[4]#REF'!B1025</f>
        <v>#REF!</v>
      </c>
      <c r="C1025" s="31" t="e">
        <f>'[4]#REF'!D1025</f>
        <v>#REF!</v>
      </c>
      <c r="D1025" s="32" t="e">
        <f t="shared" si="41"/>
        <v>#REF!</v>
      </c>
      <c r="F1025" s="12" t="e">
        <f>'[4]#REF'!F1025</f>
        <v>#REF!</v>
      </c>
      <c r="G1025" s="12" t="e">
        <f>'[4]#REF'!G1025</f>
        <v>#REF!</v>
      </c>
      <c r="H1025" s="31" t="e">
        <f>'[4]#REF'!I1025</f>
        <v>#REF!</v>
      </c>
      <c r="I1025" s="32" t="e">
        <f t="shared" si="42"/>
        <v>#REF!</v>
      </c>
    </row>
    <row r="1026" ht="15.75" spans="1:9">
      <c r="A1026" s="12" t="e">
        <f>'[4]#REF'!A1026</f>
        <v>#REF!</v>
      </c>
      <c r="B1026" s="12" t="e">
        <f>'[4]#REF'!B1026</f>
        <v>#REF!</v>
      </c>
      <c r="C1026" s="31" t="e">
        <f>'[4]#REF'!D1026</f>
        <v>#REF!</v>
      </c>
      <c r="D1026" s="32" t="e">
        <f t="shared" si="41"/>
        <v>#REF!</v>
      </c>
      <c r="F1026" s="12" t="e">
        <f>'[4]#REF'!F1026</f>
        <v>#REF!</v>
      </c>
      <c r="G1026" s="12" t="e">
        <f>'[4]#REF'!G1026</f>
        <v>#REF!</v>
      </c>
      <c r="H1026" s="31" t="e">
        <f>'[4]#REF'!I1026</f>
        <v>#REF!</v>
      </c>
      <c r="I1026" s="32" t="e">
        <f t="shared" si="42"/>
        <v>#REF!</v>
      </c>
    </row>
    <row r="1027" ht="15.75" spans="1:9">
      <c r="A1027" s="12" t="e">
        <f>'[4]#REF'!A1027</f>
        <v>#REF!</v>
      </c>
      <c r="B1027" s="12" t="e">
        <f>'[4]#REF'!B1027</f>
        <v>#REF!</v>
      </c>
      <c r="C1027" s="31" t="e">
        <f>'[4]#REF'!D1027</f>
        <v>#REF!</v>
      </c>
      <c r="D1027" s="32" t="e">
        <f t="shared" si="41"/>
        <v>#REF!</v>
      </c>
      <c r="F1027" s="12" t="e">
        <f>'[4]#REF'!F1027</f>
        <v>#REF!</v>
      </c>
      <c r="G1027" s="12" t="e">
        <f>'[4]#REF'!G1027</f>
        <v>#REF!</v>
      </c>
      <c r="H1027" s="31" t="e">
        <f>'[4]#REF'!I1027</f>
        <v>#REF!</v>
      </c>
      <c r="I1027" s="32" t="e">
        <f t="shared" si="42"/>
        <v>#REF!</v>
      </c>
    </row>
    <row r="1028" ht="15.75" spans="1:9">
      <c r="A1028" s="12" t="e">
        <f>'[4]#REF'!A1028</f>
        <v>#REF!</v>
      </c>
      <c r="B1028" s="12" t="e">
        <f>'[4]#REF'!B1028</f>
        <v>#REF!</v>
      </c>
      <c r="C1028" s="31" t="e">
        <f>'[4]#REF'!D1028</f>
        <v>#REF!</v>
      </c>
      <c r="D1028" s="32" t="e">
        <f t="shared" si="41"/>
        <v>#REF!</v>
      </c>
      <c r="F1028" s="12" t="e">
        <f>'[4]#REF'!F1028</f>
        <v>#REF!</v>
      </c>
      <c r="G1028" s="12" t="e">
        <f>'[4]#REF'!G1028</f>
        <v>#REF!</v>
      </c>
      <c r="H1028" s="31" t="e">
        <f>'[4]#REF'!I1028</f>
        <v>#REF!</v>
      </c>
      <c r="I1028" s="32" t="e">
        <f t="shared" si="42"/>
        <v>#REF!</v>
      </c>
    </row>
    <row r="1029" ht="15.75" spans="1:9">
      <c r="A1029" s="12" t="e">
        <f>'[4]#REF'!A1029</f>
        <v>#REF!</v>
      </c>
      <c r="B1029" s="12" t="e">
        <f>'[4]#REF'!B1029</f>
        <v>#REF!</v>
      </c>
      <c r="C1029" s="31" t="e">
        <f>'[4]#REF'!D1029</f>
        <v>#REF!</v>
      </c>
      <c r="D1029" s="32" t="e">
        <f t="shared" si="41"/>
        <v>#REF!</v>
      </c>
      <c r="F1029" s="12" t="e">
        <f>'[4]#REF'!F1029</f>
        <v>#REF!</v>
      </c>
      <c r="G1029" s="12" t="e">
        <f>'[4]#REF'!G1029</f>
        <v>#REF!</v>
      </c>
      <c r="H1029" s="31" t="e">
        <f>'[4]#REF'!I1029</f>
        <v>#REF!</v>
      </c>
      <c r="I1029" s="32" t="e">
        <f t="shared" si="42"/>
        <v>#REF!</v>
      </c>
    </row>
    <row r="1030" ht="15.75" spans="1:9">
      <c r="A1030" s="12" t="e">
        <f>'[4]#REF'!A1030</f>
        <v>#REF!</v>
      </c>
      <c r="B1030" s="12" t="e">
        <f>'[4]#REF'!B1030</f>
        <v>#REF!</v>
      </c>
      <c r="C1030" s="31" t="e">
        <f>'[4]#REF'!D1030</f>
        <v>#REF!</v>
      </c>
      <c r="D1030" s="32" t="e">
        <f t="shared" ref="D1030:D1093" si="43">ROUND(C1030/$D$4*100,2)</f>
        <v>#REF!</v>
      </c>
      <c r="F1030" s="12" t="e">
        <f>'[4]#REF'!F1030</f>
        <v>#REF!</v>
      </c>
      <c r="G1030" s="12" t="e">
        <f>'[4]#REF'!G1030</f>
        <v>#REF!</v>
      </c>
      <c r="H1030" s="31" t="e">
        <f>'[4]#REF'!I1030</f>
        <v>#REF!</v>
      </c>
      <c r="I1030" s="32" t="e">
        <f t="shared" ref="I1030:I1093" si="44">ROUND(H1030/$I$4*100,2)</f>
        <v>#REF!</v>
      </c>
    </row>
    <row r="1031" ht="15.75" spans="1:9">
      <c r="A1031" s="12" t="e">
        <f>'[4]#REF'!A1031</f>
        <v>#REF!</v>
      </c>
      <c r="B1031" s="12" t="e">
        <f>'[4]#REF'!B1031</f>
        <v>#REF!</v>
      </c>
      <c r="C1031" s="31" t="e">
        <f>'[4]#REF'!D1031</f>
        <v>#REF!</v>
      </c>
      <c r="D1031" s="32" t="e">
        <f t="shared" si="43"/>
        <v>#REF!</v>
      </c>
      <c r="F1031" s="12" t="e">
        <f>'[4]#REF'!F1031</f>
        <v>#REF!</v>
      </c>
      <c r="G1031" s="12" t="e">
        <f>'[4]#REF'!G1031</f>
        <v>#REF!</v>
      </c>
      <c r="H1031" s="31" t="e">
        <f>'[4]#REF'!I1031</f>
        <v>#REF!</v>
      </c>
      <c r="I1031" s="32" t="e">
        <f t="shared" si="44"/>
        <v>#REF!</v>
      </c>
    </row>
    <row r="1032" ht="15.75" spans="1:9">
      <c r="A1032" s="12" t="e">
        <f>'[4]#REF'!A1032</f>
        <v>#REF!</v>
      </c>
      <c r="B1032" s="12" t="e">
        <f>'[4]#REF'!B1032</f>
        <v>#REF!</v>
      </c>
      <c r="C1032" s="31" t="e">
        <f>'[4]#REF'!D1032</f>
        <v>#REF!</v>
      </c>
      <c r="D1032" s="32" t="e">
        <f t="shared" si="43"/>
        <v>#REF!</v>
      </c>
      <c r="F1032" s="12" t="e">
        <f>'[4]#REF'!F1032</f>
        <v>#REF!</v>
      </c>
      <c r="G1032" s="12" t="e">
        <f>'[4]#REF'!G1032</f>
        <v>#REF!</v>
      </c>
      <c r="H1032" s="31" t="e">
        <f>'[4]#REF'!I1032</f>
        <v>#REF!</v>
      </c>
      <c r="I1032" s="32" t="e">
        <f t="shared" si="44"/>
        <v>#REF!</v>
      </c>
    </row>
    <row r="1033" ht="15.75" spans="1:9">
      <c r="A1033" s="12" t="e">
        <f>'[4]#REF'!A1033</f>
        <v>#REF!</v>
      </c>
      <c r="B1033" s="12" t="e">
        <f>'[4]#REF'!B1033</f>
        <v>#REF!</v>
      </c>
      <c r="C1033" s="31" t="e">
        <f>'[4]#REF'!D1033</f>
        <v>#REF!</v>
      </c>
      <c r="D1033" s="32" t="e">
        <f t="shared" si="43"/>
        <v>#REF!</v>
      </c>
      <c r="F1033" s="12" t="e">
        <f>'[4]#REF'!F1033</f>
        <v>#REF!</v>
      </c>
      <c r="G1033" s="12" t="e">
        <f>'[4]#REF'!G1033</f>
        <v>#REF!</v>
      </c>
      <c r="H1033" s="31" t="e">
        <f>'[4]#REF'!I1033</f>
        <v>#REF!</v>
      </c>
      <c r="I1033" s="32" t="e">
        <f t="shared" si="44"/>
        <v>#REF!</v>
      </c>
    </row>
    <row r="1034" ht="15.75" spans="1:9">
      <c r="A1034" s="12" t="e">
        <f>'[4]#REF'!A1034</f>
        <v>#REF!</v>
      </c>
      <c r="B1034" s="12" t="e">
        <f>'[4]#REF'!B1034</f>
        <v>#REF!</v>
      </c>
      <c r="C1034" s="31" t="e">
        <f>'[4]#REF'!D1034</f>
        <v>#REF!</v>
      </c>
      <c r="D1034" s="32" t="e">
        <f t="shared" si="43"/>
        <v>#REF!</v>
      </c>
      <c r="F1034" s="12" t="e">
        <f>'[4]#REF'!F1034</f>
        <v>#REF!</v>
      </c>
      <c r="G1034" s="12" t="e">
        <f>'[4]#REF'!G1034</f>
        <v>#REF!</v>
      </c>
      <c r="H1034" s="31" t="e">
        <f>'[4]#REF'!I1034</f>
        <v>#REF!</v>
      </c>
      <c r="I1034" s="32" t="e">
        <f t="shared" si="44"/>
        <v>#REF!</v>
      </c>
    </row>
    <row r="1035" ht="15.75" spans="1:9">
      <c r="A1035" s="12" t="e">
        <f>'[4]#REF'!A1035</f>
        <v>#REF!</v>
      </c>
      <c r="B1035" s="12" t="e">
        <f>'[4]#REF'!B1035</f>
        <v>#REF!</v>
      </c>
      <c r="C1035" s="31" t="e">
        <f>'[4]#REF'!D1035</f>
        <v>#REF!</v>
      </c>
      <c r="D1035" s="32" t="e">
        <f t="shared" si="43"/>
        <v>#REF!</v>
      </c>
      <c r="F1035" s="12" t="e">
        <f>'[4]#REF'!F1035</f>
        <v>#REF!</v>
      </c>
      <c r="G1035" s="12" t="e">
        <f>'[4]#REF'!G1035</f>
        <v>#REF!</v>
      </c>
      <c r="H1035" s="31" t="e">
        <f>'[4]#REF'!I1035</f>
        <v>#REF!</v>
      </c>
      <c r="I1035" s="32" t="e">
        <f t="shared" si="44"/>
        <v>#REF!</v>
      </c>
    </row>
    <row r="1036" ht="15.75" spans="1:9">
      <c r="A1036" s="12" t="e">
        <f>'[4]#REF'!A1036</f>
        <v>#REF!</v>
      </c>
      <c r="B1036" s="12" t="e">
        <f>'[4]#REF'!B1036</f>
        <v>#REF!</v>
      </c>
      <c r="C1036" s="31" t="e">
        <f>'[4]#REF'!D1036</f>
        <v>#REF!</v>
      </c>
      <c r="D1036" s="32" t="e">
        <f t="shared" si="43"/>
        <v>#REF!</v>
      </c>
      <c r="F1036" s="12" t="e">
        <f>'[4]#REF'!F1036</f>
        <v>#REF!</v>
      </c>
      <c r="G1036" s="12" t="e">
        <f>'[4]#REF'!G1036</f>
        <v>#REF!</v>
      </c>
      <c r="H1036" s="31" t="e">
        <f>'[4]#REF'!I1036</f>
        <v>#REF!</v>
      </c>
      <c r="I1036" s="32" t="e">
        <f t="shared" si="44"/>
        <v>#REF!</v>
      </c>
    </row>
    <row r="1037" ht="15.75" spans="1:9">
      <c r="A1037" s="12" t="e">
        <f>'[4]#REF'!A1037</f>
        <v>#REF!</v>
      </c>
      <c r="B1037" s="12" t="e">
        <f>'[4]#REF'!B1037</f>
        <v>#REF!</v>
      </c>
      <c r="C1037" s="31" t="e">
        <f>'[4]#REF'!D1037</f>
        <v>#REF!</v>
      </c>
      <c r="D1037" s="32" t="e">
        <f t="shared" si="43"/>
        <v>#REF!</v>
      </c>
      <c r="F1037" s="12" t="e">
        <f>'[4]#REF'!F1037</f>
        <v>#REF!</v>
      </c>
      <c r="G1037" s="12" t="e">
        <f>'[4]#REF'!G1037</f>
        <v>#REF!</v>
      </c>
      <c r="H1037" s="31" t="e">
        <f>'[4]#REF'!I1037</f>
        <v>#REF!</v>
      </c>
      <c r="I1037" s="32" t="e">
        <f t="shared" si="44"/>
        <v>#REF!</v>
      </c>
    </row>
    <row r="1038" ht="15.75" spans="1:9">
      <c r="A1038" s="12" t="e">
        <f>'[4]#REF'!A1038</f>
        <v>#REF!</v>
      </c>
      <c r="B1038" s="12" t="e">
        <f>'[4]#REF'!B1038</f>
        <v>#REF!</v>
      </c>
      <c r="C1038" s="31" t="e">
        <f>'[4]#REF'!D1038</f>
        <v>#REF!</v>
      </c>
      <c r="D1038" s="32" t="e">
        <f t="shared" si="43"/>
        <v>#REF!</v>
      </c>
      <c r="F1038" s="12" t="e">
        <f>'[4]#REF'!F1038</f>
        <v>#REF!</v>
      </c>
      <c r="G1038" s="12" t="e">
        <f>'[4]#REF'!G1038</f>
        <v>#REF!</v>
      </c>
      <c r="H1038" s="31" t="e">
        <f>'[4]#REF'!I1038</f>
        <v>#REF!</v>
      </c>
      <c r="I1038" s="32" t="e">
        <f t="shared" si="44"/>
        <v>#REF!</v>
      </c>
    </row>
    <row r="1039" ht="15.75" spans="1:9">
      <c r="A1039" s="12" t="e">
        <f>'[4]#REF'!A1039</f>
        <v>#REF!</v>
      </c>
      <c r="B1039" s="12" t="e">
        <f>'[4]#REF'!B1039</f>
        <v>#REF!</v>
      </c>
      <c r="C1039" s="31" t="e">
        <f>'[4]#REF'!D1039</f>
        <v>#REF!</v>
      </c>
      <c r="D1039" s="32" t="e">
        <f t="shared" si="43"/>
        <v>#REF!</v>
      </c>
      <c r="F1039" s="12" t="e">
        <f>'[4]#REF'!F1039</f>
        <v>#REF!</v>
      </c>
      <c r="G1039" s="12" t="e">
        <f>'[4]#REF'!G1039</f>
        <v>#REF!</v>
      </c>
      <c r="H1039" s="31" t="e">
        <f>'[4]#REF'!I1039</f>
        <v>#REF!</v>
      </c>
      <c r="I1039" s="32" t="e">
        <f t="shared" si="44"/>
        <v>#REF!</v>
      </c>
    </row>
    <row r="1040" ht="15.75" spans="1:9">
      <c r="A1040" s="12" t="e">
        <f>'[4]#REF'!A1040</f>
        <v>#REF!</v>
      </c>
      <c r="B1040" s="12" t="e">
        <f>'[4]#REF'!B1040</f>
        <v>#REF!</v>
      </c>
      <c r="C1040" s="31" t="e">
        <f>'[4]#REF'!D1040</f>
        <v>#REF!</v>
      </c>
      <c r="D1040" s="32" t="e">
        <f t="shared" si="43"/>
        <v>#REF!</v>
      </c>
      <c r="F1040" s="12" t="e">
        <f>'[4]#REF'!F1040</f>
        <v>#REF!</v>
      </c>
      <c r="G1040" s="12" t="e">
        <f>'[4]#REF'!G1040</f>
        <v>#REF!</v>
      </c>
      <c r="H1040" s="31" t="e">
        <f>'[4]#REF'!I1040</f>
        <v>#REF!</v>
      </c>
      <c r="I1040" s="32" t="e">
        <f t="shared" si="44"/>
        <v>#REF!</v>
      </c>
    </row>
    <row r="1041" ht="15.75" spans="1:9">
      <c r="A1041" s="12" t="e">
        <f>'[4]#REF'!A1041</f>
        <v>#REF!</v>
      </c>
      <c r="B1041" s="12" t="e">
        <f>'[4]#REF'!B1041</f>
        <v>#REF!</v>
      </c>
      <c r="C1041" s="31" t="e">
        <f>'[4]#REF'!D1041</f>
        <v>#REF!</v>
      </c>
      <c r="D1041" s="32" t="e">
        <f t="shared" si="43"/>
        <v>#REF!</v>
      </c>
      <c r="F1041" s="12" t="e">
        <f>'[4]#REF'!F1041</f>
        <v>#REF!</v>
      </c>
      <c r="G1041" s="12" t="e">
        <f>'[4]#REF'!G1041</f>
        <v>#REF!</v>
      </c>
      <c r="H1041" s="31" t="e">
        <f>'[4]#REF'!I1041</f>
        <v>#REF!</v>
      </c>
      <c r="I1041" s="32" t="e">
        <f t="shared" si="44"/>
        <v>#REF!</v>
      </c>
    </row>
    <row r="1042" ht="15.75" spans="1:9">
      <c r="A1042" s="12" t="e">
        <f>'[4]#REF'!A1042</f>
        <v>#REF!</v>
      </c>
      <c r="B1042" s="12" t="e">
        <f>'[4]#REF'!B1042</f>
        <v>#REF!</v>
      </c>
      <c r="C1042" s="31" t="e">
        <f>'[4]#REF'!D1042</f>
        <v>#REF!</v>
      </c>
      <c r="D1042" s="32" t="e">
        <f t="shared" si="43"/>
        <v>#REF!</v>
      </c>
      <c r="F1042" s="12" t="e">
        <f>'[4]#REF'!F1042</f>
        <v>#REF!</v>
      </c>
      <c r="G1042" s="12" t="e">
        <f>'[4]#REF'!G1042</f>
        <v>#REF!</v>
      </c>
      <c r="H1042" s="31" t="e">
        <f>'[4]#REF'!I1042</f>
        <v>#REF!</v>
      </c>
      <c r="I1042" s="32" t="e">
        <f t="shared" si="44"/>
        <v>#REF!</v>
      </c>
    </row>
    <row r="1043" ht="15.75" spans="1:9">
      <c r="A1043" s="12" t="e">
        <f>'[4]#REF'!A1043</f>
        <v>#REF!</v>
      </c>
      <c r="B1043" s="12" t="e">
        <f>'[4]#REF'!B1043</f>
        <v>#REF!</v>
      </c>
      <c r="C1043" s="31" t="e">
        <f>'[4]#REF'!D1043</f>
        <v>#REF!</v>
      </c>
      <c r="D1043" s="32" t="e">
        <f t="shared" si="43"/>
        <v>#REF!</v>
      </c>
      <c r="F1043" s="12" t="e">
        <f>'[4]#REF'!F1043</f>
        <v>#REF!</v>
      </c>
      <c r="G1043" s="12" t="e">
        <f>'[4]#REF'!G1043</f>
        <v>#REF!</v>
      </c>
      <c r="H1043" s="31" t="e">
        <f>'[4]#REF'!I1043</f>
        <v>#REF!</v>
      </c>
      <c r="I1043" s="32" t="e">
        <f t="shared" si="44"/>
        <v>#REF!</v>
      </c>
    </row>
    <row r="1044" ht="15.75" spans="1:9">
      <c r="A1044" s="12" t="e">
        <f>'[4]#REF'!A1044</f>
        <v>#REF!</v>
      </c>
      <c r="B1044" s="12" t="e">
        <f>'[4]#REF'!B1044</f>
        <v>#REF!</v>
      </c>
      <c r="C1044" s="31" t="e">
        <f>'[4]#REF'!D1044</f>
        <v>#REF!</v>
      </c>
      <c r="D1044" s="32" t="e">
        <f t="shared" si="43"/>
        <v>#REF!</v>
      </c>
      <c r="F1044" s="12" t="e">
        <f>'[4]#REF'!F1044</f>
        <v>#REF!</v>
      </c>
      <c r="G1044" s="12" t="e">
        <f>'[4]#REF'!G1044</f>
        <v>#REF!</v>
      </c>
      <c r="H1044" s="31" t="e">
        <f>'[4]#REF'!I1044</f>
        <v>#REF!</v>
      </c>
      <c r="I1044" s="32" t="e">
        <f t="shared" si="44"/>
        <v>#REF!</v>
      </c>
    </row>
    <row r="1045" ht="15.75" spans="1:9">
      <c r="A1045" s="12" t="e">
        <f>'[4]#REF'!A1045</f>
        <v>#REF!</v>
      </c>
      <c r="B1045" s="12" t="e">
        <f>'[4]#REF'!B1045</f>
        <v>#REF!</v>
      </c>
      <c r="C1045" s="31" t="e">
        <f>'[4]#REF'!D1045</f>
        <v>#REF!</v>
      </c>
      <c r="D1045" s="32" t="e">
        <f t="shared" si="43"/>
        <v>#REF!</v>
      </c>
      <c r="F1045" s="12" t="e">
        <f>'[4]#REF'!F1045</f>
        <v>#REF!</v>
      </c>
      <c r="G1045" s="12" t="e">
        <f>'[4]#REF'!G1045</f>
        <v>#REF!</v>
      </c>
      <c r="H1045" s="31" t="e">
        <f>'[4]#REF'!I1045</f>
        <v>#REF!</v>
      </c>
      <c r="I1045" s="32" t="e">
        <f t="shared" si="44"/>
        <v>#REF!</v>
      </c>
    </row>
    <row r="1046" ht="15.75" spans="1:9">
      <c r="A1046" s="12" t="e">
        <f>'[4]#REF'!A1046</f>
        <v>#REF!</v>
      </c>
      <c r="B1046" s="12" t="e">
        <f>'[4]#REF'!B1046</f>
        <v>#REF!</v>
      </c>
      <c r="C1046" s="31" t="e">
        <f>'[4]#REF'!D1046</f>
        <v>#REF!</v>
      </c>
      <c r="D1046" s="32" t="e">
        <f t="shared" si="43"/>
        <v>#REF!</v>
      </c>
      <c r="F1046" s="12" t="e">
        <f>'[4]#REF'!F1046</f>
        <v>#REF!</v>
      </c>
      <c r="G1046" s="12" t="e">
        <f>'[4]#REF'!G1046</f>
        <v>#REF!</v>
      </c>
      <c r="H1046" s="31" t="e">
        <f>'[4]#REF'!I1046</f>
        <v>#REF!</v>
      </c>
      <c r="I1046" s="32" t="e">
        <f t="shared" si="44"/>
        <v>#REF!</v>
      </c>
    </row>
    <row r="1047" ht="15.75" spans="1:9">
      <c r="A1047" s="12" t="e">
        <f>'[4]#REF'!A1047</f>
        <v>#REF!</v>
      </c>
      <c r="B1047" s="12" t="e">
        <f>'[4]#REF'!B1047</f>
        <v>#REF!</v>
      </c>
      <c r="C1047" s="31" t="e">
        <f>'[4]#REF'!D1047</f>
        <v>#REF!</v>
      </c>
      <c r="D1047" s="32" t="e">
        <f t="shared" si="43"/>
        <v>#REF!</v>
      </c>
      <c r="F1047" s="12" t="e">
        <f>'[4]#REF'!F1047</f>
        <v>#REF!</v>
      </c>
      <c r="G1047" s="12" t="e">
        <f>'[4]#REF'!G1047</f>
        <v>#REF!</v>
      </c>
      <c r="H1047" s="31" t="e">
        <f>'[4]#REF'!I1047</f>
        <v>#REF!</v>
      </c>
      <c r="I1047" s="32" t="e">
        <f t="shared" si="44"/>
        <v>#REF!</v>
      </c>
    </row>
    <row r="1048" ht="15.75" spans="1:9">
      <c r="A1048" s="12" t="e">
        <f>'[4]#REF'!A1048</f>
        <v>#REF!</v>
      </c>
      <c r="B1048" s="12" t="e">
        <f>'[4]#REF'!B1048</f>
        <v>#REF!</v>
      </c>
      <c r="C1048" s="31" t="e">
        <f>'[4]#REF'!D1048</f>
        <v>#REF!</v>
      </c>
      <c r="D1048" s="32" t="e">
        <f t="shared" si="43"/>
        <v>#REF!</v>
      </c>
      <c r="F1048" s="12" t="e">
        <f>'[4]#REF'!F1048</f>
        <v>#REF!</v>
      </c>
      <c r="G1048" s="12" t="e">
        <f>'[4]#REF'!G1048</f>
        <v>#REF!</v>
      </c>
      <c r="H1048" s="31" t="e">
        <f>'[4]#REF'!I1048</f>
        <v>#REF!</v>
      </c>
      <c r="I1048" s="32" t="e">
        <f t="shared" si="44"/>
        <v>#REF!</v>
      </c>
    </row>
    <row r="1049" ht="15.75" spans="1:9">
      <c r="A1049" s="12" t="e">
        <f>'[4]#REF'!A1049</f>
        <v>#REF!</v>
      </c>
      <c r="B1049" s="12" t="e">
        <f>'[4]#REF'!B1049</f>
        <v>#REF!</v>
      </c>
      <c r="C1049" s="31" t="e">
        <f>'[4]#REF'!D1049</f>
        <v>#REF!</v>
      </c>
      <c r="D1049" s="32" t="e">
        <f t="shared" si="43"/>
        <v>#REF!</v>
      </c>
      <c r="F1049" s="12" t="e">
        <f>'[4]#REF'!F1049</f>
        <v>#REF!</v>
      </c>
      <c r="G1049" s="12" t="e">
        <f>'[4]#REF'!G1049</f>
        <v>#REF!</v>
      </c>
      <c r="H1049" s="31" t="e">
        <f>'[4]#REF'!I1049</f>
        <v>#REF!</v>
      </c>
      <c r="I1049" s="32" t="e">
        <f t="shared" si="44"/>
        <v>#REF!</v>
      </c>
    </row>
    <row r="1050" ht="15.75" spans="1:9">
      <c r="A1050" s="12" t="e">
        <f>'[4]#REF'!A1050</f>
        <v>#REF!</v>
      </c>
      <c r="B1050" s="12" t="e">
        <f>'[4]#REF'!B1050</f>
        <v>#REF!</v>
      </c>
      <c r="C1050" s="31" t="e">
        <f>'[4]#REF'!D1050</f>
        <v>#REF!</v>
      </c>
      <c r="D1050" s="32" t="e">
        <f t="shared" si="43"/>
        <v>#REF!</v>
      </c>
      <c r="F1050" s="12" t="e">
        <f>'[4]#REF'!F1050</f>
        <v>#REF!</v>
      </c>
      <c r="G1050" s="12" t="e">
        <f>'[4]#REF'!G1050</f>
        <v>#REF!</v>
      </c>
      <c r="H1050" s="31" t="e">
        <f>'[4]#REF'!I1050</f>
        <v>#REF!</v>
      </c>
      <c r="I1050" s="32" t="e">
        <f t="shared" si="44"/>
        <v>#REF!</v>
      </c>
    </row>
    <row r="1051" ht="15.75" spans="1:9">
      <c r="A1051" s="12" t="e">
        <f>'[4]#REF'!A1051</f>
        <v>#REF!</v>
      </c>
      <c r="B1051" s="12" t="e">
        <f>'[4]#REF'!B1051</f>
        <v>#REF!</v>
      </c>
      <c r="C1051" s="31" t="e">
        <f>'[4]#REF'!D1051</f>
        <v>#REF!</v>
      </c>
      <c r="D1051" s="32" t="e">
        <f t="shared" si="43"/>
        <v>#REF!</v>
      </c>
      <c r="F1051" s="12" t="e">
        <f>'[4]#REF'!F1051</f>
        <v>#REF!</v>
      </c>
      <c r="G1051" s="12" t="e">
        <f>'[4]#REF'!G1051</f>
        <v>#REF!</v>
      </c>
      <c r="H1051" s="31" t="e">
        <f>'[4]#REF'!I1051</f>
        <v>#REF!</v>
      </c>
      <c r="I1051" s="32" t="e">
        <f t="shared" si="44"/>
        <v>#REF!</v>
      </c>
    </row>
    <row r="1052" ht="15.75" spans="1:9">
      <c r="A1052" s="12" t="e">
        <f>'[4]#REF'!A1052</f>
        <v>#REF!</v>
      </c>
      <c r="B1052" s="12" t="e">
        <f>'[4]#REF'!B1052</f>
        <v>#REF!</v>
      </c>
      <c r="C1052" s="31" t="e">
        <f>'[4]#REF'!D1052</f>
        <v>#REF!</v>
      </c>
      <c r="D1052" s="32" t="e">
        <f t="shared" si="43"/>
        <v>#REF!</v>
      </c>
      <c r="F1052" s="12" t="e">
        <f>'[4]#REF'!F1052</f>
        <v>#REF!</v>
      </c>
      <c r="G1052" s="12" t="e">
        <f>'[4]#REF'!G1052</f>
        <v>#REF!</v>
      </c>
      <c r="H1052" s="31" t="e">
        <f>'[4]#REF'!I1052</f>
        <v>#REF!</v>
      </c>
      <c r="I1052" s="32" t="e">
        <f t="shared" si="44"/>
        <v>#REF!</v>
      </c>
    </row>
    <row r="1053" ht="15.75" spans="1:9">
      <c r="A1053" s="12" t="e">
        <f>'[4]#REF'!A1053</f>
        <v>#REF!</v>
      </c>
      <c r="B1053" s="12" t="e">
        <f>'[4]#REF'!B1053</f>
        <v>#REF!</v>
      </c>
      <c r="C1053" s="31" t="e">
        <f>'[4]#REF'!D1053</f>
        <v>#REF!</v>
      </c>
      <c r="D1053" s="32" t="e">
        <f t="shared" si="43"/>
        <v>#REF!</v>
      </c>
      <c r="F1053" s="12" t="e">
        <f>'[4]#REF'!F1053</f>
        <v>#REF!</v>
      </c>
      <c r="G1053" s="12" t="e">
        <f>'[4]#REF'!G1053</f>
        <v>#REF!</v>
      </c>
      <c r="H1053" s="31" t="e">
        <f>'[4]#REF'!I1053</f>
        <v>#REF!</v>
      </c>
      <c r="I1053" s="32" t="e">
        <f t="shared" si="44"/>
        <v>#REF!</v>
      </c>
    </row>
    <row r="1054" ht="15.75" spans="1:9">
      <c r="A1054" s="12" t="e">
        <f>'[4]#REF'!A1054</f>
        <v>#REF!</v>
      </c>
      <c r="B1054" s="12" t="e">
        <f>'[4]#REF'!B1054</f>
        <v>#REF!</v>
      </c>
      <c r="C1054" s="31" t="e">
        <f>'[4]#REF'!D1054</f>
        <v>#REF!</v>
      </c>
      <c r="D1054" s="32" t="e">
        <f t="shared" si="43"/>
        <v>#REF!</v>
      </c>
      <c r="F1054" s="12" t="e">
        <f>'[4]#REF'!F1054</f>
        <v>#REF!</v>
      </c>
      <c r="G1054" s="12" t="e">
        <f>'[4]#REF'!G1054</f>
        <v>#REF!</v>
      </c>
      <c r="H1054" s="31" t="e">
        <f>'[4]#REF'!I1054</f>
        <v>#REF!</v>
      </c>
      <c r="I1054" s="32" t="e">
        <f t="shared" si="44"/>
        <v>#REF!</v>
      </c>
    </row>
    <row r="1055" ht="15.75" spans="1:9">
      <c r="A1055" s="12" t="e">
        <f>'[4]#REF'!A1055</f>
        <v>#REF!</v>
      </c>
      <c r="B1055" s="12" t="e">
        <f>'[4]#REF'!B1055</f>
        <v>#REF!</v>
      </c>
      <c r="C1055" s="31" t="e">
        <f>'[4]#REF'!D1055</f>
        <v>#REF!</v>
      </c>
      <c r="D1055" s="32" t="e">
        <f t="shared" si="43"/>
        <v>#REF!</v>
      </c>
      <c r="F1055" s="12" t="e">
        <f>'[4]#REF'!F1055</f>
        <v>#REF!</v>
      </c>
      <c r="G1055" s="12" t="e">
        <f>'[4]#REF'!G1055</f>
        <v>#REF!</v>
      </c>
      <c r="H1055" s="31" t="e">
        <f>'[4]#REF'!I1055</f>
        <v>#REF!</v>
      </c>
      <c r="I1055" s="32" t="e">
        <f t="shared" si="44"/>
        <v>#REF!</v>
      </c>
    </row>
    <row r="1056" ht="15.75" spans="1:9">
      <c r="A1056" s="12" t="e">
        <f>'[4]#REF'!A1056</f>
        <v>#REF!</v>
      </c>
      <c r="B1056" s="12" t="e">
        <f>'[4]#REF'!B1056</f>
        <v>#REF!</v>
      </c>
      <c r="C1056" s="31" t="e">
        <f>'[4]#REF'!D1056</f>
        <v>#REF!</v>
      </c>
      <c r="D1056" s="32" t="e">
        <f t="shared" si="43"/>
        <v>#REF!</v>
      </c>
      <c r="F1056" s="12" t="e">
        <f>'[4]#REF'!F1056</f>
        <v>#REF!</v>
      </c>
      <c r="G1056" s="12" t="e">
        <f>'[4]#REF'!G1056</f>
        <v>#REF!</v>
      </c>
      <c r="H1056" s="31" t="e">
        <f>'[4]#REF'!I1056</f>
        <v>#REF!</v>
      </c>
      <c r="I1056" s="32" t="e">
        <f t="shared" si="44"/>
        <v>#REF!</v>
      </c>
    </row>
    <row r="1057" ht="15.75" spans="1:9">
      <c r="A1057" s="12" t="e">
        <f>'[4]#REF'!A1057</f>
        <v>#REF!</v>
      </c>
      <c r="B1057" s="12" t="e">
        <f>'[4]#REF'!B1057</f>
        <v>#REF!</v>
      </c>
      <c r="C1057" s="31" t="e">
        <f>'[4]#REF'!D1057</f>
        <v>#REF!</v>
      </c>
      <c r="D1057" s="32" t="e">
        <f t="shared" si="43"/>
        <v>#REF!</v>
      </c>
      <c r="F1057" s="12" t="e">
        <f>'[4]#REF'!F1057</f>
        <v>#REF!</v>
      </c>
      <c r="G1057" s="12" t="e">
        <f>'[4]#REF'!G1057</f>
        <v>#REF!</v>
      </c>
      <c r="H1057" s="31" t="e">
        <f>'[4]#REF'!I1057</f>
        <v>#REF!</v>
      </c>
      <c r="I1057" s="32" t="e">
        <f t="shared" si="44"/>
        <v>#REF!</v>
      </c>
    </row>
    <row r="1058" ht="15.75" spans="1:9">
      <c r="A1058" s="12" t="e">
        <f>'[4]#REF'!A1058</f>
        <v>#REF!</v>
      </c>
      <c r="B1058" s="12" t="e">
        <f>'[4]#REF'!B1058</f>
        <v>#REF!</v>
      </c>
      <c r="C1058" s="31" t="e">
        <f>'[4]#REF'!D1058</f>
        <v>#REF!</v>
      </c>
      <c r="D1058" s="32" t="e">
        <f t="shared" si="43"/>
        <v>#REF!</v>
      </c>
      <c r="F1058" s="12" t="e">
        <f>'[4]#REF'!F1058</f>
        <v>#REF!</v>
      </c>
      <c r="G1058" s="12" t="e">
        <f>'[4]#REF'!G1058</f>
        <v>#REF!</v>
      </c>
      <c r="H1058" s="31" t="e">
        <f>'[4]#REF'!I1058</f>
        <v>#REF!</v>
      </c>
      <c r="I1058" s="32" t="e">
        <f t="shared" si="44"/>
        <v>#REF!</v>
      </c>
    </row>
    <row r="1059" ht="15.75" spans="1:9">
      <c r="A1059" s="12" t="e">
        <f>'[4]#REF'!A1059</f>
        <v>#REF!</v>
      </c>
      <c r="B1059" s="12" t="e">
        <f>'[4]#REF'!B1059</f>
        <v>#REF!</v>
      </c>
      <c r="C1059" s="31" t="e">
        <f>'[4]#REF'!D1059</f>
        <v>#REF!</v>
      </c>
      <c r="D1059" s="32" t="e">
        <f t="shared" si="43"/>
        <v>#REF!</v>
      </c>
      <c r="F1059" s="12" t="e">
        <f>'[4]#REF'!F1059</f>
        <v>#REF!</v>
      </c>
      <c r="G1059" s="12" t="e">
        <f>'[4]#REF'!G1059</f>
        <v>#REF!</v>
      </c>
      <c r="H1059" s="31" t="e">
        <f>'[4]#REF'!I1059</f>
        <v>#REF!</v>
      </c>
      <c r="I1059" s="32" t="e">
        <f t="shared" si="44"/>
        <v>#REF!</v>
      </c>
    </row>
    <row r="1060" ht="15.75" spans="1:9">
      <c r="A1060" s="12" t="e">
        <f>'[4]#REF'!A1060</f>
        <v>#REF!</v>
      </c>
      <c r="B1060" s="12" t="e">
        <f>'[4]#REF'!B1060</f>
        <v>#REF!</v>
      </c>
      <c r="C1060" s="31" t="e">
        <f>'[4]#REF'!D1060</f>
        <v>#REF!</v>
      </c>
      <c r="D1060" s="32" t="e">
        <f t="shared" si="43"/>
        <v>#REF!</v>
      </c>
      <c r="F1060" s="12" t="e">
        <f>'[4]#REF'!F1060</f>
        <v>#REF!</v>
      </c>
      <c r="G1060" s="12" t="e">
        <f>'[4]#REF'!G1060</f>
        <v>#REF!</v>
      </c>
      <c r="H1060" s="31" t="e">
        <f>'[4]#REF'!I1060</f>
        <v>#REF!</v>
      </c>
      <c r="I1060" s="32" t="e">
        <f t="shared" si="44"/>
        <v>#REF!</v>
      </c>
    </row>
    <row r="1061" ht="15.75" spans="1:9">
      <c r="A1061" s="12" t="e">
        <f>'[4]#REF'!A1061</f>
        <v>#REF!</v>
      </c>
      <c r="B1061" s="12" t="e">
        <f>'[4]#REF'!B1061</f>
        <v>#REF!</v>
      </c>
      <c r="C1061" s="31" t="e">
        <f>'[4]#REF'!D1061</f>
        <v>#REF!</v>
      </c>
      <c r="D1061" s="32" t="e">
        <f t="shared" si="43"/>
        <v>#REF!</v>
      </c>
      <c r="F1061" s="12" t="e">
        <f>'[4]#REF'!F1061</f>
        <v>#REF!</v>
      </c>
      <c r="G1061" s="12" t="e">
        <f>'[4]#REF'!G1061</f>
        <v>#REF!</v>
      </c>
      <c r="H1061" s="31" t="e">
        <f>'[4]#REF'!I1061</f>
        <v>#REF!</v>
      </c>
      <c r="I1061" s="32" t="e">
        <f t="shared" si="44"/>
        <v>#REF!</v>
      </c>
    </row>
    <row r="1062" ht="15.75" spans="1:9">
      <c r="A1062" s="12" t="e">
        <f>'[4]#REF'!A1062</f>
        <v>#REF!</v>
      </c>
      <c r="B1062" s="12" t="e">
        <f>'[4]#REF'!B1062</f>
        <v>#REF!</v>
      </c>
      <c r="C1062" s="31" t="e">
        <f>'[4]#REF'!D1062</f>
        <v>#REF!</v>
      </c>
      <c r="D1062" s="32" t="e">
        <f t="shared" si="43"/>
        <v>#REF!</v>
      </c>
      <c r="F1062" s="12" t="e">
        <f>'[4]#REF'!F1062</f>
        <v>#REF!</v>
      </c>
      <c r="G1062" s="12" t="e">
        <f>'[4]#REF'!G1062</f>
        <v>#REF!</v>
      </c>
      <c r="H1062" s="31" t="e">
        <f>'[4]#REF'!I1062</f>
        <v>#REF!</v>
      </c>
      <c r="I1062" s="32" t="e">
        <f t="shared" si="44"/>
        <v>#REF!</v>
      </c>
    </row>
    <row r="1063" ht="15.75" spans="1:9">
      <c r="A1063" s="12" t="e">
        <f>'[4]#REF'!A1063</f>
        <v>#REF!</v>
      </c>
      <c r="B1063" s="12" t="e">
        <f>'[4]#REF'!B1063</f>
        <v>#REF!</v>
      </c>
      <c r="C1063" s="31" t="e">
        <f>'[4]#REF'!D1063</f>
        <v>#REF!</v>
      </c>
      <c r="D1063" s="32" t="e">
        <f t="shared" si="43"/>
        <v>#REF!</v>
      </c>
      <c r="F1063" s="12" t="e">
        <f>'[4]#REF'!F1063</f>
        <v>#REF!</v>
      </c>
      <c r="G1063" s="12" t="e">
        <f>'[4]#REF'!G1063</f>
        <v>#REF!</v>
      </c>
      <c r="H1063" s="31" t="e">
        <f>'[4]#REF'!I1063</f>
        <v>#REF!</v>
      </c>
      <c r="I1063" s="32" t="e">
        <f t="shared" si="44"/>
        <v>#REF!</v>
      </c>
    </row>
    <row r="1064" ht="15.75" spans="1:9">
      <c r="A1064" s="12" t="e">
        <f>'[4]#REF'!A1064</f>
        <v>#REF!</v>
      </c>
      <c r="B1064" s="12" t="e">
        <f>'[4]#REF'!B1064</f>
        <v>#REF!</v>
      </c>
      <c r="C1064" s="31" t="e">
        <f>'[4]#REF'!D1064</f>
        <v>#REF!</v>
      </c>
      <c r="D1064" s="32" t="e">
        <f t="shared" si="43"/>
        <v>#REF!</v>
      </c>
      <c r="F1064" s="12" t="e">
        <f>'[4]#REF'!F1064</f>
        <v>#REF!</v>
      </c>
      <c r="G1064" s="12" t="e">
        <f>'[4]#REF'!G1064</f>
        <v>#REF!</v>
      </c>
      <c r="H1064" s="31" t="e">
        <f>'[4]#REF'!I1064</f>
        <v>#REF!</v>
      </c>
      <c r="I1064" s="32" t="e">
        <f t="shared" si="44"/>
        <v>#REF!</v>
      </c>
    </row>
    <row r="1065" ht="15.75" spans="1:9">
      <c r="A1065" s="12" t="e">
        <f>'[4]#REF'!A1065</f>
        <v>#REF!</v>
      </c>
      <c r="B1065" s="12" t="e">
        <f>'[4]#REF'!B1065</f>
        <v>#REF!</v>
      </c>
      <c r="C1065" s="31" t="e">
        <f>'[4]#REF'!D1065</f>
        <v>#REF!</v>
      </c>
      <c r="D1065" s="32" t="e">
        <f t="shared" si="43"/>
        <v>#REF!</v>
      </c>
      <c r="F1065" s="12" t="e">
        <f>'[4]#REF'!F1065</f>
        <v>#REF!</v>
      </c>
      <c r="G1065" s="12" t="e">
        <f>'[4]#REF'!G1065</f>
        <v>#REF!</v>
      </c>
      <c r="H1065" s="31" t="e">
        <f>'[4]#REF'!I1065</f>
        <v>#REF!</v>
      </c>
      <c r="I1065" s="32" t="e">
        <f t="shared" si="44"/>
        <v>#REF!</v>
      </c>
    </row>
    <row r="1066" ht="15.75" spans="1:9">
      <c r="A1066" s="12" t="e">
        <f>'[4]#REF'!A1066</f>
        <v>#REF!</v>
      </c>
      <c r="B1066" s="12" t="e">
        <f>'[4]#REF'!B1066</f>
        <v>#REF!</v>
      </c>
      <c r="C1066" s="31" t="e">
        <f>'[4]#REF'!D1066</f>
        <v>#REF!</v>
      </c>
      <c r="D1066" s="32" t="e">
        <f t="shared" si="43"/>
        <v>#REF!</v>
      </c>
      <c r="F1066" s="12" t="e">
        <f>'[4]#REF'!F1066</f>
        <v>#REF!</v>
      </c>
      <c r="G1066" s="12" t="e">
        <f>'[4]#REF'!G1066</f>
        <v>#REF!</v>
      </c>
      <c r="H1066" s="31" t="e">
        <f>'[4]#REF'!I1066</f>
        <v>#REF!</v>
      </c>
      <c r="I1066" s="32" t="e">
        <f t="shared" si="44"/>
        <v>#REF!</v>
      </c>
    </row>
    <row r="1067" ht="15.75" spans="1:9">
      <c r="A1067" s="12" t="e">
        <f>'[4]#REF'!A1067</f>
        <v>#REF!</v>
      </c>
      <c r="B1067" s="12" t="e">
        <f>'[4]#REF'!B1067</f>
        <v>#REF!</v>
      </c>
      <c r="C1067" s="31" t="e">
        <f>'[4]#REF'!D1067</f>
        <v>#REF!</v>
      </c>
      <c r="D1067" s="32" t="e">
        <f t="shared" si="43"/>
        <v>#REF!</v>
      </c>
      <c r="F1067" s="12" t="e">
        <f>'[4]#REF'!F1067</f>
        <v>#REF!</v>
      </c>
      <c r="G1067" s="12" t="e">
        <f>'[4]#REF'!G1067</f>
        <v>#REF!</v>
      </c>
      <c r="H1067" s="31" t="e">
        <f>'[4]#REF'!I1067</f>
        <v>#REF!</v>
      </c>
      <c r="I1067" s="32" t="e">
        <f t="shared" si="44"/>
        <v>#REF!</v>
      </c>
    </row>
    <row r="1068" ht="15.75" spans="1:9">
      <c r="A1068" s="12" t="e">
        <f>'[4]#REF'!A1068</f>
        <v>#REF!</v>
      </c>
      <c r="B1068" s="12" t="e">
        <f>'[4]#REF'!B1068</f>
        <v>#REF!</v>
      </c>
      <c r="C1068" s="31" t="e">
        <f>'[4]#REF'!D1068</f>
        <v>#REF!</v>
      </c>
      <c r="D1068" s="32" t="e">
        <f t="shared" si="43"/>
        <v>#REF!</v>
      </c>
      <c r="F1068" s="12" t="e">
        <f>'[4]#REF'!F1068</f>
        <v>#REF!</v>
      </c>
      <c r="G1068" s="12" t="e">
        <f>'[4]#REF'!G1068</f>
        <v>#REF!</v>
      </c>
      <c r="H1068" s="31" t="e">
        <f>'[4]#REF'!I1068</f>
        <v>#REF!</v>
      </c>
      <c r="I1068" s="32" t="e">
        <f t="shared" si="44"/>
        <v>#REF!</v>
      </c>
    </row>
    <row r="1069" ht="15.75" spans="1:9">
      <c r="A1069" s="12" t="e">
        <f>'[4]#REF'!A1069</f>
        <v>#REF!</v>
      </c>
      <c r="B1069" s="12" t="e">
        <f>'[4]#REF'!B1069</f>
        <v>#REF!</v>
      </c>
      <c r="C1069" s="31" t="e">
        <f>'[4]#REF'!D1069</f>
        <v>#REF!</v>
      </c>
      <c r="D1069" s="32" t="e">
        <f t="shared" si="43"/>
        <v>#REF!</v>
      </c>
      <c r="F1069" s="12" t="e">
        <f>'[4]#REF'!F1069</f>
        <v>#REF!</v>
      </c>
      <c r="G1069" s="12" t="e">
        <f>'[4]#REF'!G1069</f>
        <v>#REF!</v>
      </c>
      <c r="H1069" s="31" t="e">
        <f>'[4]#REF'!I1069</f>
        <v>#REF!</v>
      </c>
      <c r="I1069" s="32" t="e">
        <f t="shared" si="44"/>
        <v>#REF!</v>
      </c>
    </row>
    <row r="1070" ht="15.75" spans="1:9">
      <c r="A1070" s="12" t="e">
        <f>'[4]#REF'!A1070</f>
        <v>#REF!</v>
      </c>
      <c r="B1070" s="12" t="e">
        <f>'[4]#REF'!B1070</f>
        <v>#REF!</v>
      </c>
      <c r="C1070" s="31" t="e">
        <f>'[4]#REF'!D1070</f>
        <v>#REF!</v>
      </c>
      <c r="D1070" s="32" t="e">
        <f t="shared" si="43"/>
        <v>#REF!</v>
      </c>
      <c r="F1070" s="12" t="e">
        <f>'[4]#REF'!F1070</f>
        <v>#REF!</v>
      </c>
      <c r="G1070" s="12" t="e">
        <f>'[4]#REF'!G1070</f>
        <v>#REF!</v>
      </c>
      <c r="H1070" s="31" t="e">
        <f>'[4]#REF'!I1070</f>
        <v>#REF!</v>
      </c>
      <c r="I1070" s="32" t="e">
        <f t="shared" si="44"/>
        <v>#REF!</v>
      </c>
    </row>
    <row r="1071" ht="15.75" spans="1:9">
      <c r="A1071" s="12" t="e">
        <f>'[4]#REF'!A1071</f>
        <v>#REF!</v>
      </c>
      <c r="B1071" s="12" t="e">
        <f>'[4]#REF'!B1071</f>
        <v>#REF!</v>
      </c>
      <c r="C1071" s="31" t="e">
        <f>'[4]#REF'!D1071</f>
        <v>#REF!</v>
      </c>
      <c r="D1071" s="32" t="e">
        <f t="shared" si="43"/>
        <v>#REF!</v>
      </c>
      <c r="F1071" s="12" t="e">
        <f>'[4]#REF'!F1071</f>
        <v>#REF!</v>
      </c>
      <c r="G1071" s="12" t="e">
        <f>'[4]#REF'!G1071</f>
        <v>#REF!</v>
      </c>
      <c r="H1071" s="31" t="e">
        <f>'[4]#REF'!I1071</f>
        <v>#REF!</v>
      </c>
      <c r="I1071" s="32" t="e">
        <f t="shared" si="44"/>
        <v>#REF!</v>
      </c>
    </row>
    <row r="1072" ht="15.75" spans="1:9">
      <c r="A1072" s="12" t="e">
        <f>'[4]#REF'!A1072</f>
        <v>#REF!</v>
      </c>
      <c r="B1072" s="12" t="e">
        <f>'[4]#REF'!B1072</f>
        <v>#REF!</v>
      </c>
      <c r="C1072" s="31" t="e">
        <f>'[4]#REF'!D1072</f>
        <v>#REF!</v>
      </c>
      <c r="D1072" s="32" t="e">
        <f t="shared" si="43"/>
        <v>#REF!</v>
      </c>
      <c r="F1072" s="12" t="e">
        <f>'[4]#REF'!F1072</f>
        <v>#REF!</v>
      </c>
      <c r="G1072" s="12" t="e">
        <f>'[4]#REF'!G1072</f>
        <v>#REF!</v>
      </c>
      <c r="H1072" s="31" t="e">
        <f>'[4]#REF'!I1072</f>
        <v>#REF!</v>
      </c>
      <c r="I1072" s="32" t="e">
        <f t="shared" si="44"/>
        <v>#REF!</v>
      </c>
    </row>
    <row r="1073" ht="15.75" spans="1:9">
      <c r="A1073" s="12" t="e">
        <f>'[4]#REF'!A1073</f>
        <v>#REF!</v>
      </c>
      <c r="B1073" s="12" t="e">
        <f>'[4]#REF'!B1073</f>
        <v>#REF!</v>
      </c>
      <c r="C1073" s="31" t="e">
        <f>'[4]#REF'!D1073</f>
        <v>#REF!</v>
      </c>
      <c r="D1073" s="32" t="e">
        <f t="shared" si="43"/>
        <v>#REF!</v>
      </c>
      <c r="F1073" s="12" t="e">
        <f>'[4]#REF'!F1073</f>
        <v>#REF!</v>
      </c>
      <c r="G1073" s="12" t="e">
        <f>'[4]#REF'!G1073</f>
        <v>#REF!</v>
      </c>
      <c r="H1073" s="31" t="e">
        <f>'[4]#REF'!I1073</f>
        <v>#REF!</v>
      </c>
      <c r="I1073" s="32" t="e">
        <f t="shared" si="44"/>
        <v>#REF!</v>
      </c>
    </row>
    <row r="1074" ht="15.75" spans="1:9">
      <c r="A1074" s="12" t="e">
        <f>'[4]#REF'!A1074</f>
        <v>#REF!</v>
      </c>
      <c r="B1074" s="12" t="e">
        <f>'[4]#REF'!B1074</f>
        <v>#REF!</v>
      </c>
      <c r="C1074" s="31" t="e">
        <f>'[4]#REF'!D1074</f>
        <v>#REF!</v>
      </c>
      <c r="D1074" s="32" t="e">
        <f t="shared" si="43"/>
        <v>#REF!</v>
      </c>
      <c r="F1074" s="12" t="e">
        <f>'[4]#REF'!F1074</f>
        <v>#REF!</v>
      </c>
      <c r="G1074" s="12" t="e">
        <f>'[4]#REF'!G1074</f>
        <v>#REF!</v>
      </c>
      <c r="H1074" s="31" t="e">
        <f>'[4]#REF'!I1074</f>
        <v>#REF!</v>
      </c>
      <c r="I1074" s="32" t="e">
        <f t="shared" si="44"/>
        <v>#REF!</v>
      </c>
    </row>
    <row r="1075" ht="15.75" spans="1:9">
      <c r="A1075" s="12" t="e">
        <f>'[4]#REF'!A1075</f>
        <v>#REF!</v>
      </c>
      <c r="B1075" s="12" t="e">
        <f>'[4]#REF'!B1075</f>
        <v>#REF!</v>
      </c>
      <c r="C1075" s="31" t="e">
        <f>'[4]#REF'!D1075</f>
        <v>#REF!</v>
      </c>
      <c r="D1075" s="32" t="e">
        <f t="shared" si="43"/>
        <v>#REF!</v>
      </c>
      <c r="F1075" s="12" t="e">
        <f>'[4]#REF'!F1075</f>
        <v>#REF!</v>
      </c>
      <c r="G1075" s="12" t="e">
        <f>'[4]#REF'!G1075</f>
        <v>#REF!</v>
      </c>
      <c r="H1075" s="31" t="e">
        <f>'[4]#REF'!I1075</f>
        <v>#REF!</v>
      </c>
      <c r="I1075" s="32" t="e">
        <f t="shared" si="44"/>
        <v>#REF!</v>
      </c>
    </row>
    <row r="1076" ht="15.75" spans="1:9">
      <c r="A1076" s="12" t="e">
        <f>'[4]#REF'!A1076</f>
        <v>#REF!</v>
      </c>
      <c r="B1076" s="12" t="e">
        <f>'[4]#REF'!B1076</f>
        <v>#REF!</v>
      </c>
      <c r="C1076" s="31" t="e">
        <f>'[4]#REF'!D1076</f>
        <v>#REF!</v>
      </c>
      <c r="D1076" s="32" t="e">
        <f t="shared" si="43"/>
        <v>#REF!</v>
      </c>
      <c r="F1076" s="12" t="e">
        <f>'[4]#REF'!F1076</f>
        <v>#REF!</v>
      </c>
      <c r="G1076" s="12" t="e">
        <f>'[4]#REF'!G1076</f>
        <v>#REF!</v>
      </c>
      <c r="H1076" s="31" t="e">
        <f>'[4]#REF'!I1076</f>
        <v>#REF!</v>
      </c>
      <c r="I1076" s="32" t="e">
        <f t="shared" si="44"/>
        <v>#REF!</v>
      </c>
    </row>
    <row r="1077" ht="15.75" spans="1:9">
      <c r="A1077" s="12" t="e">
        <f>'[4]#REF'!A1077</f>
        <v>#REF!</v>
      </c>
      <c r="B1077" s="12" t="e">
        <f>'[4]#REF'!B1077</f>
        <v>#REF!</v>
      </c>
      <c r="C1077" s="31" t="e">
        <f>'[4]#REF'!D1077</f>
        <v>#REF!</v>
      </c>
      <c r="D1077" s="32" t="e">
        <f t="shared" si="43"/>
        <v>#REF!</v>
      </c>
      <c r="F1077" s="12" t="e">
        <f>'[4]#REF'!F1077</f>
        <v>#REF!</v>
      </c>
      <c r="G1077" s="12" t="e">
        <f>'[4]#REF'!G1077</f>
        <v>#REF!</v>
      </c>
      <c r="H1077" s="31" t="e">
        <f>'[4]#REF'!I1077</f>
        <v>#REF!</v>
      </c>
      <c r="I1077" s="32" t="e">
        <f t="shared" si="44"/>
        <v>#REF!</v>
      </c>
    </row>
    <row r="1078" ht="15.75" spans="1:9">
      <c r="A1078" s="12" t="e">
        <f>'[4]#REF'!A1078</f>
        <v>#REF!</v>
      </c>
      <c r="B1078" s="12" t="e">
        <f>'[4]#REF'!B1078</f>
        <v>#REF!</v>
      </c>
      <c r="C1078" s="31" t="e">
        <f>'[4]#REF'!D1078</f>
        <v>#REF!</v>
      </c>
      <c r="D1078" s="32" t="e">
        <f t="shared" si="43"/>
        <v>#REF!</v>
      </c>
      <c r="F1078" s="12" t="e">
        <f>'[4]#REF'!F1078</f>
        <v>#REF!</v>
      </c>
      <c r="G1078" s="12" t="e">
        <f>'[4]#REF'!G1078</f>
        <v>#REF!</v>
      </c>
      <c r="H1078" s="31" t="e">
        <f>'[4]#REF'!I1078</f>
        <v>#REF!</v>
      </c>
      <c r="I1078" s="32" t="e">
        <f t="shared" si="44"/>
        <v>#REF!</v>
      </c>
    </row>
    <row r="1079" ht="15.75" spans="1:9">
      <c r="A1079" s="12" t="e">
        <f>'[4]#REF'!A1079</f>
        <v>#REF!</v>
      </c>
      <c r="B1079" s="12" t="e">
        <f>'[4]#REF'!B1079</f>
        <v>#REF!</v>
      </c>
      <c r="C1079" s="31" t="e">
        <f>'[4]#REF'!D1079</f>
        <v>#REF!</v>
      </c>
      <c r="D1079" s="32" t="e">
        <f t="shared" si="43"/>
        <v>#REF!</v>
      </c>
      <c r="F1079" s="12" t="e">
        <f>'[4]#REF'!F1079</f>
        <v>#REF!</v>
      </c>
      <c r="G1079" s="12" t="e">
        <f>'[4]#REF'!G1079</f>
        <v>#REF!</v>
      </c>
      <c r="H1079" s="31" t="e">
        <f>'[4]#REF'!I1079</f>
        <v>#REF!</v>
      </c>
      <c r="I1079" s="32" t="e">
        <f t="shared" si="44"/>
        <v>#REF!</v>
      </c>
    </row>
    <row r="1080" ht="15.75" spans="1:9">
      <c r="A1080" s="12" t="e">
        <f>'[4]#REF'!A1080</f>
        <v>#REF!</v>
      </c>
      <c r="B1080" s="12" t="e">
        <f>'[4]#REF'!B1080</f>
        <v>#REF!</v>
      </c>
      <c r="C1080" s="31" t="e">
        <f>'[4]#REF'!D1080</f>
        <v>#REF!</v>
      </c>
      <c r="D1080" s="32" t="e">
        <f t="shared" si="43"/>
        <v>#REF!</v>
      </c>
      <c r="F1080" s="12" t="e">
        <f>'[4]#REF'!F1080</f>
        <v>#REF!</v>
      </c>
      <c r="G1080" s="12" t="e">
        <f>'[4]#REF'!G1080</f>
        <v>#REF!</v>
      </c>
      <c r="H1080" s="31" t="e">
        <f>'[4]#REF'!I1080</f>
        <v>#REF!</v>
      </c>
      <c r="I1080" s="32" t="e">
        <f t="shared" si="44"/>
        <v>#REF!</v>
      </c>
    </row>
    <row r="1081" ht="15.75" spans="1:9">
      <c r="A1081" s="12" t="e">
        <f>'[4]#REF'!A1081</f>
        <v>#REF!</v>
      </c>
      <c r="B1081" s="12" t="e">
        <f>'[4]#REF'!B1081</f>
        <v>#REF!</v>
      </c>
      <c r="C1081" s="31" t="e">
        <f>'[4]#REF'!D1081</f>
        <v>#REF!</v>
      </c>
      <c r="D1081" s="32" t="e">
        <f t="shared" si="43"/>
        <v>#REF!</v>
      </c>
      <c r="F1081" s="12" t="e">
        <f>'[4]#REF'!F1081</f>
        <v>#REF!</v>
      </c>
      <c r="G1081" s="12" t="e">
        <f>'[4]#REF'!G1081</f>
        <v>#REF!</v>
      </c>
      <c r="H1081" s="31" t="e">
        <f>'[4]#REF'!I1081</f>
        <v>#REF!</v>
      </c>
      <c r="I1081" s="32" t="e">
        <f t="shared" si="44"/>
        <v>#REF!</v>
      </c>
    </row>
    <row r="1082" ht="15.75" spans="1:9">
      <c r="A1082" s="12" t="e">
        <f>'[4]#REF'!A1082</f>
        <v>#REF!</v>
      </c>
      <c r="B1082" s="12" t="e">
        <f>'[4]#REF'!B1082</f>
        <v>#REF!</v>
      </c>
      <c r="C1082" s="31" t="e">
        <f>'[4]#REF'!D1082</f>
        <v>#REF!</v>
      </c>
      <c r="D1082" s="32" t="e">
        <f t="shared" si="43"/>
        <v>#REF!</v>
      </c>
      <c r="F1082" s="12" t="e">
        <f>'[4]#REF'!F1082</f>
        <v>#REF!</v>
      </c>
      <c r="G1082" s="12" t="e">
        <f>'[4]#REF'!G1082</f>
        <v>#REF!</v>
      </c>
      <c r="H1082" s="31" t="e">
        <f>'[4]#REF'!I1082</f>
        <v>#REF!</v>
      </c>
      <c r="I1082" s="32" t="e">
        <f t="shared" si="44"/>
        <v>#REF!</v>
      </c>
    </row>
    <row r="1083" ht="15.75" spans="1:9">
      <c r="A1083" s="12" t="e">
        <f>'[4]#REF'!A1083</f>
        <v>#REF!</v>
      </c>
      <c r="B1083" s="12" t="e">
        <f>'[4]#REF'!B1083</f>
        <v>#REF!</v>
      </c>
      <c r="C1083" s="31" t="e">
        <f>'[4]#REF'!D1083</f>
        <v>#REF!</v>
      </c>
      <c r="D1083" s="32" t="e">
        <f t="shared" si="43"/>
        <v>#REF!</v>
      </c>
      <c r="F1083" s="12" t="e">
        <f>'[4]#REF'!F1083</f>
        <v>#REF!</v>
      </c>
      <c r="G1083" s="12" t="e">
        <f>'[4]#REF'!G1083</f>
        <v>#REF!</v>
      </c>
      <c r="H1083" s="31" t="e">
        <f>'[4]#REF'!I1083</f>
        <v>#REF!</v>
      </c>
      <c r="I1083" s="32" t="e">
        <f t="shared" si="44"/>
        <v>#REF!</v>
      </c>
    </row>
    <row r="1084" ht="15.75" spans="1:9">
      <c r="A1084" s="12" t="e">
        <f>'[4]#REF'!A1084</f>
        <v>#REF!</v>
      </c>
      <c r="B1084" s="12" t="e">
        <f>'[4]#REF'!B1084</f>
        <v>#REF!</v>
      </c>
      <c r="C1084" s="31" t="e">
        <f>'[4]#REF'!D1084</f>
        <v>#REF!</v>
      </c>
      <c r="D1084" s="32" t="e">
        <f t="shared" si="43"/>
        <v>#REF!</v>
      </c>
      <c r="F1084" s="12" t="e">
        <f>'[4]#REF'!F1084</f>
        <v>#REF!</v>
      </c>
      <c r="G1084" s="12" t="e">
        <f>'[4]#REF'!G1084</f>
        <v>#REF!</v>
      </c>
      <c r="H1084" s="31" t="e">
        <f>'[4]#REF'!I1084</f>
        <v>#REF!</v>
      </c>
      <c r="I1084" s="32" t="e">
        <f t="shared" si="44"/>
        <v>#REF!</v>
      </c>
    </row>
    <row r="1085" ht="15.75" spans="1:9">
      <c r="A1085" s="12" t="e">
        <f>'[4]#REF'!A1085</f>
        <v>#REF!</v>
      </c>
      <c r="B1085" s="12" t="e">
        <f>'[4]#REF'!B1085</f>
        <v>#REF!</v>
      </c>
      <c r="C1085" s="31" t="e">
        <f>'[4]#REF'!D1085</f>
        <v>#REF!</v>
      </c>
      <c r="D1085" s="32" t="e">
        <f t="shared" si="43"/>
        <v>#REF!</v>
      </c>
      <c r="F1085" s="12" t="e">
        <f>'[4]#REF'!F1085</f>
        <v>#REF!</v>
      </c>
      <c r="G1085" s="12" t="e">
        <f>'[4]#REF'!G1085</f>
        <v>#REF!</v>
      </c>
      <c r="H1085" s="31" t="e">
        <f>'[4]#REF'!I1085</f>
        <v>#REF!</v>
      </c>
      <c r="I1085" s="32" t="e">
        <f t="shared" si="44"/>
        <v>#REF!</v>
      </c>
    </row>
    <row r="1086" ht="15.75" spans="1:9">
      <c r="A1086" s="12" t="e">
        <f>'[4]#REF'!A1086</f>
        <v>#REF!</v>
      </c>
      <c r="B1086" s="12" t="e">
        <f>'[4]#REF'!B1086</f>
        <v>#REF!</v>
      </c>
      <c r="C1086" s="31" t="e">
        <f>'[4]#REF'!D1086</f>
        <v>#REF!</v>
      </c>
      <c r="D1086" s="32" t="e">
        <f t="shared" si="43"/>
        <v>#REF!</v>
      </c>
      <c r="F1086" s="12" t="e">
        <f>'[4]#REF'!F1086</f>
        <v>#REF!</v>
      </c>
      <c r="G1086" s="12" t="e">
        <f>'[4]#REF'!G1086</f>
        <v>#REF!</v>
      </c>
      <c r="H1086" s="31" t="e">
        <f>'[4]#REF'!I1086</f>
        <v>#REF!</v>
      </c>
      <c r="I1086" s="32" t="e">
        <f t="shared" si="44"/>
        <v>#REF!</v>
      </c>
    </row>
    <row r="1087" ht="15.75" spans="1:9">
      <c r="A1087" s="12" t="e">
        <f>'[4]#REF'!A1087</f>
        <v>#REF!</v>
      </c>
      <c r="B1087" s="12" t="e">
        <f>'[4]#REF'!B1087</f>
        <v>#REF!</v>
      </c>
      <c r="C1087" s="31" t="e">
        <f>'[4]#REF'!D1087</f>
        <v>#REF!</v>
      </c>
      <c r="D1087" s="32" t="e">
        <f t="shared" si="43"/>
        <v>#REF!</v>
      </c>
      <c r="F1087" s="12" t="e">
        <f>'[4]#REF'!F1087</f>
        <v>#REF!</v>
      </c>
      <c r="G1087" s="12" t="e">
        <f>'[4]#REF'!G1087</f>
        <v>#REF!</v>
      </c>
      <c r="H1087" s="31" t="e">
        <f>'[4]#REF'!I1087</f>
        <v>#REF!</v>
      </c>
      <c r="I1087" s="32" t="e">
        <f t="shared" si="44"/>
        <v>#REF!</v>
      </c>
    </row>
    <row r="1088" ht="15.75" spans="1:9">
      <c r="A1088" s="12" t="e">
        <f>'[4]#REF'!A1088</f>
        <v>#REF!</v>
      </c>
      <c r="B1088" s="12" t="e">
        <f>'[4]#REF'!B1088</f>
        <v>#REF!</v>
      </c>
      <c r="C1088" s="31" t="e">
        <f>'[4]#REF'!D1088</f>
        <v>#REF!</v>
      </c>
      <c r="D1088" s="32" t="e">
        <f t="shared" si="43"/>
        <v>#REF!</v>
      </c>
      <c r="F1088" s="12" t="e">
        <f>'[4]#REF'!F1088</f>
        <v>#REF!</v>
      </c>
      <c r="G1088" s="12" t="e">
        <f>'[4]#REF'!G1088</f>
        <v>#REF!</v>
      </c>
      <c r="H1088" s="31" t="e">
        <f>'[4]#REF'!I1088</f>
        <v>#REF!</v>
      </c>
      <c r="I1088" s="32" t="e">
        <f t="shared" si="44"/>
        <v>#REF!</v>
      </c>
    </row>
    <row r="1089" ht="15.75" spans="1:9">
      <c r="A1089" s="12" t="e">
        <f>'[4]#REF'!A1089</f>
        <v>#REF!</v>
      </c>
      <c r="B1089" s="12" t="e">
        <f>'[4]#REF'!B1089</f>
        <v>#REF!</v>
      </c>
      <c r="C1089" s="31" t="e">
        <f>'[4]#REF'!D1089</f>
        <v>#REF!</v>
      </c>
      <c r="D1089" s="32" t="e">
        <f t="shared" si="43"/>
        <v>#REF!</v>
      </c>
      <c r="F1089" s="12" t="e">
        <f>'[4]#REF'!F1089</f>
        <v>#REF!</v>
      </c>
      <c r="G1089" s="12" t="e">
        <f>'[4]#REF'!G1089</f>
        <v>#REF!</v>
      </c>
      <c r="H1089" s="31" t="e">
        <f>'[4]#REF'!I1089</f>
        <v>#REF!</v>
      </c>
      <c r="I1089" s="32" t="e">
        <f t="shared" si="44"/>
        <v>#REF!</v>
      </c>
    </row>
    <row r="1090" ht="15.75" spans="1:9">
      <c r="A1090" s="12" t="e">
        <f>'[4]#REF'!A1090</f>
        <v>#REF!</v>
      </c>
      <c r="B1090" s="12" t="e">
        <f>'[4]#REF'!B1090</f>
        <v>#REF!</v>
      </c>
      <c r="C1090" s="31" t="e">
        <f>'[4]#REF'!D1090</f>
        <v>#REF!</v>
      </c>
      <c r="D1090" s="32" t="e">
        <f t="shared" si="43"/>
        <v>#REF!</v>
      </c>
      <c r="F1090" s="12" t="e">
        <f>'[4]#REF'!F1090</f>
        <v>#REF!</v>
      </c>
      <c r="G1090" s="12" t="e">
        <f>'[4]#REF'!G1090</f>
        <v>#REF!</v>
      </c>
      <c r="H1090" s="31" t="e">
        <f>'[4]#REF'!I1090</f>
        <v>#REF!</v>
      </c>
      <c r="I1090" s="32" t="e">
        <f t="shared" si="44"/>
        <v>#REF!</v>
      </c>
    </row>
    <row r="1091" ht="15.75" spans="1:9">
      <c r="A1091" s="12" t="e">
        <f>'[4]#REF'!A1091</f>
        <v>#REF!</v>
      </c>
      <c r="B1091" s="12" t="e">
        <f>'[4]#REF'!B1091</f>
        <v>#REF!</v>
      </c>
      <c r="C1091" s="31" t="e">
        <f>'[4]#REF'!D1091</f>
        <v>#REF!</v>
      </c>
      <c r="D1091" s="32" t="e">
        <f t="shared" si="43"/>
        <v>#REF!</v>
      </c>
      <c r="F1091" s="12" t="e">
        <f>'[4]#REF'!F1091</f>
        <v>#REF!</v>
      </c>
      <c r="G1091" s="12" t="e">
        <f>'[4]#REF'!G1091</f>
        <v>#REF!</v>
      </c>
      <c r="H1091" s="31" t="e">
        <f>'[4]#REF'!I1091</f>
        <v>#REF!</v>
      </c>
      <c r="I1091" s="32" t="e">
        <f t="shared" si="44"/>
        <v>#REF!</v>
      </c>
    </row>
    <row r="1092" ht="15.75" spans="1:9">
      <c r="A1092" s="12" t="e">
        <f>'[4]#REF'!A1092</f>
        <v>#REF!</v>
      </c>
      <c r="B1092" s="12" t="e">
        <f>'[4]#REF'!B1092</f>
        <v>#REF!</v>
      </c>
      <c r="C1092" s="31" t="e">
        <f>'[4]#REF'!D1092</f>
        <v>#REF!</v>
      </c>
      <c r="D1092" s="32" t="e">
        <f t="shared" si="43"/>
        <v>#REF!</v>
      </c>
      <c r="F1092" s="12" t="e">
        <f>'[4]#REF'!F1092</f>
        <v>#REF!</v>
      </c>
      <c r="G1092" s="12" t="e">
        <f>'[4]#REF'!G1092</f>
        <v>#REF!</v>
      </c>
      <c r="H1092" s="31" t="e">
        <f>'[4]#REF'!I1092</f>
        <v>#REF!</v>
      </c>
      <c r="I1092" s="32" t="e">
        <f t="shared" si="44"/>
        <v>#REF!</v>
      </c>
    </row>
    <row r="1093" ht="15.75" spans="1:9">
      <c r="A1093" s="12" t="e">
        <f>'[4]#REF'!A1093</f>
        <v>#REF!</v>
      </c>
      <c r="B1093" s="12" t="e">
        <f>'[4]#REF'!B1093</f>
        <v>#REF!</v>
      </c>
      <c r="C1093" s="31" t="e">
        <f>'[4]#REF'!D1093</f>
        <v>#REF!</v>
      </c>
      <c r="D1093" s="32" t="e">
        <f t="shared" si="43"/>
        <v>#REF!</v>
      </c>
      <c r="F1093" s="12" t="e">
        <f>'[4]#REF'!F1093</f>
        <v>#REF!</v>
      </c>
      <c r="G1093" s="12" t="e">
        <f>'[4]#REF'!G1093</f>
        <v>#REF!</v>
      </c>
      <c r="H1093" s="31" t="e">
        <f>'[4]#REF'!I1093</f>
        <v>#REF!</v>
      </c>
      <c r="I1093" s="32" t="e">
        <f t="shared" si="44"/>
        <v>#REF!</v>
      </c>
    </row>
    <row r="1094" ht="15.75" spans="1:9">
      <c r="A1094" s="12" t="e">
        <f>'[4]#REF'!A1094</f>
        <v>#REF!</v>
      </c>
      <c r="B1094" s="12" t="e">
        <f>'[4]#REF'!B1094</f>
        <v>#REF!</v>
      </c>
      <c r="C1094" s="31" t="e">
        <f>'[4]#REF'!D1094</f>
        <v>#REF!</v>
      </c>
      <c r="D1094" s="32" t="e">
        <f t="shared" ref="D1094:D1157" si="45">ROUND(C1094/$D$4*100,2)</f>
        <v>#REF!</v>
      </c>
      <c r="F1094" s="12" t="e">
        <f>'[4]#REF'!F1094</f>
        <v>#REF!</v>
      </c>
      <c r="G1094" s="12" t="e">
        <f>'[4]#REF'!G1094</f>
        <v>#REF!</v>
      </c>
      <c r="H1094" s="31" t="e">
        <f>'[4]#REF'!I1094</f>
        <v>#REF!</v>
      </c>
      <c r="I1094" s="32" t="e">
        <f t="shared" ref="I1094:I1157" si="46">ROUND(H1094/$I$4*100,2)</f>
        <v>#REF!</v>
      </c>
    </row>
    <row r="1095" ht="15.75" spans="1:9">
      <c r="A1095" s="12" t="e">
        <f>'[4]#REF'!A1095</f>
        <v>#REF!</v>
      </c>
      <c r="B1095" s="12" t="e">
        <f>'[4]#REF'!B1095</f>
        <v>#REF!</v>
      </c>
      <c r="C1095" s="31" t="e">
        <f>'[4]#REF'!D1095</f>
        <v>#REF!</v>
      </c>
      <c r="D1095" s="32" t="e">
        <f t="shared" si="45"/>
        <v>#REF!</v>
      </c>
      <c r="F1095" s="12" t="e">
        <f>'[4]#REF'!F1095</f>
        <v>#REF!</v>
      </c>
      <c r="G1095" s="12" t="e">
        <f>'[4]#REF'!G1095</f>
        <v>#REF!</v>
      </c>
      <c r="H1095" s="31" t="e">
        <f>'[4]#REF'!I1095</f>
        <v>#REF!</v>
      </c>
      <c r="I1095" s="32" t="e">
        <f t="shared" si="46"/>
        <v>#REF!</v>
      </c>
    </row>
    <row r="1096" ht="15.75" spans="1:9">
      <c r="A1096" s="12" t="e">
        <f>'[4]#REF'!A1096</f>
        <v>#REF!</v>
      </c>
      <c r="B1096" s="12" t="e">
        <f>'[4]#REF'!B1096</f>
        <v>#REF!</v>
      </c>
      <c r="C1096" s="31" t="e">
        <f>'[4]#REF'!D1096</f>
        <v>#REF!</v>
      </c>
      <c r="D1096" s="32" t="e">
        <f t="shared" si="45"/>
        <v>#REF!</v>
      </c>
      <c r="F1096" s="12" t="e">
        <f>'[4]#REF'!F1096</f>
        <v>#REF!</v>
      </c>
      <c r="G1096" s="12" t="e">
        <f>'[4]#REF'!G1096</f>
        <v>#REF!</v>
      </c>
      <c r="H1096" s="31" t="e">
        <f>'[4]#REF'!I1096</f>
        <v>#REF!</v>
      </c>
      <c r="I1096" s="32" t="e">
        <f t="shared" si="46"/>
        <v>#REF!</v>
      </c>
    </row>
    <row r="1097" ht="15.75" spans="1:9">
      <c r="A1097" s="12" t="e">
        <f>'[4]#REF'!A1097</f>
        <v>#REF!</v>
      </c>
      <c r="B1097" s="12" t="e">
        <f>'[4]#REF'!B1097</f>
        <v>#REF!</v>
      </c>
      <c r="C1097" s="31" t="e">
        <f>'[4]#REF'!D1097</f>
        <v>#REF!</v>
      </c>
      <c r="D1097" s="32" t="e">
        <f t="shared" si="45"/>
        <v>#REF!</v>
      </c>
      <c r="F1097" s="12" t="e">
        <f>'[4]#REF'!F1097</f>
        <v>#REF!</v>
      </c>
      <c r="G1097" s="12" t="e">
        <f>'[4]#REF'!G1097</f>
        <v>#REF!</v>
      </c>
      <c r="H1097" s="31" t="e">
        <f>'[4]#REF'!I1097</f>
        <v>#REF!</v>
      </c>
      <c r="I1097" s="32" t="e">
        <f t="shared" si="46"/>
        <v>#REF!</v>
      </c>
    </row>
    <row r="1098" ht="15.75" spans="1:9">
      <c r="A1098" s="12" t="e">
        <f>'[4]#REF'!A1098</f>
        <v>#REF!</v>
      </c>
      <c r="B1098" s="12" t="e">
        <f>'[4]#REF'!B1098</f>
        <v>#REF!</v>
      </c>
      <c r="C1098" s="31" t="e">
        <f>'[4]#REF'!D1098</f>
        <v>#REF!</v>
      </c>
      <c r="D1098" s="32" t="e">
        <f t="shared" si="45"/>
        <v>#REF!</v>
      </c>
      <c r="F1098" s="12" t="e">
        <f>'[4]#REF'!F1098</f>
        <v>#REF!</v>
      </c>
      <c r="G1098" s="12" t="e">
        <f>'[4]#REF'!G1098</f>
        <v>#REF!</v>
      </c>
      <c r="H1098" s="31" t="e">
        <f>'[4]#REF'!I1098</f>
        <v>#REF!</v>
      </c>
      <c r="I1098" s="32" t="e">
        <f t="shared" si="46"/>
        <v>#REF!</v>
      </c>
    </row>
    <row r="1099" ht="15.75" spans="1:9">
      <c r="A1099" s="12" t="e">
        <f>'[4]#REF'!A1099</f>
        <v>#REF!</v>
      </c>
      <c r="B1099" s="12" t="e">
        <f>'[4]#REF'!B1099</f>
        <v>#REF!</v>
      </c>
      <c r="C1099" s="31" t="e">
        <f>'[4]#REF'!D1099</f>
        <v>#REF!</v>
      </c>
      <c r="D1099" s="32" t="e">
        <f t="shared" si="45"/>
        <v>#REF!</v>
      </c>
      <c r="F1099" s="12" t="e">
        <f>'[4]#REF'!F1099</f>
        <v>#REF!</v>
      </c>
      <c r="G1099" s="12" t="e">
        <f>'[4]#REF'!G1099</f>
        <v>#REF!</v>
      </c>
      <c r="H1099" s="31" t="e">
        <f>'[4]#REF'!I1099</f>
        <v>#REF!</v>
      </c>
      <c r="I1099" s="32" t="e">
        <f t="shared" si="46"/>
        <v>#REF!</v>
      </c>
    </row>
    <row r="1100" ht="15.75" spans="1:9">
      <c r="A1100" s="12" t="e">
        <f>'[4]#REF'!A1100</f>
        <v>#REF!</v>
      </c>
      <c r="B1100" s="12" t="e">
        <f>'[4]#REF'!B1100</f>
        <v>#REF!</v>
      </c>
      <c r="C1100" s="31" t="e">
        <f>'[4]#REF'!D1100</f>
        <v>#REF!</v>
      </c>
      <c r="D1100" s="32" t="e">
        <f t="shared" si="45"/>
        <v>#REF!</v>
      </c>
      <c r="F1100" s="12" t="e">
        <f>'[4]#REF'!F1100</f>
        <v>#REF!</v>
      </c>
      <c r="G1100" s="12" t="e">
        <f>'[4]#REF'!G1100</f>
        <v>#REF!</v>
      </c>
      <c r="H1100" s="31" t="e">
        <f>'[4]#REF'!I1100</f>
        <v>#REF!</v>
      </c>
      <c r="I1100" s="32" t="e">
        <f t="shared" si="46"/>
        <v>#REF!</v>
      </c>
    </row>
    <row r="1101" ht="15.75" spans="1:9">
      <c r="A1101" s="12" t="e">
        <f>'[4]#REF'!A1101</f>
        <v>#REF!</v>
      </c>
      <c r="B1101" s="12" t="e">
        <f>'[4]#REF'!B1101</f>
        <v>#REF!</v>
      </c>
      <c r="C1101" s="31" t="e">
        <f>'[4]#REF'!D1101</f>
        <v>#REF!</v>
      </c>
      <c r="D1101" s="32" t="e">
        <f t="shared" si="45"/>
        <v>#REF!</v>
      </c>
      <c r="F1101" s="12" t="e">
        <f>'[4]#REF'!F1101</f>
        <v>#REF!</v>
      </c>
      <c r="G1101" s="12" t="e">
        <f>'[4]#REF'!G1101</f>
        <v>#REF!</v>
      </c>
      <c r="H1101" s="31" t="e">
        <f>'[4]#REF'!I1101</f>
        <v>#REF!</v>
      </c>
      <c r="I1101" s="32" t="e">
        <f t="shared" si="46"/>
        <v>#REF!</v>
      </c>
    </row>
    <row r="1102" ht="15.75" spans="1:9">
      <c r="A1102" s="12" t="e">
        <f>'[4]#REF'!A1102</f>
        <v>#REF!</v>
      </c>
      <c r="B1102" s="12" t="e">
        <f>'[4]#REF'!B1102</f>
        <v>#REF!</v>
      </c>
      <c r="C1102" s="31" t="e">
        <f>'[4]#REF'!D1102</f>
        <v>#REF!</v>
      </c>
      <c r="D1102" s="32" t="e">
        <f t="shared" si="45"/>
        <v>#REF!</v>
      </c>
      <c r="F1102" s="12" t="e">
        <f>'[4]#REF'!F1102</f>
        <v>#REF!</v>
      </c>
      <c r="G1102" s="12" t="e">
        <f>'[4]#REF'!G1102</f>
        <v>#REF!</v>
      </c>
      <c r="H1102" s="31" t="e">
        <f>'[4]#REF'!I1102</f>
        <v>#REF!</v>
      </c>
      <c r="I1102" s="32" t="e">
        <f t="shared" si="46"/>
        <v>#REF!</v>
      </c>
    </row>
    <row r="1103" ht="15.75" spans="1:9">
      <c r="A1103" s="12" t="e">
        <f>'[4]#REF'!A1103</f>
        <v>#REF!</v>
      </c>
      <c r="B1103" s="12" t="e">
        <f>'[4]#REF'!B1103</f>
        <v>#REF!</v>
      </c>
      <c r="C1103" s="31" t="e">
        <f>'[4]#REF'!D1103</f>
        <v>#REF!</v>
      </c>
      <c r="D1103" s="32" t="e">
        <f t="shared" si="45"/>
        <v>#REF!</v>
      </c>
      <c r="F1103" s="12" t="e">
        <f>'[4]#REF'!F1103</f>
        <v>#REF!</v>
      </c>
      <c r="G1103" s="12" t="e">
        <f>'[4]#REF'!G1103</f>
        <v>#REF!</v>
      </c>
      <c r="H1103" s="31" t="e">
        <f>'[4]#REF'!I1103</f>
        <v>#REF!</v>
      </c>
      <c r="I1103" s="32" t="e">
        <f t="shared" si="46"/>
        <v>#REF!</v>
      </c>
    </row>
    <row r="1104" ht="15.75" spans="1:9">
      <c r="A1104" s="12" t="e">
        <f>'[4]#REF'!A1104</f>
        <v>#REF!</v>
      </c>
      <c r="B1104" s="12" t="e">
        <f>'[4]#REF'!B1104</f>
        <v>#REF!</v>
      </c>
      <c r="C1104" s="31" t="e">
        <f>'[4]#REF'!D1104</f>
        <v>#REF!</v>
      </c>
      <c r="D1104" s="32" t="e">
        <f t="shared" si="45"/>
        <v>#REF!</v>
      </c>
      <c r="F1104" s="12" t="e">
        <f>'[4]#REF'!F1104</f>
        <v>#REF!</v>
      </c>
      <c r="G1104" s="12" t="e">
        <f>'[4]#REF'!G1104</f>
        <v>#REF!</v>
      </c>
      <c r="H1104" s="31" t="e">
        <f>'[4]#REF'!I1104</f>
        <v>#REF!</v>
      </c>
      <c r="I1104" s="32" t="e">
        <f t="shared" si="46"/>
        <v>#REF!</v>
      </c>
    </row>
    <row r="1105" ht="15.75" spans="1:9">
      <c r="A1105" s="12" t="e">
        <f>'[4]#REF'!A1105</f>
        <v>#REF!</v>
      </c>
      <c r="B1105" s="12" t="e">
        <f>'[4]#REF'!B1105</f>
        <v>#REF!</v>
      </c>
      <c r="C1105" s="31" t="e">
        <f>'[4]#REF'!D1105</f>
        <v>#REF!</v>
      </c>
      <c r="D1105" s="32" t="e">
        <f t="shared" si="45"/>
        <v>#REF!</v>
      </c>
      <c r="F1105" s="12" t="e">
        <f>'[4]#REF'!F1105</f>
        <v>#REF!</v>
      </c>
      <c r="G1105" s="12" t="e">
        <f>'[4]#REF'!G1105</f>
        <v>#REF!</v>
      </c>
      <c r="H1105" s="31" t="e">
        <f>'[4]#REF'!I1105</f>
        <v>#REF!</v>
      </c>
      <c r="I1105" s="32" t="e">
        <f t="shared" si="46"/>
        <v>#REF!</v>
      </c>
    </row>
    <row r="1106" ht="15.75" spans="1:9">
      <c r="A1106" s="12" t="e">
        <f>'[4]#REF'!A1106</f>
        <v>#REF!</v>
      </c>
      <c r="B1106" s="12" t="e">
        <f>'[4]#REF'!B1106</f>
        <v>#REF!</v>
      </c>
      <c r="C1106" s="31" t="e">
        <f>'[4]#REF'!D1106</f>
        <v>#REF!</v>
      </c>
      <c r="D1106" s="32" t="e">
        <f t="shared" si="45"/>
        <v>#REF!</v>
      </c>
      <c r="F1106" s="12" t="e">
        <f>'[4]#REF'!F1106</f>
        <v>#REF!</v>
      </c>
      <c r="G1106" s="12" t="e">
        <f>'[4]#REF'!G1106</f>
        <v>#REF!</v>
      </c>
      <c r="H1106" s="31" t="e">
        <f>'[4]#REF'!I1106</f>
        <v>#REF!</v>
      </c>
      <c r="I1106" s="32" t="e">
        <f t="shared" si="46"/>
        <v>#REF!</v>
      </c>
    </row>
    <row r="1107" ht="15.75" spans="1:9">
      <c r="A1107" s="12" t="e">
        <f>'[4]#REF'!A1107</f>
        <v>#REF!</v>
      </c>
      <c r="B1107" s="12" t="e">
        <f>'[4]#REF'!B1107</f>
        <v>#REF!</v>
      </c>
      <c r="C1107" s="31" t="e">
        <f>'[4]#REF'!D1107</f>
        <v>#REF!</v>
      </c>
      <c r="D1107" s="32" t="e">
        <f t="shared" si="45"/>
        <v>#REF!</v>
      </c>
      <c r="F1107" s="12" t="e">
        <f>'[4]#REF'!F1107</f>
        <v>#REF!</v>
      </c>
      <c r="G1107" s="12" t="e">
        <f>'[4]#REF'!G1107</f>
        <v>#REF!</v>
      </c>
      <c r="H1107" s="31" t="e">
        <f>'[4]#REF'!I1107</f>
        <v>#REF!</v>
      </c>
      <c r="I1107" s="32" t="e">
        <f t="shared" si="46"/>
        <v>#REF!</v>
      </c>
    </row>
    <row r="1108" ht="15.75" spans="1:9">
      <c r="A1108" s="12" t="e">
        <f>'[4]#REF'!A1108</f>
        <v>#REF!</v>
      </c>
      <c r="B1108" s="12" t="e">
        <f>'[4]#REF'!B1108</f>
        <v>#REF!</v>
      </c>
      <c r="C1108" s="31" t="e">
        <f>'[4]#REF'!D1108</f>
        <v>#REF!</v>
      </c>
      <c r="D1108" s="32" t="e">
        <f t="shared" si="45"/>
        <v>#REF!</v>
      </c>
      <c r="F1108" s="12" t="e">
        <f>'[4]#REF'!F1108</f>
        <v>#REF!</v>
      </c>
      <c r="G1108" s="12" t="e">
        <f>'[4]#REF'!G1108</f>
        <v>#REF!</v>
      </c>
      <c r="H1108" s="31" t="e">
        <f>'[4]#REF'!I1108</f>
        <v>#REF!</v>
      </c>
      <c r="I1108" s="32" t="e">
        <f t="shared" si="46"/>
        <v>#REF!</v>
      </c>
    </row>
    <row r="1109" ht="15.75" spans="1:9">
      <c r="A1109" s="12" t="e">
        <f>'[4]#REF'!A1109</f>
        <v>#REF!</v>
      </c>
      <c r="B1109" s="12" t="e">
        <f>'[4]#REF'!B1109</f>
        <v>#REF!</v>
      </c>
      <c r="C1109" s="31" t="e">
        <f>'[4]#REF'!D1109</f>
        <v>#REF!</v>
      </c>
      <c r="D1109" s="32" t="e">
        <f t="shared" si="45"/>
        <v>#REF!</v>
      </c>
      <c r="F1109" s="12" t="e">
        <f>'[4]#REF'!F1109</f>
        <v>#REF!</v>
      </c>
      <c r="G1109" s="12" t="e">
        <f>'[4]#REF'!G1109</f>
        <v>#REF!</v>
      </c>
      <c r="H1109" s="31" t="e">
        <f>'[4]#REF'!I1109</f>
        <v>#REF!</v>
      </c>
      <c r="I1109" s="32" t="e">
        <f t="shared" si="46"/>
        <v>#REF!</v>
      </c>
    </row>
    <row r="1110" ht="15.75" spans="1:9">
      <c r="A1110" s="12" t="e">
        <f>'[4]#REF'!A1110</f>
        <v>#REF!</v>
      </c>
      <c r="B1110" s="12" t="e">
        <f>'[4]#REF'!B1110</f>
        <v>#REF!</v>
      </c>
      <c r="C1110" s="31" t="e">
        <f>'[4]#REF'!D1110</f>
        <v>#REF!</v>
      </c>
      <c r="D1110" s="32" t="e">
        <f t="shared" si="45"/>
        <v>#REF!</v>
      </c>
      <c r="F1110" s="12" t="e">
        <f>'[4]#REF'!F1110</f>
        <v>#REF!</v>
      </c>
      <c r="G1110" s="12" t="e">
        <f>'[4]#REF'!G1110</f>
        <v>#REF!</v>
      </c>
      <c r="H1110" s="31" t="e">
        <f>'[4]#REF'!I1110</f>
        <v>#REF!</v>
      </c>
      <c r="I1110" s="32" t="e">
        <f t="shared" si="46"/>
        <v>#REF!</v>
      </c>
    </row>
    <row r="1111" ht="15.75" spans="1:9">
      <c r="A1111" s="12" t="e">
        <f>'[4]#REF'!A1111</f>
        <v>#REF!</v>
      </c>
      <c r="B1111" s="12" t="e">
        <f>'[4]#REF'!B1111</f>
        <v>#REF!</v>
      </c>
      <c r="C1111" s="31" t="e">
        <f>'[4]#REF'!D1111</f>
        <v>#REF!</v>
      </c>
      <c r="D1111" s="32" t="e">
        <f t="shared" si="45"/>
        <v>#REF!</v>
      </c>
      <c r="F1111" s="12" t="e">
        <f>'[4]#REF'!F1111</f>
        <v>#REF!</v>
      </c>
      <c r="G1111" s="12" t="e">
        <f>'[4]#REF'!G1111</f>
        <v>#REF!</v>
      </c>
      <c r="H1111" s="31" t="e">
        <f>'[4]#REF'!I1111</f>
        <v>#REF!</v>
      </c>
      <c r="I1111" s="32" t="e">
        <f t="shared" si="46"/>
        <v>#REF!</v>
      </c>
    </row>
    <row r="1112" ht="15.75" spans="1:9">
      <c r="A1112" s="12" t="e">
        <f>'[4]#REF'!A1112</f>
        <v>#REF!</v>
      </c>
      <c r="B1112" s="12" t="e">
        <f>'[4]#REF'!B1112</f>
        <v>#REF!</v>
      </c>
      <c r="C1112" s="31" t="e">
        <f>'[4]#REF'!D1112</f>
        <v>#REF!</v>
      </c>
      <c r="D1112" s="32" t="e">
        <f t="shared" si="45"/>
        <v>#REF!</v>
      </c>
      <c r="F1112" s="12" t="e">
        <f>'[4]#REF'!F1112</f>
        <v>#REF!</v>
      </c>
      <c r="G1112" s="12" t="e">
        <f>'[4]#REF'!G1112</f>
        <v>#REF!</v>
      </c>
      <c r="H1112" s="31" t="e">
        <f>'[4]#REF'!I1112</f>
        <v>#REF!</v>
      </c>
      <c r="I1112" s="32" t="e">
        <f t="shared" si="46"/>
        <v>#REF!</v>
      </c>
    </row>
    <row r="1113" ht="15.75" spans="1:9">
      <c r="A1113" s="12" t="e">
        <f>'[4]#REF'!A1113</f>
        <v>#REF!</v>
      </c>
      <c r="B1113" s="12" t="e">
        <f>'[4]#REF'!B1113</f>
        <v>#REF!</v>
      </c>
      <c r="C1113" s="31" t="e">
        <f>'[4]#REF'!D1113</f>
        <v>#REF!</v>
      </c>
      <c r="D1113" s="32" t="e">
        <f t="shared" si="45"/>
        <v>#REF!</v>
      </c>
      <c r="F1113" s="12" t="e">
        <f>'[4]#REF'!F1113</f>
        <v>#REF!</v>
      </c>
      <c r="G1113" s="12" t="e">
        <f>'[4]#REF'!G1113</f>
        <v>#REF!</v>
      </c>
      <c r="H1113" s="31" t="e">
        <f>'[4]#REF'!I1113</f>
        <v>#REF!</v>
      </c>
      <c r="I1113" s="32" t="e">
        <f t="shared" si="46"/>
        <v>#REF!</v>
      </c>
    </row>
    <row r="1114" ht="15.75" spans="1:9">
      <c r="A1114" s="12" t="e">
        <f>'[4]#REF'!A1114</f>
        <v>#REF!</v>
      </c>
      <c r="B1114" s="12" t="e">
        <f>'[4]#REF'!B1114</f>
        <v>#REF!</v>
      </c>
      <c r="C1114" s="31" t="e">
        <f>'[4]#REF'!D1114</f>
        <v>#REF!</v>
      </c>
      <c r="D1114" s="32" t="e">
        <f t="shared" si="45"/>
        <v>#REF!</v>
      </c>
      <c r="F1114" s="12" t="e">
        <f>'[4]#REF'!F1114</f>
        <v>#REF!</v>
      </c>
      <c r="G1114" s="12" t="e">
        <f>'[4]#REF'!G1114</f>
        <v>#REF!</v>
      </c>
      <c r="H1114" s="31" t="e">
        <f>'[4]#REF'!I1114</f>
        <v>#REF!</v>
      </c>
      <c r="I1114" s="32" t="e">
        <f t="shared" si="46"/>
        <v>#REF!</v>
      </c>
    </row>
    <row r="1115" ht="15.75" spans="1:9">
      <c r="A1115" s="12" t="e">
        <f>'[4]#REF'!A1115</f>
        <v>#REF!</v>
      </c>
      <c r="B1115" s="12" t="e">
        <f>'[4]#REF'!B1115</f>
        <v>#REF!</v>
      </c>
      <c r="C1115" s="31" t="e">
        <f>'[4]#REF'!D1115</f>
        <v>#REF!</v>
      </c>
      <c r="D1115" s="32" t="e">
        <f t="shared" si="45"/>
        <v>#REF!</v>
      </c>
      <c r="F1115" s="12" t="e">
        <f>'[4]#REF'!F1115</f>
        <v>#REF!</v>
      </c>
      <c r="G1115" s="12" t="e">
        <f>'[4]#REF'!G1115</f>
        <v>#REF!</v>
      </c>
      <c r="H1115" s="31" t="e">
        <f>'[4]#REF'!I1115</f>
        <v>#REF!</v>
      </c>
      <c r="I1115" s="32" t="e">
        <f t="shared" si="46"/>
        <v>#REF!</v>
      </c>
    </row>
    <row r="1116" ht="15.75" spans="1:9">
      <c r="A1116" s="12" t="e">
        <f>'[4]#REF'!A1116</f>
        <v>#REF!</v>
      </c>
      <c r="B1116" s="12" t="e">
        <f>'[4]#REF'!B1116</f>
        <v>#REF!</v>
      </c>
      <c r="C1116" s="31" t="e">
        <f>'[4]#REF'!D1116</f>
        <v>#REF!</v>
      </c>
      <c r="D1116" s="32" t="e">
        <f t="shared" si="45"/>
        <v>#REF!</v>
      </c>
      <c r="F1116" s="12" t="e">
        <f>'[4]#REF'!F1116</f>
        <v>#REF!</v>
      </c>
      <c r="G1116" s="12" t="e">
        <f>'[4]#REF'!G1116</f>
        <v>#REF!</v>
      </c>
      <c r="H1116" s="31" t="e">
        <f>'[4]#REF'!I1116</f>
        <v>#REF!</v>
      </c>
      <c r="I1116" s="32" t="e">
        <f t="shared" si="46"/>
        <v>#REF!</v>
      </c>
    </row>
    <row r="1117" ht="15.75" spans="1:9">
      <c r="A1117" s="12" t="e">
        <f>'[4]#REF'!A1117</f>
        <v>#REF!</v>
      </c>
      <c r="B1117" s="12" t="e">
        <f>'[4]#REF'!B1117</f>
        <v>#REF!</v>
      </c>
      <c r="C1117" s="31" t="e">
        <f>'[4]#REF'!D1117</f>
        <v>#REF!</v>
      </c>
      <c r="D1117" s="32" t="e">
        <f t="shared" si="45"/>
        <v>#REF!</v>
      </c>
      <c r="F1117" s="12" t="e">
        <f>'[4]#REF'!F1117</f>
        <v>#REF!</v>
      </c>
      <c r="G1117" s="12" t="e">
        <f>'[4]#REF'!G1117</f>
        <v>#REF!</v>
      </c>
      <c r="H1117" s="31" t="e">
        <f>'[4]#REF'!I1117</f>
        <v>#REF!</v>
      </c>
      <c r="I1117" s="32" t="e">
        <f t="shared" si="46"/>
        <v>#REF!</v>
      </c>
    </row>
    <row r="1118" ht="15.75" spans="1:9">
      <c r="A1118" s="12" t="e">
        <f>'[4]#REF'!A1118</f>
        <v>#REF!</v>
      </c>
      <c r="B1118" s="12" t="e">
        <f>'[4]#REF'!B1118</f>
        <v>#REF!</v>
      </c>
      <c r="C1118" s="31" t="e">
        <f>'[4]#REF'!D1118</f>
        <v>#REF!</v>
      </c>
      <c r="D1118" s="32" t="e">
        <f t="shared" si="45"/>
        <v>#REF!</v>
      </c>
      <c r="F1118" s="12" t="e">
        <f>'[4]#REF'!F1118</f>
        <v>#REF!</v>
      </c>
      <c r="G1118" s="12" t="e">
        <f>'[4]#REF'!G1118</f>
        <v>#REF!</v>
      </c>
      <c r="H1118" s="31" t="e">
        <f>'[4]#REF'!I1118</f>
        <v>#REF!</v>
      </c>
      <c r="I1118" s="32" t="e">
        <f t="shared" si="46"/>
        <v>#REF!</v>
      </c>
    </row>
    <row r="1119" ht="15.75" spans="1:9">
      <c r="A1119" s="12" t="e">
        <f>'[4]#REF'!A1119</f>
        <v>#REF!</v>
      </c>
      <c r="B1119" s="12" t="e">
        <f>'[4]#REF'!B1119</f>
        <v>#REF!</v>
      </c>
      <c r="C1119" s="31" t="e">
        <f>'[4]#REF'!D1119</f>
        <v>#REF!</v>
      </c>
      <c r="D1119" s="32" t="e">
        <f t="shared" si="45"/>
        <v>#REF!</v>
      </c>
      <c r="F1119" s="12" t="e">
        <f>'[4]#REF'!F1119</f>
        <v>#REF!</v>
      </c>
      <c r="G1119" s="12" t="e">
        <f>'[4]#REF'!G1119</f>
        <v>#REF!</v>
      </c>
      <c r="H1119" s="31" t="e">
        <f>'[4]#REF'!I1119</f>
        <v>#REF!</v>
      </c>
      <c r="I1119" s="32" t="e">
        <f t="shared" si="46"/>
        <v>#REF!</v>
      </c>
    </row>
    <row r="1120" ht="15.75" spans="1:9">
      <c r="A1120" s="12" t="e">
        <f>'[4]#REF'!A1120</f>
        <v>#REF!</v>
      </c>
      <c r="B1120" s="12" t="e">
        <f>'[4]#REF'!B1120</f>
        <v>#REF!</v>
      </c>
      <c r="C1120" s="31" t="e">
        <f>'[4]#REF'!D1120</f>
        <v>#REF!</v>
      </c>
      <c r="D1120" s="32" t="e">
        <f t="shared" si="45"/>
        <v>#REF!</v>
      </c>
      <c r="F1120" s="12" t="e">
        <f>'[4]#REF'!F1120</f>
        <v>#REF!</v>
      </c>
      <c r="G1120" s="12" t="e">
        <f>'[4]#REF'!G1120</f>
        <v>#REF!</v>
      </c>
      <c r="H1120" s="31" t="e">
        <f>'[4]#REF'!I1120</f>
        <v>#REF!</v>
      </c>
      <c r="I1120" s="32" t="e">
        <f t="shared" si="46"/>
        <v>#REF!</v>
      </c>
    </row>
    <row r="1121" ht="15.75" spans="1:9">
      <c r="A1121" s="12" t="e">
        <f>'[4]#REF'!A1121</f>
        <v>#REF!</v>
      </c>
      <c r="B1121" s="12" t="e">
        <f>'[4]#REF'!B1121</f>
        <v>#REF!</v>
      </c>
      <c r="C1121" s="31" t="e">
        <f>'[4]#REF'!D1121</f>
        <v>#REF!</v>
      </c>
      <c r="D1121" s="32" t="e">
        <f t="shared" si="45"/>
        <v>#REF!</v>
      </c>
      <c r="F1121" s="12" t="e">
        <f>'[4]#REF'!F1121</f>
        <v>#REF!</v>
      </c>
      <c r="G1121" s="12" t="e">
        <f>'[4]#REF'!G1121</f>
        <v>#REF!</v>
      </c>
      <c r="H1121" s="31" t="e">
        <f>'[4]#REF'!I1121</f>
        <v>#REF!</v>
      </c>
      <c r="I1121" s="32" t="e">
        <f t="shared" si="46"/>
        <v>#REF!</v>
      </c>
    </row>
    <row r="1122" ht="15.75" spans="1:9">
      <c r="A1122" s="12" t="e">
        <f>'[4]#REF'!A1122</f>
        <v>#REF!</v>
      </c>
      <c r="B1122" s="12" t="e">
        <f>'[4]#REF'!B1122</f>
        <v>#REF!</v>
      </c>
      <c r="C1122" s="31" t="e">
        <f>'[4]#REF'!D1122</f>
        <v>#REF!</v>
      </c>
      <c r="D1122" s="32" t="e">
        <f t="shared" si="45"/>
        <v>#REF!</v>
      </c>
      <c r="F1122" s="12" t="e">
        <f>'[4]#REF'!F1122</f>
        <v>#REF!</v>
      </c>
      <c r="G1122" s="12" t="e">
        <f>'[4]#REF'!G1122</f>
        <v>#REF!</v>
      </c>
      <c r="H1122" s="31" t="e">
        <f>'[4]#REF'!I1122</f>
        <v>#REF!</v>
      </c>
      <c r="I1122" s="32" t="e">
        <f t="shared" si="46"/>
        <v>#REF!</v>
      </c>
    </row>
    <row r="1123" ht="15.75" spans="1:9">
      <c r="A1123" s="12" t="e">
        <f>'[4]#REF'!A1123</f>
        <v>#REF!</v>
      </c>
      <c r="B1123" s="12" t="e">
        <f>'[4]#REF'!B1123</f>
        <v>#REF!</v>
      </c>
      <c r="C1123" s="31" t="e">
        <f>'[4]#REF'!D1123</f>
        <v>#REF!</v>
      </c>
      <c r="D1123" s="32" t="e">
        <f t="shared" si="45"/>
        <v>#REF!</v>
      </c>
      <c r="F1123" s="12" t="e">
        <f>'[4]#REF'!F1123</f>
        <v>#REF!</v>
      </c>
      <c r="G1123" s="12" t="e">
        <f>'[4]#REF'!G1123</f>
        <v>#REF!</v>
      </c>
      <c r="H1123" s="31" t="e">
        <f>'[4]#REF'!I1123</f>
        <v>#REF!</v>
      </c>
      <c r="I1123" s="32" t="e">
        <f t="shared" si="46"/>
        <v>#REF!</v>
      </c>
    </row>
    <row r="1124" ht="15.75" spans="1:9">
      <c r="A1124" s="12" t="e">
        <f>'[4]#REF'!A1124</f>
        <v>#REF!</v>
      </c>
      <c r="B1124" s="12" t="e">
        <f>'[4]#REF'!B1124</f>
        <v>#REF!</v>
      </c>
      <c r="C1124" s="31" t="e">
        <f>'[4]#REF'!D1124</f>
        <v>#REF!</v>
      </c>
      <c r="D1124" s="32" t="e">
        <f t="shared" si="45"/>
        <v>#REF!</v>
      </c>
      <c r="F1124" s="12" t="e">
        <f>'[4]#REF'!F1124</f>
        <v>#REF!</v>
      </c>
      <c r="G1124" s="12" t="e">
        <f>'[4]#REF'!G1124</f>
        <v>#REF!</v>
      </c>
      <c r="H1124" s="31" t="e">
        <f>'[4]#REF'!I1124</f>
        <v>#REF!</v>
      </c>
      <c r="I1124" s="32" t="e">
        <f t="shared" si="46"/>
        <v>#REF!</v>
      </c>
    </row>
    <row r="1125" ht="15.75" spans="1:9">
      <c r="A1125" s="12" t="e">
        <f>'[4]#REF'!A1125</f>
        <v>#REF!</v>
      </c>
      <c r="B1125" s="12" t="e">
        <f>'[4]#REF'!B1125</f>
        <v>#REF!</v>
      </c>
      <c r="C1125" s="31" t="e">
        <f>'[4]#REF'!D1125</f>
        <v>#REF!</v>
      </c>
      <c r="D1125" s="32" t="e">
        <f t="shared" si="45"/>
        <v>#REF!</v>
      </c>
      <c r="F1125" s="12" t="e">
        <f>'[4]#REF'!F1125</f>
        <v>#REF!</v>
      </c>
      <c r="G1125" s="12" t="e">
        <f>'[4]#REF'!G1125</f>
        <v>#REF!</v>
      </c>
      <c r="H1125" s="31" t="e">
        <f>'[4]#REF'!I1125</f>
        <v>#REF!</v>
      </c>
      <c r="I1125" s="32" t="e">
        <f t="shared" si="46"/>
        <v>#REF!</v>
      </c>
    </row>
    <row r="1126" ht="15.75" spans="1:9">
      <c r="A1126" s="12" t="e">
        <f>'[4]#REF'!A1126</f>
        <v>#REF!</v>
      </c>
      <c r="B1126" s="12" t="e">
        <f>'[4]#REF'!B1126</f>
        <v>#REF!</v>
      </c>
      <c r="C1126" s="31" t="e">
        <f>'[4]#REF'!D1126</f>
        <v>#REF!</v>
      </c>
      <c r="D1126" s="32" t="e">
        <f t="shared" si="45"/>
        <v>#REF!</v>
      </c>
      <c r="F1126" s="12" t="e">
        <f>'[4]#REF'!F1126</f>
        <v>#REF!</v>
      </c>
      <c r="G1126" s="12" t="e">
        <f>'[4]#REF'!G1126</f>
        <v>#REF!</v>
      </c>
      <c r="H1126" s="31" t="e">
        <f>'[4]#REF'!I1126</f>
        <v>#REF!</v>
      </c>
      <c r="I1126" s="32" t="e">
        <f t="shared" si="46"/>
        <v>#REF!</v>
      </c>
    </row>
    <row r="1127" ht="15.75" spans="1:9">
      <c r="A1127" s="12" t="e">
        <f>'[4]#REF'!A1127</f>
        <v>#REF!</v>
      </c>
      <c r="B1127" s="12" t="e">
        <f>'[4]#REF'!B1127</f>
        <v>#REF!</v>
      </c>
      <c r="C1127" s="31" t="e">
        <f>'[4]#REF'!D1127</f>
        <v>#REF!</v>
      </c>
      <c r="D1127" s="32" t="e">
        <f t="shared" si="45"/>
        <v>#REF!</v>
      </c>
      <c r="F1127" s="12" t="e">
        <f>'[4]#REF'!F1127</f>
        <v>#REF!</v>
      </c>
      <c r="G1127" s="12" t="e">
        <f>'[4]#REF'!G1127</f>
        <v>#REF!</v>
      </c>
      <c r="H1127" s="31" t="e">
        <f>'[4]#REF'!I1127</f>
        <v>#REF!</v>
      </c>
      <c r="I1127" s="32" t="e">
        <f t="shared" si="46"/>
        <v>#REF!</v>
      </c>
    </row>
    <row r="1128" ht="15.75" spans="1:9">
      <c r="A1128" s="12" t="e">
        <f>'[4]#REF'!A1128</f>
        <v>#REF!</v>
      </c>
      <c r="B1128" s="12" t="e">
        <f>'[4]#REF'!B1128</f>
        <v>#REF!</v>
      </c>
      <c r="C1128" s="31" t="e">
        <f>'[4]#REF'!D1128</f>
        <v>#REF!</v>
      </c>
      <c r="D1128" s="32" t="e">
        <f t="shared" si="45"/>
        <v>#REF!</v>
      </c>
      <c r="F1128" s="12" t="e">
        <f>'[4]#REF'!F1128</f>
        <v>#REF!</v>
      </c>
      <c r="G1128" s="12" t="e">
        <f>'[4]#REF'!G1128</f>
        <v>#REF!</v>
      </c>
      <c r="H1128" s="31" t="e">
        <f>'[4]#REF'!I1128</f>
        <v>#REF!</v>
      </c>
      <c r="I1128" s="32" t="e">
        <f t="shared" si="46"/>
        <v>#REF!</v>
      </c>
    </row>
    <row r="1129" ht="15.75" spans="1:9">
      <c r="A1129" s="12" t="e">
        <f>'[4]#REF'!A1129</f>
        <v>#REF!</v>
      </c>
      <c r="B1129" s="12" t="e">
        <f>'[4]#REF'!B1129</f>
        <v>#REF!</v>
      </c>
      <c r="C1129" s="31" t="e">
        <f>'[4]#REF'!D1129</f>
        <v>#REF!</v>
      </c>
      <c r="D1129" s="32" t="e">
        <f t="shared" si="45"/>
        <v>#REF!</v>
      </c>
      <c r="F1129" s="12" t="e">
        <f>'[4]#REF'!F1129</f>
        <v>#REF!</v>
      </c>
      <c r="G1129" s="12" t="e">
        <f>'[4]#REF'!G1129</f>
        <v>#REF!</v>
      </c>
      <c r="H1129" s="31" t="e">
        <f>'[4]#REF'!I1129</f>
        <v>#REF!</v>
      </c>
      <c r="I1129" s="32" t="e">
        <f t="shared" si="46"/>
        <v>#REF!</v>
      </c>
    </row>
    <row r="1130" ht="15.75" spans="1:9">
      <c r="A1130" s="12" t="e">
        <f>'[4]#REF'!A1130</f>
        <v>#REF!</v>
      </c>
      <c r="B1130" s="12" t="e">
        <f>'[4]#REF'!B1130</f>
        <v>#REF!</v>
      </c>
      <c r="C1130" s="31" t="e">
        <f>'[4]#REF'!D1130</f>
        <v>#REF!</v>
      </c>
      <c r="D1130" s="32" t="e">
        <f t="shared" si="45"/>
        <v>#REF!</v>
      </c>
      <c r="F1130" s="12" t="e">
        <f>'[4]#REF'!F1130</f>
        <v>#REF!</v>
      </c>
      <c r="G1130" s="12" t="e">
        <f>'[4]#REF'!G1130</f>
        <v>#REF!</v>
      </c>
      <c r="H1130" s="31" t="e">
        <f>'[4]#REF'!I1130</f>
        <v>#REF!</v>
      </c>
      <c r="I1130" s="32" t="e">
        <f t="shared" si="46"/>
        <v>#REF!</v>
      </c>
    </row>
    <row r="1131" ht="15.75" spans="1:9">
      <c r="A1131" s="12" t="e">
        <f>'[4]#REF'!A1131</f>
        <v>#REF!</v>
      </c>
      <c r="B1131" s="12" t="e">
        <f>'[4]#REF'!B1131</f>
        <v>#REF!</v>
      </c>
      <c r="C1131" s="31" t="e">
        <f>'[4]#REF'!D1131</f>
        <v>#REF!</v>
      </c>
      <c r="D1131" s="32" t="e">
        <f t="shared" si="45"/>
        <v>#REF!</v>
      </c>
      <c r="F1131" s="12" t="e">
        <f>'[4]#REF'!F1131</f>
        <v>#REF!</v>
      </c>
      <c r="G1131" s="12" t="e">
        <f>'[4]#REF'!G1131</f>
        <v>#REF!</v>
      </c>
      <c r="H1131" s="31" t="e">
        <f>'[4]#REF'!I1131</f>
        <v>#REF!</v>
      </c>
      <c r="I1131" s="32" t="e">
        <f t="shared" si="46"/>
        <v>#REF!</v>
      </c>
    </row>
    <row r="1132" ht="15.75" spans="1:9">
      <c r="A1132" s="12" t="e">
        <f>'[4]#REF'!A1132</f>
        <v>#REF!</v>
      </c>
      <c r="B1132" s="12" t="e">
        <f>'[4]#REF'!B1132</f>
        <v>#REF!</v>
      </c>
      <c r="C1132" s="31" t="e">
        <f>'[4]#REF'!D1132</f>
        <v>#REF!</v>
      </c>
      <c r="D1132" s="32" t="e">
        <f t="shared" si="45"/>
        <v>#REF!</v>
      </c>
      <c r="F1132" s="12" t="e">
        <f>'[4]#REF'!F1132</f>
        <v>#REF!</v>
      </c>
      <c r="G1132" s="12" t="e">
        <f>'[4]#REF'!G1132</f>
        <v>#REF!</v>
      </c>
      <c r="H1132" s="31" t="e">
        <f>'[4]#REF'!I1132</f>
        <v>#REF!</v>
      </c>
      <c r="I1132" s="32" t="e">
        <f t="shared" si="46"/>
        <v>#REF!</v>
      </c>
    </row>
    <row r="1133" ht="15.75" spans="1:9">
      <c r="A1133" s="12" t="e">
        <f>'[4]#REF'!A1133</f>
        <v>#REF!</v>
      </c>
      <c r="B1133" s="12" t="e">
        <f>'[4]#REF'!B1133</f>
        <v>#REF!</v>
      </c>
      <c r="C1133" s="31" t="e">
        <f>'[4]#REF'!D1133</f>
        <v>#REF!</v>
      </c>
      <c r="D1133" s="32" t="e">
        <f t="shared" si="45"/>
        <v>#REF!</v>
      </c>
      <c r="F1133" s="12" t="e">
        <f>'[4]#REF'!F1133</f>
        <v>#REF!</v>
      </c>
      <c r="G1133" s="12" t="e">
        <f>'[4]#REF'!G1133</f>
        <v>#REF!</v>
      </c>
      <c r="H1133" s="31" t="e">
        <f>'[4]#REF'!I1133</f>
        <v>#REF!</v>
      </c>
      <c r="I1133" s="32" t="e">
        <f t="shared" si="46"/>
        <v>#REF!</v>
      </c>
    </row>
    <row r="1134" ht="15.75" spans="1:9">
      <c r="A1134" s="12" t="e">
        <f>'[4]#REF'!A1134</f>
        <v>#REF!</v>
      </c>
      <c r="B1134" s="12" t="e">
        <f>'[4]#REF'!B1134</f>
        <v>#REF!</v>
      </c>
      <c r="C1134" s="31" t="e">
        <f>'[4]#REF'!D1134</f>
        <v>#REF!</v>
      </c>
      <c r="D1134" s="32" t="e">
        <f t="shared" si="45"/>
        <v>#REF!</v>
      </c>
      <c r="F1134" s="12" t="e">
        <f>'[4]#REF'!F1134</f>
        <v>#REF!</v>
      </c>
      <c r="G1134" s="12" t="e">
        <f>'[4]#REF'!G1134</f>
        <v>#REF!</v>
      </c>
      <c r="H1134" s="31" t="e">
        <f>'[4]#REF'!I1134</f>
        <v>#REF!</v>
      </c>
      <c r="I1134" s="32" t="e">
        <f t="shared" si="46"/>
        <v>#REF!</v>
      </c>
    </row>
    <row r="1135" ht="15.75" spans="1:9">
      <c r="A1135" s="12" t="e">
        <f>'[4]#REF'!A1135</f>
        <v>#REF!</v>
      </c>
      <c r="B1135" s="12" t="e">
        <f>'[4]#REF'!B1135</f>
        <v>#REF!</v>
      </c>
      <c r="C1135" s="31" t="e">
        <f>'[4]#REF'!D1135</f>
        <v>#REF!</v>
      </c>
      <c r="D1135" s="32" t="e">
        <f t="shared" si="45"/>
        <v>#REF!</v>
      </c>
      <c r="F1135" s="12" t="e">
        <f>'[4]#REF'!F1135</f>
        <v>#REF!</v>
      </c>
      <c r="G1135" s="12" t="e">
        <f>'[4]#REF'!G1135</f>
        <v>#REF!</v>
      </c>
      <c r="H1135" s="31" t="e">
        <f>'[4]#REF'!I1135</f>
        <v>#REF!</v>
      </c>
      <c r="I1135" s="32" t="e">
        <f t="shared" si="46"/>
        <v>#REF!</v>
      </c>
    </row>
    <row r="1136" ht="15.75" spans="1:9">
      <c r="A1136" s="12" t="e">
        <f>'[4]#REF'!A1136</f>
        <v>#REF!</v>
      </c>
      <c r="B1136" s="12" t="e">
        <f>'[4]#REF'!B1136</f>
        <v>#REF!</v>
      </c>
      <c r="C1136" s="31" t="e">
        <f>'[4]#REF'!D1136</f>
        <v>#REF!</v>
      </c>
      <c r="D1136" s="32" t="e">
        <f t="shared" si="45"/>
        <v>#REF!</v>
      </c>
      <c r="F1136" s="12" t="e">
        <f>'[4]#REF'!F1136</f>
        <v>#REF!</v>
      </c>
      <c r="G1136" s="12" t="e">
        <f>'[4]#REF'!G1136</f>
        <v>#REF!</v>
      </c>
      <c r="H1136" s="31" t="e">
        <f>'[4]#REF'!I1136</f>
        <v>#REF!</v>
      </c>
      <c r="I1136" s="32" t="e">
        <f t="shared" si="46"/>
        <v>#REF!</v>
      </c>
    </row>
    <row r="1137" ht="15.75" spans="1:9">
      <c r="A1137" s="12" t="e">
        <f>'[4]#REF'!A1137</f>
        <v>#REF!</v>
      </c>
      <c r="B1137" s="12" t="e">
        <f>'[4]#REF'!B1137</f>
        <v>#REF!</v>
      </c>
      <c r="C1137" s="31" t="e">
        <f>'[4]#REF'!D1137</f>
        <v>#REF!</v>
      </c>
      <c r="D1137" s="32" t="e">
        <f t="shared" si="45"/>
        <v>#REF!</v>
      </c>
      <c r="F1137" s="12" t="e">
        <f>'[4]#REF'!F1137</f>
        <v>#REF!</v>
      </c>
      <c r="G1137" s="12" t="e">
        <f>'[4]#REF'!G1137</f>
        <v>#REF!</v>
      </c>
      <c r="H1137" s="31" t="e">
        <f>'[4]#REF'!I1137</f>
        <v>#REF!</v>
      </c>
      <c r="I1137" s="32" t="e">
        <f t="shared" si="46"/>
        <v>#REF!</v>
      </c>
    </row>
    <row r="1138" ht="15.75" spans="1:9">
      <c r="A1138" s="12" t="e">
        <f>'[4]#REF'!A1138</f>
        <v>#REF!</v>
      </c>
      <c r="B1138" s="12" t="e">
        <f>'[4]#REF'!B1138</f>
        <v>#REF!</v>
      </c>
      <c r="C1138" s="31" t="e">
        <f>'[4]#REF'!D1138</f>
        <v>#REF!</v>
      </c>
      <c r="D1138" s="32" t="e">
        <f t="shared" si="45"/>
        <v>#REF!</v>
      </c>
      <c r="F1138" s="12" t="e">
        <f>'[4]#REF'!F1138</f>
        <v>#REF!</v>
      </c>
      <c r="G1138" s="12" t="e">
        <f>'[4]#REF'!G1138</f>
        <v>#REF!</v>
      </c>
      <c r="H1138" s="31" t="e">
        <f>'[4]#REF'!I1138</f>
        <v>#REF!</v>
      </c>
      <c r="I1138" s="32" t="e">
        <f t="shared" si="46"/>
        <v>#REF!</v>
      </c>
    </row>
    <row r="1139" ht="15.75" spans="1:9">
      <c r="A1139" s="12" t="e">
        <f>'[4]#REF'!A1139</f>
        <v>#REF!</v>
      </c>
      <c r="B1139" s="12" t="e">
        <f>'[4]#REF'!B1139</f>
        <v>#REF!</v>
      </c>
      <c r="C1139" s="31" t="e">
        <f>'[4]#REF'!D1139</f>
        <v>#REF!</v>
      </c>
      <c r="D1139" s="32" t="e">
        <f t="shared" si="45"/>
        <v>#REF!</v>
      </c>
      <c r="F1139" s="12" t="e">
        <f>'[4]#REF'!F1139</f>
        <v>#REF!</v>
      </c>
      <c r="G1139" s="12" t="e">
        <f>'[4]#REF'!G1139</f>
        <v>#REF!</v>
      </c>
      <c r="H1139" s="31" t="e">
        <f>'[4]#REF'!I1139</f>
        <v>#REF!</v>
      </c>
      <c r="I1139" s="32" t="e">
        <f t="shared" si="46"/>
        <v>#REF!</v>
      </c>
    </row>
    <row r="1140" ht="15.75" spans="1:9">
      <c r="A1140" s="12" t="e">
        <f>'[4]#REF'!A1140</f>
        <v>#REF!</v>
      </c>
      <c r="B1140" s="12" t="e">
        <f>'[4]#REF'!B1140</f>
        <v>#REF!</v>
      </c>
      <c r="C1140" s="31" t="e">
        <f>'[4]#REF'!D1140</f>
        <v>#REF!</v>
      </c>
      <c r="D1140" s="32" t="e">
        <f t="shared" si="45"/>
        <v>#REF!</v>
      </c>
      <c r="F1140" s="12" t="e">
        <f>'[4]#REF'!F1140</f>
        <v>#REF!</v>
      </c>
      <c r="G1140" s="12" t="e">
        <f>'[4]#REF'!G1140</f>
        <v>#REF!</v>
      </c>
      <c r="H1140" s="31" t="e">
        <f>'[4]#REF'!I1140</f>
        <v>#REF!</v>
      </c>
      <c r="I1140" s="32" t="e">
        <f t="shared" si="46"/>
        <v>#REF!</v>
      </c>
    </row>
    <row r="1141" ht="15.75" spans="1:9">
      <c r="A1141" s="12" t="e">
        <f>'[4]#REF'!A1141</f>
        <v>#REF!</v>
      </c>
      <c r="B1141" s="12" t="e">
        <f>'[4]#REF'!B1141</f>
        <v>#REF!</v>
      </c>
      <c r="C1141" s="31" t="e">
        <f>'[4]#REF'!D1141</f>
        <v>#REF!</v>
      </c>
      <c r="D1141" s="32" t="e">
        <f t="shared" si="45"/>
        <v>#REF!</v>
      </c>
      <c r="F1141" s="12" t="e">
        <f>'[4]#REF'!F1141</f>
        <v>#REF!</v>
      </c>
      <c r="G1141" s="12" t="e">
        <f>'[4]#REF'!G1141</f>
        <v>#REF!</v>
      </c>
      <c r="H1141" s="31" t="e">
        <f>'[4]#REF'!I1141</f>
        <v>#REF!</v>
      </c>
      <c r="I1141" s="32" t="e">
        <f t="shared" si="46"/>
        <v>#REF!</v>
      </c>
    </row>
    <row r="1142" ht="15.75" spans="1:9">
      <c r="A1142" s="12" t="e">
        <f>'[4]#REF'!A1142</f>
        <v>#REF!</v>
      </c>
      <c r="B1142" s="12" t="e">
        <f>'[4]#REF'!B1142</f>
        <v>#REF!</v>
      </c>
      <c r="C1142" s="31" t="e">
        <f>'[4]#REF'!D1142</f>
        <v>#REF!</v>
      </c>
      <c r="D1142" s="32" t="e">
        <f t="shared" si="45"/>
        <v>#REF!</v>
      </c>
      <c r="F1142" s="12" t="e">
        <f>'[4]#REF'!F1142</f>
        <v>#REF!</v>
      </c>
      <c r="G1142" s="12" t="e">
        <f>'[4]#REF'!G1142</f>
        <v>#REF!</v>
      </c>
      <c r="H1142" s="31" t="e">
        <f>'[4]#REF'!I1142</f>
        <v>#REF!</v>
      </c>
      <c r="I1142" s="32" t="e">
        <f t="shared" si="46"/>
        <v>#REF!</v>
      </c>
    </row>
    <row r="1143" ht="15.75" spans="1:9">
      <c r="A1143" s="12" t="e">
        <f>'[4]#REF'!A1143</f>
        <v>#REF!</v>
      </c>
      <c r="B1143" s="12" t="e">
        <f>'[4]#REF'!B1143</f>
        <v>#REF!</v>
      </c>
      <c r="C1143" s="31" t="e">
        <f>'[4]#REF'!D1143</f>
        <v>#REF!</v>
      </c>
      <c r="D1143" s="32" t="e">
        <f t="shared" si="45"/>
        <v>#REF!</v>
      </c>
      <c r="F1143" s="12" t="e">
        <f>'[4]#REF'!F1143</f>
        <v>#REF!</v>
      </c>
      <c r="G1143" s="12" t="e">
        <f>'[4]#REF'!G1143</f>
        <v>#REF!</v>
      </c>
      <c r="H1143" s="31" t="e">
        <f>'[4]#REF'!I1143</f>
        <v>#REF!</v>
      </c>
      <c r="I1143" s="32" t="e">
        <f t="shared" si="46"/>
        <v>#REF!</v>
      </c>
    </row>
    <row r="1144" ht="15.75" spans="1:9">
      <c r="A1144" s="12" t="e">
        <f>'[4]#REF'!A1144</f>
        <v>#REF!</v>
      </c>
      <c r="B1144" s="12" t="e">
        <f>'[4]#REF'!B1144</f>
        <v>#REF!</v>
      </c>
      <c r="C1144" s="31" t="e">
        <f>'[4]#REF'!D1144</f>
        <v>#REF!</v>
      </c>
      <c r="D1144" s="32" t="e">
        <f t="shared" si="45"/>
        <v>#REF!</v>
      </c>
      <c r="F1144" s="12" t="e">
        <f>'[4]#REF'!F1144</f>
        <v>#REF!</v>
      </c>
      <c r="G1144" s="12" t="e">
        <f>'[4]#REF'!G1144</f>
        <v>#REF!</v>
      </c>
      <c r="H1144" s="31" t="e">
        <f>'[4]#REF'!I1144</f>
        <v>#REF!</v>
      </c>
      <c r="I1144" s="32" t="e">
        <f t="shared" si="46"/>
        <v>#REF!</v>
      </c>
    </row>
    <row r="1145" ht="15.75" spans="1:9">
      <c r="A1145" s="12" t="e">
        <f>'[4]#REF'!A1145</f>
        <v>#REF!</v>
      </c>
      <c r="B1145" s="12" t="e">
        <f>'[4]#REF'!B1145</f>
        <v>#REF!</v>
      </c>
      <c r="C1145" s="31" t="e">
        <f>'[4]#REF'!D1145</f>
        <v>#REF!</v>
      </c>
      <c r="D1145" s="32" t="e">
        <f t="shared" si="45"/>
        <v>#REF!</v>
      </c>
      <c r="F1145" s="12" t="e">
        <f>'[4]#REF'!F1145</f>
        <v>#REF!</v>
      </c>
      <c r="G1145" s="12" t="e">
        <f>'[4]#REF'!G1145</f>
        <v>#REF!</v>
      </c>
      <c r="H1145" s="31" t="e">
        <f>'[4]#REF'!I1145</f>
        <v>#REF!</v>
      </c>
      <c r="I1145" s="32" t="e">
        <f t="shared" si="46"/>
        <v>#REF!</v>
      </c>
    </row>
    <row r="1146" ht="15.75" spans="1:9">
      <c r="A1146" s="12" t="e">
        <f>'[4]#REF'!A1146</f>
        <v>#REF!</v>
      </c>
      <c r="B1146" s="12" t="e">
        <f>'[4]#REF'!B1146</f>
        <v>#REF!</v>
      </c>
      <c r="C1146" s="31" t="e">
        <f>'[4]#REF'!D1146</f>
        <v>#REF!</v>
      </c>
      <c r="D1146" s="32" t="e">
        <f t="shared" si="45"/>
        <v>#REF!</v>
      </c>
      <c r="F1146" s="12" t="e">
        <f>'[4]#REF'!F1146</f>
        <v>#REF!</v>
      </c>
      <c r="G1146" s="12" t="e">
        <f>'[4]#REF'!G1146</f>
        <v>#REF!</v>
      </c>
      <c r="H1146" s="31" t="e">
        <f>'[4]#REF'!I1146</f>
        <v>#REF!</v>
      </c>
      <c r="I1146" s="32" t="e">
        <f t="shared" si="46"/>
        <v>#REF!</v>
      </c>
    </row>
    <row r="1147" ht="15.75" spans="1:9">
      <c r="A1147" s="12" t="e">
        <f>'[4]#REF'!A1147</f>
        <v>#REF!</v>
      </c>
      <c r="B1147" s="12" t="e">
        <f>'[4]#REF'!B1147</f>
        <v>#REF!</v>
      </c>
      <c r="C1147" s="31" t="e">
        <f>'[4]#REF'!D1147</f>
        <v>#REF!</v>
      </c>
      <c r="D1147" s="32" t="e">
        <f t="shared" si="45"/>
        <v>#REF!</v>
      </c>
      <c r="F1147" s="12" t="e">
        <f>'[4]#REF'!F1147</f>
        <v>#REF!</v>
      </c>
      <c r="G1147" s="12" t="e">
        <f>'[4]#REF'!G1147</f>
        <v>#REF!</v>
      </c>
      <c r="H1147" s="31" t="e">
        <f>'[4]#REF'!I1147</f>
        <v>#REF!</v>
      </c>
      <c r="I1147" s="32" t="e">
        <f t="shared" si="46"/>
        <v>#REF!</v>
      </c>
    </row>
    <row r="1148" ht="15.75" spans="1:9">
      <c r="A1148" s="12" t="e">
        <f>'[4]#REF'!A1148</f>
        <v>#REF!</v>
      </c>
      <c r="B1148" s="12" t="e">
        <f>'[4]#REF'!B1148</f>
        <v>#REF!</v>
      </c>
      <c r="C1148" s="31" t="e">
        <f>'[4]#REF'!D1148</f>
        <v>#REF!</v>
      </c>
      <c r="D1148" s="32" t="e">
        <f t="shared" si="45"/>
        <v>#REF!</v>
      </c>
      <c r="F1148" s="12" t="e">
        <f>'[4]#REF'!F1148</f>
        <v>#REF!</v>
      </c>
      <c r="G1148" s="12" t="e">
        <f>'[4]#REF'!G1148</f>
        <v>#REF!</v>
      </c>
      <c r="H1148" s="31" t="e">
        <f>'[4]#REF'!I1148</f>
        <v>#REF!</v>
      </c>
      <c r="I1148" s="32" t="e">
        <f t="shared" si="46"/>
        <v>#REF!</v>
      </c>
    </row>
    <row r="1149" ht="15.75" spans="1:9">
      <c r="A1149" s="12" t="e">
        <f>'[4]#REF'!A1149</f>
        <v>#REF!</v>
      </c>
      <c r="B1149" s="12" t="e">
        <f>'[4]#REF'!B1149</f>
        <v>#REF!</v>
      </c>
      <c r="C1149" s="31" t="e">
        <f>'[4]#REF'!D1149</f>
        <v>#REF!</v>
      </c>
      <c r="D1149" s="32" t="e">
        <f t="shared" si="45"/>
        <v>#REF!</v>
      </c>
      <c r="F1149" s="12" t="e">
        <f>'[4]#REF'!F1149</f>
        <v>#REF!</v>
      </c>
      <c r="G1149" s="12" t="e">
        <f>'[4]#REF'!G1149</f>
        <v>#REF!</v>
      </c>
      <c r="H1149" s="31" t="e">
        <f>'[4]#REF'!I1149</f>
        <v>#REF!</v>
      </c>
      <c r="I1149" s="32" t="e">
        <f t="shared" si="46"/>
        <v>#REF!</v>
      </c>
    </row>
    <row r="1150" ht="15.75" spans="1:9">
      <c r="A1150" s="12" t="e">
        <f>'[4]#REF'!A1150</f>
        <v>#REF!</v>
      </c>
      <c r="B1150" s="12" t="e">
        <f>'[4]#REF'!B1150</f>
        <v>#REF!</v>
      </c>
      <c r="C1150" s="31" t="e">
        <f>'[4]#REF'!D1150</f>
        <v>#REF!</v>
      </c>
      <c r="D1150" s="32" t="e">
        <f t="shared" si="45"/>
        <v>#REF!</v>
      </c>
      <c r="F1150" s="12" t="e">
        <f>'[4]#REF'!F1150</f>
        <v>#REF!</v>
      </c>
      <c r="G1150" s="12" t="e">
        <f>'[4]#REF'!G1150</f>
        <v>#REF!</v>
      </c>
      <c r="H1150" s="31" t="e">
        <f>'[4]#REF'!I1150</f>
        <v>#REF!</v>
      </c>
      <c r="I1150" s="32" t="e">
        <f t="shared" si="46"/>
        <v>#REF!</v>
      </c>
    </row>
    <row r="1151" ht="15.75" spans="1:9">
      <c r="A1151" s="12" t="e">
        <f>'[4]#REF'!A1151</f>
        <v>#REF!</v>
      </c>
      <c r="B1151" s="12" t="e">
        <f>'[4]#REF'!B1151</f>
        <v>#REF!</v>
      </c>
      <c r="C1151" s="31" t="e">
        <f>'[4]#REF'!D1151</f>
        <v>#REF!</v>
      </c>
      <c r="D1151" s="32" t="e">
        <f t="shared" si="45"/>
        <v>#REF!</v>
      </c>
      <c r="F1151" s="12" t="e">
        <f>'[4]#REF'!F1151</f>
        <v>#REF!</v>
      </c>
      <c r="G1151" s="12" t="e">
        <f>'[4]#REF'!G1151</f>
        <v>#REF!</v>
      </c>
      <c r="H1151" s="31" t="e">
        <f>'[4]#REF'!I1151</f>
        <v>#REF!</v>
      </c>
      <c r="I1151" s="32" t="e">
        <f t="shared" si="46"/>
        <v>#REF!</v>
      </c>
    </row>
    <row r="1152" ht="15.75" spans="1:9">
      <c r="A1152" s="12" t="e">
        <f>'[4]#REF'!A1152</f>
        <v>#REF!</v>
      </c>
      <c r="B1152" s="12" t="e">
        <f>'[4]#REF'!B1152</f>
        <v>#REF!</v>
      </c>
      <c r="C1152" s="31" t="e">
        <f>'[4]#REF'!D1152</f>
        <v>#REF!</v>
      </c>
      <c r="D1152" s="32" t="e">
        <f t="shared" si="45"/>
        <v>#REF!</v>
      </c>
      <c r="F1152" s="12" t="e">
        <f>'[4]#REF'!F1152</f>
        <v>#REF!</v>
      </c>
      <c r="G1152" s="12" t="e">
        <f>'[4]#REF'!G1152</f>
        <v>#REF!</v>
      </c>
      <c r="H1152" s="31" t="e">
        <f>'[4]#REF'!I1152</f>
        <v>#REF!</v>
      </c>
      <c r="I1152" s="32" t="e">
        <f t="shared" si="46"/>
        <v>#REF!</v>
      </c>
    </row>
    <row r="1153" ht="15.75" spans="1:9">
      <c r="A1153" s="12" t="e">
        <f>'[4]#REF'!A1153</f>
        <v>#REF!</v>
      </c>
      <c r="B1153" s="12" t="e">
        <f>'[4]#REF'!B1153</f>
        <v>#REF!</v>
      </c>
      <c r="C1153" s="31" t="e">
        <f>'[4]#REF'!D1153</f>
        <v>#REF!</v>
      </c>
      <c r="D1153" s="32" t="e">
        <f t="shared" si="45"/>
        <v>#REF!</v>
      </c>
      <c r="F1153" s="12" t="e">
        <f>'[4]#REF'!F1153</f>
        <v>#REF!</v>
      </c>
      <c r="G1153" s="12" t="e">
        <f>'[4]#REF'!G1153</f>
        <v>#REF!</v>
      </c>
      <c r="H1153" s="31" t="e">
        <f>'[4]#REF'!I1153</f>
        <v>#REF!</v>
      </c>
      <c r="I1153" s="32" t="e">
        <f t="shared" si="46"/>
        <v>#REF!</v>
      </c>
    </row>
    <row r="1154" ht="15.75" spans="1:9">
      <c r="A1154" s="12" t="e">
        <f>'[4]#REF'!A1154</f>
        <v>#REF!</v>
      </c>
      <c r="B1154" s="12" t="e">
        <f>'[4]#REF'!B1154</f>
        <v>#REF!</v>
      </c>
      <c r="C1154" s="31" t="e">
        <f>'[4]#REF'!D1154</f>
        <v>#REF!</v>
      </c>
      <c r="D1154" s="32" t="e">
        <f t="shared" si="45"/>
        <v>#REF!</v>
      </c>
      <c r="F1154" s="12" t="e">
        <f>'[4]#REF'!F1154</f>
        <v>#REF!</v>
      </c>
      <c r="G1154" s="12" t="e">
        <f>'[4]#REF'!G1154</f>
        <v>#REF!</v>
      </c>
      <c r="H1154" s="31" t="e">
        <f>'[4]#REF'!I1154</f>
        <v>#REF!</v>
      </c>
      <c r="I1154" s="32" t="e">
        <f t="shared" si="46"/>
        <v>#REF!</v>
      </c>
    </row>
    <row r="1155" ht="15.75" spans="1:9">
      <c r="A1155" s="12" t="e">
        <f>'[4]#REF'!A1155</f>
        <v>#REF!</v>
      </c>
      <c r="B1155" s="12" t="e">
        <f>'[4]#REF'!B1155</f>
        <v>#REF!</v>
      </c>
      <c r="C1155" s="31" t="e">
        <f>'[4]#REF'!D1155</f>
        <v>#REF!</v>
      </c>
      <c r="D1155" s="32" t="e">
        <f t="shared" si="45"/>
        <v>#REF!</v>
      </c>
      <c r="F1155" s="12" t="e">
        <f>'[4]#REF'!F1155</f>
        <v>#REF!</v>
      </c>
      <c r="G1155" s="12" t="e">
        <f>'[4]#REF'!G1155</f>
        <v>#REF!</v>
      </c>
      <c r="H1155" s="31" t="e">
        <f>'[4]#REF'!I1155</f>
        <v>#REF!</v>
      </c>
      <c r="I1155" s="32" t="e">
        <f t="shared" si="46"/>
        <v>#REF!</v>
      </c>
    </row>
    <row r="1156" ht="15.75" spans="1:9">
      <c r="A1156" s="12" t="e">
        <f>'[4]#REF'!A1156</f>
        <v>#REF!</v>
      </c>
      <c r="B1156" s="12" t="e">
        <f>'[4]#REF'!B1156</f>
        <v>#REF!</v>
      </c>
      <c r="C1156" s="31" t="e">
        <f>'[4]#REF'!D1156</f>
        <v>#REF!</v>
      </c>
      <c r="D1156" s="32" t="e">
        <f t="shared" si="45"/>
        <v>#REF!</v>
      </c>
      <c r="F1156" s="12" t="e">
        <f>'[4]#REF'!F1156</f>
        <v>#REF!</v>
      </c>
      <c r="G1156" s="12" t="e">
        <f>'[4]#REF'!G1156</f>
        <v>#REF!</v>
      </c>
      <c r="H1156" s="31" t="e">
        <f>'[4]#REF'!I1156</f>
        <v>#REF!</v>
      </c>
      <c r="I1156" s="32" t="e">
        <f t="shared" si="46"/>
        <v>#REF!</v>
      </c>
    </row>
    <row r="1157" ht="15.75" spans="1:9">
      <c r="A1157" s="12" t="e">
        <f>'[4]#REF'!A1157</f>
        <v>#REF!</v>
      </c>
      <c r="B1157" s="12" t="e">
        <f>'[4]#REF'!B1157</f>
        <v>#REF!</v>
      </c>
      <c r="C1157" s="31" t="e">
        <f>'[4]#REF'!D1157</f>
        <v>#REF!</v>
      </c>
      <c r="D1157" s="32" t="e">
        <f t="shared" si="45"/>
        <v>#REF!</v>
      </c>
      <c r="F1157" s="12" t="e">
        <f>'[4]#REF'!F1157</f>
        <v>#REF!</v>
      </c>
      <c r="G1157" s="12" t="e">
        <f>'[4]#REF'!G1157</f>
        <v>#REF!</v>
      </c>
      <c r="H1157" s="31" t="e">
        <f>'[4]#REF'!I1157</f>
        <v>#REF!</v>
      </c>
      <c r="I1157" s="32" t="e">
        <f t="shared" si="46"/>
        <v>#REF!</v>
      </c>
    </row>
    <row r="1158" ht="15.75" spans="1:9">
      <c r="A1158" s="12" t="e">
        <f>'[4]#REF'!A1158</f>
        <v>#REF!</v>
      </c>
      <c r="B1158" s="12" t="e">
        <f>'[4]#REF'!B1158</f>
        <v>#REF!</v>
      </c>
      <c r="C1158" s="31" t="e">
        <f>'[4]#REF'!D1158</f>
        <v>#REF!</v>
      </c>
      <c r="D1158" s="32" t="e">
        <f t="shared" ref="D1158:D1221" si="47">ROUND(C1158/$D$4*100,2)</f>
        <v>#REF!</v>
      </c>
      <c r="F1158" s="12" t="e">
        <f>'[4]#REF'!F1158</f>
        <v>#REF!</v>
      </c>
      <c r="G1158" s="12" t="e">
        <f>'[4]#REF'!G1158</f>
        <v>#REF!</v>
      </c>
      <c r="H1158" s="31" t="e">
        <f>'[4]#REF'!I1158</f>
        <v>#REF!</v>
      </c>
      <c r="I1158" s="32" t="e">
        <f t="shared" ref="I1158:I1221" si="48">ROUND(H1158/$I$4*100,2)</f>
        <v>#REF!</v>
      </c>
    </row>
    <row r="1159" ht="15.75" spans="1:9">
      <c r="A1159" s="12" t="e">
        <f>'[4]#REF'!A1159</f>
        <v>#REF!</v>
      </c>
      <c r="B1159" s="12" t="e">
        <f>'[4]#REF'!B1159</f>
        <v>#REF!</v>
      </c>
      <c r="C1159" s="31" t="e">
        <f>'[4]#REF'!D1159</f>
        <v>#REF!</v>
      </c>
      <c r="D1159" s="32" t="e">
        <f t="shared" si="47"/>
        <v>#REF!</v>
      </c>
      <c r="F1159" s="12" t="e">
        <f>'[4]#REF'!F1159</f>
        <v>#REF!</v>
      </c>
      <c r="G1159" s="12" t="e">
        <f>'[4]#REF'!G1159</f>
        <v>#REF!</v>
      </c>
      <c r="H1159" s="31" t="e">
        <f>'[4]#REF'!I1159</f>
        <v>#REF!</v>
      </c>
      <c r="I1159" s="32" t="e">
        <f t="shared" si="48"/>
        <v>#REF!</v>
      </c>
    </row>
    <row r="1160" ht="15.75" spans="1:9">
      <c r="A1160" s="12" t="e">
        <f>'[4]#REF'!A1160</f>
        <v>#REF!</v>
      </c>
      <c r="B1160" s="12" t="e">
        <f>'[4]#REF'!B1160</f>
        <v>#REF!</v>
      </c>
      <c r="C1160" s="31" t="e">
        <f>'[4]#REF'!D1160</f>
        <v>#REF!</v>
      </c>
      <c r="D1160" s="32" t="e">
        <f t="shared" si="47"/>
        <v>#REF!</v>
      </c>
      <c r="F1160" s="12" t="e">
        <f>'[4]#REF'!F1160</f>
        <v>#REF!</v>
      </c>
      <c r="G1160" s="12" t="e">
        <f>'[4]#REF'!G1160</f>
        <v>#REF!</v>
      </c>
      <c r="H1160" s="31" t="e">
        <f>'[4]#REF'!I1160</f>
        <v>#REF!</v>
      </c>
      <c r="I1160" s="32" t="e">
        <f t="shared" si="48"/>
        <v>#REF!</v>
      </c>
    </row>
    <row r="1161" ht="15.75" spans="1:9">
      <c r="A1161" s="12" t="e">
        <f>'[4]#REF'!A1161</f>
        <v>#REF!</v>
      </c>
      <c r="B1161" s="12" t="e">
        <f>'[4]#REF'!B1161</f>
        <v>#REF!</v>
      </c>
      <c r="C1161" s="31" t="e">
        <f>'[4]#REF'!D1161</f>
        <v>#REF!</v>
      </c>
      <c r="D1161" s="32" t="e">
        <f t="shared" si="47"/>
        <v>#REF!</v>
      </c>
      <c r="F1161" s="12" t="e">
        <f>'[4]#REF'!F1161</f>
        <v>#REF!</v>
      </c>
      <c r="G1161" s="12" t="e">
        <f>'[4]#REF'!G1161</f>
        <v>#REF!</v>
      </c>
      <c r="H1161" s="31" t="e">
        <f>'[4]#REF'!I1161</f>
        <v>#REF!</v>
      </c>
      <c r="I1161" s="32" t="e">
        <f t="shared" si="48"/>
        <v>#REF!</v>
      </c>
    </row>
    <row r="1162" ht="15.75" spans="1:9">
      <c r="A1162" s="12" t="e">
        <f>'[4]#REF'!A1162</f>
        <v>#REF!</v>
      </c>
      <c r="B1162" s="12" t="e">
        <f>'[4]#REF'!B1162</f>
        <v>#REF!</v>
      </c>
      <c r="C1162" s="31" t="e">
        <f>'[4]#REF'!D1162</f>
        <v>#REF!</v>
      </c>
      <c r="D1162" s="32" t="e">
        <f t="shared" si="47"/>
        <v>#REF!</v>
      </c>
      <c r="F1162" s="12" t="e">
        <f>'[4]#REF'!F1162</f>
        <v>#REF!</v>
      </c>
      <c r="G1162" s="12" t="e">
        <f>'[4]#REF'!G1162</f>
        <v>#REF!</v>
      </c>
      <c r="H1162" s="31" t="e">
        <f>'[4]#REF'!I1162</f>
        <v>#REF!</v>
      </c>
      <c r="I1162" s="32" t="e">
        <f t="shared" si="48"/>
        <v>#REF!</v>
      </c>
    </row>
    <row r="1163" ht="15.75" spans="1:9">
      <c r="A1163" s="12" t="e">
        <f>'[4]#REF'!A1163</f>
        <v>#REF!</v>
      </c>
      <c r="B1163" s="12" t="e">
        <f>'[4]#REF'!B1163</f>
        <v>#REF!</v>
      </c>
      <c r="C1163" s="31" t="e">
        <f>'[4]#REF'!D1163</f>
        <v>#REF!</v>
      </c>
      <c r="D1163" s="32" t="e">
        <f t="shared" si="47"/>
        <v>#REF!</v>
      </c>
      <c r="F1163" s="12" t="e">
        <f>'[4]#REF'!F1163</f>
        <v>#REF!</v>
      </c>
      <c r="G1163" s="12" t="e">
        <f>'[4]#REF'!G1163</f>
        <v>#REF!</v>
      </c>
      <c r="H1163" s="31" t="e">
        <f>'[4]#REF'!I1163</f>
        <v>#REF!</v>
      </c>
      <c r="I1163" s="32" t="e">
        <f t="shared" si="48"/>
        <v>#REF!</v>
      </c>
    </row>
    <row r="1164" ht="15.75" spans="1:9">
      <c r="A1164" s="12" t="e">
        <f>'[4]#REF'!A1164</f>
        <v>#REF!</v>
      </c>
      <c r="B1164" s="12" t="e">
        <f>'[4]#REF'!B1164</f>
        <v>#REF!</v>
      </c>
      <c r="C1164" s="31" t="e">
        <f>'[4]#REF'!D1164</f>
        <v>#REF!</v>
      </c>
      <c r="D1164" s="32" t="e">
        <f t="shared" si="47"/>
        <v>#REF!</v>
      </c>
      <c r="F1164" s="12" t="e">
        <f>'[4]#REF'!F1164</f>
        <v>#REF!</v>
      </c>
      <c r="G1164" s="12" t="e">
        <f>'[4]#REF'!G1164</f>
        <v>#REF!</v>
      </c>
      <c r="H1164" s="31" t="e">
        <f>'[4]#REF'!I1164</f>
        <v>#REF!</v>
      </c>
      <c r="I1164" s="32" t="e">
        <f t="shared" si="48"/>
        <v>#REF!</v>
      </c>
    </row>
    <row r="1165" ht="15.75" spans="1:9">
      <c r="A1165" s="12" t="e">
        <f>'[4]#REF'!A1165</f>
        <v>#REF!</v>
      </c>
      <c r="B1165" s="12" t="e">
        <f>'[4]#REF'!B1165</f>
        <v>#REF!</v>
      </c>
      <c r="C1165" s="31" t="e">
        <f>'[4]#REF'!D1165</f>
        <v>#REF!</v>
      </c>
      <c r="D1165" s="32" t="e">
        <f t="shared" si="47"/>
        <v>#REF!</v>
      </c>
      <c r="F1165" s="12" t="e">
        <f>'[4]#REF'!F1165</f>
        <v>#REF!</v>
      </c>
      <c r="G1165" s="12" t="e">
        <f>'[4]#REF'!G1165</f>
        <v>#REF!</v>
      </c>
      <c r="H1165" s="31" t="e">
        <f>'[4]#REF'!I1165</f>
        <v>#REF!</v>
      </c>
      <c r="I1165" s="32" t="e">
        <f t="shared" si="48"/>
        <v>#REF!</v>
      </c>
    </row>
    <row r="1166" ht="15.75" spans="1:9">
      <c r="A1166" s="12" t="e">
        <f>'[4]#REF'!A1166</f>
        <v>#REF!</v>
      </c>
      <c r="B1166" s="12" t="e">
        <f>'[4]#REF'!B1166</f>
        <v>#REF!</v>
      </c>
      <c r="C1166" s="31" t="e">
        <f>'[4]#REF'!D1166</f>
        <v>#REF!</v>
      </c>
      <c r="D1166" s="32" t="e">
        <f t="shared" si="47"/>
        <v>#REF!</v>
      </c>
      <c r="F1166" s="12" t="e">
        <f>'[4]#REF'!F1166</f>
        <v>#REF!</v>
      </c>
      <c r="G1166" s="12" t="e">
        <f>'[4]#REF'!G1166</f>
        <v>#REF!</v>
      </c>
      <c r="H1166" s="31" t="e">
        <f>'[4]#REF'!I1166</f>
        <v>#REF!</v>
      </c>
      <c r="I1166" s="32" t="e">
        <f t="shared" si="48"/>
        <v>#REF!</v>
      </c>
    </row>
    <row r="1167" ht="15.75" spans="1:9">
      <c r="A1167" s="12" t="e">
        <f>'[4]#REF'!A1167</f>
        <v>#REF!</v>
      </c>
      <c r="B1167" s="12" t="e">
        <f>'[4]#REF'!B1167</f>
        <v>#REF!</v>
      </c>
      <c r="C1167" s="31" t="e">
        <f>'[4]#REF'!D1167</f>
        <v>#REF!</v>
      </c>
      <c r="D1167" s="32" t="e">
        <f t="shared" si="47"/>
        <v>#REF!</v>
      </c>
      <c r="F1167" s="12" t="e">
        <f>'[4]#REF'!F1167</f>
        <v>#REF!</v>
      </c>
      <c r="G1167" s="12" t="e">
        <f>'[4]#REF'!G1167</f>
        <v>#REF!</v>
      </c>
      <c r="H1167" s="31" t="e">
        <f>'[4]#REF'!I1167</f>
        <v>#REF!</v>
      </c>
      <c r="I1167" s="32" t="e">
        <f t="shared" si="48"/>
        <v>#REF!</v>
      </c>
    </row>
    <row r="1168" ht="15.75" spans="1:9">
      <c r="A1168" s="12" t="e">
        <f>'[4]#REF'!A1168</f>
        <v>#REF!</v>
      </c>
      <c r="B1168" s="12" t="e">
        <f>'[4]#REF'!B1168</f>
        <v>#REF!</v>
      </c>
      <c r="C1168" s="31" t="e">
        <f>'[4]#REF'!D1168</f>
        <v>#REF!</v>
      </c>
      <c r="D1168" s="32" t="e">
        <f t="shared" si="47"/>
        <v>#REF!</v>
      </c>
      <c r="F1168" s="12" t="e">
        <f>'[4]#REF'!F1168</f>
        <v>#REF!</v>
      </c>
      <c r="G1168" s="12" t="e">
        <f>'[4]#REF'!G1168</f>
        <v>#REF!</v>
      </c>
      <c r="H1168" s="31" t="e">
        <f>'[4]#REF'!I1168</f>
        <v>#REF!</v>
      </c>
      <c r="I1168" s="32" t="e">
        <f t="shared" si="48"/>
        <v>#REF!</v>
      </c>
    </row>
    <row r="1169" ht="15.75" spans="1:9">
      <c r="A1169" s="12" t="e">
        <f>'[4]#REF'!A1169</f>
        <v>#REF!</v>
      </c>
      <c r="B1169" s="12" t="e">
        <f>'[4]#REF'!B1169</f>
        <v>#REF!</v>
      </c>
      <c r="C1169" s="31" t="e">
        <f>'[4]#REF'!D1169</f>
        <v>#REF!</v>
      </c>
      <c r="D1169" s="32" t="e">
        <f t="shared" si="47"/>
        <v>#REF!</v>
      </c>
      <c r="F1169" s="12" t="e">
        <f>'[4]#REF'!F1169</f>
        <v>#REF!</v>
      </c>
      <c r="G1169" s="12" t="e">
        <f>'[4]#REF'!G1169</f>
        <v>#REF!</v>
      </c>
      <c r="H1169" s="31" t="e">
        <f>'[4]#REF'!I1169</f>
        <v>#REF!</v>
      </c>
      <c r="I1169" s="32" t="e">
        <f t="shared" si="48"/>
        <v>#REF!</v>
      </c>
    </row>
    <row r="1170" ht="15.75" spans="1:9">
      <c r="A1170" s="12" t="e">
        <f>'[4]#REF'!A1170</f>
        <v>#REF!</v>
      </c>
      <c r="B1170" s="12" t="e">
        <f>'[4]#REF'!B1170</f>
        <v>#REF!</v>
      </c>
      <c r="C1170" s="31" t="e">
        <f>'[4]#REF'!D1170</f>
        <v>#REF!</v>
      </c>
      <c r="D1170" s="32" t="e">
        <f t="shared" si="47"/>
        <v>#REF!</v>
      </c>
      <c r="F1170" s="12" t="e">
        <f>'[4]#REF'!F1170</f>
        <v>#REF!</v>
      </c>
      <c r="G1170" s="12" t="e">
        <f>'[4]#REF'!G1170</f>
        <v>#REF!</v>
      </c>
      <c r="H1170" s="31" t="e">
        <f>'[4]#REF'!I1170</f>
        <v>#REF!</v>
      </c>
      <c r="I1170" s="32" t="e">
        <f t="shared" si="48"/>
        <v>#REF!</v>
      </c>
    </row>
    <row r="1171" ht="15.75" spans="1:9">
      <c r="A1171" s="12" t="e">
        <f>'[4]#REF'!A1171</f>
        <v>#REF!</v>
      </c>
      <c r="B1171" s="12" t="e">
        <f>'[4]#REF'!B1171</f>
        <v>#REF!</v>
      </c>
      <c r="C1171" s="31" t="e">
        <f>'[4]#REF'!D1171</f>
        <v>#REF!</v>
      </c>
      <c r="D1171" s="32" t="e">
        <f t="shared" si="47"/>
        <v>#REF!</v>
      </c>
      <c r="F1171" s="12" t="e">
        <f>'[4]#REF'!F1171</f>
        <v>#REF!</v>
      </c>
      <c r="G1171" s="12" t="e">
        <f>'[4]#REF'!G1171</f>
        <v>#REF!</v>
      </c>
      <c r="H1171" s="31" t="e">
        <f>'[4]#REF'!I1171</f>
        <v>#REF!</v>
      </c>
      <c r="I1171" s="32" t="e">
        <f t="shared" si="48"/>
        <v>#REF!</v>
      </c>
    </row>
    <row r="1172" ht="15.75" spans="1:9">
      <c r="A1172" s="12" t="e">
        <f>'[4]#REF'!A1172</f>
        <v>#REF!</v>
      </c>
      <c r="B1172" s="12" t="e">
        <f>'[4]#REF'!B1172</f>
        <v>#REF!</v>
      </c>
      <c r="C1172" s="31" t="e">
        <f>'[4]#REF'!D1172</f>
        <v>#REF!</v>
      </c>
      <c r="D1172" s="32" t="e">
        <f t="shared" si="47"/>
        <v>#REF!</v>
      </c>
      <c r="F1172" s="12" t="e">
        <f>'[4]#REF'!F1172</f>
        <v>#REF!</v>
      </c>
      <c r="G1172" s="12" t="e">
        <f>'[4]#REF'!G1172</f>
        <v>#REF!</v>
      </c>
      <c r="H1172" s="31" t="e">
        <f>'[4]#REF'!I1172</f>
        <v>#REF!</v>
      </c>
      <c r="I1172" s="32" t="e">
        <f t="shared" si="48"/>
        <v>#REF!</v>
      </c>
    </row>
    <row r="1173" ht="15.75" spans="1:9">
      <c r="A1173" s="12" t="e">
        <f>'[4]#REF'!A1173</f>
        <v>#REF!</v>
      </c>
      <c r="B1173" s="12" t="e">
        <f>'[4]#REF'!B1173</f>
        <v>#REF!</v>
      </c>
      <c r="C1173" s="31" t="e">
        <f>'[4]#REF'!D1173</f>
        <v>#REF!</v>
      </c>
      <c r="D1173" s="32" t="e">
        <f t="shared" si="47"/>
        <v>#REF!</v>
      </c>
      <c r="F1173" s="12" t="e">
        <f>'[4]#REF'!F1173</f>
        <v>#REF!</v>
      </c>
      <c r="G1173" s="12" t="e">
        <f>'[4]#REF'!G1173</f>
        <v>#REF!</v>
      </c>
      <c r="H1173" s="31" t="e">
        <f>'[4]#REF'!I1173</f>
        <v>#REF!</v>
      </c>
      <c r="I1173" s="32" t="e">
        <f t="shared" si="48"/>
        <v>#REF!</v>
      </c>
    </row>
    <row r="1174" ht="15.75" spans="1:9">
      <c r="A1174" s="12" t="e">
        <f>'[4]#REF'!A1174</f>
        <v>#REF!</v>
      </c>
      <c r="B1174" s="12" t="e">
        <f>'[4]#REF'!B1174</f>
        <v>#REF!</v>
      </c>
      <c r="C1174" s="31" t="e">
        <f>'[4]#REF'!D1174</f>
        <v>#REF!</v>
      </c>
      <c r="D1174" s="32" t="e">
        <f t="shared" si="47"/>
        <v>#REF!</v>
      </c>
      <c r="F1174" s="12" t="e">
        <f>'[4]#REF'!F1174</f>
        <v>#REF!</v>
      </c>
      <c r="G1174" s="12" t="e">
        <f>'[4]#REF'!G1174</f>
        <v>#REF!</v>
      </c>
      <c r="H1174" s="31" t="e">
        <f>'[4]#REF'!I1174</f>
        <v>#REF!</v>
      </c>
      <c r="I1174" s="32" t="e">
        <f t="shared" si="48"/>
        <v>#REF!</v>
      </c>
    </row>
    <row r="1175" ht="15.75" spans="1:9">
      <c r="A1175" s="12" t="e">
        <f>'[4]#REF'!A1175</f>
        <v>#REF!</v>
      </c>
      <c r="B1175" s="12" t="e">
        <f>'[4]#REF'!B1175</f>
        <v>#REF!</v>
      </c>
      <c r="C1175" s="31" t="e">
        <f>'[4]#REF'!D1175</f>
        <v>#REF!</v>
      </c>
      <c r="D1175" s="32" t="e">
        <f t="shared" si="47"/>
        <v>#REF!</v>
      </c>
      <c r="F1175" s="12" t="e">
        <f>'[4]#REF'!F1175</f>
        <v>#REF!</v>
      </c>
      <c r="G1175" s="12" t="e">
        <f>'[4]#REF'!G1175</f>
        <v>#REF!</v>
      </c>
      <c r="H1175" s="31" t="e">
        <f>'[4]#REF'!I1175</f>
        <v>#REF!</v>
      </c>
      <c r="I1175" s="32" t="e">
        <f t="shared" si="48"/>
        <v>#REF!</v>
      </c>
    </row>
    <row r="1176" ht="15.75" spans="1:9">
      <c r="A1176" s="12" t="e">
        <f>'[4]#REF'!A1176</f>
        <v>#REF!</v>
      </c>
      <c r="B1176" s="12" t="e">
        <f>'[4]#REF'!B1176</f>
        <v>#REF!</v>
      </c>
      <c r="C1176" s="31" t="e">
        <f>'[4]#REF'!D1176</f>
        <v>#REF!</v>
      </c>
      <c r="D1176" s="32" t="e">
        <f t="shared" si="47"/>
        <v>#REF!</v>
      </c>
      <c r="F1176" s="12" t="e">
        <f>'[4]#REF'!F1176</f>
        <v>#REF!</v>
      </c>
      <c r="G1176" s="12" t="e">
        <f>'[4]#REF'!G1176</f>
        <v>#REF!</v>
      </c>
      <c r="H1176" s="31" t="e">
        <f>'[4]#REF'!I1176</f>
        <v>#REF!</v>
      </c>
      <c r="I1176" s="32" t="e">
        <f t="shared" si="48"/>
        <v>#REF!</v>
      </c>
    </row>
    <row r="1177" ht="15.75" spans="1:9">
      <c r="A1177" s="12" t="e">
        <f>'[4]#REF'!A1177</f>
        <v>#REF!</v>
      </c>
      <c r="B1177" s="12" t="e">
        <f>'[4]#REF'!B1177</f>
        <v>#REF!</v>
      </c>
      <c r="C1177" s="31" t="e">
        <f>'[4]#REF'!D1177</f>
        <v>#REF!</v>
      </c>
      <c r="D1177" s="32" t="e">
        <f t="shared" si="47"/>
        <v>#REF!</v>
      </c>
      <c r="F1177" s="12" t="e">
        <f>'[4]#REF'!F1177</f>
        <v>#REF!</v>
      </c>
      <c r="G1177" s="12" t="e">
        <f>'[4]#REF'!G1177</f>
        <v>#REF!</v>
      </c>
      <c r="H1177" s="31" t="e">
        <f>'[4]#REF'!I1177</f>
        <v>#REF!</v>
      </c>
      <c r="I1177" s="32" t="e">
        <f t="shared" si="48"/>
        <v>#REF!</v>
      </c>
    </row>
    <row r="1178" ht="15.75" spans="1:9">
      <c r="A1178" s="12" t="e">
        <f>'[4]#REF'!A1178</f>
        <v>#REF!</v>
      </c>
      <c r="B1178" s="12" t="e">
        <f>'[4]#REF'!B1178</f>
        <v>#REF!</v>
      </c>
      <c r="C1178" s="31" t="e">
        <f>'[4]#REF'!D1178</f>
        <v>#REF!</v>
      </c>
      <c r="D1178" s="32" t="e">
        <f t="shared" si="47"/>
        <v>#REF!</v>
      </c>
      <c r="F1178" s="12" t="e">
        <f>'[4]#REF'!F1178</f>
        <v>#REF!</v>
      </c>
      <c r="G1178" s="12" t="e">
        <f>'[4]#REF'!G1178</f>
        <v>#REF!</v>
      </c>
      <c r="H1178" s="31" t="e">
        <f>'[4]#REF'!I1178</f>
        <v>#REF!</v>
      </c>
      <c r="I1178" s="32" t="e">
        <f t="shared" si="48"/>
        <v>#REF!</v>
      </c>
    </row>
    <row r="1179" ht="15.75" spans="1:9">
      <c r="A1179" s="12" t="e">
        <f>'[4]#REF'!A1179</f>
        <v>#REF!</v>
      </c>
      <c r="B1179" s="12" t="e">
        <f>'[4]#REF'!B1179</f>
        <v>#REF!</v>
      </c>
      <c r="C1179" s="31" t="e">
        <f>'[4]#REF'!D1179</f>
        <v>#REF!</v>
      </c>
      <c r="D1179" s="32" t="e">
        <f t="shared" si="47"/>
        <v>#REF!</v>
      </c>
      <c r="F1179" s="12" t="e">
        <f>'[4]#REF'!F1179</f>
        <v>#REF!</v>
      </c>
      <c r="G1179" s="12" t="e">
        <f>'[4]#REF'!G1179</f>
        <v>#REF!</v>
      </c>
      <c r="H1179" s="31" t="e">
        <f>'[4]#REF'!I1179</f>
        <v>#REF!</v>
      </c>
      <c r="I1179" s="32" t="e">
        <f t="shared" si="48"/>
        <v>#REF!</v>
      </c>
    </row>
    <row r="1180" ht="15.75" spans="1:9">
      <c r="A1180" s="12" t="e">
        <f>'[4]#REF'!A1180</f>
        <v>#REF!</v>
      </c>
      <c r="B1180" s="12" t="e">
        <f>'[4]#REF'!B1180</f>
        <v>#REF!</v>
      </c>
      <c r="C1180" s="31" t="e">
        <f>'[4]#REF'!D1180</f>
        <v>#REF!</v>
      </c>
      <c r="D1180" s="32" t="e">
        <f t="shared" si="47"/>
        <v>#REF!</v>
      </c>
      <c r="F1180" s="12" t="e">
        <f>'[4]#REF'!F1180</f>
        <v>#REF!</v>
      </c>
      <c r="G1180" s="12" t="e">
        <f>'[4]#REF'!G1180</f>
        <v>#REF!</v>
      </c>
      <c r="H1180" s="31" t="e">
        <f>'[4]#REF'!I1180</f>
        <v>#REF!</v>
      </c>
      <c r="I1180" s="32" t="e">
        <f t="shared" si="48"/>
        <v>#REF!</v>
      </c>
    </row>
    <row r="1181" ht="15.75" spans="1:9">
      <c r="A1181" s="12" t="e">
        <f>'[4]#REF'!A1181</f>
        <v>#REF!</v>
      </c>
      <c r="B1181" s="12" t="e">
        <f>'[4]#REF'!B1181</f>
        <v>#REF!</v>
      </c>
      <c r="C1181" s="31" t="e">
        <f>'[4]#REF'!D1181</f>
        <v>#REF!</v>
      </c>
      <c r="D1181" s="32" t="e">
        <f t="shared" si="47"/>
        <v>#REF!</v>
      </c>
      <c r="F1181" s="12" t="e">
        <f>'[4]#REF'!F1181</f>
        <v>#REF!</v>
      </c>
      <c r="G1181" s="12" t="e">
        <f>'[4]#REF'!G1181</f>
        <v>#REF!</v>
      </c>
      <c r="H1181" s="31" t="e">
        <f>'[4]#REF'!I1181</f>
        <v>#REF!</v>
      </c>
      <c r="I1181" s="32" t="e">
        <f t="shared" si="48"/>
        <v>#REF!</v>
      </c>
    </row>
    <row r="1182" ht="15.75" spans="1:9">
      <c r="A1182" s="12" t="e">
        <f>'[4]#REF'!A1182</f>
        <v>#REF!</v>
      </c>
      <c r="B1182" s="12" t="e">
        <f>'[4]#REF'!B1182</f>
        <v>#REF!</v>
      </c>
      <c r="C1182" s="31" t="e">
        <f>'[4]#REF'!D1182</f>
        <v>#REF!</v>
      </c>
      <c r="D1182" s="32" t="e">
        <f t="shared" si="47"/>
        <v>#REF!</v>
      </c>
      <c r="F1182" s="12" t="e">
        <f>'[4]#REF'!F1182</f>
        <v>#REF!</v>
      </c>
      <c r="G1182" s="12" t="e">
        <f>'[4]#REF'!G1182</f>
        <v>#REF!</v>
      </c>
      <c r="H1182" s="31" t="e">
        <f>'[4]#REF'!I1182</f>
        <v>#REF!</v>
      </c>
      <c r="I1182" s="32" t="e">
        <f t="shared" si="48"/>
        <v>#REF!</v>
      </c>
    </row>
    <row r="1183" ht="15.75" spans="1:9">
      <c r="A1183" s="12" t="e">
        <f>'[4]#REF'!A1183</f>
        <v>#REF!</v>
      </c>
      <c r="B1183" s="12" t="e">
        <f>'[4]#REF'!B1183</f>
        <v>#REF!</v>
      </c>
      <c r="C1183" s="31" t="e">
        <f>'[4]#REF'!D1183</f>
        <v>#REF!</v>
      </c>
      <c r="D1183" s="32" t="e">
        <f t="shared" si="47"/>
        <v>#REF!</v>
      </c>
      <c r="F1183" s="12" t="e">
        <f>'[4]#REF'!F1183</f>
        <v>#REF!</v>
      </c>
      <c r="G1183" s="12" t="e">
        <f>'[4]#REF'!G1183</f>
        <v>#REF!</v>
      </c>
      <c r="H1183" s="31" t="e">
        <f>'[4]#REF'!I1183</f>
        <v>#REF!</v>
      </c>
      <c r="I1183" s="32" t="e">
        <f t="shared" si="48"/>
        <v>#REF!</v>
      </c>
    </row>
    <row r="1184" ht="15.75" spans="1:9">
      <c r="A1184" s="12" t="e">
        <f>'[4]#REF'!A1184</f>
        <v>#REF!</v>
      </c>
      <c r="B1184" s="12" t="e">
        <f>'[4]#REF'!B1184</f>
        <v>#REF!</v>
      </c>
      <c r="C1184" s="31" t="e">
        <f>'[4]#REF'!D1184</f>
        <v>#REF!</v>
      </c>
      <c r="D1184" s="32" t="e">
        <f t="shared" si="47"/>
        <v>#REF!</v>
      </c>
      <c r="F1184" s="12" t="e">
        <f>'[4]#REF'!F1184</f>
        <v>#REF!</v>
      </c>
      <c r="G1184" s="12" t="e">
        <f>'[4]#REF'!G1184</f>
        <v>#REF!</v>
      </c>
      <c r="H1184" s="31" t="e">
        <f>'[4]#REF'!I1184</f>
        <v>#REF!</v>
      </c>
      <c r="I1184" s="32" t="e">
        <f t="shared" si="48"/>
        <v>#REF!</v>
      </c>
    </row>
    <row r="1185" ht="15.75" spans="1:9">
      <c r="A1185" s="12" t="e">
        <f>'[4]#REF'!A1185</f>
        <v>#REF!</v>
      </c>
      <c r="B1185" s="12" t="e">
        <f>'[4]#REF'!B1185</f>
        <v>#REF!</v>
      </c>
      <c r="C1185" s="31" t="e">
        <f>'[4]#REF'!D1185</f>
        <v>#REF!</v>
      </c>
      <c r="D1185" s="32" t="e">
        <f t="shared" si="47"/>
        <v>#REF!</v>
      </c>
      <c r="F1185" s="12" t="e">
        <f>'[4]#REF'!F1185</f>
        <v>#REF!</v>
      </c>
      <c r="G1185" s="12" t="e">
        <f>'[4]#REF'!G1185</f>
        <v>#REF!</v>
      </c>
      <c r="H1185" s="31" t="e">
        <f>'[4]#REF'!I1185</f>
        <v>#REF!</v>
      </c>
      <c r="I1185" s="32" t="e">
        <f t="shared" si="48"/>
        <v>#REF!</v>
      </c>
    </row>
    <row r="1186" ht="15.75" spans="1:9">
      <c r="A1186" s="12" t="e">
        <f>'[4]#REF'!A1186</f>
        <v>#REF!</v>
      </c>
      <c r="B1186" s="12" t="e">
        <f>'[4]#REF'!B1186</f>
        <v>#REF!</v>
      </c>
      <c r="C1186" s="31" t="e">
        <f>'[4]#REF'!D1186</f>
        <v>#REF!</v>
      </c>
      <c r="D1186" s="32" t="e">
        <f t="shared" si="47"/>
        <v>#REF!</v>
      </c>
      <c r="F1186" s="12" t="e">
        <f>'[4]#REF'!F1186</f>
        <v>#REF!</v>
      </c>
      <c r="G1186" s="12" t="e">
        <f>'[4]#REF'!G1186</f>
        <v>#REF!</v>
      </c>
      <c r="H1186" s="31" t="e">
        <f>'[4]#REF'!I1186</f>
        <v>#REF!</v>
      </c>
      <c r="I1186" s="32" t="e">
        <f t="shared" si="48"/>
        <v>#REF!</v>
      </c>
    </row>
    <row r="1187" ht="15.75" spans="1:9">
      <c r="A1187" s="12" t="e">
        <f>'[4]#REF'!A1187</f>
        <v>#REF!</v>
      </c>
      <c r="B1187" s="12" t="e">
        <f>'[4]#REF'!B1187</f>
        <v>#REF!</v>
      </c>
      <c r="C1187" s="31" t="e">
        <f>'[4]#REF'!D1187</f>
        <v>#REF!</v>
      </c>
      <c r="D1187" s="32" t="e">
        <f t="shared" si="47"/>
        <v>#REF!</v>
      </c>
      <c r="F1187" s="12" t="e">
        <f>'[4]#REF'!F1187</f>
        <v>#REF!</v>
      </c>
      <c r="G1187" s="12" t="e">
        <f>'[4]#REF'!G1187</f>
        <v>#REF!</v>
      </c>
      <c r="H1187" s="31" t="e">
        <f>'[4]#REF'!I1187</f>
        <v>#REF!</v>
      </c>
      <c r="I1187" s="32" t="e">
        <f t="shared" si="48"/>
        <v>#REF!</v>
      </c>
    </row>
    <row r="1188" ht="15.75" spans="1:9">
      <c r="A1188" s="12" t="e">
        <f>'[4]#REF'!A1188</f>
        <v>#REF!</v>
      </c>
      <c r="B1188" s="12" t="e">
        <f>'[4]#REF'!B1188</f>
        <v>#REF!</v>
      </c>
      <c r="C1188" s="31" t="e">
        <f>'[4]#REF'!D1188</f>
        <v>#REF!</v>
      </c>
      <c r="D1188" s="32" t="e">
        <f t="shared" si="47"/>
        <v>#REF!</v>
      </c>
      <c r="F1188" s="12" t="e">
        <f>'[4]#REF'!F1188</f>
        <v>#REF!</v>
      </c>
      <c r="G1188" s="12" t="e">
        <f>'[4]#REF'!G1188</f>
        <v>#REF!</v>
      </c>
      <c r="H1188" s="31" t="e">
        <f>'[4]#REF'!I1188</f>
        <v>#REF!</v>
      </c>
      <c r="I1188" s="32" t="e">
        <f t="shared" si="48"/>
        <v>#REF!</v>
      </c>
    </row>
    <row r="1189" ht="15.75" spans="1:9">
      <c r="A1189" s="12" t="e">
        <f>'[4]#REF'!A1189</f>
        <v>#REF!</v>
      </c>
      <c r="B1189" s="12" t="e">
        <f>'[4]#REF'!B1189</f>
        <v>#REF!</v>
      </c>
      <c r="C1189" s="31" t="e">
        <f>'[4]#REF'!D1189</f>
        <v>#REF!</v>
      </c>
      <c r="D1189" s="32" t="e">
        <f t="shared" si="47"/>
        <v>#REF!</v>
      </c>
      <c r="F1189" s="12" t="e">
        <f>'[4]#REF'!F1189</f>
        <v>#REF!</v>
      </c>
      <c r="G1189" s="12" t="e">
        <f>'[4]#REF'!G1189</f>
        <v>#REF!</v>
      </c>
      <c r="H1189" s="31" t="e">
        <f>'[4]#REF'!I1189</f>
        <v>#REF!</v>
      </c>
      <c r="I1189" s="32" t="e">
        <f t="shared" si="48"/>
        <v>#REF!</v>
      </c>
    </row>
    <row r="1190" ht="15.75" spans="1:9">
      <c r="A1190" s="12" t="e">
        <f>'[4]#REF'!A1190</f>
        <v>#REF!</v>
      </c>
      <c r="B1190" s="12" t="e">
        <f>'[4]#REF'!B1190</f>
        <v>#REF!</v>
      </c>
      <c r="C1190" s="31" t="e">
        <f>'[4]#REF'!D1190</f>
        <v>#REF!</v>
      </c>
      <c r="D1190" s="32" t="e">
        <f t="shared" si="47"/>
        <v>#REF!</v>
      </c>
      <c r="F1190" s="12" t="e">
        <f>'[4]#REF'!F1190</f>
        <v>#REF!</v>
      </c>
      <c r="G1190" s="12" t="e">
        <f>'[4]#REF'!G1190</f>
        <v>#REF!</v>
      </c>
      <c r="H1190" s="31" t="e">
        <f>'[4]#REF'!I1190</f>
        <v>#REF!</v>
      </c>
      <c r="I1190" s="32" t="e">
        <f t="shared" si="48"/>
        <v>#REF!</v>
      </c>
    </row>
    <row r="1191" ht="15.75" spans="1:9">
      <c r="A1191" s="12" t="e">
        <f>'[4]#REF'!A1191</f>
        <v>#REF!</v>
      </c>
      <c r="B1191" s="12" t="e">
        <f>'[4]#REF'!B1191</f>
        <v>#REF!</v>
      </c>
      <c r="C1191" s="31" t="e">
        <f>'[4]#REF'!D1191</f>
        <v>#REF!</v>
      </c>
      <c r="D1191" s="32" t="e">
        <f t="shared" si="47"/>
        <v>#REF!</v>
      </c>
      <c r="F1191" s="12" t="e">
        <f>'[4]#REF'!F1191</f>
        <v>#REF!</v>
      </c>
      <c r="G1191" s="12" t="e">
        <f>'[4]#REF'!G1191</f>
        <v>#REF!</v>
      </c>
      <c r="H1191" s="31" t="e">
        <f>'[4]#REF'!I1191</f>
        <v>#REF!</v>
      </c>
      <c r="I1191" s="32" t="e">
        <f t="shared" si="48"/>
        <v>#REF!</v>
      </c>
    </row>
    <row r="1192" ht="15.75" spans="1:9">
      <c r="A1192" s="12" t="e">
        <f>'[4]#REF'!A1192</f>
        <v>#REF!</v>
      </c>
      <c r="B1192" s="12" t="e">
        <f>'[4]#REF'!B1192</f>
        <v>#REF!</v>
      </c>
      <c r="C1192" s="31" t="e">
        <f>'[4]#REF'!D1192</f>
        <v>#REF!</v>
      </c>
      <c r="D1192" s="32" t="e">
        <f t="shared" si="47"/>
        <v>#REF!</v>
      </c>
      <c r="F1192" s="12" t="e">
        <f>'[4]#REF'!F1192</f>
        <v>#REF!</v>
      </c>
      <c r="G1192" s="12" t="e">
        <f>'[4]#REF'!G1192</f>
        <v>#REF!</v>
      </c>
      <c r="H1192" s="31" t="e">
        <f>'[4]#REF'!I1192</f>
        <v>#REF!</v>
      </c>
      <c r="I1192" s="32" t="e">
        <f t="shared" si="48"/>
        <v>#REF!</v>
      </c>
    </row>
    <row r="1193" ht="15.75" spans="1:9">
      <c r="A1193" s="12" t="e">
        <f>'[4]#REF'!A1193</f>
        <v>#REF!</v>
      </c>
      <c r="B1193" s="12" t="e">
        <f>'[4]#REF'!B1193</f>
        <v>#REF!</v>
      </c>
      <c r="C1193" s="31" t="e">
        <f>'[4]#REF'!D1193</f>
        <v>#REF!</v>
      </c>
      <c r="D1193" s="32" t="e">
        <f t="shared" si="47"/>
        <v>#REF!</v>
      </c>
      <c r="F1193" s="12" t="e">
        <f>'[4]#REF'!F1193</f>
        <v>#REF!</v>
      </c>
      <c r="G1193" s="12" t="e">
        <f>'[4]#REF'!G1193</f>
        <v>#REF!</v>
      </c>
      <c r="H1193" s="31" t="e">
        <f>'[4]#REF'!I1193</f>
        <v>#REF!</v>
      </c>
      <c r="I1193" s="32" t="e">
        <f t="shared" si="48"/>
        <v>#REF!</v>
      </c>
    </row>
    <row r="1194" ht="15.75" spans="1:9">
      <c r="A1194" s="12" t="e">
        <f>'[4]#REF'!A1194</f>
        <v>#REF!</v>
      </c>
      <c r="B1194" s="12" t="e">
        <f>'[4]#REF'!B1194</f>
        <v>#REF!</v>
      </c>
      <c r="C1194" s="31" t="e">
        <f>'[4]#REF'!D1194</f>
        <v>#REF!</v>
      </c>
      <c r="D1194" s="32" t="e">
        <f t="shared" si="47"/>
        <v>#REF!</v>
      </c>
      <c r="F1194" s="12" t="e">
        <f>'[4]#REF'!F1194</f>
        <v>#REF!</v>
      </c>
      <c r="G1194" s="12" t="e">
        <f>'[4]#REF'!G1194</f>
        <v>#REF!</v>
      </c>
      <c r="H1194" s="31" t="e">
        <f>'[4]#REF'!I1194</f>
        <v>#REF!</v>
      </c>
      <c r="I1194" s="32" t="e">
        <f t="shared" si="48"/>
        <v>#REF!</v>
      </c>
    </row>
    <row r="1195" ht="15.75" spans="1:9">
      <c r="A1195" s="12" t="e">
        <f>'[4]#REF'!A1195</f>
        <v>#REF!</v>
      </c>
      <c r="B1195" s="12" t="e">
        <f>'[4]#REF'!B1195</f>
        <v>#REF!</v>
      </c>
      <c r="C1195" s="31" t="e">
        <f>'[4]#REF'!D1195</f>
        <v>#REF!</v>
      </c>
      <c r="D1195" s="32" t="e">
        <f t="shared" si="47"/>
        <v>#REF!</v>
      </c>
      <c r="F1195" s="12" t="e">
        <f>'[4]#REF'!F1195</f>
        <v>#REF!</v>
      </c>
      <c r="G1195" s="12" t="e">
        <f>'[4]#REF'!G1195</f>
        <v>#REF!</v>
      </c>
      <c r="H1195" s="31" t="e">
        <f>'[4]#REF'!I1195</f>
        <v>#REF!</v>
      </c>
      <c r="I1195" s="32" t="e">
        <f t="shared" si="48"/>
        <v>#REF!</v>
      </c>
    </row>
    <row r="1196" ht="15.75" spans="1:9">
      <c r="A1196" s="12" t="e">
        <f>'[4]#REF'!A1196</f>
        <v>#REF!</v>
      </c>
      <c r="B1196" s="12" t="e">
        <f>'[4]#REF'!B1196</f>
        <v>#REF!</v>
      </c>
      <c r="C1196" s="31" t="e">
        <f>'[4]#REF'!D1196</f>
        <v>#REF!</v>
      </c>
      <c r="D1196" s="32" t="e">
        <f t="shared" si="47"/>
        <v>#REF!</v>
      </c>
      <c r="F1196" s="12" t="e">
        <f>'[4]#REF'!F1196</f>
        <v>#REF!</v>
      </c>
      <c r="G1196" s="12" t="e">
        <f>'[4]#REF'!G1196</f>
        <v>#REF!</v>
      </c>
      <c r="H1196" s="31" t="e">
        <f>'[4]#REF'!I1196</f>
        <v>#REF!</v>
      </c>
      <c r="I1196" s="32" t="e">
        <f t="shared" si="48"/>
        <v>#REF!</v>
      </c>
    </row>
    <row r="1197" ht="15.75" spans="1:9">
      <c r="A1197" s="12" t="e">
        <f>'[4]#REF'!A1197</f>
        <v>#REF!</v>
      </c>
      <c r="B1197" s="12" t="e">
        <f>'[4]#REF'!B1197</f>
        <v>#REF!</v>
      </c>
      <c r="C1197" s="31" t="e">
        <f>'[4]#REF'!D1197</f>
        <v>#REF!</v>
      </c>
      <c r="D1197" s="32" t="e">
        <f t="shared" si="47"/>
        <v>#REF!</v>
      </c>
      <c r="F1197" s="12" t="e">
        <f>'[4]#REF'!F1197</f>
        <v>#REF!</v>
      </c>
      <c r="G1197" s="12" t="e">
        <f>'[4]#REF'!G1197</f>
        <v>#REF!</v>
      </c>
      <c r="H1197" s="31" t="e">
        <f>'[4]#REF'!I1197</f>
        <v>#REF!</v>
      </c>
      <c r="I1197" s="32" t="e">
        <f t="shared" si="48"/>
        <v>#REF!</v>
      </c>
    </row>
    <row r="1198" ht="15.75" spans="1:9">
      <c r="A1198" s="12" t="e">
        <f>'[4]#REF'!A1198</f>
        <v>#REF!</v>
      </c>
      <c r="B1198" s="12" t="e">
        <f>'[4]#REF'!B1198</f>
        <v>#REF!</v>
      </c>
      <c r="C1198" s="31" t="e">
        <f>'[4]#REF'!D1198</f>
        <v>#REF!</v>
      </c>
      <c r="D1198" s="32" t="e">
        <f t="shared" si="47"/>
        <v>#REF!</v>
      </c>
      <c r="F1198" s="12" t="e">
        <f>'[4]#REF'!F1198</f>
        <v>#REF!</v>
      </c>
      <c r="G1198" s="12" t="e">
        <f>'[4]#REF'!G1198</f>
        <v>#REF!</v>
      </c>
      <c r="H1198" s="31" t="e">
        <f>'[4]#REF'!I1198</f>
        <v>#REF!</v>
      </c>
      <c r="I1198" s="32" t="e">
        <f t="shared" si="48"/>
        <v>#REF!</v>
      </c>
    </row>
    <row r="1199" ht="15.75" spans="1:9">
      <c r="A1199" s="12" t="e">
        <f>'[4]#REF'!A1199</f>
        <v>#REF!</v>
      </c>
      <c r="B1199" s="12" t="e">
        <f>'[4]#REF'!B1199</f>
        <v>#REF!</v>
      </c>
      <c r="C1199" s="31" t="e">
        <f>'[4]#REF'!D1199</f>
        <v>#REF!</v>
      </c>
      <c r="D1199" s="32" t="e">
        <f t="shared" si="47"/>
        <v>#REF!</v>
      </c>
      <c r="F1199" s="12" t="e">
        <f>'[4]#REF'!F1199</f>
        <v>#REF!</v>
      </c>
      <c r="G1199" s="12" t="e">
        <f>'[4]#REF'!G1199</f>
        <v>#REF!</v>
      </c>
      <c r="H1199" s="31" t="e">
        <f>'[4]#REF'!I1199</f>
        <v>#REF!</v>
      </c>
      <c r="I1199" s="32" t="e">
        <f t="shared" si="48"/>
        <v>#REF!</v>
      </c>
    </row>
    <row r="1200" ht="15.75" spans="1:9">
      <c r="A1200" s="12" t="e">
        <f>'[4]#REF'!A1200</f>
        <v>#REF!</v>
      </c>
      <c r="B1200" s="12" t="e">
        <f>'[4]#REF'!B1200</f>
        <v>#REF!</v>
      </c>
      <c r="C1200" s="31" t="e">
        <f>'[4]#REF'!D1200</f>
        <v>#REF!</v>
      </c>
      <c r="D1200" s="32" t="e">
        <f t="shared" si="47"/>
        <v>#REF!</v>
      </c>
      <c r="F1200" s="12" t="e">
        <f>'[4]#REF'!F1200</f>
        <v>#REF!</v>
      </c>
      <c r="G1200" s="12" t="e">
        <f>'[4]#REF'!G1200</f>
        <v>#REF!</v>
      </c>
      <c r="H1200" s="31" t="e">
        <f>'[4]#REF'!I1200</f>
        <v>#REF!</v>
      </c>
      <c r="I1200" s="32" t="e">
        <f t="shared" si="48"/>
        <v>#REF!</v>
      </c>
    </row>
    <row r="1201" ht="15.75" spans="1:9">
      <c r="A1201" s="12" t="e">
        <f>'[4]#REF'!A1201</f>
        <v>#REF!</v>
      </c>
      <c r="B1201" s="12" t="e">
        <f>'[4]#REF'!B1201</f>
        <v>#REF!</v>
      </c>
      <c r="C1201" s="31" t="e">
        <f>'[4]#REF'!D1201</f>
        <v>#REF!</v>
      </c>
      <c r="D1201" s="32" t="e">
        <f t="shared" si="47"/>
        <v>#REF!</v>
      </c>
      <c r="F1201" s="12" t="e">
        <f>'[4]#REF'!F1201</f>
        <v>#REF!</v>
      </c>
      <c r="G1201" s="12" t="e">
        <f>'[4]#REF'!G1201</f>
        <v>#REF!</v>
      </c>
      <c r="H1201" s="31" t="e">
        <f>'[4]#REF'!I1201</f>
        <v>#REF!</v>
      </c>
      <c r="I1201" s="32" t="e">
        <f t="shared" si="48"/>
        <v>#REF!</v>
      </c>
    </row>
    <row r="1202" ht="15.75" spans="1:9">
      <c r="A1202" s="12" t="e">
        <f>'[4]#REF'!A1202</f>
        <v>#REF!</v>
      </c>
      <c r="B1202" s="12" t="e">
        <f>'[4]#REF'!B1202</f>
        <v>#REF!</v>
      </c>
      <c r="C1202" s="31" t="e">
        <f>'[4]#REF'!D1202</f>
        <v>#REF!</v>
      </c>
      <c r="D1202" s="32" t="e">
        <f t="shared" si="47"/>
        <v>#REF!</v>
      </c>
      <c r="F1202" s="12" t="e">
        <f>'[4]#REF'!F1202</f>
        <v>#REF!</v>
      </c>
      <c r="G1202" s="12" t="e">
        <f>'[4]#REF'!G1202</f>
        <v>#REF!</v>
      </c>
      <c r="H1202" s="31" t="e">
        <f>'[4]#REF'!I1202</f>
        <v>#REF!</v>
      </c>
      <c r="I1202" s="32" t="e">
        <f t="shared" si="48"/>
        <v>#REF!</v>
      </c>
    </row>
    <row r="1203" ht="15.75" spans="1:9">
      <c r="A1203" s="12" t="e">
        <f>'[4]#REF'!A1203</f>
        <v>#REF!</v>
      </c>
      <c r="B1203" s="12" t="e">
        <f>'[4]#REF'!B1203</f>
        <v>#REF!</v>
      </c>
      <c r="C1203" s="31" t="e">
        <f>'[4]#REF'!D1203</f>
        <v>#REF!</v>
      </c>
      <c r="D1203" s="32" t="e">
        <f t="shared" si="47"/>
        <v>#REF!</v>
      </c>
      <c r="F1203" s="12" t="e">
        <f>'[4]#REF'!F1203</f>
        <v>#REF!</v>
      </c>
      <c r="G1203" s="12" t="e">
        <f>'[4]#REF'!G1203</f>
        <v>#REF!</v>
      </c>
      <c r="H1203" s="31" t="e">
        <f>'[4]#REF'!I1203</f>
        <v>#REF!</v>
      </c>
      <c r="I1203" s="32" t="e">
        <f t="shared" si="48"/>
        <v>#REF!</v>
      </c>
    </row>
    <row r="1204" ht="15.75" spans="1:9">
      <c r="A1204" s="12" t="e">
        <f>'[4]#REF'!A1204</f>
        <v>#REF!</v>
      </c>
      <c r="B1204" s="12" t="e">
        <f>'[4]#REF'!B1204</f>
        <v>#REF!</v>
      </c>
      <c r="C1204" s="31" t="e">
        <f>'[4]#REF'!D1204</f>
        <v>#REF!</v>
      </c>
      <c r="D1204" s="32" t="e">
        <f t="shared" si="47"/>
        <v>#REF!</v>
      </c>
      <c r="F1204" s="12" t="e">
        <f>'[4]#REF'!F1204</f>
        <v>#REF!</v>
      </c>
      <c r="G1204" s="12" t="e">
        <f>'[4]#REF'!G1204</f>
        <v>#REF!</v>
      </c>
      <c r="H1204" s="31" t="e">
        <f>'[4]#REF'!I1204</f>
        <v>#REF!</v>
      </c>
      <c r="I1204" s="32" t="e">
        <f t="shared" si="48"/>
        <v>#REF!</v>
      </c>
    </row>
    <row r="1205" ht="15.75" spans="1:9">
      <c r="A1205" s="12" t="e">
        <f>'[4]#REF'!A1205</f>
        <v>#REF!</v>
      </c>
      <c r="B1205" s="12" t="e">
        <f>'[4]#REF'!B1205</f>
        <v>#REF!</v>
      </c>
      <c r="C1205" s="31" t="e">
        <f>'[4]#REF'!D1205</f>
        <v>#REF!</v>
      </c>
      <c r="D1205" s="32" t="e">
        <f t="shared" si="47"/>
        <v>#REF!</v>
      </c>
      <c r="F1205" s="12" t="e">
        <f>'[4]#REF'!F1205</f>
        <v>#REF!</v>
      </c>
      <c r="G1205" s="12" t="e">
        <f>'[4]#REF'!G1205</f>
        <v>#REF!</v>
      </c>
      <c r="H1205" s="31" t="e">
        <f>'[4]#REF'!I1205</f>
        <v>#REF!</v>
      </c>
      <c r="I1205" s="32" t="e">
        <f t="shared" si="48"/>
        <v>#REF!</v>
      </c>
    </row>
    <row r="1206" ht="15.75" spans="1:9">
      <c r="A1206" s="12" t="e">
        <f>'[4]#REF'!A1206</f>
        <v>#REF!</v>
      </c>
      <c r="B1206" s="12" t="e">
        <f>'[4]#REF'!B1206</f>
        <v>#REF!</v>
      </c>
      <c r="C1206" s="31" t="e">
        <f>'[4]#REF'!D1206</f>
        <v>#REF!</v>
      </c>
      <c r="D1206" s="32" t="e">
        <f t="shared" si="47"/>
        <v>#REF!</v>
      </c>
      <c r="F1206" s="12" t="e">
        <f>'[4]#REF'!F1206</f>
        <v>#REF!</v>
      </c>
      <c r="G1206" s="12" t="e">
        <f>'[4]#REF'!G1206</f>
        <v>#REF!</v>
      </c>
      <c r="H1206" s="31" t="e">
        <f>'[4]#REF'!I1206</f>
        <v>#REF!</v>
      </c>
      <c r="I1206" s="32" t="e">
        <f t="shared" si="48"/>
        <v>#REF!</v>
      </c>
    </row>
    <row r="1207" ht="15.75" spans="1:9">
      <c r="A1207" s="12" t="e">
        <f>'[4]#REF'!A1207</f>
        <v>#REF!</v>
      </c>
      <c r="B1207" s="12" t="e">
        <f>'[4]#REF'!B1207</f>
        <v>#REF!</v>
      </c>
      <c r="C1207" s="31" t="e">
        <f>'[4]#REF'!D1207</f>
        <v>#REF!</v>
      </c>
      <c r="D1207" s="32" t="e">
        <f t="shared" si="47"/>
        <v>#REF!</v>
      </c>
      <c r="F1207" s="12" t="e">
        <f>'[4]#REF'!F1207</f>
        <v>#REF!</v>
      </c>
      <c r="G1207" s="12" t="e">
        <f>'[4]#REF'!G1207</f>
        <v>#REF!</v>
      </c>
      <c r="H1207" s="31" t="e">
        <f>'[4]#REF'!I1207</f>
        <v>#REF!</v>
      </c>
      <c r="I1207" s="32" t="e">
        <f t="shared" si="48"/>
        <v>#REF!</v>
      </c>
    </row>
    <row r="1208" ht="15.75" spans="1:9">
      <c r="A1208" s="12" t="e">
        <f>'[4]#REF'!A1208</f>
        <v>#REF!</v>
      </c>
      <c r="B1208" s="12" t="e">
        <f>'[4]#REF'!B1208</f>
        <v>#REF!</v>
      </c>
      <c r="C1208" s="31" t="e">
        <f>'[4]#REF'!D1208</f>
        <v>#REF!</v>
      </c>
      <c r="D1208" s="32" t="e">
        <f t="shared" si="47"/>
        <v>#REF!</v>
      </c>
      <c r="F1208" s="12" t="e">
        <f>'[4]#REF'!F1208</f>
        <v>#REF!</v>
      </c>
      <c r="G1208" s="12" t="e">
        <f>'[4]#REF'!G1208</f>
        <v>#REF!</v>
      </c>
      <c r="H1208" s="31" t="e">
        <f>'[4]#REF'!I1208</f>
        <v>#REF!</v>
      </c>
      <c r="I1208" s="32" t="e">
        <f t="shared" si="48"/>
        <v>#REF!</v>
      </c>
    </row>
    <row r="1209" ht="15.75" spans="1:9">
      <c r="A1209" s="12" t="e">
        <f>'[4]#REF'!A1209</f>
        <v>#REF!</v>
      </c>
      <c r="B1209" s="12" t="e">
        <f>'[4]#REF'!B1209</f>
        <v>#REF!</v>
      </c>
      <c r="C1209" s="31" t="e">
        <f>'[4]#REF'!D1209</f>
        <v>#REF!</v>
      </c>
      <c r="D1209" s="32" t="e">
        <f t="shared" si="47"/>
        <v>#REF!</v>
      </c>
      <c r="F1209" s="12" t="e">
        <f>'[4]#REF'!F1209</f>
        <v>#REF!</v>
      </c>
      <c r="G1209" s="12" t="e">
        <f>'[4]#REF'!G1209</f>
        <v>#REF!</v>
      </c>
      <c r="H1209" s="31" t="e">
        <f>'[4]#REF'!I1209</f>
        <v>#REF!</v>
      </c>
      <c r="I1209" s="32" t="e">
        <f t="shared" si="48"/>
        <v>#REF!</v>
      </c>
    </row>
    <row r="1210" ht="15.75" spans="1:9">
      <c r="A1210" s="12" t="e">
        <f>'[4]#REF'!A1210</f>
        <v>#REF!</v>
      </c>
      <c r="B1210" s="12" t="e">
        <f>'[4]#REF'!B1210</f>
        <v>#REF!</v>
      </c>
      <c r="C1210" s="31" t="e">
        <f>'[4]#REF'!D1210</f>
        <v>#REF!</v>
      </c>
      <c r="D1210" s="32" t="e">
        <f t="shared" si="47"/>
        <v>#REF!</v>
      </c>
      <c r="F1210" s="12" t="e">
        <f>'[4]#REF'!F1210</f>
        <v>#REF!</v>
      </c>
      <c r="G1210" s="12" t="e">
        <f>'[4]#REF'!G1210</f>
        <v>#REF!</v>
      </c>
      <c r="H1210" s="31" t="e">
        <f>'[4]#REF'!I1210</f>
        <v>#REF!</v>
      </c>
      <c r="I1210" s="32" t="e">
        <f t="shared" si="48"/>
        <v>#REF!</v>
      </c>
    </row>
    <row r="1211" ht="15.75" spans="1:9">
      <c r="A1211" s="12" t="e">
        <f>'[4]#REF'!A1211</f>
        <v>#REF!</v>
      </c>
      <c r="B1211" s="12" t="e">
        <f>'[4]#REF'!B1211</f>
        <v>#REF!</v>
      </c>
      <c r="C1211" s="31" t="e">
        <f>'[4]#REF'!D1211</f>
        <v>#REF!</v>
      </c>
      <c r="D1211" s="32" t="e">
        <f t="shared" si="47"/>
        <v>#REF!</v>
      </c>
      <c r="F1211" s="12" t="e">
        <f>'[4]#REF'!F1211</f>
        <v>#REF!</v>
      </c>
      <c r="G1211" s="12" t="e">
        <f>'[4]#REF'!G1211</f>
        <v>#REF!</v>
      </c>
      <c r="H1211" s="31" t="e">
        <f>'[4]#REF'!I1211</f>
        <v>#REF!</v>
      </c>
      <c r="I1211" s="32" t="e">
        <f t="shared" si="48"/>
        <v>#REF!</v>
      </c>
    </row>
    <row r="1212" ht="15.75" spans="1:9">
      <c r="A1212" s="12" t="e">
        <f>'[4]#REF'!A1212</f>
        <v>#REF!</v>
      </c>
      <c r="B1212" s="12" t="e">
        <f>'[4]#REF'!B1212</f>
        <v>#REF!</v>
      </c>
      <c r="C1212" s="31" t="e">
        <f>'[4]#REF'!D1212</f>
        <v>#REF!</v>
      </c>
      <c r="D1212" s="32" t="e">
        <f t="shared" si="47"/>
        <v>#REF!</v>
      </c>
      <c r="F1212" s="12" t="e">
        <f>'[4]#REF'!F1212</f>
        <v>#REF!</v>
      </c>
      <c r="G1212" s="12" t="e">
        <f>'[4]#REF'!G1212</f>
        <v>#REF!</v>
      </c>
      <c r="H1212" s="31" t="e">
        <f>'[4]#REF'!I1212</f>
        <v>#REF!</v>
      </c>
      <c r="I1212" s="32" t="e">
        <f t="shared" si="48"/>
        <v>#REF!</v>
      </c>
    </row>
    <row r="1213" ht="15.75" spans="1:9">
      <c r="A1213" s="12" t="e">
        <f>'[4]#REF'!A1213</f>
        <v>#REF!</v>
      </c>
      <c r="B1213" s="12" t="e">
        <f>'[4]#REF'!B1213</f>
        <v>#REF!</v>
      </c>
      <c r="C1213" s="31" t="e">
        <f>'[4]#REF'!D1213</f>
        <v>#REF!</v>
      </c>
      <c r="D1213" s="32" t="e">
        <f t="shared" si="47"/>
        <v>#REF!</v>
      </c>
      <c r="F1213" s="12" t="e">
        <f>'[4]#REF'!F1213</f>
        <v>#REF!</v>
      </c>
      <c r="G1213" s="12" t="e">
        <f>'[4]#REF'!G1213</f>
        <v>#REF!</v>
      </c>
      <c r="H1213" s="31" t="e">
        <f>'[4]#REF'!I1213</f>
        <v>#REF!</v>
      </c>
      <c r="I1213" s="32" t="e">
        <f t="shared" si="48"/>
        <v>#REF!</v>
      </c>
    </row>
    <row r="1214" ht="15.75" spans="1:9">
      <c r="A1214" s="12" t="e">
        <f>'[4]#REF'!A1214</f>
        <v>#REF!</v>
      </c>
      <c r="B1214" s="12" t="e">
        <f>'[4]#REF'!B1214</f>
        <v>#REF!</v>
      </c>
      <c r="C1214" s="31" t="e">
        <f>'[4]#REF'!D1214</f>
        <v>#REF!</v>
      </c>
      <c r="D1214" s="32" t="e">
        <f t="shared" si="47"/>
        <v>#REF!</v>
      </c>
      <c r="F1214" s="12" t="e">
        <f>'[4]#REF'!F1214</f>
        <v>#REF!</v>
      </c>
      <c r="G1214" s="12" t="e">
        <f>'[4]#REF'!G1214</f>
        <v>#REF!</v>
      </c>
      <c r="H1214" s="31" t="e">
        <f>'[4]#REF'!I1214</f>
        <v>#REF!</v>
      </c>
      <c r="I1214" s="32" t="e">
        <f t="shared" si="48"/>
        <v>#REF!</v>
      </c>
    </row>
    <row r="1215" ht="15.75" spans="1:9">
      <c r="A1215" s="12" t="e">
        <f>'[4]#REF'!A1215</f>
        <v>#REF!</v>
      </c>
      <c r="B1215" s="12" t="e">
        <f>'[4]#REF'!B1215</f>
        <v>#REF!</v>
      </c>
      <c r="C1215" s="31" t="e">
        <f>'[4]#REF'!D1215</f>
        <v>#REF!</v>
      </c>
      <c r="D1215" s="32" t="e">
        <f t="shared" si="47"/>
        <v>#REF!</v>
      </c>
      <c r="F1215" s="12" t="e">
        <f>'[4]#REF'!F1215</f>
        <v>#REF!</v>
      </c>
      <c r="G1215" s="12" t="e">
        <f>'[4]#REF'!G1215</f>
        <v>#REF!</v>
      </c>
      <c r="H1215" s="31" t="e">
        <f>'[4]#REF'!I1215</f>
        <v>#REF!</v>
      </c>
      <c r="I1215" s="32" t="e">
        <f t="shared" si="48"/>
        <v>#REF!</v>
      </c>
    </row>
    <row r="1216" ht="15.75" spans="1:9">
      <c r="A1216" s="12" t="e">
        <f>'[4]#REF'!A1216</f>
        <v>#REF!</v>
      </c>
      <c r="B1216" s="12" t="e">
        <f>'[4]#REF'!B1216</f>
        <v>#REF!</v>
      </c>
      <c r="C1216" s="31" t="e">
        <f>'[4]#REF'!D1216</f>
        <v>#REF!</v>
      </c>
      <c r="D1216" s="32" t="e">
        <f t="shared" si="47"/>
        <v>#REF!</v>
      </c>
      <c r="F1216" s="12" t="e">
        <f>'[4]#REF'!F1216</f>
        <v>#REF!</v>
      </c>
      <c r="G1216" s="12" t="e">
        <f>'[4]#REF'!G1216</f>
        <v>#REF!</v>
      </c>
      <c r="H1216" s="31" t="e">
        <f>'[4]#REF'!I1216</f>
        <v>#REF!</v>
      </c>
      <c r="I1216" s="32" t="e">
        <f t="shared" si="48"/>
        <v>#REF!</v>
      </c>
    </row>
    <row r="1217" ht="15.75" spans="1:9">
      <c r="A1217" s="12" t="e">
        <f>'[4]#REF'!A1217</f>
        <v>#REF!</v>
      </c>
      <c r="B1217" s="12" t="e">
        <f>'[4]#REF'!B1217</f>
        <v>#REF!</v>
      </c>
      <c r="C1217" s="31" t="e">
        <f>'[4]#REF'!D1217</f>
        <v>#REF!</v>
      </c>
      <c r="D1217" s="32" t="e">
        <f t="shared" si="47"/>
        <v>#REF!</v>
      </c>
      <c r="F1217" s="12" t="e">
        <f>'[4]#REF'!F1217</f>
        <v>#REF!</v>
      </c>
      <c r="G1217" s="12" t="e">
        <f>'[4]#REF'!G1217</f>
        <v>#REF!</v>
      </c>
      <c r="H1217" s="31" t="e">
        <f>'[4]#REF'!I1217</f>
        <v>#REF!</v>
      </c>
      <c r="I1217" s="32" t="e">
        <f t="shared" si="48"/>
        <v>#REF!</v>
      </c>
    </row>
    <row r="1218" ht="15.75" spans="1:9">
      <c r="A1218" s="12" t="e">
        <f>'[4]#REF'!A1218</f>
        <v>#REF!</v>
      </c>
      <c r="B1218" s="12" t="e">
        <f>'[4]#REF'!B1218</f>
        <v>#REF!</v>
      </c>
      <c r="C1218" s="31" t="e">
        <f>'[4]#REF'!D1218</f>
        <v>#REF!</v>
      </c>
      <c r="D1218" s="32" t="e">
        <f t="shared" si="47"/>
        <v>#REF!</v>
      </c>
      <c r="F1218" s="12" t="e">
        <f>'[4]#REF'!F1218</f>
        <v>#REF!</v>
      </c>
      <c r="G1218" s="12" t="e">
        <f>'[4]#REF'!G1218</f>
        <v>#REF!</v>
      </c>
      <c r="H1218" s="31" t="e">
        <f>'[4]#REF'!I1218</f>
        <v>#REF!</v>
      </c>
      <c r="I1218" s="32" t="e">
        <f t="shared" si="48"/>
        <v>#REF!</v>
      </c>
    </row>
    <row r="1219" ht="15.75" spans="1:9">
      <c r="A1219" s="12" t="e">
        <f>'[4]#REF'!A1219</f>
        <v>#REF!</v>
      </c>
      <c r="B1219" s="12" t="e">
        <f>'[4]#REF'!B1219</f>
        <v>#REF!</v>
      </c>
      <c r="C1219" s="31" t="e">
        <f>'[4]#REF'!D1219</f>
        <v>#REF!</v>
      </c>
      <c r="D1219" s="32" t="e">
        <f t="shared" si="47"/>
        <v>#REF!</v>
      </c>
      <c r="F1219" s="12" t="e">
        <f>'[4]#REF'!F1219</f>
        <v>#REF!</v>
      </c>
      <c r="G1219" s="12" t="e">
        <f>'[4]#REF'!G1219</f>
        <v>#REF!</v>
      </c>
      <c r="H1219" s="31" t="e">
        <f>'[4]#REF'!I1219</f>
        <v>#REF!</v>
      </c>
      <c r="I1219" s="32" t="e">
        <f t="shared" si="48"/>
        <v>#REF!</v>
      </c>
    </row>
    <row r="1220" ht="15.75" spans="1:9">
      <c r="A1220" s="12" t="e">
        <f>'[4]#REF'!A1220</f>
        <v>#REF!</v>
      </c>
      <c r="B1220" s="12" t="e">
        <f>'[4]#REF'!B1220</f>
        <v>#REF!</v>
      </c>
      <c r="C1220" s="31" t="e">
        <f>'[4]#REF'!D1220</f>
        <v>#REF!</v>
      </c>
      <c r="D1220" s="32" t="e">
        <f t="shared" si="47"/>
        <v>#REF!</v>
      </c>
      <c r="F1220" s="12" t="e">
        <f>'[4]#REF'!F1220</f>
        <v>#REF!</v>
      </c>
      <c r="G1220" s="12" t="e">
        <f>'[4]#REF'!G1220</f>
        <v>#REF!</v>
      </c>
      <c r="H1220" s="31" t="e">
        <f>'[4]#REF'!I1220</f>
        <v>#REF!</v>
      </c>
      <c r="I1220" s="32" t="e">
        <f t="shared" si="48"/>
        <v>#REF!</v>
      </c>
    </row>
    <row r="1221" ht="15.75" spans="1:9">
      <c r="A1221" s="12" t="e">
        <f>'[4]#REF'!A1221</f>
        <v>#REF!</v>
      </c>
      <c r="B1221" s="12" t="e">
        <f>'[4]#REF'!B1221</f>
        <v>#REF!</v>
      </c>
      <c r="C1221" s="31" t="e">
        <f>'[4]#REF'!D1221</f>
        <v>#REF!</v>
      </c>
      <c r="D1221" s="32" t="e">
        <f t="shared" si="47"/>
        <v>#REF!</v>
      </c>
      <c r="F1221" s="12" t="e">
        <f>'[4]#REF'!F1221</f>
        <v>#REF!</v>
      </c>
      <c r="G1221" s="12" t="e">
        <f>'[4]#REF'!G1221</f>
        <v>#REF!</v>
      </c>
      <c r="H1221" s="31" t="e">
        <f>'[4]#REF'!I1221</f>
        <v>#REF!</v>
      </c>
      <c r="I1221" s="32" t="e">
        <f t="shared" si="48"/>
        <v>#REF!</v>
      </c>
    </row>
    <row r="1222" ht="15.75" spans="1:9">
      <c r="A1222" s="12" t="e">
        <f>'[4]#REF'!A1222</f>
        <v>#REF!</v>
      </c>
      <c r="B1222" s="12" t="e">
        <f>'[4]#REF'!B1222</f>
        <v>#REF!</v>
      </c>
      <c r="C1222" s="31" t="e">
        <f>'[4]#REF'!D1222</f>
        <v>#REF!</v>
      </c>
      <c r="D1222" s="32" t="e">
        <f t="shared" ref="D1222:D1248" si="49">ROUND(C1222/$D$4*100,2)</f>
        <v>#REF!</v>
      </c>
      <c r="F1222" s="12" t="e">
        <f>'[4]#REF'!F1222</f>
        <v>#REF!</v>
      </c>
      <c r="G1222" s="12" t="e">
        <f>'[4]#REF'!G1222</f>
        <v>#REF!</v>
      </c>
      <c r="H1222" s="31" t="e">
        <f>'[4]#REF'!I1222</f>
        <v>#REF!</v>
      </c>
      <c r="I1222" s="32" t="e">
        <f t="shared" ref="I1222:I1285" si="50">ROUND(H1222/$I$4*100,2)</f>
        <v>#REF!</v>
      </c>
    </row>
    <row r="1223" ht="15.75" spans="1:9">
      <c r="A1223" s="12" t="e">
        <f>'[4]#REF'!A1223</f>
        <v>#REF!</v>
      </c>
      <c r="B1223" s="12" t="e">
        <f>'[4]#REF'!B1223</f>
        <v>#REF!</v>
      </c>
      <c r="C1223" s="31" t="e">
        <f>'[4]#REF'!D1223</f>
        <v>#REF!</v>
      </c>
      <c r="D1223" s="32" t="e">
        <f t="shared" si="49"/>
        <v>#REF!</v>
      </c>
      <c r="F1223" s="12" t="e">
        <f>'[4]#REF'!F1223</f>
        <v>#REF!</v>
      </c>
      <c r="G1223" s="12" t="e">
        <f>'[4]#REF'!G1223</f>
        <v>#REF!</v>
      </c>
      <c r="H1223" s="31" t="e">
        <f>'[4]#REF'!I1223</f>
        <v>#REF!</v>
      </c>
      <c r="I1223" s="32" t="e">
        <f t="shared" si="50"/>
        <v>#REF!</v>
      </c>
    </row>
    <row r="1224" ht="15.75" spans="1:9">
      <c r="A1224" s="12" t="e">
        <f>'[4]#REF'!A1224</f>
        <v>#REF!</v>
      </c>
      <c r="B1224" s="12" t="e">
        <f>'[4]#REF'!B1224</f>
        <v>#REF!</v>
      </c>
      <c r="C1224" s="31" t="e">
        <f>'[4]#REF'!D1224</f>
        <v>#REF!</v>
      </c>
      <c r="D1224" s="32" t="e">
        <f t="shared" si="49"/>
        <v>#REF!</v>
      </c>
      <c r="F1224" s="12" t="e">
        <f>'[4]#REF'!F1224</f>
        <v>#REF!</v>
      </c>
      <c r="G1224" s="12" t="e">
        <f>'[4]#REF'!G1224</f>
        <v>#REF!</v>
      </c>
      <c r="H1224" s="31" t="e">
        <f>'[4]#REF'!I1224</f>
        <v>#REF!</v>
      </c>
      <c r="I1224" s="32" t="e">
        <f t="shared" si="50"/>
        <v>#REF!</v>
      </c>
    </row>
    <row r="1225" ht="15.75" spans="1:9">
      <c r="A1225" s="12" t="e">
        <f>'[4]#REF'!A1225</f>
        <v>#REF!</v>
      </c>
      <c r="B1225" s="12" t="e">
        <f>'[4]#REF'!B1225</f>
        <v>#REF!</v>
      </c>
      <c r="C1225" s="31" t="e">
        <f>'[4]#REF'!D1225</f>
        <v>#REF!</v>
      </c>
      <c r="D1225" s="32" t="e">
        <f t="shared" si="49"/>
        <v>#REF!</v>
      </c>
      <c r="F1225" s="12" t="e">
        <f>'[4]#REF'!F1225</f>
        <v>#REF!</v>
      </c>
      <c r="G1225" s="12" t="e">
        <f>'[4]#REF'!G1225</f>
        <v>#REF!</v>
      </c>
      <c r="H1225" s="31" t="e">
        <f>'[4]#REF'!I1225</f>
        <v>#REF!</v>
      </c>
      <c r="I1225" s="32" t="e">
        <f t="shared" si="50"/>
        <v>#REF!</v>
      </c>
    </row>
    <row r="1226" ht="15.75" spans="1:9">
      <c r="A1226" s="12" t="e">
        <f>'[4]#REF'!A1226</f>
        <v>#REF!</v>
      </c>
      <c r="B1226" s="12" t="e">
        <f>'[4]#REF'!B1226</f>
        <v>#REF!</v>
      </c>
      <c r="C1226" s="31" t="e">
        <f>'[4]#REF'!D1226</f>
        <v>#REF!</v>
      </c>
      <c r="D1226" s="32" t="e">
        <f t="shared" si="49"/>
        <v>#REF!</v>
      </c>
      <c r="F1226" s="12" t="e">
        <f>'[4]#REF'!F1226</f>
        <v>#REF!</v>
      </c>
      <c r="G1226" s="12" t="e">
        <f>'[4]#REF'!G1226</f>
        <v>#REF!</v>
      </c>
      <c r="H1226" s="31" t="e">
        <f>'[4]#REF'!I1226</f>
        <v>#REF!</v>
      </c>
      <c r="I1226" s="32" t="e">
        <f t="shared" si="50"/>
        <v>#REF!</v>
      </c>
    </row>
    <row r="1227" ht="15.75" spans="1:9">
      <c r="A1227" s="12" t="e">
        <f>'[4]#REF'!A1227</f>
        <v>#REF!</v>
      </c>
      <c r="B1227" s="12" t="e">
        <f>'[4]#REF'!B1227</f>
        <v>#REF!</v>
      </c>
      <c r="C1227" s="31" t="e">
        <f>'[4]#REF'!D1227</f>
        <v>#REF!</v>
      </c>
      <c r="D1227" s="32" t="e">
        <f t="shared" si="49"/>
        <v>#REF!</v>
      </c>
      <c r="F1227" s="12" t="e">
        <f>'[4]#REF'!F1227</f>
        <v>#REF!</v>
      </c>
      <c r="G1227" s="12" t="e">
        <f>'[4]#REF'!G1227</f>
        <v>#REF!</v>
      </c>
      <c r="H1227" s="31" t="e">
        <f>'[4]#REF'!I1227</f>
        <v>#REF!</v>
      </c>
      <c r="I1227" s="32" t="e">
        <f t="shared" si="50"/>
        <v>#REF!</v>
      </c>
    </row>
    <row r="1228" ht="15.75" spans="1:9">
      <c r="A1228" s="12" t="e">
        <f>'[4]#REF'!A1228</f>
        <v>#REF!</v>
      </c>
      <c r="B1228" s="12" t="e">
        <f>'[4]#REF'!B1228</f>
        <v>#REF!</v>
      </c>
      <c r="C1228" s="31" t="e">
        <f>'[4]#REF'!D1228</f>
        <v>#REF!</v>
      </c>
      <c r="D1228" s="32" t="e">
        <f t="shared" si="49"/>
        <v>#REF!</v>
      </c>
      <c r="F1228" s="12" t="e">
        <f>'[4]#REF'!F1228</f>
        <v>#REF!</v>
      </c>
      <c r="G1228" s="12" t="e">
        <f>'[4]#REF'!G1228</f>
        <v>#REF!</v>
      </c>
      <c r="H1228" s="31" t="e">
        <f>'[4]#REF'!I1228</f>
        <v>#REF!</v>
      </c>
      <c r="I1228" s="32" t="e">
        <f t="shared" si="50"/>
        <v>#REF!</v>
      </c>
    </row>
    <row r="1229" ht="15.75" spans="1:9">
      <c r="A1229" s="12" t="e">
        <f>'[4]#REF'!A1229</f>
        <v>#REF!</v>
      </c>
      <c r="B1229" s="12" t="e">
        <f>'[4]#REF'!B1229</f>
        <v>#REF!</v>
      </c>
      <c r="C1229" s="31" t="e">
        <f>'[4]#REF'!D1229</f>
        <v>#REF!</v>
      </c>
      <c r="D1229" s="32" t="e">
        <f t="shared" si="49"/>
        <v>#REF!</v>
      </c>
      <c r="F1229" s="12" t="e">
        <f>'[4]#REF'!F1229</f>
        <v>#REF!</v>
      </c>
      <c r="G1229" s="12" t="e">
        <f>'[4]#REF'!G1229</f>
        <v>#REF!</v>
      </c>
      <c r="H1229" s="31" t="e">
        <f>'[4]#REF'!I1229</f>
        <v>#REF!</v>
      </c>
      <c r="I1229" s="32" t="e">
        <f t="shared" si="50"/>
        <v>#REF!</v>
      </c>
    </row>
    <row r="1230" ht="15.75" spans="1:9">
      <c r="A1230" s="12" t="e">
        <f>'[4]#REF'!A1230</f>
        <v>#REF!</v>
      </c>
      <c r="B1230" s="12" t="e">
        <f>'[4]#REF'!B1230</f>
        <v>#REF!</v>
      </c>
      <c r="C1230" s="31" t="e">
        <f>'[4]#REF'!D1230</f>
        <v>#REF!</v>
      </c>
      <c r="D1230" s="32" t="e">
        <f t="shared" si="49"/>
        <v>#REF!</v>
      </c>
      <c r="F1230" s="12" t="e">
        <f>'[4]#REF'!F1230</f>
        <v>#REF!</v>
      </c>
      <c r="G1230" s="12" t="e">
        <f>'[4]#REF'!G1230</f>
        <v>#REF!</v>
      </c>
      <c r="H1230" s="31" t="e">
        <f>'[4]#REF'!I1230</f>
        <v>#REF!</v>
      </c>
      <c r="I1230" s="32" t="e">
        <f t="shared" si="50"/>
        <v>#REF!</v>
      </c>
    </row>
    <row r="1231" ht="15.75" spans="1:9">
      <c r="A1231" s="12" t="e">
        <f>'[4]#REF'!A1231</f>
        <v>#REF!</v>
      </c>
      <c r="B1231" s="12" t="e">
        <f>'[4]#REF'!B1231</f>
        <v>#REF!</v>
      </c>
      <c r="C1231" s="31" t="e">
        <f>'[4]#REF'!D1231</f>
        <v>#REF!</v>
      </c>
      <c r="D1231" s="32" t="e">
        <f t="shared" si="49"/>
        <v>#REF!</v>
      </c>
      <c r="F1231" s="12" t="e">
        <f>'[4]#REF'!F1231</f>
        <v>#REF!</v>
      </c>
      <c r="G1231" s="12" t="e">
        <f>'[4]#REF'!G1231</f>
        <v>#REF!</v>
      </c>
      <c r="H1231" s="31" t="e">
        <f>'[4]#REF'!I1231</f>
        <v>#REF!</v>
      </c>
      <c r="I1231" s="32" t="e">
        <f t="shared" si="50"/>
        <v>#REF!</v>
      </c>
    </row>
    <row r="1232" ht="15.75" spans="1:9">
      <c r="A1232" s="12" t="e">
        <f>'[4]#REF'!A1232</f>
        <v>#REF!</v>
      </c>
      <c r="B1232" s="12" t="e">
        <f>'[4]#REF'!B1232</f>
        <v>#REF!</v>
      </c>
      <c r="C1232" s="31" t="e">
        <f>'[4]#REF'!D1232</f>
        <v>#REF!</v>
      </c>
      <c r="D1232" s="32" t="e">
        <f t="shared" si="49"/>
        <v>#REF!</v>
      </c>
      <c r="F1232" s="12" t="e">
        <f>'[4]#REF'!F1232</f>
        <v>#REF!</v>
      </c>
      <c r="G1232" s="12" t="e">
        <f>'[4]#REF'!G1232</f>
        <v>#REF!</v>
      </c>
      <c r="H1232" s="31" t="e">
        <f>'[4]#REF'!I1232</f>
        <v>#REF!</v>
      </c>
      <c r="I1232" s="32" t="e">
        <f t="shared" si="50"/>
        <v>#REF!</v>
      </c>
    </row>
    <row r="1233" ht="15.75" spans="1:9">
      <c r="A1233" s="12" t="e">
        <f>'[4]#REF'!A1233</f>
        <v>#REF!</v>
      </c>
      <c r="B1233" s="12" t="e">
        <f>'[4]#REF'!B1233</f>
        <v>#REF!</v>
      </c>
      <c r="C1233" s="31" t="e">
        <f>'[4]#REF'!D1233</f>
        <v>#REF!</v>
      </c>
      <c r="D1233" s="32" t="e">
        <f t="shared" si="49"/>
        <v>#REF!</v>
      </c>
      <c r="F1233" s="12" t="e">
        <f>'[4]#REF'!F1233</f>
        <v>#REF!</v>
      </c>
      <c r="G1233" s="12" t="e">
        <f>'[4]#REF'!G1233</f>
        <v>#REF!</v>
      </c>
      <c r="H1233" s="31" t="e">
        <f>'[4]#REF'!I1233</f>
        <v>#REF!</v>
      </c>
      <c r="I1233" s="32" t="e">
        <f t="shared" si="50"/>
        <v>#REF!</v>
      </c>
    </row>
    <row r="1234" ht="15.75" spans="1:9">
      <c r="A1234" s="12" t="e">
        <f>'[4]#REF'!A1234</f>
        <v>#REF!</v>
      </c>
      <c r="B1234" s="12" t="e">
        <f>'[4]#REF'!B1234</f>
        <v>#REF!</v>
      </c>
      <c r="C1234" s="31" t="e">
        <f>'[4]#REF'!D1234</f>
        <v>#REF!</v>
      </c>
      <c r="D1234" s="32" t="e">
        <f t="shared" si="49"/>
        <v>#REF!</v>
      </c>
      <c r="F1234" s="12" t="e">
        <f>'[4]#REF'!F1234</f>
        <v>#REF!</v>
      </c>
      <c r="G1234" s="12" t="e">
        <f>'[4]#REF'!G1234</f>
        <v>#REF!</v>
      </c>
      <c r="H1234" s="31" t="e">
        <f>'[4]#REF'!I1234</f>
        <v>#REF!</v>
      </c>
      <c r="I1234" s="32" t="e">
        <f t="shared" si="50"/>
        <v>#REF!</v>
      </c>
    </row>
    <row r="1235" ht="15.75" spans="1:9">
      <c r="A1235" s="12" t="e">
        <f>'[4]#REF'!A1235</f>
        <v>#REF!</v>
      </c>
      <c r="B1235" s="12" t="e">
        <f>'[4]#REF'!B1235</f>
        <v>#REF!</v>
      </c>
      <c r="C1235" s="31" t="e">
        <f>'[4]#REF'!D1235</f>
        <v>#REF!</v>
      </c>
      <c r="D1235" s="32" t="e">
        <f t="shared" si="49"/>
        <v>#REF!</v>
      </c>
      <c r="F1235" s="12" t="e">
        <f>'[4]#REF'!F1235</f>
        <v>#REF!</v>
      </c>
      <c r="G1235" s="12" t="e">
        <f>'[4]#REF'!G1235</f>
        <v>#REF!</v>
      </c>
      <c r="H1235" s="31" t="e">
        <f>'[4]#REF'!I1235</f>
        <v>#REF!</v>
      </c>
      <c r="I1235" s="32" t="e">
        <f t="shared" si="50"/>
        <v>#REF!</v>
      </c>
    </row>
    <row r="1236" ht="15.75" spans="1:9">
      <c r="A1236" s="12" t="e">
        <f>'[4]#REF'!A1236</f>
        <v>#REF!</v>
      </c>
      <c r="B1236" s="12" t="e">
        <f>'[4]#REF'!B1236</f>
        <v>#REF!</v>
      </c>
      <c r="C1236" s="31" t="e">
        <f>'[4]#REF'!D1236</f>
        <v>#REF!</v>
      </c>
      <c r="D1236" s="32" t="e">
        <f t="shared" si="49"/>
        <v>#REF!</v>
      </c>
      <c r="F1236" s="12" t="e">
        <f>'[4]#REF'!F1236</f>
        <v>#REF!</v>
      </c>
      <c r="G1236" s="12" t="e">
        <f>'[4]#REF'!G1236</f>
        <v>#REF!</v>
      </c>
      <c r="H1236" s="31" t="e">
        <f>'[4]#REF'!I1236</f>
        <v>#REF!</v>
      </c>
      <c r="I1236" s="32" t="e">
        <f t="shared" si="50"/>
        <v>#REF!</v>
      </c>
    </row>
    <row r="1237" ht="15.75" spans="1:9">
      <c r="A1237" s="12" t="e">
        <f>'[4]#REF'!A1237</f>
        <v>#REF!</v>
      </c>
      <c r="B1237" s="12" t="e">
        <f>'[4]#REF'!B1237</f>
        <v>#REF!</v>
      </c>
      <c r="C1237" s="31" t="e">
        <f>'[4]#REF'!D1237</f>
        <v>#REF!</v>
      </c>
      <c r="D1237" s="32" t="e">
        <f t="shared" si="49"/>
        <v>#REF!</v>
      </c>
      <c r="F1237" s="12" t="e">
        <f>'[4]#REF'!F1237</f>
        <v>#REF!</v>
      </c>
      <c r="G1237" s="12" t="e">
        <f>'[4]#REF'!G1237</f>
        <v>#REF!</v>
      </c>
      <c r="H1237" s="31" t="e">
        <f>'[4]#REF'!I1237</f>
        <v>#REF!</v>
      </c>
      <c r="I1237" s="32" t="e">
        <f t="shared" si="50"/>
        <v>#REF!</v>
      </c>
    </row>
    <row r="1238" ht="15.75" spans="1:9">
      <c r="A1238" s="12" t="e">
        <f>'[4]#REF'!A1238</f>
        <v>#REF!</v>
      </c>
      <c r="B1238" s="12" t="e">
        <f>'[4]#REF'!B1238</f>
        <v>#REF!</v>
      </c>
      <c r="C1238" s="31" t="e">
        <f>'[4]#REF'!D1238</f>
        <v>#REF!</v>
      </c>
      <c r="D1238" s="32" t="e">
        <f t="shared" si="49"/>
        <v>#REF!</v>
      </c>
      <c r="F1238" s="12" t="e">
        <f>'[4]#REF'!F1238</f>
        <v>#REF!</v>
      </c>
      <c r="G1238" s="12" t="e">
        <f>'[4]#REF'!G1238</f>
        <v>#REF!</v>
      </c>
      <c r="H1238" s="31" t="e">
        <f>'[4]#REF'!I1238</f>
        <v>#REF!</v>
      </c>
      <c r="I1238" s="32" t="e">
        <f t="shared" si="50"/>
        <v>#REF!</v>
      </c>
    </row>
    <row r="1239" ht="15.75" spans="1:9">
      <c r="A1239" s="12" t="e">
        <f>'[4]#REF'!A1239</f>
        <v>#REF!</v>
      </c>
      <c r="B1239" s="12" t="e">
        <f>'[4]#REF'!B1239</f>
        <v>#REF!</v>
      </c>
      <c r="C1239" s="31" t="e">
        <f>'[4]#REF'!D1239</f>
        <v>#REF!</v>
      </c>
      <c r="D1239" s="32" t="e">
        <f t="shared" si="49"/>
        <v>#REF!</v>
      </c>
      <c r="F1239" s="12" t="e">
        <f>'[4]#REF'!F1239</f>
        <v>#REF!</v>
      </c>
      <c r="G1239" s="12" t="e">
        <f>'[4]#REF'!G1239</f>
        <v>#REF!</v>
      </c>
      <c r="H1239" s="31" t="e">
        <f>'[4]#REF'!I1239</f>
        <v>#REF!</v>
      </c>
      <c r="I1239" s="32" t="e">
        <f t="shared" si="50"/>
        <v>#REF!</v>
      </c>
    </row>
    <row r="1240" ht="15.75" spans="1:9">
      <c r="A1240" s="12" t="e">
        <f>'[4]#REF'!A1240</f>
        <v>#REF!</v>
      </c>
      <c r="B1240" s="12" t="e">
        <f>'[4]#REF'!B1240</f>
        <v>#REF!</v>
      </c>
      <c r="C1240" s="31" t="e">
        <f>'[4]#REF'!D1240</f>
        <v>#REF!</v>
      </c>
      <c r="D1240" s="32" t="e">
        <f t="shared" si="49"/>
        <v>#REF!</v>
      </c>
      <c r="F1240" s="12" t="e">
        <f>'[4]#REF'!F1240</f>
        <v>#REF!</v>
      </c>
      <c r="G1240" s="12" t="e">
        <f>'[4]#REF'!G1240</f>
        <v>#REF!</v>
      </c>
      <c r="H1240" s="31" t="e">
        <f>'[4]#REF'!I1240</f>
        <v>#REF!</v>
      </c>
      <c r="I1240" s="32" t="e">
        <f t="shared" si="50"/>
        <v>#REF!</v>
      </c>
    </row>
    <row r="1241" ht="15.75" spans="1:9">
      <c r="A1241" s="12" t="e">
        <f>'[4]#REF'!A1241</f>
        <v>#REF!</v>
      </c>
      <c r="B1241" s="12" t="e">
        <f>'[4]#REF'!B1241</f>
        <v>#REF!</v>
      </c>
      <c r="C1241" s="31" t="e">
        <f>'[4]#REF'!D1241</f>
        <v>#REF!</v>
      </c>
      <c r="D1241" s="32" t="e">
        <f t="shared" si="49"/>
        <v>#REF!</v>
      </c>
      <c r="F1241" s="12" t="e">
        <f>'[4]#REF'!F1241</f>
        <v>#REF!</v>
      </c>
      <c r="G1241" s="12" t="e">
        <f>'[4]#REF'!G1241</f>
        <v>#REF!</v>
      </c>
      <c r="H1241" s="31" t="e">
        <f>'[4]#REF'!I1241</f>
        <v>#REF!</v>
      </c>
      <c r="I1241" s="32" t="e">
        <f t="shared" si="50"/>
        <v>#REF!</v>
      </c>
    </row>
    <row r="1242" ht="15.75" spans="1:9">
      <c r="A1242" s="12" t="e">
        <f>'[4]#REF'!A1242</f>
        <v>#REF!</v>
      </c>
      <c r="B1242" s="12" t="e">
        <f>'[4]#REF'!B1242</f>
        <v>#REF!</v>
      </c>
      <c r="C1242" s="31" t="e">
        <f>'[4]#REF'!D1242</f>
        <v>#REF!</v>
      </c>
      <c r="D1242" s="32" t="e">
        <f t="shared" si="49"/>
        <v>#REF!</v>
      </c>
      <c r="F1242" s="12" t="e">
        <f>'[4]#REF'!F1242</f>
        <v>#REF!</v>
      </c>
      <c r="G1242" s="12" t="e">
        <f>'[4]#REF'!G1242</f>
        <v>#REF!</v>
      </c>
      <c r="H1242" s="31" t="e">
        <f>'[4]#REF'!I1242</f>
        <v>#REF!</v>
      </c>
      <c r="I1242" s="32" t="e">
        <f t="shared" si="50"/>
        <v>#REF!</v>
      </c>
    </row>
    <row r="1243" ht="15.75" spans="1:9">
      <c r="A1243" s="12" t="e">
        <f>'[4]#REF'!A1243</f>
        <v>#REF!</v>
      </c>
      <c r="B1243" s="12" t="e">
        <f>'[4]#REF'!B1243</f>
        <v>#REF!</v>
      </c>
      <c r="C1243" s="31" t="e">
        <f>'[4]#REF'!D1243</f>
        <v>#REF!</v>
      </c>
      <c r="D1243" s="32" t="e">
        <f t="shared" si="49"/>
        <v>#REF!</v>
      </c>
      <c r="F1243" s="12" t="e">
        <f>'[4]#REF'!F1243</f>
        <v>#REF!</v>
      </c>
      <c r="G1243" s="12" t="e">
        <f>'[4]#REF'!G1243</f>
        <v>#REF!</v>
      </c>
      <c r="H1243" s="31" t="e">
        <f>'[4]#REF'!I1243</f>
        <v>#REF!</v>
      </c>
      <c r="I1243" s="32" t="e">
        <f t="shared" si="50"/>
        <v>#REF!</v>
      </c>
    </row>
    <row r="1244" ht="15.75" spans="1:9">
      <c r="A1244" s="12" t="e">
        <f>'[4]#REF'!A1244</f>
        <v>#REF!</v>
      </c>
      <c r="B1244" s="12" t="e">
        <f>'[4]#REF'!B1244</f>
        <v>#REF!</v>
      </c>
      <c r="C1244" s="31" t="e">
        <f>'[4]#REF'!D1244</f>
        <v>#REF!</v>
      </c>
      <c r="D1244" s="32" t="e">
        <f t="shared" si="49"/>
        <v>#REF!</v>
      </c>
      <c r="F1244" s="12" t="e">
        <f>'[4]#REF'!F1244</f>
        <v>#REF!</v>
      </c>
      <c r="G1244" s="12" t="e">
        <f>'[4]#REF'!G1244</f>
        <v>#REF!</v>
      </c>
      <c r="H1244" s="31" t="e">
        <f>'[4]#REF'!I1244</f>
        <v>#REF!</v>
      </c>
      <c r="I1244" s="32" t="e">
        <f t="shared" si="50"/>
        <v>#REF!</v>
      </c>
    </row>
    <row r="1245" ht="15.75" spans="1:9">
      <c r="A1245" s="12" t="e">
        <f>'[4]#REF'!A1245</f>
        <v>#REF!</v>
      </c>
      <c r="B1245" s="12" t="e">
        <f>'[4]#REF'!B1245</f>
        <v>#REF!</v>
      </c>
      <c r="C1245" s="31" t="e">
        <f>'[4]#REF'!D1245</f>
        <v>#REF!</v>
      </c>
      <c r="D1245" s="32" t="e">
        <f t="shared" si="49"/>
        <v>#REF!</v>
      </c>
      <c r="F1245" s="12" t="e">
        <f>'[4]#REF'!F1245</f>
        <v>#REF!</v>
      </c>
      <c r="G1245" s="12" t="e">
        <f>'[4]#REF'!G1245</f>
        <v>#REF!</v>
      </c>
      <c r="H1245" s="31" t="e">
        <f>'[4]#REF'!I1245</f>
        <v>#REF!</v>
      </c>
      <c r="I1245" s="32" t="e">
        <f t="shared" si="50"/>
        <v>#REF!</v>
      </c>
    </row>
    <row r="1246" ht="15.75" spans="1:9">
      <c r="A1246" s="12" t="e">
        <f>'[4]#REF'!A1246</f>
        <v>#REF!</v>
      </c>
      <c r="B1246" s="12" t="e">
        <f>'[4]#REF'!B1246</f>
        <v>#REF!</v>
      </c>
      <c r="C1246" s="31" t="e">
        <f>'[4]#REF'!D1246</f>
        <v>#REF!</v>
      </c>
      <c r="D1246" s="32" t="e">
        <f t="shared" si="49"/>
        <v>#REF!</v>
      </c>
      <c r="F1246" s="12" t="e">
        <f>'[4]#REF'!F1246</f>
        <v>#REF!</v>
      </c>
      <c r="G1246" s="12" t="e">
        <f>'[4]#REF'!G1246</f>
        <v>#REF!</v>
      </c>
      <c r="H1246" s="31" t="e">
        <f>'[4]#REF'!I1246</f>
        <v>#REF!</v>
      </c>
      <c r="I1246" s="32" t="e">
        <f t="shared" si="50"/>
        <v>#REF!</v>
      </c>
    </row>
    <row r="1247" ht="15.75" spans="1:9">
      <c r="A1247" s="12" t="e">
        <f>'[4]#REF'!A1247</f>
        <v>#REF!</v>
      </c>
      <c r="B1247" s="12" t="e">
        <f>'[4]#REF'!B1247</f>
        <v>#REF!</v>
      </c>
      <c r="C1247" s="31" t="e">
        <f>'[4]#REF'!D1247</f>
        <v>#REF!</v>
      </c>
      <c r="D1247" s="32" t="e">
        <f t="shared" si="49"/>
        <v>#REF!</v>
      </c>
      <c r="F1247" s="12" t="e">
        <f>'[4]#REF'!F1247</f>
        <v>#REF!</v>
      </c>
      <c r="G1247" s="12" t="e">
        <f>'[4]#REF'!G1247</f>
        <v>#REF!</v>
      </c>
      <c r="H1247" s="31" t="e">
        <f>'[4]#REF'!I1247</f>
        <v>#REF!</v>
      </c>
      <c r="I1247" s="32" t="e">
        <f t="shared" si="50"/>
        <v>#REF!</v>
      </c>
    </row>
    <row r="1248" ht="15.75" spans="1:9">
      <c r="A1248" s="12" t="e">
        <f>'[4]#REF'!A1248</f>
        <v>#REF!</v>
      </c>
      <c r="B1248" s="12" t="e">
        <f>'[4]#REF'!B1248</f>
        <v>#REF!</v>
      </c>
      <c r="C1248" s="31" t="e">
        <f>'[4]#REF'!D1248</f>
        <v>#REF!</v>
      </c>
      <c r="D1248" s="32" t="e">
        <f t="shared" si="49"/>
        <v>#REF!</v>
      </c>
      <c r="F1248" s="12" t="e">
        <f>'[4]#REF'!F1248</f>
        <v>#REF!</v>
      </c>
      <c r="G1248" s="12" t="e">
        <f>'[4]#REF'!G1248</f>
        <v>#REF!</v>
      </c>
      <c r="H1248" s="31" t="e">
        <f>'[4]#REF'!I1248</f>
        <v>#REF!</v>
      </c>
      <c r="I1248" s="32" t="e">
        <f t="shared" si="50"/>
        <v>#REF!</v>
      </c>
    </row>
    <row r="1249" ht="15.75" spans="6:9">
      <c r="F1249" s="12" t="e">
        <f>'[4]#REF'!F1249</f>
        <v>#REF!</v>
      </c>
      <c r="G1249" s="12" t="e">
        <f>'[4]#REF'!G1249</f>
        <v>#REF!</v>
      </c>
      <c r="H1249" s="31" t="e">
        <f>'[4]#REF'!I1249</f>
        <v>#REF!</v>
      </c>
      <c r="I1249" s="32" t="e">
        <f t="shared" si="50"/>
        <v>#REF!</v>
      </c>
    </row>
    <row r="1250" ht="15.75" spans="6:9">
      <c r="F1250" s="12" t="e">
        <f>'[4]#REF'!F1250</f>
        <v>#REF!</v>
      </c>
      <c r="G1250" s="12" t="e">
        <f>'[4]#REF'!G1250</f>
        <v>#REF!</v>
      </c>
      <c r="H1250" s="31" t="e">
        <f>'[4]#REF'!I1250</f>
        <v>#REF!</v>
      </c>
      <c r="I1250" s="32" t="e">
        <f t="shared" si="50"/>
        <v>#REF!</v>
      </c>
    </row>
    <row r="1251" ht="15.75" spans="6:9">
      <c r="F1251" s="12" t="e">
        <f>'[4]#REF'!F1251</f>
        <v>#REF!</v>
      </c>
      <c r="G1251" s="12" t="e">
        <f>'[4]#REF'!G1251</f>
        <v>#REF!</v>
      </c>
      <c r="H1251" s="31" t="e">
        <f>'[4]#REF'!I1251</f>
        <v>#REF!</v>
      </c>
      <c r="I1251" s="32" t="e">
        <f t="shared" si="50"/>
        <v>#REF!</v>
      </c>
    </row>
    <row r="1252" ht="15.75" spans="6:9">
      <c r="F1252" s="12" t="e">
        <f>'[4]#REF'!F1252</f>
        <v>#REF!</v>
      </c>
      <c r="G1252" s="12" t="e">
        <f>'[4]#REF'!G1252</f>
        <v>#REF!</v>
      </c>
      <c r="H1252" s="31" t="e">
        <f>'[4]#REF'!I1252</f>
        <v>#REF!</v>
      </c>
      <c r="I1252" s="32" t="e">
        <f t="shared" si="50"/>
        <v>#REF!</v>
      </c>
    </row>
    <row r="1253" ht="15.75" spans="6:9">
      <c r="F1253" s="12" t="e">
        <f>'[4]#REF'!F1253</f>
        <v>#REF!</v>
      </c>
      <c r="G1253" s="12" t="e">
        <f>'[4]#REF'!G1253</f>
        <v>#REF!</v>
      </c>
      <c r="H1253" s="31" t="e">
        <f>'[4]#REF'!I1253</f>
        <v>#REF!</v>
      </c>
      <c r="I1253" s="32" t="e">
        <f t="shared" si="50"/>
        <v>#REF!</v>
      </c>
    </row>
    <row r="1254" ht="15.75" spans="6:9">
      <c r="F1254" s="12" t="e">
        <f>'[4]#REF'!F1254</f>
        <v>#REF!</v>
      </c>
      <c r="G1254" s="12" t="e">
        <f>'[4]#REF'!G1254</f>
        <v>#REF!</v>
      </c>
      <c r="H1254" s="31" t="e">
        <f>'[4]#REF'!I1254</f>
        <v>#REF!</v>
      </c>
      <c r="I1254" s="32" t="e">
        <f t="shared" si="50"/>
        <v>#REF!</v>
      </c>
    </row>
    <row r="1255" ht="15.75" spans="6:9">
      <c r="F1255" s="12" t="e">
        <f>'[4]#REF'!F1255</f>
        <v>#REF!</v>
      </c>
      <c r="G1255" s="12" t="e">
        <f>'[4]#REF'!G1255</f>
        <v>#REF!</v>
      </c>
      <c r="H1255" s="31" t="e">
        <f>'[4]#REF'!I1255</f>
        <v>#REF!</v>
      </c>
      <c r="I1255" s="32" t="e">
        <f t="shared" si="50"/>
        <v>#REF!</v>
      </c>
    </row>
    <row r="1256" ht="15.75" spans="6:9">
      <c r="F1256" s="12" t="e">
        <f>'[4]#REF'!F1256</f>
        <v>#REF!</v>
      </c>
      <c r="G1256" s="12" t="e">
        <f>'[4]#REF'!G1256</f>
        <v>#REF!</v>
      </c>
      <c r="H1256" s="31" t="e">
        <f>'[4]#REF'!I1256</f>
        <v>#REF!</v>
      </c>
      <c r="I1256" s="32" t="e">
        <f t="shared" si="50"/>
        <v>#REF!</v>
      </c>
    </row>
    <row r="1257" ht="15.75" spans="6:9">
      <c r="F1257" s="12" t="e">
        <f>'[4]#REF'!F1257</f>
        <v>#REF!</v>
      </c>
      <c r="G1257" s="12" t="e">
        <f>'[4]#REF'!G1257</f>
        <v>#REF!</v>
      </c>
      <c r="H1257" s="31" t="e">
        <f>'[4]#REF'!I1257</f>
        <v>#REF!</v>
      </c>
      <c r="I1257" s="32" t="e">
        <f t="shared" si="50"/>
        <v>#REF!</v>
      </c>
    </row>
    <row r="1258" ht="15.75" spans="6:9">
      <c r="F1258" s="12" t="e">
        <f>'[4]#REF'!F1258</f>
        <v>#REF!</v>
      </c>
      <c r="G1258" s="12" t="e">
        <f>'[4]#REF'!G1258</f>
        <v>#REF!</v>
      </c>
      <c r="H1258" s="31" t="e">
        <f>'[4]#REF'!I1258</f>
        <v>#REF!</v>
      </c>
      <c r="I1258" s="32" t="e">
        <f t="shared" si="50"/>
        <v>#REF!</v>
      </c>
    </row>
    <row r="1259" ht="15.75" spans="6:9">
      <c r="F1259" s="12" t="e">
        <f>'[4]#REF'!F1259</f>
        <v>#REF!</v>
      </c>
      <c r="G1259" s="12" t="e">
        <f>'[4]#REF'!G1259</f>
        <v>#REF!</v>
      </c>
      <c r="H1259" s="31" t="e">
        <f>'[4]#REF'!I1259</f>
        <v>#REF!</v>
      </c>
      <c r="I1259" s="32" t="e">
        <f t="shared" si="50"/>
        <v>#REF!</v>
      </c>
    </row>
    <row r="1260" ht="15.75" spans="6:9">
      <c r="F1260" s="12" t="e">
        <f>'[4]#REF'!F1260</f>
        <v>#REF!</v>
      </c>
      <c r="G1260" s="12" t="e">
        <f>'[4]#REF'!G1260</f>
        <v>#REF!</v>
      </c>
      <c r="H1260" s="31" t="e">
        <f>'[4]#REF'!I1260</f>
        <v>#REF!</v>
      </c>
      <c r="I1260" s="32" t="e">
        <f t="shared" si="50"/>
        <v>#REF!</v>
      </c>
    </row>
    <row r="1261" ht="15.75" spans="6:9">
      <c r="F1261" s="12" t="e">
        <f>'[4]#REF'!F1261</f>
        <v>#REF!</v>
      </c>
      <c r="G1261" s="12" t="e">
        <f>'[4]#REF'!G1261</f>
        <v>#REF!</v>
      </c>
      <c r="H1261" s="31" t="e">
        <f>'[4]#REF'!I1261</f>
        <v>#REF!</v>
      </c>
      <c r="I1261" s="32" t="e">
        <f t="shared" si="50"/>
        <v>#REF!</v>
      </c>
    </row>
    <row r="1262" ht="15.75" spans="6:9">
      <c r="F1262" s="12" t="e">
        <f>'[4]#REF'!F1262</f>
        <v>#REF!</v>
      </c>
      <c r="G1262" s="12" t="e">
        <f>'[4]#REF'!G1262</f>
        <v>#REF!</v>
      </c>
      <c r="H1262" s="31" t="e">
        <f>'[4]#REF'!I1262</f>
        <v>#REF!</v>
      </c>
      <c r="I1262" s="32" t="e">
        <f t="shared" si="50"/>
        <v>#REF!</v>
      </c>
    </row>
    <row r="1263" ht="15.75" spans="6:9">
      <c r="F1263" s="12" t="e">
        <f>'[4]#REF'!F1263</f>
        <v>#REF!</v>
      </c>
      <c r="G1263" s="12" t="e">
        <f>'[4]#REF'!G1263</f>
        <v>#REF!</v>
      </c>
      <c r="H1263" s="31" t="e">
        <f>'[4]#REF'!I1263</f>
        <v>#REF!</v>
      </c>
      <c r="I1263" s="32" t="e">
        <f t="shared" si="50"/>
        <v>#REF!</v>
      </c>
    </row>
    <row r="1264" ht="15.75" spans="6:9">
      <c r="F1264" s="12" t="e">
        <f>'[4]#REF'!F1264</f>
        <v>#REF!</v>
      </c>
      <c r="G1264" s="12" t="e">
        <f>'[4]#REF'!G1264</f>
        <v>#REF!</v>
      </c>
      <c r="H1264" s="31" t="e">
        <f>'[4]#REF'!I1264</f>
        <v>#REF!</v>
      </c>
      <c r="I1264" s="32" t="e">
        <f t="shared" si="50"/>
        <v>#REF!</v>
      </c>
    </row>
    <row r="1265" ht="15.75" spans="6:9">
      <c r="F1265" s="12" t="e">
        <f>'[4]#REF'!F1265</f>
        <v>#REF!</v>
      </c>
      <c r="G1265" s="12" t="e">
        <f>'[4]#REF'!G1265</f>
        <v>#REF!</v>
      </c>
      <c r="H1265" s="31" t="e">
        <f>'[4]#REF'!I1265</f>
        <v>#REF!</v>
      </c>
      <c r="I1265" s="32" t="e">
        <f t="shared" si="50"/>
        <v>#REF!</v>
      </c>
    </row>
    <row r="1266" ht="15.75" spans="6:9">
      <c r="F1266" s="12" t="e">
        <f>'[4]#REF'!F1266</f>
        <v>#REF!</v>
      </c>
      <c r="G1266" s="12" t="e">
        <f>'[4]#REF'!G1266</f>
        <v>#REF!</v>
      </c>
      <c r="H1266" s="31" t="e">
        <f>'[4]#REF'!I1266</f>
        <v>#REF!</v>
      </c>
      <c r="I1266" s="32" t="e">
        <f t="shared" si="50"/>
        <v>#REF!</v>
      </c>
    </row>
    <row r="1267" ht="15.75" spans="6:9">
      <c r="F1267" s="12" t="e">
        <f>'[4]#REF'!F1267</f>
        <v>#REF!</v>
      </c>
      <c r="G1267" s="12" t="e">
        <f>'[4]#REF'!G1267</f>
        <v>#REF!</v>
      </c>
      <c r="H1267" s="31" t="e">
        <f>'[4]#REF'!I1267</f>
        <v>#REF!</v>
      </c>
      <c r="I1267" s="32" t="e">
        <f t="shared" si="50"/>
        <v>#REF!</v>
      </c>
    </row>
    <row r="1268" ht="15.75" spans="6:9">
      <c r="F1268" s="12" t="e">
        <f>'[4]#REF'!F1268</f>
        <v>#REF!</v>
      </c>
      <c r="G1268" s="12" t="e">
        <f>'[4]#REF'!G1268</f>
        <v>#REF!</v>
      </c>
      <c r="H1268" s="31" t="e">
        <f>'[4]#REF'!I1268</f>
        <v>#REF!</v>
      </c>
      <c r="I1268" s="32" t="e">
        <f t="shared" si="50"/>
        <v>#REF!</v>
      </c>
    </row>
    <row r="1269" ht="15.75" spans="6:9">
      <c r="F1269" s="12" t="e">
        <f>'[4]#REF'!F1269</f>
        <v>#REF!</v>
      </c>
      <c r="G1269" s="12" t="e">
        <f>'[4]#REF'!G1269</f>
        <v>#REF!</v>
      </c>
      <c r="H1269" s="31" t="e">
        <f>'[4]#REF'!I1269</f>
        <v>#REF!</v>
      </c>
      <c r="I1269" s="32" t="e">
        <f t="shared" si="50"/>
        <v>#REF!</v>
      </c>
    </row>
    <row r="1270" ht="15.75" spans="6:9">
      <c r="F1270" s="12" t="e">
        <f>'[4]#REF'!F1270</f>
        <v>#REF!</v>
      </c>
      <c r="G1270" s="12" t="e">
        <f>'[4]#REF'!G1270</f>
        <v>#REF!</v>
      </c>
      <c r="H1270" s="31" t="e">
        <f>'[4]#REF'!I1270</f>
        <v>#REF!</v>
      </c>
      <c r="I1270" s="32" t="e">
        <f t="shared" si="50"/>
        <v>#REF!</v>
      </c>
    </row>
    <row r="1271" ht="15.75" spans="6:9">
      <c r="F1271" s="12" t="e">
        <f>'[4]#REF'!F1271</f>
        <v>#REF!</v>
      </c>
      <c r="G1271" s="12" t="e">
        <f>'[4]#REF'!G1271</f>
        <v>#REF!</v>
      </c>
      <c r="H1271" s="31" t="e">
        <f>'[4]#REF'!I1271</f>
        <v>#REF!</v>
      </c>
      <c r="I1271" s="32" t="e">
        <f t="shared" si="50"/>
        <v>#REF!</v>
      </c>
    </row>
    <row r="1272" ht="15.75" spans="6:9">
      <c r="F1272" s="12" t="e">
        <f>'[4]#REF'!F1272</f>
        <v>#REF!</v>
      </c>
      <c r="G1272" s="12" t="e">
        <f>'[4]#REF'!G1272</f>
        <v>#REF!</v>
      </c>
      <c r="H1272" s="31" t="e">
        <f>'[4]#REF'!I1272</f>
        <v>#REF!</v>
      </c>
      <c r="I1272" s="32" t="e">
        <f t="shared" si="50"/>
        <v>#REF!</v>
      </c>
    </row>
    <row r="1273" ht="15.75" spans="6:9">
      <c r="F1273" s="12" t="e">
        <f>'[4]#REF'!F1273</f>
        <v>#REF!</v>
      </c>
      <c r="G1273" s="12" t="e">
        <f>'[4]#REF'!G1273</f>
        <v>#REF!</v>
      </c>
      <c r="H1273" s="31" t="e">
        <f>'[4]#REF'!I1273</f>
        <v>#REF!</v>
      </c>
      <c r="I1273" s="32" t="e">
        <f t="shared" si="50"/>
        <v>#REF!</v>
      </c>
    </row>
    <row r="1274" ht="15.75" spans="6:9">
      <c r="F1274" s="12" t="e">
        <f>'[4]#REF'!F1274</f>
        <v>#REF!</v>
      </c>
      <c r="G1274" s="12" t="e">
        <f>'[4]#REF'!G1274</f>
        <v>#REF!</v>
      </c>
      <c r="H1274" s="31" t="e">
        <f>'[4]#REF'!I1274</f>
        <v>#REF!</v>
      </c>
      <c r="I1274" s="32" t="e">
        <f t="shared" si="50"/>
        <v>#REF!</v>
      </c>
    </row>
    <row r="1275" ht="15.75" spans="6:9">
      <c r="F1275" s="12" t="e">
        <f>'[4]#REF'!F1275</f>
        <v>#REF!</v>
      </c>
      <c r="G1275" s="12" t="e">
        <f>'[4]#REF'!G1275</f>
        <v>#REF!</v>
      </c>
      <c r="H1275" s="31" t="e">
        <f>'[4]#REF'!I1275</f>
        <v>#REF!</v>
      </c>
      <c r="I1275" s="32" t="e">
        <f t="shared" si="50"/>
        <v>#REF!</v>
      </c>
    </row>
    <row r="1276" ht="15.75" spans="6:9">
      <c r="F1276" s="12" t="e">
        <f>'[4]#REF'!F1276</f>
        <v>#REF!</v>
      </c>
      <c r="G1276" s="12" t="e">
        <f>'[4]#REF'!G1276</f>
        <v>#REF!</v>
      </c>
      <c r="H1276" s="31" t="e">
        <f>'[4]#REF'!I1276</f>
        <v>#REF!</v>
      </c>
      <c r="I1276" s="32" t="e">
        <f t="shared" si="50"/>
        <v>#REF!</v>
      </c>
    </row>
    <row r="1277" ht="15.75" spans="6:9">
      <c r="F1277" s="12" t="e">
        <f>'[4]#REF'!F1277</f>
        <v>#REF!</v>
      </c>
      <c r="G1277" s="12" t="e">
        <f>'[4]#REF'!G1277</f>
        <v>#REF!</v>
      </c>
      <c r="H1277" s="31" t="e">
        <f>'[4]#REF'!I1277</f>
        <v>#REF!</v>
      </c>
      <c r="I1277" s="32" t="e">
        <f t="shared" si="50"/>
        <v>#REF!</v>
      </c>
    </row>
    <row r="1278" ht="15.75" spans="6:9">
      <c r="F1278" s="12" t="e">
        <f>'[4]#REF'!F1278</f>
        <v>#REF!</v>
      </c>
      <c r="G1278" s="12" t="e">
        <f>'[4]#REF'!G1278</f>
        <v>#REF!</v>
      </c>
      <c r="H1278" s="31" t="e">
        <f>'[4]#REF'!I1278</f>
        <v>#REF!</v>
      </c>
      <c r="I1278" s="32" t="e">
        <f t="shared" si="50"/>
        <v>#REF!</v>
      </c>
    </row>
    <row r="1279" ht="15.75" spans="6:9">
      <c r="F1279" s="12" t="e">
        <f>'[4]#REF'!F1279</f>
        <v>#REF!</v>
      </c>
      <c r="G1279" s="12" t="e">
        <f>'[4]#REF'!G1279</f>
        <v>#REF!</v>
      </c>
      <c r="H1279" s="31" t="e">
        <f>'[4]#REF'!I1279</f>
        <v>#REF!</v>
      </c>
      <c r="I1279" s="32" t="e">
        <f t="shared" si="50"/>
        <v>#REF!</v>
      </c>
    </row>
    <row r="1280" ht="15.75" spans="6:9">
      <c r="F1280" s="12" t="e">
        <f>'[4]#REF'!F1280</f>
        <v>#REF!</v>
      </c>
      <c r="G1280" s="12" t="e">
        <f>'[4]#REF'!G1280</f>
        <v>#REF!</v>
      </c>
      <c r="H1280" s="31" t="e">
        <f>'[4]#REF'!I1280</f>
        <v>#REF!</v>
      </c>
      <c r="I1280" s="32" t="e">
        <f t="shared" si="50"/>
        <v>#REF!</v>
      </c>
    </row>
    <row r="1281" ht="15.75" spans="6:9">
      <c r="F1281" s="12" t="e">
        <f>'[4]#REF'!F1281</f>
        <v>#REF!</v>
      </c>
      <c r="G1281" s="12" t="e">
        <f>'[4]#REF'!G1281</f>
        <v>#REF!</v>
      </c>
      <c r="H1281" s="31" t="e">
        <f>'[4]#REF'!I1281</f>
        <v>#REF!</v>
      </c>
      <c r="I1281" s="32" t="e">
        <f t="shared" si="50"/>
        <v>#REF!</v>
      </c>
    </row>
    <row r="1282" ht="15.75" spans="6:9">
      <c r="F1282" s="12" t="e">
        <f>'[4]#REF'!F1282</f>
        <v>#REF!</v>
      </c>
      <c r="G1282" s="12" t="e">
        <f>'[4]#REF'!G1282</f>
        <v>#REF!</v>
      </c>
      <c r="H1282" s="31" t="e">
        <f>'[4]#REF'!I1282</f>
        <v>#REF!</v>
      </c>
      <c r="I1282" s="32" t="e">
        <f t="shared" si="50"/>
        <v>#REF!</v>
      </c>
    </row>
    <row r="1283" ht="15.75" spans="6:9">
      <c r="F1283" s="12" t="e">
        <f>'[4]#REF'!F1283</f>
        <v>#REF!</v>
      </c>
      <c r="G1283" s="12" t="e">
        <f>'[4]#REF'!G1283</f>
        <v>#REF!</v>
      </c>
      <c r="H1283" s="31" t="e">
        <f>'[4]#REF'!I1283</f>
        <v>#REF!</v>
      </c>
      <c r="I1283" s="32" t="e">
        <f t="shared" si="50"/>
        <v>#REF!</v>
      </c>
    </row>
    <row r="1284" ht="15.75" spans="6:9">
      <c r="F1284" s="12" t="e">
        <f>'[4]#REF'!F1284</f>
        <v>#REF!</v>
      </c>
      <c r="G1284" s="12" t="e">
        <f>'[4]#REF'!G1284</f>
        <v>#REF!</v>
      </c>
      <c r="H1284" s="31" t="e">
        <f>'[4]#REF'!I1284</f>
        <v>#REF!</v>
      </c>
      <c r="I1284" s="32" t="e">
        <f t="shared" si="50"/>
        <v>#REF!</v>
      </c>
    </row>
    <row r="1285" ht="15.75" spans="6:9">
      <c r="F1285" s="12" t="e">
        <f>'[4]#REF'!F1285</f>
        <v>#REF!</v>
      </c>
      <c r="G1285" s="12" t="e">
        <f>'[4]#REF'!G1285</f>
        <v>#REF!</v>
      </c>
      <c r="H1285" s="31" t="e">
        <f>'[4]#REF'!I1285</f>
        <v>#REF!</v>
      </c>
      <c r="I1285" s="32" t="e">
        <f t="shared" si="50"/>
        <v>#REF!</v>
      </c>
    </row>
    <row r="1286" ht="15.75" spans="6:9">
      <c r="F1286" s="12" t="e">
        <f>'[4]#REF'!F1286</f>
        <v>#REF!</v>
      </c>
      <c r="G1286" s="12" t="e">
        <f>'[4]#REF'!G1286</f>
        <v>#REF!</v>
      </c>
      <c r="H1286" s="31" t="e">
        <f>'[4]#REF'!I1286</f>
        <v>#REF!</v>
      </c>
      <c r="I1286" s="32" t="e">
        <f t="shared" ref="I1286:I1349" si="51">ROUND(H1286/$I$4*100,2)</f>
        <v>#REF!</v>
      </c>
    </row>
    <row r="1287" ht="15.75" spans="6:9">
      <c r="F1287" s="12" t="e">
        <f>'[4]#REF'!F1287</f>
        <v>#REF!</v>
      </c>
      <c r="G1287" s="12" t="e">
        <f>'[4]#REF'!G1287</f>
        <v>#REF!</v>
      </c>
      <c r="H1287" s="31" t="e">
        <f>'[4]#REF'!I1287</f>
        <v>#REF!</v>
      </c>
      <c r="I1287" s="32" t="e">
        <f t="shared" si="51"/>
        <v>#REF!</v>
      </c>
    </row>
    <row r="1288" ht="15.75" spans="6:9">
      <c r="F1288" s="12" t="e">
        <f>'[4]#REF'!F1288</f>
        <v>#REF!</v>
      </c>
      <c r="G1288" s="12" t="e">
        <f>'[4]#REF'!G1288</f>
        <v>#REF!</v>
      </c>
      <c r="H1288" s="31" t="e">
        <f>'[4]#REF'!I1288</f>
        <v>#REF!</v>
      </c>
      <c r="I1288" s="32" t="e">
        <f t="shared" si="51"/>
        <v>#REF!</v>
      </c>
    </row>
    <row r="1289" ht="15.75" spans="6:9">
      <c r="F1289" s="12" t="e">
        <f>'[4]#REF'!F1289</f>
        <v>#REF!</v>
      </c>
      <c r="G1289" s="12" t="e">
        <f>'[4]#REF'!G1289</f>
        <v>#REF!</v>
      </c>
      <c r="H1289" s="31" t="e">
        <f>'[4]#REF'!I1289</f>
        <v>#REF!</v>
      </c>
      <c r="I1289" s="32" t="e">
        <f t="shared" si="51"/>
        <v>#REF!</v>
      </c>
    </row>
    <row r="1290" ht="15.75" spans="6:9">
      <c r="F1290" s="12" t="e">
        <f>'[4]#REF'!F1290</f>
        <v>#REF!</v>
      </c>
      <c r="G1290" s="12" t="e">
        <f>'[4]#REF'!G1290</f>
        <v>#REF!</v>
      </c>
      <c r="H1290" s="31" t="e">
        <f>'[4]#REF'!I1290</f>
        <v>#REF!</v>
      </c>
      <c r="I1290" s="32" t="e">
        <f t="shared" si="51"/>
        <v>#REF!</v>
      </c>
    </row>
    <row r="1291" ht="15.75" spans="6:9">
      <c r="F1291" s="12" t="e">
        <f>'[4]#REF'!F1291</f>
        <v>#REF!</v>
      </c>
      <c r="G1291" s="12" t="e">
        <f>'[4]#REF'!G1291</f>
        <v>#REF!</v>
      </c>
      <c r="H1291" s="31" t="e">
        <f>'[4]#REF'!I1291</f>
        <v>#REF!</v>
      </c>
      <c r="I1291" s="32" t="e">
        <f t="shared" si="51"/>
        <v>#REF!</v>
      </c>
    </row>
    <row r="1292" ht="15.75" spans="6:9">
      <c r="F1292" s="12" t="e">
        <f>'[4]#REF'!F1292</f>
        <v>#REF!</v>
      </c>
      <c r="G1292" s="12" t="e">
        <f>'[4]#REF'!G1292</f>
        <v>#REF!</v>
      </c>
      <c r="H1292" s="31" t="e">
        <f>'[4]#REF'!I1292</f>
        <v>#REF!</v>
      </c>
      <c r="I1292" s="32" t="e">
        <f t="shared" si="51"/>
        <v>#REF!</v>
      </c>
    </row>
    <row r="1293" ht="15.75" spans="6:9">
      <c r="F1293" s="12" t="e">
        <f>'[4]#REF'!F1293</f>
        <v>#REF!</v>
      </c>
      <c r="G1293" s="12" t="e">
        <f>'[4]#REF'!G1293</f>
        <v>#REF!</v>
      </c>
      <c r="H1293" s="31" t="e">
        <f>'[4]#REF'!I1293</f>
        <v>#REF!</v>
      </c>
      <c r="I1293" s="32" t="e">
        <f t="shared" si="51"/>
        <v>#REF!</v>
      </c>
    </row>
    <row r="1294" ht="15.75" spans="6:9">
      <c r="F1294" s="12" t="e">
        <f>'[4]#REF'!F1294</f>
        <v>#REF!</v>
      </c>
      <c r="G1294" s="12" t="e">
        <f>'[4]#REF'!G1294</f>
        <v>#REF!</v>
      </c>
      <c r="H1294" s="31" t="e">
        <f>'[4]#REF'!I1294</f>
        <v>#REF!</v>
      </c>
      <c r="I1294" s="32" t="e">
        <f t="shared" si="51"/>
        <v>#REF!</v>
      </c>
    </row>
    <row r="1295" ht="15.75" spans="6:9">
      <c r="F1295" s="12" t="e">
        <f>'[4]#REF'!F1295</f>
        <v>#REF!</v>
      </c>
      <c r="G1295" s="12" t="e">
        <f>'[4]#REF'!G1295</f>
        <v>#REF!</v>
      </c>
      <c r="H1295" s="31" t="e">
        <f>'[4]#REF'!I1295</f>
        <v>#REF!</v>
      </c>
      <c r="I1295" s="32" t="e">
        <f t="shared" si="51"/>
        <v>#REF!</v>
      </c>
    </row>
    <row r="1296" ht="15.75" spans="6:9">
      <c r="F1296" s="12" t="e">
        <f>'[4]#REF'!F1296</f>
        <v>#REF!</v>
      </c>
      <c r="G1296" s="12" t="e">
        <f>'[4]#REF'!G1296</f>
        <v>#REF!</v>
      </c>
      <c r="H1296" s="31" t="e">
        <f>'[4]#REF'!I1296</f>
        <v>#REF!</v>
      </c>
      <c r="I1296" s="32" t="e">
        <f t="shared" si="51"/>
        <v>#REF!</v>
      </c>
    </row>
    <row r="1297" ht="15.75" spans="6:9">
      <c r="F1297" s="12" t="e">
        <f>'[4]#REF'!F1297</f>
        <v>#REF!</v>
      </c>
      <c r="G1297" s="12" t="e">
        <f>'[4]#REF'!G1297</f>
        <v>#REF!</v>
      </c>
      <c r="H1297" s="31" t="e">
        <f>'[4]#REF'!I1297</f>
        <v>#REF!</v>
      </c>
      <c r="I1297" s="32" t="e">
        <f t="shared" si="51"/>
        <v>#REF!</v>
      </c>
    </row>
    <row r="1298" ht="15.75" spans="6:9">
      <c r="F1298" s="12" t="e">
        <f>'[4]#REF'!F1298</f>
        <v>#REF!</v>
      </c>
      <c r="G1298" s="12" t="e">
        <f>'[4]#REF'!G1298</f>
        <v>#REF!</v>
      </c>
      <c r="H1298" s="31" t="e">
        <f>'[4]#REF'!I1298</f>
        <v>#REF!</v>
      </c>
      <c r="I1298" s="32" t="e">
        <f t="shared" si="51"/>
        <v>#REF!</v>
      </c>
    </row>
    <row r="1299" ht="15.75" spans="6:9">
      <c r="F1299" s="12" t="e">
        <f>'[4]#REF'!F1299</f>
        <v>#REF!</v>
      </c>
      <c r="G1299" s="12" t="e">
        <f>'[4]#REF'!G1299</f>
        <v>#REF!</v>
      </c>
      <c r="H1299" s="31" t="e">
        <f>'[4]#REF'!I1299</f>
        <v>#REF!</v>
      </c>
      <c r="I1299" s="32" t="e">
        <f t="shared" si="51"/>
        <v>#REF!</v>
      </c>
    </row>
    <row r="1300" ht="15.75" spans="6:9">
      <c r="F1300" s="12" t="e">
        <f>'[4]#REF'!F1300</f>
        <v>#REF!</v>
      </c>
      <c r="G1300" s="12" t="e">
        <f>'[4]#REF'!G1300</f>
        <v>#REF!</v>
      </c>
      <c r="H1300" s="31" t="e">
        <f>'[4]#REF'!I1300</f>
        <v>#REF!</v>
      </c>
      <c r="I1300" s="32" t="e">
        <f t="shared" si="51"/>
        <v>#REF!</v>
      </c>
    </row>
    <row r="1301" ht="15.75" spans="6:9">
      <c r="F1301" s="12" t="e">
        <f>'[4]#REF'!F1301</f>
        <v>#REF!</v>
      </c>
      <c r="G1301" s="12" t="e">
        <f>'[4]#REF'!G1301</f>
        <v>#REF!</v>
      </c>
      <c r="H1301" s="31" t="e">
        <f>'[4]#REF'!I1301</f>
        <v>#REF!</v>
      </c>
      <c r="I1301" s="32" t="e">
        <f t="shared" si="51"/>
        <v>#REF!</v>
      </c>
    </row>
    <row r="1302" ht="15.75" spans="6:9">
      <c r="F1302" s="12" t="e">
        <f>'[4]#REF'!F1302</f>
        <v>#REF!</v>
      </c>
      <c r="G1302" s="12" t="e">
        <f>'[4]#REF'!G1302</f>
        <v>#REF!</v>
      </c>
      <c r="H1302" s="31" t="e">
        <f>'[4]#REF'!I1302</f>
        <v>#REF!</v>
      </c>
      <c r="I1302" s="32" t="e">
        <f t="shared" si="51"/>
        <v>#REF!</v>
      </c>
    </row>
    <row r="1303" ht="15.75" spans="6:9">
      <c r="F1303" s="12" t="e">
        <f>'[4]#REF'!F1303</f>
        <v>#REF!</v>
      </c>
      <c r="G1303" s="12" t="e">
        <f>'[4]#REF'!G1303</f>
        <v>#REF!</v>
      </c>
      <c r="H1303" s="31" t="e">
        <f>'[4]#REF'!I1303</f>
        <v>#REF!</v>
      </c>
      <c r="I1303" s="32" t="e">
        <f t="shared" si="51"/>
        <v>#REF!</v>
      </c>
    </row>
    <row r="1304" ht="15.75" spans="6:9">
      <c r="F1304" s="12" t="e">
        <f>'[4]#REF'!F1304</f>
        <v>#REF!</v>
      </c>
      <c r="G1304" s="12" t="e">
        <f>'[4]#REF'!G1304</f>
        <v>#REF!</v>
      </c>
      <c r="H1304" s="31" t="e">
        <f>'[4]#REF'!I1304</f>
        <v>#REF!</v>
      </c>
      <c r="I1304" s="32" t="e">
        <f t="shared" si="51"/>
        <v>#REF!</v>
      </c>
    </row>
    <row r="1305" ht="15.75" spans="6:9">
      <c r="F1305" s="12" t="e">
        <f>'[4]#REF'!F1305</f>
        <v>#REF!</v>
      </c>
      <c r="G1305" s="12" t="e">
        <f>'[4]#REF'!G1305</f>
        <v>#REF!</v>
      </c>
      <c r="H1305" s="31" t="e">
        <f>'[4]#REF'!I1305</f>
        <v>#REF!</v>
      </c>
      <c r="I1305" s="32" t="e">
        <f t="shared" si="51"/>
        <v>#REF!</v>
      </c>
    </row>
    <row r="1306" ht="15.75" spans="6:9">
      <c r="F1306" s="12" t="e">
        <f>'[4]#REF'!F1306</f>
        <v>#REF!</v>
      </c>
      <c r="G1306" s="12" t="e">
        <f>'[4]#REF'!G1306</f>
        <v>#REF!</v>
      </c>
      <c r="H1306" s="31" t="e">
        <f>'[4]#REF'!I1306</f>
        <v>#REF!</v>
      </c>
      <c r="I1306" s="32" t="e">
        <f t="shared" si="51"/>
        <v>#REF!</v>
      </c>
    </row>
    <row r="1307" ht="15.75" spans="6:9">
      <c r="F1307" s="12" t="e">
        <f>'[4]#REF'!F1307</f>
        <v>#REF!</v>
      </c>
      <c r="G1307" s="12" t="e">
        <f>'[4]#REF'!G1307</f>
        <v>#REF!</v>
      </c>
      <c r="H1307" s="31" t="e">
        <f>'[4]#REF'!I1307</f>
        <v>#REF!</v>
      </c>
      <c r="I1307" s="32" t="e">
        <f t="shared" si="51"/>
        <v>#REF!</v>
      </c>
    </row>
    <row r="1308" ht="15.75" spans="6:9">
      <c r="F1308" s="12" t="e">
        <f>'[4]#REF'!F1308</f>
        <v>#REF!</v>
      </c>
      <c r="G1308" s="12" t="e">
        <f>'[4]#REF'!G1308</f>
        <v>#REF!</v>
      </c>
      <c r="H1308" s="31" t="e">
        <f>'[4]#REF'!I1308</f>
        <v>#REF!</v>
      </c>
      <c r="I1308" s="32" t="e">
        <f t="shared" si="51"/>
        <v>#REF!</v>
      </c>
    </row>
    <row r="1309" ht="15.75" spans="6:9">
      <c r="F1309" s="12" t="e">
        <f>'[4]#REF'!F1309</f>
        <v>#REF!</v>
      </c>
      <c r="G1309" s="12" t="e">
        <f>'[4]#REF'!G1309</f>
        <v>#REF!</v>
      </c>
      <c r="H1309" s="31" t="e">
        <f>'[4]#REF'!I1309</f>
        <v>#REF!</v>
      </c>
      <c r="I1309" s="32" t="e">
        <f t="shared" si="51"/>
        <v>#REF!</v>
      </c>
    </row>
    <row r="1310" ht="15.75" spans="6:9">
      <c r="F1310" s="12" t="e">
        <f>'[4]#REF'!F1310</f>
        <v>#REF!</v>
      </c>
      <c r="G1310" s="12" t="e">
        <f>'[4]#REF'!G1310</f>
        <v>#REF!</v>
      </c>
      <c r="H1310" s="31" t="e">
        <f>'[4]#REF'!I1310</f>
        <v>#REF!</v>
      </c>
      <c r="I1310" s="32" t="e">
        <f t="shared" si="51"/>
        <v>#REF!</v>
      </c>
    </row>
    <row r="1311" ht="15.75" spans="6:9">
      <c r="F1311" s="12" t="e">
        <f>'[4]#REF'!F1311</f>
        <v>#REF!</v>
      </c>
      <c r="G1311" s="12" t="e">
        <f>'[4]#REF'!G1311</f>
        <v>#REF!</v>
      </c>
      <c r="H1311" s="31" t="e">
        <f>'[4]#REF'!I1311</f>
        <v>#REF!</v>
      </c>
      <c r="I1311" s="32" t="e">
        <f t="shared" si="51"/>
        <v>#REF!</v>
      </c>
    </row>
    <row r="1312" ht="15.75" spans="6:9">
      <c r="F1312" s="12" t="e">
        <f>'[4]#REF'!F1312</f>
        <v>#REF!</v>
      </c>
      <c r="G1312" s="12" t="e">
        <f>'[4]#REF'!G1312</f>
        <v>#REF!</v>
      </c>
      <c r="H1312" s="31" t="e">
        <f>'[4]#REF'!I1312</f>
        <v>#REF!</v>
      </c>
      <c r="I1312" s="32" t="e">
        <f t="shared" si="51"/>
        <v>#REF!</v>
      </c>
    </row>
    <row r="1313" ht="15.75" spans="6:9">
      <c r="F1313" s="12" t="e">
        <f>'[4]#REF'!F1313</f>
        <v>#REF!</v>
      </c>
      <c r="G1313" s="12" t="e">
        <f>'[4]#REF'!G1313</f>
        <v>#REF!</v>
      </c>
      <c r="H1313" s="31" t="e">
        <f>'[4]#REF'!I1313</f>
        <v>#REF!</v>
      </c>
      <c r="I1313" s="32" t="e">
        <f t="shared" si="51"/>
        <v>#REF!</v>
      </c>
    </row>
    <row r="1314" ht="15.75" spans="6:9">
      <c r="F1314" s="12" t="e">
        <f>'[4]#REF'!F1314</f>
        <v>#REF!</v>
      </c>
      <c r="G1314" s="12" t="e">
        <f>'[4]#REF'!G1314</f>
        <v>#REF!</v>
      </c>
      <c r="H1314" s="31" t="e">
        <f>'[4]#REF'!I1314</f>
        <v>#REF!</v>
      </c>
      <c r="I1314" s="32" t="e">
        <f t="shared" si="51"/>
        <v>#REF!</v>
      </c>
    </row>
    <row r="1315" ht="15.75" spans="6:9">
      <c r="F1315" s="12" t="e">
        <f>'[4]#REF'!F1315</f>
        <v>#REF!</v>
      </c>
      <c r="G1315" s="12" t="e">
        <f>'[4]#REF'!G1315</f>
        <v>#REF!</v>
      </c>
      <c r="H1315" s="31" t="e">
        <f>'[4]#REF'!I1315</f>
        <v>#REF!</v>
      </c>
      <c r="I1315" s="32" t="e">
        <f t="shared" si="51"/>
        <v>#REF!</v>
      </c>
    </row>
    <row r="1316" ht="15.75" spans="6:9">
      <c r="F1316" s="12" t="e">
        <f>'[4]#REF'!F1316</f>
        <v>#REF!</v>
      </c>
      <c r="G1316" s="12" t="e">
        <f>'[4]#REF'!G1316</f>
        <v>#REF!</v>
      </c>
      <c r="H1316" s="31" t="e">
        <f>'[4]#REF'!I1316</f>
        <v>#REF!</v>
      </c>
      <c r="I1316" s="32" t="e">
        <f t="shared" si="51"/>
        <v>#REF!</v>
      </c>
    </row>
    <row r="1317" ht="15.75" spans="6:9">
      <c r="F1317" s="12" t="e">
        <f>'[4]#REF'!F1317</f>
        <v>#REF!</v>
      </c>
      <c r="G1317" s="12" t="e">
        <f>'[4]#REF'!G1317</f>
        <v>#REF!</v>
      </c>
      <c r="H1317" s="31" t="e">
        <f>'[4]#REF'!I1317</f>
        <v>#REF!</v>
      </c>
      <c r="I1317" s="32" t="e">
        <f t="shared" si="51"/>
        <v>#REF!</v>
      </c>
    </row>
    <row r="1318" ht="15.75" spans="6:9">
      <c r="F1318" s="12" t="e">
        <f>'[4]#REF'!F1318</f>
        <v>#REF!</v>
      </c>
      <c r="G1318" s="12" t="e">
        <f>'[4]#REF'!G1318</f>
        <v>#REF!</v>
      </c>
      <c r="H1318" s="31" t="e">
        <f>'[4]#REF'!I1318</f>
        <v>#REF!</v>
      </c>
      <c r="I1318" s="32" t="e">
        <f t="shared" si="51"/>
        <v>#REF!</v>
      </c>
    </row>
    <row r="1319" ht="15.75" spans="6:9">
      <c r="F1319" s="12" t="e">
        <f>'[4]#REF'!F1319</f>
        <v>#REF!</v>
      </c>
      <c r="G1319" s="12" t="e">
        <f>'[4]#REF'!G1319</f>
        <v>#REF!</v>
      </c>
      <c r="H1319" s="31" t="e">
        <f>'[4]#REF'!I1319</f>
        <v>#REF!</v>
      </c>
      <c r="I1319" s="32" t="e">
        <f t="shared" si="51"/>
        <v>#REF!</v>
      </c>
    </row>
    <row r="1320" ht="15.75" spans="6:9">
      <c r="F1320" s="12" t="e">
        <f>'[4]#REF'!F1320</f>
        <v>#REF!</v>
      </c>
      <c r="G1320" s="12" t="e">
        <f>'[4]#REF'!G1320</f>
        <v>#REF!</v>
      </c>
      <c r="H1320" s="31" t="e">
        <f>'[4]#REF'!I1320</f>
        <v>#REF!</v>
      </c>
      <c r="I1320" s="32" t="e">
        <f t="shared" si="51"/>
        <v>#REF!</v>
      </c>
    </row>
    <row r="1321" ht="15.75" spans="6:9">
      <c r="F1321" s="12" t="e">
        <f>'[4]#REF'!F1321</f>
        <v>#REF!</v>
      </c>
      <c r="G1321" s="12" t="e">
        <f>'[4]#REF'!G1321</f>
        <v>#REF!</v>
      </c>
      <c r="H1321" s="31" t="e">
        <f>'[4]#REF'!I1321</f>
        <v>#REF!</v>
      </c>
      <c r="I1321" s="32" t="e">
        <f t="shared" si="51"/>
        <v>#REF!</v>
      </c>
    </row>
    <row r="1322" ht="15.75" spans="6:9">
      <c r="F1322" s="12" t="e">
        <f>'[4]#REF'!F1322</f>
        <v>#REF!</v>
      </c>
      <c r="G1322" s="12" t="e">
        <f>'[4]#REF'!G1322</f>
        <v>#REF!</v>
      </c>
      <c r="H1322" s="31" t="e">
        <f>'[4]#REF'!I1322</f>
        <v>#REF!</v>
      </c>
      <c r="I1322" s="32" t="e">
        <f t="shared" si="51"/>
        <v>#REF!</v>
      </c>
    </row>
    <row r="1323" ht="15.75" spans="6:9">
      <c r="F1323" s="12" t="e">
        <f>'[4]#REF'!F1323</f>
        <v>#REF!</v>
      </c>
      <c r="G1323" s="12" t="e">
        <f>'[4]#REF'!G1323</f>
        <v>#REF!</v>
      </c>
      <c r="H1323" s="31" t="e">
        <f>'[4]#REF'!I1323</f>
        <v>#REF!</v>
      </c>
      <c r="I1323" s="32" t="e">
        <f t="shared" si="51"/>
        <v>#REF!</v>
      </c>
    </row>
    <row r="1324" ht="15.75" spans="6:9">
      <c r="F1324" s="12" t="e">
        <f>'[4]#REF'!F1324</f>
        <v>#REF!</v>
      </c>
      <c r="G1324" s="12" t="e">
        <f>'[4]#REF'!G1324</f>
        <v>#REF!</v>
      </c>
      <c r="H1324" s="31" t="e">
        <f>'[4]#REF'!I1324</f>
        <v>#REF!</v>
      </c>
      <c r="I1324" s="32" t="e">
        <f t="shared" si="51"/>
        <v>#REF!</v>
      </c>
    </row>
    <row r="1325" ht="15.75" spans="6:9">
      <c r="F1325" s="12" t="e">
        <f>'[4]#REF'!F1325</f>
        <v>#REF!</v>
      </c>
      <c r="G1325" s="12" t="e">
        <f>'[4]#REF'!G1325</f>
        <v>#REF!</v>
      </c>
      <c r="H1325" s="31" t="e">
        <f>'[4]#REF'!I1325</f>
        <v>#REF!</v>
      </c>
      <c r="I1325" s="32" t="e">
        <f t="shared" si="51"/>
        <v>#REF!</v>
      </c>
    </row>
    <row r="1326" ht="15.75" spans="6:9">
      <c r="F1326" s="12" t="e">
        <f>'[4]#REF'!F1326</f>
        <v>#REF!</v>
      </c>
      <c r="G1326" s="12" t="e">
        <f>'[4]#REF'!G1326</f>
        <v>#REF!</v>
      </c>
      <c r="H1326" s="31" t="e">
        <f>'[4]#REF'!I1326</f>
        <v>#REF!</v>
      </c>
      <c r="I1326" s="32" t="e">
        <f t="shared" si="51"/>
        <v>#REF!</v>
      </c>
    </row>
    <row r="1327" ht="15.75" spans="6:9">
      <c r="F1327" s="12" t="e">
        <f>'[4]#REF'!F1327</f>
        <v>#REF!</v>
      </c>
      <c r="G1327" s="12" t="e">
        <f>'[4]#REF'!G1327</f>
        <v>#REF!</v>
      </c>
      <c r="H1327" s="31" t="e">
        <f>'[4]#REF'!I1327</f>
        <v>#REF!</v>
      </c>
      <c r="I1327" s="32" t="e">
        <f t="shared" si="51"/>
        <v>#REF!</v>
      </c>
    </row>
    <row r="1328" ht="15.75" spans="6:9">
      <c r="F1328" s="12" t="e">
        <f>'[4]#REF'!F1328</f>
        <v>#REF!</v>
      </c>
      <c r="G1328" s="12" t="e">
        <f>'[4]#REF'!G1328</f>
        <v>#REF!</v>
      </c>
      <c r="H1328" s="31" t="e">
        <f>'[4]#REF'!I1328</f>
        <v>#REF!</v>
      </c>
      <c r="I1328" s="32" t="e">
        <f t="shared" si="51"/>
        <v>#REF!</v>
      </c>
    </row>
    <row r="1329" ht="15.75" spans="6:9">
      <c r="F1329" s="12" t="e">
        <f>'[4]#REF'!F1329</f>
        <v>#REF!</v>
      </c>
      <c r="G1329" s="12" t="e">
        <f>'[4]#REF'!G1329</f>
        <v>#REF!</v>
      </c>
      <c r="H1329" s="31" t="e">
        <f>'[4]#REF'!I1329</f>
        <v>#REF!</v>
      </c>
      <c r="I1329" s="32" t="e">
        <f t="shared" si="51"/>
        <v>#REF!</v>
      </c>
    </row>
    <row r="1330" ht="15.75" spans="6:9">
      <c r="F1330" s="12" t="e">
        <f>'[4]#REF'!F1330</f>
        <v>#REF!</v>
      </c>
      <c r="G1330" s="12" t="e">
        <f>'[4]#REF'!G1330</f>
        <v>#REF!</v>
      </c>
      <c r="H1330" s="31" t="e">
        <f>'[4]#REF'!I1330</f>
        <v>#REF!</v>
      </c>
      <c r="I1330" s="32" t="e">
        <f t="shared" si="51"/>
        <v>#REF!</v>
      </c>
    </row>
    <row r="1331" ht="15.75" spans="6:9">
      <c r="F1331" s="12" t="e">
        <f>'[4]#REF'!F1331</f>
        <v>#REF!</v>
      </c>
      <c r="G1331" s="12" t="e">
        <f>'[4]#REF'!G1331</f>
        <v>#REF!</v>
      </c>
      <c r="H1331" s="31" t="e">
        <f>'[4]#REF'!I1331</f>
        <v>#REF!</v>
      </c>
      <c r="I1331" s="32" t="e">
        <f t="shared" si="51"/>
        <v>#REF!</v>
      </c>
    </row>
    <row r="1332" ht="15.75" spans="6:9">
      <c r="F1332" s="12" t="e">
        <f>'[4]#REF'!F1332</f>
        <v>#REF!</v>
      </c>
      <c r="G1332" s="12" t="e">
        <f>'[4]#REF'!G1332</f>
        <v>#REF!</v>
      </c>
      <c r="H1332" s="31" t="e">
        <f>'[4]#REF'!I1332</f>
        <v>#REF!</v>
      </c>
      <c r="I1332" s="32" t="e">
        <f t="shared" si="51"/>
        <v>#REF!</v>
      </c>
    </row>
    <row r="1333" ht="15.75" spans="6:9">
      <c r="F1333" s="12" t="e">
        <f>'[4]#REF'!F1333</f>
        <v>#REF!</v>
      </c>
      <c r="G1333" s="12" t="e">
        <f>'[4]#REF'!G1333</f>
        <v>#REF!</v>
      </c>
      <c r="H1333" s="31" t="e">
        <f>'[4]#REF'!I1333</f>
        <v>#REF!</v>
      </c>
      <c r="I1333" s="32" t="e">
        <f t="shared" si="51"/>
        <v>#REF!</v>
      </c>
    </row>
    <row r="1334" ht="15.75" spans="6:9">
      <c r="F1334" s="12" t="e">
        <f>'[4]#REF'!F1334</f>
        <v>#REF!</v>
      </c>
      <c r="G1334" s="12" t="e">
        <f>'[4]#REF'!G1334</f>
        <v>#REF!</v>
      </c>
      <c r="H1334" s="31" t="e">
        <f>'[4]#REF'!I1334</f>
        <v>#REF!</v>
      </c>
      <c r="I1334" s="32" t="e">
        <f t="shared" si="51"/>
        <v>#REF!</v>
      </c>
    </row>
    <row r="1335" ht="15.75" spans="6:9">
      <c r="F1335" s="12" t="e">
        <f>'[4]#REF'!F1335</f>
        <v>#REF!</v>
      </c>
      <c r="G1335" s="12" t="e">
        <f>'[4]#REF'!G1335</f>
        <v>#REF!</v>
      </c>
      <c r="H1335" s="31" t="e">
        <f>'[4]#REF'!I1335</f>
        <v>#REF!</v>
      </c>
      <c r="I1335" s="32" t="e">
        <f t="shared" si="51"/>
        <v>#REF!</v>
      </c>
    </row>
    <row r="1336" ht="15.75" spans="6:9">
      <c r="F1336" s="12" t="e">
        <f>'[4]#REF'!F1336</f>
        <v>#REF!</v>
      </c>
      <c r="G1336" s="12" t="e">
        <f>'[4]#REF'!G1336</f>
        <v>#REF!</v>
      </c>
      <c r="H1336" s="31" t="e">
        <f>'[4]#REF'!I1336</f>
        <v>#REF!</v>
      </c>
      <c r="I1336" s="32" t="e">
        <f t="shared" si="51"/>
        <v>#REF!</v>
      </c>
    </row>
    <row r="1337" ht="15.75" spans="6:9">
      <c r="F1337" s="12" t="e">
        <f>'[4]#REF'!F1337</f>
        <v>#REF!</v>
      </c>
      <c r="G1337" s="12" t="e">
        <f>'[4]#REF'!G1337</f>
        <v>#REF!</v>
      </c>
      <c r="H1337" s="31" t="e">
        <f>'[4]#REF'!I1337</f>
        <v>#REF!</v>
      </c>
      <c r="I1337" s="32" t="e">
        <f t="shared" si="51"/>
        <v>#REF!</v>
      </c>
    </row>
    <row r="1338" ht="15.75" spans="6:9">
      <c r="F1338" s="12" t="e">
        <f>'[4]#REF'!F1338</f>
        <v>#REF!</v>
      </c>
      <c r="G1338" s="12" t="e">
        <f>'[4]#REF'!G1338</f>
        <v>#REF!</v>
      </c>
      <c r="H1338" s="31" t="e">
        <f>'[4]#REF'!I1338</f>
        <v>#REF!</v>
      </c>
      <c r="I1338" s="32" t="e">
        <f t="shared" si="51"/>
        <v>#REF!</v>
      </c>
    </row>
    <row r="1339" ht="15.75" spans="6:9">
      <c r="F1339" s="12" t="e">
        <f>'[4]#REF'!F1339</f>
        <v>#REF!</v>
      </c>
      <c r="G1339" s="12" t="e">
        <f>'[4]#REF'!G1339</f>
        <v>#REF!</v>
      </c>
      <c r="H1339" s="31" t="e">
        <f>'[4]#REF'!I1339</f>
        <v>#REF!</v>
      </c>
      <c r="I1339" s="32" t="e">
        <f t="shared" si="51"/>
        <v>#REF!</v>
      </c>
    </row>
    <row r="1340" ht="15.75" spans="6:9">
      <c r="F1340" s="12" t="e">
        <f>'[4]#REF'!F1340</f>
        <v>#REF!</v>
      </c>
      <c r="G1340" s="12" t="e">
        <f>'[4]#REF'!G1340</f>
        <v>#REF!</v>
      </c>
      <c r="H1340" s="31" t="e">
        <f>'[4]#REF'!I1340</f>
        <v>#REF!</v>
      </c>
      <c r="I1340" s="32" t="e">
        <f t="shared" si="51"/>
        <v>#REF!</v>
      </c>
    </row>
    <row r="1341" ht="15.75" spans="6:9">
      <c r="F1341" s="12" t="e">
        <f>'[4]#REF'!F1341</f>
        <v>#REF!</v>
      </c>
      <c r="G1341" s="12" t="e">
        <f>'[4]#REF'!G1341</f>
        <v>#REF!</v>
      </c>
      <c r="H1341" s="31" t="e">
        <f>'[4]#REF'!I1341</f>
        <v>#REF!</v>
      </c>
      <c r="I1341" s="32" t="e">
        <f t="shared" si="51"/>
        <v>#REF!</v>
      </c>
    </row>
    <row r="1342" ht="15.75" spans="6:9">
      <c r="F1342" s="12" t="e">
        <f>'[4]#REF'!F1342</f>
        <v>#REF!</v>
      </c>
      <c r="G1342" s="12" t="e">
        <f>'[4]#REF'!G1342</f>
        <v>#REF!</v>
      </c>
      <c r="H1342" s="31" t="e">
        <f>'[4]#REF'!I1342</f>
        <v>#REF!</v>
      </c>
      <c r="I1342" s="32" t="e">
        <f t="shared" si="51"/>
        <v>#REF!</v>
      </c>
    </row>
    <row r="1343" ht="15.75" spans="6:9">
      <c r="F1343" s="12" t="e">
        <f>'[4]#REF'!F1343</f>
        <v>#REF!</v>
      </c>
      <c r="G1343" s="12" t="e">
        <f>'[4]#REF'!G1343</f>
        <v>#REF!</v>
      </c>
      <c r="H1343" s="31" t="e">
        <f>'[4]#REF'!I1343</f>
        <v>#REF!</v>
      </c>
      <c r="I1343" s="32" t="e">
        <f t="shared" si="51"/>
        <v>#REF!</v>
      </c>
    </row>
    <row r="1344" ht="15.75" spans="6:9">
      <c r="F1344" s="12" t="e">
        <f>'[4]#REF'!F1344</f>
        <v>#REF!</v>
      </c>
      <c r="G1344" s="12" t="e">
        <f>'[4]#REF'!G1344</f>
        <v>#REF!</v>
      </c>
      <c r="H1344" s="31" t="e">
        <f>'[4]#REF'!I1344</f>
        <v>#REF!</v>
      </c>
      <c r="I1344" s="32" t="e">
        <f t="shared" si="51"/>
        <v>#REF!</v>
      </c>
    </row>
    <row r="1345" ht="15.75" spans="6:9">
      <c r="F1345" s="12" t="e">
        <f>'[4]#REF'!F1345</f>
        <v>#REF!</v>
      </c>
      <c r="G1345" s="12" t="e">
        <f>'[4]#REF'!G1345</f>
        <v>#REF!</v>
      </c>
      <c r="H1345" s="31" t="e">
        <f>'[4]#REF'!I1345</f>
        <v>#REF!</v>
      </c>
      <c r="I1345" s="32" t="e">
        <f t="shared" si="51"/>
        <v>#REF!</v>
      </c>
    </row>
    <row r="1346" ht="15.75" spans="6:9">
      <c r="F1346" s="12" t="e">
        <f>'[4]#REF'!F1346</f>
        <v>#REF!</v>
      </c>
      <c r="G1346" s="12" t="e">
        <f>'[4]#REF'!G1346</f>
        <v>#REF!</v>
      </c>
      <c r="H1346" s="31" t="e">
        <f>'[4]#REF'!I1346</f>
        <v>#REF!</v>
      </c>
      <c r="I1346" s="32" t="e">
        <f t="shared" si="51"/>
        <v>#REF!</v>
      </c>
    </row>
    <row r="1347" ht="15.75" spans="6:9">
      <c r="F1347" s="12" t="e">
        <f>'[4]#REF'!F1347</f>
        <v>#REF!</v>
      </c>
      <c r="G1347" s="12" t="e">
        <f>'[4]#REF'!G1347</f>
        <v>#REF!</v>
      </c>
      <c r="H1347" s="31" t="e">
        <f>'[4]#REF'!I1347</f>
        <v>#REF!</v>
      </c>
      <c r="I1347" s="32" t="e">
        <f t="shared" si="51"/>
        <v>#REF!</v>
      </c>
    </row>
    <row r="1348" ht="15.75" spans="6:9">
      <c r="F1348" s="12" t="e">
        <f>'[4]#REF'!F1348</f>
        <v>#REF!</v>
      </c>
      <c r="G1348" s="12" t="e">
        <f>'[4]#REF'!G1348</f>
        <v>#REF!</v>
      </c>
      <c r="H1348" s="31" t="e">
        <f>'[4]#REF'!I1348</f>
        <v>#REF!</v>
      </c>
      <c r="I1348" s="32" t="e">
        <f t="shared" si="51"/>
        <v>#REF!</v>
      </c>
    </row>
    <row r="1349" ht="15.75" spans="6:9">
      <c r="F1349" s="12" t="e">
        <f>'[4]#REF'!F1349</f>
        <v>#REF!</v>
      </c>
      <c r="G1349" s="12" t="e">
        <f>'[4]#REF'!G1349</f>
        <v>#REF!</v>
      </c>
      <c r="H1349" s="31" t="e">
        <f>'[4]#REF'!I1349</f>
        <v>#REF!</v>
      </c>
      <c r="I1349" s="32" t="e">
        <f t="shared" si="51"/>
        <v>#REF!</v>
      </c>
    </row>
    <row r="1350" ht="15.75" spans="6:9">
      <c r="F1350" s="12" t="e">
        <f>'[4]#REF'!F1350</f>
        <v>#REF!</v>
      </c>
      <c r="G1350" s="12" t="e">
        <f>'[4]#REF'!G1350</f>
        <v>#REF!</v>
      </c>
      <c r="H1350" s="31" t="e">
        <f>'[4]#REF'!I1350</f>
        <v>#REF!</v>
      </c>
      <c r="I1350" s="32" t="e">
        <f t="shared" ref="I1350:I1413" si="52">ROUND(H1350/$I$4*100,2)</f>
        <v>#REF!</v>
      </c>
    </row>
    <row r="1351" ht="15.75" spans="6:9">
      <c r="F1351" s="12" t="e">
        <f>'[4]#REF'!F1351</f>
        <v>#REF!</v>
      </c>
      <c r="G1351" s="12" t="e">
        <f>'[4]#REF'!G1351</f>
        <v>#REF!</v>
      </c>
      <c r="H1351" s="31" t="e">
        <f>'[4]#REF'!I1351</f>
        <v>#REF!</v>
      </c>
      <c r="I1351" s="32" t="e">
        <f t="shared" si="52"/>
        <v>#REF!</v>
      </c>
    </row>
    <row r="1352" ht="15.75" spans="6:9">
      <c r="F1352" s="12" t="e">
        <f>'[4]#REF'!F1352</f>
        <v>#REF!</v>
      </c>
      <c r="G1352" s="12" t="e">
        <f>'[4]#REF'!G1352</f>
        <v>#REF!</v>
      </c>
      <c r="H1352" s="31" t="e">
        <f>'[4]#REF'!I1352</f>
        <v>#REF!</v>
      </c>
      <c r="I1352" s="32" t="e">
        <f t="shared" si="52"/>
        <v>#REF!</v>
      </c>
    </row>
    <row r="1353" ht="15.75" spans="6:9">
      <c r="F1353" s="12" t="e">
        <f>'[4]#REF'!F1353</f>
        <v>#REF!</v>
      </c>
      <c r="G1353" s="12" t="e">
        <f>'[4]#REF'!G1353</f>
        <v>#REF!</v>
      </c>
      <c r="H1353" s="31" t="e">
        <f>'[4]#REF'!I1353</f>
        <v>#REF!</v>
      </c>
      <c r="I1353" s="32" t="e">
        <f t="shared" si="52"/>
        <v>#REF!</v>
      </c>
    </row>
    <row r="1354" ht="15.75" spans="6:9">
      <c r="F1354" s="12" t="e">
        <f>'[4]#REF'!F1354</f>
        <v>#REF!</v>
      </c>
      <c r="G1354" s="12" t="e">
        <f>'[4]#REF'!G1354</f>
        <v>#REF!</v>
      </c>
      <c r="H1354" s="31" t="e">
        <f>'[4]#REF'!I1354</f>
        <v>#REF!</v>
      </c>
      <c r="I1354" s="32" t="e">
        <f t="shared" si="52"/>
        <v>#REF!</v>
      </c>
    </row>
    <row r="1355" ht="15.75" spans="6:9">
      <c r="F1355" s="12" t="e">
        <f>'[4]#REF'!F1355</f>
        <v>#REF!</v>
      </c>
      <c r="G1355" s="12" t="e">
        <f>'[4]#REF'!G1355</f>
        <v>#REF!</v>
      </c>
      <c r="H1355" s="31" t="e">
        <f>'[4]#REF'!I1355</f>
        <v>#REF!</v>
      </c>
      <c r="I1355" s="32" t="e">
        <f t="shared" si="52"/>
        <v>#REF!</v>
      </c>
    </row>
    <row r="1356" ht="15.75" spans="6:9">
      <c r="F1356" s="12" t="e">
        <f>'[4]#REF'!F1356</f>
        <v>#REF!</v>
      </c>
      <c r="G1356" s="12" t="e">
        <f>'[4]#REF'!G1356</f>
        <v>#REF!</v>
      </c>
      <c r="H1356" s="31" t="e">
        <f>'[4]#REF'!I1356</f>
        <v>#REF!</v>
      </c>
      <c r="I1356" s="32" t="e">
        <f t="shared" si="52"/>
        <v>#REF!</v>
      </c>
    </row>
    <row r="1357" ht="15.75" spans="6:9">
      <c r="F1357" s="12" t="e">
        <f>'[4]#REF'!F1357</f>
        <v>#REF!</v>
      </c>
      <c r="G1357" s="12" t="e">
        <f>'[4]#REF'!G1357</f>
        <v>#REF!</v>
      </c>
      <c r="H1357" s="31" t="e">
        <f>'[4]#REF'!I1357</f>
        <v>#REF!</v>
      </c>
      <c r="I1357" s="32" t="e">
        <f t="shared" si="52"/>
        <v>#REF!</v>
      </c>
    </row>
    <row r="1358" ht="15.75" spans="6:9">
      <c r="F1358" s="12" t="e">
        <f>'[4]#REF'!F1358</f>
        <v>#REF!</v>
      </c>
      <c r="G1358" s="12" t="e">
        <f>'[4]#REF'!G1358</f>
        <v>#REF!</v>
      </c>
      <c r="H1358" s="31" t="e">
        <f>'[4]#REF'!I1358</f>
        <v>#REF!</v>
      </c>
      <c r="I1358" s="32" t="e">
        <f t="shared" si="52"/>
        <v>#REF!</v>
      </c>
    </row>
    <row r="1359" ht="15.75" spans="6:9">
      <c r="F1359" s="12" t="e">
        <f>'[4]#REF'!F1359</f>
        <v>#REF!</v>
      </c>
      <c r="G1359" s="12" t="e">
        <f>'[4]#REF'!G1359</f>
        <v>#REF!</v>
      </c>
      <c r="H1359" s="31" t="e">
        <f>'[4]#REF'!I1359</f>
        <v>#REF!</v>
      </c>
      <c r="I1359" s="32" t="e">
        <f t="shared" si="52"/>
        <v>#REF!</v>
      </c>
    </row>
    <row r="1360" ht="15.75" spans="6:9">
      <c r="F1360" s="12" t="e">
        <f>'[4]#REF'!F1360</f>
        <v>#REF!</v>
      </c>
      <c r="G1360" s="12" t="e">
        <f>'[4]#REF'!G1360</f>
        <v>#REF!</v>
      </c>
      <c r="H1360" s="31" t="e">
        <f>'[4]#REF'!I1360</f>
        <v>#REF!</v>
      </c>
      <c r="I1360" s="32" t="e">
        <f t="shared" si="52"/>
        <v>#REF!</v>
      </c>
    </row>
    <row r="1361" ht="15.75" spans="6:9">
      <c r="F1361" s="12" t="e">
        <f>'[4]#REF'!F1361</f>
        <v>#REF!</v>
      </c>
      <c r="G1361" s="12" t="e">
        <f>'[4]#REF'!G1361</f>
        <v>#REF!</v>
      </c>
      <c r="H1361" s="31" t="e">
        <f>'[4]#REF'!I1361</f>
        <v>#REF!</v>
      </c>
      <c r="I1361" s="32" t="e">
        <f t="shared" si="52"/>
        <v>#REF!</v>
      </c>
    </row>
    <row r="1362" ht="15.75" spans="6:9">
      <c r="F1362" s="12" t="e">
        <f>'[4]#REF'!F1362</f>
        <v>#REF!</v>
      </c>
      <c r="G1362" s="12" t="e">
        <f>'[4]#REF'!G1362</f>
        <v>#REF!</v>
      </c>
      <c r="H1362" s="31" t="e">
        <f>'[4]#REF'!I1362</f>
        <v>#REF!</v>
      </c>
      <c r="I1362" s="32" t="e">
        <f t="shared" si="52"/>
        <v>#REF!</v>
      </c>
    </row>
    <row r="1363" ht="15.75" spans="6:9">
      <c r="F1363" s="12" t="e">
        <f>'[4]#REF'!F1363</f>
        <v>#REF!</v>
      </c>
      <c r="G1363" s="12" t="e">
        <f>'[4]#REF'!G1363</f>
        <v>#REF!</v>
      </c>
      <c r="H1363" s="31" t="e">
        <f>'[4]#REF'!I1363</f>
        <v>#REF!</v>
      </c>
      <c r="I1363" s="32" t="e">
        <f t="shared" si="52"/>
        <v>#REF!</v>
      </c>
    </row>
    <row r="1364" ht="15.75" spans="6:9">
      <c r="F1364" s="12" t="e">
        <f>'[4]#REF'!F1364</f>
        <v>#REF!</v>
      </c>
      <c r="G1364" s="12" t="e">
        <f>'[4]#REF'!G1364</f>
        <v>#REF!</v>
      </c>
      <c r="H1364" s="31" t="e">
        <f>'[4]#REF'!I1364</f>
        <v>#REF!</v>
      </c>
      <c r="I1364" s="32" t="e">
        <f t="shared" si="52"/>
        <v>#REF!</v>
      </c>
    </row>
    <row r="1365" ht="15.75" spans="6:9">
      <c r="F1365" s="12" t="e">
        <f>'[4]#REF'!F1365</f>
        <v>#REF!</v>
      </c>
      <c r="G1365" s="12" t="e">
        <f>'[4]#REF'!G1365</f>
        <v>#REF!</v>
      </c>
      <c r="H1365" s="31" t="e">
        <f>'[4]#REF'!I1365</f>
        <v>#REF!</v>
      </c>
      <c r="I1365" s="32" t="e">
        <f t="shared" si="52"/>
        <v>#REF!</v>
      </c>
    </row>
    <row r="1366" ht="15.75" spans="6:9">
      <c r="F1366" s="12" t="e">
        <f>'[4]#REF'!F1366</f>
        <v>#REF!</v>
      </c>
      <c r="G1366" s="12" t="e">
        <f>'[4]#REF'!G1366</f>
        <v>#REF!</v>
      </c>
      <c r="H1366" s="31" t="e">
        <f>'[4]#REF'!I1366</f>
        <v>#REF!</v>
      </c>
      <c r="I1366" s="32" t="e">
        <f t="shared" si="52"/>
        <v>#REF!</v>
      </c>
    </row>
    <row r="1367" ht="15.75" spans="6:9">
      <c r="F1367" s="12" t="e">
        <f>'[4]#REF'!F1367</f>
        <v>#REF!</v>
      </c>
      <c r="G1367" s="12" t="e">
        <f>'[4]#REF'!G1367</f>
        <v>#REF!</v>
      </c>
      <c r="H1367" s="31" t="e">
        <f>'[4]#REF'!I1367</f>
        <v>#REF!</v>
      </c>
      <c r="I1367" s="32" t="e">
        <f t="shared" si="52"/>
        <v>#REF!</v>
      </c>
    </row>
    <row r="1368" ht="15.75" spans="6:9">
      <c r="F1368" s="12" t="e">
        <f>'[4]#REF'!F1368</f>
        <v>#REF!</v>
      </c>
      <c r="G1368" s="12" t="e">
        <f>'[4]#REF'!G1368</f>
        <v>#REF!</v>
      </c>
      <c r="H1368" s="31" t="e">
        <f>'[4]#REF'!I1368</f>
        <v>#REF!</v>
      </c>
      <c r="I1368" s="32" t="e">
        <f t="shared" si="52"/>
        <v>#REF!</v>
      </c>
    </row>
    <row r="1369" ht="15.75" spans="6:9">
      <c r="F1369" s="12" t="e">
        <f>'[4]#REF'!F1369</f>
        <v>#REF!</v>
      </c>
      <c r="G1369" s="12" t="e">
        <f>'[4]#REF'!G1369</f>
        <v>#REF!</v>
      </c>
      <c r="H1369" s="31" t="e">
        <f>'[4]#REF'!I1369</f>
        <v>#REF!</v>
      </c>
      <c r="I1369" s="32" t="e">
        <f t="shared" si="52"/>
        <v>#REF!</v>
      </c>
    </row>
    <row r="1370" ht="15.75" spans="6:9">
      <c r="F1370" s="12" t="e">
        <f>'[4]#REF'!F1370</f>
        <v>#REF!</v>
      </c>
      <c r="G1370" s="12" t="e">
        <f>'[4]#REF'!G1370</f>
        <v>#REF!</v>
      </c>
      <c r="H1370" s="31" t="e">
        <f>'[4]#REF'!I1370</f>
        <v>#REF!</v>
      </c>
      <c r="I1370" s="32" t="e">
        <f t="shared" si="52"/>
        <v>#REF!</v>
      </c>
    </row>
    <row r="1371" ht="15.75" spans="6:9">
      <c r="F1371" s="12" t="e">
        <f>'[4]#REF'!F1371</f>
        <v>#REF!</v>
      </c>
      <c r="G1371" s="12" t="e">
        <f>'[4]#REF'!G1371</f>
        <v>#REF!</v>
      </c>
      <c r="H1371" s="31" t="e">
        <f>'[4]#REF'!I1371</f>
        <v>#REF!</v>
      </c>
      <c r="I1371" s="32" t="e">
        <f t="shared" si="52"/>
        <v>#REF!</v>
      </c>
    </row>
    <row r="1372" ht="15.75" spans="6:9">
      <c r="F1372" s="12" t="e">
        <f>'[4]#REF'!F1372</f>
        <v>#REF!</v>
      </c>
      <c r="G1372" s="12" t="e">
        <f>'[4]#REF'!G1372</f>
        <v>#REF!</v>
      </c>
      <c r="H1372" s="31" t="e">
        <f>'[4]#REF'!I1372</f>
        <v>#REF!</v>
      </c>
      <c r="I1372" s="32" t="e">
        <f t="shared" si="52"/>
        <v>#REF!</v>
      </c>
    </row>
    <row r="1373" ht="15.75" spans="6:9">
      <c r="F1373" s="12" t="e">
        <f>'[4]#REF'!F1373</f>
        <v>#REF!</v>
      </c>
      <c r="G1373" s="12" t="e">
        <f>'[4]#REF'!G1373</f>
        <v>#REF!</v>
      </c>
      <c r="H1373" s="31" t="e">
        <f>'[4]#REF'!I1373</f>
        <v>#REF!</v>
      </c>
      <c r="I1373" s="32" t="e">
        <f t="shared" si="52"/>
        <v>#REF!</v>
      </c>
    </row>
    <row r="1374" ht="15.75" spans="6:9">
      <c r="F1374" s="12" t="e">
        <f>'[4]#REF'!F1374</f>
        <v>#REF!</v>
      </c>
      <c r="G1374" s="12" t="e">
        <f>'[4]#REF'!G1374</f>
        <v>#REF!</v>
      </c>
      <c r="H1374" s="31" t="e">
        <f>'[4]#REF'!I1374</f>
        <v>#REF!</v>
      </c>
      <c r="I1374" s="32" t="e">
        <f t="shared" si="52"/>
        <v>#REF!</v>
      </c>
    </row>
    <row r="1375" ht="15.75" spans="6:9">
      <c r="F1375" s="12" t="e">
        <f>'[4]#REF'!F1375</f>
        <v>#REF!</v>
      </c>
      <c r="G1375" s="12" t="e">
        <f>'[4]#REF'!G1375</f>
        <v>#REF!</v>
      </c>
      <c r="H1375" s="31" t="e">
        <f>'[4]#REF'!I1375</f>
        <v>#REF!</v>
      </c>
      <c r="I1375" s="32" t="e">
        <f t="shared" si="52"/>
        <v>#REF!</v>
      </c>
    </row>
    <row r="1376" ht="15.75" spans="6:9">
      <c r="F1376" s="12" t="e">
        <f>'[4]#REF'!F1376</f>
        <v>#REF!</v>
      </c>
      <c r="G1376" s="12" t="e">
        <f>'[4]#REF'!G1376</f>
        <v>#REF!</v>
      </c>
      <c r="H1376" s="31" t="e">
        <f>'[4]#REF'!I1376</f>
        <v>#REF!</v>
      </c>
      <c r="I1376" s="32" t="e">
        <f t="shared" si="52"/>
        <v>#REF!</v>
      </c>
    </row>
    <row r="1377" ht="15.75" spans="6:9">
      <c r="F1377" s="12" t="e">
        <f>'[4]#REF'!F1377</f>
        <v>#REF!</v>
      </c>
      <c r="G1377" s="12" t="e">
        <f>'[4]#REF'!G1377</f>
        <v>#REF!</v>
      </c>
      <c r="H1377" s="31" t="e">
        <f>'[4]#REF'!I1377</f>
        <v>#REF!</v>
      </c>
      <c r="I1377" s="32" t="e">
        <f t="shared" si="52"/>
        <v>#REF!</v>
      </c>
    </row>
    <row r="1378" ht="15.75" spans="6:9">
      <c r="F1378" s="12" t="e">
        <f>'[4]#REF'!F1378</f>
        <v>#REF!</v>
      </c>
      <c r="G1378" s="12" t="e">
        <f>'[4]#REF'!G1378</f>
        <v>#REF!</v>
      </c>
      <c r="H1378" s="31" t="e">
        <f>'[4]#REF'!I1378</f>
        <v>#REF!</v>
      </c>
      <c r="I1378" s="32" t="e">
        <f t="shared" si="52"/>
        <v>#REF!</v>
      </c>
    </row>
    <row r="1379" ht="15.75" spans="6:9">
      <c r="F1379" s="12" t="e">
        <f>'[4]#REF'!F1379</f>
        <v>#REF!</v>
      </c>
      <c r="G1379" s="12" t="e">
        <f>'[4]#REF'!G1379</f>
        <v>#REF!</v>
      </c>
      <c r="H1379" s="31" t="e">
        <f>'[4]#REF'!I1379</f>
        <v>#REF!</v>
      </c>
      <c r="I1379" s="32" t="e">
        <f t="shared" si="52"/>
        <v>#REF!</v>
      </c>
    </row>
    <row r="1380" ht="15.75" spans="6:9">
      <c r="F1380" s="12" t="e">
        <f>'[4]#REF'!F1380</f>
        <v>#REF!</v>
      </c>
      <c r="G1380" s="12" t="e">
        <f>'[4]#REF'!G1380</f>
        <v>#REF!</v>
      </c>
      <c r="H1380" s="31" t="e">
        <f>'[4]#REF'!I1380</f>
        <v>#REF!</v>
      </c>
      <c r="I1380" s="32" t="e">
        <f t="shared" si="52"/>
        <v>#REF!</v>
      </c>
    </row>
    <row r="1381" ht="15.75" spans="6:9">
      <c r="F1381" s="12" t="e">
        <f>'[4]#REF'!F1381</f>
        <v>#REF!</v>
      </c>
      <c r="G1381" s="12" t="e">
        <f>'[4]#REF'!G1381</f>
        <v>#REF!</v>
      </c>
      <c r="H1381" s="31" t="e">
        <f>'[4]#REF'!I1381</f>
        <v>#REF!</v>
      </c>
      <c r="I1381" s="32" t="e">
        <f t="shared" si="52"/>
        <v>#REF!</v>
      </c>
    </row>
    <row r="1382" ht="15.75" spans="6:9">
      <c r="F1382" s="12" t="e">
        <f>'[4]#REF'!F1382</f>
        <v>#REF!</v>
      </c>
      <c r="G1382" s="12" t="e">
        <f>'[4]#REF'!G1382</f>
        <v>#REF!</v>
      </c>
      <c r="H1382" s="31" t="e">
        <f>'[4]#REF'!I1382</f>
        <v>#REF!</v>
      </c>
      <c r="I1382" s="32" t="e">
        <f t="shared" si="52"/>
        <v>#REF!</v>
      </c>
    </row>
    <row r="1383" ht="15.75" spans="6:9">
      <c r="F1383" s="12" t="e">
        <f>'[4]#REF'!F1383</f>
        <v>#REF!</v>
      </c>
      <c r="G1383" s="12" t="e">
        <f>'[4]#REF'!G1383</f>
        <v>#REF!</v>
      </c>
      <c r="H1383" s="31" t="e">
        <f>'[4]#REF'!I1383</f>
        <v>#REF!</v>
      </c>
      <c r="I1383" s="32" t="e">
        <f t="shared" si="52"/>
        <v>#REF!</v>
      </c>
    </row>
    <row r="1384" ht="15.75" spans="6:9">
      <c r="F1384" s="12" t="e">
        <f>'[4]#REF'!F1384</f>
        <v>#REF!</v>
      </c>
      <c r="G1384" s="12" t="e">
        <f>'[4]#REF'!G1384</f>
        <v>#REF!</v>
      </c>
      <c r="H1384" s="31" t="e">
        <f>'[4]#REF'!I1384</f>
        <v>#REF!</v>
      </c>
      <c r="I1384" s="32" t="e">
        <f t="shared" si="52"/>
        <v>#REF!</v>
      </c>
    </row>
    <row r="1385" ht="15.75" spans="6:9">
      <c r="F1385" s="12" t="e">
        <f>'[4]#REF'!F1385</f>
        <v>#REF!</v>
      </c>
      <c r="G1385" s="12" t="e">
        <f>'[4]#REF'!G1385</f>
        <v>#REF!</v>
      </c>
      <c r="H1385" s="31" t="e">
        <f>'[4]#REF'!I1385</f>
        <v>#REF!</v>
      </c>
      <c r="I1385" s="32" t="e">
        <f t="shared" si="52"/>
        <v>#REF!</v>
      </c>
    </row>
    <row r="1386" ht="15.75" spans="6:9">
      <c r="F1386" s="12" t="e">
        <f>'[4]#REF'!F1386</f>
        <v>#REF!</v>
      </c>
      <c r="G1386" s="12" t="e">
        <f>'[4]#REF'!G1386</f>
        <v>#REF!</v>
      </c>
      <c r="H1386" s="31" t="e">
        <f>'[4]#REF'!I1386</f>
        <v>#REF!</v>
      </c>
      <c r="I1386" s="32" t="e">
        <f t="shared" si="52"/>
        <v>#REF!</v>
      </c>
    </row>
    <row r="1387" ht="15.75" spans="6:9">
      <c r="F1387" s="12" t="e">
        <f>'[4]#REF'!F1387</f>
        <v>#REF!</v>
      </c>
      <c r="G1387" s="12" t="e">
        <f>'[4]#REF'!G1387</f>
        <v>#REF!</v>
      </c>
      <c r="H1387" s="31" t="e">
        <f>'[4]#REF'!I1387</f>
        <v>#REF!</v>
      </c>
      <c r="I1387" s="32" t="e">
        <f t="shared" si="52"/>
        <v>#REF!</v>
      </c>
    </row>
    <row r="1388" ht="15.75" spans="6:9">
      <c r="F1388" s="12" t="e">
        <f>'[4]#REF'!F1388</f>
        <v>#REF!</v>
      </c>
      <c r="G1388" s="12" t="e">
        <f>'[4]#REF'!G1388</f>
        <v>#REF!</v>
      </c>
      <c r="H1388" s="31" t="e">
        <f>'[4]#REF'!I1388</f>
        <v>#REF!</v>
      </c>
      <c r="I1388" s="32" t="e">
        <f t="shared" si="52"/>
        <v>#REF!</v>
      </c>
    </row>
    <row r="1389" ht="15.75" spans="6:9">
      <c r="F1389" s="12" t="e">
        <f>'[4]#REF'!F1389</f>
        <v>#REF!</v>
      </c>
      <c r="G1389" s="12" t="e">
        <f>'[4]#REF'!G1389</f>
        <v>#REF!</v>
      </c>
      <c r="H1389" s="31" t="e">
        <f>'[4]#REF'!I1389</f>
        <v>#REF!</v>
      </c>
      <c r="I1389" s="32" t="e">
        <f t="shared" si="52"/>
        <v>#REF!</v>
      </c>
    </row>
    <row r="1390" ht="15.75" spans="6:9">
      <c r="F1390" s="12" t="e">
        <f>'[4]#REF'!F1390</f>
        <v>#REF!</v>
      </c>
      <c r="G1390" s="12" t="e">
        <f>'[4]#REF'!G1390</f>
        <v>#REF!</v>
      </c>
      <c r="H1390" s="31" t="e">
        <f>'[4]#REF'!I1390</f>
        <v>#REF!</v>
      </c>
      <c r="I1390" s="32" t="e">
        <f t="shared" si="52"/>
        <v>#REF!</v>
      </c>
    </row>
    <row r="1391" ht="15.75" spans="6:9">
      <c r="F1391" s="12" t="e">
        <f>'[4]#REF'!F1391</f>
        <v>#REF!</v>
      </c>
      <c r="G1391" s="12" t="e">
        <f>'[4]#REF'!G1391</f>
        <v>#REF!</v>
      </c>
      <c r="H1391" s="31" t="e">
        <f>'[4]#REF'!I1391</f>
        <v>#REF!</v>
      </c>
      <c r="I1391" s="32" t="e">
        <f t="shared" si="52"/>
        <v>#REF!</v>
      </c>
    </row>
    <row r="1392" ht="15.75" spans="6:9">
      <c r="F1392" s="12" t="e">
        <f>'[4]#REF'!F1392</f>
        <v>#REF!</v>
      </c>
      <c r="G1392" s="12" t="e">
        <f>'[4]#REF'!G1392</f>
        <v>#REF!</v>
      </c>
      <c r="H1392" s="31" t="e">
        <f>'[4]#REF'!I1392</f>
        <v>#REF!</v>
      </c>
      <c r="I1392" s="32" t="e">
        <f t="shared" si="52"/>
        <v>#REF!</v>
      </c>
    </row>
    <row r="1393" ht="15.75" spans="6:9">
      <c r="F1393" s="12" t="e">
        <f>'[4]#REF'!F1393</f>
        <v>#REF!</v>
      </c>
      <c r="G1393" s="12" t="e">
        <f>'[4]#REF'!G1393</f>
        <v>#REF!</v>
      </c>
      <c r="H1393" s="31" t="e">
        <f>'[4]#REF'!I1393</f>
        <v>#REF!</v>
      </c>
      <c r="I1393" s="32" t="e">
        <f t="shared" si="52"/>
        <v>#REF!</v>
      </c>
    </row>
    <row r="1394" ht="15.75" spans="6:9">
      <c r="F1394" s="12" t="e">
        <f>'[4]#REF'!F1394</f>
        <v>#REF!</v>
      </c>
      <c r="G1394" s="12" t="e">
        <f>'[4]#REF'!G1394</f>
        <v>#REF!</v>
      </c>
      <c r="H1394" s="31" t="e">
        <f>'[4]#REF'!I1394</f>
        <v>#REF!</v>
      </c>
      <c r="I1394" s="32" t="e">
        <f t="shared" si="52"/>
        <v>#REF!</v>
      </c>
    </row>
    <row r="1395" ht="15.75" spans="6:9">
      <c r="F1395" s="12" t="e">
        <f>'[4]#REF'!F1395</f>
        <v>#REF!</v>
      </c>
      <c r="G1395" s="12" t="e">
        <f>'[4]#REF'!G1395</f>
        <v>#REF!</v>
      </c>
      <c r="H1395" s="31" t="e">
        <f>'[4]#REF'!I1395</f>
        <v>#REF!</v>
      </c>
      <c r="I1395" s="32" t="e">
        <f t="shared" si="52"/>
        <v>#REF!</v>
      </c>
    </row>
    <row r="1396" ht="15.75" spans="6:9">
      <c r="F1396" s="12" t="e">
        <f>'[4]#REF'!F1396</f>
        <v>#REF!</v>
      </c>
      <c r="G1396" s="12" t="e">
        <f>'[4]#REF'!G1396</f>
        <v>#REF!</v>
      </c>
      <c r="H1396" s="31" t="e">
        <f>'[4]#REF'!I1396</f>
        <v>#REF!</v>
      </c>
      <c r="I1396" s="32" t="e">
        <f t="shared" si="52"/>
        <v>#REF!</v>
      </c>
    </row>
    <row r="1397" ht="15.75" spans="6:9">
      <c r="F1397" s="12" t="e">
        <f>'[4]#REF'!F1397</f>
        <v>#REF!</v>
      </c>
      <c r="G1397" s="12" t="e">
        <f>'[4]#REF'!G1397</f>
        <v>#REF!</v>
      </c>
      <c r="H1397" s="31" t="e">
        <f>'[4]#REF'!I1397</f>
        <v>#REF!</v>
      </c>
      <c r="I1397" s="32" t="e">
        <f t="shared" si="52"/>
        <v>#REF!</v>
      </c>
    </row>
    <row r="1398" ht="15.75" spans="6:9">
      <c r="F1398" s="12" t="e">
        <f>'[4]#REF'!F1398</f>
        <v>#REF!</v>
      </c>
      <c r="G1398" s="12" t="e">
        <f>'[4]#REF'!G1398</f>
        <v>#REF!</v>
      </c>
      <c r="H1398" s="31" t="e">
        <f>'[4]#REF'!I1398</f>
        <v>#REF!</v>
      </c>
      <c r="I1398" s="32" t="e">
        <f t="shared" si="52"/>
        <v>#REF!</v>
      </c>
    </row>
    <row r="1399" ht="15.75" spans="6:9">
      <c r="F1399" s="12" t="e">
        <f>'[4]#REF'!F1399</f>
        <v>#REF!</v>
      </c>
      <c r="G1399" s="12" t="e">
        <f>'[4]#REF'!G1399</f>
        <v>#REF!</v>
      </c>
      <c r="H1399" s="31" t="e">
        <f>'[4]#REF'!I1399</f>
        <v>#REF!</v>
      </c>
      <c r="I1399" s="32" t="e">
        <f t="shared" si="52"/>
        <v>#REF!</v>
      </c>
    </row>
    <row r="1400" ht="15.75" spans="6:9">
      <c r="F1400" s="12" t="e">
        <f>'[4]#REF'!F1400</f>
        <v>#REF!</v>
      </c>
      <c r="G1400" s="12" t="e">
        <f>'[4]#REF'!G1400</f>
        <v>#REF!</v>
      </c>
      <c r="H1400" s="31" t="e">
        <f>'[4]#REF'!I1400</f>
        <v>#REF!</v>
      </c>
      <c r="I1400" s="32" t="e">
        <f t="shared" si="52"/>
        <v>#REF!</v>
      </c>
    </row>
    <row r="1401" ht="15.75" spans="6:9">
      <c r="F1401" s="12" t="e">
        <f>'[4]#REF'!F1401</f>
        <v>#REF!</v>
      </c>
      <c r="G1401" s="12" t="e">
        <f>'[4]#REF'!G1401</f>
        <v>#REF!</v>
      </c>
      <c r="H1401" s="31" t="e">
        <f>'[4]#REF'!I1401</f>
        <v>#REF!</v>
      </c>
      <c r="I1401" s="32" t="e">
        <f t="shared" si="52"/>
        <v>#REF!</v>
      </c>
    </row>
    <row r="1402" ht="15.75" spans="6:9">
      <c r="F1402" s="12" t="e">
        <f>'[4]#REF'!F1402</f>
        <v>#REF!</v>
      </c>
      <c r="G1402" s="12" t="e">
        <f>'[4]#REF'!G1402</f>
        <v>#REF!</v>
      </c>
      <c r="H1402" s="31" t="e">
        <f>'[4]#REF'!I1402</f>
        <v>#REF!</v>
      </c>
      <c r="I1402" s="32" t="e">
        <f t="shared" si="52"/>
        <v>#REF!</v>
      </c>
    </row>
    <row r="1403" ht="15.75" spans="6:9">
      <c r="F1403" s="12" t="e">
        <f>'[4]#REF'!F1403</f>
        <v>#REF!</v>
      </c>
      <c r="G1403" s="12" t="e">
        <f>'[4]#REF'!G1403</f>
        <v>#REF!</v>
      </c>
      <c r="H1403" s="31" t="e">
        <f>'[4]#REF'!I1403</f>
        <v>#REF!</v>
      </c>
      <c r="I1403" s="32" t="e">
        <f t="shared" si="52"/>
        <v>#REF!</v>
      </c>
    </row>
    <row r="1404" ht="15.75" spans="6:9">
      <c r="F1404" s="12" t="e">
        <f>'[4]#REF'!F1404</f>
        <v>#REF!</v>
      </c>
      <c r="G1404" s="12" t="e">
        <f>'[4]#REF'!G1404</f>
        <v>#REF!</v>
      </c>
      <c r="H1404" s="31" t="e">
        <f>'[4]#REF'!I1404</f>
        <v>#REF!</v>
      </c>
      <c r="I1404" s="32" t="e">
        <f t="shared" si="52"/>
        <v>#REF!</v>
      </c>
    </row>
    <row r="1405" ht="15.75" spans="6:9">
      <c r="F1405" s="12" t="e">
        <f>'[4]#REF'!F1405</f>
        <v>#REF!</v>
      </c>
      <c r="G1405" s="12" t="e">
        <f>'[4]#REF'!G1405</f>
        <v>#REF!</v>
      </c>
      <c r="H1405" s="31" t="e">
        <f>'[4]#REF'!I1405</f>
        <v>#REF!</v>
      </c>
      <c r="I1405" s="32" t="e">
        <f t="shared" si="52"/>
        <v>#REF!</v>
      </c>
    </row>
    <row r="1406" ht="15.75" spans="6:9">
      <c r="F1406" s="12" t="e">
        <f>'[4]#REF'!F1406</f>
        <v>#REF!</v>
      </c>
      <c r="G1406" s="12" t="e">
        <f>'[4]#REF'!G1406</f>
        <v>#REF!</v>
      </c>
      <c r="H1406" s="31" t="e">
        <f>'[4]#REF'!I1406</f>
        <v>#REF!</v>
      </c>
      <c r="I1406" s="32" t="e">
        <f t="shared" si="52"/>
        <v>#REF!</v>
      </c>
    </row>
    <row r="1407" ht="15.75" spans="6:9">
      <c r="F1407" s="12" t="e">
        <f>'[4]#REF'!F1407</f>
        <v>#REF!</v>
      </c>
      <c r="G1407" s="12" t="e">
        <f>'[4]#REF'!G1407</f>
        <v>#REF!</v>
      </c>
      <c r="H1407" s="31" t="e">
        <f>'[4]#REF'!I1407</f>
        <v>#REF!</v>
      </c>
      <c r="I1407" s="32" t="e">
        <f t="shared" si="52"/>
        <v>#REF!</v>
      </c>
    </row>
    <row r="1408" ht="15.75" spans="6:9">
      <c r="F1408" s="12" t="e">
        <f>'[4]#REF'!F1408</f>
        <v>#REF!</v>
      </c>
      <c r="G1408" s="12" t="e">
        <f>'[4]#REF'!G1408</f>
        <v>#REF!</v>
      </c>
      <c r="H1408" s="31" t="e">
        <f>'[4]#REF'!I1408</f>
        <v>#REF!</v>
      </c>
      <c r="I1408" s="32" t="e">
        <f t="shared" si="52"/>
        <v>#REF!</v>
      </c>
    </row>
    <row r="1409" ht="15.75" spans="6:9">
      <c r="F1409" s="12" t="e">
        <f>'[4]#REF'!F1409</f>
        <v>#REF!</v>
      </c>
      <c r="G1409" s="12" t="e">
        <f>'[4]#REF'!G1409</f>
        <v>#REF!</v>
      </c>
      <c r="H1409" s="31" t="e">
        <f>'[4]#REF'!I1409</f>
        <v>#REF!</v>
      </c>
      <c r="I1409" s="32" t="e">
        <f t="shared" si="52"/>
        <v>#REF!</v>
      </c>
    </row>
    <row r="1410" ht="15.75" spans="6:9">
      <c r="F1410" s="12" t="e">
        <f>'[4]#REF'!F1410</f>
        <v>#REF!</v>
      </c>
      <c r="G1410" s="12" t="e">
        <f>'[4]#REF'!G1410</f>
        <v>#REF!</v>
      </c>
      <c r="H1410" s="31" t="e">
        <f>'[4]#REF'!I1410</f>
        <v>#REF!</v>
      </c>
      <c r="I1410" s="32" t="e">
        <f t="shared" si="52"/>
        <v>#REF!</v>
      </c>
    </row>
    <row r="1411" ht="15.75" spans="6:9">
      <c r="F1411" s="12" t="e">
        <f>'[4]#REF'!F1411</f>
        <v>#REF!</v>
      </c>
      <c r="G1411" s="12" t="e">
        <f>'[4]#REF'!G1411</f>
        <v>#REF!</v>
      </c>
      <c r="H1411" s="31" t="e">
        <f>'[4]#REF'!I1411</f>
        <v>#REF!</v>
      </c>
      <c r="I1411" s="32" t="e">
        <f t="shared" si="52"/>
        <v>#REF!</v>
      </c>
    </row>
    <row r="1412" ht="15.75" spans="6:9">
      <c r="F1412" s="12" t="e">
        <f>'[4]#REF'!F1412</f>
        <v>#REF!</v>
      </c>
      <c r="G1412" s="12" t="e">
        <f>'[4]#REF'!G1412</f>
        <v>#REF!</v>
      </c>
      <c r="H1412" s="31" t="e">
        <f>'[4]#REF'!I1412</f>
        <v>#REF!</v>
      </c>
      <c r="I1412" s="32" t="e">
        <f t="shared" si="52"/>
        <v>#REF!</v>
      </c>
    </row>
    <row r="1413" ht="15.75" spans="6:9">
      <c r="F1413" s="12" t="e">
        <f>'[4]#REF'!F1413</f>
        <v>#REF!</v>
      </c>
      <c r="G1413" s="12" t="e">
        <f>'[4]#REF'!G1413</f>
        <v>#REF!</v>
      </c>
      <c r="H1413" s="31" t="e">
        <f>'[4]#REF'!I1413</f>
        <v>#REF!</v>
      </c>
      <c r="I1413" s="32" t="e">
        <f t="shared" si="52"/>
        <v>#REF!</v>
      </c>
    </row>
    <row r="1414" ht="15.75" spans="6:9">
      <c r="F1414" s="12" t="e">
        <f>'[4]#REF'!F1414</f>
        <v>#REF!</v>
      </c>
      <c r="G1414" s="12" t="e">
        <f>'[4]#REF'!G1414</f>
        <v>#REF!</v>
      </c>
      <c r="H1414" s="31" t="e">
        <f>'[4]#REF'!I1414</f>
        <v>#REF!</v>
      </c>
      <c r="I1414" s="32" t="e">
        <f t="shared" ref="I1414:I1477" si="53">ROUND(H1414/$I$4*100,2)</f>
        <v>#REF!</v>
      </c>
    </row>
    <row r="1415" ht="15.75" spans="6:9">
      <c r="F1415" s="12" t="e">
        <f>'[4]#REF'!F1415</f>
        <v>#REF!</v>
      </c>
      <c r="G1415" s="12" t="e">
        <f>'[4]#REF'!G1415</f>
        <v>#REF!</v>
      </c>
      <c r="H1415" s="31" t="e">
        <f>'[4]#REF'!I1415</f>
        <v>#REF!</v>
      </c>
      <c r="I1415" s="32" t="e">
        <f t="shared" si="53"/>
        <v>#REF!</v>
      </c>
    </row>
    <row r="1416" ht="15.75" spans="6:9">
      <c r="F1416" s="12" t="e">
        <f>'[4]#REF'!F1416</f>
        <v>#REF!</v>
      </c>
      <c r="G1416" s="12" t="e">
        <f>'[4]#REF'!G1416</f>
        <v>#REF!</v>
      </c>
      <c r="H1416" s="31" t="e">
        <f>'[4]#REF'!I1416</f>
        <v>#REF!</v>
      </c>
      <c r="I1416" s="32" t="e">
        <f t="shared" si="53"/>
        <v>#REF!</v>
      </c>
    </row>
    <row r="1417" ht="15.75" spans="6:9">
      <c r="F1417" s="12" t="e">
        <f>'[4]#REF'!F1417</f>
        <v>#REF!</v>
      </c>
      <c r="G1417" s="12" t="e">
        <f>'[4]#REF'!G1417</f>
        <v>#REF!</v>
      </c>
      <c r="H1417" s="31" t="e">
        <f>'[4]#REF'!I1417</f>
        <v>#REF!</v>
      </c>
      <c r="I1417" s="32" t="e">
        <f t="shared" si="53"/>
        <v>#REF!</v>
      </c>
    </row>
    <row r="1418" ht="15.75" spans="6:9">
      <c r="F1418" s="12" t="e">
        <f>'[4]#REF'!F1418</f>
        <v>#REF!</v>
      </c>
      <c r="G1418" s="12" t="e">
        <f>'[4]#REF'!G1418</f>
        <v>#REF!</v>
      </c>
      <c r="H1418" s="31" t="e">
        <f>'[4]#REF'!I1418</f>
        <v>#REF!</v>
      </c>
      <c r="I1418" s="32" t="e">
        <f t="shared" si="53"/>
        <v>#REF!</v>
      </c>
    </row>
    <row r="1419" ht="15.75" spans="6:9">
      <c r="F1419" s="12" t="e">
        <f>'[4]#REF'!F1419</f>
        <v>#REF!</v>
      </c>
      <c r="G1419" s="12" t="e">
        <f>'[4]#REF'!G1419</f>
        <v>#REF!</v>
      </c>
      <c r="H1419" s="31" t="e">
        <f>'[4]#REF'!I1419</f>
        <v>#REF!</v>
      </c>
      <c r="I1419" s="32" t="e">
        <f t="shared" si="53"/>
        <v>#REF!</v>
      </c>
    </row>
    <row r="1420" ht="15.75" spans="6:9">
      <c r="F1420" s="12" t="e">
        <f>'[4]#REF'!F1420</f>
        <v>#REF!</v>
      </c>
      <c r="G1420" s="12" t="e">
        <f>'[4]#REF'!G1420</f>
        <v>#REF!</v>
      </c>
      <c r="H1420" s="31" t="e">
        <f>'[4]#REF'!I1420</f>
        <v>#REF!</v>
      </c>
      <c r="I1420" s="32" t="e">
        <f t="shared" si="53"/>
        <v>#REF!</v>
      </c>
    </row>
    <row r="1421" ht="15.75" spans="6:9">
      <c r="F1421" s="12" t="e">
        <f>'[4]#REF'!F1421</f>
        <v>#REF!</v>
      </c>
      <c r="G1421" s="12" t="e">
        <f>'[4]#REF'!G1421</f>
        <v>#REF!</v>
      </c>
      <c r="H1421" s="31" t="e">
        <f>'[4]#REF'!I1421</f>
        <v>#REF!</v>
      </c>
      <c r="I1421" s="32" t="e">
        <f t="shared" si="53"/>
        <v>#REF!</v>
      </c>
    </row>
    <row r="1422" ht="15.75" spans="6:9">
      <c r="F1422" s="12" t="e">
        <f>'[4]#REF'!F1422</f>
        <v>#REF!</v>
      </c>
      <c r="G1422" s="12" t="e">
        <f>'[4]#REF'!G1422</f>
        <v>#REF!</v>
      </c>
      <c r="H1422" s="31" t="e">
        <f>'[4]#REF'!I1422</f>
        <v>#REF!</v>
      </c>
      <c r="I1422" s="32" t="e">
        <f t="shared" si="53"/>
        <v>#REF!</v>
      </c>
    </row>
    <row r="1423" ht="15.75" spans="6:9">
      <c r="F1423" s="12" t="e">
        <f>'[4]#REF'!F1423</f>
        <v>#REF!</v>
      </c>
      <c r="G1423" s="12" t="e">
        <f>'[4]#REF'!G1423</f>
        <v>#REF!</v>
      </c>
      <c r="H1423" s="31" t="e">
        <f>'[4]#REF'!I1423</f>
        <v>#REF!</v>
      </c>
      <c r="I1423" s="32" t="e">
        <f t="shared" si="53"/>
        <v>#REF!</v>
      </c>
    </row>
    <row r="1424" ht="15.75" spans="6:9">
      <c r="F1424" s="12" t="e">
        <f>'[4]#REF'!F1424</f>
        <v>#REF!</v>
      </c>
      <c r="G1424" s="12" t="e">
        <f>'[4]#REF'!G1424</f>
        <v>#REF!</v>
      </c>
      <c r="H1424" s="31" t="e">
        <f>'[4]#REF'!I1424</f>
        <v>#REF!</v>
      </c>
      <c r="I1424" s="32" t="e">
        <f t="shared" si="53"/>
        <v>#REF!</v>
      </c>
    </row>
    <row r="1425" ht="15.75" spans="6:9">
      <c r="F1425" s="12" t="e">
        <f>'[4]#REF'!F1425</f>
        <v>#REF!</v>
      </c>
      <c r="G1425" s="12" t="e">
        <f>'[4]#REF'!G1425</f>
        <v>#REF!</v>
      </c>
      <c r="H1425" s="31" t="e">
        <f>'[4]#REF'!I1425</f>
        <v>#REF!</v>
      </c>
      <c r="I1425" s="32" t="e">
        <f t="shared" si="53"/>
        <v>#REF!</v>
      </c>
    </row>
    <row r="1426" ht="15.75" spans="6:9">
      <c r="F1426" s="12" t="e">
        <f>'[4]#REF'!F1426</f>
        <v>#REF!</v>
      </c>
      <c r="G1426" s="12" t="e">
        <f>'[4]#REF'!G1426</f>
        <v>#REF!</v>
      </c>
      <c r="H1426" s="31" t="e">
        <f>'[4]#REF'!I1426</f>
        <v>#REF!</v>
      </c>
      <c r="I1426" s="32" t="e">
        <f t="shared" si="53"/>
        <v>#REF!</v>
      </c>
    </row>
    <row r="1427" ht="15.75" spans="6:9">
      <c r="F1427" s="12" t="e">
        <f>'[4]#REF'!F1427</f>
        <v>#REF!</v>
      </c>
      <c r="G1427" s="12" t="e">
        <f>'[4]#REF'!G1427</f>
        <v>#REF!</v>
      </c>
      <c r="H1427" s="31" t="e">
        <f>'[4]#REF'!I1427</f>
        <v>#REF!</v>
      </c>
      <c r="I1427" s="32" t="e">
        <f t="shared" si="53"/>
        <v>#REF!</v>
      </c>
    </row>
    <row r="1428" ht="15.75" spans="6:9">
      <c r="F1428" s="12" t="e">
        <f>'[4]#REF'!F1428</f>
        <v>#REF!</v>
      </c>
      <c r="G1428" s="12" t="e">
        <f>'[4]#REF'!G1428</f>
        <v>#REF!</v>
      </c>
      <c r="H1428" s="31" t="e">
        <f>'[4]#REF'!I1428</f>
        <v>#REF!</v>
      </c>
      <c r="I1428" s="32" t="e">
        <f t="shared" si="53"/>
        <v>#REF!</v>
      </c>
    </row>
    <row r="1429" ht="15.75" spans="6:9">
      <c r="F1429" s="12" t="e">
        <f>'[4]#REF'!F1429</f>
        <v>#REF!</v>
      </c>
      <c r="G1429" s="12" t="e">
        <f>'[4]#REF'!G1429</f>
        <v>#REF!</v>
      </c>
      <c r="H1429" s="31" t="e">
        <f>'[4]#REF'!I1429</f>
        <v>#REF!</v>
      </c>
      <c r="I1429" s="32" t="e">
        <f t="shared" si="53"/>
        <v>#REF!</v>
      </c>
    </row>
    <row r="1430" ht="15.75" spans="6:9">
      <c r="F1430" s="12" t="e">
        <f>'[4]#REF'!F1430</f>
        <v>#REF!</v>
      </c>
      <c r="G1430" s="12" t="e">
        <f>'[4]#REF'!G1430</f>
        <v>#REF!</v>
      </c>
      <c r="H1430" s="31" t="e">
        <f>'[4]#REF'!I1430</f>
        <v>#REF!</v>
      </c>
      <c r="I1430" s="32" t="e">
        <f t="shared" si="53"/>
        <v>#REF!</v>
      </c>
    </row>
    <row r="1431" ht="15.75" spans="6:9">
      <c r="F1431" s="12" t="e">
        <f>'[4]#REF'!F1431</f>
        <v>#REF!</v>
      </c>
      <c r="G1431" s="12" t="e">
        <f>'[4]#REF'!G1431</f>
        <v>#REF!</v>
      </c>
      <c r="H1431" s="31" t="e">
        <f>'[4]#REF'!I1431</f>
        <v>#REF!</v>
      </c>
      <c r="I1431" s="32" t="e">
        <f t="shared" si="53"/>
        <v>#REF!</v>
      </c>
    </row>
    <row r="1432" ht="15.75" spans="6:9">
      <c r="F1432" s="12" t="e">
        <f>'[4]#REF'!F1432</f>
        <v>#REF!</v>
      </c>
      <c r="G1432" s="12" t="e">
        <f>'[4]#REF'!G1432</f>
        <v>#REF!</v>
      </c>
      <c r="H1432" s="31" t="e">
        <f>'[4]#REF'!I1432</f>
        <v>#REF!</v>
      </c>
      <c r="I1432" s="32" t="e">
        <f t="shared" si="53"/>
        <v>#REF!</v>
      </c>
    </row>
    <row r="1433" ht="15.75" spans="6:9">
      <c r="F1433" s="12" t="e">
        <f>'[4]#REF'!F1433</f>
        <v>#REF!</v>
      </c>
      <c r="G1433" s="12" t="e">
        <f>'[4]#REF'!G1433</f>
        <v>#REF!</v>
      </c>
      <c r="H1433" s="31" t="e">
        <f>'[4]#REF'!I1433</f>
        <v>#REF!</v>
      </c>
      <c r="I1433" s="32" t="e">
        <f t="shared" si="53"/>
        <v>#REF!</v>
      </c>
    </row>
    <row r="1434" ht="15.75" spans="6:9">
      <c r="F1434" s="12" t="e">
        <f>'[4]#REF'!F1434</f>
        <v>#REF!</v>
      </c>
      <c r="G1434" s="12" t="e">
        <f>'[4]#REF'!G1434</f>
        <v>#REF!</v>
      </c>
      <c r="H1434" s="31" t="e">
        <f>'[4]#REF'!I1434</f>
        <v>#REF!</v>
      </c>
      <c r="I1434" s="32" t="e">
        <f t="shared" si="53"/>
        <v>#REF!</v>
      </c>
    </row>
    <row r="1435" ht="15.75" spans="6:9">
      <c r="F1435" s="12" t="e">
        <f>'[4]#REF'!F1435</f>
        <v>#REF!</v>
      </c>
      <c r="G1435" s="12" t="e">
        <f>'[4]#REF'!G1435</f>
        <v>#REF!</v>
      </c>
      <c r="H1435" s="31" t="e">
        <f>'[4]#REF'!I1435</f>
        <v>#REF!</v>
      </c>
      <c r="I1435" s="32" t="e">
        <f t="shared" si="53"/>
        <v>#REF!</v>
      </c>
    </row>
    <row r="1436" ht="15.75" spans="6:9">
      <c r="F1436" s="12" t="e">
        <f>'[4]#REF'!F1436</f>
        <v>#REF!</v>
      </c>
      <c r="G1436" s="12" t="e">
        <f>'[4]#REF'!G1436</f>
        <v>#REF!</v>
      </c>
      <c r="H1436" s="31" t="e">
        <f>'[4]#REF'!I1436</f>
        <v>#REF!</v>
      </c>
      <c r="I1436" s="32" t="e">
        <f t="shared" si="53"/>
        <v>#REF!</v>
      </c>
    </row>
    <row r="1437" ht="15.75" spans="6:9">
      <c r="F1437" s="12" t="e">
        <f>'[4]#REF'!F1437</f>
        <v>#REF!</v>
      </c>
      <c r="G1437" s="12" t="e">
        <f>'[4]#REF'!G1437</f>
        <v>#REF!</v>
      </c>
      <c r="H1437" s="31" t="e">
        <f>'[4]#REF'!I1437</f>
        <v>#REF!</v>
      </c>
      <c r="I1437" s="32" t="e">
        <f t="shared" si="53"/>
        <v>#REF!</v>
      </c>
    </row>
    <row r="1438" ht="15.75" spans="6:9">
      <c r="F1438" s="12" t="e">
        <f>'[4]#REF'!F1438</f>
        <v>#REF!</v>
      </c>
      <c r="G1438" s="12" t="e">
        <f>'[4]#REF'!G1438</f>
        <v>#REF!</v>
      </c>
      <c r="H1438" s="31" t="e">
        <f>'[4]#REF'!I1438</f>
        <v>#REF!</v>
      </c>
      <c r="I1438" s="32" t="e">
        <f t="shared" si="53"/>
        <v>#REF!</v>
      </c>
    </row>
    <row r="1439" ht="15.75" spans="6:9">
      <c r="F1439" s="12" t="e">
        <f>'[4]#REF'!F1439</f>
        <v>#REF!</v>
      </c>
      <c r="G1439" s="12" t="e">
        <f>'[4]#REF'!G1439</f>
        <v>#REF!</v>
      </c>
      <c r="H1439" s="31" t="e">
        <f>'[4]#REF'!I1439</f>
        <v>#REF!</v>
      </c>
      <c r="I1439" s="32" t="e">
        <f t="shared" si="53"/>
        <v>#REF!</v>
      </c>
    </row>
    <row r="1440" ht="15.75" spans="6:9">
      <c r="F1440" s="12" t="e">
        <f>'[4]#REF'!F1440</f>
        <v>#REF!</v>
      </c>
      <c r="G1440" s="12" t="e">
        <f>'[4]#REF'!G1440</f>
        <v>#REF!</v>
      </c>
      <c r="H1440" s="31" t="e">
        <f>'[4]#REF'!I1440</f>
        <v>#REF!</v>
      </c>
      <c r="I1440" s="32" t="e">
        <f t="shared" si="53"/>
        <v>#REF!</v>
      </c>
    </row>
    <row r="1441" ht="15.75" spans="6:9">
      <c r="F1441" s="12" t="e">
        <f>'[4]#REF'!F1441</f>
        <v>#REF!</v>
      </c>
      <c r="G1441" s="12" t="e">
        <f>'[4]#REF'!G1441</f>
        <v>#REF!</v>
      </c>
      <c r="H1441" s="31" t="e">
        <f>'[4]#REF'!I1441</f>
        <v>#REF!</v>
      </c>
      <c r="I1441" s="32" t="e">
        <f t="shared" si="53"/>
        <v>#REF!</v>
      </c>
    </row>
    <row r="1442" ht="15.75" spans="6:9">
      <c r="F1442" s="12" t="e">
        <f>'[4]#REF'!F1442</f>
        <v>#REF!</v>
      </c>
      <c r="G1442" s="12" t="e">
        <f>'[4]#REF'!G1442</f>
        <v>#REF!</v>
      </c>
      <c r="H1442" s="31" t="e">
        <f>'[4]#REF'!I1442</f>
        <v>#REF!</v>
      </c>
      <c r="I1442" s="32" t="e">
        <f t="shared" si="53"/>
        <v>#REF!</v>
      </c>
    </row>
    <row r="1443" ht="15.75" spans="6:9">
      <c r="F1443" s="12" t="e">
        <f>'[4]#REF'!F1443</f>
        <v>#REF!</v>
      </c>
      <c r="G1443" s="12" t="e">
        <f>'[4]#REF'!G1443</f>
        <v>#REF!</v>
      </c>
      <c r="H1443" s="31" t="e">
        <f>'[4]#REF'!I1443</f>
        <v>#REF!</v>
      </c>
      <c r="I1443" s="32" t="e">
        <f t="shared" si="53"/>
        <v>#REF!</v>
      </c>
    </row>
    <row r="1444" ht="15.75" spans="6:9">
      <c r="F1444" s="12" t="e">
        <f>'[4]#REF'!F1444</f>
        <v>#REF!</v>
      </c>
      <c r="G1444" s="12" t="e">
        <f>'[4]#REF'!G1444</f>
        <v>#REF!</v>
      </c>
      <c r="H1444" s="31" t="e">
        <f>'[4]#REF'!I1444</f>
        <v>#REF!</v>
      </c>
      <c r="I1444" s="32" t="e">
        <f t="shared" si="53"/>
        <v>#REF!</v>
      </c>
    </row>
    <row r="1445" ht="15.75" spans="6:9">
      <c r="F1445" s="12" t="e">
        <f>'[4]#REF'!F1445</f>
        <v>#REF!</v>
      </c>
      <c r="G1445" s="12" t="e">
        <f>'[4]#REF'!G1445</f>
        <v>#REF!</v>
      </c>
      <c r="H1445" s="31" t="e">
        <f>'[4]#REF'!I1445</f>
        <v>#REF!</v>
      </c>
      <c r="I1445" s="32" t="e">
        <f t="shared" si="53"/>
        <v>#REF!</v>
      </c>
    </row>
    <row r="1446" ht="15.75" spans="6:9">
      <c r="F1446" s="12" t="e">
        <f>'[4]#REF'!F1446</f>
        <v>#REF!</v>
      </c>
      <c r="G1446" s="12" t="e">
        <f>'[4]#REF'!G1446</f>
        <v>#REF!</v>
      </c>
      <c r="H1446" s="31" t="e">
        <f>'[4]#REF'!I1446</f>
        <v>#REF!</v>
      </c>
      <c r="I1446" s="32" t="e">
        <f t="shared" si="53"/>
        <v>#REF!</v>
      </c>
    </row>
    <row r="1447" ht="15.75" spans="6:9">
      <c r="F1447" s="12" t="e">
        <f>'[4]#REF'!F1447</f>
        <v>#REF!</v>
      </c>
      <c r="G1447" s="12" t="e">
        <f>'[4]#REF'!G1447</f>
        <v>#REF!</v>
      </c>
      <c r="H1447" s="31" t="e">
        <f>'[4]#REF'!I1447</f>
        <v>#REF!</v>
      </c>
      <c r="I1447" s="32" t="e">
        <f t="shared" si="53"/>
        <v>#REF!</v>
      </c>
    </row>
    <row r="1448" ht="15.75" spans="6:9">
      <c r="F1448" s="12" t="e">
        <f>'[4]#REF'!F1448</f>
        <v>#REF!</v>
      </c>
      <c r="G1448" s="12" t="e">
        <f>'[4]#REF'!G1448</f>
        <v>#REF!</v>
      </c>
      <c r="H1448" s="31" t="e">
        <f>'[4]#REF'!I1448</f>
        <v>#REF!</v>
      </c>
      <c r="I1448" s="32" t="e">
        <f t="shared" si="53"/>
        <v>#REF!</v>
      </c>
    </row>
    <row r="1449" ht="15.75" spans="6:9">
      <c r="F1449" s="12" t="e">
        <f>'[4]#REF'!F1449</f>
        <v>#REF!</v>
      </c>
      <c r="G1449" s="12" t="e">
        <f>'[4]#REF'!G1449</f>
        <v>#REF!</v>
      </c>
      <c r="H1449" s="31" t="e">
        <f>'[4]#REF'!I1449</f>
        <v>#REF!</v>
      </c>
      <c r="I1449" s="32" t="e">
        <f t="shared" si="53"/>
        <v>#REF!</v>
      </c>
    </row>
    <row r="1450" ht="15.75" spans="6:9">
      <c r="F1450" s="12" t="e">
        <f>'[4]#REF'!F1450</f>
        <v>#REF!</v>
      </c>
      <c r="G1450" s="12" t="e">
        <f>'[4]#REF'!G1450</f>
        <v>#REF!</v>
      </c>
      <c r="H1450" s="31" t="e">
        <f>'[4]#REF'!I1450</f>
        <v>#REF!</v>
      </c>
      <c r="I1450" s="32" t="e">
        <f t="shared" si="53"/>
        <v>#REF!</v>
      </c>
    </row>
    <row r="1451" ht="15.75" spans="6:9">
      <c r="F1451" s="12" t="e">
        <f>'[4]#REF'!F1451</f>
        <v>#REF!</v>
      </c>
      <c r="G1451" s="12" t="e">
        <f>'[4]#REF'!G1451</f>
        <v>#REF!</v>
      </c>
      <c r="H1451" s="31" t="e">
        <f>'[4]#REF'!I1451</f>
        <v>#REF!</v>
      </c>
      <c r="I1451" s="32" t="e">
        <f t="shared" si="53"/>
        <v>#REF!</v>
      </c>
    </row>
    <row r="1452" ht="15.75" spans="6:9">
      <c r="F1452" s="12" t="e">
        <f>'[4]#REF'!F1452</f>
        <v>#REF!</v>
      </c>
      <c r="G1452" s="12" t="e">
        <f>'[4]#REF'!G1452</f>
        <v>#REF!</v>
      </c>
      <c r="H1452" s="31" t="e">
        <f>'[4]#REF'!I1452</f>
        <v>#REF!</v>
      </c>
      <c r="I1452" s="32" t="e">
        <f t="shared" si="53"/>
        <v>#REF!</v>
      </c>
    </row>
    <row r="1453" ht="15.75" spans="6:9">
      <c r="F1453" s="12" t="e">
        <f>'[4]#REF'!F1453</f>
        <v>#REF!</v>
      </c>
      <c r="G1453" s="12" t="e">
        <f>'[4]#REF'!G1453</f>
        <v>#REF!</v>
      </c>
      <c r="H1453" s="31" t="e">
        <f>'[4]#REF'!I1453</f>
        <v>#REF!</v>
      </c>
      <c r="I1453" s="32" t="e">
        <f t="shared" si="53"/>
        <v>#REF!</v>
      </c>
    </row>
    <row r="1454" ht="15.75" spans="6:9">
      <c r="F1454" s="12" t="e">
        <f>'[4]#REF'!F1454</f>
        <v>#REF!</v>
      </c>
      <c r="G1454" s="12" t="e">
        <f>'[4]#REF'!G1454</f>
        <v>#REF!</v>
      </c>
      <c r="H1454" s="31" t="e">
        <f>'[4]#REF'!I1454</f>
        <v>#REF!</v>
      </c>
      <c r="I1454" s="32" t="e">
        <f t="shared" si="53"/>
        <v>#REF!</v>
      </c>
    </row>
    <row r="1455" ht="15.75" spans="6:9">
      <c r="F1455" s="12" t="e">
        <f>'[4]#REF'!F1455</f>
        <v>#REF!</v>
      </c>
      <c r="G1455" s="12" t="e">
        <f>'[4]#REF'!G1455</f>
        <v>#REF!</v>
      </c>
      <c r="H1455" s="31" t="e">
        <f>'[4]#REF'!I1455</f>
        <v>#REF!</v>
      </c>
      <c r="I1455" s="32" t="e">
        <f t="shared" si="53"/>
        <v>#REF!</v>
      </c>
    </row>
    <row r="1456" ht="15.75" spans="6:9">
      <c r="F1456" s="12" t="e">
        <f>'[4]#REF'!F1456</f>
        <v>#REF!</v>
      </c>
      <c r="G1456" s="12" t="e">
        <f>'[4]#REF'!G1456</f>
        <v>#REF!</v>
      </c>
      <c r="H1456" s="31" t="e">
        <f>'[4]#REF'!I1456</f>
        <v>#REF!</v>
      </c>
      <c r="I1456" s="32" t="e">
        <f t="shared" si="53"/>
        <v>#REF!</v>
      </c>
    </row>
    <row r="1457" ht="15.75" spans="6:9">
      <c r="F1457" s="12" t="e">
        <f>'[4]#REF'!F1457</f>
        <v>#REF!</v>
      </c>
      <c r="G1457" s="12" t="e">
        <f>'[4]#REF'!G1457</f>
        <v>#REF!</v>
      </c>
      <c r="H1457" s="31" t="e">
        <f>'[4]#REF'!I1457</f>
        <v>#REF!</v>
      </c>
      <c r="I1457" s="32" t="e">
        <f t="shared" si="53"/>
        <v>#REF!</v>
      </c>
    </row>
    <row r="1458" ht="15.75" spans="6:9">
      <c r="F1458" s="12" t="e">
        <f>'[4]#REF'!F1458</f>
        <v>#REF!</v>
      </c>
      <c r="G1458" s="12" t="e">
        <f>'[4]#REF'!G1458</f>
        <v>#REF!</v>
      </c>
      <c r="H1458" s="31" t="e">
        <f>'[4]#REF'!I1458</f>
        <v>#REF!</v>
      </c>
      <c r="I1458" s="32" t="e">
        <f t="shared" si="53"/>
        <v>#REF!</v>
      </c>
    </row>
    <row r="1459" ht="15.75" spans="6:9">
      <c r="F1459" s="12" t="e">
        <f>'[4]#REF'!F1459</f>
        <v>#REF!</v>
      </c>
      <c r="G1459" s="12" t="e">
        <f>'[4]#REF'!G1459</f>
        <v>#REF!</v>
      </c>
      <c r="H1459" s="31" t="e">
        <f>'[4]#REF'!I1459</f>
        <v>#REF!</v>
      </c>
      <c r="I1459" s="32" t="e">
        <f t="shared" si="53"/>
        <v>#REF!</v>
      </c>
    </row>
    <row r="1460" ht="15.75" spans="6:9">
      <c r="F1460" s="12" t="e">
        <f>'[4]#REF'!F1460</f>
        <v>#REF!</v>
      </c>
      <c r="G1460" s="12" t="e">
        <f>'[4]#REF'!G1460</f>
        <v>#REF!</v>
      </c>
      <c r="H1460" s="31" t="e">
        <f>'[4]#REF'!I1460</f>
        <v>#REF!</v>
      </c>
      <c r="I1460" s="32" t="e">
        <f t="shared" si="53"/>
        <v>#REF!</v>
      </c>
    </row>
    <row r="1461" ht="15.75" spans="6:9">
      <c r="F1461" s="12" t="e">
        <f>'[4]#REF'!F1461</f>
        <v>#REF!</v>
      </c>
      <c r="G1461" s="12" t="e">
        <f>'[4]#REF'!G1461</f>
        <v>#REF!</v>
      </c>
      <c r="H1461" s="31" t="e">
        <f>'[4]#REF'!I1461</f>
        <v>#REF!</v>
      </c>
      <c r="I1461" s="32" t="e">
        <f t="shared" si="53"/>
        <v>#REF!</v>
      </c>
    </row>
    <row r="1462" ht="15.75" spans="6:9">
      <c r="F1462" s="12" t="e">
        <f>'[4]#REF'!F1462</f>
        <v>#REF!</v>
      </c>
      <c r="G1462" s="12" t="e">
        <f>'[4]#REF'!G1462</f>
        <v>#REF!</v>
      </c>
      <c r="H1462" s="31" t="e">
        <f>'[4]#REF'!I1462</f>
        <v>#REF!</v>
      </c>
      <c r="I1462" s="32" t="e">
        <f t="shared" si="53"/>
        <v>#REF!</v>
      </c>
    </row>
    <row r="1463" ht="15.75" spans="6:9">
      <c r="F1463" s="12" t="e">
        <f>'[4]#REF'!F1463</f>
        <v>#REF!</v>
      </c>
      <c r="G1463" s="12" t="e">
        <f>'[4]#REF'!G1463</f>
        <v>#REF!</v>
      </c>
      <c r="H1463" s="31" t="e">
        <f>'[4]#REF'!I1463</f>
        <v>#REF!</v>
      </c>
      <c r="I1463" s="32" t="e">
        <f t="shared" si="53"/>
        <v>#REF!</v>
      </c>
    </row>
    <row r="1464" ht="15.75" spans="6:9">
      <c r="F1464" s="12" t="e">
        <f>'[4]#REF'!F1464</f>
        <v>#REF!</v>
      </c>
      <c r="G1464" s="12" t="e">
        <f>'[4]#REF'!G1464</f>
        <v>#REF!</v>
      </c>
      <c r="H1464" s="31" t="e">
        <f>'[4]#REF'!I1464</f>
        <v>#REF!</v>
      </c>
      <c r="I1464" s="32" t="e">
        <f t="shared" si="53"/>
        <v>#REF!</v>
      </c>
    </row>
    <row r="1465" ht="15.75" spans="6:9">
      <c r="F1465" s="12" t="e">
        <f>'[4]#REF'!F1465</f>
        <v>#REF!</v>
      </c>
      <c r="G1465" s="12" t="e">
        <f>'[4]#REF'!G1465</f>
        <v>#REF!</v>
      </c>
      <c r="H1465" s="31" t="e">
        <f>'[4]#REF'!I1465</f>
        <v>#REF!</v>
      </c>
      <c r="I1465" s="32" t="e">
        <f t="shared" si="53"/>
        <v>#REF!</v>
      </c>
    </row>
    <row r="1466" ht="15.75" spans="6:9">
      <c r="F1466" s="12" t="e">
        <f>'[4]#REF'!F1466</f>
        <v>#REF!</v>
      </c>
      <c r="G1466" s="12" t="e">
        <f>'[4]#REF'!G1466</f>
        <v>#REF!</v>
      </c>
      <c r="H1466" s="31" t="e">
        <f>'[4]#REF'!I1466</f>
        <v>#REF!</v>
      </c>
      <c r="I1466" s="32" t="e">
        <f t="shared" si="53"/>
        <v>#REF!</v>
      </c>
    </row>
    <row r="1467" ht="15.75" spans="6:9">
      <c r="F1467" s="12" t="e">
        <f>'[4]#REF'!F1467</f>
        <v>#REF!</v>
      </c>
      <c r="G1467" s="12" t="e">
        <f>'[4]#REF'!G1467</f>
        <v>#REF!</v>
      </c>
      <c r="H1467" s="31" t="e">
        <f>'[4]#REF'!I1467</f>
        <v>#REF!</v>
      </c>
      <c r="I1467" s="32" t="e">
        <f t="shared" si="53"/>
        <v>#REF!</v>
      </c>
    </row>
    <row r="1468" ht="15.75" spans="6:9">
      <c r="F1468" s="12" t="e">
        <f>'[4]#REF'!F1468</f>
        <v>#REF!</v>
      </c>
      <c r="G1468" s="12" t="e">
        <f>'[4]#REF'!G1468</f>
        <v>#REF!</v>
      </c>
      <c r="H1468" s="31" t="e">
        <f>'[4]#REF'!I1468</f>
        <v>#REF!</v>
      </c>
      <c r="I1468" s="32" t="e">
        <f t="shared" si="53"/>
        <v>#REF!</v>
      </c>
    </row>
    <row r="1469" ht="15.75" spans="6:9">
      <c r="F1469" s="12" t="e">
        <f>'[4]#REF'!F1469</f>
        <v>#REF!</v>
      </c>
      <c r="G1469" s="12" t="e">
        <f>'[4]#REF'!G1469</f>
        <v>#REF!</v>
      </c>
      <c r="H1469" s="31" t="e">
        <f>'[4]#REF'!I1469</f>
        <v>#REF!</v>
      </c>
      <c r="I1469" s="32" t="e">
        <f t="shared" si="53"/>
        <v>#REF!</v>
      </c>
    </row>
    <row r="1470" ht="15.75" spans="6:9">
      <c r="F1470" s="12" t="e">
        <f>'[4]#REF'!F1470</f>
        <v>#REF!</v>
      </c>
      <c r="G1470" s="12" t="e">
        <f>'[4]#REF'!G1470</f>
        <v>#REF!</v>
      </c>
      <c r="H1470" s="31" t="e">
        <f>'[4]#REF'!I1470</f>
        <v>#REF!</v>
      </c>
      <c r="I1470" s="32" t="e">
        <f t="shared" si="53"/>
        <v>#REF!</v>
      </c>
    </row>
    <row r="1471" ht="15.75" spans="6:9">
      <c r="F1471" s="12" t="e">
        <f>'[4]#REF'!F1471</f>
        <v>#REF!</v>
      </c>
      <c r="G1471" s="12" t="e">
        <f>'[4]#REF'!G1471</f>
        <v>#REF!</v>
      </c>
      <c r="H1471" s="31" t="e">
        <f>'[4]#REF'!I1471</f>
        <v>#REF!</v>
      </c>
      <c r="I1471" s="32" t="e">
        <f t="shared" si="53"/>
        <v>#REF!</v>
      </c>
    </row>
    <row r="1472" ht="15.75" spans="6:9">
      <c r="F1472" s="12" t="e">
        <f>'[4]#REF'!F1472</f>
        <v>#REF!</v>
      </c>
      <c r="G1472" s="12" t="e">
        <f>'[4]#REF'!G1472</f>
        <v>#REF!</v>
      </c>
      <c r="H1472" s="31" t="e">
        <f>'[4]#REF'!I1472</f>
        <v>#REF!</v>
      </c>
      <c r="I1472" s="32" t="e">
        <f t="shared" si="53"/>
        <v>#REF!</v>
      </c>
    </row>
    <row r="1473" ht="15.75" spans="6:9">
      <c r="F1473" s="12" t="e">
        <f>'[4]#REF'!F1473</f>
        <v>#REF!</v>
      </c>
      <c r="G1473" s="12" t="e">
        <f>'[4]#REF'!G1473</f>
        <v>#REF!</v>
      </c>
      <c r="H1473" s="31" t="e">
        <f>'[4]#REF'!I1473</f>
        <v>#REF!</v>
      </c>
      <c r="I1473" s="32" t="e">
        <f t="shared" si="53"/>
        <v>#REF!</v>
      </c>
    </row>
    <row r="1474" ht="15.75" spans="6:9">
      <c r="F1474" s="12" t="e">
        <f>'[4]#REF'!F1474</f>
        <v>#REF!</v>
      </c>
      <c r="G1474" s="12" t="e">
        <f>'[4]#REF'!G1474</f>
        <v>#REF!</v>
      </c>
      <c r="H1474" s="31" t="e">
        <f>'[4]#REF'!I1474</f>
        <v>#REF!</v>
      </c>
      <c r="I1474" s="32" t="e">
        <f t="shared" si="53"/>
        <v>#REF!</v>
      </c>
    </row>
    <row r="1475" ht="15.75" spans="6:9">
      <c r="F1475" s="12" t="e">
        <f>'[4]#REF'!F1475</f>
        <v>#REF!</v>
      </c>
      <c r="G1475" s="12" t="e">
        <f>'[4]#REF'!G1475</f>
        <v>#REF!</v>
      </c>
      <c r="H1475" s="31" t="e">
        <f>'[4]#REF'!I1475</f>
        <v>#REF!</v>
      </c>
      <c r="I1475" s="32" t="e">
        <f t="shared" si="53"/>
        <v>#REF!</v>
      </c>
    </row>
    <row r="1476" ht="15.75" spans="6:9">
      <c r="F1476" s="12" t="e">
        <f>'[4]#REF'!F1476</f>
        <v>#REF!</v>
      </c>
      <c r="G1476" s="12" t="e">
        <f>'[4]#REF'!G1476</f>
        <v>#REF!</v>
      </c>
      <c r="H1476" s="31" t="e">
        <f>'[4]#REF'!I1476</f>
        <v>#REF!</v>
      </c>
      <c r="I1476" s="32" t="e">
        <f t="shared" si="53"/>
        <v>#REF!</v>
      </c>
    </row>
    <row r="1477" ht="15.75" spans="6:9">
      <c r="F1477" s="12" t="e">
        <f>'[4]#REF'!F1477</f>
        <v>#REF!</v>
      </c>
      <c r="G1477" s="12" t="e">
        <f>'[4]#REF'!G1477</f>
        <v>#REF!</v>
      </c>
      <c r="H1477" s="31" t="e">
        <f>'[4]#REF'!I1477</f>
        <v>#REF!</v>
      </c>
      <c r="I1477" s="32" t="e">
        <f t="shared" si="53"/>
        <v>#REF!</v>
      </c>
    </row>
    <row r="1478" ht="15.75" spans="6:9">
      <c r="F1478" s="12" t="e">
        <f>'[4]#REF'!F1478</f>
        <v>#REF!</v>
      </c>
      <c r="G1478" s="12" t="e">
        <f>'[4]#REF'!G1478</f>
        <v>#REF!</v>
      </c>
      <c r="H1478" s="31" t="e">
        <f>'[4]#REF'!I1478</f>
        <v>#REF!</v>
      </c>
      <c r="I1478" s="32" t="e">
        <f t="shared" ref="I1478:I1541" si="54">ROUND(H1478/$I$4*100,2)</f>
        <v>#REF!</v>
      </c>
    </row>
    <row r="1479" ht="15.75" spans="6:9">
      <c r="F1479" s="12" t="e">
        <f>'[4]#REF'!F1479</f>
        <v>#REF!</v>
      </c>
      <c r="G1479" s="12" t="e">
        <f>'[4]#REF'!G1479</f>
        <v>#REF!</v>
      </c>
      <c r="H1479" s="31" t="e">
        <f>'[4]#REF'!I1479</f>
        <v>#REF!</v>
      </c>
      <c r="I1479" s="32" t="e">
        <f t="shared" si="54"/>
        <v>#REF!</v>
      </c>
    </row>
    <row r="1480" ht="15.75" spans="6:9">
      <c r="F1480" s="12" t="e">
        <f>'[4]#REF'!F1480</f>
        <v>#REF!</v>
      </c>
      <c r="G1480" s="12" t="e">
        <f>'[4]#REF'!G1480</f>
        <v>#REF!</v>
      </c>
      <c r="H1480" s="31" t="e">
        <f>'[4]#REF'!I1480</f>
        <v>#REF!</v>
      </c>
      <c r="I1480" s="32" t="e">
        <f t="shared" si="54"/>
        <v>#REF!</v>
      </c>
    </row>
    <row r="1481" ht="15.75" spans="6:9">
      <c r="F1481" s="12" t="e">
        <f>'[4]#REF'!F1481</f>
        <v>#REF!</v>
      </c>
      <c r="G1481" s="12" t="e">
        <f>'[4]#REF'!G1481</f>
        <v>#REF!</v>
      </c>
      <c r="H1481" s="31" t="e">
        <f>'[4]#REF'!I1481</f>
        <v>#REF!</v>
      </c>
      <c r="I1481" s="32" t="e">
        <f t="shared" si="54"/>
        <v>#REF!</v>
      </c>
    </row>
    <row r="1482" ht="15.75" spans="6:9">
      <c r="F1482" s="12" t="e">
        <f>'[4]#REF'!F1482</f>
        <v>#REF!</v>
      </c>
      <c r="G1482" s="12" t="e">
        <f>'[4]#REF'!G1482</f>
        <v>#REF!</v>
      </c>
      <c r="H1482" s="31" t="e">
        <f>'[4]#REF'!I1482</f>
        <v>#REF!</v>
      </c>
      <c r="I1482" s="32" t="e">
        <f t="shared" si="54"/>
        <v>#REF!</v>
      </c>
    </row>
    <row r="1483" ht="15.75" spans="6:9">
      <c r="F1483" s="12" t="e">
        <f>'[4]#REF'!F1483</f>
        <v>#REF!</v>
      </c>
      <c r="G1483" s="12" t="e">
        <f>'[4]#REF'!G1483</f>
        <v>#REF!</v>
      </c>
      <c r="H1483" s="31" t="e">
        <f>'[4]#REF'!I1483</f>
        <v>#REF!</v>
      </c>
      <c r="I1483" s="32" t="e">
        <f t="shared" si="54"/>
        <v>#REF!</v>
      </c>
    </row>
    <row r="1484" ht="15.75" spans="6:9">
      <c r="F1484" s="12" t="e">
        <f>'[4]#REF'!F1484</f>
        <v>#REF!</v>
      </c>
      <c r="G1484" s="12" t="e">
        <f>'[4]#REF'!G1484</f>
        <v>#REF!</v>
      </c>
      <c r="H1484" s="31" t="e">
        <f>'[4]#REF'!I1484</f>
        <v>#REF!</v>
      </c>
      <c r="I1484" s="32" t="e">
        <f t="shared" si="54"/>
        <v>#REF!</v>
      </c>
    </row>
    <row r="1485" ht="15.75" spans="6:9">
      <c r="F1485" s="12" t="e">
        <f>'[4]#REF'!F1485</f>
        <v>#REF!</v>
      </c>
      <c r="G1485" s="12" t="e">
        <f>'[4]#REF'!G1485</f>
        <v>#REF!</v>
      </c>
      <c r="H1485" s="31" t="e">
        <f>'[4]#REF'!I1485</f>
        <v>#REF!</v>
      </c>
      <c r="I1485" s="32" t="e">
        <f t="shared" si="54"/>
        <v>#REF!</v>
      </c>
    </row>
    <row r="1486" ht="15.75" spans="6:9">
      <c r="F1486" s="12" t="e">
        <f>'[4]#REF'!F1486</f>
        <v>#REF!</v>
      </c>
      <c r="G1486" s="12" t="e">
        <f>'[4]#REF'!G1486</f>
        <v>#REF!</v>
      </c>
      <c r="H1486" s="31" t="e">
        <f>'[4]#REF'!I1486</f>
        <v>#REF!</v>
      </c>
      <c r="I1486" s="32" t="e">
        <f t="shared" si="54"/>
        <v>#REF!</v>
      </c>
    </row>
    <row r="1487" ht="15.75" spans="6:9">
      <c r="F1487" s="12" t="e">
        <f>'[4]#REF'!F1487</f>
        <v>#REF!</v>
      </c>
      <c r="G1487" s="12" t="e">
        <f>'[4]#REF'!G1487</f>
        <v>#REF!</v>
      </c>
      <c r="H1487" s="31" t="e">
        <f>'[4]#REF'!I1487</f>
        <v>#REF!</v>
      </c>
      <c r="I1487" s="32" t="e">
        <f t="shared" si="54"/>
        <v>#REF!</v>
      </c>
    </row>
    <row r="1488" ht="15.75" spans="6:9">
      <c r="F1488" s="12" t="e">
        <f>'[4]#REF'!F1488</f>
        <v>#REF!</v>
      </c>
      <c r="G1488" s="12" t="e">
        <f>'[4]#REF'!G1488</f>
        <v>#REF!</v>
      </c>
      <c r="H1488" s="31" t="e">
        <f>'[4]#REF'!I1488</f>
        <v>#REF!</v>
      </c>
      <c r="I1488" s="32" t="e">
        <f t="shared" si="54"/>
        <v>#REF!</v>
      </c>
    </row>
    <row r="1489" ht="15.75" spans="6:9">
      <c r="F1489" s="12" t="e">
        <f>'[4]#REF'!F1489</f>
        <v>#REF!</v>
      </c>
      <c r="G1489" s="12" t="e">
        <f>'[4]#REF'!G1489</f>
        <v>#REF!</v>
      </c>
      <c r="H1489" s="31" t="e">
        <f>'[4]#REF'!I1489</f>
        <v>#REF!</v>
      </c>
      <c r="I1489" s="32" t="e">
        <f t="shared" si="54"/>
        <v>#REF!</v>
      </c>
    </row>
    <row r="1490" ht="15.75" spans="6:9">
      <c r="F1490" s="12" t="e">
        <f>'[4]#REF'!F1490</f>
        <v>#REF!</v>
      </c>
      <c r="G1490" s="12" t="e">
        <f>'[4]#REF'!G1490</f>
        <v>#REF!</v>
      </c>
      <c r="H1490" s="31" t="e">
        <f>'[4]#REF'!I1490</f>
        <v>#REF!</v>
      </c>
      <c r="I1490" s="32" t="e">
        <f t="shared" si="54"/>
        <v>#REF!</v>
      </c>
    </row>
    <row r="1491" ht="15.75" spans="6:9">
      <c r="F1491" s="12" t="e">
        <f>'[4]#REF'!F1491</f>
        <v>#REF!</v>
      </c>
      <c r="G1491" s="12" t="e">
        <f>'[4]#REF'!G1491</f>
        <v>#REF!</v>
      </c>
      <c r="H1491" s="31" t="e">
        <f>'[4]#REF'!I1491</f>
        <v>#REF!</v>
      </c>
      <c r="I1491" s="32" t="e">
        <f t="shared" si="54"/>
        <v>#REF!</v>
      </c>
    </row>
    <row r="1492" ht="15.75" spans="6:9">
      <c r="F1492" s="12" t="e">
        <f>'[4]#REF'!F1492</f>
        <v>#REF!</v>
      </c>
      <c r="G1492" s="12" t="e">
        <f>'[4]#REF'!G1492</f>
        <v>#REF!</v>
      </c>
      <c r="H1492" s="31" t="e">
        <f>'[4]#REF'!I1492</f>
        <v>#REF!</v>
      </c>
      <c r="I1492" s="32" t="e">
        <f t="shared" si="54"/>
        <v>#REF!</v>
      </c>
    </row>
    <row r="1493" ht="15.75" spans="6:9">
      <c r="F1493" s="12" t="e">
        <f>'[4]#REF'!F1493</f>
        <v>#REF!</v>
      </c>
      <c r="G1493" s="12" t="e">
        <f>'[4]#REF'!G1493</f>
        <v>#REF!</v>
      </c>
      <c r="H1493" s="31" t="e">
        <f>'[4]#REF'!I1493</f>
        <v>#REF!</v>
      </c>
      <c r="I1493" s="32" t="e">
        <f t="shared" si="54"/>
        <v>#REF!</v>
      </c>
    </row>
    <row r="1494" ht="15.75" spans="6:9">
      <c r="F1494" s="12" t="e">
        <f>'[4]#REF'!F1494</f>
        <v>#REF!</v>
      </c>
      <c r="G1494" s="12" t="e">
        <f>'[4]#REF'!G1494</f>
        <v>#REF!</v>
      </c>
      <c r="H1494" s="31" t="e">
        <f>'[4]#REF'!I1494</f>
        <v>#REF!</v>
      </c>
      <c r="I1494" s="32" t="e">
        <f t="shared" si="54"/>
        <v>#REF!</v>
      </c>
    </row>
    <row r="1495" ht="15.75" spans="6:9">
      <c r="F1495" s="12" t="e">
        <f>'[4]#REF'!F1495</f>
        <v>#REF!</v>
      </c>
      <c r="G1495" s="12" t="e">
        <f>'[4]#REF'!G1495</f>
        <v>#REF!</v>
      </c>
      <c r="H1495" s="31" t="e">
        <f>'[4]#REF'!I1495</f>
        <v>#REF!</v>
      </c>
      <c r="I1495" s="32" t="e">
        <f t="shared" si="54"/>
        <v>#REF!</v>
      </c>
    </row>
    <row r="1496" ht="15.75" spans="6:9">
      <c r="F1496" s="12" t="e">
        <f>'[4]#REF'!F1496</f>
        <v>#REF!</v>
      </c>
      <c r="G1496" s="12" t="e">
        <f>'[4]#REF'!G1496</f>
        <v>#REF!</v>
      </c>
      <c r="H1496" s="31" t="e">
        <f>'[4]#REF'!I1496</f>
        <v>#REF!</v>
      </c>
      <c r="I1496" s="32" t="e">
        <f t="shared" si="54"/>
        <v>#REF!</v>
      </c>
    </row>
    <row r="1497" ht="15.75" spans="6:9">
      <c r="F1497" s="12" t="e">
        <f>'[4]#REF'!F1497</f>
        <v>#REF!</v>
      </c>
      <c r="G1497" s="12" t="e">
        <f>'[4]#REF'!G1497</f>
        <v>#REF!</v>
      </c>
      <c r="H1497" s="31" t="e">
        <f>'[4]#REF'!I1497</f>
        <v>#REF!</v>
      </c>
      <c r="I1497" s="32" t="e">
        <f t="shared" si="54"/>
        <v>#REF!</v>
      </c>
    </row>
    <row r="1498" ht="15.75" spans="6:9">
      <c r="F1498" s="12" t="e">
        <f>'[4]#REF'!F1498</f>
        <v>#REF!</v>
      </c>
      <c r="G1498" s="12" t="e">
        <f>'[4]#REF'!G1498</f>
        <v>#REF!</v>
      </c>
      <c r="H1498" s="31" t="e">
        <f>'[4]#REF'!I1498</f>
        <v>#REF!</v>
      </c>
      <c r="I1498" s="32" t="e">
        <f t="shared" si="54"/>
        <v>#REF!</v>
      </c>
    </row>
    <row r="1499" ht="15.75" spans="6:9">
      <c r="F1499" s="12" t="e">
        <f>'[4]#REF'!F1499</f>
        <v>#REF!</v>
      </c>
      <c r="G1499" s="12" t="e">
        <f>'[4]#REF'!G1499</f>
        <v>#REF!</v>
      </c>
      <c r="H1499" s="31" t="e">
        <f>'[4]#REF'!I1499</f>
        <v>#REF!</v>
      </c>
      <c r="I1499" s="32" t="e">
        <f t="shared" si="54"/>
        <v>#REF!</v>
      </c>
    </row>
    <row r="1500" ht="15.75" spans="6:9">
      <c r="F1500" s="12" t="e">
        <f>'[4]#REF'!F1500</f>
        <v>#REF!</v>
      </c>
      <c r="G1500" s="12" t="e">
        <f>'[4]#REF'!G1500</f>
        <v>#REF!</v>
      </c>
      <c r="H1500" s="31" t="e">
        <f>'[4]#REF'!I1500</f>
        <v>#REF!</v>
      </c>
      <c r="I1500" s="32" t="e">
        <f t="shared" si="54"/>
        <v>#REF!</v>
      </c>
    </row>
    <row r="1501" ht="15.75" spans="6:9">
      <c r="F1501" s="12" t="e">
        <f>'[4]#REF'!F1501</f>
        <v>#REF!</v>
      </c>
      <c r="G1501" s="12" t="e">
        <f>'[4]#REF'!G1501</f>
        <v>#REF!</v>
      </c>
      <c r="H1501" s="31" t="e">
        <f>'[4]#REF'!I1501</f>
        <v>#REF!</v>
      </c>
      <c r="I1501" s="32" t="e">
        <f t="shared" si="54"/>
        <v>#REF!</v>
      </c>
    </row>
    <row r="1502" ht="15.75" spans="6:9">
      <c r="F1502" s="12" t="e">
        <f>'[4]#REF'!F1502</f>
        <v>#REF!</v>
      </c>
      <c r="G1502" s="12" t="e">
        <f>'[4]#REF'!G1502</f>
        <v>#REF!</v>
      </c>
      <c r="H1502" s="31" t="e">
        <f>'[4]#REF'!I1502</f>
        <v>#REF!</v>
      </c>
      <c r="I1502" s="32" t="e">
        <f t="shared" si="54"/>
        <v>#REF!</v>
      </c>
    </row>
    <row r="1503" ht="15.75" spans="6:9">
      <c r="F1503" s="12" t="e">
        <f>'[4]#REF'!F1503</f>
        <v>#REF!</v>
      </c>
      <c r="G1503" s="12" t="e">
        <f>'[4]#REF'!G1503</f>
        <v>#REF!</v>
      </c>
      <c r="H1503" s="31" t="e">
        <f>'[4]#REF'!I1503</f>
        <v>#REF!</v>
      </c>
      <c r="I1503" s="32" t="e">
        <f t="shared" si="54"/>
        <v>#REF!</v>
      </c>
    </row>
    <row r="1504" ht="15.75" spans="6:9">
      <c r="F1504" s="12" t="e">
        <f>'[4]#REF'!F1504</f>
        <v>#REF!</v>
      </c>
      <c r="G1504" s="12" t="e">
        <f>'[4]#REF'!G1504</f>
        <v>#REF!</v>
      </c>
      <c r="H1504" s="31" t="e">
        <f>'[4]#REF'!I1504</f>
        <v>#REF!</v>
      </c>
      <c r="I1504" s="32" t="e">
        <f t="shared" si="54"/>
        <v>#REF!</v>
      </c>
    </row>
    <row r="1505" ht="15.75" spans="6:9">
      <c r="F1505" s="12" t="e">
        <f>'[4]#REF'!F1505</f>
        <v>#REF!</v>
      </c>
      <c r="G1505" s="12" t="e">
        <f>'[4]#REF'!G1505</f>
        <v>#REF!</v>
      </c>
      <c r="H1505" s="31" t="e">
        <f>'[4]#REF'!I1505</f>
        <v>#REF!</v>
      </c>
      <c r="I1505" s="32" t="e">
        <f t="shared" si="54"/>
        <v>#REF!</v>
      </c>
    </row>
    <row r="1506" ht="15.75" spans="6:9">
      <c r="F1506" s="12" t="e">
        <f>'[4]#REF'!F1506</f>
        <v>#REF!</v>
      </c>
      <c r="G1506" s="12" t="e">
        <f>'[4]#REF'!G1506</f>
        <v>#REF!</v>
      </c>
      <c r="H1506" s="31" t="e">
        <f>'[4]#REF'!I1506</f>
        <v>#REF!</v>
      </c>
      <c r="I1506" s="32" t="e">
        <f t="shared" si="54"/>
        <v>#REF!</v>
      </c>
    </row>
    <row r="1507" ht="15.75" spans="6:9">
      <c r="F1507" s="12" t="e">
        <f>'[4]#REF'!F1507</f>
        <v>#REF!</v>
      </c>
      <c r="G1507" s="12" t="e">
        <f>'[4]#REF'!G1507</f>
        <v>#REF!</v>
      </c>
      <c r="H1507" s="31" t="e">
        <f>'[4]#REF'!I1507</f>
        <v>#REF!</v>
      </c>
      <c r="I1507" s="32" t="e">
        <f t="shared" si="54"/>
        <v>#REF!</v>
      </c>
    </row>
    <row r="1508" ht="15.75" spans="6:9">
      <c r="F1508" s="12" t="e">
        <f>'[4]#REF'!F1508</f>
        <v>#REF!</v>
      </c>
      <c r="G1508" s="12" t="e">
        <f>'[4]#REF'!G1508</f>
        <v>#REF!</v>
      </c>
      <c r="H1508" s="31" t="e">
        <f>'[4]#REF'!I1508</f>
        <v>#REF!</v>
      </c>
      <c r="I1508" s="32" t="e">
        <f t="shared" si="54"/>
        <v>#REF!</v>
      </c>
    </row>
    <row r="1509" ht="15.75" spans="6:9">
      <c r="F1509" s="12" t="e">
        <f>'[4]#REF'!F1509</f>
        <v>#REF!</v>
      </c>
      <c r="G1509" s="12" t="e">
        <f>'[4]#REF'!G1509</f>
        <v>#REF!</v>
      </c>
      <c r="H1509" s="31" t="e">
        <f>'[4]#REF'!I1509</f>
        <v>#REF!</v>
      </c>
      <c r="I1509" s="32" t="e">
        <f t="shared" si="54"/>
        <v>#REF!</v>
      </c>
    </row>
    <row r="1510" ht="15.75" spans="6:9">
      <c r="F1510" s="12" t="e">
        <f>'[4]#REF'!F1510</f>
        <v>#REF!</v>
      </c>
      <c r="G1510" s="12" t="e">
        <f>'[4]#REF'!G1510</f>
        <v>#REF!</v>
      </c>
      <c r="H1510" s="31" t="e">
        <f>'[4]#REF'!I1510</f>
        <v>#REF!</v>
      </c>
      <c r="I1510" s="32" t="e">
        <f t="shared" si="54"/>
        <v>#REF!</v>
      </c>
    </row>
    <row r="1511" ht="15.75" spans="6:9">
      <c r="F1511" s="12" t="e">
        <f>'[4]#REF'!F1511</f>
        <v>#REF!</v>
      </c>
      <c r="G1511" s="12" t="e">
        <f>'[4]#REF'!G1511</f>
        <v>#REF!</v>
      </c>
      <c r="H1511" s="31" t="e">
        <f>'[4]#REF'!I1511</f>
        <v>#REF!</v>
      </c>
      <c r="I1511" s="32" t="e">
        <f t="shared" si="54"/>
        <v>#REF!</v>
      </c>
    </row>
    <row r="1512" ht="15.75" spans="6:9">
      <c r="F1512" s="12" t="e">
        <f>'[4]#REF'!F1512</f>
        <v>#REF!</v>
      </c>
      <c r="G1512" s="12" t="e">
        <f>'[4]#REF'!G1512</f>
        <v>#REF!</v>
      </c>
      <c r="H1512" s="31" t="e">
        <f>'[4]#REF'!I1512</f>
        <v>#REF!</v>
      </c>
      <c r="I1512" s="32" t="e">
        <f t="shared" si="54"/>
        <v>#REF!</v>
      </c>
    </row>
    <row r="1513" ht="15.75" spans="6:9">
      <c r="F1513" s="12" t="e">
        <f>'[4]#REF'!F1513</f>
        <v>#REF!</v>
      </c>
      <c r="G1513" s="12" t="e">
        <f>'[4]#REF'!G1513</f>
        <v>#REF!</v>
      </c>
      <c r="H1513" s="31" t="e">
        <f>'[4]#REF'!I1513</f>
        <v>#REF!</v>
      </c>
      <c r="I1513" s="32" t="e">
        <f t="shared" si="54"/>
        <v>#REF!</v>
      </c>
    </row>
    <row r="1514" ht="15.75" spans="6:9">
      <c r="F1514" s="12" t="e">
        <f>'[4]#REF'!F1514</f>
        <v>#REF!</v>
      </c>
      <c r="G1514" s="12" t="e">
        <f>'[4]#REF'!G1514</f>
        <v>#REF!</v>
      </c>
      <c r="H1514" s="31" t="e">
        <f>'[4]#REF'!I1514</f>
        <v>#REF!</v>
      </c>
      <c r="I1514" s="32" t="e">
        <f t="shared" si="54"/>
        <v>#REF!</v>
      </c>
    </row>
    <row r="1515" ht="15.75" spans="6:9">
      <c r="F1515" s="12" t="e">
        <f>'[4]#REF'!F1515</f>
        <v>#REF!</v>
      </c>
      <c r="G1515" s="12" t="e">
        <f>'[4]#REF'!G1515</f>
        <v>#REF!</v>
      </c>
      <c r="H1515" s="31" t="e">
        <f>'[4]#REF'!I1515</f>
        <v>#REF!</v>
      </c>
      <c r="I1515" s="32" t="e">
        <f t="shared" si="54"/>
        <v>#REF!</v>
      </c>
    </row>
    <row r="1516" ht="15.75" spans="6:9">
      <c r="F1516" s="12" t="e">
        <f>'[4]#REF'!F1516</f>
        <v>#REF!</v>
      </c>
      <c r="G1516" s="12" t="e">
        <f>'[4]#REF'!G1516</f>
        <v>#REF!</v>
      </c>
      <c r="H1516" s="31" t="e">
        <f>'[4]#REF'!I1516</f>
        <v>#REF!</v>
      </c>
      <c r="I1516" s="32" t="e">
        <f t="shared" si="54"/>
        <v>#REF!</v>
      </c>
    </row>
    <row r="1517" ht="15.75" spans="6:9">
      <c r="F1517" s="12" t="e">
        <f>'[4]#REF'!F1517</f>
        <v>#REF!</v>
      </c>
      <c r="G1517" s="12" t="e">
        <f>'[4]#REF'!G1517</f>
        <v>#REF!</v>
      </c>
      <c r="H1517" s="31" t="e">
        <f>'[4]#REF'!I1517</f>
        <v>#REF!</v>
      </c>
      <c r="I1517" s="32" t="e">
        <f t="shared" si="54"/>
        <v>#REF!</v>
      </c>
    </row>
    <row r="1518" ht="15.75" spans="6:9">
      <c r="F1518" s="12" t="e">
        <f>'[4]#REF'!F1518</f>
        <v>#REF!</v>
      </c>
      <c r="G1518" s="12" t="e">
        <f>'[4]#REF'!G1518</f>
        <v>#REF!</v>
      </c>
      <c r="H1518" s="31" t="e">
        <f>'[4]#REF'!I1518</f>
        <v>#REF!</v>
      </c>
      <c r="I1518" s="32" t="e">
        <f t="shared" si="54"/>
        <v>#REF!</v>
      </c>
    </row>
    <row r="1519" ht="15.75" spans="6:9">
      <c r="F1519" s="12" t="e">
        <f>'[4]#REF'!F1519</f>
        <v>#REF!</v>
      </c>
      <c r="G1519" s="12" t="e">
        <f>'[4]#REF'!G1519</f>
        <v>#REF!</v>
      </c>
      <c r="H1519" s="31" t="e">
        <f>'[4]#REF'!I1519</f>
        <v>#REF!</v>
      </c>
      <c r="I1519" s="32" t="e">
        <f t="shared" si="54"/>
        <v>#REF!</v>
      </c>
    </row>
    <row r="1520" ht="15.75" spans="6:9">
      <c r="F1520" s="12" t="e">
        <f>'[4]#REF'!F1520</f>
        <v>#REF!</v>
      </c>
      <c r="G1520" s="12" t="e">
        <f>'[4]#REF'!G1520</f>
        <v>#REF!</v>
      </c>
      <c r="H1520" s="31" t="e">
        <f>'[4]#REF'!I1520</f>
        <v>#REF!</v>
      </c>
      <c r="I1520" s="32" t="e">
        <f t="shared" si="54"/>
        <v>#REF!</v>
      </c>
    </row>
    <row r="1521" ht="15.75" spans="6:9">
      <c r="F1521" s="12" t="e">
        <f>'[4]#REF'!F1521</f>
        <v>#REF!</v>
      </c>
      <c r="G1521" s="12" t="e">
        <f>'[4]#REF'!G1521</f>
        <v>#REF!</v>
      </c>
      <c r="H1521" s="31" t="e">
        <f>'[4]#REF'!I1521</f>
        <v>#REF!</v>
      </c>
      <c r="I1521" s="32" t="e">
        <f t="shared" si="54"/>
        <v>#REF!</v>
      </c>
    </row>
    <row r="1522" ht="15.75" spans="6:9">
      <c r="F1522" s="12" t="e">
        <f>'[4]#REF'!F1522</f>
        <v>#REF!</v>
      </c>
      <c r="G1522" s="12" t="e">
        <f>'[4]#REF'!G1522</f>
        <v>#REF!</v>
      </c>
      <c r="H1522" s="31" t="e">
        <f>'[4]#REF'!I1522</f>
        <v>#REF!</v>
      </c>
      <c r="I1522" s="32" t="e">
        <f t="shared" si="54"/>
        <v>#REF!</v>
      </c>
    </row>
    <row r="1523" ht="15.75" spans="6:9">
      <c r="F1523" s="12" t="e">
        <f>'[4]#REF'!F1523</f>
        <v>#REF!</v>
      </c>
      <c r="G1523" s="12" t="e">
        <f>'[4]#REF'!G1523</f>
        <v>#REF!</v>
      </c>
      <c r="H1523" s="31" t="e">
        <f>'[4]#REF'!I1523</f>
        <v>#REF!</v>
      </c>
      <c r="I1523" s="32" t="e">
        <f t="shared" si="54"/>
        <v>#REF!</v>
      </c>
    </row>
    <row r="1524" ht="15.75" spans="6:9">
      <c r="F1524" s="12" t="e">
        <f>'[4]#REF'!F1524</f>
        <v>#REF!</v>
      </c>
      <c r="G1524" s="12" t="e">
        <f>'[4]#REF'!G1524</f>
        <v>#REF!</v>
      </c>
      <c r="H1524" s="31" t="e">
        <f>'[4]#REF'!I1524</f>
        <v>#REF!</v>
      </c>
      <c r="I1524" s="32" t="e">
        <f t="shared" si="54"/>
        <v>#REF!</v>
      </c>
    </row>
    <row r="1525" ht="15.75" spans="6:9">
      <c r="F1525" s="12" t="e">
        <f>'[4]#REF'!F1525</f>
        <v>#REF!</v>
      </c>
      <c r="G1525" s="12" t="e">
        <f>'[4]#REF'!G1525</f>
        <v>#REF!</v>
      </c>
      <c r="H1525" s="31" t="e">
        <f>'[4]#REF'!I1525</f>
        <v>#REF!</v>
      </c>
      <c r="I1525" s="32" t="e">
        <f t="shared" si="54"/>
        <v>#REF!</v>
      </c>
    </row>
    <row r="1526" ht="15.75" spans="6:9">
      <c r="F1526" s="12" t="e">
        <f>'[4]#REF'!F1526</f>
        <v>#REF!</v>
      </c>
      <c r="G1526" s="12" t="e">
        <f>'[4]#REF'!G1526</f>
        <v>#REF!</v>
      </c>
      <c r="H1526" s="31" t="e">
        <f>'[4]#REF'!I1526</f>
        <v>#REF!</v>
      </c>
      <c r="I1526" s="32" t="e">
        <f t="shared" si="54"/>
        <v>#REF!</v>
      </c>
    </row>
    <row r="1527" ht="15.75" spans="6:9">
      <c r="F1527" s="12" t="e">
        <f>'[4]#REF'!F1527</f>
        <v>#REF!</v>
      </c>
      <c r="G1527" s="12" t="e">
        <f>'[4]#REF'!G1527</f>
        <v>#REF!</v>
      </c>
      <c r="H1527" s="31" t="e">
        <f>'[4]#REF'!I1527</f>
        <v>#REF!</v>
      </c>
      <c r="I1527" s="32" t="e">
        <f t="shared" si="54"/>
        <v>#REF!</v>
      </c>
    </row>
    <row r="1528" ht="15.75" spans="6:9">
      <c r="F1528" s="12" t="e">
        <f>'[4]#REF'!F1528</f>
        <v>#REF!</v>
      </c>
      <c r="G1528" s="12" t="e">
        <f>'[4]#REF'!G1528</f>
        <v>#REF!</v>
      </c>
      <c r="H1528" s="31" t="e">
        <f>'[4]#REF'!I1528</f>
        <v>#REF!</v>
      </c>
      <c r="I1528" s="32" t="e">
        <f t="shared" si="54"/>
        <v>#REF!</v>
      </c>
    </row>
    <row r="1529" ht="15.75" spans="6:9">
      <c r="F1529" s="12" t="e">
        <f>'[4]#REF'!F1529</f>
        <v>#REF!</v>
      </c>
      <c r="G1529" s="12" t="e">
        <f>'[4]#REF'!G1529</f>
        <v>#REF!</v>
      </c>
      <c r="H1529" s="31" t="e">
        <f>'[4]#REF'!I1529</f>
        <v>#REF!</v>
      </c>
      <c r="I1529" s="32" t="e">
        <f t="shared" si="54"/>
        <v>#REF!</v>
      </c>
    </row>
    <row r="1530" ht="15.75" spans="6:9">
      <c r="F1530" s="12" t="e">
        <f>'[4]#REF'!F1530</f>
        <v>#REF!</v>
      </c>
      <c r="G1530" s="12" t="e">
        <f>'[4]#REF'!G1530</f>
        <v>#REF!</v>
      </c>
      <c r="H1530" s="31" t="e">
        <f>'[4]#REF'!I1530</f>
        <v>#REF!</v>
      </c>
      <c r="I1530" s="32" t="e">
        <f t="shared" si="54"/>
        <v>#REF!</v>
      </c>
    </row>
    <row r="1531" ht="15.75" spans="6:9">
      <c r="F1531" s="12" t="e">
        <f>'[4]#REF'!F1531</f>
        <v>#REF!</v>
      </c>
      <c r="G1531" s="12" t="e">
        <f>'[4]#REF'!G1531</f>
        <v>#REF!</v>
      </c>
      <c r="H1531" s="31" t="e">
        <f>'[4]#REF'!I1531</f>
        <v>#REF!</v>
      </c>
      <c r="I1531" s="32" t="e">
        <f t="shared" si="54"/>
        <v>#REF!</v>
      </c>
    </row>
    <row r="1532" ht="15.75" spans="6:9">
      <c r="F1532" s="12" t="e">
        <f>'[4]#REF'!F1532</f>
        <v>#REF!</v>
      </c>
      <c r="G1532" s="12" t="e">
        <f>'[4]#REF'!G1532</f>
        <v>#REF!</v>
      </c>
      <c r="H1532" s="31" t="e">
        <f>'[4]#REF'!I1532</f>
        <v>#REF!</v>
      </c>
      <c r="I1532" s="32" t="e">
        <f t="shared" si="54"/>
        <v>#REF!</v>
      </c>
    </row>
    <row r="1533" ht="15.75" spans="6:9">
      <c r="F1533" s="12" t="e">
        <f>'[4]#REF'!F1533</f>
        <v>#REF!</v>
      </c>
      <c r="G1533" s="12" t="e">
        <f>'[4]#REF'!G1533</f>
        <v>#REF!</v>
      </c>
      <c r="H1533" s="31" t="e">
        <f>'[4]#REF'!I1533</f>
        <v>#REF!</v>
      </c>
      <c r="I1533" s="32" t="e">
        <f t="shared" si="54"/>
        <v>#REF!</v>
      </c>
    </row>
    <row r="1534" ht="15.75" spans="6:9">
      <c r="F1534" s="12" t="e">
        <f>'[4]#REF'!F1534</f>
        <v>#REF!</v>
      </c>
      <c r="G1534" s="12" t="e">
        <f>'[4]#REF'!G1534</f>
        <v>#REF!</v>
      </c>
      <c r="H1534" s="31" t="e">
        <f>'[4]#REF'!I1534</f>
        <v>#REF!</v>
      </c>
      <c r="I1534" s="32" t="e">
        <f t="shared" si="54"/>
        <v>#REF!</v>
      </c>
    </row>
    <row r="1535" ht="15.75" spans="6:9">
      <c r="F1535" s="12" t="e">
        <f>'[4]#REF'!F1535</f>
        <v>#REF!</v>
      </c>
      <c r="G1535" s="12" t="e">
        <f>'[4]#REF'!G1535</f>
        <v>#REF!</v>
      </c>
      <c r="H1535" s="31" t="e">
        <f>'[4]#REF'!I1535</f>
        <v>#REF!</v>
      </c>
      <c r="I1535" s="32" t="e">
        <f t="shared" si="54"/>
        <v>#REF!</v>
      </c>
    </row>
    <row r="1536" ht="15.75" spans="6:9">
      <c r="F1536" s="12" t="e">
        <f>'[4]#REF'!F1536</f>
        <v>#REF!</v>
      </c>
      <c r="G1536" s="12" t="e">
        <f>'[4]#REF'!G1536</f>
        <v>#REF!</v>
      </c>
      <c r="H1536" s="31" t="e">
        <f>'[4]#REF'!I1536</f>
        <v>#REF!</v>
      </c>
      <c r="I1536" s="32" t="e">
        <f t="shared" si="54"/>
        <v>#REF!</v>
      </c>
    </row>
    <row r="1537" ht="15.75" spans="6:9">
      <c r="F1537" s="12" t="e">
        <f>'[4]#REF'!F1537</f>
        <v>#REF!</v>
      </c>
      <c r="G1537" s="12" t="e">
        <f>'[4]#REF'!G1537</f>
        <v>#REF!</v>
      </c>
      <c r="H1537" s="31" t="e">
        <f>'[4]#REF'!I1537</f>
        <v>#REF!</v>
      </c>
      <c r="I1537" s="32" t="e">
        <f t="shared" si="54"/>
        <v>#REF!</v>
      </c>
    </row>
    <row r="1538" ht="15.75" spans="6:9">
      <c r="F1538" s="12" t="e">
        <f>'[4]#REF'!F1538</f>
        <v>#REF!</v>
      </c>
      <c r="G1538" s="12" t="e">
        <f>'[4]#REF'!G1538</f>
        <v>#REF!</v>
      </c>
      <c r="H1538" s="31" t="e">
        <f>'[4]#REF'!I1538</f>
        <v>#REF!</v>
      </c>
      <c r="I1538" s="32" t="e">
        <f t="shared" si="54"/>
        <v>#REF!</v>
      </c>
    </row>
    <row r="1539" ht="15.75" spans="6:9">
      <c r="F1539" s="12" t="e">
        <f>'[4]#REF'!F1539</f>
        <v>#REF!</v>
      </c>
      <c r="G1539" s="12" t="e">
        <f>'[4]#REF'!G1539</f>
        <v>#REF!</v>
      </c>
      <c r="H1539" s="31" t="e">
        <f>'[4]#REF'!I1539</f>
        <v>#REF!</v>
      </c>
      <c r="I1539" s="32" t="e">
        <f t="shared" si="54"/>
        <v>#REF!</v>
      </c>
    </row>
    <row r="1540" ht="15.75" spans="6:9">
      <c r="F1540" s="12" t="e">
        <f>'[4]#REF'!F1540</f>
        <v>#REF!</v>
      </c>
      <c r="G1540" s="12" t="e">
        <f>'[4]#REF'!G1540</f>
        <v>#REF!</v>
      </c>
      <c r="H1540" s="31" t="e">
        <f>'[4]#REF'!I1540</f>
        <v>#REF!</v>
      </c>
      <c r="I1540" s="32" t="e">
        <f t="shared" si="54"/>
        <v>#REF!</v>
      </c>
    </row>
    <row r="1541" ht="15.75" spans="6:9">
      <c r="F1541" s="12" t="e">
        <f>'[4]#REF'!F1541</f>
        <v>#REF!</v>
      </c>
      <c r="G1541" s="12" t="e">
        <f>'[4]#REF'!G1541</f>
        <v>#REF!</v>
      </c>
      <c r="H1541" s="31" t="e">
        <f>'[4]#REF'!I1541</f>
        <v>#REF!</v>
      </c>
      <c r="I1541" s="32" t="e">
        <f t="shared" si="54"/>
        <v>#REF!</v>
      </c>
    </row>
    <row r="1542" ht="15.75" spans="6:9">
      <c r="F1542" s="12" t="e">
        <f>'[4]#REF'!F1542</f>
        <v>#REF!</v>
      </c>
      <c r="G1542" s="12" t="e">
        <f>'[4]#REF'!G1542</f>
        <v>#REF!</v>
      </c>
      <c r="H1542" s="31" t="e">
        <f>'[4]#REF'!I1542</f>
        <v>#REF!</v>
      </c>
      <c r="I1542" s="32" t="e">
        <f t="shared" ref="I1542:I1605" si="55">ROUND(H1542/$I$4*100,2)</f>
        <v>#REF!</v>
      </c>
    </row>
    <row r="1543" ht="15.75" spans="6:9">
      <c r="F1543" s="12" t="e">
        <f>'[4]#REF'!F1543</f>
        <v>#REF!</v>
      </c>
      <c r="G1543" s="12" t="e">
        <f>'[4]#REF'!G1543</f>
        <v>#REF!</v>
      </c>
      <c r="H1543" s="31" t="e">
        <f>'[4]#REF'!I1543</f>
        <v>#REF!</v>
      </c>
      <c r="I1543" s="32" t="e">
        <f t="shared" si="55"/>
        <v>#REF!</v>
      </c>
    </row>
    <row r="1544" ht="15.75" spans="6:9">
      <c r="F1544" s="12" t="e">
        <f>'[4]#REF'!F1544</f>
        <v>#REF!</v>
      </c>
      <c r="G1544" s="12" t="e">
        <f>'[4]#REF'!G1544</f>
        <v>#REF!</v>
      </c>
      <c r="H1544" s="31" t="e">
        <f>'[4]#REF'!I1544</f>
        <v>#REF!</v>
      </c>
      <c r="I1544" s="32" t="e">
        <f t="shared" si="55"/>
        <v>#REF!</v>
      </c>
    </row>
    <row r="1545" ht="15.75" spans="6:9">
      <c r="F1545" s="12" t="e">
        <f>'[4]#REF'!F1545</f>
        <v>#REF!</v>
      </c>
      <c r="G1545" s="12" t="e">
        <f>'[4]#REF'!G1545</f>
        <v>#REF!</v>
      </c>
      <c r="H1545" s="31" t="e">
        <f>'[4]#REF'!I1545</f>
        <v>#REF!</v>
      </c>
      <c r="I1545" s="32" t="e">
        <f t="shared" si="55"/>
        <v>#REF!</v>
      </c>
    </row>
    <row r="1546" ht="15.75" spans="6:9">
      <c r="F1546" s="12" t="e">
        <f>'[4]#REF'!F1546</f>
        <v>#REF!</v>
      </c>
      <c r="G1546" s="12" t="e">
        <f>'[4]#REF'!G1546</f>
        <v>#REF!</v>
      </c>
      <c r="H1546" s="31" t="e">
        <f>'[4]#REF'!I1546</f>
        <v>#REF!</v>
      </c>
      <c r="I1546" s="32" t="e">
        <f t="shared" si="55"/>
        <v>#REF!</v>
      </c>
    </row>
    <row r="1547" ht="15.75" spans="6:9">
      <c r="F1547" s="12" t="e">
        <f>'[4]#REF'!F1547</f>
        <v>#REF!</v>
      </c>
      <c r="G1547" s="12" t="e">
        <f>'[4]#REF'!G1547</f>
        <v>#REF!</v>
      </c>
      <c r="H1547" s="31" t="e">
        <f>'[4]#REF'!I1547</f>
        <v>#REF!</v>
      </c>
      <c r="I1547" s="32" t="e">
        <f t="shared" si="55"/>
        <v>#REF!</v>
      </c>
    </row>
    <row r="1548" ht="15.75" spans="6:9">
      <c r="F1548" s="12" t="e">
        <f>'[4]#REF'!F1548</f>
        <v>#REF!</v>
      </c>
      <c r="G1548" s="12" t="e">
        <f>'[4]#REF'!G1548</f>
        <v>#REF!</v>
      </c>
      <c r="H1548" s="31" t="e">
        <f>'[4]#REF'!I1548</f>
        <v>#REF!</v>
      </c>
      <c r="I1548" s="32" t="e">
        <f t="shared" si="55"/>
        <v>#REF!</v>
      </c>
    </row>
    <row r="1549" ht="15.75" spans="6:9">
      <c r="F1549" s="12" t="e">
        <f>'[4]#REF'!F1549</f>
        <v>#REF!</v>
      </c>
      <c r="G1549" s="12" t="e">
        <f>'[4]#REF'!G1549</f>
        <v>#REF!</v>
      </c>
      <c r="H1549" s="31" t="e">
        <f>'[4]#REF'!I1549</f>
        <v>#REF!</v>
      </c>
      <c r="I1549" s="32" t="e">
        <f t="shared" si="55"/>
        <v>#REF!</v>
      </c>
    </row>
    <row r="1550" ht="15.75" spans="6:9">
      <c r="F1550" s="12" t="e">
        <f>'[4]#REF'!F1550</f>
        <v>#REF!</v>
      </c>
      <c r="G1550" s="12" t="e">
        <f>'[4]#REF'!G1550</f>
        <v>#REF!</v>
      </c>
      <c r="H1550" s="31" t="e">
        <f>'[4]#REF'!I1550</f>
        <v>#REF!</v>
      </c>
      <c r="I1550" s="32" t="e">
        <f t="shared" si="55"/>
        <v>#REF!</v>
      </c>
    </row>
    <row r="1551" ht="15.75" spans="6:9">
      <c r="F1551" s="12" t="e">
        <f>'[4]#REF'!F1551</f>
        <v>#REF!</v>
      </c>
      <c r="G1551" s="12" t="e">
        <f>'[4]#REF'!G1551</f>
        <v>#REF!</v>
      </c>
      <c r="H1551" s="31" t="e">
        <f>'[4]#REF'!I1551</f>
        <v>#REF!</v>
      </c>
      <c r="I1551" s="32" t="e">
        <f t="shared" si="55"/>
        <v>#REF!</v>
      </c>
    </row>
    <row r="1552" ht="15.75" spans="6:9">
      <c r="F1552" s="12" t="e">
        <f>'[4]#REF'!F1552</f>
        <v>#REF!</v>
      </c>
      <c r="G1552" s="12" t="e">
        <f>'[4]#REF'!G1552</f>
        <v>#REF!</v>
      </c>
      <c r="H1552" s="31" t="e">
        <f>'[4]#REF'!I1552</f>
        <v>#REF!</v>
      </c>
      <c r="I1552" s="32" t="e">
        <f t="shared" si="55"/>
        <v>#REF!</v>
      </c>
    </row>
    <row r="1553" ht="15.75" spans="6:9">
      <c r="F1553" s="12" t="e">
        <f>'[4]#REF'!F1553</f>
        <v>#REF!</v>
      </c>
      <c r="G1553" s="12" t="e">
        <f>'[4]#REF'!G1553</f>
        <v>#REF!</v>
      </c>
      <c r="H1553" s="31" t="e">
        <f>'[4]#REF'!I1553</f>
        <v>#REF!</v>
      </c>
      <c r="I1553" s="32" t="e">
        <f t="shared" si="55"/>
        <v>#REF!</v>
      </c>
    </row>
    <row r="1554" ht="15.75" spans="6:9">
      <c r="F1554" s="12" t="e">
        <f>'[4]#REF'!F1554</f>
        <v>#REF!</v>
      </c>
      <c r="G1554" s="12" t="e">
        <f>'[4]#REF'!G1554</f>
        <v>#REF!</v>
      </c>
      <c r="H1554" s="31" t="e">
        <f>'[4]#REF'!I1554</f>
        <v>#REF!</v>
      </c>
      <c r="I1554" s="32" t="e">
        <f t="shared" si="55"/>
        <v>#REF!</v>
      </c>
    </row>
    <row r="1555" ht="15.75" spans="6:9">
      <c r="F1555" s="12" t="e">
        <f>'[4]#REF'!F1555</f>
        <v>#REF!</v>
      </c>
      <c r="G1555" s="12" t="e">
        <f>'[4]#REF'!G1555</f>
        <v>#REF!</v>
      </c>
      <c r="H1555" s="31" t="e">
        <f>'[4]#REF'!I1555</f>
        <v>#REF!</v>
      </c>
      <c r="I1555" s="32" t="e">
        <f t="shared" si="55"/>
        <v>#REF!</v>
      </c>
    </row>
    <row r="1556" ht="15.75" spans="6:9">
      <c r="F1556" s="12" t="e">
        <f>'[4]#REF'!F1556</f>
        <v>#REF!</v>
      </c>
      <c r="G1556" s="12" t="e">
        <f>'[4]#REF'!G1556</f>
        <v>#REF!</v>
      </c>
      <c r="H1556" s="31" t="e">
        <f>'[4]#REF'!I1556</f>
        <v>#REF!</v>
      </c>
      <c r="I1556" s="32" t="e">
        <f t="shared" si="55"/>
        <v>#REF!</v>
      </c>
    </row>
    <row r="1557" ht="15.75" spans="6:9">
      <c r="F1557" s="12" t="e">
        <f>'[4]#REF'!F1557</f>
        <v>#REF!</v>
      </c>
      <c r="G1557" s="12" t="e">
        <f>'[4]#REF'!G1557</f>
        <v>#REF!</v>
      </c>
      <c r="H1557" s="31" t="e">
        <f>'[4]#REF'!I1557</f>
        <v>#REF!</v>
      </c>
      <c r="I1557" s="32" t="e">
        <f t="shared" si="55"/>
        <v>#REF!</v>
      </c>
    </row>
    <row r="1558" ht="15.75" spans="6:9">
      <c r="F1558" s="12" t="e">
        <f>'[4]#REF'!F1558</f>
        <v>#REF!</v>
      </c>
      <c r="G1558" s="12" t="e">
        <f>'[4]#REF'!G1558</f>
        <v>#REF!</v>
      </c>
      <c r="H1558" s="31" t="e">
        <f>'[4]#REF'!I1558</f>
        <v>#REF!</v>
      </c>
      <c r="I1558" s="32" t="e">
        <f t="shared" si="55"/>
        <v>#REF!</v>
      </c>
    </row>
    <row r="1559" ht="15.75" spans="6:9">
      <c r="F1559" s="12" t="e">
        <f>'[4]#REF'!F1559</f>
        <v>#REF!</v>
      </c>
      <c r="G1559" s="12" t="e">
        <f>'[4]#REF'!G1559</f>
        <v>#REF!</v>
      </c>
      <c r="H1559" s="31" t="e">
        <f>'[4]#REF'!I1559</f>
        <v>#REF!</v>
      </c>
      <c r="I1559" s="32" t="e">
        <f t="shared" si="55"/>
        <v>#REF!</v>
      </c>
    </row>
    <row r="1560" ht="15.75" spans="6:9">
      <c r="F1560" s="12" t="e">
        <f>'[4]#REF'!F1560</f>
        <v>#REF!</v>
      </c>
      <c r="G1560" s="12" t="e">
        <f>'[4]#REF'!G1560</f>
        <v>#REF!</v>
      </c>
      <c r="H1560" s="31" t="e">
        <f>'[4]#REF'!I1560</f>
        <v>#REF!</v>
      </c>
      <c r="I1560" s="32" t="e">
        <f t="shared" si="55"/>
        <v>#REF!</v>
      </c>
    </row>
    <row r="1561" ht="15.75" spans="6:9">
      <c r="F1561" s="12" t="e">
        <f>'[4]#REF'!F1561</f>
        <v>#REF!</v>
      </c>
      <c r="G1561" s="12" t="e">
        <f>'[4]#REF'!G1561</f>
        <v>#REF!</v>
      </c>
      <c r="H1561" s="31" t="e">
        <f>'[4]#REF'!I1561</f>
        <v>#REF!</v>
      </c>
      <c r="I1561" s="32" t="e">
        <f t="shared" si="55"/>
        <v>#REF!</v>
      </c>
    </row>
    <row r="1562" ht="15.75" spans="6:9">
      <c r="F1562" s="12" t="e">
        <f>'[4]#REF'!F1562</f>
        <v>#REF!</v>
      </c>
      <c r="G1562" s="12" t="e">
        <f>'[4]#REF'!G1562</f>
        <v>#REF!</v>
      </c>
      <c r="H1562" s="31" t="e">
        <f>'[4]#REF'!I1562</f>
        <v>#REF!</v>
      </c>
      <c r="I1562" s="32" t="e">
        <f t="shared" si="55"/>
        <v>#REF!</v>
      </c>
    </row>
    <row r="1563" ht="15.75" spans="6:9">
      <c r="F1563" s="12" t="e">
        <f>'[4]#REF'!F1563</f>
        <v>#REF!</v>
      </c>
      <c r="G1563" s="12" t="e">
        <f>'[4]#REF'!G1563</f>
        <v>#REF!</v>
      </c>
      <c r="H1563" s="31" t="e">
        <f>'[4]#REF'!I1563</f>
        <v>#REF!</v>
      </c>
      <c r="I1563" s="32" t="e">
        <f t="shared" si="55"/>
        <v>#REF!</v>
      </c>
    </row>
    <row r="1564" ht="15.75" spans="6:9">
      <c r="F1564" s="12" t="e">
        <f>'[4]#REF'!F1564</f>
        <v>#REF!</v>
      </c>
      <c r="G1564" s="12" t="e">
        <f>'[4]#REF'!G1564</f>
        <v>#REF!</v>
      </c>
      <c r="H1564" s="31" t="e">
        <f>'[4]#REF'!I1564</f>
        <v>#REF!</v>
      </c>
      <c r="I1564" s="32" t="e">
        <f t="shared" si="55"/>
        <v>#REF!</v>
      </c>
    </row>
    <row r="1565" ht="15.75" spans="6:9">
      <c r="F1565" s="12" t="e">
        <f>'[4]#REF'!F1565</f>
        <v>#REF!</v>
      </c>
      <c r="G1565" s="12" t="e">
        <f>'[4]#REF'!G1565</f>
        <v>#REF!</v>
      </c>
      <c r="H1565" s="31" t="e">
        <f>'[4]#REF'!I1565</f>
        <v>#REF!</v>
      </c>
      <c r="I1565" s="32" t="e">
        <f t="shared" si="55"/>
        <v>#REF!</v>
      </c>
    </row>
    <row r="1566" ht="15.75" spans="6:9">
      <c r="F1566" s="12" t="e">
        <f>'[4]#REF'!F1566</f>
        <v>#REF!</v>
      </c>
      <c r="G1566" s="12" t="e">
        <f>'[4]#REF'!G1566</f>
        <v>#REF!</v>
      </c>
      <c r="H1566" s="31" t="e">
        <f>'[4]#REF'!I1566</f>
        <v>#REF!</v>
      </c>
      <c r="I1566" s="32" t="e">
        <f t="shared" si="55"/>
        <v>#REF!</v>
      </c>
    </row>
    <row r="1567" ht="15.75" spans="6:9">
      <c r="F1567" s="12" t="e">
        <f>'[4]#REF'!F1567</f>
        <v>#REF!</v>
      </c>
      <c r="G1567" s="12" t="e">
        <f>'[4]#REF'!G1567</f>
        <v>#REF!</v>
      </c>
      <c r="H1567" s="31" t="e">
        <f>'[4]#REF'!I1567</f>
        <v>#REF!</v>
      </c>
      <c r="I1567" s="32" t="e">
        <f t="shared" si="55"/>
        <v>#REF!</v>
      </c>
    </row>
    <row r="1568" ht="15.75" spans="6:9">
      <c r="F1568" s="12" t="e">
        <f>'[4]#REF'!F1568</f>
        <v>#REF!</v>
      </c>
      <c r="G1568" s="12" t="e">
        <f>'[4]#REF'!G1568</f>
        <v>#REF!</v>
      </c>
      <c r="H1568" s="31" t="e">
        <f>'[4]#REF'!I1568</f>
        <v>#REF!</v>
      </c>
      <c r="I1568" s="32" t="e">
        <f t="shared" si="55"/>
        <v>#REF!</v>
      </c>
    </row>
    <row r="1569" ht="15.75" spans="6:9">
      <c r="F1569" s="12" t="e">
        <f>'[4]#REF'!F1569</f>
        <v>#REF!</v>
      </c>
      <c r="G1569" s="12" t="e">
        <f>'[4]#REF'!G1569</f>
        <v>#REF!</v>
      </c>
      <c r="H1569" s="31" t="e">
        <f>'[4]#REF'!I1569</f>
        <v>#REF!</v>
      </c>
      <c r="I1569" s="32" t="e">
        <f t="shared" si="55"/>
        <v>#REF!</v>
      </c>
    </row>
    <row r="1570" ht="15.75" spans="6:9">
      <c r="F1570" s="12" t="e">
        <f>'[4]#REF'!F1570</f>
        <v>#REF!</v>
      </c>
      <c r="G1570" s="12" t="e">
        <f>'[4]#REF'!G1570</f>
        <v>#REF!</v>
      </c>
      <c r="H1570" s="31" t="e">
        <f>'[4]#REF'!I1570</f>
        <v>#REF!</v>
      </c>
      <c r="I1570" s="32" t="e">
        <f t="shared" si="55"/>
        <v>#REF!</v>
      </c>
    </row>
    <row r="1571" ht="15.75" spans="6:9">
      <c r="F1571" s="12" t="e">
        <f>'[4]#REF'!F1571</f>
        <v>#REF!</v>
      </c>
      <c r="G1571" s="12" t="e">
        <f>'[4]#REF'!G1571</f>
        <v>#REF!</v>
      </c>
      <c r="H1571" s="31" t="e">
        <f>'[4]#REF'!I1571</f>
        <v>#REF!</v>
      </c>
      <c r="I1571" s="32" t="e">
        <f t="shared" si="55"/>
        <v>#REF!</v>
      </c>
    </row>
    <row r="1572" ht="15.75" spans="6:9">
      <c r="F1572" s="12" t="e">
        <f>'[4]#REF'!F1572</f>
        <v>#REF!</v>
      </c>
      <c r="G1572" s="12" t="e">
        <f>'[4]#REF'!G1572</f>
        <v>#REF!</v>
      </c>
      <c r="H1572" s="31" t="e">
        <f>'[4]#REF'!I1572</f>
        <v>#REF!</v>
      </c>
      <c r="I1572" s="32" t="e">
        <f t="shared" si="55"/>
        <v>#REF!</v>
      </c>
    </row>
    <row r="1573" ht="15.75" spans="6:9">
      <c r="F1573" s="12" t="e">
        <f>'[4]#REF'!F1573</f>
        <v>#REF!</v>
      </c>
      <c r="G1573" s="12" t="e">
        <f>'[4]#REF'!G1573</f>
        <v>#REF!</v>
      </c>
      <c r="H1573" s="31" t="e">
        <f>'[4]#REF'!I1573</f>
        <v>#REF!</v>
      </c>
      <c r="I1573" s="32" t="e">
        <f t="shared" si="55"/>
        <v>#REF!</v>
      </c>
    </row>
    <row r="1574" ht="15.75" spans="6:9">
      <c r="F1574" s="12" t="e">
        <f>'[4]#REF'!F1574</f>
        <v>#REF!</v>
      </c>
      <c r="G1574" s="12" t="e">
        <f>'[4]#REF'!G1574</f>
        <v>#REF!</v>
      </c>
      <c r="H1574" s="31" t="e">
        <f>'[4]#REF'!I1574</f>
        <v>#REF!</v>
      </c>
      <c r="I1574" s="32" t="e">
        <f t="shared" si="55"/>
        <v>#REF!</v>
      </c>
    </row>
    <row r="1575" ht="15.75" spans="6:9">
      <c r="F1575" s="12" t="e">
        <f>'[4]#REF'!F1575</f>
        <v>#REF!</v>
      </c>
      <c r="G1575" s="12" t="e">
        <f>'[4]#REF'!G1575</f>
        <v>#REF!</v>
      </c>
      <c r="H1575" s="31" t="e">
        <f>'[4]#REF'!I1575</f>
        <v>#REF!</v>
      </c>
      <c r="I1575" s="32" t="e">
        <f t="shared" si="55"/>
        <v>#REF!</v>
      </c>
    </row>
    <row r="1576" ht="15.75" spans="6:9">
      <c r="F1576" s="12" t="e">
        <f>'[4]#REF'!F1576</f>
        <v>#REF!</v>
      </c>
      <c r="G1576" s="12" t="e">
        <f>'[4]#REF'!G1576</f>
        <v>#REF!</v>
      </c>
      <c r="H1576" s="31" t="e">
        <f>'[4]#REF'!I1576</f>
        <v>#REF!</v>
      </c>
      <c r="I1576" s="32" t="e">
        <f t="shared" si="55"/>
        <v>#REF!</v>
      </c>
    </row>
    <row r="1577" ht="15.75" spans="6:9">
      <c r="F1577" s="12" t="e">
        <f>'[4]#REF'!F1577</f>
        <v>#REF!</v>
      </c>
      <c r="G1577" s="12" t="e">
        <f>'[4]#REF'!G1577</f>
        <v>#REF!</v>
      </c>
      <c r="H1577" s="31" t="e">
        <f>'[4]#REF'!I1577</f>
        <v>#REF!</v>
      </c>
      <c r="I1577" s="32" t="e">
        <f t="shared" si="55"/>
        <v>#REF!</v>
      </c>
    </row>
    <row r="1578" ht="15.75" spans="6:9">
      <c r="F1578" s="12" t="e">
        <f>'[4]#REF'!F1578</f>
        <v>#REF!</v>
      </c>
      <c r="G1578" s="12" t="e">
        <f>'[4]#REF'!G1578</f>
        <v>#REF!</v>
      </c>
      <c r="H1578" s="31" t="e">
        <f>'[4]#REF'!I1578</f>
        <v>#REF!</v>
      </c>
      <c r="I1578" s="32" t="e">
        <f t="shared" si="55"/>
        <v>#REF!</v>
      </c>
    </row>
    <row r="1579" ht="15.75" spans="6:9">
      <c r="F1579" s="12" t="e">
        <f>'[4]#REF'!F1579</f>
        <v>#REF!</v>
      </c>
      <c r="G1579" s="12" t="e">
        <f>'[4]#REF'!G1579</f>
        <v>#REF!</v>
      </c>
      <c r="H1579" s="31" t="e">
        <f>'[4]#REF'!I1579</f>
        <v>#REF!</v>
      </c>
      <c r="I1579" s="32" t="e">
        <f t="shared" si="55"/>
        <v>#REF!</v>
      </c>
    </row>
    <row r="1580" ht="15.75" spans="6:9">
      <c r="F1580" s="12" t="e">
        <f>'[4]#REF'!F1580</f>
        <v>#REF!</v>
      </c>
      <c r="G1580" s="12" t="e">
        <f>'[4]#REF'!G1580</f>
        <v>#REF!</v>
      </c>
      <c r="H1580" s="31" t="e">
        <f>'[4]#REF'!I1580</f>
        <v>#REF!</v>
      </c>
      <c r="I1580" s="32" t="e">
        <f t="shared" si="55"/>
        <v>#REF!</v>
      </c>
    </row>
    <row r="1581" ht="15.75" spans="6:9">
      <c r="F1581" s="12" t="e">
        <f>'[4]#REF'!F1581</f>
        <v>#REF!</v>
      </c>
      <c r="G1581" s="12" t="e">
        <f>'[4]#REF'!G1581</f>
        <v>#REF!</v>
      </c>
      <c r="H1581" s="31" t="e">
        <f>'[4]#REF'!I1581</f>
        <v>#REF!</v>
      </c>
      <c r="I1581" s="32" t="e">
        <f t="shared" si="55"/>
        <v>#REF!</v>
      </c>
    </row>
    <row r="1582" ht="15.75" spans="6:9">
      <c r="F1582" s="12" t="e">
        <f>'[4]#REF'!F1582</f>
        <v>#REF!</v>
      </c>
      <c r="G1582" s="12" t="e">
        <f>'[4]#REF'!G1582</f>
        <v>#REF!</v>
      </c>
      <c r="H1582" s="31" t="e">
        <f>'[4]#REF'!I1582</f>
        <v>#REF!</v>
      </c>
      <c r="I1582" s="32" t="e">
        <f t="shared" si="55"/>
        <v>#REF!</v>
      </c>
    </row>
    <row r="1583" ht="15.75" spans="6:9">
      <c r="F1583" s="12" t="e">
        <f>'[4]#REF'!F1583</f>
        <v>#REF!</v>
      </c>
      <c r="G1583" s="12" t="e">
        <f>'[4]#REF'!G1583</f>
        <v>#REF!</v>
      </c>
      <c r="H1583" s="31" t="e">
        <f>'[4]#REF'!I1583</f>
        <v>#REF!</v>
      </c>
      <c r="I1583" s="32" t="e">
        <f t="shared" si="55"/>
        <v>#REF!</v>
      </c>
    </row>
    <row r="1584" ht="15.75" spans="6:9">
      <c r="F1584" s="12" t="e">
        <f>'[4]#REF'!F1584</f>
        <v>#REF!</v>
      </c>
      <c r="G1584" s="12" t="e">
        <f>'[4]#REF'!G1584</f>
        <v>#REF!</v>
      </c>
      <c r="H1584" s="31" t="e">
        <f>'[4]#REF'!I1584</f>
        <v>#REF!</v>
      </c>
      <c r="I1584" s="32" t="e">
        <f t="shared" si="55"/>
        <v>#REF!</v>
      </c>
    </row>
    <row r="1585" ht="15.75" spans="6:9">
      <c r="F1585" s="12" t="e">
        <f>'[4]#REF'!F1585</f>
        <v>#REF!</v>
      </c>
      <c r="G1585" s="12" t="e">
        <f>'[4]#REF'!G1585</f>
        <v>#REF!</v>
      </c>
      <c r="H1585" s="31" t="e">
        <f>'[4]#REF'!I1585</f>
        <v>#REF!</v>
      </c>
      <c r="I1585" s="32" t="e">
        <f t="shared" si="55"/>
        <v>#REF!</v>
      </c>
    </row>
    <row r="1586" ht="15.75" spans="6:9">
      <c r="F1586" s="12" t="e">
        <f>'[4]#REF'!F1586</f>
        <v>#REF!</v>
      </c>
      <c r="G1586" s="12" t="e">
        <f>'[4]#REF'!G1586</f>
        <v>#REF!</v>
      </c>
      <c r="H1586" s="31" t="e">
        <f>'[4]#REF'!I1586</f>
        <v>#REF!</v>
      </c>
      <c r="I1586" s="32" t="e">
        <f t="shared" si="55"/>
        <v>#REF!</v>
      </c>
    </row>
    <row r="1587" ht="15.75" spans="6:9">
      <c r="F1587" s="12" t="e">
        <f>'[4]#REF'!F1587</f>
        <v>#REF!</v>
      </c>
      <c r="G1587" s="12" t="e">
        <f>'[4]#REF'!G1587</f>
        <v>#REF!</v>
      </c>
      <c r="H1587" s="31" t="e">
        <f>'[4]#REF'!I1587</f>
        <v>#REF!</v>
      </c>
      <c r="I1587" s="32" t="e">
        <f t="shared" si="55"/>
        <v>#REF!</v>
      </c>
    </row>
    <row r="1588" ht="15.75" spans="6:9">
      <c r="F1588" s="12" t="e">
        <f>'[4]#REF'!F1588</f>
        <v>#REF!</v>
      </c>
      <c r="G1588" s="12" t="e">
        <f>'[4]#REF'!G1588</f>
        <v>#REF!</v>
      </c>
      <c r="H1588" s="31" t="e">
        <f>'[4]#REF'!I1588</f>
        <v>#REF!</v>
      </c>
      <c r="I1588" s="32" t="e">
        <f t="shared" si="55"/>
        <v>#REF!</v>
      </c>
    </row>
    <row r="1589" ht="15.75" spans="6:9">
      <c r="F1589" s="12" t="e">
        <f>'[4]#REF'!F1589</f>
        <v>#REF!</v>
      </c>
      <c r="G1589" s="12" t="e">
        <f>'[4]#REF'!G1589</f>
        <v>#REF!</v>
      </c>
      <c r="H1589" s="31" t="e">
        <f>'[4]#REF'!I1589</f>
        <v>#REF!</v>
      </c>
      <c r="I1589" s="32" t="e">
        <f t="shared" si="55"/>
        <v>#REF!</v>
      </c>
    </row>
    <row r="1590" ht="15.75" spans="6:9">
      <c r="F1590" s="12" t="e">
        <f>'[4]#REF'!F1590</f>
        <v>#REF!</v>
      </c>
      <c r="G1590" s="12" t="e">
        <f>'[4]#REF'!G1590</f>
        <v>#REF!</v>
      </c>
      <c r="H1590" s="31" t="e">
        <f>'[4]#REF'!I1590</f>
        <v>#REF!</v>
      </c>
      <c r="I1590" s="32" t="e">
        <f t="shared" si="55"/>
        <v>#REF!</v>
      </c>
    </row>
    <row r="1591" ht="15.75" spans="6:9">
      <c r="F1591" s="12" t="e">
        <f>'[4]#REF'!F1591</f>
        <v>#REF!</v>
      </c>
      <c r="G1591" s="12" t="e">
        <f>'[4]#REF'!G1591</f>
        <v>#REF!</v>
      </c>
      <c r="H1591" s="31" t="e">
        <f>'[4]#REF'!I1591</f>
        <v>#REF!</v>
      </c>
      <c r="I1591" s="32" t="e">
        <f t="shared" si="55"/>
        <v>#REF!</v>
      </c>
    </row>
    <row r="1592" ht="15.75" spans="6:9">
      <c r="F1592" s="12" t="e">
        <f>'[4]#REF'!F1592</f>
        <v>#REF!</v>
      </c>
      <c r="G1592" s="12" t="e">
        <f>'[4]#REF'!G1592</f>
        <v>#REF!</v>
      </c>
      <c r="H1592" s="31" t="e">
        <f>'[4]#REF'!I1592</f>
        <v>#REF!</v>
      </c>
      <c r="I1592" s="32" t="e">
        <f t="shared" si="55"/>
        <v>#REF!</v>
      </c>
    </row>
    <row r="1593" ht="15.75" spans="6:9">
      <c r="F1593" s="12" t="e">
        <f>'[4]#REF'!F1593</f>
        <v>#REF!</v>
      </c>
      <c r="G1593" s="12" t="e">
        <f>'[4]#REF'!G1593</f>
        <v>#REF!</v>
      </c>
      <c r="H1593" s="31" t="e">
        <f>'[4]#REF'!I1593</f>
        <v>#REF!</v>
      </c>
      <c r="I1593" s="32" t="e">
        <f t="shared" si="55"/>
        <v>#REF!</v>
      </c>
    </row>
    <row r="1594" ht="15.75" spans="6:9">
      <c r="F1594" s="12" t="e">
        <f>'[4]#REF'!F1594</f>
        <v>#REF!</v>
      </c>
      <c r="G1594" s="12" t="e">
        <f>'[4]#REF'!G1594</f>
        <v>#REF!</v>
      </c>
      <c r="H1594" s="31" t="e">
        <f>'[4]#REF'!I1594</f>
        <v>#REF!</v>
      </c>
      <c r="I1594" s="32" t="e">
        <f t="shared" si="55"/>
        <v>#REF!</v>
      </c>
    </row>
    <row r="1595" ht="15.75" spans="6:9">
      <c r="F1595" s="12" t="e">
        <f>'[4]#REF'!F1595</f>
        <v>#REF!</v>
      </c>
      <c r="G1595" s="12" t="e">
        <f>'[4]#REF'!G1595</f>
        <v>#REF!</v>
      </c>
      <c r="H1595" s="31" t="e">
        <f>'[4]#REF'!I1595</f>
        <v>#REF!</v>
      </c>
      <c r="I1595" s="32" t="e">
        <f t="shared" si="55"/>
        <v>#REF!</v>
      </c>
    </row>
    <row r="1596" ht="15.75" spans="6:9">
      <c r="F1596" s="12" t="e">
        <f>'[4]#REF'!F1596</f>
        <v>#REF!</v>
      </c>
      <c r="G1596" s="12" t="e">
        <f>'[4]#REF'!G1596</f>
        <v>#REF!</v>
      </c>
      <c r="H1596" s="31" t="e">
        <f>'[4]#REF'!I1596</f>
        <v>#REF!</v>
      </c>
      <c r="I1596" s="32" t="e">
        <f t="shared" si="55"/>
        <v>#REF!</v>
      </c>
    </row>
    <row r="1597" ht="15.75" spans="6:9">
      <c r="F1597" s="12" t="e">
        <f>'[4]#REF'!F1597</f>
        <v>#REF!</v>
      </c>
      <c r="G1597" s="12" t="e">
        <f>'[4]#REF'!G1597</f>
        <v>#REF!</v>
      </c>
      <c r="H1597" s="31" t="e">
        <f>'[4]#REF'!I1597</f>
        <v>#REF!</v>
      </c>
      <c r="I1597" s="32" t="e">
        <f t="shared" si="55"/>
        <v>#REF!</v>
      </c>
    </row>
    <row r="1598" ht="15.75" spans="6:9">
      <c r="F1598" s="12" t="e">
        <f>'[4]#REF'!F1598</f>
        <v>#REF!</v>
      </c>
      <c r="G1598" s="12" t="e">
        <f>'[4]#REF'!G1598</f>
        <v>#REF!</v>
      </c>
      <c r="H1598" s="31" t="e">
        <f>'[4]#REF'!I1598</f>
        <v>#REF!</v>
      </c>
      <c r="I1598" s="32" t="e">
        <f t="shared" si="55"/>
        <v>#REF!</v>
      </c>
    </row>
    <row r="1599" ht="15.75" spans="6:9">
      <c r="F1599" s="12" t="e">
        <f>'[4]#REF'!F1599</f>
        <v>#REF!</v>
      </c>
      <c r="G1599" s="12" t="e">
        <f>'[4]#REF'!G1599</f>
        <v>#REF!</v>
      </c>
      <c r="H1599" s="31" t="e">
        <f>'[4]#REF'!I1599</f>
        <v>#REF!</v>
      </c>
      <c r="I1599" s="32" t="e">
        <f t="shared" si="55"/>
        <v>#REF!</v>
      </c>
    </row>
    <row r="1600" ht="15.75" spans="6:9">
      <c r="F1600" s="12" t="e">
        <f>'[4]#REF'!F1600</f>
        <v>#REF!</v>
      </c>
      <c r="G1600" s="12" t="e">
        <f>'[4]#REF'!G1600</f>
        <v>#REF!</v>
      </c>
      <c r="H1600" s="31" t="e">
        <f>'[4]#REF'!I1600</f>
        <v>#REF!</v>
      </c>
      <c r="I1600" s="32" t="e">
        <f t="shared" si="55"/>
        <v>#REF!</v>
      </c>
    </row>
    <row r="1601" ht="15.75" spans="6:9">
      <c r="F1601" s="12" t="e">
        <f>'[4]#REF'!F1601</f>
        <v>#REF!</v>
      </c>
      <c r="G1601" s="12" t="e">
        <f>'[4]#REF'!G1601</f>
        <v>#REF!</v>
      </c>
      <c r="H1601" s="31" t="e">
        <f>'[4]#REF'!I1601</f>
        <v>#REF!</v>
      </c>
      <c r="I1601" s="32" t="e">
        <f t="shared" si="55"/>
        <v>#REF!</v>
      </c>
    </row>
    <row r="1602" ht="15.75" spans="6:9">
      <c r="F1602" s="12" t="e">
        <f>'[4]#REF'!F1602</f>
        <v>#REF!</v>
      </c>
      <c r="G1602" s="12" t="e">
        <f>'[4]#REF'!G1602</f>
        <v>#REF!</v>
      </c>
      <c r="H1602" s="31" t="e">
        <f>'[4]#REF'!I1602</f>
        <v>#REF!</v>
      </c>
      <c r="I1602" s="32" t="e">
        <f t="shared" si="55"/>
        <v>#REF!</v>
      </c>
    </row>
    <row r="1603" ht="15.75" spans="6:9">
      <c r="F1603" s="12" t="e">
        <f>'[4]#REF'!F1603</f>
        <v>#REF!</v>
      </c>
      <c r="G1603" s="12" t="e">
        <f>'[4]#REF'!G1603</f>
        <v>#REF!</v>
      </c>
      <c r="H1603" s="31" t="e">
        <f>'[4]#REF'!I1603</f>
        <v>#REF!</v>
      </c>
      <c r="I1603" s="32" t="e">
        <f t="shared" si="55"/>
        <v>#REF!</v>
      </c>
    </row>
    <row r="1604" ht="15.75" spans="6:9">
      <c r="F1604" s="12" t="e">
        <f>'[4]#REF'!F1604</f>
        <v>#REF!</v>
      </c>
      <c r="G1604" s="12" t="e">
        <f>'[4]#REF'!G1604</f>
        <v>#REF!</v>
      </c>
      <c r="H1604" s="31" t="e">
        <f>'[4]#REF'!I1604</f>
        <v>#REF!</v>
      </c>
      <c r="I1604" s="32" t="e">
        <f t="shared" si="55"/>
        <v>#REF!</v>
      </c>
    </row>
    <row r="1605" ht="15.75" spans="6:9">
      <c r="F1605" s="12" t="e">
        <f>'[4]#REF'!F1605</f>
        <v>#REF!</v>
      </c>
      <c r="G1605" s="12" t="e">
        <f>'[4]#REF'!G1605</f>
        <v>#REF!</v>
      </c>
      <c r="H1605" s="31" t="e">
        <f>'[4]#REF'!I1605</f>
        <v>#REF!</v>
      </c>
      <c r="I1605" s="32" t="e">
        <f t="shared" si="55"/>
        <v>#REF!</v>
      </c>
    </row>
    <row r="1606" ht="15.75" spans="6:9">
      <c r="F1606" s="12" t="e">
        <f>'[4]#REF'!F1606</f>
        <v>#REF!</v>
      </c>
      <c r="G1606" s="12" t="e">
        <f>'[4]#REF'!G1606</f>
        <v>#REF!</v>
      </c>
      <c r="H1606" s="31" t="e">
        <f>'[4]#REF'!I1606</f>
        <v>#REF!</v>
      </c>
      <c r="I1606" s="32" t="e">
        <f t="shared" ref="I1606:I1669" si="56">ROUND(H1606/$I$4*100,2)</f>
        <v>#REF!</v>
      </c>
    </row>
    <row r="1607" ht="15.75" spans="6:9">
      <c r="F1607" s="12" t="e">
        <f>'[4]#REF'!F1607</f>
        <v>#REF!</v>
      </c>
      <c r="G1607" s="12" t="e">
        <f>'[4]#REF'!G1607</f>
        <v>#REF!</v>
      </c>
      <c r="H1607" s="31" t="e">
        <f>'[4]#REF'!I1607</f>
        <v>#REF!</v>
      </c>
      <c r="I1607" s="32" t="e">
        <f t="shared" si="56"/>
        <v>#REF!</v>
      </c>
    </row>
    <row r="1608" ht="15.75" spans="6:9">
      <c r="F1608" s="12" t="e">
        <f>'[4]#REF'!F1608</f>
        <v>#REF!</v>
      </c>
      <c r="G1608" s="12" t="e">
        <f>'[4]#REF'!G1608</f>
        <v>#REF!</v>
      </c>
      <c r="H1608" s="31" t="e">
        <f>'[4]#REF'!I1608</f>
        <v>#REF!</v>
      </c>
      <c r="I1608" s="32" t="e">
        <f t="shared" si="56"/>
        <v>#REF!</v>
      </c>
    </row>
    <row r="1609" ht="15.75" spans="6:9">
      <c r="F1609" s="12" t="e">
        <f>'[4]#REF'!F1609</f>
        <v>#REF!</v>
      </c>
      <c r="G1609" s="12" t="e">
        <f>'[4]#REF'!G1609</f>
        <v>#REF!</v>
      </c>
      <c r="H1609" s="31" t="e">
        <f>'[4]#REF'!I1609</f>
        <v>#REF!</v>
      </c>
      <c r="I1609" s="32" t="e">
        <f t="shared" si="56"/>
        <v>#REF!</v>
      </c>
    </row>
    <row r="1610" ht="15.75" spans="6:9">
      <c r="F1610" s="12" t="e">
        <f>'[4]#REF'!F1610</f>
        <v>#REF!</v>
      </c>
      <c r="G1610" s="12" t="e">
        <f>'[4]#REF'!G1610</f>
        <v>#REF!</v>
      </c>
      <c r="H1610" s="31" t="e">
        <f>'[4]#REF'!I1610</f>
        <v>#REF!</v>
      </c>
      <c r="I1610" s="32" t="e">
        <f t="shared" si="56"/>
        <v>#REF!</v>
      </c>
    </row>
    <row r="1611" ht="15.75" spans="6:9">
      <c r="F1611" s="12" t="e">
        <f>'[4]#REF'!F1611</f>
        <v>#REF!</v>
      </c>
      <c r="G1611" s="12" t="e">
        <f>'[4]#REF'!G1611</f>
        <v>#REF!</v>
      </c>
      <c r="H1611" s="31" t="e">
        <f>'[4]#REF'!I1611</f>
        <v>#REF!</v>
      </c>
      <c r="I1611" s="32" t="e">
        <f t="shared" si="56"/>
        <v>#REF!</v>
      </c>
    </row>
    <row r="1612" ht="15.75" spans="6:9">
      <c r="F1612" s="12" t="e">
        <f>'[4]#REF'!F1612</f>
        <v>#REF!</v>
      </c>
      <c r="G1612" s="12" t="e">
        <f>'[4]#REF'!G1612</f>
        <v>#REF!</v>
      </c>
      <c r="H1612" s="31" t="e">
        <f>'[4]#REF'!I1612</f>
        <v>#REF!</v>
      </c>
      <c r="I1612" s="32" t="e">
        <f t="shared" si="56"/>
        <v>#REF!</v>
      </c>
    </row>
    <row r="1613" ht="15.75" spans="6:9">
      <c r="F1613" s="12" t="e">
        <f>'[4]#REF'!F1613</f>
        <v>#REF!</v>
      </c>
      <c r="G1613" s="12" t="e">
        <f>'[4]#REF'!G1613</f>
        <v>#REF!</v>
      </c>
      <c r="H1613" s="31" t="e">
        <f>'[4]#REF'!I1613</f>
        <v>#REF!</v>
      </c>
      <c r="I1613" s="32" t="e">
        <f t="shared" si="56"/>
        <v>#REF!</v>
      </c>
    </row>
    <row r="1614" ht="15.75" spans="6:9">
      <c r="F1614" s="12" t="e">
        <f>'[4]#REF'!F1614</f>
        <v>#REF!</v>
      </c>
      <c r="G1614" s="12" t="e">
        <f>'[4]#REF'!G1614</f>
        <v>#REF!</v>
      </c>
      <c r="H1614" s="31" t="e">
        <f>'[4]#REF'!I1614</f>
        <v>#REF!</v>
      </c>
      <c r="I1614" s="32" t="e">
        <f t="shared" si="56"/>
        <v>#REF!</v>
      </c>
    </row>
    <row r="1615" ht="15.75" spans="6:9">
      <c r="F1615" s="12" t="e">
        <f>'[4]#REF'!F1615</f>
        <v>#REF!</v>
      </c>
      <c r="G1615" s="12" t="e">
        <f>'[4]#REF'!G1615</f>
        <v>#REF!</v>
      </c>
      <c r="H1615" s="31" t="e">
        <f>'[4]#REF'!I1615</f>
        <v>#REF!</v>
      </c>
      <c r="I1615" s="32" t="e">
        <f t="shared" si="56"/>
        <v>#REF!</v>
      </c>
    </row>
    <row r="1616" ht="15.75" spans="6:9">
      <c r="F1616" s="12" t="e">
        <f>'[4]#REF'!F1616</f>
        <v>#REF!</v>
      </c>
      <c r="G1616" s="12" t="e">
        <f>'[4]#REF'!G1616</f>
        <v>#REF!</v>
      </c>
      <c r="H1616" s="31" t="e">
        <f>'[4]#REF'!I1616</f>
        <v>#REF!</v>
      </c>
      <c r="I1616" s="32" t="e">
        <f t="shared" si="56"/>
        <v>#REF!</v>
      </c>
    </row>
    <row r="1617" ht="15.75" spans="6:9">
      <c r="F1617" s="12" t="e">
        <f>'[4]#REF'!F1617</f>
        <v>#REF!</v>
      </c>
      <c r="G1617" s="12" t="e">
        <f>'[4]#REF'!G1617</f>
        <v>#REF!</v>
      </c>
      <c r="H1617" s="31" t="e">
        <f>'[4]#REF'!I1617</f>
        <v>#REF!</v>
      </c>
      <c r="I1617" s="32" t="e">
        <f t="shared" si="56"/>
        <v>#REF!</v>
      </c>
    </row>
    <row r="1618" ht="15.75" spans="6:9">
      <c r="F1618" s="12" t="e">
        <f>'[4]#REF'!F1618</f>
        <v>#REF!</v>
      </c>
      <c r="G1618" s="12" t="e">
        <f>'[4]#REF'!G1618</f>
        <v>#REF!</v>
      </c>
      <c r="H1618" s="31" t="e">
        <f>'[4]#REF'!I1618</f>
        <v>#REF!</v>
      </c>
      <c r="I1618" s="32" t="e">
        <f t="shared" si="56"/>
        <v>#REF!</v>
      </c>
    </row>
    <row r="1619" ht="15.75" spans="6:9">
      <c r="F1619" s="12" t="e">
        <f>'[4]#REF'!F1619</f>
        <v>#REF!</v>
      </c>
      <c r="G1619" s="12" t="e">
        <f>'[4]#REF'!G1619</f>
        <v>#REF!</v>
      </c>
      <c r="H1619" s="31" t="e">
        <f>'[4]#REF'!I1619</f>
        <v>#REF!</v>
      </c>
      <c r="I1619" s="32" t="e">
        <f t="shared" si="56"/>
        <v>#REF!</v>
      </c>
    </row>
    <row r="1620" ht="15.75" spans="6:9">
      <c r="F1620" s="12" t="e">
        <f>'[4]#REF'!F1620</f>
        <v>#REF!</v>
      </c>
      <c r="G1620" s="12" t="e">
        <f>'[4]#REF'!G1620</f>
        <v>#REF!</v>
      </c>
      <c r="H1620" s="31" t="e">
        <f>'[4]#REF'!I1620</f>
        <v>#REF!</v>
      </c>
      <c r="I1620" s="32" t="e">
        <f t="shared" si="56"/>
        <v>#REF!</v>
      </c>
    </row>
    <row r="1621" ht="15.75" spans="6:9">
      <c r="F1621" s="12" t="e">
        <f>'[4]#REF'!F1621</f>
        <v>#REF!</v>
      </c>
      <c r="G1621" s="12" t="e">
        <f>'[4]#REF'!G1621</f>
        <v>#REF!</v>
      </c>
      <c r="H1621" s="31" t="e">
        <f>'[4]#REF'!I1621</f>
        <v>#REF!</v>
      </c>
      <c r="I1621" s="32" t="e">
        <f t="shared" si="56"/>
        <v>#REF!</v>
      </c>
    </row>
    <row r="1622" ht="15.75" spans="6:9">
      <c r="F1622" s="12" t="e">
        <f>'[4]#REF'!F1622</f>
        <v>#REF!</v>
      </c>
      <c r="G1622" s="12" t="e">
        <f>'[4]#REF'!G1622</f>
        <v>#REF!</v>
      </c>
      <c r="H1622" s="31" t="e">
        <f>'[4]#REF'!I1622</f>
        <v>#REF!</v>
      </c>
      <c r="I1622" s="32" t="e">
        <f t="shared" si="56"/>
        <v>#REF!</v>
      </c>
    </row>
    <row r="1623" ht="15.75" spans="6:9">
      <c r="F1623" s="12" t="e">
        <f>'[4]#REF'!F1623</f>
        <v>#REF!</v>
      </c>
      <c r="G1623" s="12" t="e">
        <f>'[4]#REF'!G1623</f>
        <v>#REF!</v>
      </c>
      <c r="H1623" s="31" t="e">
        <f>'[4]#REF'!I1623</f>
        <v>#REF!</v>
      </c>
      <c r="I1623" s="32" t="e">
        <f t="shared" si="56"/>
        <v>#REF!</v>
      </c>
    </row>
    <row r="1624" ht="15.75" spans="6:9">
      <c r="F1624" s="12" t="e">
        <f>'[4]#REF'!F1624</f>
        <v>#REF!</v>
      </c>
      <c r="G1624" s="12" t="e">
        <f>'[4]#REF'!G1624</f>
        <v>#REF!</v>
      </c>
      <c r="H1624" s="31" t="e">
        <f>'[4]#REF'!I1624</f>
        <v>#REF!</v>
      </c>
      <c r="I1624" s="32" t="e">
        <f t="shared" si="56"/>
        <v>#REF!</v>
      </c>
    </row>
    <row r="1625" ht="15.75" spans="6:9">
      <c r="F1625" s="12" t="e">
        <f>'[4]#REF'!F1625</f>
        <v>#REF!</v>
      </c>
      <c r="G1625" s="12" t="e">
        <f>'[4]#REF'!G1625</f>
        <v>#REF!</v>
      </c>
      <c r="H1625" s="31" t="e">
        <f>'[4]#REF'!I1625</f>
        <v>#REF!</v>
      </c>
      <c r="I1625" s="32" t="e">
        <f t="shared" si="56"/>
        <v>#REF!</v>
      </c>
    </row>
    <row r="1626" ht="15.75" spans="6:9">
      <c r="F1626" s="12" t="e">
        <f>'[4]#REF'!F1626</f>
        <v>#REF!</v>
      </c>
      <c r="G1626" s="12" t="e">
        <f>'[4]#REF'!G1626</f>
        <v>#REF!</v>
      </c>
      <c r="H1626" s="31" t="e">
        <f>'[4]#REF'!I1626</f>
        <v>#REF!</v>
      </c>
      <c r="I1626" s="32" t="e">
        <f t="shared" si="56"/>
        <v>#REF!</v>
      </c>
    </row>
    <row r="1627" ht="15.75" spans="6:9">
      <c r="F1627" s="12" t="e">
        <f>'[4]#REF'!F1627</f>
        <v>#REF!</v>
      </c>
      <c r="G1627" s="12" t="e">
        <f>'[4]#REF'!G1627</f>
        <v>#REF!</v>
      </c>
      <c r="H1627" s="31" t="e">
        <f>'[4]#REF'!I1627</f>
        <v>#REF!</v>
      </c>
      <c r="I1627" s="32" t="e">
        <f t="shared" si="56"/>
        <v>#REF!</v>
      </c>
    </row>
    <row r="1628" ht="15.75" spans="6:9">
      <c r="F1628" s="12" t="e">
        <f>'[4]#REF'!F1628</f>
        <v>#REF!</v>
      </c>
      <c r="G1628" s="12" t="e">
        <f>'[4]#REF'!G1628</f>
        <v>#REF!</v>
      </c>
      <c r="H1628" s="31" t="e">
        <f>'[4]#REF'!I1628</f>
        <v>#REF!</v>
      </c>
      <c r="I1628" s="32" t="e">
        <f t="shared" si="56"/>
        <v>#REF!</v>
      </c>
    </row>
    <row r="1629" ht="15.75" spans="6:9">
      <c r="F1629" s="12" t="e">
        <f>'[4]#REF'!F1629</f>
        <v>#REF!</v>
      </c>
      <c r="G1629" s="12" t="e">
        <f>'[4]#REF'!G1629</f>
        <v>#REF!</v>
      </c>
      <c r="H1629" s="31" t="e">
        <f>'[4]#REF'!I1629</f>
        <v>#REF!</v>
      </c>
      <c r="I1629" s="32" t="e">
        <f t="shared" si="56"/>
        <v>#REF!</v>
      </c>
    </row>
    <row r="1630" ht="15.75" spans="6:9">
      <c r="F1630" s="12" t="e">
        <f>'[4]#REF'!F1630</f>
        <v>#REF!</v>
      </c>
      <c r="G1630" s="12" t="e">
        <f>'[4]#REF'!G1630</f>
        <v>#REF!</v>
      </c>
      <c r="H1630" s="31" t="e">
        <f>'[4]#REF'!I1630</f>
        <v>#REF!</v>
      </c>
      <c r="I1630" s="32" t="e">
        <f t="shared" si="56"/>
        <v>#REF!</v>
      </c>
    </row>
    <row r="1631" ht="15.75" spans="6:9">
      <c r="F1631" s="12" t="e">
        <f>'[4]#REF'!F1631</f>
        <v>#REF!</v>
      </c>
      <c r="G1631" s="12" t="e">
        <f>'[4]#REF'!G1631</f>
        <v>#REF!</v>
      </c>
      <c r="H1631" s="31" t="e">
        <f>'[4]#REF'!I1631</f>
        <v>#REF!</v>
      </c>
      <c r="I1631" s="32" t="e">
        <f t="shared" si="56"/>
        <v>#REF!</v>
      </c>
    </row>
    <row r="1632" ht="15.75" spans="6:9">
      <c r="F1632" s="12" t="e">
        <f>'[4]#REF'!F1632</f>
        <v>#REF!</v>
      </c>
      <c r="G1632" s="12" t="e">
        <f>'[4]#REF'!G1632</f>
        <v>#REF!</v>
      </c>
      <c r="H1632" s="31" t="e">
        <f>'[4]#REF'!I1632</f>
        <v>#REF!</v>
      </c>
      <c r="I1632" s="32" t="e">
        <f t="shared" si="56"/>
        <v>#REF!</v>
      </c>
    </row>
    <row r="1633" ht="15.75" spans="6:9">
      <c r="F1633" s="12" t="e">
        <f>'[4]#REF'!F1633</f>
        <v>#REF!</v>
      </c>
      <c r="G1633" s="12" t="e">
        <f>'[4]#REF'!G1633</f>
        <v>#REF!</v>
      </c>
      <c r="H1633" s="31" t="e">
        <f>'[4]#REF'!I1633</f>
        <v>#REF!</v>
      </c>
      <c r="I1633" s="32" t="e">
        <f t="shared" si="56"/>
        <v>#REF!</v>
      </c>
    </row>
    <row r="1634" ht="15.75" spans="6:9">
      <c r="F1634" s="12" t="e">
        <f>'[4]#REF'!F1634</f>
        <v>#REF!</v>
      </c>
      <c r="G1634" s="12" t="e">
        <f>'[4]#REF'!G1634</f>
        <v>#REF!</v>
      </c>
      <c r="H1634" s="31" t="e">
        <f>'[4]#REF'!I1634</f>
        <v>#REF!</v>
      </c>
      <c r="I1634" s="32" t="e">
        <f t="shared" si="56"/>
        <v>#REF!</v>
      </c>
    </row>
    <row r="1635" ht="15.75" spans="6:9">
      <c r="F1635" s="12" t="e">
        <f>'[4]#REF'!F1635</f>
        <v>#REF!</v>
      </c>
      <c r="G1635" s="12" t="e">
        <f>'[4]#REF'!G1635</f>
        <v>#REF!</v>
      </c>
      <c r="H1635" s="31" t="e">
        <f>'[4]#REF'!I1635</f>
        <v>#REF!</v>
      </c>
      <c r="I1635" s="32" t="e">
        <f t="shared" si="56"/>
        <v>#REF!</v>
      </c>
    </row>
    <row r="1636" ht="15.75" spans="6:9">
      <c r="F1636" s="12" t="e">
        <f>'[4]#REF'!F1636</f>
        <v>#REF!</v>
      </c>
      <c r="G1636" s="12" t="e">
        <f>'[4]#REF'!G1636</f>
        <v>#REF!</v>
      </c>
      <c r="H1636" s="31" t="e">
        <f>'[4]#REF'!I1636</f>
        <v>#REF!</v>
      </c>
      <c r="I1636" s="32" t="e">
        <f t="shared" si="56"/>
        <v>#REF!</v>
      </c>
    </row>
    <row r="1637" ht="15.75" spans="6:9">
      <c r="F1637" s="12" t="e">
        <f>'[4]#REF'!F1637</f>
        <v>#REF!</v>
      </c>
      <c r="G1637" s="12" t="e">
        <f>'[4]#REF'!G1637</f>
        <v>#REF!</v>
      </c>
      <c r="H1637" s="31" t="e">
        <f>'[4]#REF'!I1637</f>
        <v>#REF!</v>
      </c>
      <c r="I1637" s="32" t="e">
        <f t="shared" si="56"/>
        <v>#REF!</v>
      </c>
    </row>
    <row r="1638" ht="15.75" spans="6:9">
      <c r="F1638" s="12" t="e">
        <f>'[4]#REF'!F1638</f>
        <v>#REF!</v>
      </c>
      <c r="G1638" s="12" t="e">
        <f>'[4]#REF'!G1638</f>
        <v>#REF!</v>
      </c>
      <c r="H1638" s="31" t="e">
        <f>'[4]#REF'!I1638</f>
        <v>#REF!</v>
      </c>
      <c r="I1638" s="32" t="e">
        <f t="shared" si="56"/>
        <v>#REF!</v>
      </c>
    </row>
    <row r="1639" ht="15.75" spans="6:9">
      <c r="F1639" s="12" t="e">
        <f>'[4]#REF'!F1639</f>
        <v>#REF!</v>
      </c>
      <c r="G1639" s="12" t="e">
        <f>'[4]#REF'!G1639</f>
        <v>#REF!</v>
      </c>
      <c r="H1639" s="31" t="e">
        <f>'[4]#REF'!I1639</f>
        <v>#REF!</v>
      </c>
      <c r="I1639" s="32" t="e">
        <f t="shared" si="56"/>
        <v>#REF!</v>
      </c>
    </row>
    <row r="1640" ht="15.75" spans="6:9">
      <c r="F1640" s="12" t="e">
        <f>'[4]#REF'!F1640</f>
        <v>#REF!</v>
      </c>
      <c r="G1640" s="12" t="e">
        <f>'[4]#REF'!G1640</f>
        <v>#REF!</v>
      </c>
      <c r="H1640" s="31" t="e">
        <f>'[4]#REF'!I1640</f>
        <v>#REF!</v>
      </c>
      <c r="I1640" s="32" t="e">
        <f t="shared" si="56"/>
        <v>#REF!</v>
      </c>
    </row>
    <row r="1641" ht="15.75" spans="6:9">
      <c r="F1641" s="12" t="e">
        <f>'[4]#REF'!F1641</f>
        <v>#REF!</v>
      </c>
      <c r="G1641" s="12" t="e">
        <f>'[4]#REF'!G1641</f>
        <v>#REF!</v>
      </c>
      <c r="H1641" s="31" t="e">
        <f>'[4]#REF'!I1641</f>
        <v>#REF!</v>
      </c>
      <c r="I1641" s="32" t="e">
        <f t="shared" si="56"/>
        <v>#REF!</v>
      </c>
    </row>
    <row r="1642" ht="15.75" spans="6:9">
      <c r="F1642" s="12" t="e">
        <f>'[4]#REF'!F1642</f>
        <v>#REF!</v>
      </c>
      <c r="G1642" s="12" t="e">
        <f>'[4]#REF'!G1642</f>
        <v>#REF!</v>
      </c>
      <c r="H1642" s="31" t="e">
        <f>'[4]#REF'!I1642</f>
        <v>#REF!</v>
      </c>
      <c r="I1642" s="32" t="e">
        <f t="shared" si="56"/>
        <v>#REF!</v>
      </c>
    </row>
    <row r="1643" ht="15.75" spans="6:9">
      <c r="F1643" s="12" t="e">
        <f>'[4]#REF'!F1643</f>
        <v>#REF!</v>
      </c>
      <c r="G1643" s="12" t="e">
        <f>'[4]#REF'!G1643</f>
        <v>#REF!</v>
      </c>
      <c r="H1643" s="31" t="e">
        <f>'[4]#REF'!I1643</f>
        <v>#REF!</v>
      </c>
      <c r="I1643" s="32" t="e">
        <f t="shared" si="56"/>
        <v>#REF!</v>
      </c>
    </row>
    <row r="1644" ht="15.75" spans="6:9">
      <c r="F1644" s="12" t="e">
        <f>'[4]#REF'!F1644</f>
        <v>#REF!</v>
      </c>
      <c r="G1644" s="12" t="e">
        <f>'[4]#REF'!G1644</f>
        <v>#REF!</v>
      </c>
      <c r="H1644" s="31" t="e">
        <f>'[4]#REF'!I1644</f>
        <v>#REF!</v>
      </c>
      <c r="I1644" s="32" t="e">
        <f t="shared" si="56"/>
        <v>#REF!</v>
      </c>
    </row>
    <row r="1645" ht="15.75" spans="6:9">
      <c r="F1645" s="12" t="e">
        <f>'[4]#REF'!F1645</f>
        <v>#REF!</v>
      </c>
      <c r="G1645" s="12" t="e">
        <f>'[4]#REF'!G1645</f>
        <v>#REF!</v>
      </c>
      <c r="H1645" s="31" t="e">
        <f>'[4]#REF'!I1645</f>
        <v>#REF!</v>
      </c>
      <c r="I1645" s="32" t="e">
        <f t="shared" si="56"/>
        <v>#REF!</v>
      </c>
    </row>
    <row r="1646" ht="15.75" spans="6:9">
      <c r="F1646" s="12" t="e">
        <f>'[4]#REF'!F1646</f>
        <v>#REF!</v>
      </c>
      <c r="G1646" s="12" t="e">
        <f>'[4]#REF'!G1646</f>
        <v>#REF!</v>
      </c>
      <c r="H1646" s="31" t="e">
        <f>'[4]#REF'!I1646</f>
        <v>#REF!</v>
      </c>
      <c r="I1646" s="32" t="e">
        <f t="shared" si="56"/>
        <v>#REF!</v>
      </c>
    </row>
    <row r="1647" ht="15.75" spans="6:9">
      <c r="F1647" s="12" t="e">
        <f>'[4]#REF'!F1647</f>
        <v>#REF!</v>
      </c>
      <c r="G1647" s="12" t="e">
        <f>'[4]#REF'!G1647</f>
        <v>#REF!</v>
      </c>
      <c r="H1647" s="31" t="e">
        <f>'[4]#REF'!I1647</f>
        <v>#REF!</v>
      </c>
      <c r="I1647" s="32" t="e">
        <f t="shared" si="56"/>
        <v>#REF!</v>
      </c>
    </row>
    <row r="1648" ht="15.75" spans="6:9">
      <c r="F1648" s="12" t="e">
        <f>'[4]#REF'!F1648</f>
        <v>#REF!</v>
      </c>
      <c r="G1648" s="12" t="e">
        <f>'[4]#REF'!G1648</f>
        <v>#REF!</v>
      </c>
      <c r="H1648" s="31" t="e">
        <f>'[4]#REF'!I1648</f>
        <v>#REF!</v>
      </c>
      <c r="I1648" s="32" t="e">
        <f t="shared" si="56"/>
        <v>#REF!</v>
      </c>
    </row>
    <row r="1649" ht="15.75" spans="6:9">
      <c r="F1649" s="12" t="e">
        <f>'[4]#REF'!F1649</f>
        <v>#REF!</v>
      </c>
      <c r="G1649" s="12" t="e">
        <f>'[4]#REF'!G1649</f>
        <v>#REF!</v>
      </c>
      <c r="H1649" s="31" t="e">
        <f>'[4]#REF'!I1649</f>
        <v>#REF!</v>
      </c>
      <c r="I1649" s="32" t="e">
        <f t="shared" si="56"/>
        <v>#REF!</v>
      </c>
    </row>
    <row r="1650" ht="15.75" spans="6:9">
      <c r="F1650" s="12" t="e">
        <f>'[4]#REF'!F1650</f>
        <v>#REF!</v>
      </c>
      <c r="G1650" s="12" t="e">
        <f>'[4]#REF'!G1650</f>
        <v>#REF!</v>
      </c>
      <c r="H1650" s="31" t="e">
        <f>'[4]#REF'!I1650</f>
        <v>#REF!</v>
      </c>
      <c r="I1650" s="32" t="e">
        <f t="shared" si="56"/>
        <v>#REF!</v>
      </c>
    </row>
    <row r="1651" ht="15.75" spans="6:9">
      <c r="F1651" s="12" t="e">
        <f>'[4]#REF'!F1651</f>
        <v>#REF!</v>
      </c>
      <c r="G1651" s="12" t="e">
        <f>'[4]#REF'!G1651</f>
        <v>#REF!</v>
      </c>
      <c r="H1651" s="31" t="e">
        <f>'[4]#REF'!I1651</f>
        <v>#REF!</v>
      </c>
      <c r="I1651" s="32" t="e">
        <f t="shared" si="56"/>
        <v>#REF!</v>
      </c>
    </row>
    <row r="1652" ht="15.75" spans="6:9">
      <c r="F1652" s="12" t="e">
        <f>'[4]#REF'!F1652</f>
        <v>#REF!</v>
      </c>
      <c r="G1652" s="12" t="e">
        <f>'[4]#REF'!G1652</f>
        <v>#REF!</v>
      </c>
      <c r="H1652" s="31" t="e">
        <f>'[4]#REF'!I1652</f>
        <v>#REF!</v>
      </c>
      <c r="I1652" s="32" t="e">
        <f t="shared" si="56"/>
        <v>#REF!</v>
      </c>
    </row>
    <row r="1653" ht="15.75" spans="6:9">
      <c r="F1653" s="12" t="e">
        <f>'[4]#REF'!F1653</f>
        <v>#REF!</v>
      </c>
      <c r="G1653" s="12" t="e">
        <f>'[4]#REF'!G1653</f>
        <v>#REF!</v>
      </c>
      <c r="H1653" s="31" t="e">
        <f>'[4]#REF'!I1653</f>
        <v>#REF!</v>
      </c>
      <c r="I1653" s="32" t="e">
        <f t="shared" si="56"/>
        <v>#REF!</v>
      </c>
    </row>
    <row r="1654" ht="15.75" spans="6:9">
      <c r="F1654" s="12" t="e">
        <f>'[4]#REF'!F1654</f>
        <v>#REF!</v>
      </c>
      <c r="G1654" s="12" t="e">
        <f>'[4]#REF'!G1654</f>
        <v>#REF!</v>
      </c>
      <c r="H1654" s="31" t="e">
        <f>'[4]#REF'!I1654</f>
        <v>#REF!</v>
      </c>
      <c r="I1654" s="32" t="e">
        <f t="shared" si="56"/>
        <v>#REF!</v>
      </c>
    </row>
    <row r="1655" ht="15.75" spans="6:9">
      <c r="F1655" s="12" t="e">
        <f>'[4]#REF'!F1655</f>
        <v>#REF!</v>
      </c>
      <c r="G1655" s="12" t="e">
        <f>'[4]#REF'!G1655</f>
        <v>#REF!</v>
      </c>
      <c r="H1655" s="31" t="e">
        <f>'[4]#REF'!I1655</f>
        <v>#REF!</v>
      </c>
      <c r="I1655" s="32" t="e">
        <f t="shared" si="56"/>
        <v>#REF!</v>
      </c>
    </row>
    <row r="1656" ht="15.75" spans="6:9">
      <c r="F1656" s="12" t="e">
        <f>'[4]#REF'!F1656</f>
        <v>#REF!</v>
      </c>
      <c r="G1656" s="12" t="e">
        <f>'[4]#REF'!G1656</f>
        <v>#REF!</v>
      </c>
      <c r="H1656" s="31" t="e">
        <f>'[4]#REF'!I1656</f>
        <v>#REF!</v>
      </c>
      <c r="I1656" s="32" t="e">
        <f t="shared" si="56"/>
        <v>#REF!</v>
      </c>
    </row>
    <row r="1657" ht="15.75" spans="6:9">
      <c r="F1657" s="12" t="e">
        <f>'[4]#REF'!F1657</f>
        <v>#REF!</v>
      </c>
      <c r="G1657" s="12" t="e">
        <f>'[4]#REF'!G1657</f>
        <v>#REF!</v>
      </c>
      <c r="H1657" s="31" t="e">
        <f>'[4]#REF'!I1657</f>
        <v>#REF!</v>
      </c>
      <c r="I1657" s="32" t="e">
        <f t="shared" si="56"/>
        <v>#REF!</v>
      </c>
    </row>
    <row r="1658" ht="15.75" spans="6:9">
      <c r="F1658" s="12" t="e">
        <f>'[4]#REF'!F1658</f>
        <v>#REF!</v>
      </c>
      <c r="G1658" s="12" t="e">
        <f>'[4]#REF'!G1658</f>
        <v>#REF!</v>
      </c>
      <c r="H1658" s="31" t="e">
        <f>'[4]#REF'!I1658</f>
        <v>#REF!</v>
      </c>
      <c r="I1658" s="32" t="e">
        <f t="shared" si="56"/>
        <v>#REF!</v>
      </c>
    </row>
    <row r="1659" ht="15.75" spans="6:9">
      <c r="F1659" s="12" t="e">
        <f>'[4]#REF'!F1659</f>
        <v>#REF!</v>
      </c>
      <c r="G1659" s="12" t="e">
        <f>'[4]#REF'!G1659</f>
        <v>#REF!</v>
      </c>
      <c r="H1659" s="31" t="e">
        <f>'[4]#REF'!I1659</f>
        <v>#REF!</v>
      </c>
      <c r="I1659" s="32" t="e">
        <f t="shared" si="56"/>
        <v>#REF!</v>
      </c>
    </row>
    <row r="1660" ht="15.75" spans="6:9">
      <c r="F1660" s="12" t="e">
        <f>'[4]#REF'!F1660</f>
        <v>#REF!</v>
      </c>
      <c r="G1660" s="12" t="e">
        <f>'[4]#REF'!G1660</f>
        <v>#REF!</v>
      </c>
      <c r="H1660" s="31" t="e">
        <f>'[4]#REF'!I1660</f>
        <v>#REF!</v>
      </c>
      <c r="I1660" s="32" t="e">
        <f t="shared" si="56"/>
        <v>#REF!</v>
      </c>
    </row>
    <row r="1661" ht="15.75" spans="6:9">
      <c r="F1661" s="12" t="e">
        <f>'[4]#REF'!F1661</f>
        <v>#REF!</v>
      </c>
      <c r="G1661" s="12" t="e">
        <f>'[4]#REF'!G1661</f>
        <v>#REF!</v>
      </c>
      <c r="H1661" s="31" t="e">
        <f>'[4]#REF'!I1661</f>
        <v>#REF!</v>
      </c>
      <c r="I1661" s="32" t="e">
        <f t="shared" si="56"/>
        <v>#REF!</v>
      </c>
    </row>
    <row r="1662" ht="15.75" spans="6:9">
      <c r="F1662" s="12" t="e">
        <f>'[4]#REF'!F1662</f>
        <v>#REF!</v>
      </c>
      <c r="G1662" s="12" t="e">
        <f>'[4]#REF'!G1662</f>
        <v>#REF!</v>
      </c>
      <c r="H1662" s="31" t="e">
        <f>'[4]#REF'!I1662</f>
        <v>#REF!</v>
      </c>
      <c r="I1662" s="32" t="e">
        <f t="shared" si="56"/>
        <v>#REF!</v>
      </c>
    </row>
    <row r="1663" ht="15.75" spans="6:9">
      <c r="F1663" s="12" t="e">
        <f>'[4]#REF'!F1663</f>
        <v>#REF!</v>
      </c>
      <c r="G1663" s="12" t="e">
        <f>'[4]#REF'!G1663</f>
        <v>#REF!</v>
      </c>
      <c r="H1663" s="31" t="e">
        <f>'[4]#REF'!I1663</f>
        <v>#REF!</v>
      </c>
      <c r="I1663" s="32" t="e">
        <f t="shared" si="56"/>
        <v>#REF!</v>
      </c>
    </row>
    <row r="1664" ht="15.75" spans="6:9">
      <c r="F1664" s="12" t="e">
        <f>'[4]#REF'!F1664</f>
        <v>#REF!</v>
      </c>
      <c r="G1664" s="12" t="e">
        <f>'[4]#REF'!G1664</f>
        <v>#REF!</v>
      </c>
      <c r="H1664" s="31" t="e">
        <f>'[4]#REF'!I1664</f>
        <v>#REF!</v>
      </c>
      <c r="I1664" s="32" t="e">
        <f t="shared" si="56"/>
        <v>#REF!</v>
      </c>
    </row>
    <row r="1665" ht="15.75" spans="6:9">
      <c r="F1665" s="12" t="e">
        <f>'[4]#REF'!F1665</f>
        <v>#REF!</v>
      </c>
      <c r="G1665" s="12" t="e">
        <f>'[4]#REF'!G1665</f>
        <v>#REF!</v>
      </c>
      <c r="H1665" s="31" t="e">
        <f>'[4]#REF'!I1665</f>
        <v>#REF!</v>
      </c>
      <c r="I1665" s="32" t="e">
        <f t="shared" si="56"/>
        <v>#REF!</v>
      </c>
    </row>
    <row r="1666" ht="15.75" spans="6:9">
      <c r="F1666" s="12" t="e">
        <f>'[4]#REF'!F1666</f>
        <v>#REF!</v>
      </c>
      <c r="G1666" s="12" t="e">
        <f>'[4]#REF'!G1666</f>
        <v>#REF!</v>
      </c>
      <c r="H1666" s="31" t="e">
        <f>'[4]#REF'!I1666</f>
        <v>#REF!</v>
      </c>
      <c r="I1666" s="32" t="e">
        <f t="shared" si="56"/>
        <v>#REF!</v>
      </c>
    </row>
    <row r="1667" ht="15.75" spans="6:9">
      <c r="F1667" s="12" t="e">
        <f>'[4]#REF'!F1667</f>
        <v>#REF!</v>
      </c>
      <c r="G1667" s="12" t="e">
        <f>'[4]#REF'!G1667</f>
        <v>#REF!</v>
      </c>
      <c r="H1667" s="31" t="e">
        <f>'[4]#REF'!I1667</f>
        <v>#REF!</v>
      </c>
      <c r="I1667" s="32" t="e">
        <f t="shared" si="56"/>
        <v>#REF!</v>
      </c>
    </row>
    <row r="1668" ht="15.75" spans="6:9">
      <c r="F1668" s="12" t="e">
        <f>'[4]#REF'!F1668</f>
        <v>#REF!</v>
      </c>
      <c r="G1668" s="12" t="e">
        <f>'[4]#REF'!G1668</f>
        <v>#REF!</v>
      </c>
      <c r="H1668" s="31" t="e">
        <f>'[4]#REF'!I1668</f>
        <v>#REF!</v>
      </c>
      <c r="I1668" s="32" t="e">
        <f t="shared" si="56"/>
        <v>#REF!</v>
      </c>
    </row>
    <row r="1669" ht="15.75" spans="6:9">
      <c r="F1669" s="12" t="e">
        <f>'[4]#REF'!F1669</f>
        <v>#REF!</v>
      </c>
      <c r="G1669" s="12" t="e">
        <f>'[4]#REF'!G1669</f>
        <v>#REF!</v>
      </c>
      <c r="H1669" s="31" t="e">
        <f>'[4]#REF'!I1669</f>
        <v>#REF!</v>
      </c>
      <c r="I1669" s="32" t="e">
        <f t="shared" si="56"/>
        <v>#REF!</v>
      </c>
    </row>
    <row r="1670" ht="15.75" spans="6:9">
      <c r="F1670" s="12" t="e">
        <f>'[4]#REF'!F1670</f>
        <v>#REF!</v>
      </c>
      <c r="G1670" s="12" t="e">
        <f>'[4]#REF'!G1670</f>
        <v>#REF!</v>
      </c>
      <c r="H1670" s="31" t="e">
        <f>'[4]#REF'!I1670</f>
        <v>#REF!</v>
      </c>
      <c r="I1670" s="32" t="e">
        <f t="shared" ref="I1670:I1733" si="57">ROUND(H1670/$I$4*100,2)</f>
        <v>#REF!</v>
      </c>
    </row>
    <row r="1671" ht="15.75" spans="6:9">
      <c r="F1671" s="12" t="e">
        <f>'[4]#REF'!F1671</f>
        <v>#REF!</v>
      </c>
      <c r="G1671" s="12" t="e">
        <f>'[4]#REF'!G1671</f>
        <v>#REF!</v>
      </c>
      <c r="H1671" s="31" t="e">
        <f>'[4]#REF'!I1671</f>
        <v>#REF!</v>
      </c>
      <c r="I1671" s="32" t="e">
        <f t="shared" si="57"/>
        <v>#REF!</v>
      </c>
    </row>
    <row r="1672" ht="15.75" spans="6:9">
      <c r="F1672" s="12" t="e">
        <f>'[4]#REF'!F1672</f>
        <v>#REF!</v>
      </c>
      <c r="G1672" s="12" t="e">
        <f>'[4]#REF'!G1672</f>
        <v>#REF!</v>
      </c>
      <c r="H1672" s="31" t="e">
        <f>'[4]#REF'!I1672</f>
        <v>#REF!</v>
      </c>
      <c r="I1672" s="32" t="e">
        <f t="shared" si="57"/>
        <v>#REF!</v>
      </c>
    </row>
    <row r="1673" ht="15.75" spans="6:9">
      <c r="F1673" s="12" t="e">
        <f>'[4]#REF'!F1673</f>
        <v>#REF!</v>
      </c>
      <c r="G1673" s="12" t="e">
        <f>'[4]#REF'!G1673</f>
        <v>#REF!</v>
      </c>
      <c r="H1673" s="31" t="e">
        <f>'[4]#REF'!I1673</f>
        <v>#REF!</v>
      </c>
      <c r="I1673" s="32" t="e">
        <f t="shared" si="57"/>
        <v>#REF!</v>
      </c>
    </row>
    <row r="1674" ht="15.75" spans="6:9">
      <c r="F1674" s="12" t="e">
        <f>'[4]#REF'!F1674</f>
        <v>#REF!</v>
      </c>
      <c r="G1674" s="12" t="e">
        <f>'[4]#REF'!G1674</f>
        <v>#REF!</v>
      </c>
      <c r="H1674" s="31" t="e">
        <f>'[4]#REF'!I1674</f>
        <v>#REF!</v>
      </c>
      <c r="I1674" s="32" t="e">
        <f t="shared" si="57"/>
        <v>#REF!</v>
      </c>
    </row>
    <row r="1675" ht="15.75" spans="6:9">
      <c r="F1675" s="12" t="e">
        <f>'[4]#REF'!F1675</f>
        <v>#REF!</v>
      </c>
      <c r="G1675" s="12" t="e">
        <f>'[4]#REF'!G1675</f>
        <v>#REF!</v>
      </c>
      <c r="H1675" s="31" t="e">
        <f>'[4]#REF'!I1675</f>
        <v>#REF!</v>
      </c>
      <c r="I1675" s="32" t="e">
        <f t="shared" si="57"/>
        <v>#REF!</v>
      </c>
    </row>
    <row r="1676" ht="15.75" spans="6:9">
      <c r="F1676" s="12" t="e">
        <f>'[4]#REF'!F1676</f>
        <v>#REF!</v>
      </c>
      <c r="G1676" s="12" t="e">
        <f>'[4]#REF'!G1676</f>
        <v>#REF!</v>
      </c>
      <c r="H1676" s="31" t="e">
        <f>'[4]#REF'!I1676</f>
        <v>#REF!</v>
      </c>
      <c r="I1676" s="32" t="e">
        <f t="shared" si="57"/>
        <v>#REF!</v>
      </c>
    </row>
    <row r="1677" ht="15.75" spans="6:9">
      <c r="F1677" s="12" t="e">
        <f>'[4]#REF'!F1677</f>
        <v>#REF!</v>
      </c>
      <c r="G1677" s="12" t="e">
        <f>'[4]#REF'!G1677</f>
        <v>#REF!</v>
      </c>
      <c r="H1677" s="31" t="e">
        <f>'[4]#REF'!I1677</f>
        <v>#REF!</v>
      </c>
      <c r="I1677" s="32" t="e">
        <f t="shared" si="57"/>
        <v>#REF!</v>
      </c>
    </row>
    <row r="1678" ht="15.75" spans="6:9">
      <c r="F1678" s="12" t="e">
        <f>'[4]#REF'!F1678</f>
        <v>#REF!</v>
      </c>
      <c r="G1678" s="12" t="e">
        <f>'[4]#REF'!G1678</f>
        <v>#REF!</v>
      </c>
      <c r="H1678" s="31" t="e">
        <f>'[4]#REF'!I1678</f>
        <v>#REF!</v>
      </c>
      <c r="I1678" s="32" t="e">
        <f t="shared" si="57"/>
        <v>#REF!</v>
      </c>
    </row>
    <row r="1679" ht="15.75" spans="6:9">
      <c r="F1679" s="12" t="e">
        <f>'[4]#REF'!F1679</f>
        <v>#REF!</v>
      </c>
      <c r="G1679" s="12" t="e">
        <f>'[4]#REF'!G1679</f>
        <v>#REF!</v>
      </c>
      <c r="H1679" s="31" t="e">
        <f>'[4]#REF'!I1679</f>
        <v>#REF!</v>
      </c>
      <c r="I1679" s="32" t="e">
        <f t="shared" si="57"/>
        <v>#REF!</v>
      </c>
    </row>
    <row r="1680" ht="15.75" spans="6:9">
      <c r="F1680" s="12" t="e">
        <f>'[4]#REF'!F1680</f>
        <v>#REF!</v>
      </c>
      <c r="G1680" s="12" t="e">
        <f>'[4]#REF'!G1680</f>
        <v>#REF!</v>
      </c>
      <c r="H1680" s="31" t="e">
        <f>'[4]#REF'!I1680</f>
        <v>#REF!</v>
      </c>
      <c r="I1680" s="32" t="e">
        <f t="shared" si="57"/>
        <v>#REF!</v>
      </c>
    </row>
    <row r="1681" ht="15.75" spans="6:9">
      <c r="F1681" s="12" t="e">
        <f>'[4]#REF'!F1681</f>
        <v>#REF!</v>
      </c>
      <c r="G1681" s="12" t="e">
        <f>'[4]#REF'!G1681</f>
        <v>#REF!</v>
      </c>
      <c r="H1681" s="31" t="e">
        <f>'[4]#REF'!I1681</f>
        <v>#REF!</v>
      </c>
      <c r="I1681" s="32" t="e">
        <f t="shared" si="57"/>
        <v>#REF!</v>
      </c>
    </row>
    <row r="1682" ht="15.75" spans="6:9">
      <c r="F1682" s="12" t="e">
        <f>'[4]#REF'!F1682</f>
        <v>#REF!</v>
      </c>
      <c r="G1682" s="12" t="e">
        <f>'[4]#REF'!G1682</f>
        <v>#REF!</v>
      </c>
      <c r="H1682" s="31" t="e">
        <f>'[4]#REF'!I1682</f>
        <v>#REF!</v>
      </c>
      <c r="I1682" s="32" t="e">
        <f t="shared" si="57"/>
        <v>#REF!</v>
      </c>
    </row>
    <row r="1683" ht="15.75" spans="6:9">
      <c r="F1683" s="12" t="e">
        <f>'[4]#REF'!F1683</f>
        <v>#REF!</v>
      </c>
      <c r="G1683" s="12" t="e">
        <f>'[4]#REF'!G1683</f>
        <v>#REF!</v>
      </c>
      <c r="H1683" s="31" t="e">
        <f>'[4]#REF'!I1683</f>
        <v>#REF!</v>
      </c>
      <c r="I1683" s="32" t="e">
        <f t="shared" si="57"/>
        <v>#REF!</v>
      </c>
    </row>
    <row r="1684" ht="15.75" spans="6:9">
      <c r="F1684" s="12" t="e">
        <f>'[4]#REF'!F1684</f>
        <v>#REF!</v>
      </c>
      <c r="G1684" s="12" t="e">
        <f>'[4]#REF'!G1684</f>
        <v>#REF!</v>
      </c>
      <c r="H1684" s="31" t="e">
        <f>'[4]#REF'!I1684</f>
        <v>#REF!</v>
      </c>
      <c r="I1684" s="32" t="e">
        <f t="shared" si="57"/>
        <v>#REF!</v>
      </c>
    </row>
    <row r="1685" ht="15.75" spans="6:9">
      <c r="F1685" s="12" t="e">
        <f>'[4]#REF'!F1685</f>
        <v>#REF!</v>
      </c>
      <c r="G1685" s="12" t="e">
        <f>'[4]#REF'!G1685</f>
        <v>#REF!</v>
      </c>
      <c r="H1685" s="31" t="e">
        <f>'[4]#REF'!I1685</f>
        <v>#REF!</v>
      </c>
      <c r="I1685" s="32" t="e">
        <f t="shared" si="57"/>
        <v>#REF!</v>
      </c>
    </row>
    <row r="1686" ht="15.75" spans="6:9">
      <c r="F1686" s="12" t="e">
        <f>'[4]#REF'!F1686</f>
        <v>#REF!</v>
      </c>
      <c r="G1686" s="12" t="e">
        <f>'[4]#REF'!G1686</f>
        <v>#REF!</v>
      </c>
      <c r="H1686" s="31" t="e">
        <f>'[4]#REF'!I1686</f>
        <v>#REF!</v>
      </c>
      <c r="I1686" s="32" t="e">
        <f t="shared" si="57"/>
        <v>#REF!</v>
      </c>
    </row>
    <row r="1687" ht="15.75" spans="6:9">
      <c r="F1687" s="12" t="e">
        <f>'[4]#REF'!F1687</f>
        <v>#REF!</v>
      </c>
      <c r="G1687" s="12" t="e">
        <f>'[4]#REF'!G1687</f>
        <v>#REF!</v>
      </c>
      <c r="H1687" s="31" t="e">
        <f>'[4]#REF'!I1687</f>
        <v>#REF!</v>
      </c>
      <c r="I1687" s="32" t="e">
        <f t="shared" si="57"/>
        <v>#REF!</v>
      </c>
    </row>
    <row r="1688" ht="15.75" spans="6:9">
      <c r="F1688" s="12" t="e">
        <f>'[4]#REF'!F1688</f>
        <v>#REF!</v>
      </c>
      <c r="G1688" s="12" t="e">
        <f>'[4]#REF'!G1688</f>
        <v>#REF!</v>
      </c>
      <c r="H1688" s="31" t="e">
        <f>'[4]#REF'!I1688</f>
        <v>#REF!</v>
      </c>
      <c r="I1688" s="32" t="e">
        <f t="shared" si="57"/>
        <v>#REF!</v>
      </c>
    </row>
    <row r="1689" ht="15.75" spans="6:9">
      <c r="F1689" s="12" t="e">
        <f>'[4]#REF'!F1689</f>
        <v>#REF!</v>
      </c>
      <c r="G1689" s="12" t="e">
        <f>'[4]#REF'!G1689</f>
        <v>#REF!</v>
      </c>
      <c r="H1689" s="31" t="e">
        <f>'[4]#REF'!I1689</f>
        <v>#REF!</v>
      </c>
      <c r="I1689" s="32" t="e">
        <f t="shared" si="57"/>
        <v>#REF!</v>
      </c>
    </row>
    <row r="1690" ht="15.75" spans="6:9">
      <c r="F1690" s="12" t="e">
        <f>'[4]#REF'!F1690</f>
        <v>#REF!</v>
      </c>
      <c r="G1690" s="12" t="e">
        <f>'[4]#REF'!G1690</f>
        <v>#REF!</v>
      </c>
      <c r="H1690" s="31" t="e">
        <f>'[4]#REF'!I1690</f>
        <v>#REF!</v>
      </c>
      <c r="I1690" s="32" t="e">
        <f t="shared" si="57"/>
        <v>#REF!</v>
      </c>
    </row>
    <row r="1691" ht="15.75" spans="6:9">
      <c r="F1691" s="12" t="e">
        <f>'[4]#REF'!F1691</f>
        <v>#REF!</v>
      </c>
      <c r="G1691" s="12" t="e">
        <f>'[4]#REF'!G1691</f>
        <v>#REF!</v>
      </c>
      <c r="H1691" s="31" t="e">
        <f>'[4]#REF'!I1691</f>
        <v>#REF!</v>
      </c>
      <c r="I1691" s="32" t="e">
        <f t="shared" si="57"/>
        <v>#REF!</v>
      </c>
    </row>
    <row r="1692" ht="15.75" spans="6:9">
      <c r="F1692" s="12" t="e">
        <f>'[4]#REF'!F1692</f>
        <v>#REF!</v>
      </c>
      <c r="G1692" s="12" t="e">
        <f>'[4]#REF'!G1692</f>
        <v>#REF!</v>
      </c>
      <c r="H1692" s="31" t="e">
        <f>'[4]#REF'!I1692</f>
        <v>#REF!</v>
      </c>
      <c r="I1692" s="32" t="e">
        <f t="shared" si="57"/>
        <v>#REF!</v>
      </c>
    </row>
    <row r="1693" ht="15.75" spans="6:9">
      <c r="F1693" s="12" t="e">
        <f>'[4]#REF'!F1693</f>
        <v>#REF!</v>
      </c>
      <c r="G1693" s="12" t="e">
        <f>'[4]#REF'!G1693</f>
        <v>#REF!</v>
      </c>
      <c r="H1693" s="31" t="e">
        <f>'[4]#REF'!I1693</f>
        <v>#REF!</v>
      </c>
      <c r="I1693" s="32" t="e">
        <f t="shared" si="57"/>
        <v>#REF!</v>
      </c>
    </row>
    <row r="1694" ht="15.75" spans="6:9">
      <c r="F1694" s="12" t="e">
        <f>'[4]#REF'!F1694</f>
        <v>#REF!</v>
      </c>
      <c r="G1694" s="12" t="e">
        <f>'[4]#REF'!G1694</f>
        <v>#REF!</v>
      </c>
      <c r="H1694" s="31" t="e">
        <f>'[4]#REF'!I1694</f>
        <v>#REF!</v>
      </c>
      <c r="I1694" s="32" t="e">
        <f t="shared" si="57"/>
        <v>#REF!</v>
      </c>
    </row>
    <row r="1695" ht="15.75" spans="6:9">
      <c r="F1695" s="12" t="e">
        <f>'[4]#REF'!F1695</f>
        <v>#REF!</v>
      </c>
      <c r="G1695" s="12" t="e">
        <f>'[4]#REF'!G1695</f>
        <v>#REF!</v>
      </c>
      <c r="H1695" s="31" t="e">
        <f>'[4]#REF'!I1695</f>
        <v>#REF!</v>
      </c>
      <c r="I1695" s="32" t="e">
        <f t="shared" si="57"/>
        <v>#REF!</v>
      </c>
    </row>
    <row r="1696" ht="15.75" spans="6:9">
      <c r="F1696" s="12" t="e">
        <f>'[4]#REF'!F1696</f>
        <v>#REF!</v>
      </c>
      <c r="G1696" s="12" t="e">
        <f>'[4]#REF'!G1696</f>
        <v>#REF!</v>
      </c>
      <c r="H1696" s="31" t="e">
        <f>'[4]#REF'!I1696</f>
        <v>#REF!</v>
      </c>
      <c r="I1696" s="32" t="e">
        <f t="shared" si="57"/>
        <v>#REF!</v>
      </c>
    </row>
    <row r="1697" ht="15.75" spans="6:9">
      <c r="F1697" s="12" t="e">
        <f>'[4]#REF'!F1697</f>
        <v>#REF!</v>
      </c>
      <c r="G1697" s="12" t="e">
        <f>'[4]#REF'!G1697</f>
        <v>#REF!</v>
      </c>
      <c r="H1697" s="31" t="e">
        <f>'[4]#REF'!I1697</f>
        <v>#REF!</v>
      </c>
      <c r="I1697" s="32" t="e">
        <f t="shared" si="57"/>
        <v>#REF!</v>
      </c>
    </row>
    <row r="1698" ht="15.75" spans="6:9">
      <c r="F1698" s="12" t="e">
        <f>'[4]#REF'!F1698</f>
        <v>#REF!</v>
      </c>
      <c r="G1698" s="12" t="e">
        <f>'[4]#REF'!G1698</f>
        <v>#REF!</v>
      </c>
      <c r="H1698" s="31" t="e">
        <f>'[4]#REF'!I1698</f>
        <v>#REF!</v>
      </c>
      <c r="I1698" s="32" t="e">
        <f t="shared" si="57"/>
        <v>#REF!</v>
      </c>
    </row>
    <row r="1699" ht="15.75" spans="6:9">
      <c r="F1699" s="12" t="e">
        <f>'[4]#REF'!F1699</f>
        <v>#REF!</v>
      </c>
      <c r="G1699" s="12" t="e">
        <f>'[4]#REF'!G1699</f>
        <v>#REF!</v>
      </c>
      <c r="H1699" s="31" t="e">
        <f>'[4]#REF'!I1699</f>
        <v>#REF!</v>
      </c>
      <c r="I1699" s="32" t="e">
        <f t="shared" si="57"/>
        <v>#REF!</v>
      </c>
    </row>
    <row r="1700" ht="15.75" spans="6:9">
      <c r="F1700" s="12" t="e">
        <f>'[4]#REF'!F1700</f>
        <v>#REF!</v>
      </c>
      <c r="G1700" s="12" t="e">
        <f>'[4]#REF'!G1700</f>
        <v>#REF!</v>
      </c>
      <c r="H1700" s="31" t="e">
        <f>'[4]#REF'!I1700</f>
        <v>#REF!</v>
      </c>
      <c r="I1700" s="32" t="e">
        <f t="shared" si="57"/>
        <v>#REF!</v>
      </c>
    </row>
    <row r="1701" ht="15.75" spans="6:9">
      <c r="F1701" s="12" t="e">
        <f>'[4]#REF'!F1701</f>
        <v>#REF!</v>
      </c>
      <c r="G1701" s="12" t="e">
        <f>'[4]#REF'!G1701</f>
        <v>#REF!</v>
      </c>
      <c r="H1701" s="31" t="e">
        <f>'[4]#REF'!I1701</f>
        <v>#REF!</v>
      </c>
      <c r="I1701" s="32" t="e">
        <f t="shared" si="57"/>
        <v>#REF!</v>
      </c>
    </row>
    <row r="1702" ht="15.75" spans="6:9">
      <c r="F1702" s="12" t="e">
        <f>'[4]#REF'!F1702</f>
        <v>#REF!</v>
      </c>
      <c r="G1702" s="12" t="e">
        <f>'[4]#REF'!G1702</f>
        <v>#REF!</v>
      </c>
      <c r="H1702" s="31" t="e">
        <f>'[4]#REF'!I1702</f>
        <v>#REF!</v>
      </c>
      <c r="I1702" s="32" t="e">
        <f t="shared" si="57"/>
        <v>#REF!</v>
      </c>
    </row>
    <row r="1703" ht="15.75" spans="6:9">
      <c r="F1703" s="12" t="e">
        <f>'[4]#REF'!F1703</f>
        <v>#REF!</v>
      </c>
      <c r="G1703" s="12" t="e">
        <f>'[4]#REF'!G1703</f>
        <v>#REF!</v>
      </c>
      <c r="H1703" s="31" t="e">
        <f>'[4]#REF'!I1703</f>
        <v>#REF!</v>
      </c>
      <c r="I1703" s="32" t="e">
        <f t="shared" si="57"/>
        <v>#REF!</v>
      </c>
    </row>
    <row r="1704" ht="15.75" spans="6:9">
      <c r="F1704" s="12" t="e">
        <f>'[4]#REF'!F1704</f>
        <v>#REF!</v>
      </c>
      <c r="G1704" s="12" t="e">
        <f>'[4]#REF'!G1704</f>
        <v>#REF!</v>
      </c>
      <c r="H1704" s="31" t="e">
        <f>'[4]#REF'!I1704</f>
        <v>#REF!</v>
      </c>
      <c r="I1704" s="32" t="e">
        <f t="shared" si="57"/>
        <v>#REF!</v>
      </c>
    </row>
    <row r="1705" ht="15.75" spans="6:9">
      <c r="F1705" s="12" t="e">
        <f>'[4]#REF'!F1705</f>
        <v>#REF!</v>
      </c>
      <c r="G1705" s="12" t="e">
        <f>'[4]#REF'!G1705</f>
        <v>#REF!</v>
      </c>
      <c r="H1705" s="31" t="e">
        <f>'[4]#REF'!I1705</f>
        <v>#REF!</v>
      </c>
      <c r="I1705" s="32" t="e">
        <f t="shared" si="57"/>
        <v>#REF!</v>
      </c>
    </row>
    <row r="1706" ht="15.75" spans="6:9">
      <c r="F1706" s="12" t="e">
        <f>'[4]#REF'!F1706</f>
        <v>#REF!</v>
      </c>
      <c r="G1706" s="12" t="e">
        <f>'[4]#REF'!G1706</f>
        <v>#REF!</v>
      </c>
      <c r="H1706" s="31" t="e">
        <f>'[4]#REF'!I1706</f>
        <v>#REF!</v>
      </c>
      <c r="I1706" s="32" t="e">
        <f t="shared" si="57"/>
        <v>#REF!</v>
      </c>
    </row>
    <row r="1707" ht="15.75" spans="6:9">
      <c r="F1707" s="12" t="e">
        <f>'[4]#REF'!F1707</f>
        <v>#REF!</v>
      </c>
      <c r="G1707" s="12" t="e">
        <f>'[4]#REF'!G1707</f>
        <v>#REF!</v>
      </c>
      <c r="H1707" s="31" t="e">
        <f>'[4]#REF'!I1707</f>
        <v>#REF!</v>
      </c>
      <c r="I1707" s="32" t="e">
        <f t="shared" si="57"/>
        <v>#REF!</v>
      </c>
    </row>
    <row r="1708" ht="15.75" spans="6:9">
      <c r="F1708" s="12" t="e">
        <f>'[4]#REF'!F1708</f>
        <v>#REF!</v>
      </c>
      <c r="G1708" s="12" t="e">
        <f>'[4]#REF'!G1708</f>
        <v>#REF!</v>
      </c>
      <c r="H1708" s="31" t="e">
        <f>'[4]#REF'!I1708</f>
        <v>#REF!</v>
      </c>
      <c r="I1708" s="32" t="e">
        <f t="shared" si="57"/>
        <v>#REF!</v>
      </c>
    </row>
    <row r="1709" ht="15.75" spans="6:9">
      <c r="F1709" s="12" t="e">
        <f>'[4]#REF'!F1709</f>
        <v>#REF!</v>
      </c>
      <c r="G1709" s="12" t="e">
        <f>'[4]#REF'!G1709</f>
        <v>#REF!</v>
      </c>
      <c r="H1709" s="31" t="e">
        <f>'[4]#REF'!I1709</f>
        <v>#REF!</v>
      </c>
      <c r="I1709" s="32" t="e">
        <f t="shared" si="57"/>
        <v>#REF!</v>
      </c>
    </row>
    <row r="1710" ht="15.75" spans="6:9">
      <c r="F1710" s="12" t="e">
        <f>'[4]#REF'!F1710</f>
        <v>#REF!</v>
      </c>
      <c r="G1710" s="12" t="e">
        <f>'[4]#REF'!G1710</f>
        <v>#REF!</v>
      </c>
      <c r="H1710" s="31" t="e">
        <f>'[4]#REF'!I1710</f>
        <v>#REF!</v>
      </c>
      <c r="I1710" s="32" t="e">
        <f t="shared" si="57"/>
        <v>#REF!</v>
      </c>
    </row>
    <row r="1711" ht="15.75" spans="6:9">
      <c r="F1711" s="12" t="e">
        <f>'[4]#REF'!F1711</f>
        <v>#REF!</v>
      </c>
      <c r="G1711" s="12" t="e">
        <f>'[4]#REF'!G1711</f>
        <v>#REF!</v>
      </c>
      <c r="H1711" s="31" t="e">
        <f>'[4]#REF'!I1711</f>
        <v>#REF!</v>
      </c>
      <c r="I1711" s="32" t="e">
        <f t="shared" si="57"/>
        <v>#REF!</v>
      </c>
    </row>
    <row r="1712" ht="15.75" spans="6:9">
      <c r="F1712" s="12" t="e">
        <f>'[4]#REF'!F1712</f>
        <v>#REF!</v>
      </c>
      <c r="G1712" s="12" t="e">
        <f>'[4]#REF'!G1712</f>
        <v>#REF!</v>
      </c>
      <c r="H1712" s="31" t="e">
        <f>'[4]#REF'!I1712</f>
        <v>#REF!</v>
      </c>
      <c r="I1712" s="32" t="e">
        <f t="shared" si="57"/>
        <v>#REF!</v>
      </c>
    </row>
    <row r="1713" ht="15.75" spans="6:9">
      <c r="F1713" s="12" t="e">
        <f>'[4]#REF'!F1713</f>
        <v>#REF!</v>
      </c>
      <c r="G1713" s="12" t="e">
        <f>'[4]#REF'!G1713</f>
        <v>#REF!</v>
      </c>
      <c r="H1713" s="31" t="e">
        <f>'[4]#REF'!I1713</f>
        <v>#REF!</v>
      </c>
      <c r="I1713" s="32" t="e">
        <f t="shared" si="57"/>
        <v>#REF!</v>
      </c>
    </row>
    <row r="1714" ht="15.75" spans="6:9">
      <c r="F1714" s="12" t="e">
        <f>'[4]#REF'!F1714</f>
        <v>#REF!</v>
      </c>
      <c r="G1714" s="12" t="e">
        <f>'[4]#REF'!G1714</f>
        <v>#REF!</v>
      </c>
      <c r="H1714" s="31" t="e">
        <f>'[4]#REF'!I1714</f>
        <v>#REF!</v>
      </c>
      <c r="I1714" s="32" t="e">
        <f t="shared" si="57"/>
        <v>#REF!</v>
      </c>
    </row>
    <row r="1715" ht="15.75" spans="6:9">
      <c r="F1715" s="12" t="e">
        <f>'[4]#REF'!F1715</f>
        <v>#REF!</v>
      </c>
      <c r="G1715" s="12" t="e">
        <f>'[4]#REF'!G1715</f>
        <v>#REF!</v>
      </c>
      <c r="H1715" s="31" t="e">
        <f>'[4]#REF'!I1715</f>
        <v>#REF!</v>
      </c>
      <c r="I1715" s="32" t="e">
        <f t="shared" si="57"/>
        <v>#REF!</v>
      </c>
    </row>
    <row r="1716" ht="15.75" spans="6:9">
      <c r="F1716" s="12" t="e">
        <f>'[4]#REF'!F1716</f>
        <v>#REF!</v>
      </c>
      <c r="G1716" s="12" t="e">
        <f>'[4]#REF'!G1716</f>
        <v>#REF!</v>
      </c>
      <c r="H1716" s="31" t="e">
        <f>'[4]#REF'!I1716</f>
        <v>#REF!</v>
      </c>
      <c r="I1716" s="32" t="e">
        <f t="shared" si="57"/>
        <v>#REF!</v>
      </c>
    </row>
    <row r="1717" ht="15.75" spans="6:9">
      <c r="F1717" s="12" t="e">
        <f>'[4]#REF'!F1717</f>
        <v>#REF!</v>
      </c>
      <c r="G1717" s="12" t="e">
        <f>'[4]#REF'!G1717</f>
        <v>#REF!</v>
      </c>
      <c r="H1717" s="31" t="e">
        <f>'[4]#REF'!I1717</f>
        <v>#REF!</v>
      </c>
      <c r="I1717" s="32" t="e">
        <f t="shared" si="57"/>
        <v>#REF!</v>
      </c>
    </row>
    <row r="1718" ht="15.75" spans="6:9">
      <c r="F1718" s="12" t="e">
        <f>'[4]#REF'!F1718</f>
        <v>#REF!</v>
      </c>
      <c r="G1718" s="12" t="e">
        <f>'[4]#REF'!G1718</f>
        <v>#REF!</v>
      </c>
      <c r="H1718" s="31" t="e">
        <f>'[4]#REF'!I1718</f>
        <v>#REF!</v>
      </c>
      <c r="I1718" s="32" t="e">
        <f t="shared" si="57"/>
        <v>#REF!</v>
      </c>
    </row>
    <row r="1719" ht="15.75" spans="6:9">
      <c r="F1719" s="12" t="e">
        <f>'[4]#REF'!F1719</f>
        <v>#REF!</v>
      </c>
      <c r="G1719" s="12" t="e">
        <f>'[4]#REF'!G1719</f>
        <v>#REF!</v>
      </c>
      <c r="H1719" s="31" t="e">
        <f>'[4]#REF'!I1719</f>
        <v>#REF!</v>
      </c>
      <c r="I1719" s="32" t="e">
        <f t="shared" si="57"/>
        <v>#REF!</v>
      </c>
    </row>
    <row r="1720" ht="15.75" spans="6:9">
      <c r="F1720" s="12" t="e">
        <f>'[4]#REF'!F1720</f>
        <v>#REF!</v>
      </c>
      <c r="G1720" s="12" t="e">
        <f>'[4]#REF'!G1720</f>
        <v>#REF!</v>
      </c>
      <c r="H1720" s="31" t="e">
        <f>'[4]#REF'!I1720</f>
        <v>#REF!</v>
      </c>
      <c r="I1720" s="32" t="e">
        <f t="shared" si="57"/>
        <v>#REF!</v>
      </c>
    </row>
    <row r="1721" ht="15.75" spans="6:9">
      <c r="F1721" s="12" t="e">
        <f>'[4]#REF'!F1721</f>
        <v>#REF!</v>
      </c>
      <c r="G1721" s="12" t="e">
        <f>'[4]#REF'!G1721</f>
        <v>#REF!</v>
      </c>
      <c r="H1721" s="31" t="e">
        <f>'[4]#REF'!I1721</f>
        <v>#REF!</v>
      </c>
      <c r="I1721" s="32" t="e">
        <f t="shared" si="57"/>
        <v>#REF!</v>
      </c>
    </row>
    <row r="1722" ht="15.75" spans="6:9">
      <c r="F1722" s="12" t="e">
        <f>'[4]#REF'!F1722</f>
        <v>#REF!</v>
      </c>
      <c r="G1722" s="12" t="e">
        <f>'[4]#REF'!G1722</f>
        <v>#REF!</v>
      </c>
      <c r="H1722" s="31" t="e">
        <f>'[4]#REF'!I1722</f>
        <v>#REF!</v>
      </c>
      <c r="I1722" s="32" t="e">
        <f t="shared" si="57"/>
        <v>#REF!</v>
      </c>
    </row>
    <row r="1723" ht="15.75" spans="6:9">
      <c r="F1723" s="12" t="e">
        <f>'[4]#REF'!F1723</f>
        <v>#REF!</v>
      </c>
      <c r="G1723" s="12" t="e">
        <f>'[4]#REF'!G1723</f>
        <v>#REF!</v>
      </c>
      <c r="H1723" s="31" t="e">
        <f>'[4]#REF'!I1723</f>
        <v>#REF!</v>
      </c>
      <c r="I1723" s="32" t="e">
        <f t="shared" si="57"/>
        <v>#REF!</v>
      </c>
    </row>
    <row r="1724" ht="15.75" spans="6:9">
      <c r="F1724" s="12" t="e">
        <f>'[4]#REF'!F1724</f>
        <v>#REF!</v>
      </c>
      <c r="G1724" s="12" t="e">
        <f>'[4]#REF'!G1724</f>
        <v>#REF!</v>
      </c>
      <c r="H1724" s="31" t="e">
        <f>'[4]#REF'!I1724</f>
        <v>#REF!</v>
      </c>
      <c r="I1724" s="32" t="e">
        <f t="shared" si="57"/>
        <v>#REF!</v>
      </c>
    </row>
    <row r="1725" ht="15.75" spans="6:9">
      <c r="F1725" s="12" t="e">
        <f>'[4]#REF'!F1725</f>
        <v>#REF!</v>
      </c>
      <c r="G1725" s="12" t="e">
        <f>'[4]#REF'!G1725</f>
        <v>#REF!</v>
      </c>
      <c r="H1725" s="31" t="e">
        <f>'[4]#REF'!I1725</f>
        <v>#REF!</v>
      </c>
      <c r="I1725" s="32" t="e">
        <f t="shared" si="57"/>
        <v>#REF!</v>
      </c>
    </row>
    <row r="1726" ht="15.75" spans="6:9">
      <c r="F1726" s="12" t="e">
        <f>'[4]#REF'!F1726</f>
        <v>#REF!</v>
      </c>
      <c r="G1726" s="12" t="e">
        <f>'[4]#REF'!G1726</f>
        <v>#REF!</v>
      </c>
      <c r="H1726" s="31" t="e">
        <f>'[4]#REF'!I1726</f>
        <v>#REF!</v>
      </c>
      <c r="I1726" s="32" t="e">
        <f t="shared" si="57"/>
        <v>#REF!</v>
      </c>
    </row>
    <row r="1727" ht="15.75" spans="6:9">
      <c r="F1727" s="12" t="e">
        <f>'[4]#REF'!F1727</f>
        <v>#REF!</v>
      </c>
      <c r="G1727" s="12" t="e">
        <f>'[4]#REF'!G1727</f>
        <v>#REF!</v>
      </c>
      <c r="H1727" s="31" t="e">
        <f>'[4]#REF'!I1727</f>
        <v>#REF!</v>
      </c>
      <c r="I1727" s="32" t="e">
        <f t="shared" si="57"/>
        <v>#REF!</v>
      </c>
    </row>
    <row r="1728" ht="15.75" spans="6:9">
      <c r="F1728" s="12" t="e">
        <f>'[4]#REF'!F1728</f>
        <v>#REF!</v>
      </c>
      <c r="G1728" s="12" t="e">
        <f>'[4]#REF'!G1728</f>
        <v>#REF!</v>
      </c>
      <c r="H1728" s="31" t="e">
        <f>'[4]#REF'!I1728</f>
        <v>#REF!</v>
      </c>
      <c r="I1728" s="32" t="e">
        <f t="shared" si="57"/>
        <v>#REF!</v>
      </c>
    </row>
    <row r="1729" ht="15.75" spans="6:9">
      <c r="F1729" s="12" t="e">
        <f>'[4]#REF'!F1729</f>
        <v>#REF!</v>
      </c>
      <c r="G1729" s="12" t="e">
        <f>'[4]#REF'!G1729</f>
        <v>#REF!</v>
      </c>
      <c r="H1729" s="31" t="e">
        <f>'[4]#REF'!I1729</f>
        <v>#REF!</v>
      </c>
      <c r="I1729" s="32" t="e">
        <f t="shared" si="57"/>
        <v>#REF!</v>
      </c>
    </row>
    <row r="1730" ht="15.75" spans="6:9">
      <c r="F1730" s="12" t="e">
        <f>'[4]#REF'!F1730</f>
        <v>#REF!</v>
      </c>
      <c r="G1730" s="12" t="e">
        <f>'[4]#REF'!G1730</f>
        <v>#REF!</v>
      </c>
      <c r="H1730" s="31" t="e">
        <f>'[4]#REF'!I1730</f>
        <v>#REF!</v>
      </c>
      <c r="I1730" s="32" t="e">
        <f t="shared" si="57"/>
        <v>#REF!</v>
      </c>
    </row>
    <row r="1731" ht="15.75" spans="6:9">
      <c r="F1731" s="12" t="e">
        <f>'[4]#REF'!F1731</f>
        <v>#REF!</v>
      </c>
      <c r="G1731" s="12" t="e">
        <f>'[4]#REF'!G1731</f>
        <v>#REF!</v>
      </c>
      <c r="H1731" s="31" t="e">
        <f>'[4]#REF'!I1731</f>
        <v>#REF!</v>
      </c>
      <c r="I1731" s="32" t="e">
        <f t="shared" si="57"/>
        <v>#REF!</v>
      </c>
    </row>
    <row r="1732" ht="15.75" spans="6:9">
      <c r="F1732" s="12" t="e">
        <f>'[4]#REF'!F1732</f>
        <v>#REF!</v>
      </c>
      <c r="G1732" s="12" t="e">
        <f>'[4]#REF'!G1732</f>
        <v>#REF!</v>
      </c>
      <c r="H1732" s="31" t="e">
        <f>'[4]#REF'!I1732</f>
        <v>#REF!</v>
      </c>
      <c r="I1732" s="32" t="e">
        <f t="shared" si="57"/>
        <v>#REF!</v>
      </c>
    </row>
    <row r="1733" ht="15.75" spans="6:9">
      <c r="F1733" s="12" t="e">
        <f>'[4]#REF'!F1733</f>
        <v>#REF!</v>
      </c>
      <c r="G1733" s="12" t="e">
        <f>'[4]#REF'!G1733</f>
        <v>#REF!</v>
      </c>
      <c r="H1733" s="31" t="e">
        <f>'[4]#REF'!I1733</f>
        <v>#REF!</v>
      </c>
      <c r="I1733" s="32" t="e">
        <f t="shared" si="57"/>
        <v>#REF!</v>
      </c>
    </row>
    <row r="1734" ht="15.75" spans="6:9">
      <c r="F1734" s="12" t="e">
        <f>'[4]#REF'!F1734</f>
        <v>#REF!</v>
      </c>
      <c r="G1734" s="12" t="e">
        <f>'[4]#REF'!G1734</f>
        <v>#REF!</v>
      </c>
      <c r="H1734" s="31" t="e">
        <f>'[4]#REF'!I1734</f>
        <v>#REF!</v>
      </c>
      <c r="I1734" s="32" t="e">
        <f t="shared" ref="I1734:I1797" si="58">ROUND(H1734/$I$4*100,2)</f>
        <v>#REF!</v>
      </c>
    </row>
    <row r="1735" ht="15.75" spans="6:9">
      <c r="F1735" s="12" t="e">
        <f>'[4]#REF'!F1735</f>
        <v>#REF!</v>
      </c>
      <c r="G1735" s="12" t="e">
        <f>'[4]#REF'!G1735</f>
        <v>#REF!</v>
      </c>
      <c r="H1735" s="31" t="e">
        <f>'[4]#REF'!I1735</f>
        <v>#REF!</v>
      </c>
      <c r="I1735" s="32" t="e">
        <f t="shared" si="58"/>
        <v>#REF!</v>
      </c>
    </row>
    <row r="1736" ht="15.75" spans="6:9">
      <c r="F1736" s="12" t="e">
        <f>'[4]#REF'!F1736</f>
        <v>#REF!</v>
      </c>
      <c r="G1736" s="12" t="e">
        <f>'[4]#REF'!G1736</f>
        <v>#REF!</v>
      </c>
      <c r="H1736" s="31" t="e">
        <f>'[4]#REF'!I1736</f>
        <v>#REF!</v>
      </c>
      <c r="I1736" s="32" t="e">
        <f t="shared" si="58"/>
        <v>#REF!</v>
      </c>
    </row>
    <row r="1737" ht="15.75" spans="6:9">
      <c r="F1737" s="12" t="e">
        <f>'[4]#REF'!F1737</f>
        <v>#REF!</v>
      </c>
      <c r="G1737" s="12" t="e">
        <f>'[4]#REF'!G1737</f>
        <v>#REF!</v>
      </c>
      <c r="H1737" s="31" t="e">
        <f>'[4]#REF'!I1737</f>
        <v>#REF!</v>
      </c>
      <c r="I1737" s="32" t="e">
        <f t="shared" si="58"/>
        <v>#REF!</v>
      </c>
    </row>
    <row r="1738" ht="15.75" spans="6:9">
      <c r="F1738" s="12" t="e">
        <f>'[4]#REF'!F1738</f>
        <v>#REF!</v>
      </c>
      <c r="G1738" s="12" t="e">
        <f>'[4]#REF'!G1738</f>
        <v>#REF!</v>
      </c>
      <c r="H1738" s="31" t="e">
        <f>'[4]#REF'!I1738</f>
        <v>#REF!</v>
      </c>
      <c r="I1738" s="32" t="e">
        <f t="shared" si="58"/>
        <v>#REF!</v>
      </c>
    </row>
    <row r="1739" ht="15.75" spans="6:9">
      <c r="F1739" s="12" t="e">
        <f>'[4]#REF'!F1739</f>
        <v>#REF!</v>
      </c>
      <c r="G1739" s="12" t="e">
        <f>'[4]#REF'!G1739</f>
        <v>#REF!</v>
      </c>
      <c r="H1739" s="31" t="e">
        <f>'[4]#REF'!I1739</f>
        <v>#REF!</v>
      </c>
      <c r="I1739" s="32" t="e">
        <f t="shared" si="58"/>
        <v>#REF!</v>
      </c>
    </row>
    <row r="1740" ht="15.75" spans="6:9">
      <c r="F1740" s="12" t="e">
        <f>'[4]#REF'!F1740</f>
        <v>#REF!</v>
      </c>
      <c r="G1740" s="12" t="e">
        <f>'[4]#REF'!G1740</f>
        <v>#REF!</v>
      </c>
      <c r="H1740" s="31" t="e">
        <f>'[4]#REF'!I1740</f>
        <v>#REF!</v>
      </c>
      <c r="I1740" s="32" t="e">
        <f t="shared" si="58"/>
        <v>#REF!</v>
      </c>
    </row>
    <row r="1741" ht="15.75" spans="6:9">
      <c r="F1741" s="12" t="e">
        <f>'[4]#REF'!F1741</f>
        <v>#REF!</v>
      </c>
      <c r="G1741" s="12" t="e">
        <f>'[4]#REF'!G1741</f>
        <v>#REF!</v>
      </c>
      <c r="H1741" s="31" t="e">
        <f>'[4]#REF'!I1741</f>
        <v>#REF!</v>
      </c>
      <c r="I1741" s="32" t="e">
        <f t="shared" si="58"/>
        <v>#REF!</v>
      </c>
    </row>
    <row r="1742" ht="15.75" spans="6:9">
      <c r="F1742" s="12" t="e">
        <f>'[4]#REF'!F1742</f>
        <v>#REF!</v>
      </c>
      <c r="G1742" s="12" t="e">
        <f>'[4]#REF'!G1742</f>
        <v>#REF!</v>
      </c>
      <c r="H1742" s="31" t="e">
        <f>'[4]#REF'!I1742</f>
        <v>#REF!</v>
      </c>
      <c r="I1742" s="32" t="e">
        <f t="shared" si="58"/>
        <v>#REF!</v>
      </c>
    </row>
    <row r="1743" ht="15.75" spans="6:9">
      <c r="F1743" s="12" t="e">
        <f>'[4]#REF'!F1743</f>
        <v>#REF!</v>
      </c>
      <c r="G1743" s="12" t="e">
        <f>'[4]#REF'!G1743</f>
        <v>#REF!</v>
      </c>
      <c r="H1743" s="31" t="e">
        <f>'[4]#REF'!I1743</f>
        <v>#REF!</v>
      </c>
      <c r="I1743" s="32" t="e">
        <f t="shared" si="58"/>
        <v>#REF!</v>
      </c>
    </row>
    <row r="1744" ht="15.75" spans="6:9">
      <c r="F1744" s="12" t="e">
        <f>'[4]#REF'!F1744</f>
        <v>#REF!</v>
      </c>
      <c r="G1744" s="12" t="e">
        <f>'[4]#REF'!G1744</f>
        <v>#REF!</v>
      </c>
      <c r="H1744" s="31" t="e">
        <f>'[4]#REF'!I1744</f>
        <v>#REF!</v>
      </c>
      <c r="I1744" s="32" t="e">
        <f t="shared" si="58"/>
        <v>#REF!</v>
      </c>
    </row>
    <row r="1745" ht="15.75" spans="6:9">
      <c r="F1745" s="12" t="e">
        <f>'[4]#REF'!F1745</f>
        <v>#REF!</v>
      </c>
      <c r="G1745" s="12" t="e">
        <f>'[4]#REF'!G1745</f>
        <v>#REF!</v>
      </c>
      <c r="H1745" s="31" t="e">
        <f>'[4]#REF'!I1745</f>
        <v>#REF!</v>
      </c>
      <c r="I1745" s="32" t="e">
        <f t="shared" si="58"/>
        <v>#REF!</v>
      </c>
    </row>
    <row r="1746" ht="15.75" spans="6:9">
      <c r="F1746" s="12" t="e">
        <f>'[4]#REF'!F1746</f>
        <v>#REF!</v>
      </c>
      <c r="G1746" s="12" t="e">
        <f>'[4]#REF'!G1746</f>
        <v>#REF!</v>
      </c>
      <c r="H1746" s="31" t="e">
        <f>'[4]#REF'!I1746</f>
        <v>#REF!</v>
      </c>
      <c r="I1746" s="32" t="e">
        <f t="shared" si="58"/>
        <v>#REF!</v>
      </c>
    </row>
    <row r="1747" ht="15.75" spans="6:9">
      <c r="F1747" s="12" t="e">
        <f>'[4]#REF'!F1747</f>
        <v>#REF!</v>
      </c>
      <c r="G1747" s="12" t="e">
        <f>'[4]#REF'!G1747</f>
        <v>#REF!</v>
      </c>
      <c r="H1747" s="31" t="e">
        <f>'[4]#REF'!I1747</f>
        <v>#REF!</v>
      </c>
      <c r="I1747" s="32" t="e">
        <f t="shared" si="58"/>
        <v>#REF!</v>
      </c>
    </row>
    <row r="1748" ht="15.75" spans="6:9">
      <c r="F1748" s="12" t="e">
        <f>'[4]#REF'!F1748</f>
        <v>#REF!</v>
      </c>
      <c r="G1748" s="12" t="e">
        <f>'[4]#REF'!G1748</f>
        <v>#REF!</v>
      </c>
      <c r="H1748" s="31" t="e">
        <f>'[4]#REF'!I1748</f>
        <v>#REF!</v>
      </c>
      <c r="I1748" s="32" t="e">
        <f t="shared" si="58"/>
        <v>#REF!</v>
      </c>
    </row>
    <row r="1749" ht="15.75" spans="6:9">
      <c r="F1749" s="12" t="e">
        <f>'[4]#REF'!F1749</f>
        <v>#REF!</v>
      </c>
      <c r="G1749" s="12" t="e">
        <f>'[4]#REF'!G1749</f>
        <v>#REF!</v>
      </c>
      <c r="H1749" s="31" t="e">
        <f>'[4]#REF'!I1749</f>
        <v>#REF!</v>
      </c>
      <c r="I1749" s="32" t="e">
        <f t="shared" si="58"/>
        <v>#REF!</v>
      </c>
    </row>
    <row r="1750" ht="15.75" spans="6:9">
      <c r="F1750" s="12" t="e">
        <f>'[4]#REF'!F1750</f>
        <v>#REF!</v>
      </c>
      <c r="G1750" s="12" t="e">
        <f>'[4]#REF'!G1750</f>
        <v>#REF!</v>
      </c>
      <c r="H1750" s="31" t="e">
        <f>'[4]#REF'!I1750</f>
        <v>#REF!</v>
      </c>
      <c r="I1750" s="32" t="e">
        <f t="shared" si="58"/>
        <v>#REF!</v>
      </c>
    </row>
    <row r="1751" ht="15.75" spans="6:9">
      <c r="F1751" s="12" t="e">
        <f>'[4]#REF'!F1751</f>
        <v>#REF!</v>
      </c>
      <c r="G1751" s="12" t="e">
        <f>'[4]#REF'!G1751</f>
        <v>#REF!</v>
      </c>
      <c r="H1751" s="31" t="e">
        <f>'[4]#REF'!I1751</f>
        <v>#REF!</v>
      </c>
      <c r="I1751" s="32" t="e">
        <f t="shared" si="58"/>
        <v>#REF!</v>
      </c>
    </row>
    <row r="1752" ht="15.75" spans="6:9">
      <c r="F1752" s="12" t="e">
        <f>'[4]#REF'!F1752</f>
        <v>#REF!</v>
      </c>
      <c r="G1752" s="12" t="e">
        <f>'[4]#REF'!G1752</f>
        <v>#REF!</v>
      </c>
      <c r="H1752" s="31" t="e">
        <f>'[4]#REF'!I1752</f>
        <v>#REF!</v>
      </c>
      <c r="I1752" s="32" t="e">
        <f t="shared" si="58"/>
        <v>#REF!</v>
      </c>
    </row>
    <row r="1753" ht="15.75" spans="6:9">
      <c r="F1753" s="12" t="e">
        <f>'[4]#REF'!F1753</f>
        <v>#REF!</v>
      </c>
      <c r="G1753" s="12" t="e">
        <f>'[4]#REF'!G1753</f>
        <v>#REF!</v>
      </c>
      <c r="H1753" s="31" t="e">
        <f>'[4]#REF'!I1753</f>
        <v>#REF!</v>
      </c>
      <c r="I1753" s="32" t="e">
        <f t="shared" si="58"/>
        <v>#REF!</v>
      </c>
    </row>
    <row r="1754" ht="15.75" spans="6:9">
      <c r="F1754" s="12" t="e">
        <f>'[4]#REF'!F1754</f>
        <v>#REF!</v>
      </c>
      <c r="G1754" s="12" t="e">
        <f>'[4]#REF'!G1754</f>
        <v>#REF!</v>
      </c>
      <c r="H1754" s="31" t="e">
        <f>'[4]#REF'!I1754</f>
        <v>#REF!</v>
      </c>
      <c r="I1754" s="32" t="e">
        <f t="shared" si="58"/>
        <v>#REF!</v>
      </c>
    </row>
    <row r="1755" ht="15.75" spans="6:9">
      <c r="F1755" s="12" t="e">
        <f>'[4]#REF'!F1755</f>
        <v>#REF!</v>
      </c>
      <c r="G1755" s="12" t="e">
        <f>'[4]#REF'!G1755</f>
        <v>#REF!</v>
      </c>
      <c r="H1755" s="31" t="e">
        <f>'[4]#REF'!I1755</f>
        <v>#REF!</v>
      </c>
      <c r="I1755" s="32" t="e">
        <f t="shared" si="58"/>
        <v>#REF!</v>
      </c>
    </row>
    <row r="1756" ht="15.75" spans="6:9">
      <c r="F1756" s="12" t="e">
        <f>'[4]#REF'!F1756</f>
        <v>#REF!</v>
      </c>
      <c r="G1756" s="12" t="e">
        <f>'[4]#REF'!G1756</f>
        <v>#REF!</v>
      </c>
      <c r="H1756" s="31" t="e">
        <f>'[4]#REF'!I1756</f>
        <v>#REF!</v>
      </c>
      <c r="I1756" s="32" t="e">
        <f t="shared" si="58"/>
        <v>#REF!</v>
      </c>
    </row>
    <row r="1757" ht="15.75" spans="6:9">
      <c r="F1757" s="12" t="e">
        <f>'[4]#REF'!F1757</f>
        <v>#REF!</v>
      </c>
      <c r="G1757" s="12" t="e">
        <f>'[4]#REF'!G1757</f>
        <v>#REF!</v>
      </c>
      <c r="H1757" s="31" t="e">
        <f>'[4]#REF'!I1757</f>
        <v>#REF!</v>
      </c>
      <c r="I1757" s="32" t="e">
        <f t="shared" si="58"/>
        <v>#REF!</v>
      </c>
    </row>
    <row r="1758" ht="15.75" spans="6:9">
      <c r="F1758" s="12" t="e">
        <f>'[4]#REF'!F1758</f>
        <v>#REF!</v>
      </c>
      <c r="G1758" s="12" t="e">
        <f>'[4]#REF'!G1758</f>
        <v>#REF!</v>
      </c>
      <c r="H1758" s="31" t="e">
        <f>'[4]#REF'!I1758</f>
        <v>#REF!</v>
      </c>
      <c r="I1758" s="32" t="e">
        <f t="shared" si="58"/>
        <v>#REF!</v>
      </c>
    </row>
    <row r="1759" ht="15.75" spans="6:9">
      <c r="F1759" s="12" t="e">
        <f>'[4]#REF'!F1759</f>
        <v>#REF!</v>
      </c>
      <c r="G1759" s="12" t="e">
        <f>'[4]#REF'!G1759</f>
        <v>#REF!</v>
      </c>
      <c r="H1759" s="31" t="e">
        <f>'[4]#REF'!I1759</f>
        <v>#REF!</v>
      </c>
      <c r="I1759" s="32" t="e">
        <f t="shared" si="58"/>
        <v>#REF!</v>
      </c>
    </row>
    <row r="1760" ht="15.75" spans="6:9">
      <c r="F1760" s="12" t="e">
        <f>'[4]#REF'!F1760</f>
        <v>#REF!</v>
      </c>
      <c r="G1760" s="12" t="e">
        <f>'[4]#REF'!G1760</f>
        <v>#REF!</v>
      </c>
      <c r="H1760" s="31" t="e">
        <f>'[4]#REF'!I1760</f>
        <v>#REF!</v>
      </c>
      <c r="I1760" s="32" t="e">
        <f t="shared" si="58"/>
        <v>#REF!</v>
      </c>
    </row>
    <row r="1761" ht="15.75" spans="6:9">
      <c r="F1761" s="12" t="e">
        <f>'[4]#REF'!F1761</f>
        <v>#REF!</v>
      </c>
      <c r="G1761" s="12" t="e">
        <f>'[4]#REF'!G1761</f>
        <v>#REF!</v>
      </c>
      <c r="H1761" s="31" t="e">
        <f>'[4]#REF'!I1761</f>
        <v>#REF!</v>
      </c>
      <c r="I1761" s="32" t="e">
        <f t="shared" si="58"/>
        <v>#REF!</v>
      </c>
    </row>
    <row r="1762" ht="15.75" spans="6:9">
      <c r="F1762" s="12" t="e">
        <f>'[4]#REF'!F1762</f>
        <v>#REF!</v>
      </c>
      <c r="G1762" s="12" t="e">
        <f>'[4]#REF'!G1762</f>
        <v>#REF!</v>
      </c>
      <c r="H1762" s="31" t="e">
        <f>'[4]#REF'!I1762</f>
        <v>#REF!</v>
      </c>
      <c r="I1762" s="32" t="e">
        <f t="shared" si="58"/>
        <v>#REF!</v>
      </c>
    </row>
    <row r="1763" ht="15.75" spans="6:9">
      <c r="F1763" s="12" t="e">
        <f>'[4]#REF'!F1763</f>
        <v>#REF!</v>
      </c>
      <c r="G1763" s="12" t="e">
        <f>'[4]#REF'!G1763</f>
        <v>#REF!</v>
      </c>
      <c r="H1763" s="31" t="e">
        <f>'[4]#REF'!I1763</f>
        <v>#REF!</v>
      </c>
      <c r="I1763" s="32" t="e">
        <f t="shared" si="58"/>
        <v>#REF!</v>
      </c>
    </row>
    <row r="1764" ht="15.75" spans="6:9">
      <c r="F1764" s="12" t="e">
        <f>'[4]#REF'!F1764</f>
        <v>#REF!</v>
      </c>
      <c r="G1764" s="12" t="e">
        <f>'[4]#REF'!G1764</f>
        <v>#REF!</v>
      </c>
      <c r="H1764" s="31" t="e">
        <f>'[4]#REF'!I1764</f>
        <v>#REF!</v>
      </c>
      <c r="I1764" s="32" t="e">
        <f t="shared" si="58"/>
        <v>#REF!</v>
      </c>
    </row>
    <row r="1765" ht="15.75" spans="6:9">
      <c r="F1765" s="12" t="e">
        <f>'[4]#REF'!F1765</f>
        <v>#REF!</v>
      </c>
      <c r="G1765" s="12" t="e">
        <f>'[4]#REF'!G1765</f>
        <v>#REF!</v>
      </c>
      <c r="H1765" s="31" t="e">
        <f>'[4]#REF'!I1765</f>
        <v>#REF!</v>
      </c>
      <c r="I1765" s="32" t="e">
        <f t="shared" si="58"/>
        <v>#REF!</v>
      </c>
    </row>
    <row r="1766" ht="15.75" spans="6:9">
      <c r="F1766" s="12" t="e">
        <f>'[4]#REF'!F1766</f>
        <v>#REF!</v>
      </c>
      <c r="G1766" s="12" t="e">
        <f>'[4]#REF'!G1766</f>
        <v>#REF!</v>
      </c>
      <c r="H1766" s="31" t="e">
        <f>'[4]#REF'!I1766</f>
        <v>#REF!</v>
      </c>
      <c r="I1766" s="32" t="e">
        <f t="shared" si="58"/>
        <v>#REF!</v>
      </c>
    </row>
    <row r="1767" ht="15.75" spans="6:9">
      <c r="F1767" s="12" t="e">
        <f>'[4]#REF'!F1767</f>
        <v>#REF!</v>
      </c>
      <c r="G1767" s="12" t="e">
        <f>'[4]#REF'!G1767</f>
        <v>#REF!</v>
      </c>
      <c r="H1767" s="31" t="e">
        <f>'[4]#REF'!I1767</f>
        <v>#REF!</v>
      </c>
      <c r="I1767" s="32" t="e">
        <f t="shared" si="58"/>
        <v>#REF!</v>
      </c>
    </row>
    <row r="1768" ht="15.75" spans="6:9">
      <c r="F1768" s="12" t="e">
        <f>'[4]#REF'!F1768</f>
        <v>#REF!</v>
      </c>
      <c r="G1768" s="12" t="e">
        <f>'[4]#REF'!G1768</f>
        <v>#REF!</v>
      </c>
      <c r="H1768" s="31" t="e">
        <f>'[4]#REF'!I1768</f>
        <v>#REF!</v>
      </c>
      <c r="I1768" s="32" t="e">
        <f t="shared" si="58"/>
        <v>#REF!</v>
      </c>
    </row>
    <row r="1769" ht="15.75" spans="6:9">
      <c r="F1769" s="12" t="e">
        <f>'[4]#REF'!F1769</f>
        <v>#REF!</v>
      </c>
      <c r="G1769" s="12" t="e">
        <f>'[4]#REF'!G1769</f>
        <v>#REF!</v>
      </c>
      <c r="H1769" s="31" t="e">
        <f>'[4]#REF'!I1769</f>
        <v>#REF!</v>
      </c>
      <c r="I1769" s="32" t="e">
        <f t="shared" si="58"/>
        <v>#REF!</v>
      </c>
    </row>
    <row r="1770" ht="15.75" spans="6:9">
      <c r="F1770" s="12" t="e">
        <f>'[4]#REF'!F1770</f>
        <v>#REF!</v>
      </c>
      <c r="G1770" s="12" t="e">
        <f>'[4]#REF'!G1770</f>
        <v>#REF!</v>
      </c>
      <c r="H1770" s="31" t="e">
        <f>'[4]#REF'!I1770</f>
        <v>#REF!</v>
      </c>
      <c r="I1770" s="32" t="e">
        <f t="shared" si="58"/>
        <v>#REF!</v>
      </c>
    </row>
    <row r="1771" ht="15.75" spans="6:9">
      <c r="F1771" s="12" t="e">
        <f>'[4]#REF'!F1771</f>
        <v>#REF!</v>
      </c>
      <c r="G1771" s="12" t="e">
        <f>'[4]#REF'!G1771</f>
        <v>#REF!</v>
      </c>
      <c r="H1771" s="31" t="e">
        <f>'[4]#REF'!I1771</f>
        <v>#REF!</v>
      </c>
      <c r="I1771" s="32" t="e">
        <f t="shared" si="58"/>
        <v>#REF!</v>
      </c>
    </row>
    <row r="1772" ht="15.75" spans="6:9">
      <c r="F1772" s="12" t="e">
        <f>'[4]#REF'!F1772</f>
        <v>#REF!</v>
      </c>
      <c r="G1772" s="12" t="e">
        <f>'[4]#REF'!G1772</f>
        <v>#REF!</v>
      </c>
      <c r="H1772" s="31" t="e">
        <f>'[4]#REF'!I1772</f>
        <v>#REF!</v>
      </c>
      <c r="I1772" s="32" t="e">
        <f t="shared" si="58"/>
        <v>#REF!</v>
      </c>
    </row>
    <row r="1773" ht="15.75" spans="6:9">
      <c r="F1773" s="12" t="e">
        <f>'[4]#REF'!F1773</f>
        <v>#REF!</v>
      </c>
      <c r="G1773" s="12" t="e">
        <f>'[4]#REF'!G1773</f>
        <v>#REF!</v>
      </c>
      <c r="H1773" s="31" t="e">
        <f>'[4]#REF'!I1773</f>
        <v>#REF!</v>
      </c>
      <c r="I1773" s="32" t="e">
        <f t="shared" si="58"/>
        <v>#REF!</v>
      </c>
    </row>
    <row r="1774" ht="15.75" spans="6:9">
      <c r="F1774" s="12" t="e">
        <f>'[4]#REF'!F1774</f>
        <v>#REF!</v>
      </c>
      <c r="G1774" s="12" t="e">
        <f>'[4]#REF'!G1774</f>
        <v>#REF!</v>
      </c>
      <c r="H1774" s="31" t="e">
        <f>'[4]#REF'!I1774</f>
        <v>#REF!</v>
      </c>
      <c r="I1774" s="32" t="e">
        <f t="shared" si="58"/>
        <v>#REF!</v>
      </c>
    </row>
    <row r="1775" ht="15.75" spans="6:9">
      <c r="F1775" s="12" t="e">
        <f>'[4]#REF'!F1775</f>
        <v>#REF!</v>
      </c>
      <c r="G1775" s="12" t="e">
        <f>'[4]#REF'!G1775</f>
        <v>#REF!</v>
      </c>
      <c r="H1775" s="31" t="e">
        <f>'[4]#REF'!I1775</f>
        <v>#REF!</v>
      </c>
      <c r="I1775" s="32" t="e">
        <f t="shared" si="58"/>
        <v>#REF!</v>
      </c>
    </row>
    <row r="1776" ht="15.75" spans="6:9">
      <c r="F1776" s="12" t="e">
        <f>'[4]#REF'!F1776</f>
        <v>#REF!</v>
      </c>
      <c r="G1776" s="12" t="e">
        <f>'[4]#REF'!G1776</f>
        <v>#REF!</v>
      </c>
      <c r="H1776" s="31" t="e">
        <f>'[4]#REF'!I1776</f>
        <v>#REF!</v>
      </c>
      <c r="I1776" s="32" t="e">
        <f t="shared" si="58"/>
        <v>#REF!</v>
      </c>
    </row>
    <row r="1777" ht="15.75" spans="6:9">
      <c r="F1777" s="12" t="e">
        <f>'[4]#REF'!F1777</f>
        <v>#REF!</v>
      </c>
      <c r="G1777" s="12" t="e">
        <f>'[4]#REF'!G1777</f>
        <v>#REF!</v>
      </c>
      <c r="H1777" s="31" t="e">
        <f>'[4]#REF'!I1777</f>
        <v>#REF!</v>
      </c>
      <c r="I1777" s="32" t="e">
        <f t="shared" si="58"/>
        <v>#REF!</v>
      </c>
    </row>
    <row r="1778" ht="15.75" spans="6:9">
      <c r="F1778" s="12" t="e">
        <f>'[4]#REF'!F1778</f>
        <v>#REF!</v>
      </c>
      <c r="G1778" s="12" t="e">
        <f>'[4]#REF'!G1778</f>
        <v>#REF!</v>
      </c>
      <c r="H1778" s="31" t="e">
        <f>'[4]#REF'!I1778</f>
        <v>#REF!</v>
      </c>
      <c r="I1778" s="32" t="e">
        <f t="shared" si="58"/>
        <v>#REF!</v>
      </c>
    </row>
    <row r="1779" ht="15.75" spans="6:9">
      <c r="F1779" s="12" t="e">
        <f>'[4]#REF'!F1779</f>
        <v>#REF!</v>
      </c>
      <c r="G1779" s="12" t="e">
        <f>'[4]#REF'!G1779</f>
        <v>#REF!</v>
      </c>
      <c r="H1779" s="31" t="e">
        <f>'[4]#REF'!I1779</f>
        <v>#REF!</v>
      </c>
      <c r="I1779" s="32" t="e">
        <f t="shared" si="58"/>
        <v>#REF!</v>
      </c>
    </row>
    <row r="1780" ht="15.75" spans="6:9">
      <c r="F1780" s="12" t="e">
        <f>'[4]#REF'!F1780</f>
        <v>#REF!</v>
      </c>
      <c r="G1780" s="12" t="e">
        <f>'[4]#REF'!G1780</f>
        <v>#REF!</v>
      </c>
      <c r="H1780" s="31" t="e">
        <f>'[4]#REF'!I1780</f>
        <v>#REF!</v>
      </c>
      <c r="I1780" s="32" t="e">
        <f t="shared" si="58"/>
        <v>#REF!</v>
      </c>
    </row>
    <row r="1781" ht="15.75" spans="6:9">
      <c r="F1781" s="12" t="e">
        <f>'[4]#REF'!F1781</f>
        <v>#REF!</v>
      </c>
      <c r="G1781" s="12" t="e">
        <f>'[4]#REF'!G1781</f>
        <v>#REF!</v>
      </c>
      <c r="H1781" s="31" t="e">
        <f>'[4]#REF'!I1781</f>
        <v>#REF!</v>
      </c>
      <c r="I1781" s="32" t="e">
        <f t="shared" si="58"/>
        <v>#REF!</v>
      </c>
    </row>
    <row r="1782" ht="15.75" spans="6:9">
      <c r="F1782" s="12" t="e">
        <f>'[4]#REF'!F1782</f>
        <v>#REF!</v>
      </c>
      <c r="G1782" s="12" t="e">
        <f>'[4]#REF'!G1782</f>
        <v>#REF!</v>
      </c>
      <c r="H1782" s="31" t="e">
        <f>'[4]#REF'!I1782</f>
        <v>#REF!</v>
      </c>
      <c r="I1782" s="32" t="e">
        <f t="shared" si="58"/>
        <v>#REF!</v>
      </c>
    </row>
    <row r="1783" ht="15.75" spans="6:9">
      <c r="F1783" s="12" t="e">
        <f>'[4]#REF'!F1783</f>
        <v>#REF!</v>
      </c>
      <c r="G1783" s="12" t="e">
        <f>'[4]#REF'!G1783</f>
        <v>#REF!</v>
      </c>
      <c r="H1783" s="31" t="e">
        <f>'[4]#REF'!I1783</f>
        <v>#REF!</v>
      </c>
      <c r="I1783" s="32" t="e">
        <f t="shared" si="58"/>
        <v>#REF!</v>
      </c>
    </row>
    <row r="1784" ht="15.75" spans="6:9">
      <c r="F1784" s="12" t="e">
        <f>'[4]#REF'!F1784</f>
        <v>#REF!</v>
      </c>
      <c r="G1784" s="12" t="e">
        <f>'[4]#REF'!G1784</f>
        <v>#REF!</v>
      </c>
      <c r="H1784" s="31" t="e">
        <f>'[4]#REF'!I1784</f>
        <v>#REF!</v>
      </c>
      <c r="I1784" s="32" t="e">
        <f t="shared" si="58"/>
        <v>#REF!</v>
      </c>
    </row>
    <row r="1785" ht="15.75" spans="6:9">
      <c r="F1785" s="12" t="e">
        <f>'[4]#REF'!F1785</f>
        <v>#REF!</v>
      </c>
      <c r="G1785" s="12" t="e">
        <f>'[4]#REF'!G1785</f>
        <v>#REF!</v>
      </c>
      <c r="H1785" s="31" t="e">
        <f>'[4]#REF'!I1785</f>
        <v>#REF!</v>
      </c>
      <c r="I1785" s="32" t="e">
        <f t="shared" si="58"/>
        <v>#REF!</v>
      </c>
    </row>
    <row r="1786" ht="15.75" spans="6:9">
      <c r="F1786" s="12" t="e">
        <f>'[4]#REF'!F1786</f>
        <v>#REF!</v>
      </c>
      <c r="G1786" s="12" t="e">
        <f>'[4]#REF'!G1786</f>
        <v>#REF!</v>
      </c>
      <c r="H1786" s="31" t="e">
        <f>'[4]#REF'!I1786</f>
        <v>#REF!</v>
      </c>
      <c r="I1786" s="32" t="e">
        <f t="shared" si="58"/>
        <v>#REF!</v>
      </c>
    </row>
    <row r="1787" ht="15.75" spans="6:9">
      <c r="F1787" s="12" t="e">
        <f>'[4]#REF'!F1787</f>
        <v>#REF!</v>
      </c>
      <c r="G1787" s="12" t="e">
        <f>'[4]#REF'!G1787</f>
        <v>#REF!</v>
      </c>
      <c r="H1787" s="31" t="e">
        <f>'[4]#REF'!I1787</f>
        <v>#REF!</v>
      </c>
      <c r="I1787" s="32" t="e">
        <f t="shared" si="58"/>
        <v>#REF!</v>
      </c>
    </row>
    <row r="1788" ht="15.75" spans="6:9">
      <c r="F1788" s="12" t="e">
        <f>'[4]#REF'!F1788</f>
        <v>#REF!</v>
      </c>
      <c r="G1788" s="12" t="e">
        <f>'[4]#REF'!G1788</f>
        <v>#REF!</v>
      </c>
      <c r="H1788" s="31" t="e">
        <f>'[4]#REF'!I1788</f>
        <v>#REF!</v>
      </c>
      <c r="I1788" s="32" t="e">
        <f t="shared" si="58"/>
        <v>#REF!</v>
      </c>
    </row>
    <row r="1789" ht="15.75" spans="6:9">
      <c r="F1789" s="12" t="e">
        <f>'[4]#REF'!F1789</f>
        <v>#REF!</v>
      </c>
      <c r="G1789" s="12" t="e">
        <f>'[4]#REF'!G1789</f>
        <v>#REF!</v>
      </c>
      <c r="H1789" s="31" t="e">
        <f>'[4]#REF'!I1789</f>
        <v>#REF!</v>
      </c>
      <c r="I1789" s="32" t="e">
        <f t="shared" si="58"/>
        <v>#REF!</v>
      </c>
    </row>
    <row r="1790" ht="15.75" spans="6:9">
      <c r="F1790" s="12" t="e">
        <f>'[4]#REF'!F1790</f>
        <v>#REF!</v>
      </c>
      <c r="G1790" s="12" t="e">
        <f>'[4]#REF'!G1790</f>
        <v>#REF!</v>
      </c>
      <c r="H1790" s="31" t="e">
        <f>'[4]#REF'!I1790</f>
        <v>#REF!</v>
      </c>
      <c r="I1790" s="32" t="e">
        <f t="shared" si="58"/>
        <v>#REF!</v>
      </c>
    </row>
    <row r="1791" ht="15.75" spans="6:9">
      <c r="F1791" s="12" t="e">
        <f>'[4]#REF'!F1791</f>
        <v>#REF!</v>
      </c>
      <c r="G1791" s="12" t="e">
        <f>'[4]#REF'!G1791</f>
        <v>#REF!</v>
      </c>
      <c r="H1791" s="31" t="e">
        <f>'[4]#REF'!I1791</f>
        <v>#REF!</v>
      </c>
      <c r="I1791" s="32" t="e">
        <f t="shared" si="58"/>
        <v>#REF!</v>
      </c>
    </row>
    <row r="1792" ht="15.75" spans="6:9">
      <c r="F1792" s="12" t="e">
        <f>'[4]#REF'!F1792</f>
        <v>#REF!</v>
      </c>
      <c r="G1792" s="12" t="e">
        <f>'[4]#REF'!G1792</f>
        <v>#REF!</v>
      </c>
      <c r="H1792" s="31" t="e">
        <f>'[4]#REF'!I1792</f>
        <v>#REF!</v>
      </c>
      <c r="I1792" s="32" t="e">
        <f t="shared" si="58"/>
        <v>#REF!</v>
      </c>
    </row>
    <row r="1793" ht="15.75" spans="6:9">
      <c r="F1793" s="12" t="e">
        <f>'[4]#REF'!F1793</f>
        <v>#REF!</v>
      </c>
      <c r="G1793" s="12" t="e">
        <f>'[4]#REF'!G1793</f>
        <v>#REF!</v>
      </c>
      <c r="H1793" s="31" t="e">
        <f>'[4]#REF'!I1793</f>
        <v>#REF!</v>
      </c>
      <c r="I1793" s="32" t="e">
        <f t="shared" si="58"/>
        <v>#REF!</v>
      </c>
    </row>
    <row r="1794" ht="15.75" spans="6:9">
      <c r="F1794" s="12" t="e">
        <f>'[4]#REF'!F1794</f>
        <v>#REF!</v>
      </c>
      <c r="G1794" s="12" t="e">
        <f>'[4]#REF'!G1794</f>
        <v>#REF!</v>
      </c>
      <c r="H1794" s="31" t="e">
        <f>'[4]#REF'!I1794</f>
        <v>#REF!</v>
      </c>
      <c r="I1794" s="32" t="e">
        <f t="shared" si="58"/>
        <v>#REF!</v>
      </c>
    </row>
    <row r="1795" ht="15.75" spans="6:9">
      <c r="F1795" s="12" t="e">
        <f>'[4]#REF'!F1795</f>
        <v>#REF!</v>
      </c>
      <c r="G1795" s="12" t="e">
        <f>'[4]#REF'!G1795</f>
        <v>#REF!</v>
      </c>
      <c r="H1795" s="31" t="e">
        <f>'[4]#REF'!I1795</f>
        <v>#REF!</v>
      </c>
      <c r="I1795" s="32" t="e">
        <f t="shared" si="58"/>
        <v>#REF!</v>
      </c>
    </row>
    <row r="1796" ht="15.75" spans="6:9">
      <c r="F1796" s="12" t="e">
        <f>'[4]#REF'!F1796</f>
        <v>#REF!</v>
      </c>
      <c r="G1796" s="12" t="e">
        <f>'[4]#REF'!G1796</f>
        <v>#REF!</v>
      </c>
      <c r="H1796" s="31" t="e">
        <f>'[4]#REF'!I1796</f>
        <v>#REF!</v>
      </c>
      <c r="I1796" s="32" t="e">
        <f t="shared" si="58"/>
        <v>#REF!</v>
      </c>
    </row>
    <row r="1797" ht="15.75" spans="6:9">
      <c r="F1797" s="12" t="e">
        <f>'[4]#REF'!F1797</f>
        <v>#REF!</v>
      </c>
      <c r="G1797" s="12" t="e">
        <f>'[4]#REF'!G1797</f>
        <v>#REF!</v>
      </c>
      <c r="H1797" s="31" t="e">
        <f>'[4]#REF'!I1797</f>
        <v>#REF!</v>
      </c>
      <c r="I1797" s="32" t="e">
        <f t="shared" si="58"/>
        <v>#REF!</v>
      </c>
    </row>
    <row r="1798" ht="15.75" spans="6:9">
      <c r="F1798" s="12" t="e">
        <f>'[4]#REF'!F1798</f>
        <v>#REF!</v>
      </c>
      <c r="G1798" s="12" t="e">
        <f>'[4]#REF'!G1798</f>
        <v>#REF!</v>
      </c>
      <c r="H1798" s="31" t="e">
        <f>'[4]#REF'!I1798</f>
        <v>#REF!</v>
      </c>
      <c r="I1798" s="32" t="e">
        <f t="shared" ref="I1798:I1861" si="59">ROUND(H1798/$I$4*100,2)</f>
        <v>#REF!</v>
      </c>
    </row>
    <row r="1799" ht="15.75" spans="6:9">
      <c r="F1799" s="12" t="e">
        <f>'[4]#REF'!F1799</f>
        <v>#REF!</v>
      </c>
      <c r="G1799" s="12" t="e">
        <f>'[4]#REF'!G1799</f>
        <v>#REF!</v>
      </c>
      <c r="H1799" s="31" t="e">
        <f>'[4]#REF'!I1799</f>
        <v>#REF!</v>
      </c>
      <c r="I1799" s="32" t="e">
        <f t="shared" si="59"/>
        <v>#REF!</v>
      </c>
    </row>
    <row r="1800" ht="15.75" spans="6:9">
      <c r="F1800" s="12" t="e">
        <f>'[4]#REF'!F1800</f>
        <v>#REF!</v>
      </c>
      <c r="G1800" s="12" t="e">
        <f>'[4]#REF'!G1800</f>
        <v>#REF!</v>
      </c>
      <c r="H1800" s="31" t="e">
        <f>'[4]#REF'!I1800</f>
        <v>#REF!</v>
      </c>
      <c r="I1800" s="32" t="e">
        <f t="shared" si="59"/>
        <v>#REF!</v>
      </c>
    </row>
    <row r="1801" ht="15.75" spans="6:9">
      <c r="F1801" s="12" t="e">
        <f>'[4]#REF'!F1801</f>
        <v>#REF!</v>
      </c>
      <c r="G1801" s="12" t="e">
        <f>'[4]#REF'!G1801</f>
        <v>#REF!</v>
      </c>
      <c r="H1801" s="31" t="e">
        <f>'[4]#REF'!I1801</f>
        <v>#REF!</v>
      </c>
      <c r="I1801" s="32" t="e">
        <f t="shared" si="59"/>
        <v>#REF!</v>
      </c>
    </row>
    <row r="1802" ht="15.75" spans="6:9">
      <c r="F1802" s="12" t="e">
        <f>'[4]#REF'!F1802</f>
        <v>#REF!</v>
      </c>
      <c r="G1802" s="12" t="e">
        <f>'[4]#REF'!G1802</f>
        <v>#REF!</v>
      </c>
      <c r="H1802" s="31" t="e">
        <f>'[4]#REF'!I1802</f>
        <v>#REF!</v>
      </c>
      <c r="I1802" s="32" t="e">
        <f t="shared" si="59"/>
        <v>#REF!</v>
      </c>
    </row>
    <row r="1803" ht="15.75" spans="6:9">
      <c r="F1803" s="12" t="e">
        <f>'[4]#REF'!F1803</f>
        <v>#REF!</v>
      </c>
      <c r="G1803" s="12" t="e">
        <f>'[4]#REF'!G1803</f>
        <v>#REF!</v>
      </c>
      <c r="H1803" s="31" t="e">
        <f>'[4]#REF'!I1803</f>
        <v>#REF!</v>
      </c>
      <c r="I1803" s="32" t="e">
        <f t="shared" si="59"/>
        <v>#REF!</v>
      </c>
    </row>
    <row r="1804" ht="15.75" spans="6:9">
      <c r="F1804" s="12" t="e">
        <f>'[4]#REF'!F1804</f>
        <v>#REF!</v>
      </c>
      <c r="G1804" s="12" t="e">
        <f>'[4]#REF'!G1804</f>
        <v>#REF!</v>
      </c>
      <c r="H1804" s="31" t="e">
        <f>'[4]#REF'!I1804</f>
        <v>#REF!</v>
      </c>
      <c r="I1804" s="32" t="e">
        <f t="shared" si="59"/>
        <v>#REF!</v>
      </c>
    </row>
    <row r="1805" ht="15.75" spans="6:9">
      <c r="F1805" s="12" t="e">
        <f>'[4]#REF'!F1805</f>
        <v>#REF!</v>
      </c>
      <c r="G1805" s="12" t="e">
        <f>'[4]#REF'!G1805</f>
        <v>#REF!</v>
      </c>
      <c r="H1805" s="31" t="e">
        <f>'[4]#REF'!I1805</f>
        <v>#REF!</v>
      </c>
      <c r="I1805" s="32" t="e">
        <f t="shared" si="59"/>
        <v>#REF!</v>
      </c>
    </row>
    <row r="1806" ht="15.75" spans="6:9">
      <c r="F1806" s="12" t="e">
        <f>'[4]#REF'!F1806</f>
        <v>#REF!</v>
      </c>
      <c r="G1806" s="12" t="e">
        <f>'[4]#REF'!G1806</f>
        <v>#REF!</v>
      </c>
      <c r="H1806" s="31" t="e">
        <f>'[4]#REF'!I1806</f>
        <v>#REF!</v>
      </c>
      <c r="I1806" s="32" t="e">
        <f t="shared" si="59"/>
        <v>#REF!</v>
      </c>
    </row>
    <row r="1807" ht="15.75" spans="6:9">
      <c r="F1807" s="12" t="e">
        <f>'[4]#REF'!F1807</f>
        <v>#REF!</v>
      </c>
      <c r="G1807" s="12" t="e">
        <f>'[4]#REF'!G1807</f>
        <v>#REF!</v>
      </c>
      <c r="H1807" s="31" t="e">
        <f>'[4]#REF'!I1807</f>
        <v>#REF!</v>
      </c>
      <c r="I1807" s="32" t="e">
        <f t="shared" si="59"/>
        <v>#REF!</v>
      </c>
    </row>
    <row r="1808" ht="15.75" spans="6:9">
      <c r="F1808" s="12" t="e">
        <f>'[4]#REF'!F1808</f>
        <v>#REF!</v>
      </c>
      <c r="G1808" s="12" t="e">
        <f>'[4]#REF'!G1808</f>
        <v>#REF!</v>
      </c>
      <c r="H1808" s="31" t="e">
        <f>'[4]#REF'!I1808</f>
        <v>#REF!</v>
      </c>
      <c r="I1808" s="32" t="e">
        <f t="shared" si="59"/>
        <v>#REF!</v>
      </c>
    </row>
    <row r="1809" ht="15.75" spans="6:9">
      <c r="F1809" s="12" t="e">
        <f>'[4]#REF'!F1809</f>
        <v>#REF!</v>
      </c>
      <c r="G1809" s="12" t="e">
        <f>'[4]#REF'!G1809</f>
        <v>#REF!</v>
      </c>
      <c r="H1809" s="31" t="e">
        <f>'[4]#REF'!I1809</f>
        <v>#REF!</v>
      </c>
      <c r="I1809" s="32" t="e">
        <f t="shared" si="59"/>
        <v>#REF!</v>
      </c>
    </row>
    <row r="1810" ht="15.75" spans="6:9">
      <c r="F1810" s="12" t="e">
        <f>'[4]#REF'!F1810</f>
        <v>#REF!</v>
      </c>
      <c r="G1810" s="12" t="e">
        <f>'[4]#REF'!G1810</f>
        <v>#REF!</v>
      </c>
      <c r="H1810" s="31" t="e">
        <f>'[4]#REF'!I1810</f>
        <v>#REF!</v>
      </c>
      <c r="I1810" s="32" t="e">
        <f t="shared" si="59"/>
        <v>#REF!</v>
      </c>
    </row>
    <row r="1811" ht="15.75" spans="6:9">
      <c r="F1811" s="12" t="e">
        <f>'[4]#REF'!F1811</f>
        <v>#REF!</v>
      </c>
      <c r="G1811" s="12" t="e">
        <f>'[4]#REF'!G1811</f>
        <v>#REF!</v>
      </c>
      <c r="H1811" s="31" t="e">
        <f>'[4]#REF'!I1811</f>
        <v>#REF!</v>
      </c>
      <c r="I1811" s="32" t="e">
        <f t="shared" si="59"/>
        <v>#REF!</v>
      </c>
    </row>
    <row r="1812" ht="15.75" spans="6:9">
      <c r="F1812" s="12" t="e">
        <f>'[4]#REF'!F1812</f>
        <v>#REF!</v>
      </c>
      <c r="G1812" s="12" t="e">
        <f>'[4]#REF'!G1812</f>
        <v>#REF!</v>
      </c>
      <c r="H1812" s="31" t="e">
        <f>'[4]#REF'!I1812</f>
        <v>#REF!</v>
      </c>
      <c r="I1812" s="32" t="e">
        <f t="shared" si="59"/>
        <v>#REF!</v>
      </c>
    </row>
    <row r="1813" ht="15.75" spans="6:9">
      <c r="F1813" s="12" t="e">
        <f>'[4]#REF'!F1813</f>
        <v>#REF!</v>
      </c>
      <c r="G1813" s="12" t="e">
        <f>'[4]#REF'!G1813</f>
        <v>#REF!</v>
      </c>
      <c r="H1813" s="31" t="e">
        <f>'[4]#REF'!I1813</f>
        <v>#REF!</v>
      </c>
      <c r="I1813" s="32" t="e">
        <f t="shared" si="59"/>
        <v>#REF!</v>
      </c>
    </row>
    <row r="1814" ht="15.75" spans="6:9">
      <c r="F1814" s="12" t="e">
        <f>'[4]#REF'!F1814</f>
        <v>#REF!</v>
      </c>
      <c r="G1814" s="12" t="e">
        <f>'[4]#REF'!G1814</f>
        <v>#REF!</v>
      </c>
      <c r="H1814" s="31" t="e">
        <f>'[4]#REF'!I1814</f>
        <v>#REF!</v>
      </c>
      <c r="I1814" s="32" t="e">
        <f t="shared" si="59"/>
        <v>#REF!</v>
      </c>
    </row>
    <row r="1815" ht="15.75" spans="6:9">
      <c r="F1815" s="12" t="e">
        <f>'[4]#REF'!F1815</f>
        <v>#REF!</v>
      </c>
      <c r="G1815" s="12" t="e">
        <f>'[4]#REF'!G1815</f>
        <v>#REF!</v>
      </c>
      <c r="H1815" s="31" t="e">
        <f>'[4]#REF'!I1815</f>
        <v>#REF!</v>
      </c>
      <c r="I1815" s="32" t="e">
        <f t="shared" si="59"/>
        <v>#REF!</v>
      </c>
    </row>
    <row r="1816" ht="15.75" spans="6:9">
      <c r="F1816" s="12" t="e">
        <f>'[4]#REF'!F1816</f>
        <v>#REF!</v>
      </c>
      <c r="G1816" s="12" t="e">
        <f>'[4]#REF'!G1816</f>
        <v>#REF!</v>
      </c>
      <c r="H1816" s="31" t="e">
        <f>'[4]#REF'!I1816</f>
        <v>#REF!</v>
      </c>
      <c r="I1816" s="32" t="e">
        <f t="shared" si="59"/>
        <v>#REF!</v>
      </c>
    </row>
    <row r="1817" ht="15.75" spans="6:9">
      <c r="F1817" s="12" t="e">
        <f>'[4]#REF'!F1817</f>
        <v>#REF!</v>
      </c>
      <c r="G1817" s="12" t="e">
        <f>'[4]#REF'!G1817</f>
        <v>#REF!</v>
      </c>
      <c r="H1817" s="31" t="e">
        <f>'[4]#REF'!I1817</f>
        <v>#REF!</v>
      </c>
      <c r="I1817" s="32" t="e">
        <f t="shared" si="59"/>
        <v>#REF!</v>
      </c>
    </row>
    <row r="1818" ht="15.75" spans="6:9">
      <c r="F1818" s="12" t="e">
        <f>'[4]#REF'!F1818</f>
        <v>#REF!</v>
      </c>
      <c r="G1818" s="12" t="e">
        <f>'[4]#REF'!G1818</f>
        <v>#REF!</v>
      </c>
      <c r="H1818" s="31" t="e">
        <f>'[4]#REF'!I1818</f>
        <v>#REF!</v>
      </c>
      <c r="I1818" s="32" t="e">
        <f t="shared" si="59"/>
        <v>#REF!</v>
      </c>
    </row>
    <row r="1819" ht="15.75" spans="6:9">
      <c r="F1819" s="12" t="e">
        <f>'[4]#REF'!F1819</f>
        <v>#REF!</v>
      </c>
      <c r="G1819" s="12" t="e">
        <f>'[4]#REF'!G1819</f>
        <v>#REF!</v>
      </c>
      <c r="H1819" s="31" t="e">
        <f>'[4]#REF'!I1819</f>
        <v>#REF!</v>
      </c>
      <c r="I1819" s="32" t="e">
        <f t="shared" si="59"/>
        <v>#REF!</v>
      </c>
    </row>
    <row r="1820" ht="15.75" spans="6:9">
      <c r="F1820" s="12" t="e">
        <f>'[4]#REF'!F1820</f>
        <v>#REF!</v>
      </c>
      <c r="G1820" s="12" t="e">
        <f>'[4]#REF'!G1820</f>
        <v>#REF!</v>
      </c>
      <c r="H1820" s="31" t="e">
        <f>'[4]#REF'!I1820</f>
        <v>#REF!</v>
      </c>
      <c r="I1820" s="32" t="e">
        <f t="shared" si="59"/>
        <v>#REF!</v>
      </c>
    </row>
    <row r="1821" ht="15.75" spans="6:9">
      <c r="F1821" s="12" t="e">
        <f>'[4]#REF'!F1821</f>
        <v>#REF!</v>
      </c>
      <c r="G1821" s="12" t="e">
        <f>'[4]#REF'!G1821</f>
        <v>#REF!</v>
      </c>
      <c r="H1821" s="31" t="e">
        <f>'[4]#REF'!I1821</f>
        <v>#REF!</v>
      </c>
      <c r="I1821" s="32" t="e">
        <f t="shared" si="59"/>
        <v>#REF!</v>
      </c>
    </row>
    <row r="1822" ht="15.75" spans="6:9">
      <c r="F1822" s="12" t="e">
        <f>'[4]#REF'!F1822</f>
        <v>#REF!</v>
      </c>
      <c r="G1822" s="12" t="e">
        <f>'[4]#REF'!G1822</f>
        <v>#REF!</v>
      </c>
      <c r="H1822" s="31" t="e">
        <f>'[4]#REF'!I1822</f>
        <v>#REF!</v>
      </c>
      <c r="I1822" s="32" t="e">
        <f t="shared" si="59"/>
        <v>#REF!</v>
      </c>
    </row>
    <row r="1823" ht="15.75" spans="6:9">
      <c r="F1823" s="12" t="e">
        <f>'[4]#REF'!F1823</f>
        <v>#REF!</v>
      </c>
      <c r="G1823" s="12" t="e">
        <f>'[4]#REF'!G1823</f>
        <v>#REF!</v>
      </c>
      <c r="H1823" s="31" t="e">
        <f>'[4]#REF'!I1823</f>
        <v>#REF!</v>
      </c>
      <c r="I1823" s="32" t="e">
        <f t="shared" si="59"/>
        <v>#REF!</v>
      </c>
    </row>
    <row r="1824" ht="15.75" spans="6:9">
      <c r="F1824" s="12" t="e">
        <f>'[4]#REF'!F1824</f>
        <v>#REF!</v>
      </c>
      <c r="G1824" s="12" t="e">
        <f>'[4]#REF'!G1824</f>
        <v>#REF!</v>
      </c>
      <c r="H1824" s="31" t="e">
        <f>'[4]#REF'!I1824</f>
        <v>#REF!</v>
      </c>
      <c r="I1824" s="32" t="e">
        <f t="shared" si="59"/>
        <v>#REF!</v>
      </c>
    </row>
    <row r="1825" ht="15.75" spans="6:9">
      <c r="F1825" s="12" t="e">
        <f>'[4]#REF'!F1825</f>
        <v>#REF!</v>
      </c>
      <c r="G1825" s="12" t="e">
        <f>'[4]#REF'!G1825</f>
        <v>#REF!</v>
      </c>
      <c r="H1825" s="31" t="e">
        <f>'[4]#REF'!I1825</f>
        <v>#REF!</v>
      </c>
      <c r="I1825" s="32" t="e">
        <f t="shared" si="59"/>
        <v>#REF!</v>
      </c>
    </row>
    <row r="1826" ht="15.75" spans="6:9">
      <c r="F1826" s="12" t="e">
        <f>'[4]#REF'!F1826</f>
        <v>#REF!</v>
      </c>
      <c r="G1826" s="12" t="e">
        <f>'[4]#REF'!G1826</f>
        <v>#REF!</v>
      </c>
      <c r="H1826" s="31" t="e">
        <f>'[4]#REF'!I1826</f>
        <v>#REF!</v>
      </c>
      <c r="I1826" s="32" t="e">
        <f t="shared" si="59"/>
        <v>#REF!</v>
      </c>
    </row>
    <row r="1827" ht="15.75" spans="6:9">
      <c r="F1827" s="12" t="e">
        <f>'[4]#REF'!F1827</f>
        <v>#REF!</v>
      </c>
      <c r="G1827" s="12" t="e">
        <f>'[4]#REF'!G1827</f>
        <v>#REF!</v>
      </c>
      <c r="H1827" s="31" t="e">
        <f>'[4]#REF'!I1827</f>
        <v>#REF!</v>
      </c>
      <c r="I1827" s="32" t="e">
        <f t="shared" si="59"/>
        <v>#REF!</v>
      </c>
    </row>
    <row r="1828" ht="15.75" spans="6:9">
      <c r="F1828" s="12" t="e">
        <f>'[4]#REF'!F1828</f>
        <v>#REF!</v>
      </c>
      <c r="G1828" s="12" t="e">
        <f>'[4]#REF'!G1828</f>
        <v>#REF!</v>
      </c>
      <c r="H1828" s="31" t="e">
        <f>'[4]#REF'!I1828</f>
        <v>#REF!</v>
      </c>
      <c r="I1828" s="32" t="e">
        <f t="shared" si="59"/>
        <v>#REF!</v>
      </c>
    </row>
    <row r="1829" ht="15.75" spans="6:9">
      <c r="F1829" s="12" t="e">
        <f>'[4]#REF'!F1829</f>
        <v>#REF!</v>
      </c>
      <c r="G1829" s="12" t="e">
        <f>'[4]#REF'!G1829</f>
        <v>#REF!</v>
      </c>
      <c r="H1829" s="31" t="e">
        <f>'[4]#REF'!I1829</f>
        <v>#REF!</v>
      </c>
      <c r="I1829" s="32" t="e">
        <f t="shared" si="59"/>
        <v>#REF!</v>
      </c>
    </row>
    <row r="1830" ht="15.75" spans="6:9">
      <c r="F1830" s="12" t="e">
        <f>'[4]#REF'!F1830</f>
        <v>#REF!</v>
      </c>
      <c r="G1830" s="12" t="e">
        <f>'[4]#REF'!G1830</f>
        <v>#REF!</v>
      </c>
      <c r="H1830" s="31" t="e">
        <f>'[4]#REF'!I1830</f>
        <v>#REF!</v>
      </c>
      <c r="I1830" s="32" t="e">
        <f t="shared" si="59"/>
        <v>#REF!</v>
      </c>
    </row>
    <row r="1831" ht="15.75" spans="6:9">
      <c r="F1831" s="12" t="e">
        <f>'[4]#REF'!F1831</f>
        <v>#REF!</v>
      </c>
      <c r="G1831" s="12" t="e">
        <f>'[4]#REF'!G1831</f>
        <v>#REF!</v>
      </c>
      <c r="H1831" s="31" t="e">
        <f>'[4]#REF'!I1831</f>
        <v>#REF!</v>
      </c>
      <c r="I1831" s="32" t="e">
        <f t="shared" si="59"/>
        <v>#REF!</v>
      </c>
    </row>
    <row r="1832" ht="15.75" spans="6:9">
      <c r="F1832" s="12" t="e">
        <f>'[4]#REF'!F1832</f>
        <v>#REF!</v>
      </c>
      <c r="G1832" s="12" t="e">
        <f>'[4]#REF'!G1832</f>
        <v>#REF!</v>
      </c>
      <c r="H1832" s="31" t="e">
        <f>'[4]#REF'!I1832</f>
        <v>#REF!</v>
      </c>
      <c r="I1832" s="32" t="e">
        <f t="shared" si="59"/>
        <v>#REF!</v>
      </c>
    </row>
    <row r="1833" ht="15.75" spans="6:9">
      <c r="F1833" s="12" t="e">
        <f>'[4]#REF'!F1833</f>
        <v>#REF!</v>
      </c>
      <c r="G1833" s="12" t="e">
        <f>'[4]#REF'!G1833</f>
        <v>#REF!</v>
      </c>
      <c r="H1833" s="31" t="e">
        <f>'[4]#REF'!I1833</f>
        <v>#REF!</v>
      </c>
      <c r="I1833" s="32" t="e">
        <f t="shared" si="59"/>
        <v>#REF!</v>
      </c>
    </row>
    <row r="1834" ht="15.75" spans="6:9">
      <c r="F1834" s="12" t="e">
        <f>'[4]#REF'!F1834</f>
        <v>#REF!</v>
      </c>
      <c r="G1834" s="12" t="e">
        <f>'[4]#REF'!G1834</f>
        <v>#REF!</v>
      </c>
      <c r="H1834" s="31" t="e">
        <f>'[4]#REF'!I1834</f>
        <v>#REF!</v>
      </c>
      <c r="I1834" s="32" t="e">
        <f t="shared" si="59"/>
        <v>#REF!</v>
      </c>
    </row>
    <row r="1835" ht="15.75" spans="6:9">
      <c r="F1835" s="12" t="e">
        <f>'[4]#REF'!F1835</f>
        <v>#REF!</v>
      </c>
      <c r="G1835" s="12" t="e">
        <f>'[4]#REF'!G1835</f>
        <v>#REF!</v>
      </c>
      <c r="H1835" s="31" t="e">
        <f>'[4]#REF'!I1835</f>
        <v>#REF!</v>
      </c>
      <c r="I1835" s="32" t="e">
        <f t="shared" si="59"/>
        <v>#REF!</v>
      </c>
    </row>
    <row r="1836" ht="15.75" spans="6:9">
      <c r="F1836" s="12" t="e">
        <f>'[4]#REF'!F1836</f>
        <v>#REF!</v>
      </c>
      <c r="G1836" s="12" t="e">
        <f>'[4]#REF'!G1836</f>
        <v>#REF!</v>
      </c>
      <c r="H1836" s="31" t="e">
        <f>'[4]#REF'!I1836</f>
        <v>#REF!</v>
      </c>
      <c r="I1836" s="32" t="e">
        <f t="shared" si="59"/>
        <v>#REF!</v>
      </c>
    </row>
    <row r="1837" ht="15.75" spans="6:9">
      <c r="F1837" s="12" t="e">
        <f>'[4]#REF'!F1837</f>
        <v>#REF!</v>
      </c>
      <c r="G1837" s="12" t="e">
        <f>'[4]#REF'!G1837</f>
        <v>#REF!</v>
      </c>
      <c r="H1837" s="31" t="e">
        <f>'[4]#REF'!I1837</f>
        <v>#REF!</v>
      </c>
      <c r="I1837" s="32" t="e">
        <f t="shared" si="59"/>
        <v>#REF!</v>
      </c>
    </row>
    <row r="1838" ht="15.75" spans="6:9">
      <c r="F1838" s="12" t="e">
        <f>'[4]#REF'!F1838</f>
        <v>#REF!</v>
      </c>
      <c r="G1838" s="12" t="e">
        <f>'[4]#REF'!G1838</f>
        <v>#REF!</v>
      </c>
      <c r="H1838" s="31" t="e">
        <f>'[4]#REF'!I1838</f>
        <v>#REF!</v>
      </c>
      <c r="I1838" s="32" t="e">
        <f t="shared" si="59"/>
        <v>#REF!</v>
      </c>
    </row>
    <row r="1839" ht="15.75" spans="6:9">
      <c r="F1839" s="12" t="e">
        <f>'[4]#REF'!F1839</f>
        <v>#REF!</v>
      </c>
      <c r="G1839" s="12" t="e">
        <f>'[4]#REF'!G1839</f>
        <v>#REF!</v>
      </c>
      <c r="H1839" s="31" t="e">
        <f>'[4]#REF'!I1839</f>
        <v>#REF!</v>
      </c>
      <c r="I1839" s="32" t="e">
        <f t="shared" si="59"/>
        <v>#REF!</v>
      </c>
    </row>
    <row r="1840" ht="15.75" spans="6:9">
      <c r="F1840" s="12" t="e">
        <f>'[4]#REF'!F1840</f>
        <v>#REF!</v>
      </c>
      <c r="G1840" s="12" t="e">
        <f>'[4]#REF'!G1840</f>
        <v>#REF!</v>
      </c>
      <c r="H1840" s="31" t="e">
        <f>'[4]#REF'!I1840</f>
        <v>#REF!</v>
      </c>
      <c r="I1840" s="32" t="e">
        <f t="shared" si="59"/>
        <v>#REF!</v>
      </c>
    </row>
    <row r="1841" ht="15.75" spans="6:9">
      <c r="F1841" s="12" t="e">
        <f>'[4]#REF'!F1841</f>
        <v>#REF!</v>
      </c>
      <c r="G1841" s="12" t="e">
        <f>'[4]#REF'!G1841</f>
        <v>#REF!</v>
      </c>
      <c r="H1841" s="31" t="e">
        <f>'[4]#REF'!I1841</f>
        <v>#REF!</v>
      </c>
      <c r="I1841" s="32" t="e">
        <f t="shared" si="59"/>
        <v>#REF!</v>
      </c>
    </row>
    <row r="1842" ht="15.75" spans="6:9">
      <c r="F1842" s="12" t="e">
        <f>'[4]#REF'!F1842</f>
        <v>#REF!</v>
      </c>
      <c r="G1842" s="12" t="e">
        <f>'[4]#REF'!G1842</f>
        <v>#REF!</v>
      </c>
      <c r="H1842" s="31" t="e">
        <f>'[4]#REF'!I1842</f>
        <v>#REF!</v>
      </c>
      <c r="I1842" s="32" t="e">
        <f t="shared" si="59"/>
        <v>#REF!</v>
      </c>
    </row>
    <row r="1843" ht="15.75" spans="6:9">
      <c r="F1843" s="12" t="e">
        <f>'[4]#REF'!F1843</f>
        <v>#REF!</v>
      </c>
      <c r="G1843" s="12" t="e">
        <f>'[4]#REF'!G1843</f>
        <v>#REF!</v>
      </c>
      <c r="H1843" s="31" t="e">
        <f>'[4]#REF'!I1843</f>
        <v>#REF!</v>
      </c>
      <c r="I1843" s="32" t="e">
        <f t="shared" si="59"/>
        <v>#REF!</v>
      </c>
    </row>
    <row r="1844" ht="15.75" spans="6:9">
      <c r="F1844" s="12" t="e">
        <f>'[4]#REF'!F1844</f>
        <v>#REF!</v>
      </c>
      <c r="G1844" s="12" t="e">
        <f>'[4]#REF'!G1844</f>
        <v>#REF!</v>
      </c>
      <c r="H1844" s="31" t="e">
        <f>'[4]#REF'!I1844</f>
        <v>#REF!</v>
      </c>
      <c r="I1844" s="32" t="e">
        <f t="shared" si="59"/>
        <v>#REF!</v>
      </c>
    </row>
    <row r="1845" ht="15.75" spans="6:9">
      <c r="F1845" s="12" t="e">
        <f>'[4]#REF'!F1845</f>
        <v>#REF!</v>
      </c>
      <c r="G1845" s="12" t="e">
        <f>'[4]#REF'!G1845</f>
        <v>#REF!</v>
      </c>
      <c r="H1845" s="31" t="e">
        <f>'[4]#REF'!I1845</f>
        <v>#REF!</v>
      </c>
      <c r="I1845" s="32" t="e">
        <f t="shared" si="59"/>
        <v>#REF!</v>
      </c>
    </row>
    <row r="1846" ht="15.75" spans="6:9">
      <c r="F1846" s="12" t="e">
        <f>'[4]#REF'!F1846</f>
        <v>#REF!</v>
      </c>
      <c r="G1846" s="12" t="e">
        <f>'[4]#REF'!G1846</f>
        <v>#REF!</v>
      </c>
      <c r="H1846" s="31" t="e">
        <f>'[4]#REF'!I1846</f>
        <v>#REF!</v>
      </c>
      <c r="I1846" s="32" t="e">
        <f t="shared" si="59"/>
        <v>#REF!</v>
      </c>
    </row>
    <row r="1847" ht="15.75" spans="6:9">
      <c r="F1847" s="12" t="e">
        <f>'[4]#REF'!F1847</f>
        <v>#REF!</v>
      </c>
      <c r="G1847" s="12" t="e">
        <f>'[4]#REF'!G1847</f>
        <v>#REF!</v>
      </c>
      <c r="H1847" s="31" t="e">
        <f>'[4]#REF'!I1847</f>
        <v>#REF!</v>
      </c>
      <c r="I1847" s="32" t="e">
        <f t="shared" si="59"/>
        <v>#REF!</v>
      </c>
    </row>
    <row r="1848" ht="15.75" spans="6:9">
      <c r="F1848" s="12" t="e">
        <f>'[4]#REF'!F1848</f>
        <v>#REF!</v>
      </c>
      <c r="G1848" s="12" t="e">
        <f>'[4]#REF'!G1848</f>
        <v>#REF!</v>
      </c>
      <c r="H1848" s="31" t="e">
        <f>'[4]#REF'!I1848</f>
        <v>#REF!</v>
      </c>
      <c r="I1848" s="32" t="e">
        <f t="shared" si="59"/>
        <v>#REF!</v>
      </c>
    </row>
    <row r="1849" ht="15.75" spans="6:9">
      <c r="F1849" s="12" t="e">
        <f>'[4]#REF'!F1849</f>
        <v>#REF!</v>
      </c>
      <c r="G1849" s="12" t="e">
        <f>'[4]#REF'!G1849</f>
        <v>#REF!</v>
      </c>
      <c r="H1849" s="31" t="e">
        <f>'[4]#REF'!I1849</f>
        <v>#REF!</v>
      </c>
      <c r="I1849" s="32" t="e">
        <f t="shared" si="59"/>
        <v>#REF!</v>
      </c>
    </row>
    <row r="1850" ht="15.75" spans="6:9">
      <c r="F1850" s="12" t="e">
        <f>'[4]#REF'!F1850</f>
        <v>#REF!</v>
      </c>
      <c r="G1850" s="12" t="e">
        <f>'[4]#REF'!G1850</f>
        <v>#REF!</v>
      </c>
      <c r="H1850" s="31" t="e">
        <f>'[4]#REF'!I1850</f>
        <v>#REF!</v>
      </c>
      <c r="I1850" s="32" t="e">
        <f t="shared" si="59"/>
        <v>#REF!</v>
      </c>
    </row>
    <row r="1851" ht="15.75" spans="6:9">
      <c r="F1851" s="12" t="e">
        <f>'[4]#REF'!F1851</f>
        <v>#REF!</v>
      </c>
      <c r="G1851" s="12" t="e">
        <f>'[4]#REF'!G1851</f>
        <v>#REF!</v>
      </c>
      <c r="H1851" s="31" t="e">
        <f>'[4]#REF'!I1851</f>
        <v>#REF!</v>
      </c>
      <c r="I1851" s="32" t="e">
        <f t="shared" si="59"/>
        <v>#REF!</v>
      </c>
    </row>
    <row r="1852" ht="15.75" spans="6:9">
      <c r="F1852" s="12" t="e">
        <f>'[4]#REF'!F1852</f>
        <v>#REF!</v>
      </c>
      <c r="G1852" s="12" t="e">
        <f>'[4]#REF'!G1852</f>
        <v>#REF!</v>
      </c>
      <c r="H1852" s="31" t="e">
        <f>'[4]#REF'!I1852</f>
        <v>#REF!</v>
      </c>
      <c r="I1852" s="32" t="e">
        <f t="shared" si="59"/>
        <v>#REF!</v>
      </c>
    </row>
    <row r="1853" ht="15.75" spans="6:9">
      <c r="F1853" s="12" t="e">
        <f>'[4]#REF'!F1853</f>
        <v>#REF!</v>
      </c>
      <c r="G1853" s="12" t="e">
        <f>'[4]#REF'!G1853</f>
        <v>#REF!</v>
      </c>
      <c r="H1853" s="31" t="e">
        <f>'[4]#REF'!I1853</f>
        <v>#REF!</v>
      </c>
      <c r="I1853" s="32" t="e">
        <f t="shared" si="59"/>
        <v>#REF!</v>
      </c>
    </row>
    <row r="1854" ht="15.75" spans="6:9">
      <c r="F1854" s="12" t="e">
        <f>'[4]#REF'!F1854</f>
        <v>#REF!</v>
      </c>
      <c r="G1854" s="12" t="e">
        <f>'[4]#REF'!G1854</f>
        <v>#REF!</v>
      </c>
      <c r="H1854" s="31" t="e">
        <f>'[4]#REF'!I1854</f>
        <v>#REF!</v>
      </c>
      <c r="I1854" s="32" t="e">
        <f t="shared" si="59"/>
        <v>#REF!</v>
      </c>
    </row>
    <row r="1855" ht="15.75" spans="6:9">
      <c r="F1855" s="12" t="e">
        <f>'[4]#REF'!F1855</f>
        <v>#REF!</v>
      </c>
      <c r="G1855" s="12" t="e">
        <f>'[4]#REF'!G1855</f>
        <v>#REF!</v>
      </c>
      <c r="H1855" s="31" t="e">
        <f>'[4]#REF'!I1855</f>
        <v>#REF!</v>
      </c>
      <c r="I1855" s="32" t="e">
        <f t="shared" si="59"/>
        <v>#REF!</v>
      </c>
    </row>
    <row r="1856" ht="15.75" spans="6:9">
      <c r="F1856" s="12" t="e">
        <f>'[4]#REF'!F1856</f>
        <v>#REF!</v>
      </c>
      <c r="G1856" s="12" t="e">
        <f>'[4]#REF'!G1856</f>
        <v>#REF!</v>
      </c>
      <c r="H1856" s="31" t="e">
        <f>'[4]#REF'!I1856</f>
        <v>#REF!</v>
      </c>
      <c r="I1856" s="32" t="e">
        <f t="shared" si="59"/>
        <v>#REF!</v>
      </c>
    </row>
    <row r="1857" ht="15.75" spans="6:9">
      <c r="F1857" s="12" t="e">
        <f>'[4]#REF'!F1857</f>
        <v>#REF!</v>
      </c>
      <c r="G1857" s="12" t="e">
        <f>'[4]#REF'!G1857</f>
        <v>#REF!</v>
      </c>
      <c r="H1857" s="31" t="e">
        <f>'[4]#REF'!I1857</f>
        <v>#REF!</v>
      </c>
      <c r="I1857" s="32" t="e">
        <f t="shared" si="59"/>
        <v>#REF!</v>
      </c>
    </row>
    <row r="1858" ht="15.75" spans="6:9">
      <c r="F1858" s="12" t="e">
        <f>'[4]#REF'!F1858</f>
        <v>#REF!</v>
      </c>
      <c r="G1858" s="12" t="e">
        <f>'[4]#REF'!G1858</f>
        <v>#REF!</v>
      </c>
      <c r="H1858" s="31" t="e">
        <f>'[4]#REF'!I1858</f>
        <v>#REF!</v>
      </c>
      <c r="I1858" s="32" t="e">
        <f t="shared" si="59"/>
        <v>#REF!</v>
      </c>
    </row>
    <row r="1859" ht="15.75" spans="6:9">
      <c r="F1859" s="12" t="e">
        <f>'[4]#REF'!F1859</f>
        <v>#REF!</v>
      </c>
      <c r="G1859" s="12" t="e">
        <f>'[4]#REF'!G1859</f>
        <v>#REF!</v>
      </c>
      <c r="H1859" s="31" t="e">
        <f>'[4]#REF'!I1859</f>
        <v>#REF!</v>
      </c>
      <c r="I1859" s="32" t="e">
        <f t="shared" si="59"/>
        <v>#REF!</v>
      </c>
    </row>
    <row r="1860" ht="15.75" spans="6:9">
      <c r="F1860" s="12" t="e">
        <f>'[4]#REF'!F1860</f>
        <v>#REF!</v>
      </c>
      <c r="G1860" s="12" t="e">
        <f>'[4]#REF'!G1860</f>
        <v>#REF!</v>
      </c>
      <c r="H1860" s="31" t="e">
        <f>'[4]#REF'!I1860</f>
        <v>#REF!</v>
      </c>
      <c r="I1860" s="32" t="e">
        <f t="shared" si="59"/>
        <v>#REF!</v>
      </c>
    </row>
    <row r="1861" ht="15.75" spans="6:9">
      <c r="F1861" s="12" t="e">
        <f>'[4]#REF'!F1861</f>
        <v>#REF!</v>
      </c>
      <c r="G1861" s="12" t="e">
        <f>'[4]#REF'!G1861</f>
        <v>#REF!</v>
      </c>
      <c r="H1861" s="31" t="e">
        <f>'[4]#REF'!I1861</f>
        <v>#REF!</v>
      </c>
      <c r="I1861" s="32" t="e">
        <f t="shared" si="59"/>
        <v>#REF!</v>
      </c>
    </row>
    <row r="1862" ht="15.75" spans="6:9">
      <c r="F1862" s="12" t="e">
        <f>'[4]#REF'!F1862</f>
        <v>#REF!</v>
      </c>
      <c r="G1862" s="12" t="e">
        <f>'[4]#REF'!G1862</f>
        <v>#REF!</v>
      </c>
      <c r="H1862" s="31" t="e">
        <f>'[4]#REF'!I1862</f>
        <v>#REF!</v>
      </c>
      <c r="I1862" s="32" t="e">
        <f t="shared" ref="I1862:I1925" si="60">ROUND(H1862/$I$4*100,2)</f>
        <v>#REF!</v>
      </c>
    </row>
    <row r="1863" ht="15.75" spans="6:9">
      <c r="F1863" s="12" t="e">
        <f>'[4]#REF'!F1863</f>
        <v>#REF!</v>
      </c>
      <c r="G1863" s="12" t="e">
        <f>'[4]#REF'!G1863</f>
        <v>#REF!</v>
      </c>
      <c r="H1863" s="31" t="e">
        <f>'[4]#REF'!I1863</f>
        <v>#REF!</v>
      </c>
      <c r="I1863" s="32" t="e">
        <f t="shared" si="60"/>
        <v>#REF!</v>
      </c>
    </row>
    <row r="1864" ht="15.75" spans="6:9">
      <c r="F1864" s="12" t="e">
        <f>'[4]#REF'!F1864</f>
        <v>#REF!</v>
      </c>
      <c r="G1864" s="12" t="e">
        <f>'[4]#REF'!G1864</f>
        <v>#REF!</v>
      </c>
      <c r="H1864" s="31" t="e">
        <f>'[4]#REF'!I1864</f>
        <v>#REF!</v>
      </c>
      <c r="I1864" s="32" t="e">
        <f t="shared" si="60"/>
        <v>#REF!</v>
      </c>
    </row>
    <row r="1865" ht="15.75" spans="6:9">
      <c r="F1865" s="12" t="e">
        <f>'[4]#REF'!F1865</f>
        <v>#REF!</v>
      </c>
      <c r="G1865" s="12" t="e">
        <f>'[4]#REF'!G1865</f>
        <v>#REF!</v>
      </c>
      <c r="H1865" s="31" t="e">
        <f>'[4]#REF'!I1865</f>
        <v>#REF!</v>
      </c>
      <c r="I1865" s="32" t="e">
        <f t="shared" si="60"/>
        <v>#REF!</v>
      </c>
    </row>
    <row r="1866" ht="15.75" spans="6:9">
      <c r="F1866" s="12" t="e">
        <f>'[4]#REF'!F1866</f>
        <v>#REF!</v>
      </c>
      <c r="G1866" s="12" t="e">
        <f>'[4]#REF'!G1866</f>
        <v>#REF!</v>
      </c>
      <c r="H1866" s="31" t="e">
        <f>'[4]#REF'!I1866</f>
        <v>#REF!</v>
      </c>
      <c r="I1866" s="32" t="e">
        <f t="shared" si="60"/>
        <v>#REF!</v>
      </c>
    </row>
    <row r="1867" ht="15.75" spans="6:9">
      <c r="F1867" s="12" t="e">
        <f>'[4]#REF'!F1867</f>
        <v>#REF!</v>
      </c>
      <c r="G1867" s="12" t="e">
        <f>'[4]#REF'!G1867</f>
        <v>#REF!</v>
      </c>
      <c r="H1867" s="31" t="e">
        <f>'[4]#REF'!I1867</f>
        <v>#REF!</v>
      </c>
      <c r="I1867" s="32" t="e">
        <f t="shared" si="60"/>
        <v>#REF!</v>
      </c>
    </row>
    <row r="1868" ht="15.75" spans="6:9">
      <c r="F1868" s="12" t="e">
        <f>'[4]#REF'!F1868</f>
        <v>#REF!</v>
      </c>
      <c r="G1868" s="12" t="e">
        <f>'[4]#REF'!G1868</f>
        <v>#REF!</v>
      </c>
      <c r="H1868" s="31" t="e">
        <f>'[4]#REF'!I1868</f>
        <v>#REF!</v>
      </c>
      <c r="I1868" s="32" t="e">
        <f t="shared" si="60"/>
        <v>#REF!</v>
      </c>
    </row>
    <row r="1869" ht="15.75" spans="6:9">
      <c r="F1869" s="12" t="e">
        <f>'[4]#REF'!F1869</f>
        <v>#REF!</v>
      </c>
      <c r="G1869" s="12" t="e">
        <f>'[4]#REF'!G1869</f>
        <v>#REF!</v>
      </c>
      <c r="H1869" s="31" t="e">
        <f>'[4]#REF'!I1869</f>
        <v>#REF!</v>
      </c>
      <c r="I1869" s="32" t="e">
        <f t="shared" si="60"/>
        <v>#REF!</v>
      </c>
    </row>
    <row r="1870" ht="15.75" spans="6:9">
      <c r="F1870" s="12" t="e">
        <f>'[4]#REF'!F1870</f>
        <v>#REF!</v>
      </c>
      <c r="G1870" s="12" t="e">
        <f>'[4]#REF'!G1870</f>
        <v>#REF!</v>
      </c>
      <c r="H1870" s="31" t="e">
        <f>'[4]#REF'!I1870</f>
        <v>#REF!</v>
      </c>
      <c r="I1870" s="32" t="e">
        <f t="shared" si="60"/>
        <v>#REF!</v>
      </c>
    </row>
    <row r="1871" ht="15.75" spans="6:9">
      <c r="F1871" s="12" t="e">
        <f>'[4]#REF'!F1871</f>
        <v>#REF!</v>
      </c>
      <c r="G1871" s="12" t="e">
        <f>'[4]#REF'!G1871</f>
        <v>#REF!</v>
      </c>
      <c r="H1871" s="31" t="e">
        <f>'[4]#REF'!I1871</f>
        <v>#REF!</v>
      </c>
      <c r="I1871" s="32" t="e">
        <f t="shared" si="60"/>
        <v>#REF!</v>
      </c>
    </row>
    <row r="1872" ht="15.75" spans="6:9">
      <c r="F1872" s="12" t="e">
        <f>'[4]#REF'!F1872</f>
        <v>#REF!</v>
      </c>
      <c r="G1872" s="12" t="e">
        <f>'[4]#REF'!G1872</f>
        <v>#REF!</v>
      </c>
      <c r="H1872" s="31" t="e">
        <f>'[4]#REF'!I1872</f>
        <v>#REF!</v>
      </c>
      <c r="I1872" s="32" t="e">
        <f t="shared" si="60"/>
        <v>#REF!</v>
      </c>
    </row>
    <row r="1873" ht="15.75" spans="6:9">
      <c r="F1873" s="12" t="e">
        <f>'[4]#REF'!F1873</f>
        <v>#REF!</v>
      </c>
      <c r="G1873" s="12" t="e">
        <f>'[4]#REF'!G1873</f>
        <v>#REF!</v>
      </c>
      <c r="H1873" s="31" t="e">
        <f>'[4]#REF'!I1873</f>
        <v>#REF!</v>
      </c>
      <c r="I1873" s="32" t="e">
        <f t="shared" si="60"/>
        <v>#REF!</v>
      </c>
    </row>
    <row r="1874" ht="15.75" spans="6:9">
      <c r="F1874" s="12" t="e">
        <f>'[4]#REF'!F1874</f>
        <v>#REF!</v>
      </c>
      <c r="G1874" s="12" t="e">
        <f>'[4]#REF'!G1874</f>
        <v>#REF!</v>
      </c>
      <c r="H1874" s="31" t="e">
        <f>'[4]#REF'!I1874</f>
        <v>#REF!</v>
      </c>
      <c r="I1874" s="32" t="e">
        <f t="shared" si="60"/>
        <v>#REF!</v>
      </c>
    </row>
    <row r="1875" ht="15.75" spans="6:9">
      <c r="F1875" s="12" t="e">
        <f>'[4]#REF'!F1875</f>
        <v>#REF!</v>
      </c>
      <c r="G1875" s="12" t="e">
        <f>'[4]#REF'!G1875</f>
        <v>#REF!</v>
      </c>
      <c r="H1875" s="31" t="e">
        <f>'[4]#REF'!I1875</f>
        <v>#REF!</v>
      </c>
      <c r="I1875" s="32" t="e">
        <f t="shared" si="60"/>
        <v>#REF!</v>
      </c>
    </row>
    <row r="1876" ht="15.75" spans="6:9">
      <c r="F1876" s="12" t="e">
        <f>'[4]#REF'!F1876</f>
        <v>#REF!</v>
      </c>
      <c r="G1876" s="12" t="e">
        <f>'[4]#REF'!G1876</f>
        <v>#REF!</v>
      </c>
      <c r="H1876" s="31" t="e">
        <f>'[4]#REF'!I1876</f>
        <v>#REF!</v>
      </c>
      <c r="I1876" s="32" t="e">
        <f t="shared" si="60"/>
        <v>#REF!</v>
      </c>
    </row>
    <row r="1877" ht="15.75" spans="6:9">
      <c r="F1877" s="12" t="e">
        <f>'[4]#REF'!F1877</f>
        <v>#REF!</v>
      </c>
      <c r="G1877" s="12" t="e">
        <f>'[4]#REF'!G1877</f>
        <v>#REF!</v>
      </c>
      <c r="H1877" s="31" t="e">
        <f>'[4]#REF'!I1877</f>
        <v>#REF!</v>
      </c>
      <c r="I1877" s="32" t="e">
        <f t="shared" si="60"/>
        <v>#REF!</v>
      </c>
    </row>
    <row r="1878" ht="15.75" spans="6:9">
      <c r="F1878" s="12" t="e">
        <f>'[4]#REF'!F1878</f>
        <v>#REF!</v>
      </c>
      <c r="G1878" s="12" t="e">
        <f>'[4]#REF'!G1878</f>
        <v>#REF!</v>
      </c>
      <c r="H1878" s="31" t="e">
        <f>'[4]#REF'!I1878</f>
        <v>#REF!</v>
      </c>
      <c r="I1878" s="32" t="e">
        <f t="shared" si="60"/>
        <v>#REF!</v>
      </c>
    </row>
    <row r="1879" ht="15.75" spans="6:9">
      <c r="F1879" s="12" t="e">
        <f>'[4]#REF'!F1879</f>
        <v>#REF!</v>
      </c>
      <c r="G1879" s="12" t="e">
        <f>'[4]#REF'!G1879</f>
        <v>#REF!</v>
      </c>
      <c r="H1879" s="31" t="e">
        <f>'[4]#REF'!I1879</f>
        <v>#REF!</v>
      </c>
      <c r="I1879" s="32" t="e">
        <f t="shared" si="60"/>
        <v>#REF!</v>
      </c>
    </row>
    <row r="1880" ht="15.75" spans="6:9">
      <c r="F1880" s="12" t="e">
        <f>'[4]#REF'!F1880</f>
        <v>#REF!</v>
      </c>
      <c r="G1880" s="12" t="e">
        <f>'[4]#REF'!G1880</f>
        <v>#REF!</v>
      </c>
      <c r="H1880" s="31" t="e">
        <f>'[4]#REF'!I1880</f>
        <v>#REF!</v>
      </c>
      <c r="I1880" s="32" t="e">
        <f t="shared" si="60"/>
        <v>#REF!</v>
      </c>
    </row>
    <row r="1881" ht="15.75" spans="6:9">
      <c r="F1881" s="12" t="e">
        <f>'[4]#REF'!F1881</f>
        <v>#REF!</v>
      </c>
      <c r="G1881" s="12" t="e">
        <f>'[4]#REF'!G1881</f>
        <v>#REF!</v>
      </c>
      <c r="H1881" s="31" t="e">
        <f>'[4]#REF'!I1881</f>
        <v>#REF!</v>
      </c>
      <c r="I1881" s="32" t="e">
        <f t="shared" si="60"/>
        <v>#REF!</v>
      </c>
    </row>
    <row r="1882" ht="15.75" spans="6:9">
      <c r="F1882" s="12" t="e">
        <f>'[4]#REF'!F1882</f>
        <v>#REF!</v>
      </c>
      <c r="G1882" s="12" t="e">
        <f>'[4]#REF'!G1882</f>
        <v>#REF!</v>
      </c>
      <c r="H1882" s="31" t="e">
        <f>'[4]#REF'!I1882</f>
        <v>#REF!</v>
      </c>
      <c r="I1882" s="32" t="e">
        <f t="shared" si="60"/>
        <v>#REF!</v>
      </c>
    </row>
    <row r="1883" ht="15.75" spans="6:9">
      <c r="F1883" s="12" t="e">
        <f>'[4]#REF'!F1883</f>
        <v>#REF!</v>
      </c>
      <c r="G1883" s="12" t="e">
        <f>'[4]#REF'!G1883</f>
        <v>#REF!</v>
      </c>
      <c r="H1883" s="31" t="e">
        <f>'[4]#REF'!I1883</f>
        <v>#REF!</v>
      </c>
      <c r="I1883" s="32" t="e">
        <f t="shared" si="60"/>
        <v>#REF!</v>
      </c>
    </row>
    <row r="1884" ht="15.75" spans="6:9">
      <c r="F1884" s="12" t="e">
        <f>'[4]#REF'!F1884</f>
        <v>#REF!</v>
      </c>
      <c r="G1884" s="12" t="e">
        <f>'[4]#REF'!G1884</f>
        <v>#REF!</v>
      </c>
      <c r="H1884" s="31" t="e">
        <f>'[4]#REF'!I1884</f>
        <v>#REF!</v>
      </c>
      <c r="I1884" s="32" t="e">
        <f t="shared" si="60"/>
        <v>#REF!</v>
      </c>
    </row>
    <row r="1885" ht="15.75" spans="6:9">
      <c r="F1885" s="12" t="e">
        <f>'[4]#REF'!F1885</f>
        <v>#REF!</v>
      </c>
      <c r="G1885" s="12" t="e">
        <f>'[4]#REF'!G1885</f>
        <v>#REF!</v>
      </c>
      <c r="H1885" s="31" t="e">
        <f>'[4]#REF'!I1885</f>
        <v>#REF!</v>
      </c>
      <c r="I1885" s="32" t="e">
        <f t="shared" si="60"/>
        <v>#REF!</v>
      </c>
    </row>
    <row r="1886" ht="15.75" spans="6:9">
      <c r="F1886" s="12" t="e">
        <f>'[4]#REF'!F1886</f>
        <v>#REF!</v>
      </c>
      <c r="G1886" s="12" t="e">
        <f>'[4]#REF'!G1886</f>
        <v>#REF!</v>
      </c>
      <c r="H1886" s="31" t="e">
        <f>'[4]#REF'!I1886</f>
        <v>#REF!</v>
      </c>
      <c r="I1886" s="32" t="e">
        <f t="shared" si="60"/>
        <v>#REF!</v>
      </c>
    </row>
    <row r="1887" ht="15.75" spans="6:9">
      <c r="F1887" s="12" t="e">
        <f>'[4]#REF'!F1887</f>
        <v>#REF!</v>
      </c>
      <c r="G1887" s="12" t="e">
        <f>'[4]#REF'!G1887</f>
        <v>#REF!</v>
      </c>
      <c r="H1887" s="31" t="e">
        <f>'[4]#REF'!I1887</f>
        <v>#REF!</v>
      </c>
      <c r="I1887" s="32" t="e">
        <f t="shared" si="60"/>
        <v>#REF!</v>
      </c>
    </row>
    <row r="1888" ht="15.75" spans="6:9">
      <c r="F1888" s="12" t="e">
        <f>'[4]#REF'!F1888</f>
        <v>#REF!</v>
      </c>
      <c r="G1888" s="12" t="e">
        <f>'[4]#REF'!G1888</f>
        <v>#REF!</v>
      </c>
      <c r="H1888" s="31" t="e">
        <f>'[4]#REF'!I1888</f>
        <v>#REF!</v>
      </c>
      <c r="I1888" s="32" t="e">
        <f t="shared" si="60"/>
        <v>#REF!</v>
      </c>
    </row>
    <row r="1889" ht="15.75" spans="6:9">
      <c r="F1889" s="12" t="e">
        <f>'[4]#REF'!F1889</f>
        <v>#REF!</v>
      </c>
      <c r="G1889" s="12" t="e">
        <f>'[4]#REF'!G1889</f>
        <v>#REF!</v>
      </c>
      <c r="H1889" s="31" t="e">
        <f>'[4]#REF'!I1889</f>
        <v>#REF!</v>
      </c>
      <c r="I1889" s="32" t="e">
        <f t="shared" si="60"/>
        <v>#REF!</v>
      </c>
    </row>
    <row r="1890" ht="15.75" spans="6:9">
      <c r="F1890" s="12" t="e">
        <f>'[4]#REF'!F1890</f>
        <v>#REF!</v>
      </c>
      <c r="G1890" s="12" t="e">
        <f>'[4]#REF'!G1890</f>
        <v>#REF!</v>
      </c>
      <c r="H1890" s="31" t="e">
        <f>'[4]#REF'!I1890</f>
        <v>#REF!</v>
      </c>
      <c r="I1890" s="32" t="e">
        <f t="shared" si="60"/>
        <v>#REF!</v>
      </c>
    </row>
    <row r="1891" ht="15.75" spans="6:9">
      <c r="F1891" s="12" t="e">
        <f>'[4]#REF'!F1891</f>
        <v>#REF!</v>
      </c>
      <c r="G1891" s="12" t="e">
        <f>'[4]#REF'!G1891</f>
        <v>#REF!</v>
      </c>
      <c r="H1891" s="31" t="e">
        <f>'[4]#REF'!I1891</f>
        <v>#REF!</v>
      </c>
      <c r="I1891" s="32" t="e">
        <f t="shared" si="60"/>
        <v>#REF!</v>
      </c>
    </row>
    <row r="1892" ht="15.75" spans="6:9">
      <c r="F1892" s="12" t="e">
        <f>'[4]#REF'!F1892</f>
        <v>#REF!</v>
      </c>
      <c r="G1892" s="12" t="e">
        <f>'[4]#REF'!G1892</f>
        <v>#REF!</v>
      </c>
      <c r="H1892" s="31" t="e">
        <f>'[4]#REF'!I1892</f>
        <v>#REF!</v>
      </c>
      <c r="I1892" s="32" t="e">
        <f t="shared" si="60"/>
        <v>#REF!</v>
      </c>
    </row>
    <row r="1893" ht="15.75" spans="6:9">
      <c r="F1893" s="12" t="e">
        <f>'[4]#REF'!F1893</f>
        <v>#REF!</v>
      </c>
      <c r="G1893" s="12" t="e">
        <f>'[4]#REF'!G1893</f>
        <v>#REF!</v>
      </c>
      <c r="H1893" s="31" t="e">
        <f>'[4]#REF'!I1893</f>
        <v>#REF!</v>
      </c>
      <c r="I1893" s="32" t="e">
        <f t="shared" si="60"/>
        <v>#REF!</v>
      </c>
    </row>
    <row r="1894" ht="15.75" spans="6:9">
      <c r="F1894" s="12" t="e">
        <f>'[4]#REF'!F1894</f>
        <v>#REF!</v>
      </c>
      <c r="G1894" s="12" t="e">
        <f>'[4]#REF'!G1894</f>
        <v>#REF!</v>
      </c>
      <c r="H1894" s="31" t="e">
        <f>'[4]#REF'!I1894</f>
        <v>#REF!</v>
      </c>
      <c r="I1894" s="32" t="e">
        <f t="shared" si="60"/>
        <v>#REF!</v>
      </c>
    </row>
    <row r="1895" ht="15.75" spans="6:9">
      <c r="F1895" s="12" t="e">
        <f>'[4]#REF'!F1895</f>
        <v>#REF!</v>
      </c>
      <c r="G1895" s="12" t="e">
        <f>'[4]#REF'!G1895</f>
        <v>#REF!</v>
      </c>
      <c r="H1895" s="31" t="e">
        <f>'[4]#REF'!I1895</f>
        <v>#REF!</v>
      </c>
      <c r="I1895" s="32" t="e">
        <f t="shared" si="60"/>
        <v>#REF!</v>
      </c>
    </row>
    <row r="1896" ht="15.75" spans="6:9">
      <c r="F1896" s="12" t="e">
        <f>'[4]#REF'!F1896</f>
        <v>#REF!</v>
      </c>
      <c r="G1896" s="12" t="e">
        <f>'[4]#REF'!G1896</f>
        <v>#REF!</v>
      </c>
      <c r="H1896" s="31" t="e">
        <f>'[4]#REF'!I1896</f>
        <v>#REF!</v>
      </c>
      <c r="I1896" s="32" t="e">
        <f t="shared" si="60"/>
        <v>#REF!</v>
      </c>
    </row>
    <row r="1897" ht="15.75" spans="6:9">
      <c r="F1897" s="12" t="e">
        <f>'[4]#REF'!F1897</f>
        <v>#REF!</v>
      </c>
      <c r="G1897" s="12" t="e">
        <f>'[4]#REF'!G1897</f>
        <v>#REF!</v>
      </c>
      <c r="H1897" s="31" t="e">
        <f>'[4]#REF'!I1897</f>
        <v>#REF!</v>
      </c>
      <c r="I1897" s="32" t="e">
        <f t="shared" si="60"/>
        <v>#REF!</v>
      </c>
    </row>
    <row r="1898" ht="15.75" spans="6:9">
      <c r="F1898" s="12" t="e">
        <f>'[4]#REF'!F1898</f>
        <v>#REF!</v>
      </c>
      <c r="G1898" s="12" t="e">
        <f>'[4]#REF'!G1898</f>
        <v>#REF!</v>
      </c>
      <c r="H1898" s="31" t="e">
        <f>'[4]#REF'!I1898</f>
        <v>#REF!</v>
      </c>
      <c r="I1898" s="32" t="e">
        <f t="shared" si="60"/>
        <v>#REF!</v>
      </c>
    </row>
    <row r="1899" ht="15.75" spans="6:9">
      <c r="F1899" s="12" t="e">
        <f>'[4]#REF'!F1899</f>
        <v>#REF!</v>
      </c>
      <c r="G1899" s="12" t="e">
        <f>'[4]#REF'!G1899</f>
        <v>#REF!</v>
      </c>
      <c r="H1899" s="31" t="e">
        <f>'[4]#REF'!I1899</f>
        <v>#REF!</v>
      </c>
      <c r="I1899" s="32" t="e">
        <f t="shared" si="60"/>
        <v>#REF!</v>
      </c>
    </row>
    <row r="1900" ht="15.75" spans="6:9">
      <c r="F1900" s="12" t="e">
        <f>'[4]#REF'!F1900</f>
        <v>#REF!</v>
      </c>
      <c r="G1900" s="12" t="e">
        <f>'[4]#REF'!G1900</f>
        <v>#REF!</v>
      </c>
      <c r="H1900" s="31" t="e">
        <f>'[4]#REF'!I1900</f>
        <v>#REF!</v>
      </c>
      <c r="I1900" s="32" t="e">
        <f t="shared" si="60"/>
        <v>#REF!</v>
      </c>
    </row>
    <row r="1901" ht="15.75" spans="6:9">
      <c r="F1901" s="12" t="e">
        <f>'[4]#REF'!F1901</f>
        <v>#REF!</v>
      </c>
      <c r="G1901" s="12" t="e">
        <f>'[4]#REF'!G1901</f>
        <v>#REF!</v>
      </c>
      <c r="H1901" s="31" t="e">
        <f>'[4]#REF'!I1901</f>
        <v>#REF!</v>
      </c>
      <c r="I1901" s="32" t="e">
        <f t="shared" si="60"/>
        <v>#REF!</v>
      </c>
    </row>
    <row r="1902" ht="15.75" spans="6:9">
      <c r="F1902" s="12" t="e">
        <f>'[4]#REF'!F1902</f>
        <v>#REF!</v>
      </c>
      <c r="G1902" s="12" t="e">
        <f>'[4]#REF'!G1902</f>
        <v>#REF!</v>
      </c>
      <c r="H1902" s="31" t="e">
        <f>'[4]#REF'!I1902</f>
        <v>#REF!</v>
      </c>
      <c r="I1902" s="32" t="e">
        <f t="shared" si="60"/>
        <v>#REF!</v>
      </c>
    </row>
    <row r="1903" ht="15.75" spans="6:9">
      <c r="F1903" s="12" t="e">
        <f>'[4]#REF'!F1903</f>
        <v>#REF!</v>
      </c>
      <c r="G1903" s="12" t="e">
        <f>'[4]#REF'!G1903</f>
        <v>#REF!</v>
      </c>
      <c r="H1903" s="31" t="e">
        <f>'[4]#REF'!I1903</f>
        <v>#REF!</v>
      </c>
      <c r="I1903" s="32" t="e">
        <f t="shared" si="60"/>
        <v>#REF!</v>
      </c>
    </row>
    <row r="1904" ht="15.75" spans="6:9">
      <c r="F1904" s="12" t="e">
        <f>'[4]#REF'!F1904</f>
        <v>#REF!</v>
      </c>
      <c r="G1904" s="12" t="e">
        <f>'[4]#REF'!G1904</f>
        <v>#REF!</v>
      </c>
      <c r="H1904" s="31" t="e">
        <f>'[4]#REF'!I1904</f>
        <v>#REF!</v>
      </c>
      <c r="I1904" s="32" t="e">
        <f t="shared" si="60"/>
        <v>#REF!</v>
      </c>
    </row>
    <row r="1905" ht="15.75" spans="6:9">
      <c r="F1905" s="12" t="e">
        <f>'[4]#REF'!F1905</f>
        <v>#REF!</v>
      </c>
      <c r="G1905" s="12" t="e">
        <f>'[4]#REF'!G1905</f>
        <v>#REF!</v>
      </c>
      <c r="H1905" s="31" t="e">
        <f>'[4]#REF'!I1905</f>
        <v>#REF!</v>
      </c>
      <c r="I1905" s="32" t="e">
        <f t="shared" si="60"/>
        <v>#REF!</v>
      </c>
    </row>
    <row r="1906" ht="15.75" spans="6:9">
      <c r="F1906" s="12" t="e">
        <f>'[4]#REF'!F1906</f>
        <v>#REF!</v>
      </c>
      <c r="G1906" s="12" t="e">
        <f>'[4]#REF'!G1906</f>
        <v>#REF!</v>
      </c>
      <c r="H1906" s="31" t="e">
        <f>'[4]#REF'!I1906</f>
        <v>#REF!</v>
      </c>
      <c r="I1906" s="32" t="e">
        <f t="shared" si="60"/>
        <v>#REF!</v>
      </c>
    </row>
    <row r="1907" ht="15.75" spans="6:9">
      <c r="F1907" s="12" t="e">
        <f>'[4]#REF'!F1907</f>
        <v>#REF!</v>
      </c>
      <c r="G1907" s="12" t="e">
        <f>'[4]#REF'!G1907</f>
        <v>#REF!</v>
      </c>
      <c r="H1907" s="31" t="e">
        <f>'[4]#REF'!I1907</f>
        <v>#REF!</v>
      </c>
      <c r="I1907" s="32" t="e">
        <f t="shared" si="60"/>
        <v>#REF!</v>
      </c>
    </row>
    <row r="1908" ht="15.75" spans="6:9">
      <c r="F1908" s="12" t="e">
        <f>'[4]#REF'!F1908</f>
        <v>#REF!</v>
      </c>
      <c r="G1908" s="12" t="e">
        <f>'[4]#REF'!G1908</f>
        <v>#REF!</v>
      </c>
      <c r="H1908" s="31" t="e">
        <f>'[4]#REF'!I1908</f>
        <v>#REF!</v>
      </c>
      <c r="I1908" s="32" t="e">
        <f t="shared" si="60"/>
        <v>#REF!</v>
      </c>
    </row>
    <row r="1909" ht="15.75" spans="6:9">
      <c r="F1909" s="12" t="e">
        <f>'[4]#REF'!F1909</f>
        <v>#REF!</v>
      </c>
      <c r="G1909" s="12" t="e">
        <f>'[4]#REF'!G1909</f>
        <v>#REF!</v>
      </c>
      <c r="H1909" s="31" t="e">
        <f>'[4]#REF'!I1909</f>
        <v>#REF!</v>
      </c>
      <c r="I1909" s="32" t="e">
        <f t="shared" si="60"/>
        <v>#REF!</v>
      </c>
    </row>
    <row r="1910" ht="15.75" spans="6:9">
      <c r="F1910" s="12" t="e">
        <f>'[4]#REF'!F1910</f>
        <v>#REF!</v>
      </c>
      <c r="G1910" s="12" t="e">
        <f>'[4]#REF'!G1910</f>
        <v>#REF!</v>
      </c>
      <c r="H1910" s="31" t="e">
        <f>'[4]#REF'!I1910</f>
        <v>#REF!</v>
      </c>
      <c r="I1910" s="32" t="e">
        <f t="shared" si="60"/>
        <v>#REF!</v>
      </c>
    </row>
    <row r="1911" ht="15.75" spans="6:9">
      <c r="F1911" s="12" t="e">
        <f>'[4]#REF'!F1911</f>
        <v>#REF!</v>
      </c>
      <c r="G1911" s="12" t="e">
        <f>'[4]#REF'!G1911</f>
        <v>#REF!</v>
      </c>
      <c r="H1911" s="31" t="e">
        <f>'[4]#REF'!I1911</f>
        <v>#REF!</v>
      </c>
      <c r="I1911" s="32" t="e">
        <f t="shared" si="60"/>
        <v>#REF!</v>
      </c>
    </row>
    <row r="1912" ht="15.75" spans="6:9">
      <c r="F1912" s="12" t="e">
        <f>'[4]#REF'!F1912</f>
        <v>#REF!</v>
      </c>
      <c r="G1912" s="12" t="e">
        <f>'[4]#REF'!G1912</f>
        <v>#REF!</v>
      </c>
      <c r="H1912" s="31" t="e">
        <f>'[4]#REF'!I1912</f>
        <v>#REF!</v>
      </c>
      <c r="I1912" s="32" t="e">
        <f t="shared" si="60"/>
        <v>#REF!</v>
      </c>
    </row>
    <row r="1913" ht="15.75" spans="6:9">
      <c r="F1913" s="12" t="e">
        <f>'[4]#REF'!F1913</f>
        <v>#REF!</v>
      </c>
      <c r="G1913" s="12" t="e">
        <f>'[4]#REF'!G1913</f>
        <v>#REF!</v>
      </c>
      <c r="H1913" s="31" t="e">
        <f>'[4]#REF'!I1913</f>
        <v>#REF!</v>
      </c>
      <c r="I1913" s="32" t="e">
        <f t="shared" si="60"/>
        <v>#REF!</v>
      </c>
    </row>
    <row r="1914" ht="15.75" spans="6:9">
      <c r="F1914" s="12" t="e">
        <f>'[4]#REF'!F1914</f>
        <v>#REF!</v>
      </c>
      <c r="G1914" s="12" t="e">
        <f>'[4]#REF'!G1914</f>
        <v>#REF!</v>
      </c>
      <c r="H1914" s="31" t="e">
        <f>'[4]#REF'!I1914</f>
        <v>#REF!</v>
      </c>
      <c r="I1914" s="32" t="e">
        <f t="shared" si="60"/>
        <v>#REF!</v>
      </c>
    </row>
    <row r="1915" ht="15.75" spans="6:9">
      <c r="F1915" s="12" t="e">
        <f>'[4]#REF'!F1915</f>
        <v>#REF!</v>
      </c>
      <c r="G1915" s="12" t="e">
        <f>'[4]#REF'!G1915</f>
        <v>#REF!</v>
      </c>
      <c r="H1915" s="31" t="e">
        <f>'[4]#REF'!I1915</f>
        <v>#REF!</v>
      </c>
      <c r="I1915" s="32" t="e">
        <f t="shared" si="60"/>
        <v>#REF!</v>
      </c>
    </row>
    <row r="1916" ht="15.75" spans="6:9">
      <c r="F1916" s="12" t="e">
        <f>'[4]#REF'!F1916</f>
        <v>#REF!</v>
      </c>
      <c r="G1916" s="12" t="e">
        <f>'[4]#REF'!G1916</f>
        <v>#REF!</v>
      </c>
      <c r="H1916" s="31" t="e">
        <f>'[4]#REF'!I1916</f>
        <v>#REF!</v>
      </c>
      <c r="I1916" s="32" t="e">
        <f t="shared" si="60"/>
        <v>#REF!</v>
      </c>
    </row>
    <row r="1917" ht="15.75" spans="6:9">
      <c r="F1917" s="12" t="e">
        <f>'[4]#REF'!F1917</f>
        <v>#REF!</v>
      </c>
      <c r="G1917" s="12" t="e">
        <f>'[4]#REF'!G1917</f>
        <v>#REF!</v>
      </c>
      <c r="H1917" s="31" t="e">
        <f>'[4]#REF'!I1917</f>
        <v>#REF!</v>
      </c>
      <c r="I1917" s="32" t="e">
        <f t="shared" si="60"/>
        <v>#REF!</v>
      </c>
    </row>
    <row r="1918" ht="15.75" spans="6:9">
      <c r="F1918" s="12" t="e">
        <f>'[4]#REF'!F1918</f>
        <v>#REF!</v>
      </c>
      <c r="G1918" s="12" t="e">
        <f>'[4]#REF'!G1918</f>
        <v>#REF!</v>
      </c>
      <c r="H1918" s="31" t="e">
        <f>'[4]#REF'!I1918</f>
        <v>#REF!</v>
      </c>
      <c r="I1918" s="32" t="e">
        <f t="shared" si="60"/>
        <v>#REF!</v>
      </c>
    </row>
    <row r="1919" ht="15.75" spans="6:9">
      <c r="F1919" s="12" t="e">
        <f>'[4]#REF'!F1919</f>
        <v>#REF!</v>
      </c>
      <c r="G1919" s="12" t="e">
        <f>'[4]#REF'!G1919</f>
        <v>#REF!</v>
      </c>
      <c r="H1919" s="31" t="e">
        <f>'[4]#REF'!I1919</f>
        <v>#REF!</v>
      </c>
      <c r="I1919" s="32" t="e">
        <f t="shared" si="60"/>
        <v>#REF!</v>
      </c>
    </row>
    <row r="1920" ht="15.75" spans="6:9">
      <c r="F1920" s="12" t="e">
        <f>'[4]#REF'!F1920</f>
        <v>#REF!</v>
      </c>
      <c r="G1920" s="12" t="e">
        <f>'[4]#REF'!G1920</f>
        <v>#REF!</v>
      </c>
      <c r="H1920" s="31" t="e">
        <f>'[4]#REF'!I1920</f>
        <v>#REF!</v>
      </c>
      <c r="I1920" s="32" t="e">
        <f t="shared" si="60"/>
        <v>#REF!</v>
      </c>
    </row>
    <row r="1921" ht="15.75" spans="6:9">
      <c r="F1921" s="12" t="e">
        <f>'[4]#REF'!F1921</f>
        <v>#REF!</v>
      </c>
      <c r="G1921" s="12" t="e">
        <f>'[4]#REF'!G1921</f>
        <v>#REF!</v>
      </c>
      <c r="H1921" s="31" t="e">
        <f>'[4]#REF'!I1921</f>
        <v>#REF!</v>
      </c>
      <c r="I1921" s="32" t="e">
        <f t="shared" si="60"/>
        <v>#REF!</v>
      </c>
    </row>
    <row r="1922" ht="15.75" spans="6:9">
      <c r="F1922" s="12" t="e">
        <f>'[4]#REF'!F1922</f>
        <v>#REF!</v>
      </c>
      <c r="G1922" s="12" t="e">
        <f>'[4]#REF'!G1922</f>
        <v>#REF!</v>
      </c>
      <c r="H1922" s="31" t="e">
        <f>'[4]#REF'!I1922</f>
        <v>#REF!</v>
      </c>
      <c r="I1922" s="32" t="e">
        <f t="shared" si="60"/>
        <v>#REF!</v>
      </c>
    </row>
    <row r="1923" ht="15.75" spans="6:9">
      <c r="F1923" s="12" t="e">
        <f>'[4]#REF'!F1923</f>
        <v>#REF!</v>
      </c>
      <c r="G1923" s="12" t="e">
        <f>'[4]#REF'!G1923</f>
        <v>#REF!</v>
      </c>
      <c r="H1923" s="31" t="e">
        <f>'[4]#REF'!I1923</f>
        <v>#REF!</v>
      </c>
      <c r="I1923" s="32" t="e">
        <f t="shared" si="60"/>
        <v>#REF!</v>
      </c>
    </row>
    <row r="1924" ht="15.75" spans="6:9">
      <c r="F1924" s="12" t="e">
        <f>'[4]#REF'!F1924</f>
        <v>#REF!</v>
      </c>
      <c r="G1924" s="12" t="e">
        <f>'[4]#REF'!G1924</f>
        <v>#REF!</v>
      </c>
      <c r="H1924" s="31" t="e">
        <f>'[4]#REF'!I1924</f>
        <v>#REF!</v>
      </c>
      <c r="I1924" s="32" t="e">
        <f t="shared" si="60"/>
        <v>#REF!</v>
      </c>
    </row>
    <row r="1925" ht="15.75" spans="6:9">
      <c r="F1925" s="12" t="e">
        <f>'[4]#REF'!F1925</f>
        <v>#REF!</v>
      </c>
      <c r="G1925" s="12" t="e">
        <f>'[4]#REF'!G1925</f>
        <v>#REF!</v>
      </c>
      <c r="H1925" s="31" t="e">
        <f>'[4]#REF'!I1925</f>
        <v>#REF!</v>
      </c>
      <c r="I1925" s="32" t="e">
        <f t="shared" si="60"/>
        <v>#REF!</v>
      </c>
    </row>
    <row r="1926" ht="15.75" spans="6:9">
      <c r="F1926" s="12" t="e">
        <f>'[4]#REF'!F1926</f>
        <v>#REF!</v>
      </c>
      <c r="G1926" s="12" t="e">
        <f>'[4]#REF'!G1926</f>
        <v>#REF!</v>
      </c>
      <c r="H1926" s="31" t="e">
        <f>'[4]#REF'!I1926</f>
        <v>#REF!</v>
      </c>
      <c r="I1926" s="32" t="e">
        <f t="shared" ref="I1926:I1989" si="61">ROUND(H1926/$I$4*100,2)</f>
        <v>#REF!</v>
      </c>
    </row>
    <row r="1927" ht="15.75" spans="6:9">
      <c r="F1927" s="12" t="e">
        <f>'[4]#REF'!F1927</f>
        <v>#REF!</v>
      </c>
      <c r="G1927" s="12" t="e">
        <f>'[4]#REF'!G1927</f>
        <v>#REF!</v>
      </c>
      <c r="H1927" s="31" t="e">
        <f>'[4]#REF'!I1927</f>
        <v>#REF!</v>
      </c>
      <c r="I1927" s="32" t="e">
        <f t="shared" si="61"/>
        <v>#REF!</v>
      </c>
    </row>
    <row r="1928" ht="15.75" spans="6:9">
      <c r="F1928" s="12" t="e">
        <f>'[4]#REF'!F1928</f>
        <v>#REF!</v>
      </c>
      <c r="G1928" s="12" t="e">
        <f>'[4]#REF'!G1928</f>
        <v>#REF!</v>
      </c>
      <c r="H1928" s="31" t="e">
        <f>'[4]#REF'!I1928</f>
        <v>#REF!</v>
      </c>
      <c r="I1928" s="32" t="e">
        <f t="shared" si="61"/>
        <v>#REF!</v>
      </c>
    </row>
    <row r="1929" ht="15.75" spans="6:9">
      <c r="F1929" s="12" t="e">
        <f>'[4]#REF'!F1929</f>
        <v>#REF!</v>
      </c>
      <c r="G1929" s="12" t="e">
        <f>'[4]#REF'!G1929</f>
        <v>#REF!</v>
      </c>
      <c r="H1929" s="31" t="e">
        <f>'[4]#REF'!I1929</f>
        <v>#REF!</v>
      </c>
      <c r="I1929" s="32" t="e">
        <f t="shared" si="61"/>
        <v>#REF!</v>
      </c>
    </row>
    <row r="1930" ht="15.75" spans="6:9">
      <c r="F1930" s="12" t="e">
        <f>'[4]#REF'!F1930</f>
        <v>#REF!</v>
      </c>
      <c r="G1930" s="12" t="e">
        <f>'[4]#REF'!G1930</f>
        <v>#REF!</v>
      </c>
      <c r="H1930" s="31" t="e">
        <f>'[4]#REF'!I1930</f>
        <v>#REF!</v>
      </c>
      <c r="I1930" s="32" t="e">
        <f t="shared" si="61"/>
        <v>#REF!</v>
      </c>
    </row>
    <row r="1931" ht="15.75" spans="6:9">
      <c r="F1931" s="12" t="e">
        <f>'[4]#REF'!F1931</f>
        <v>#REF!</v>
      </c>
      <c r="G1931" s="12" t="e">
        <f>'[4]#REF'!G1931</f>
        <v>#REF!</v>
      </c>
      <c r="H1931" s="31" t="e">
        <f>'[4]#REF'!I1931</f>
        <v>#REF!</v>
      </c>
      <c r="I1931" s="32" t="e">
        <f t="shared" si="61"/>
        <v>#REF!</v>
      </c>
    </row>
    <row r="1932" ht="15.75" spans="6:9">
      <c r="F1932" s="12" t="e">
        <f>'[4]#REF'!F1932</f>
        <v>#REF!</v>
      </c>
      <c r="G1932" s="12" t="e">
        <f>'[4]#REF'!G1932</f>
        <v>#REF!</v>
      </c>
      <c r="H1932" s="31" t="e">
        <f>'[4]#REF'!I1932</f>
        <v>#REF!</v>
      </c>
      <c r="I1932" s="32" t="e">
        <f t="shared" si="61"/>
        <v>#REF!</v>
      </c>
    </row>
    <row r="1933" ht="15.75" spans="6:9">
      <c r="F1933" s="12" t="e">
        <f>'[4]#REF'!F1933</f>
        <v>#REF!</v>
      </c>
      <c r="G1933" s="12" t="e">
        <f>'[4]#REF'!G1933</f>
        <v>#REF!</v>
      </c>
      <c r="H1933" s="31" t="e">
        <f>'[4]#REF'!I1933</f>
        <v>#REF!</v>
      </c>
      <c r="I1933" s="32" t="e">
        <f t="shared" si="61"/>
        <v>#REF!</v>
      </c>
    </row>
    <row r="1934" ht="15.75" spans="6:9">
      <c r="F1934" s="12" t="e">
        <f>'[4]#REF'!F1934</f>
        <v>#REF!</v>
      </c>
      <c r="G1934" s="12" t="e">
        <f>'[4]#REF'!G1934</f>
        <v>#REF!</v>
      </c>
      <c r="H1934" s="31" t="e">
        <f>'[4]#REF'!I1934</f>
        <v>#REF!</v>
      </c>
      <c r="I1934" s="32" t="e">
        <f t="shared" si="61"/>
        <v>#REF!</v>
      </c>
    </row>
    <row r="1935" ht="15.75" spans="6:9">
      <c r="F1935" s="12" t="e">
        <f>'[4]#REF'!F1935</f>
        <v>#REF!</v>
      </c>
      <c r="G1935" s="12" t="e">
        <f>'[4]#REF'!G1935</f>
        <v>#REF!</v>
      </c>
      <c r="H1935" s="31" t="e">
        <f>'[4]#REF'!I1935</f>
        <v>#REF!</v>
      </c>
      <c r="I1935" s="32" t="e">
        <f t="shared" si="61"/>
        <v>#REF!</v>
      </c>
    </row>
    <row r="1936" ht="15.75" spans="6:9">
      <c r="F1936" s="12" t="e">
        <f>'[4]#REF'!F1936</f>
        <v>#REF!</v>
      </c>
      <c r="G1936" s="12" t="e">
        <f>'[4]#REF'!G1936</f>
        <v>#REF!</v>
      </c>
      <c r="H1936" s="31" t="e">
        <f>'[4]#REF'!I1936</f>
        <v>#REF!</v>
      </c>
      <c r="I1936" s="32" t="e">
        <f t="shared" si="61"/>
        <v>#REF!</v>
      </c>
    </row>
    <row r="1937" ht="15.75" spans="6:9">
      <c r="F1937" s="12" t="e">
        <f>'[4]#REF'!F1937</f>
        <v>#REF!</v>
      </c>
      <c r="G1937" s="12" t="e">
        <f>'[4]#REF'!G1937</f>
        <v>#REF!</v>
      </c>
      <c r="H1937" s="31" t="e">
        <f>'[4]#REF'!I1937</f>
        <v>#REF!</v>
      </c>
      <c r="I1937" s="32" t="e">
        <f t="shared" si="61"/>
        <v>#REF!</v>
      </c>
    </row>
    <row r="1938" ht="15.75" spans="6:9">
      <c r="F1938" s="12" t="e">
        <f>'[4]#REF'!F1938</f>
        <v>#REF!</v>
      </c>
      <c r="G1938" s="12" t="e">
        <f>'[4]#REF'!G1938</f>
        <v>#REF!</v>
      </c>
      <c r="H1938" s="31" t="e">
        <f>'[4]#REF'!I1938</f>
        <v>#REF!</v>
      </c>
      <c r="I1938" s="32" t="e">
        <f t="shared" si="61"/>
        <v>#REF!</v>
      </c>
    </row>
    <row r="1939" ht="15.75" spans="6:9">
      <c r="F1939" s="12" t="e">
        <f>'[4]#REF'!F1939</f>
        <v>#REF!</v>
      </c>
      <c r="G1939" s="12" t="e">
        <f>'[4]#REF'!G1939</f>
        <v>#REF!</v>
      </c>
      <c r="H1939" s="31" t="e">
        <f>'[4]#REF'!I1939</f>
        <v>#REF!</v>
      </c>
      <c r="I1939" s="32" t="e">
        <f t="shared" si="61"/>
        <v>#REF!</v>
      </c>
    </row>
    <row r="1940" ht="15.75" spans="6:9">
      <c r="F1940" s="12" t="e">
        <f>'[4]#REF'!F1940</f>
        <v>#REF!</v>
      </c>
      <c r="G1940" s="12" t="e">
        <f>'[4]#REF'!G1940</f>
        <v>#REF!</v>
      </c>
      <c r="H1940" s="31" t="e">
        <f>'[4]#REF'!I1940</f>
        <v>#REF!</v>
      </c>
      <c r="I1940" s="32" t="e">
        <f t="shared" si="61"/>
        <v>#REF!</v>
      </c>
    </row>
    <row r="1941" ht="15.75" spans="6:9">
      <c r="F1941" s="12" t="e">
        <f>'[4]#REF'!F1941</f>
        <v>#REF!</v>
      </c>
      <c r="G1941" s="12" t="e">
        <f>'[4]#REF'!G1941</f>
        <v>#REF!</v>
      </c>
      <c r="H1941" s="31" t="e">
        <f>'[4]#REF'!I1941</f>
        <v>#REF!</v>
      </c>
      <c r="I1941" s="32" t="e">
        <f t="shared" si="61"/>
        <v>#REF!</v>
      </c>
    </row>
    <row r="1942" ht="15.75" spans="6:9">
      <c r="F1942" s="12" t="e">
        <f>'[4]#REF'!F1942</f>
        <v>#REF!</v>
      </c>
      <c r="G1942" s="12" t="e">
        <f>'[4]#REF'!G1942</f>
        <v>#REF!</v>
      </c>
      <c r="H1942" s="31" t="e">
        <f>'[4]#REF'!I1942</f>
        <v>#REF!</v>
      </c>
      <c r="I1942" s="32" t="e">
        <f t="shared" si="61"/>
        <v>#REF!</v>
      </c>
    </row>
    <row r="1943" ht="15.75" spans="6:9">
      <c r="F1943" s="12" t="e">
        <f>'[4]#REF'!F1943</f>
        <v>#REF!</v>
      </c>
      <c r="G1943" s="12" t="e">
        <f>'[4]#REF'!G1943</f>
        <v>#REF!</v>
      </c>
      <c r="H1943" s="31" t="e">
        <f>'[4]#REF'!I1943</f>
        <v>#REF!</v>
      </c>
      <c r="I1943" s="32" t="e">
        <f t="shared" si="61"/>
        <v>#REF!</v>
      </c>
    </row>
    <row r="1944" ht="15.75" spans="6:9">
      <c r="F1944" s="12" t="e">
        <f>'[4]#REF'!F1944</f>
        <v>#REF!</v>
      </c>
      <c r="G1944" s="12" t="e">
        <f>'[4]#REF'!G1944</f>
        <v>#REF!</v>
      </c>
      <c r="H1944" s="31" t="e">
        <f>'[4]#REF'!I1944</f>
        <v>#REF!</v>
      </c>
      <c r="I1944" s="32" t="e">
        <f t="shared" si="61"/>
        <v>#REF!</v>
      </c>
    </row>
    <row r="1945" ht="15.75" spans="6:9">
      <c r="F1945" s="12" t="e">
        <f>'[4]#REF'!F1945</f>
        <v>#REF!</v>
      </c>
      <c r="G1945" s="12" t="e">
        <f>'[4]#REF'!G1945</f>
        <v>#REF!</v>
      </c>
      <c r="H1945" s="31" t="e">
        <f>'[4]#REF'!I1945</f>
        <v>#REF!</v>
      </c>
      <c r="I1945" s="32" t="e">
        <f t="shared" si="61"/>
        <v>#REF!</v>
      </c>
    </row>
    <row r="1946" ht="15.75" spans="6:9">
      <c r="F1946" s="12" t="e">
        <f>'[4]#REF'!F1946</f>
        <v>#REF!</v>
      </c>
      <c r="G1946" s="12" t="e">
        <f>'[4]#REF'!G1946</f>
        <v>#REF!</v>
      </c>
      <c r="H1946" s="31" t="e">
        <f>'[4]#REF'!I1946</f>
        <v>#REF!</v>
      </c>
      <c r="I1946" s="32" t="e">
        <f t="shared" si="61"/>
        <v>#REF!</v>
      </c>
    </row>
    <row r="1947" ht="15.75" spans="6:9">
      <c r="F1947" s="12" t="e">
        <f>'[4]#REF'!F1947</f>
        <v>#REF!</v>
      </c>
      <c r="G1947" s="12" t="e">
        <f>'[4]#REF'!G1947</f>
        <v>#REF!</v>
      </c>
      <c r="H1947" s="31" t="e">
        <f>'[4]#REF'!I1947</f>
        <v>#REF!</v>
      </c>
      <c r="I1947" s="32" t="e">
        <f t="shared" si="61"/>
        <v>#REF!</v>
      </c>
    </row>
    <row r="1948" ht="15.75" spans="6:9">
      <c r="F1948" s="12" t="e">
        <f>'[4]#REF'!F1948</f>
        <v>#REF!</v>
      </c>
      <c r="G1948" s="12" t="e">
        <f>'[4]#REF'!G1948</f>
        <v>#REF!</v>
      </c>
      <c r="H1948" s="31" t="e">
        <f>'[4]#REF'!I1948</f>
        <v>#REF!</v>
      </c>
      <c r="I1948" s="32" t="e">
        <f t="shared" si="61"/>
        <v>#REF!</v>
      </c>
    </row>
    <row r="1949" ht="15.75" spans="6:9">
      <c r="F1949" s="12" t="e">
        <f>'[4]#REF'!F1949</f>
        <v>#REF!</v>
      </c>
      <c r="G1949" s="12" t="e">
        <f>'[4]#REF'!G1949</f>
        <v>#REF!</v>
      </c>
      <c r="H1949" s="31" t="e">
        <f>'[4]#REF'!I1949</f>
        <v>#REF!</v>
      </c>
      <c r="I1949" s="32" t="e">
        <f t="shared" si="61"/>
        <v>#REF!</v>
      </c>
    </row>
    <row r="1950" ht="15.75" spans="6:9">
      <c r="F1950" s="12" t="e">
        <f>'[4]#REF'!F1950</f>
        <v>#REF!</v>
      </c>
      <c r="G1950" s="12" t="e">
        <f>'[4]#REF'!G1950</f>
        <v>#REF!</v>
      </c>
      <c r="H1950" s="31" t="e">
        <f>'[4]#REF'!I1950</f>
        <v>#REF!</v>
      </c>
      <c r="I1950" s="32" t="e">
        <f t="shared" si="61"/>
        <v>#REF!</v>
      </c>
    </row>
    <row r="1951" ht="15.75" spans="6:9">
      <c r="F1951" s="12" t="e">
        <f>'[4]#REF'!F1951</f>
        <v>#REF!</v>
      </c>
      <c r="G1951" s="12" t="e">
        <f>'[4]#REF'!G1951</f>
        <v>#REF!</v>
      </c>
      <c r="H1951" s="31" t="e">
        <f>'[4]#REF'!I1951</f>
        <v>#REF!</v>
      </c>
      <c r="I1951" s="32" t="e">
        <f t="shared" si="61"/>
        <v>#REF!</v>
      </c>
    </row>
    <row r="1952" ht="15.75" spans="6:9">
      <c r="F1952" s="12" t="e">
        <f>'[4]#REF'!F1952</f>
        <v>#REF!</v>
      </c>
      <c r="G1952" s="12" t="e">
        <f>'[4]#REF'!G1952</f>
        <v>#REF!</v>
      </c>
      <c r="H1952" s="31" t="e">
        <f>'[4]#REF'!I1952</f>
        <v>#REF!</v>
      </c>
      <c r="I1952" s="32" t="e">
        <f t="shared" si="61"/>
        <v>#REF!</v>
      </c>
    </row>
    <row r="1953" ht="15.75" spans="6:9">
      <c r="F1953" s="12" t="e">
        <f>'[4]#REF'!F1953</f>
        <v>#REF!</v>
      </c>
      <c r="G1953" s="12" t="e">
        <f>'[4]#REF'!G1953</f>
        <v>#REF!</v>
      </c>
      <c r="H1953" s="31" t="e">
        <f>'[4]#REF'!I1953</f>
        <v>#REF!</v>
      </c>
      <c r="I1953" s="32" t="e">
        <f t="shared" si="61"/>
        <v>#REF!</v>
      </c>
    </row>
    <row r="1954" ht="15.75" spans="6:9">
      <c r="F1954" s="12" t="e">
        <f>'[4]#REF'!F1954</f>
        <v>#REF!</v>
      </c>
      <c r="G1954" s="12" t="e">
        <f>'[4]#REF'!G1954</f>
        <v>#REF!</v>
      </c>
      <c r="H1954" s="31" t="e">
        <f>'[4]#REF'!I1954</f>
        <v>#REF!</v>
      </c>
      <c r="I1954" s="32" t="e">
        <f t="shared" si="61"/>
        <v>#REF!</v>
      </c>
    </row>
    <row r="1955" ht="15.75" spans="6:9">
      <c r="F1955" s="12" t="e">
        <f>'[4]#REF'!F1955</f>
        <v>#REF!</v>
      </c>
      <c r="G1955" s="12" t="e">
        <f>'[4]#REF'!G1955</f>
        <v>#REF!</v>
      </c>
      <c r="H1955" s="31" t="e">
        <f>'[4]#REF'!I1955</f>
        <v>#REF!</v>
      </c>
      <c r="I1955" s="32" t="e">
        <f t="shared" si="61"/>
        <v>#REF!</v>
      </c>
    </row>
    <row r="1956" ht="15.75" spans="6:9">
      <c r="F1956" s="12" t="e">
        <f>'[4]#REF'!F1956</f>
        <v>#REF!</v>
      </c>
      <c r="G1956" s="12" t="e">
        <f>'[4]#REF'!G1956</f>
        <v>#REF!</v>
      </c>
      <c r="H1956" s="31" t="e">
        <f>'[4]#REF'!I1956</f>
        <v>#REF!</v>
      </c>
      <c r="I1956" s="32" t="e">
        <f t="shared" si="61"/>
        <v>#REF!</v>
      </c>
    </row>
    <row r="1957" ht="15.75" spans="6:9">
      <c r="F1957" s="12" t="e">
        <f>'[4]#REF'!F1957</f>
        <v>#REF!</v>
      </c>
      <c r="G1957" s="12" t="e">
        <f>'[4]#REF'!G1957</f>
        <v>#REF!</v>
      </c>
      <c r="H1957" s="31" t="e">
        <f>'[4]#REF'!I1957</f>
        <v>#REF!</v>
      </c>
      <c r="I1957" s="32" t="e">
        <f t="shared" si="61"/>
        <v>#REF!</v>
      </c>
    </row>
    <row r="1958" ht="15.75" spans="6:9">
      <c r="F1958" s="12" t="e">
        <f>'[4]#REF'!F1958</f>
        <v>#REF!</v>
      </c>
      <c r="G1958" s="12" t="e">
        <f>'[4]#REF'!G1958</f>
        <v>#REF!</v>
      </c>
      <c r="H1958" s="31" t="e">
        <f>'[4]#REF'!I1958</f>
        <v>#REF!</v>
      </c>
      <c r="I1958" s="32" t="e">
        <f t="shared" si="61"/>
        <v>#REF!</v>
      </c>
    </row>
    <row r="1959" ht="15.75" spans="6:9">
      <c r="F1959" s="12" t="e">
        <f>'[4]#REF'!F1959</f>
        <v>#REF!</v>
      </c>
      <c r="G1959" s="12" t="e">
        <f>'[4]#REF'!G1959</f>
        <v>#REF!</v>
      </c>
      <c r="H1959" s="31" t="e">
        <f>'[4]#REF'!I1959</f>
        <v>#REF!</v>
      </c>
      <c r="I1959" s="32" t="e">
        <f t="shared" si="61"/>
        <v>#REF!</v>
      </c>
    </row>
    <row r="1960" ht="15.75" spans="6:9">
      <c r="F1960" s="12" t="e">
        <f>'[4]#REF'!F1960</f>
        <v>#REF!</v>
      </c>
      <c r="G1960" s="12" t="e">
        <f>'[4]#REF'!G1960</f>
        <v>#REF!</v>
      </c>
      <c r="H1960" s="31" t="e">
        <f>'[4]#REF'!I1960</f>
        <v>#REF!</v>
      </c>
      <c r="I1960" s="32" t="e">
        <f t="shared" si="61"/>
        <v>#REF!</v>
      </c>
    </row>
    <row r="1961" ht="15.75" spans="6:9">
      <c r="F1961" s="12" t="e">
        <f>'[4]#REF'!F1961</f>
        <v>#REF!</v>
      </c>
      <c r="G1961" s="12" t="e">
        <f>'[4]#REF'!G1961</f>
        <v>#REF!</v>
      </c>
      <c r="H1961" s="31" t="e">
        <f>'[4]#REF'!I1961</f>
        <v>#REF!</v>
      </c>
      <c r="I1961" s="32" t="e">
        <f t="shared" si="61"/>
        <v>#REF!</v>
      </c>
    </row>
    <row r="1962" ht="15.75" spans="6:9">
      <c r="F1962" s="12" t="e">
        <f>'[4]#REF'!F1962</f>
        <v>#REF!</v>
      </c>
      <c r="G1962" s="12" t="e">
        <f>'[4]#REF'!G1962</f>
        <v>#REF!</v>
      </c>
      <c r="H1962" s="31" t="e">
        <f>'[4]#REF'!I1962</f>
        <v>#REF!</v>
      </c>
      <c r="I1962" s="32" t="e">
        <f t="shared" si="61"/>
        <v>#REF!</v>
      </c>
    </row>
    <row r="1963" ht="15.75" spans="6:9">
      <c r="F1963" s="12" t="e">
        <f>'[4]#REF'!F1963</f>
        <v>#REF!</v>
      </c>
      <c r="G1963" s="12" t="e">
        <f>'[4]#REF'!G1963</f>
        <v>#REF!</v>
      </c>
      <c r="H1963" s="31" t="e">
        <f>'[4]#REF'!I1963</f>
        <v>#REF!</v>
      </c>
      <c r="I1963" s="32" t="e">
        <f t="shared" si="61"/>
        <v>#REF!</v>
      </c>
    </row>
    <row r="1964" ht="15.75" spans="6:9">
      <c r="F1964" s="12" t="e">
        <f>'[4]#REF'!F1964</f>
        <v>#REF!</v>
      </c>
      <c r="G1964" s="12" t="e">
        <f>'[4]#REF'!G1964</f>
        <v>#REF!</v>
      </c>
      <c r="H1964" s="31" t="e">
        <f>'[4]#REF'!I1964</f>
        <v>#REF!</v>
      </c>
      <c r="I1964" s="32" t="e">
        <f t="shared" si="61"/>
        <v>#REF!</v>
      </c>
    </row>
    <row r="1965" ht="15.75" spans="6:9">
      <c r="F1965" s="12" t="e">
        <f>'[4]#REF'!F1965</f>
        <v>#REF!</v>
      </c>
      <c r="G1965" s="12" t="e">
        <f>'[4]#REF'!G1965</f>
        <v>#REF!</v>
      </c>
      <c r="H1965" s="31" t="e">
        <f>'[4]#REF'!I1965</f>
        <v>#REF!</v>
      </c>
      <c r="I1965" s="32" t="e">
        <f t="shared" si="61"/>
        <v>#REF!</v>
      </c>
    </row>
    <row r="1966" ht="15.75" spans="6:9">
      <c r="F1966" s="12" t="e">
        <f>'[4]#REF'!F1966</f>
        <v>#REF!</v>
      </c>
      <c r="G1966" s="12" t="e">
        <f>'[4]#REF'!G1966</f>
        <v>#REF!</v>
      </c>
      <c r="H1966" s="31" t="e">
        <f>'[4]#REF'!I1966</f>
        <v>#REF!</v>
      </c>
      <c r="I1966" s="32" t="e">
        <f t="shared" si="61"/>
        <v>#REF!</v>
      </c>
    </row>
    <row r="1967" ht="15.75" spans="6:9">
      <c r="F1967" s="12" t="e">
        <f>'[4]#REF'!F1967</f>
        <v>#REF!</v>
      </c>
      <c r="G1967" s="12" t="e">
        <f>'[4]#REF'!G1967</f>
        <v>#REF!</v>
      </c>
      <c r="H1967" s="31" t="e">
        <f>'[4]#REF'!I1967</f>
        <v>#REF!</v>
      </c>
      <c r="I1967" s="32" t="e">
        <f t="shared" si="61"/>
        <v>#REF!</v>
      </c>
    </row>
    <row r="1968" ht="15.75" spans="6:9">
      <c r="F1968" s="12" t="e">
        <f>'[4]#REF'!F1968</f>
        <v>#REF!</v>
      </c>
      <c r="G1968" s="12" t="e">
        <f>'[4]#REF'!G1968</f>
        <v>#REF!</v>
      </c>
      <c r="H1968" s="31" t="e">
        <f>'[4]#REF'!I1968</f>
        <v>#REF!</v>
      </c>
      <c r="I1968" s="32" t="e">
        <f t="shared" si="61"/>
        <v>#REF!</v>
      </c>
    </row>
    <row r="1969" ht="15.75" spans="6:9">
      <c r="F1969" s="12" t="e">
        <f>'[4]#REF'!F1969</f>
        <v>#REF!</v>
      </c>
      <c r="G1969" s="12" t="e">
        <f>'[4]#REF'!G1969</f>
        <v>#REF!</v>
      </c>
      <c r="H1969" s="31" t="e">
        <f>'[4]#REF'!I1969</f>
        <v>#REF!</v>
      </c>
      <c r="I1969" s="32" t="e">
        <f t="shared" si="61"/>
        <v>#REF!</v>
      </c>
    </row>
    <row r="1970" ht="15.75" spans="6:9">
      <c r="F1970" s="12" t="e">
        <f>'[4]#REF'!F1970</f>
        <v>#REF!</v>
      </c>
      <c r="G1970" s="12" t="e">
        <f>'[4]#REF'!G1970</f>
        <v>#REF!</v>
      </c>
      <c r="H1970" s="31" t="e">
        <f>'[4]#REF'!I1970</f>
        <v>#REF!</v>
      </c>
      <c r="I1970" s="32" t="e">
        <f t="shared" si="61"/>
        <v>#REF!</v>
      </c>
    </row>
    <row r="1971" ht="15.75" spans="6:9">
      <c r="F1971" s="12" t="e">
        <f>'[4]#REF'!F1971</f>
        <v>#REF!</v>
      </c>
      <c r="G1971" s="12" t="e">
        <f>'[4]#REF'!G1971</f>
        <v>#REF!</v>
      </c>
      <c r="H1971" s="31" t="e">
        <f>'[4]#REF'!I1971</f>
        <v>#REF!</v>
      </c>
      <c r="I1971" s="32" t="e">
        <f t="shared" si="61"/>
        <v>#REF!</v>
      </c>
    </row>
    <row r="1972" ht="15.75" spans="6:9">
      <c r="F1972" s="12" t="e">
        <f>'[4]#REF'!F1972</f>
        <v>#REF!</v>
      </c>
      <c r="G1972" s="12" t="e">
        <f>'[4]#REF'!G1972</f>
        <v>#REF!</v>
      </c>
      <c r="H1972" s="31" t="e">
        <f>'[4]#REF'!I1972</f>
        <v>#REF!</v>
      </c>
      <c r="I1972" s="32" t="e">
        <f t="shared" si="61"/>
        <v>#REF!</v>
      </c>
    </row>
    <row r="1973" ht="15.75" spans="6:9">
      <c r="F1973" s="12" t="e">
        <f>'[4]#REF'!F1973</f>
        <v>#REF!</v>
      </c>
      <c r="G1973" s="12" t="e">
        <f>'[4]#REF'!G1973</f>
        <v>#REF!</v>
      </c>
      <c r="H1973" s="31" t="e">
        <f>'[4]#REF'!I1973</f>
        <v>#REF!</v>
      </c>
      <c r="I1973" s="32" t="e">
        <f t="shared" si="61"/>
        <v>#REF!</v>
      </c>
    </row>
    <row r="1974" ht="15.75" spans="6:9">
      <c r="F1974" s="12" t="e">
        <f>'[4]#REF'!F1974</f>
        <v>#REF!</v>
      </c>
      <c r="G1974" s="12" t="e">
        <f>'[4]#REF'!G1974</f>
        <v>#REF!</v>
      </c>
      <c r="H1974" s="31" t="e">
        <f>'[4]#REF'!I1974</f>
        <v>#REF!</v>
      </c>
      <c r="I1974" s="32" t="e">
        <f t="shared" si="61"/>
        <v>#REF!</v>
      </c>
    </row>
    <row r="1975" ht="15.75" spans="6:9">
      <c r="F1975" s="12" t="e">
        <f>'[4]#REF'!F1975</f>
        <v>#REF!</v>
      </c>
      <c r="G1975" s="12" t="e">
        <f>'[4]#REF'!G1975</f>
        <v>#REF!</v>
      </c>
      <c r="H1975" s="31" t="e">
        <f>'[4]#REF'!I1975</f>
        <v>#REF!</v>
      </c>
      <c r="I1975" s="32" t="e">
        <f t="shared" si="61"/>
        <v>#REF!</v>
      </c>
    </row>
    <row r="1976" ht="15.75" spans="6:9">
      <c r="F1976" s="12" t="e">
        <f>'[4]#REF'!F1976</f>
        <v>#REF!</v>
      </c>
      <c r="G1976" s="12" t="e">
        <f>'[4]#REF'!G1976</f>
        <v>#REF!</v>
      </c>
      <c r="H1976" s="31" t="e">
        <f>'[4]#REF'!I1976</f>
        <v>#REF!</v>
      </c>
      <c r="I1976" s="32" t="e">
        <f t="shared" si="61"/>
        <v>#REF!</v>
      </c>
    </row>
    <row r="1977" ht="15.75" spans="6:9">
      <c r="F1977" s="12" t="e">
        <f>'[4]#REF'!F1977</f>
        <v>#REF!</v>
      </c>
      <c r="G1977" s="12" t="e">
        <f>'[4]#REF'!G1977</f>
        <v>#REF!</v>
      </c>
      <c r="H1977" s="31" t="e">
        <f>'[4]#REF'!I1977</f>
        <v>#REF!</v>
      </c>
      <c r="I1977" s="32" t="e">
        <f t="shared" si="61"/>
        <v>#REF!</v>
      </c>
    </row>
    <row r="1978" ht="15.75" spans="6:9">
      <c r="F1978" s="12" t="e">
        <f>'[4]#REF'!F1978</f>
        <v>#REF!</v>
      </c>
      <c r="G1978" s="12" t="e">
        <f>'[4]#REF'!G1978</f>
        <v>#REF!</v>
      </c>
      <c r="H1978" s="31" t="e">
        <f>'[4]#REF'!I1978</f>
        <v>#REF!</v>
      </c>
      <c r="I1978" s="32" t="e">
        <f t="shared" si="61"/>
        <v>#REF!</v>
      </c>
    </row>
    <row r="1979" ht="15.75" spans="6:9">
      <c r="F1979" s="12" t="e">
        <f>'[4]#REF'!F1979</f>
        <v>#REF!</v>
      </c>
      <c r="G1979" s="12" t="e">
        <f>'[4]#REF'!G1979</f>
        <v>#REF!</v>
      </c>
      <c r="H1979" s="31" t="e">
        <f>'[4]#REF'!I1979</f>
        <v>#REF!</v>
      </c>
      <c r="I1979" s="32" t="e">
        <f t="shared" si="61"/>
        <v>#REF!</v>
      </c>
    </row>
    <row r="1980" ht="15.75" spans="6:9">
      <c r="F1980" s="12" t="e">
        <f>'[4]#REF'!F1980</f>
        <v>#REF!</v>
      </c>
      <c r="G1980" s="12" t="e">
        <f>'[4]#REF'!G1980</f>
        <v>#REF!</v>
      </c>
      <c r="H1980" s="31" t="e">
        <f>'[4]#REF'!I1980</f>
        <v>#REF!</v>
      </c>
      <c r="I1980" s="32" t="e">
        <f t="shared" si="61"/>
        <v>#REF!</v>
      </c>
    </row>
    <row r="1981" ht="15.75" spans="6:9">
      <c r="F1981" s="12" t="e">
        <f>'[4]#REF'!F1981</f>
        <v>#REF!</v>
      </c>
      <c r="G1981" s="12" t="e">
        <f>'[4]#REF'!G1981</f>
        <v>#REF!</v>
      </c>
      <c r="H1981" s="31" t="e">
        <f>'[4]#REF'!I1981</f>
        <v>#REF!</v>
      </c>
      <c r="I1981" s="32" t="e">
        <f t="shared" si="61"/>
        <v>#REF!</v>
      </c>
    </row>
    <row r="1982" ht="15.75" spans="6:9">
      <c r="F1982" s="12" t="e">
        <f>'[4]#REF'!F1982</f>
        <v>#REF!</v>
      </c>
      <c r="G1982" s="12" t="e">
        <f>'[4]#REF'!G1982</f>
        <v>#REF!</v>
      </c>
      <c r="H1982" s="31" t="e">
        <f>'[4]#REF'!I1982</f>
        <v>#REF!</v>
      </c>
      <c r="I1982" s="32" t="e">
        <f t="shared" si="61"/>
        <v>#REF!</v>
      </c>
    </row>
    <row r="1983" ht="15.75" spans="6:9">
      <c r="F1983" s="12" t="e">
        <f>'[4]#REF'!F1983</f>
        <v>#REF!</v>
      </c>
      <c r="G1983" s="12" t="e">
        <f>'[4]#REF'!G1983</f>
        <v>#REF!</v>
      </c>
      <c r="H1983" s="31" t="e">
        <f>'[4]#REF'!I1983</f>
        <v>#REF!</v>
      </c>
      <c r="I1983" s="32" t="e">
        <f t="shared" si="61"/>
        <v>#REF!</v>
      </c>
    </row>
    <row r="1984" ht="15.75" spans="6:9">
      <c r="F1984" s="12" t="e">
        <f>'[4]#REF'!F1984</f>
        <v>#REF!</v>
      </c>
      <c r="G1984" s="12" t="e">
        <f>'[4]#REF'!G1984</f>
        <v>#REF!</v>
      </c>
      <c r="H1984" s="31" t="e">
        <f>'[4]#REF'!I1984</f>
        <v>#REF!</v>
      </c>
      <c r="I1984" s="32" t="e">
        <f t="shared" si="61"/>
        <v>#REF!</v>
      </c>
    </row>
    <row r="1985" ht="15.75" spans="6:9">
      <c r="F1985" s="12" t="e">
        <f>'[4]#REF'!F1985</f>
        <v>#REF!</v>
      </c>
      <c r="G1985" s="12" t="e">
        <f>'[4]#REF'!G1985</f>
        <v>#REF!</v>
      </c>
      <c r="H1985" s="31" t="e">
        <f>'[4]#REF'!I1985</f>
        <v>#REF!</v>
      </c>
      <c r="I1985" s="32" t="e">
        <f t="shared" si="61"/>
        <v>#REF!</v>
      </c>
    </row>
    <row r="1986" ht="15.75" spans="6:9">
      <c r="F1986" s="12" t="e">
        <f>'[4]#REF'!F1986</f>
        <v>#REF!</v>
      </c>
      <c r="G1986" s="12" t="e">
        <f>'[4]#REF'!G1986</f>
        <v>#REF!</v>
      </c>
      <c r="H1986" s="31" t="e">
        <f>'[4]#REF'!I1986</f>
        <v>#REF!</v>
      </c>
      <c r="I1986" s="32" t="e">
        <f t="shared" si="61"/>
        <v>#REF!</v>
      </c>
    </row>
    <row r="1987" ht="15.75" spans="6:9">
      <c r="F1987" s="12" t="e">
        <f>'[4]#REF'!F1987</f>
        <v>#REF!</v>
      </c>
      <c r="G1987" s="12" t="e">
        <f>'[4]#REF'!G1987</f>
        <v>#REF!</v>
      </c>
      <c r="H1987" s="31" t="e">
        <f>'[4]#REF'!I1987</f>
        <v>#REF!</v>
      </c>
      <c r="I1987" s="32" t="e">
        <f t="shared" si="61"/>
        <v>#REF!</v>
      </c>
    </row>
    <row r="1988" ht="15.75" spans="6:9">
      <c r="F1988" s="12" t="e">
        <f>'[4]#REF'!F1988</f>
        <v>#REF!</v>
      </c>
      <c r="G1988" s="12" t="e">
        <f>'[4]#REF'!G1988</f>
        <v>#REF!</v>
      </c>
      <c r="H1988" s="31" t="e">
        <f>'[4]#REF'!I1988</f>
        <v>#REF!</v>
      </c>
      <c r="I1988" s="32" t="e">
        <f t="shared" si="61"/>
        <v>#REF!</v>
      </c>
    </row>
    <row r="1989" ht="15.75" spans="6:9">
      <c r="F1989" s="12" t="e">
        <f>'[4]#REF'!F1989</f>
        <v>#REF!</v>
      </c>
      <c r="G1989" s="12" t="e">
        <f>'[4]#REF'!G1989</f>
        <v>#REF!</v>
      </c>
      <c r="H1989" s="31" t="e">
        <f>'[4]#REF'!I1989</f>
        <v>#REF!</v>
      </c>
      <c r="I1989" s="32" t="e">
        <f t="shared" si="61"/>
        <v>#REF!</v>
      </c>
    </row>
    <row r="1990" ht="15.75" spans="6:9">
      <c r="F1990" s="12" t="e">
        <f>'[4]#REF'!F1990</f>
        <v>#REF!</v>
      </c>
      <c r="G1990" s="12" t="e">
        <f>'[4]#REF'!G1990</f>
        <v>#REF!</v>
      </c>
      <c r="H1990" s="31" t="e">
        <f>'[4]#REF'!I1990</f>
        <v>#REF!</v>
      </c>
      <c r="I1990" s="32" t="e">
        <f t="shared" ref="I1990:I2053" si="62">ROUND(H1990/$I$4*100,2)</f>
        <v>#REF!</v>
      </c>
    </row>
    <row r="1991" ht="15.75" spans="6:9">
      <c r="F1991" s="12" t="e">
        <f>'[4]#REF'!F1991</f>
        <v>#REF!</v>
      </c>
      <c r="G1991" s="12" t="e">
        <f>'[4]#REF'!G1991</f>
        <v>#REF!</v>
      </c>
      <c r="H1991" s="31" t="e">
        <f>'[4]#REF'!I1991</f>
        <v>#REF!</v>
      </c>
      <c r="I1991" s="32" t="e">
        <f t="shared" si="62"/>
        <v>#REF!</v>
      </c>
    </row>
    <row r="1992" ht="15.75" spans="6:9">
      <c r="F1992" s="12" t="e">
        <f>'[4]#REF'!F1992</f>
        <v>#REF!</v>
      </c>
      <c r="G1992" s="12" t="e">
        <f>'[4]#REF'!G1992</f>
        <v>#REF!</v>
      </c>
      <c r="H1992" s="31" t="e">
        <f>'[4]#REF'!I1992</f>
        <v>#REF!</v>
      </c>
      <c r="I1992" s="32" t="e">
        <f t="shared" si="62"/>
        <v>#REF!</v>
      </c>
    </row>
    <row r="1993" ht="15.75" spans="6:9">
      <c r="F1993" s="12" t="e">
        <f>'[4]#REF'!F1993</f>
        <v>#REF!</v>
      </c>
      <c r="G1993" s="12" t="e">
        <f>'[4]#REF'!G1993</f>
        <v>#REF!</v>
      </c>
      <c r="H1993" s="31" t="e">
        <f>'[4]#REF'!I1993</f>
        <v>#REF!</v>
      </c>
      <c r="I1993" s="32" t="e">
        <f t="shared" si="62"/>
        <v>#REF!</v>
      </c>
    </row>
    <row r="1994" ht="15.75" spans="6:9">
      <c r="F1994" s="12" t="e">
        <f>'[4]#REF'!F1994</f>
        <v>#REF!</v>
      </c>
      <c r="G1994" s="12" t="e">
        <f>'[4]#REF'!G1994</f>
        <v>#REF!</v>
      </c>
      <c r="H1994" s="31" t="e">
        <f>'[4]#REF'!I1994</f>
        <v>#REF!</v>
      </c>
      <c r="I1994" s="32" t="e">
        <f t="shared" si="62"/>
        <v>#REF!</v>
      </c>
    </row>
    <row r="1995" ht="15.75" spans="6:9">
      <c r="F1995" s="12" t="e">
        <f>'[4]#REF'!F1995</f>
        <v>#REF!</v>
      </c>
      <c r="G1995" s="12" t="e">
        <f>'[4]#REF'!G1995</f>
        <v>#REF!</v>
      </c>
      <c r="H1995" s="31" t="e">
        <f>'[4]#REF'!I1995</f>
        <v>#REF!</v>
      </c>
      <c r="I1995" s="32" t="e">
        <f t="shared" si="62"/>
        <v>#REF!</v>
      </c>
    </row>
    <row r="1996" ht="15.75" spans="6:9">
      <c r="F1996" s="12" t="e">
        <f>'[4]#REF'!F1996</f>
        <v>#REF!</v>
      </c>
      <c r="G1996" s="12" t="e">
        <f>'[4]#REF'!G1996</f>
        <v>#REF!</v>
      </c>
      <c r="H1996" s="31" t="e">
        <f>'[4]#REF'!I1996</f>
        <v>#REF!</v>
      </c>
      <c r="I1996" s="32" t="e">
        <f t="shared" si="62"/>
        <v>#REF!</v>
      </c>
    </row>
    <row r="1997" ht="15.75" spans="6:9">
      <c r="F1997" s="12" t="e">
        <f>'[4]#REF'!F1997</f>
        <v>#REF!</v>
      </c>
      <c r="G1997" s="12" t="e">
        <f>'[4]#REF'!G1997</f>
        <v>#REF!</v>
      </c>
      <c r="H1997" s="31" t="e">
        <f>'[4]#REF'!I1997</f>
        <v>#REF!</v>
      </c>
      <c r="I1997" s="32" t="e">
        <f t="shared" si="62"/>
        <v>#REF!</v>
      </c>
    </row>
    <row r="1998" ht="15.75" spans="6:9">
      <c r="F1998" s="12" t="e">
        <f>'[4]#REF'!F1998</f>
        <v>#REF!</v>
      </c>
      <c r="G1998" s="12" t="e">
        <f>'[4]#REF'!G1998</f>
        <v>#REF!</v>
      </c>
      <c r="H1998" s="31" t="e">
        <f>'[4]#REF'!I1998</f>
        <v>#REF!</v>
      </c>
      <c r="I1998" s="32" t="e">
        <f t="shared" si="62"/>
        <v>#REF!</v>
      </c>
    </row>
    <row r="1999" ht="15.75" spans="6:9">
      <c r="F1999" s="12" t="e">
        <f>'[4]#REF'!F1999</f>
        <v>#REF!</v>
      </c>
      <c r="G1999" s="12" t="e">
        <f>'[4]#REF'!G1999</f>
        <v>#REF!</v>
      </c>
      <c r="H1999" s="31" t="e">
        <f>'[4]#REF'!I1999</f>
        <v>#REF!</v>
      </c>
      <c r="I1999" s="32" t="e">
        <f t="shared" si="62"/>
        <v>#REF!</v>
      </c>
    </row>
    <row r="2000" ht="15.75" spans="6:9">
      <c r="F2000" s="12" t="e">
        <f>'[4]#REF'!F2000</f>
        <v>#REF!</v>
      </c>
      <c r="G2000" s="12" t="e">
        <f>'[4]#REF'!G2000</f>
        <v>#REF!</v>
      </c>
      <c r="H2000" s="31" t="e">
        <f>'[4]#REF'!I2000</f>
        <v>#REF!</v>
      </c>
      <c r="I2000" s="32" t="e">
        <f t="shared" si="62"/>
        <v>#REF!</v>
      </c>
    </row>
    <row r="2001" ht="15.75" spans="6:9">
      <c r="F2001" s="12" t="e">
        <f>'[4]#REF'!F2001</f>
        <v>#REF!</v>
      </c>
      <c r="G2001" s="12" t="e">
        <f>'[4]#REF'!G2001</f>
        <v>#REF!</v>
      </c>
      <c r="H2001" s="31" t="e">
        <f>'[4]#REF'!I2001</f>
        <v>#REF!</v>
      </c>
      <c r="I2001" s="32" t="e">
        <f t="shared" si="62"/>
        <v>#REF!</v>
      </c>
    </row>
    <row r="2002" ht="15.75" spans="6:9">
      <c r="F2002" s="12" t="e">
        <f>'[4]#REF'!F2002</f>
        <v>#REF!</v>
      </c>
      <c r="G2002" s="12" t="e">
        <f>'[4]#REF'!G2002</f>
        <v>#REF!</v>
      </c>
      <c r="H2002" s="31" t="e">
        <f>'[4]#REF'!I2002</f>
        <v>#REF!</v>
      </c>
      <c r="I2002" s="32" t="e">
        <f t="shared" si="62"/>
        <v>#REF!</v>
      </c>
    </row>
    <row r="2003" ht="15.75" spans="6:9">
      <c r="F2003" s="12" t="e">
        <f>'[4]#REF'!F2003</f>
        <v>#REF!</v>
      </c>
      <c r="G2003" s="12" t="e">
        <f>'[4]#REF'!G2003</f>
        <v>#REF!</v>
      </c>
      <c r="H2003" s="31" t="e">
        <f>'[4]#REF'!I2003</f>
        <v>#REF!</v>
      </c>
      <c r="I2003" s="32" t="e">
        <f t="shared" si="62"/>
        <v>#REF!</v>
      </c>
    </row>
    <row r="2004" ht="15.75" spans="6:9">
      <c r="F2004" s="12" t="e">
        <f>'[4]#REF'!F2004</f>
        <v>#REF!</v>
      </c>
      <c r="G2004" s="12" t="e">
        <f>'[4]#REF'!G2004</f>
        <v>#REF!</v>
      </c>
      <c r="H2004" s="31" t="e">
        <f>'[4]#REF'!I2004</f>
        <v>#REF!</v>
      </c>
      <c r="I2004" s="32" t="e">
        <f t="shared" si="62"/>
        <v>#REF!</v>
      </c>
    </row>
    <row r="2005" ht="15.75" spans="6:9">
      <c r="F2005" s="12" t="e">
        <f>'[4]#REF'!F2005</f>
        <v>#REF!</v>
      </c>
      <c r="G2005" s="12" t="e">
        <f>'[4]#REF'!G2005</f>
        <v>#REF!</v>
      </c>
      <c r="H2005" s="31" t="e">
        <f>'[4]#REF'!I2005</f>
        <v>#REF!</v>
      </c>
      <c r="I2005" s="32" t="e">
        <f t="shared" si="62"/>
        <v>#REF!</v>
      </c>
    </row>
    <row r="2006" ht="15.75" spans="6:9">
      <c r="F2006" s="12" t="e">
        <f>'[4]#REF'!F2006</f>
        <v>#REF!</v>
      </c>
      <c r="G2006" s="12" t="e">
        <f>'[4]#REF'!G2006</f>
        <v>#REF!</v>
      </c>
      <c r="H2006" s="31" t="e">
        <f>'[4]#REF'!I2006</f>
        <v>#REF!</v>
      </c>
      <c r="I2006" s="32" t="e">
        <f t="shared" si="62"/>
        <v>#REF!</v>
      </c>
    </row>
    <row r="2007" ht="15.75" spans="6:9">
      <c r="F2007" s="12" t="e">
        <f>'[4]#REF'!F2007</f>
        <v>#REF!</v>
      </c>
      <c r="G2007" s="12" t="e">
        <f>'[4]#REF'!G2007</f>
        <v>#REF!</v>
      </c>
      <c r="H2007" s="31" t="e">
        <f>'[4]#REF'!I2007</f>
        <v>#REF!</v>
      </c>
      <c r="I2007" s="32" t="e">
        <f t="shared" si="62"/>
        <v>#REF!</v>
      </c>
    </row>
    <row r="2008" ht="15.75" spans="6:9">
      <c r="F2008" s="12" t="e">
        <f>'[4]#REF'!F2008</f>
        <v>#REF!</v>
      </c>
      <c r="G2008" s="12" t="e">
        <f>'[4]#REF'!G2008</f>
        <v>#REF!</v>
      </c>
      <c r="H2008" s="31" t="e">
        <f>'[4]#REF'!I2008</f>
        <v>#REF!</v>
      </c>
      <c r="I2008" s="32" t="e">
        <f t="shared" si="62"/>
        <v>#REF!</v>
      </c>
    </row>
    <row r="2009" ht="15.75" spans="6:9">
      <c r="F2009" s="12" t="e">
        <f>'[4]#REF'!F2009</f>
        <v>#REF!</v>
      </c>
      <c r="G2009" s="12" t="e">
        <f>'[4]#REF'!G2009</f>
        <v>#REF!</v>
      </c>
      <c r="H2009" s="31" t="e">
        <f>'[4]#REF'!I2009</f>
        <v>#REF!</v>
      </c>
      <c r="I2009" s="32" t="e">
        <f t="shared" si="62"/>
        <v>#REF!</v>
      </c>
    </row>
    <row r="2010" ht="15.75" spans="6:9">
      <c r="F2010" s="12" t="e">
        <f>'[4]#REF'!F2010</f>
        <v>#REF!</v>
      </c>
      <c r="G2010" s="12" t="e">
        <f>'[4]#REF'!G2010</f>
        <v>#REF!</v>
      </c>
      <c r="H2010" s="31" t="e">
        <f>'[4]#REF'!I2010</f>
        <v>#REF!</v>
      </c>
      <c r="I2010" s="32" t="e">
        <f t="shared" si="62"/>
        <v>#REF!</v>
      </c>
    </row>
    <row r="2011" ht="15.75" spans="6:9">
      <c r="F2011" s="12" t="e">
        <f>'[4]#REF'!F2011</f>
        <v>#REF!</v>
      </c>
      <c r="G2011" s="12" t="e">
        <f>'[4]#REF'!G2011</f>
        <v>#REF!</v>
      </c>
      <c r="H2011" s="31" t="e">
        <f>'[4]#REF'!I2011</f>
        <v>#REF!</v>
      </c>
      <c r="I2011" s="32" t="e">
        <f t="shared" si="62"/>
        <v>#REF!</v>
      </c>
    </row>
    <row r="2012" ht="15.75" spans="6:9">
      <c r="F2012" s="12" t="e">
        <f>'[4]#REF'!F2012</f>
        <v>#REF!</v>
      </c>
      <c r="G2012" s="12" t="e">
        <f>'[4]#REF'!G2012</f>
        <v>#REF!</v>
      </c>
      <c r="H2012" s="31" t="e">
        <f>'[4]#REF'!I2012</f>
        <v>#REF!</v>
      </c>
      <c r="I2012" s="32" t="e">
        <f t="shared" si="62"/>
        <v>#REF!</v>
      </c>
    </row>
    <row r="2013" ht="15.75" spans="6:9">
      <c r="F2013" s="12" t="e">
        <f>'[4]#REF'!F2013</f>
        <v>#REF!</v>
      </c>
      <c r="G2013" s="12" t="e">
        <f>'[4]#REF'!G2013</f>
        <v>#REF!</v>
      </c>
      <c r="H2013" s="31" t="e">
        <f>'[4]#REF'!I2013</f>
        <v>#REF!</v>
      </c>
      <c r="I2013" s="32" t="e">
        <f t="shared" si="62"/>
        <v>#REF!</v>
      </c>
    </row>
    <row r="2014" ht="15.75" spans="6:9">
      <c r="F2014" s="12" t="e">
        <f>'[4]#REF'!F2014</f>
        <v>#REF!</v>
      </c>
      <c r="G2014" s="12" t="e">
        <f>'[4]#REF'!G2014</f>
        <v>#REF!</v>
      </c>
      <c r="H2014" s="31" t="e">
        <f>'[4]#REF'!I2014</f>
        <v>#REF!</v>
      </c>
      <c r="I2014" s="32" t="e">
        <f t="shared" si="62"/>
        <v>#REF!</v>
      </c>
    </row>
    <row r="2015" ht="15.75" spans="6:9">
      <c r="F2015" s="12" t="e">
        <f>'[4]#REF'!F2015</f>
        <v>#REF!</v>
      </c>
      <c r="G2015" s="12" t="e">
        <f>'[4]#REF'!G2015</f>
        <v>#REF!</v>
      </c>
      <c r="H2015" s="31" t="e">
        <f>'[4]#REF'!I2015</f>
        <v>#REF!</v>
      </c>
      <c r="I2015" s="32" t="e">
        <f t="shared" si="62"/>
        <v>#REF!</v>
      </c>
    </row>
    <row r="2016" ht="15.75" spans="6:9">
      <c r="F2016" s="12" t="e">
        <f>'[4]#REF'!F2016</f>
        <v>#REF!</v>
      </c>
      <c r="G2016" s="12" t="e">
        <f>'[4]#REF'!G2016</f>
        <v>#REF!</v>
      </c>
      <c r="H2016" s="31" t="e">
        <f>'[4]#REF'!I2016</f>
        <v>#REF!</v>
      </c>
      <c r="I2016" s="32" t="e">
        <f t="shared" si="62"/>
        <v>#REF!</v>
      </c>
    </row>
    <row r="2017" ht="15.75" spans="6:9">
      <c r="F2017" s="12" t="e">
        <f>'[4]#REF'!F2017</f>
        <v>#REF!</v>
      </c>
      <c r="G2017" s="12" t="e">
        <f>'[4]#REF'!G2017</f>
        <v>#REF!</v>
      </c>
      <c r="H2017" s="31" t="e">
        <f>'[4]#REF'!I2017</f>
        <v>#REF!</v>
      </c>
      <c r="I2017" s="32" t="e">
        <f t="shared" si="62"/>
        <v>#REF!</v>
      </c>
    </row>
    <row r="2018" ht="15.75" spans="6:9">
      <c r="F2018" s="12" t="e">
        <f>'[4]#REF'!F2018</f>
        <v>#REF!</v>
      </c>
      <c r="G2018" s="12" t="e">
        <f>'[4]#REF'!G2018</f>
        <v>#REF!</v>
      </c>
      <c r="H2018" s="31" t="e">
        <f>'[4]#REF'!I2018</f>
        <v>#REF!</v>
      </c>
      <c r="I2018" s="32" t="e">
        <f t="shared" si="62"/>
        <v>#REF!</v>
      </c>
    </row>
    <row r="2019" ht="15.75" spans="6:9">
      <c r="F2019" s="12" t="e">
        <f>'[4]#REF'!F2019</f>
        <v>#REF!</v>
      </c>
      <c r="G2019" s="12" t="e">
        <f>'[4]#REF'!G2019</f>
        <v>#REF!</v>
      </c>
      <c r="H2019" s="31" t="e">
        <f>'[4]#REF'!I2019</f>
        <v>#REF!</v>
      </c>
      <c r="I2019" s="32" t="e">
        <f t="shared" si="62"/>
        <v>#REF!</v>
      </c>
    </row>
    <row r="2020" ht="15.75" spans="6:9">
      <c r="F2020" s="12" t="e">
        <f>'[4]#REF'!F2020</f>
        <v>#REF!</v>
      </c>
      <c r="G2020" s="12" t="e">
        <f>'[4]#REF'!G2020</f>
        <v>#REF!</v>
      </c>
      <c r="H2020" s="31" t="e">
        <f>'[4]#REF'!I2020</f>
        <v>#REF!</v>
      </c>
      <c r="I2020" s="32" t="e">
        <f t="shared" si="62"/>
        <v>#REF!</v>
      </c>
    </row>
    <row r="2021" ht="15.75" spans="6:9">
      <c r="F2021" s="12" t="e">
        <f>'[4]#REF'!F2021</f>
        <v>#REF!</v>
      </c>
      <c r="G2021" s="12" t="e">
        <f>'[4]#REF'!G2021</f>
        <v>#REF!</v>
      </c>
      <c r="H2021" s="31" t="e">
        <f>'[4]#REF'!I2021</f>
        <v>#REF!</v>
      </c>
      <c r="I2021" s="32" t="e">
        <f t="shared" si="62"/>
        <v>#REF!</v>
      </c>
    </row>
    <row r="2022" ht="15.75" spans="6:9">
      <c r="F2022" s="12" t="e">
        <f>'[4]#REF'!F2022</f>
        <v>#REF!</v>
      </c>
      <c r="G2022" s="12" t="e">
        <f>'[4]#REF'!G2022</f>
        <v>#REF!</v>
      </c>
      <c r="H2022" s="31" t="e">
        <f>'[4]#REF'!I2022</f>
        <v>#REF!</v>
      </c>
      <c r="I2022" s="32" t="e">
        <f t="shared" si="62"/>
        <v>#REF!</v>
      </c>
    </row>
    <row r="2023" ht="15.75" spans="6:9">
      <c r="F2023" s="12" t="e">
        <f>'[4]#REF'!F2023</f>
        <v>#REF!</v>
      </c>
      <c r="G2023" s="12" t="e">
        <f>'[4]#REF'!G2023</f>
        <v>#REF!</v>
      </c>
      <c r="H2023" s="31" t="e">
        <f>'[4]#REF'!I2023</f>
        <v>#REF!</v>
      </c>
      <c r="I2023" s="32" t="e">
        <f t="shared" si="62"/>
        <v>#REF!</v>
      </c>
    </row>
    <row r="2024" ht="15.75" spans="6:9">
      <c r="F2024" s="12" t="e">
        <f>'[4]#REF'!F2024</f>
        <v>#REF!</v>
      </c>
      <c r="G2024" s="12" t="e">
        <f>'[4]#REF'!G2024</f>
        <v>#REF!</v>
      </c>
      <c r="H2024" s="31" t="e">
        <f>'[4]#REF'!I2024</f>
        <v>#REF!</v>
      </c>
      <c r="I2024" s="32" t="e">
        <f t="shared" si="62"/>
        <v>#REF!</v>
      </c>
    </row>
    <row r="2025" ht="15.75" spans="6:9">
      <c r="F2025" s="12" t="e">
        <f>'[4]#REF'!F2025</f>
        <v>#REF!</v>
      </c>
      <c r="G2025" s="12" t="e">
        <f>'[4]#REF'!G2025</f>
        <v>#REF!</v>
      </c>
      <c r="H2025" s="31" t="e">
        <f>'[4]#REF'!I2025</f>
        <v>#REF!</v>
      </c>
      <c r="I2025" s="32" t="e">
        <f t="shared" si="62"/>
        <v>#REF!</v>
      </c>
    </row>
    <row r="2026" ht="15.75" spans="6:9">
      <c r="F2026" s="12" t="e">
        <f>'[4]#REF'!F2026</f>
        <v>#REF!</v>
      </c>
      <c r="G2026" s="12" t="e">
        <f>'[4]#REF'!G2026</f>
        <v>#REF!</v>
      </c>
      <c r="H2026" s="31" t="e">
        <f>'[4]#REF'!I2026</f>
        <v>#REF!</v>
      </c>
      <c r="I2026" s="32" t="e">
        <f t="shared" si="62"/>
        <v>#REF!</v>
      </c>
    </row>
    <row r="2027" ht="15.75" spans="6:9">
      <c r="F2027" s="12" t="e">
        <f>'[4]#REF'!F2027</f>
        <v>#REF!</v>
      </c>
      <c r="G2027" s="12" t="e">
        <f>'[4]#REF'!G2027</f>
        <v>#REF!</v>
      </c>
      <c r="H2027" s="31" t="e">
        <f>'[4]#REF'!I2027</f>
        <v>#REF!</v>
      </c>
      <c r="I2027" s="32" t="e">
        <f t="shared" si="62"/>
        <v>#REF!</v>
      </c>
    </row>
    <row r="2028" ht="15.75" spans="6:9">
      <c r="F2028" s="12" t="e">
        <f>'[4]#REF'!F2028</f>
        <v>#REF!</v>
      </c>
      <c r="G2028" s="12" t="e">
        <f>'[4]#REF'!G2028</f>
        <v>#REF!</v>
      </c>
      <c r="H2028" s="31" t="e">
        <f>'[4]#REF'!I2028</f>
        <v>#REF!</v>
      </c>
      <c r="I2028" s="32" t="e">
        <f t="shared" si="62"/>
        <v>#REF!</v>
      </c>
    </row>
    <row r="2029" ht="15.75" spans="6:9">
      <c r="F2029" s="12" t="e">
        <f>'[4]#REF'!F2029</f>
        <v>#REF!</v>
      </c>
      <c r="G2029" s="12" t="e">
        <f>'[4]#REF'!G2029</f>
        <v>#REF!</v>
      </c>
      <c r="H2029" s="31" t="e">
        <f>'[4]#REF'!I2029</f>
        <v>#REF!</v>
      </c>
      <c r="I2029" s="32" t="e">
        <f t="shared" si="62"/>
        <v>#REF!</v>
      </c>
    </row>
    <row r="2030" ht="15.75" spans="6:9">
      <c r="F2030" s="12" t="e">
        <f>'[4]#REF'!F2030</f>
        <v>#REF!</v>
      </c>
      <c r="G2030" s="12" t="e">
        <f>'[4]#REF'!G2030</f>
        <v>#REF!</v>
      </c>
      <c r="H2030" s="31" t="e">
        <f>'[4]#REF'!I2030</f>
        <v>#REF!</v>
      </c>
      <c r="I2030" s="32" t="e">
        <f t="shared" si="62"/>
        <v>#REF!</v>
      </c>
    </row>
    <row r="2031" ht="15.75" spans="6:9">
      <c r="F2031" s="12" t="e">
        <f>'[4]#REF'!F2031</f>
        <v>#REF!</v>
      </c>
      <c r="G2031" s="12" t="e">
        <f>'[4]#REF'!G2031</f>
        <v>#REF!</v>
      </c>
      <c r="H2031" s="31" t="e">
        <f>'[4]#REF'!I2031</f>
        <v>#REF!</v>
      </c>
      <c r="I2031" s="32" t="e">
        <f t="shared" si="62"/>
        <v>#REF!</v>
      </c>
    </row>
    <row r="2032" ht="15.75" spans="6:9">
      <c r="F2032" s="12" t="e">
        <f>'[4]#REF'!F2032</f>
        <v>#REF!</v>
      </c>
      <c r="G2032" s="12" t="e">
        <f>'[4]#REF'!G2032</f>
        <v>#REF!</v>
      </c>
      <c r="H2032" s="31" t="e">
        <f>'[4]#REF'!I2032</f>
        <v>#REF!</v>
      </c>
      <c r="I2032" s="32" t="e">
        <f t="shared" si="62"/>
        <v>#REF!</v>
      </c>
    </row>
    <row r="2033" ht="15.75" spans="6:9">
      <c r="F2033" s="12" t="e">
        <f>'[4]#REF'!F2033</f>
        <v>#REF!</v>
      </c>
      <c r="G2033" s="12" t="e">
        <f>'[4]#REF'!G2033</f>
        <v>#REF!</v>
      </c>
      <c r="H2033" s="31" t="e">
        <f>'[4]#REF'!I2033</f>
        <v>#REF!</v>
      </c>
      <c r="I2033" s="32" t="e">
        <f t="shared" si="62"/>
        <v>#REF!</v>
      </c>
    </row>
    <row r="2034" ht="15.75" spans="6:9">
      <c r="F2034" s="12" t="e">
        <f>'[4]#REF'!F2034</f>
        <v>#REF!</v>
      </c>
      <c r="G2034" s="12" t="e">
        <f>'[4]#REF'!G2034</f>
        <v>#REF!</v>
      </c>
      <c r="H2034" s="31" t="e">
        <f>'[4]#REF'!I2034</f>
        <v>#REF!</v>
      </c>
      <c r="I2034" s="32" t="e">
        <f t="shared" si="62"/>
        <v>#REF!</v>
      </c>
    </row>
    <row r="2035" ht="15.75" spans="6:9">
      <c r="F2035" s="12" t="e">
        <f>'[4]#REF'!F2035</f>
        <v>#REF!</v>
      </c>
      <c r="G2035" s="12" t="e">
        <f>'[4]#REF'!G2035</f>
        <v>#REF!</v>
      </c>
      <c r="H2035" s="31" t="e">
        <f>'[4]#REF'!I2035</f>
        <v>#REF!</v>
      </c>
      <c r="I2035" s="32" t="e">
        <f t="shared" si="62"/>
        <v>#REF!</v>
      </c>
    </row>
    <row r="2036" ht="15.75" spans="6:9">
      <c r="F2036" s="12" t="e">
        <f>'[4]#REF'!F2036</f>
        <v>#REF!</v>
      </c>
      <c r="G2036" s="12" t="e">
        <f>'[4]#REF'!G2036</f>
        <v>#REF!</v>
      </c>
      <c r="H2036" s="31" t="e">
        <f>'[4]#REF'!I2036</f>
        <v>#REF!</v>
      </c>
      <c r="I2036" s="32" t="e">
        <f t="shared" si="62"/>
        <v>#REF!</v>
      </c>
    </row>
    <row r="2037" ht="15.75" spans="6:9">
      <c r="F2037" s="12" t="e">
        <f>'[4]#REF'!F2037</f>
        <v>#REF!</v>
      </c>
      <c r="G2037" s="12" t="e">
        <f>'[4]#REF'!G2037</f>
        <v>#REF!</v>
      </c>
      <c r="H2037" s="31" t="e">
        <f>'[4]#REF'!I2037</f>
        <v>#REF!</v>
      </c>
      <c r="I2037" s="32" t="e">
        <f t="shared" si="62"/>
        <v>#REF!</v>
      </c>
    </row>
    <row r="2038" ht="15.75" spans="6:9">
      <c r="F2038" s="12" t="e">
        <f>'[4]#REF'!F2038</f>
        <v>#REF!</v>
      </c>
      <c r="G2038" s="12" t="e">
        <f>'[4]#REF'!G2038</f>
        <v>#REF!</v>
      </c>
      <c r="H2038" s="31" t="e">
        <f>'[4]#REF'!I2038</f>
        <v>#REF!</v>
      </c>
      <c r="I2038" s="32" t="e">
        <f t="shared" si="62"/>
        <v>#REF!</v>
      </c>
    </row>
    <row r="2039" ht="15.75" spans="6:9">
      <c r="F2039" s="12" t="e">
        <f>'[4]#REF'!F2039</f>
        <v>#REF!</v>
      </c>
      <c r="G2039" s="12" t="e">
        <f>'[4]#REF'!G2039</f>
        <v>#REF!</v>
      </c>
      <c r="H2039" s="31" t="e">
        <f>'[4]#REF'!I2039</f>
        <v>#REF!</v>
      </c>
      <c r="I2039" s="32" t="e">
        <f t="shared" si="62"/>
        <v>#REF!</v>
      </c>
    </row>
    <row r="2040" ht="15.75" spans="6:9">
      <c r="F2040" s="12" t="e">
        <f>'[4]#REF'!F2040</f>
        <v>#REF!</v>
      </c>
      <c r="G2040" s="12" t="e">
        <f>'[4]#REF'!G2040</f>
        <v>#REF!</v>
      </c>
      <c r="H2040" s="31" t="e">
        <f>'[4]#REF'!I2040</f>
        <v>#REF!</v>
      </c>
      <c r="I2040" s="32" t="e">
        <f t="shared" si="62"/>
        <v>#REF!</v>
      </c>
    </row>
    <row r="2041" ht="15.75" spans="6:9">
      <c r="F2041" s="12" t="e">
        <f>'[4]#REF'!F2041</f>
        <v>#REF!</v>
      </c>
      <c r="G2041" s="12" t="e">
        <f>'[4]#REF'!G2041</f>
        <v>#REF!</v>
      </c>
      <c r="H2041" s="31" t="e">
        <f>'[4]#REF'!I2041</f>
        <v>#REF!</v>
      </c>
      <c r="I2041" s="32" t="e">
        <f t="shared" si="62"/>
        <v>#REF!</v>
      </c>
    </row>
    <row r="2042" ht="15.75" spans="6:9">
      <c r="F2042" s="12" t="e">
        <f>'[4]#REF'!F2042</f>
        <v>#REF!</v>
      </c>
      <c r="G2042" s="12" t="e">
        <f>'[4]#REF'!G2042</f>
        <v>#REF!</v>
      </c>
      <c r="H2042" s="31" t="e">
        <f>'[4]#REF'!I2042</f>
        <v>#REF!</v>
      </c>
      <c r="I2042" s="32" t="e">
        <f t="shared" si="62"/>
        <v>#REF!</v>
      </c>
    </row>
    <row r="2043" ht="15.75" spans="6:9">
      <c r="F2043" s="12" t="e">
        <f>'[4]#REF'!F2043</f>
        <v>#REF!</v>
      </c>
      <c r="G2043" s="12" t="e">
        <f>'[4]#REF'!G2043</f>
        <v>#REF!</v>
      </c>
      <c r="H2043" s="31" t="e">
        <f>'[4]#REF'!I2043</f>
        <v>#REF!</v>
      </c>
      <c r="I2043" s="32" t="e">
        <f t="shared" si="62"/>
        <v>#REF!</v>
      </c>
    </row>
    <row r="2044" ht="15.75" spans="6:9">
      <c r="F2044" s="12" t="e">
        <f>'[4]#REF'!F2044</f>
        <v>#REF!</v>
      </c>
      <c r="G2044" s="12" t="e">
        <f>'[4]#REF'!G2044</f>
        <v>#REF!</v>
      </c>
      <c r="H2044" s="31" t="e">
        <f>'[4]#REF'!I2044</f>
        <v>#REF!</v>
      </c>
      <c r="I2044" s="32" t="e">
        <f t="shared" si="62"/>
        <v>#REF!</v>
      </c>
    </row>
    <row r="2045" ht="15.75" spans="6:9">
      <c r="F2045" s="12" t="e">
        <f>'[4]#REF'!F2045</f>
        <v>#REF!</v>
      </c>
      <c r="G2045" s="12" t="e">
        <f>'[4]#REF'!G2045</f>
        <v>#REF!</v>
      </c>
      <c r="H2045" s="31" t="e">
        <f>'[4]#REF'!I2045</f>
        <v>#REF!</v>
      </c>
      <c r="I2045" s="32" t="e">
        <f t="shared" si="62"/>
        <v>#REF!</v>
      </c>
    </row>
    <row r="2046" ht="15.75" spans="6:9">
      <c r="F2046" s="12" t="e">
        <f>'[4]#REF'!F2046</f>
        <v>#REF!</v>
      </c>
      <c r="G2046" s="12" t="e">
        <f>'[4]#REF'!G2046</f>
        <v>#REF!</v>
      </c>
      <c r="H2046" s="31" t="e">
        <f>'[4]#REF'!I2046</f>
        <v>#REF!</v>
      </c>
      <c r="I2046" s="32" t="e">
        <f t="shared" si="62"/>
        <v>#REF!</v>
      </c>
    </row>
    <row r="2047" ht="15.75" spans="6:9">
      <c r="F2047" s="12" t="e">
        <f>'[4]#REF'!F2047</f>
        <v>#REF!</v>
      </c>
      <c r="G2047" s="12" t="e">
        <f>'[4]#REF'!G2047</f>
        <v>#REF!</v>
      </c>
      <c r="H2047" s="31" t="e">
        <f>'[4]#REF'!I2047</f>
        <v>#REF!</v>
      </c>
      <c r="I2047" s="32" t="e">
        <f t="shared" si="62"/>
        <v>#REF!</v>
      </c>
    </row>
    <row r="2048" ht="15.75" spans="6:9">
      <c r="F2048" s="12" t="e">
        <f>'[4]#REF'!F2048</f>
        <v>#REF!</v>
      </c>
      <c r="G2048" s="12" t="e">
        <f>'[4]#REF'!G2048</f>
        <v>#REF!</v>
      </c>
      <c r="H2048" s="31" t="e">
        <f>'[4]#REF'!I2048</f>
        <v>#REF!</v>
      </c>
      <c r="I2048" s="32" t="e">
        <f t="shared" si="62"/>
        <v>#REF!</v>
      </c>
    </row>
    <row r="2049" ht="15.75" spans="6:9">
      <c r="F2049" s="12" t="e">
        <f>'[4]#REF'!F2049</f>
        <v>#REF!</v>
      </c>
      <c r="G2049" s="12" t="e">
        <f>'[4]#REF'!G2049</f>
        <v>#REF!</v>
      </c>
      <c r="H2049" s="31" t="e">
        <f>'[4]#REF'!I2049</f>
        <v>#REF!</v>
      </c>
      <c r="I2049" s="32" t="e">
        <f t="shared" si="62"/>
        <v>#REF!</v>
      </c>
    </row>
    <row r="2050" ht="15.75" spans="6:9">
      <c r="F2050" s="12" t="e">
        <f>'[4]#REF'!F2050</f>
        <v>#REF!</v>
      </c>
      <c r="G2050" s="12" t="e">
        <f>'[4]#REF'!G2050</f>
        <v>#REF!</v>
      </c>
      <c r="H2050" s="31" t="e">
        <f>'[4]#REF'!I2050</f>
        <v>#REF!</v>
      </c>
      <c r="I2050" s="32" t="e">
        <f t="shared" si="62"/>
        <v>#REF!</v>
      </c>
    </row>
    <row r="2051" ht="15.75" spans="6:9">
      <c r="F2051" s="12" t="e">
        <f>'[4]#REF'!F2051</f>
        <v>#REF!</v>
      </c>
      <c r="G2051" s="12" t="e">
        <f>'[4]#REF'!G2051</f>
        <v>#REF!</v>
      </c>
      <c r="H2051" s="31" t="e">
        <f>'[4]#REF'!I2051</f>
        <v>#REF!</v>
      </c>
      <c r="I2051" s="32" t="e">
        <f t="shared" si="62"/>
        <v>#REF!</v>
      </c>
    </row>
    <row r="2052" ht="15.75" spans="6:9">
      <c r="F2052" s="12" t="e">
        <f>'[4]#REF'!F2052</f>
        <v>#REF!</v>
      </c>
      <c r="G2052" s="12" t="e">
        <f>'[4]#REF'!G2052</f>
        <v>#REF!</v>
      </c>
      <c r="H2052" s="31" t="e">
        <f>'[4]#REF'!I2052</f>
        <v>#REF!</v>
      </c>
      <c r="I2052" s="32" t="e">
        <f t="shared" si="62"/>
        <v>#REF!</v>
      </c>
    </row>
    <row r="2053" ht="15.75" spans="6:9">
      <c r="F2053" s="12" t="e">
        <f>'[4]#REF'!F2053</f>
        <v>#REF!</v>
      </c>
      <c r="G2053" s="12" t="e">
        <f>'[4]#REF'!G2053</f>
        <v>#REF!</v>
      </c>
      <c r="H2053" s="31" t="e">
        <f>'[4]#REF'!I2053</f>
        <v>#REF!</v>
      </c>
      <c r="I2053" s="32" t="e">
        <f t="shared" si="62"/>
        <v>#REF!</v>
      </c>
    </row>
    <row r="2054" ht="15.75" spans="6:9">
      <c r="F2054" s="12" t="e">
        <f>'[4]#REF'!F2054</f>
        <v>#REF!</v>
      </c>
      <c r="G2054" s="12" t="e">
        <f>'[4]#REF'!G2054</f>
        <v>#REF!</v>
      </c>
      <c r="H2054" s="31" t="e">
        <f>'[4]#REF'!I2054</f>
        <v>#REF!</v>
      </c>
      <c r="I2054" s="32" t="e">
        <f t="shared" ref="I2054:I2117" si="63">ROUND(H2054/$I$4*100,2)</f>
        <v>#REF!</v>
      </c>
    </row>
    <row r="2055" ht="15.75" spans="6:9">
      <c r="F2055" s="12" t="e">
        <f>'[4]#REF'!F2055</f>
        <v>#REF!</v>
      </c>
      <c r="G2055" s="12" t="e">
        <f>'[4]#REF'!G2055</f>
        <v>#REF!</v>
      </c>
      <c r="H2055" s="31" t="e">
        <f>'[4]#REF'!I2055</f>
        <v>#REF!</v>
      </c>
      <c r="I2055" s="32" t="e">
        <f t="shared" si="63"/>
        <v>#REF!</v>
      </c>
    </row>
    <row r="2056" ht="15.75" spans="6:9">
      <c r="F2056" s="12" t="e">
        <f>'[4]#REF'!F2056</f>
        <v>#REF!</v>
      </c>
      <c r="G2056" s="12" t="e">
        <f>'[4]#REF'!G2056</f>
        <v>#REF!</v>
      </c>
      <c r="H2056" s="31" t="e">
        <f>'[4]#REF'!I2056</f>
        <v>#REF!</v>
      </c>
      <c r="I2056" s="32" t="e">
        <f t="shared" si="63"/>
        <v>#REF!</v>
      </c>
    </row>
    <row r="2057" ht="15.75" spans="6:9">
      <c r="F2057" s="12" t="e">
        <f>'[4]#REF'!F2057</f>
        <v>#REF!</v>
      </c>
      <c r="G2057" s="12" t="e">
        <f>'[4]#REF'!G2057</f>
        <v>#REF!</v>
      </c>
      <c r="H2057" s="31" t="e">
        <f>'[4]#REF'!I2057</f>
        <v>#REF!</v>
      </c>
      <c r="I2057" s="32" t="e">
        <f t="shared" si="63"/>
        <v>#REF!</v>
      </c>
    </row>
    <row r="2058" ht="15.75" spans="6:9">
      <c r="F2058" s="12" t="e">
        <f>'[4]#REF'!F2058</f>
        <v>#REF!</v>
      </c>
      <c r="G2058" s="12" t="e">
        <f>'[4]#REF'!G2058</f>
        <v>#REF!</v>
      </c>
      <c r="H2058" s="31" t="e">
        <f>'[4]#REF'!I2058</f>
        <v>#REF!</v>
      </c>
      <c r="I2058" s="32" t="e">
        <f t="shared" si="63"/>
        <v>#REF!</v>
      </c>
    </row>
    <row r="2059" ht="15.75" spans="6:9">
      <c r="F2059" s="12" t="e">
        <f>'[4]#REF'!F2059</f>
        <v>#REF!</v>
      </c>
      <c r="G2059" s="12" t="e">
        <f>'[4]#REF'!G2059</f>
        <v>#REF!</v>
      </c>
      <c r="H2059" s="31" t="e">
        <f>'[4]#REF'!I2059</f>
        <v>#REF!</v>
      </c>
      <c r="I2059" s="32" t="e">
        <f t="shared" si="63"/>
        <v>#REF!</v>
      </c>
    </row>
    <row r="2060" ht="15.75" spans="6:9">
      <c r="F2060" s="12" t="e">
        <f>'[4]#REF'!F2060</f>
        <v>#REF!</v>
      </c>
      <c r="G2060" s="12" t="e">
        <f>'[4]#REF'!G2060</f>
        <v>#REF!</v>
      </c>
      <c r="H2060" s="31" t="e">
        <f>'[4]#REF'!I2060</f>
        <v>#REF!</v>
      </c>
      <c r="I2060" s="32" t="e">
        <f t="shared" si="63"/>
        <v>#REF!</v>
      </c>
    </row>
    <row r="2061" ht="15.75" spans="6:9">
      <c r="F2061" s="12" t="e">
        <f>'[4]#REF'!F2061</f>
        <v>#REF!</v>
      </c>
      <c r="G2061" s="12" t="e">
        <f>'[4]#REF'!G2061</f>
        <v>#REF!</v>
      </c>
      <c r="H2061" s="31" t="e">
        <f>'[4]#REF'!I2061</f>
        <v>#REF!</v>
      </c>
      <c r="I2061" s="32" t="e">
        <f t="shared" si="63"/>
        <v>#REF!</v>
      </c>
    </row>
    <row r="2062" ht="15.75" spans="6:9">
      <c r="F2062" s="12" t="e">
        <f>'[4]#REF'!F2062</f>
        <v>#REF!</v>
      </c>
      <c r="G2062" s="12" t="e">
        <f>'[4]#REF'!G2062</f>
        <v>#REF!</v>
      </c>
      <c r="H2062" s="31" t="e">
        <f>'[4]#REF'!I2062</f>
        <v>#REF!</v>
      </c>
      <c r="I2062" s="32" t="e">
        <f t="shared" si="63"/>
        <v>#REF!</v>
      </c>
    </row>
    <row r="2063" ht="15.75" spans="6:9">
      <c r="F2063" s="12" t="e">
        <f>'[4]#REF'!F2063</f>
        <v>#REF!</v>
      </c>
      <c r="G2063" s="12" t="e">
        <f>'[4]#REF'!G2063</f>
        <v>#REF!</v>
      </c>
      <c r="H2063" s="31" t="e">
        <f>'[4]#REF'!I2063</f>
        <v>#REF!</v>
      </c>
      <c r="I2063" s="32" t="e">
        <f t="shared" si="63"/>
        <v>#REF!</v>
      </c>
    </row>
    <row r="2064" ht="15.75" spans="6:9">
      <c r="F2064" s="12" t="e">
        <f>'[4]#REF'!F2064</f>
        <v>#REF!</v>
      </c>
      <c r="G2064" s="12" t="e">
        <f>'[4]#REF'!G2064</f>
        <v>#REF!</v>
      </c>
      <c r="H2064" s="31" t="e">
        <f>'[4]#REF'!I2064</f>
        <v>#REF!</v>
      </c>
      <c r="I2064" s="32" t="e">
        <f t="shared" si="63"/>
        <v>#REF!</v>
      </c>
    </row>
    <row r="2065" ht="15.75" spans="6:9">
      <c r="F2065" s="12" t="e">
        <f>'[4]#REF'!F2065</f>
        <v>#REF!</v>
      </c>
      <c r="G2065" s="12" t="e">
        <f>'[4]#REF'!G2065</f>
        <v>#REF!</v>
      </c>
      <c r="H2065" s="31" t="e">
        <f>'[4]#REF'!I2065</f>
        <v>#REF!</v>
      </c>
      <c r="I2065" s="32" t="e">
        <f t="shared" si="63"/>
        <v>#REF!</v>
      </c>
    </row>
    <row r="2066" ht="15.75" spans="6:9">
      <c r="F2066" s="12" t="e">
        <f>'[4]#REF'!F2066</f>
        <v>#REF!</v>
      </c>
      <c r="G2066" s="12" t="e">
        <f>'[4]#REF'!G2066</f>
        <v>#REF!</v>
      </c>
      <c r="H2066" s="31" t="e">
        <f>'[4]#REF'!I2066</f>
        <v>#REF!</v>
      </c>
      <c r="I2066" s="32" t="e">
        <f t="shared" si="63"/>
        <v>#REF!</v>
      </c>
    </row>
    <row r="2067" ht="15.75" spans="6:9">
      <c r="F2067" s="12" t="e">
        <f>'[4]#REF'!F2067</f>
        <v>#REF!</v>
      </c>
      <c r="G2067" s="12" t="e">
        <f>'[4]#REF'!G2067</f>
        <v>#REF!</v>
      </c>
      <c r="H2067" s="31" t="e">
        <f>'[4]#REF'!I2067</f>
        <v>#REF!</v>
      </c>
      <c r="I2067" s="32" t="e">
        <f t="shared" si="63"/>
        <v>#REF!</v>
      </c>
    </row>
    <row r="2068" ht="15.75" spans="6:9">
      <c r="F2068" s="12" t="e">
        <f>'[4]#REF'!F2068</f>
        <v>#REF!</v>
      </c>
      <c r="G2068" s="12" t="e">
        <f>'[4]#REF'!G2068</f>
        <v>#REF!</v>
      </c>
      <c r="H2068" s="31" t="e">
        <f>'[4]#REF'!I2068</f>
        <v>#REF!</v>
      </c>
      <c r="I2068" s="32" t="e">
        <f t="shared" si="63"/>
        <v>#REF!</v>
      </c>
    </row>
    <row r="2069" ht="15.75" spans="6:9">
      <c r="F2069" s="12" t="e">
        <f>'[4]#REF'!F2069</f>
        <v>#REF!</v>
      </c>
      <c r="G2069" s="12" t="e">
        <f>'[4]#REF'!G2069</f>
        <v>#REF!</v>
      </c>
      <c r="H2069" s="31" t="e">
        <f>'[4]#REF'!I2069</f>
        <v>#REF!</v>
      </c>
      <c r="I2069" s="32" t="e">
        <f t="shared" si="63"/>
        <v>#REF!</v>
      </c>
    </row>
    <row r="2070" ht="15.75" spans="6:9">
      <c r="F2070" s="12" t="e">
        <f>'[4]#REF'!F2070</f>
        <v>#REF!</v>
      </c>
      <c r="G2070" s="12" t="e">
        <f>'[4]#REF'!G2070</f>
        <v>#REF!</v>
      </c>
      <c r="H2070" s="31" t="e">
        <f>'[4]#REF'!I2070</f>
        <v>#REF!</v>
      </c>
      <c r="I2070" s="32" t="e">
        <f t="shared" si="63"/>
        <v>#REF!</v>
      </c>
    </row>
    <row r="2071" ht="15.75" spans="6:9">
      <c r="F2071" s="12" t="e">
        <f>'[4]#REF'!F2071</f>
        <v>#REF!</v>
      </c>
      <c r="G2071" s="12" t="e">
        <f>'[4]#REF'!G2071</f>
        <v>#REF!</v>
      </c>
      <c r="H2071" s="31" t="e">
        <f>'[4]#REF'!I2071</f>
        <v>#REF!</v>
      </c>
      <c r="I2071" s="32" t="e">
        <f t="shared" si="63"/>
        <v>#REF!</v>
      </c>
    </row>
    <row r="2072" ht="15.75" spans="6:9">
      <c r="F2072" s="12" t="e">
        <f>'[4]#REF'!F2072</f>
        <v>#REF!</v>
      </c>
      <c r="G2072" s="12" t="e">
        <f>'[4]#REF'!G2072</f>
        <v>#REF!</v>
      </c>
      <c r="H2072" s="31" t="e">
        <f>'[4]#REF'!I2072</f>
        <v>#REF!</v>
      </c>
      <c r="I2072" s="32" t="e">
        <f t="shared" si="63"/>
        <v>#REF!</v>
      </c>
    </row>
    <row r="2073" ht="15.75" spans="6:9">
      <c r="F2073" s="12" t="e">
        <f>'[4]#REF'!F2073</f>
        <v>#REF!</v>
      </c>
      <c r="G2073" s="12" t="e">
        <f>'[4]#REF'!G2073</f>
        <v>#REF!</v>
      </c>
      <c r="H2073" s="31" t="e">
        <f>'[4]#REF'!I2073</f>
        <v>#REF!</v>
      </c>
      <c r="I2073" s="32" t="e">
        <f t="shared" si="63"/>
        <v>#REF!</v>
      </c>
    </row>
    <row r="2074" ht="15.75" spans="6:9">
      <c r="F2074" s="12" t="e">
        <f>'[4]#REF'!F2074</f>
        <v>#REF!</v>
      </c>
      <c r="G2074" s="12" t="e">
        <f>'[4]#REF'!G2074</f>
        <v>#REF!</v>
      </c>
      <c r="H2074" s="31" t="e">
        <f>'[4]#REF'!I2074</f>
        <v>#REF!</v>
      </c>
      <c r="I2074" s="32" t="e">
        <f t="shared" si="63"/>
        <v>#REF!</v>
      </c>
    </row>
    <row r="2075" ht="15.75" spans="6:9">
      <c r="F2075" s="12" t="e">
        <f>'[4]#REF'!F2075</f>
        <v>#REF!</v>
      </c>
      <c r="G2075" s="12" t="e">
        <f>'[4]#REF'!G2075</f>
        <v>#REF!</v>
      </c>
      <c r="H2075" s="31" t="e">
        <f>'[4]#REF'!I2075</f>
        <v>#REF!</v>
      </c>
      <c r="I2075" s="32" t="e">
        <f t="shared" si="63"/>
        <v>#REF!</v>
      </c>
    </row>
    <row r="2076" ht="15.75" spans="6:9">
      <c r="F2076" s="12" t="e">
        <f>'[4]#REF'!F2076</f>
        <v>#REF!</v>
      </c>
      <c r="G2076" s="12" t="e">
        <f>'[4]#REF'!G2076</f>
        <v>#REF!</v>
      </c>
      <c r="H2076" s="31" t="e">
        <f>'[4]#REF'!I2076</f>
        <v>#REF!</v>
      </c>
      <c r="I2076" s="32" t="e">
        <f t="shared" si="63"/>
        <v>#REF!</v>
      </c>
    </row>
    <row r="2077" ht="15.75" spans="6:9">
      <c r="F2077" s="12" t="e">
        <f>'[4]#REF'!F2077</f>
        <v>#REF!</v>
      </c>
      <c r="G2077" s="12" t="e">
        <f>'[4]#REF'!G2077</f>
        <v>#REF!</v>
      </c>
      <c r="H2077" s="31" t="e">
        <f>'[4]#REF'!I2077</f>
        <v>#REF!</v>
      </c>
      <c r="I2077" s="32" t="e">
        <f t="shared" si="63"/>
        <v>#REF!</v>
      </c>
    </row>
    <row r="2078" ht="15.75" spans="6:9">
      <c r="F2078" s="12" t="e">
        <f>'[4]#REF'!F2078</f>
        <v>#REF!</v>
      </c>
      <c r="G2078" s="12" t="e">
        <f>'[4]#REF'!G2078</f>
        <v>#REF!</v>
      </c>
      <c r="H2078" s="31" t="e">
        <f>'[4]#REF'!I2078</f>
        <v>#REF!</v>
      </c>
      <c r="I2078" s="32" t="e">
        <f t="shared" si="63"/>
        <v>#REF!</v>
      </c>
    </row>
    <row r="2079" ht="15.75" spans="6:9">
      <c r="F2079" s="12" t="e">
        <f>'[4]#REF'!F2079</f>
        <v>#REF!</v>
      </c>
      <c r="G2079" s="12" t="e">
        <f>'[4]#REF'!G2079</f>
        <v>#REF!</v>
      </c>
      <c r="H2079" s="31" t="e">
        <f>'[4]#REF'!I2079</f>
        <v>#REF!</v>
      </c>
      <c r="I2079" s="32" t="e">
        <f t="shared" si="63"/>
        <v>#REF!</v>
      </c>
    </row>
    <row r="2080" ht="15.75" spans="6:9">
      <c r="F2080" s="12" t="e">
        <f>'[4]#REF'!F2080</f>
        <v>#REF!</v>
      </c>
      <c r="G2080" s="12" t="e">
        <f>'[4]#REF'!G2080</f>
        <v>#REF!</v>
      </c>
      <c r="H2080" s="31" t="e">
        <f>'[4]#REF'!I2080</f>
        <v>#REF!</v>
      </c>
      <c r="I2080" s="32" t="e">
        <f t="shared" si="63"/>
        <v>#REF!</v>
      </c>
    </row>
    <row r="2081" ht="15.75" spans="6:9">
      <c r="F2081" s="12" t="e">
        <f>'[4]#REF'!F2081</f>
        <v>#REF!</v>
      </c>
      <c r="G2081" s="12" t="e">
        <f>'[4]#REF'!G2081</f>
        <v>#REF!</v>
      </c>
      <c r="H2081" s="31" t="e">
        <f>'[4]#REF'!I2081</f>
        <v>#REF!</v>
      </c>
      <c r="I2081" s="32" t="e">
        <f t="shared" si="63"/>
        <v>#REF!</v>
      </c>
    </row>
    <row r="2082" ht="15.75" spans="6:9">
      <c r="F2082" s="12" t="e">
        <f>'[4]#REF'!F2082</f>
        <v>#REF!</v>
      </c>
      <c r="G2082" s="12" t="e">
        <f>'[4]#REF'!G2082</f>
        <v>#REF!</v>
      </c>
      <c r="H2082" s="31" t="e">
        <f>'[4]#REF'!I2082</f>
        <v>#REF!</v>
      </c>
      <c r="I2082" s="32" t="e">
        <f t="shared" si="63"/>
        <v>#REF!</v>
      </c>
    </row>
    <row r="2083" ht="15.75" spans="6:9">
      <c r="F2083" s="12" t="e">
        <f>'[4]#REF'!F2083</f>
        <v>#REF!</v>
      </c>
      <c r="G2083" s="12" t="e">
        <f>'[4]#REF'!G2083</f>
        <v>#REF!</v>
      </c>
      <c r="H2083" s="31" t="e">
        <f>'[4]#REF'!I2083</f>
        <v>#REF!</v>
      </c>
      <c r="I2083" s="32" t="e">
        <f t="shared" si="63"/>
        <v>#REF!</v>
      </c>
    </row>
    <row r="2084" ht="15.75" spans="6:9">
      <c r="F2084" s="12" t="e">
        <f>'[4]#REF'!F2084</f>
        <v>#REF!</v>
      </c>
      <c r="G2084" s="12" t="e">
        <f>'[4]#REF'!G2084</f>
        <v>#REF!</v>
      </c>
      <c r="H2084" s="31" t="e">
        <f>'[4]#REF'!I2084</f>
        <v>#REF!</v>
      </c>
      <c r="I2084" s="32" t="e">
        <f t="shared" si="63"/>
        <v>#REF!</v>
      </c>
    </row>
    <row r="2085" ht="15.75" spans="6:9">
      <c r="F2085" s="12" t="e">
        <f>'[4]#REF'!F2085</f>
        <v>#REF!</v>
      </c>
      <c r="G2085" s="12" t="e">
        <f>'[4]#REF'!G2085</f>
        <v>#REF!</v>
      </c>
      <c r="H2085" s="31" t="e">
        <f>'[4]#REF'!I2085</f>
        <v>#REF!</v>
      </c>
      <c r="I2085" s="32" t="e">
        <f t="shared" si="63"/>
        <v>#REF!</v>
      </c>
    </row>
    <row r="2086" ht="15.75" spans="6:9">
      <c r="F2086" s="12" t="e">
        <f>'[4]#REF'!F2086</f>
        <v>#REF!</v>
      </c>
      <c r="G2086" s="12" t="e">
        <f>'[4]#REF'!G2086</f>
        <v>#REF!</v>
      </c>
      <c r="H2086" s="31" t="e">
        <f>'[4]#REF'!I2086</f>
        <v>#REF!</v>
      </c>
      <c r="I2086" s="32" t="e">
        <f t="shared" si="63"/>
        <v>#REF!</v>
      </c>
    </row>
    <row r="2087" ht="15.75" spans="6:9">
      <c r="F2087" s="12" t="e">
        <f>'[4]#REF'!F2087</f>
        <v>#REF!</v>
      </c>
      <c r="G2087" s="12" t="e">
        <f>'[4]#REF'!G2087</f>
        <v>#REF!</v>
      </c>
      <c r="H2087" s="31" t="e">
        <f>'[4]#REF'!I2087</f>
        <v>#REF!</v>
      </c>
      <c r="I2087" s="32" t="e">
        <f t="shared" si="63"/>
        <v>#REF!</v>
      </c>
    </row>
    <row r="2088" ht="15.75" spans="6:9">
      <c r="F2088" s="12" t="e">
        <f>'[4]#REF'!F2088</f>
        <v>#REF!</v>
      </c>
      <c r="G2088" s="12" t="e">
        <f>'[4]#REF'!G2088</f>
        <v>#REF!</v>
      </c>
      <c r="H2088" s="31" t="e">
        <f>'[4]#REF'!I2088</f>
        <v>#REF!</v>
      </c>
      <c r="I2088" s="32" t="e">
        <f t="shared" si="63"/>
        <v>#REF!</v>
      </c>
    </row>
    <row r="2089" ht="15.75" spans="6:9">
      <c r="F2089" s="12" t="e">
        <f>'[4]#REF'!F2089</f>
        <v>#REF!</v>
      </c>
      <c r="G2089" s="12" t="e">
        <f>'[4]#REF'!G2089</f>
        <v>#REF!</v>
      </c>
      <c r="H2089" s="31" t="e">
        <f>'[4]#REF'!I2089</f>
        <v>#REF!</v>
      </c>
      <c r="I2089" s="32" t="e">
        <f t="shared" si="63"/>
        <v>#REF!</v>
      </c>
    </row>
    <row r="2090" ht="15.75" spans="6:9">
      <c r="F2090" s="12" t="e">
        <f>'[4]#REF'!F2090</f>
        <v>#REF!</v>
      </c>
      <c r="G2090" s="12" t="e">
        <f>'[4]#REF'!G2090</f>
        <v>#REF!</v>
      </c>
      <c r="H2090" s="31" t="e">
        <f>'[4]#REF'!I2090</f>
        <v>#REF!</v>
      </c>
      <c r="I2090" s="32" t="e">
        <f t="shared" si="63"/>
        <v>#REF!</v>
      </c>
    </row>
    <row r="2091" ht="15.75" spans="6:9">
      <c r="F2091" s="12" t="e">
        <f>'[4]#REF'!F2091</f>
        <v>#REF!</v>
      </c>
      <c r="G2091" s="12" t="e">
        <f>'[4]#REF'!G2091</f>
        <v>#REF!</v>
      </c>
      <c r="H2091" s="31" t="e">
        <f>'[4]#REF'!I2091</f>
        <v>#REF!</v>
      </c>
      <c r="I2091" s="32" t="e">
        <f t="shared" si="63"/>
        <v>#REF!</v>
      </c>
    </row>
    <row r="2092" ht="15.75" spans="6:9">
      <c r="F2092" s="12" t="e">
        <f>'[4]#REF'!F2092</f>
        <v>#REF!</v>
      </c>
      <c r="G2092" s="12" t="e">
        <f>'[4]#REF'!G2092</f>
        <v>#REF!</v>
      </c>
      <c r="H2092" s="31" t="e">
        <f>'[4]#REF'!I2092</f>
        <v>#REF!</v>
      </c>
      <c r="I2092" s="32" t="e">
        <f t="shared" si="63"/>
        <v>#REF!</v>
      </c>
    </row>
    <row r="2093" ht="15.75" spans="6:9">
      <c r="F2093" s="12" t="e">
        <f>'[4]#REF'!F2093</f>
        <v>#REF!</v>
      </c>
      <c r="G2093" s="12" t="e">
        <f>'[4]#REF'!G2093</f>
        <v>#REF!</v>
      </c>
      <c r="H2093" s="31" t="e">
        <f>'[4]#REF'!I2093</f>
        <v>#REF!</v>
      </c>
      <c r="I2093" s="32" t="e">
        <f t="shared" si="63"/>
        <v>#REF!</v>
      </c>
    </row>
    <row r="2094" ht="15.75" spans="6:9">
      <c r="F2094" s="12" t="e">
        <f>'[4]#REF'!F2094</f>
        <v>#REF!</v>
      </c>
      <c r="G2094" s="12" t="e">
        <f>'[4]#REF'!G2094</f>
        <v>#REF!</v>
      </c>
      <c r="H2094" s="31" t="e">
        <f>'[4]#REF'!I2094</f>
        <v>#REF!</v>
      </c>
      <c r="I2094" s="32" t="e">
        <f t="shared" si="63"/>
        <v>#REF!</v>
      </c>
    </row>
    <row r="2095" ht="15.75" spans="6:9">
      <c r="F2095" s="12" t="e">
        <f>'[4]#REF'!F2095</f>
        <v>#REF!</v>
      </c>
      <c r="G2095" s="12" t="e">
        <f>'[4]#REF'!G2095</f>
        <v>#REF!</v>
      </c>
      <c r="H2095" s="31" t="e">
        <f>'[4]#REF'!I2095</f>
        <v>#REF!</v>
      </c>
      <c r="I2095" s="32" t="e">
        <f t="shared" si="63"/>
        <v>#REF!</v>
      </c>
    </row>
    <row r="2096" ht="15.75" spans="6:9">
      <c r="F2096" s="12" t="e">
        <f>'[4]#REF'!F2096</f>
        <v>#REF!</v>
      </c>
      <c r="G2096" s="12" t="e">
        <f>'[4]#REF'!G2096</f>
        <v>#REF!</v>
      </c>
      <c r="H2096" s="31" t="e">
        <f>'[4]#REF'!I2096</f>
        <v>#REF!</v>
      </c>
      <c r="I2096" s="32" t="e">
        <f t="shared" si="63"/>
        <v>#REF!</v>
      </c>
    </row>
    <row r="2097" ht="15.75" spans="6:9">
      <c r="F2097" s="12" t="e">
        <f>'[4]#REF'!F2097</f>
        <v>#REF!</v>
      </c>
      <c r="G2097" s="12" t="e">
        <f>'[4]#REF'!G2097</f>
        <v>#REF!</v>
      </c>
      <c r="H2097" s="31" t="e">
        <f>'[4]#REF'!I2097</f>
        <v>#REF!</v>
      </c>
      <c r="I2097" s="32" t="e">
        <f t="shared" si="63"/>
        <v>#REF!</v>
      </c>
    </row>
    <row r="2098" ht="15.75" spans="6:9">
      <c r="F2098" s="12" t="e">
        <f>'[4]#REF'!F2098</f>
        <v>#REF!</v>
      </c>
      <c r="G2098" s="12" t="e">
        <f>'[4]#REF'!G2098</f>
        <v>#REF!</v>
      </c>
      <c r="H2098" s="31" t="e">
        <f>'[4]#REF'!I2098</f>
        <v>#REF!</v>
      </c>
      <c r="I2098" s="32" t="e">
        <f t="shared" si="63"/>
        <v>#REF!</v>
      </c>
    </row>
    <row r="2099" ht="15.75" spans="6:9">
      <c r="F2099" s="12" t="e">
        <f>'[4]#REF'!F2099</f>
        <v>#REF!</v>
      </c>
      <c r="G2099" s="12" t="e">
        <f>'[4]#REF'!G2099</f>
        <v>#REF!</v>
      </c>
      <c r="H2099" s="31" t="e">
        <f>'[4]#REF'!I2099</f>
        <v>#REF!</v>
      </c>
      <c r="I2099" s="32" t="e">
        <f t="shared" si="63"/>
        <v>#REF!</v>
      </c>
    </row>
    <row r="2100" ht="15.75" spans="6:9">
      <c r="F2100" s="12" t="e">
        <f>'[4]#REF'!F2100</f>
        <v>#REF!</v>
      </c>
      <c r="G2100" s="12" t="e">
        <f>'[4]#REF'!G2100</f>
        <v>#REF!</v>
      </c>
      <c r="H2100" s="31" t="e">
        <f>'[4]#REF'!I2100</f>
        <v>#REF!</v>
      </c>
      <c r="I2100" s="32" t="e">
        <f t="shared" si="63"/>
        <v>#REF!</v>
      </c>
    </row>
    <row r="2101" ht="15.75" spans="6:9">
      <c r="F2101" s="12" t="e">
        <f>'[4]#REF'!F2101</f>
        <v>#REF!</v>
      </c>
      <c r="G2101" s="12" t="e">
        <f>'[4]#REF'!G2101</f>
        <v>#REF!</v>
      </c>
      <c r="H2101" s="31" t="e">
        <f>'[4]#REF'!I2101</f>
        <v>#REF!</v>
      </c>
      <c r="I2101" s="32" t="e">
        <f t="shared" si="63"/>
        <v>#REF!</v>
      </c>
    </row>
    <row r="2102" ht="15.75" spans="6:9">
      <c r="F2102" s="12" t="e">
        <f>'[4]#REF'!F2102</f>
        <v>#REF!</v>
      </c>
      <c r="G2102" s="12" t="e">
        <f>'[4]#REF'!G2102</f>
        <v>#REF!</v>
      </c>
      <c r="H2102" s="31" t="e">
        <f>'[4]#REF'!I2102</f>
        <v>#REF!</v>
      </c>
      <c r="I2102" s="32" t="e">
        <f t="shared" si="63"/>
        <v>#REF!</v>
      </c>
    </row>
    <row r="2103" ht="15.75" spans="6:9">
      <c r="F2103" s="12" t="e">
        <f>'[4]#REF'!F2103</f>
        <v>#REF!</v>
      </c>
      <c r="G2103" s="12" t="e">
        <f>'[4]#REF'!G2103</f>
        <v>#REF!</v>
      </c>
      <c r="H2103" s="31" t="e">
        <f>'[4]#REF'!I2103</f>
        <v>#REF!</v>
      </c>
      <c r="I2103" s="32" t="e">
        <f t="shared" si="63"/>
        <v>#REF!</v>
      </c>
    </row>
    <row r="2104" ht="15.75" spans="6:9">
      <c r="F2104" s="12" t="e">
        <f>'[4]#REF'!F2104</f>
        <v>#REF!</v>
      </c>
      <c r="G2104" s="12" t="e">
        <f>'[4]#REF'!G2104</f>
        <v>#REF!</v>
      </c>
      <c r="H2104" s="31" t="e">
        <f>'[4]#REF'!I2104</f>
        <v>#REF!</v>
      </c>
      <c r="I2104" s="32" t="e">
        <f t="shared" si="63"/>
        <v>#REF!</v>
      </c>
    </row>
    <row r="2105" ht="15.75" spans="6:9">
      <c r="F2105" s="12" t="e">
        <f>'[4]#REF'!F2105</f>
        <v>#REF!</v>
      </c>
      <c r="G2105" s="12" t="e">
        <f>'[4]#REF'!G2105</f>
        <v>#REF!</v>
      </c>
      <c r="H2105" s="31" t="e">
        <f>'[4]#REF'!I2105</f>
        <v>#REF!</v>
      </c>
      <c r="I2105" s="32" t="e">
        <f t="shared" si="63"/>
        <v>#REF!</v>
      </c>
    </row>
    <row r="2106" ht="15.75" spans="6:9">
      <c r="F2106" s="12" t="e">
        <f>'[4]#REF'!F2106</f>
        <v>#REF!</v>
      </c>
      <c r="G2106" s="12" t="e">
        <f>'[4]#REF'!G2106</f>
        <v>#REF!</v>
      </c>
      <c r="H2106" s="31" t="e">
        <f>'[4]#REF'!I2106</f>
        <v>#REF!</v>
      </c>
      <c r="I2106" s="32" t="e">
        <f t="shared" si="63"/>
        <v>#REF!</v>
      </c>
    </row>
    <row r="2107" ht="15.75" spans="6:9">
      <c r="F2107" s="12" t="e">
        <f>'[4]#REF'!F2107</f>
        <v>#REF!</v>
      </c>
      <c r="G2107" s="12" t="e">
        <f>'[4]#REF'!G2107</f>
        <v>#REF!</v>
      </c>
      <c r="H2107" s="31" t="e">
        <f>'[4]#REF'!I2107</f>
        <v>#REF!</v>
      </c>
      <c r="I2107" s="32" t="e">
        <f t="shared" si="63"/>
        <v>#REF!</v>
      </c>
    </row>
    <row r="2108" ht="15.75" spans="6:9">
      <c r="F2108" s="12" t="e">
        <f>'[4]#REF'!F2108</f>
        <v>#REF!</v>
      </c>
      <c r="G2108" s="12" t="e">
        <f>'[4]#REF'!G2108</f>
        <v>#REF!</v>
      </c>
      <c r="H2108" s="31" t="e">
        <f>'[4]#REF'!I2108</f>
        <v>#REF!</v>
      </c>
      <c r="I2108" s="32" t="e">
        <f t="shared" si="63"/>
        <v>#REF!</v>
      </c>
    </row>
    <row r="2109" ht="15.75" spans="6:9">
      <c r="F2109" s="12" t="e">
        <f>'[4]#REF'!F2109</f>
        <v>#REF!</v>
      </c>
      <c r="G2109" s="12" t="e">
        <f>'[4]#REF'!G2109</f>
        <v>#REF!</v>
      </c>
      <c r="H2109" s="31" t="e">
        <f>'[4]#REF'!I2109</f>
        <v>#REF!</v>
      </c>
      <c r="I2109" s="32" t="e">
        <f t="shared" si="63"/>
        <v>#REF!</v>
      </c>
    </row>
    <row r="2110" ht="15.75" spans="6:9">
      <c r="F2110" s="12" t="e">
        <f>'[4]#REF'!F2110</f>
        <v>#REF!</v>
      </c>
      <c r="G2110" s="12" t="e">
        <f>'[4]#REF'!G2110</f>
        <v>#REF!</v>
      </c>
      <c r="H2110" s="31" t="e">
        <f>'[4]#REF'!I2110</f>
        <v>#REF!</v>
      </c>
      <c r="I2110" s="32" t="e">
        <f t="shared" si="63"/>
        <v>#REF!</v>
      </c>
    </row>
    <row r="2111" ht="15.75" spans="6:9">
      <c r="F2111" s="12" t="e">
        <f>'[4]#REF'!F2111</f>
        <v>#REF!</v>
      </c>
      <c r="G2111" s="12" t="e">
        <f>'[4]#REF'!G2111</f>
        <v>#REF!</v>
      </c>
      <c r="H2111" s="31" t="e">
        <f>'[4]#REF'!I2111</f>
        <v>#REF!</v>
      </c>
      <c r="I2111" s="32" t="e">
        <f t="shared" si="63"/>
        <v>#REF!</v>
      </c>
    </row>
    <row r="2112" ht="15.75" spans="6:9">
      <c r="F2112" s="12" t="e">
        <f>'[4]#REF'!F2112</f>
        <v>#REF!</v>
      </c>
      <c r="G2112" s="12" t="e">
        <f>'[4]#REF'!G2112</f>
        <v>#REF!</v>
      </c>
      <c r="H2112" s="31" t="e">
        <f>'[4]#REF'!I2112</f>
        <v>#REF!</v>
      </c>
      <c r="I2112" s="32" t="e">
        <f t="shared" si="63"/>
        <v>#REF!</v>
      </c>
    </row>
    <row r="2113" ht="15.75" spans="6:9">
      <c r="F2113" s="12" t="e">
        <f>'[4]#REF'!F2113</f>
        <v>#REF!</v>
      </c>
      <c r="G2113" s="12" t="e">
        <f>'[4]#REF'!G2113</f>
        <v>#REF!</v>
      </c>
      <c r="H2113" s="31" t="e">
        <f>'[4]#REF'!I2113</f>
        <v>#REF!</v>
      </c>
      <c r="I2113" s="32" t="e">
        <f t="shared" si="63"/>
        <v>#REF!</v>
      </c>
    </row>
    <row r="2114" ht="15.75" spans="6:9">
      <c r="F2114" s="12" t="e">
        <f>'[4]#REF'!F2114</f>
        <v>#REF!</v>
      </c>
      <c r="G2114" s="12" t="e">
        <f>'[4]#REF'!G2114</f>
        <v>#REF!</v>
      </c>
      <c r="H2114" s="31" t="e">
        <f>'[4]#REF'!I2114</f>
        <v>#REF!</v>
      </c>
      <c r="I2114" s="32" t="e">
        <f t="shared" si="63"/>
        <v>#REF!</v>
      </c>
    </row>
    <row r="2115" ht="15.75" spans="6:9">
      <c r="F2115" s="12" t="e">
        <f>'[4]#REF'!F2115</f>
        <v>#REF!</v>
      </c>
      <c r="G2115" s="12" t="e">
        <f>'[4]#REF'!G2115</f>
        <v>#REF!</v>
      </c>
      <c r="H2115" s="31" t="e">
        <f>'[4]#REF'!I2115</f>
        <v>#REF!</v>
      </c>
      <c r="I2115" s="32" t="e">
        <f t="shared" si="63"/>
        <v>#REF!</v>
      </c>
    </row>
    <row r="2116" ht="15.75" spans="6:9">
      <c r="F2116" s="12" t="e">
        <f>'[4]#REF'!F2116</f>
        <v>#REF!</v>
      </c>
      <c r="G2116" s="12" t="e">
        <f>'[4]#REF'!G2116</f>
        <v>#REF!</v>
      </c>
      <c r="H2116" s="31" t="e">
        <f>'[4]#REF'!I2116</f>
        <v>#REF!</v>
      </c>
      <c r="I2116" s="32" t="e">
        <f t="shared" si="63"/>
        <v>#REF!</v>
      </c>
    </row>
    <row r="2117" ht="15.75" spans="6:9">
      <c r="F2117" s="12" t="e">
        <f>'[4]#REF'!F2117</f>
        <v>#REF!</v>
      </c>
      <c r="G2117" s="12" t="e">
        <f>'[4]#REF'!G2117</f>
        <v>#REF!</v>
      </c>
      <c r="H2117" s="31" t="e">
        <f>'[4]#REF'!I2117</f>
        <v>#REF!</v>
      </c>
      <c r="I2117" s="32" t="e">
        <f t="shared" si="63"/>
        <v>#REF!</v>
      </c>
    </row>
    <row r="2118" ht="15.75" spans="6:9">
      <c r="F2118" s="12" t="e">
        <f>'[4]#REF'!F2118</f>
        <v>#REF!</v>
      </c>
      <c r="G2118" s="12" t="e">
        <f>'[4]#REF'!G2118</f>
        <v>#REF!</v>
      </c>
      <c r="H2118" s="31" t="e">
        <f>'[4]#REF'!I2118</f>
        <v>#REF!</v>
      </c>
      <c r="I2118" s="32" t="e">
        <f t="shared" ref="I2118:I2181" si="64">ROUND(H2118/$I$4*100,2)</f>
        <v>#REF!</v>
      </c>
    </row>
    <row r="2119" ht="15.75" spans="6:9">
      <c r="F2119" s="12" t="e">
        <f>'[4]#REF'!F2119</f>
        <v>#REF!</v>
      </c>
      <c r="G2119" s="12" t="e">
        <f>'[4]#REF'!G2119</f>
        <v>#REF!</v>
      </c>
      <c r="H2119" s="31" t="e">
        <f>'[4]#REF'!I2119</f>
        <v>#REF!</v>
      </c>
      <c r="I2119" s="32" t="e">
        <f t="shared" si="64"/>
        <v>#REF!</v>
      </c>
    </row>
    <row r="2120" ht="15.75" spans="6:9">
      <c r="F2120" s="12" t="e">
        <f>'[4]#REF'!F2120</f>
        <v>#REF!</v>
      </c>
      <c r="G2120" s="12" t="e">
        <f>'[4]#REF'!G2120</f>
        <v>#REF!</v>
      </c>
      <c r="H2120" s="31" t="e">
        <f>'[4]#REF'!I2120</f>
        <v>#REF!</v>
      </c>
      <c r="I2120" s="32" t="e">
        <f t="shared" si="64"/>
        <v>#REF!</v>
      </c>
    </row>
    <row r="2121" ht="15.75" spans="6:9">
      <c r="F2121" s="12" t="e">
        <f>'[4]#REF'!F2121</f>
        <v>#REF!</v>
      </c>
      <c r="G2121" s="12" t="e">
        <f>'[4]#REF'!G2121</f>
        <v>#REF!</v>
      </c>
      <c r="H2121" s="31" t="e">
        <f>'[4]#REF'!I2121</f>
        <v>#REF!</v>
      </c>
      <c r="I2121" s="32" t="e">
        <f t="shared" si="64"/>
        <v>#REF!</v>
      </c>
    </row>
    <row r="2122" ht="15.75" spans="6:9">
      <c r="F2122" s="12" t="e">
        <f>'[4]#REF'!F2122</f>
        <v>#REF!</v>
      </c>
      <c r="G2122" s="12" t="e">
        <f>'[4]#REF'!G2122</f>
        <v>#REF!</v>
      </c>
      <c r="H2122" s="31" t="e">
        <f>'[4]#REF'!I2122</f>
        <v>#REF!</v>
      </c>
      <c r="I2122" s="32" t="e">
        <f t="shared" si="64"/>
        <v>#REF!</v>
      </c>
    </row>
    <row r="2123" ht="15.75" spans="6:9">
      <c r="F2123" s="12" t="e">
        <f>'[4]#REF'!F2123</f>
        <v>#REF!</v>
      </c>
      <c r="G2123" s="12" t="e">
        <f>'[4]#REF'!G2123</f>
        <v>#REF!</v>
      </c>
      <c r="H2123" s="31" t="e">
        <f>'[4]#REF'!I2123</f>
        <v>#REF!</v>
      </c>
      <c r="I2123" s="32" t="e">
        <f t="shared" si="64"/>
        <v>#REF!</v>
      </c>
    </row>
    <row r="2124" ht="15.75" spans="6:9">
      <c r="F2124" s="12" t="e">
        <f>'[4]#REF'!F2124</f>
        <v>#REF!</v>
      </c>
      <c r="G2124" s="12" t="e">
        <f>'[4]#REF'!G2124</f>
        <v>#REF!</v>
      </c>
      <c r="H2124" s="31" t="e">
        <f>'[4]#REF'!I2124</f>
        <v>#REF!</v>
      </c>
      <c r="I2124" s="32" t="e">
        <f t="shared" si="64"/>
        <v>#REF!</v>
      </c>
    </row>
    <row r="2125" ht="15.75" spans="6:9">
      <c r="F2125" s="12" t="e">
        <f>'[4]#REF'!F2125</f>
        <v>#REF!</v>
      </c>
      <c r="G2125" s="12" t="e">
        <f>'[4]#REF'!G2125</f>
        <v>#REF!</v>
      </c>
      <c r="H2125" s="31" t="e">
        <f>'[4]#REF'!I2125</f>
        <v>#REF!</v>
      </c>
      <c r="I2125" s="32" t="e">
        <f t="shared" si="64"/>
        <v>#REF!</v>
      </c>
    </row>
    <row r="2126" ht="15.75" spans="6:9">
      <c r="F2126" s="12" t="e">
        <f>'[4]#REF'!F2126</f>
        <v>#REF!</v>
      </c>
      <c r="G2126" s="12" t="e">
        <f>'[4]#REF'!G2126</f>
        <v>#REF!</v>
      </c>
      <c r="H2126" s="31" t="e">
        <f>'[4]#REF'!I2126</f>
        <v>#REF!</v>
      </c>
      <c r="I2126" s="32" t="e">
        <f t="shared" si="64"/>
        <v>#REF!</v>
      </c>
    </row>
    <row r="2127" ht="15.75" spans="6:9">
      <c r="F2127" s="12" t="e">
        <f>'[4]#REF'!F2127</f>
        <v>#REF!</v>
      </c>
      <c r="G2127" s="12" t="e">
        <f>'[4]#REF'!G2127</f>
        <v>#REF!</v>
      </c>
      <c r="H2127" s="31" t="e">
        <f>'[4]#REF'!I2127</f>
        <v>#REF!</v>
      </c>
      <c r="I2127" s="32" t="e">
        <f t="shared" si="64"/>
        <v>#REF!</v>
      </c>
    </row>
    <row r="2128" ht="15.75" spans="6:9">
      <c r="F2128" s="12" t="e">
        <f>'[4]#REF'!F2128</f>
        <v>#REF!</v>
      </c>
      <c r="G2128" s="12" t="e">
        <f>'[4]#REF'!G2128</f>
        <v>#REF!</v>
      </c>
      <c r="H2128" s="31" t="e">
        <f>'[4]#REF'!I2128</f>
        <v>#REF!</v>
      </c>
      <c r="I2128" s="32" t="e">
        <f t="shared" si="64"/>
        <v>#REF!</v>
      </c>
    </row>
    <row r="2129" ht="15.75" spans="6:9">
      <c r="F2129" s="12" t="e">
        <f>'[4]#REF'!F2129</f>
        <v>#REF!</v>
      </c>
      <c r="G2129" s="12" t="e">
        <f>'[4]#REF'!G2129</f>
        <v>#REF!</v>
      </c>
      <c r="H2129" s="31" t="e">
        <f>'[4]#REF'!I2129</f>
        <v>#REF!</v>
      </c>
      <c r="I2129" s="32" t="e">
        <f t="shared" si="64"/>
        <v>#REF!</v>
      </c>
    </row>
    <row r="2130" ht="15.75" spans="6:9">
      <c r="F2130" s="12" t="e">
        <f>'[4]#REF'!F2130</f>
        <v>#REF!</v>
      </c>
      <c r="G2130" s="12" t="e">
        <f>'[4]#REF'!G2130</f>
        <v>#REF!</v>
      </c>
      <c r="H2130" s="31" t="e">
        <f>'[4]#REF'!I2130</f>
        <v>#REF!</v>
      </c>
      <c r="I2130" s="32" t="e">
        <f t="shared" si="64"/>
        <v>#REF!</v>
      </c>
    </row>
    <row r="2131" ht="15.75" spans="6:9">
      <c r="F2131" s="12" t="e">
        <f>'[4]#REF'!F2131</f>
        <v>#REF!</v>
      </c>
      <c r="G2131" s="12" t="e">
        <f>'[4]#REF'!G2131</f>
        <v>#REF!</v>
      </c>
      <c r="H2131" s="31" t="e">
        <f>'[4]#REF'!I2131</f>
        <v>#REF!</v>
      </c>
      <c r="I2131" s="32" t="e">
        <f t="shared" si="64"/>
        <v>#REF!</v>
      </c>
    </row>
    <row r="2132" ht="15.75" spans="6:9">
      <c r="F2132" s="12" t="e">
        <f>'[4]#REF'!F2132</f>
        <v>#REF!</v>
      </c>
      <c r="G2132" s="12" t="e">
        <f>'[4]#REF'!G2132</f>
        <v>#REF!</v>
      </c>
      <c r="H2132" s="31" t="e">
        <f>'[4]#REF'!I2132</f>
        <v>#REF!</v>
      </c>
      <c r="I2132" s="32" t="e">
        <f t="shared" si="64"/>
        <v>#REF!</v>
      </c>
    </row>
    <row r="2133" ht="15.75" spans="6:9">
      <c r="F2133" s="12" t="e">
        <f>'[4]#REF'!F2133</f>
        <v>#REF!</v>
      </c>
      <c r="G2133" s="12" t="e">
        <f>'[4]#REF'!G2133</f>
        <v>#REF!</v>
      </c>
      <c r="H2133" s="31" t="e">
        <f>'[4]#REF'!I2133</f>
        <v>#REF!</v>
      </c>
      <c r="I2133" s="32" t="e">
        <f t="shared" si="64"/>
        <v>#REF!</v>
      </c>
    </row>
    <row r="2134" ht="15.75" spans="6:9">
      <c r="F2134" s="12" t="e">
        <f>'[4]#REF'!F2134</f>
        <v>#REF!</v>
      </c>
      <c r="G2134" s="12" t="e">
        <f>'[4]#REF'!G2134</f>
        <v>#REF!</v>
      </c>
      <c r="H2134" s="31" t="e">
        <f>'[4]#REF'!I2134</f>
        <v>#REF!</v>
      </c>
      <c r="I2134" s="32" t="e">
        <f t="shared" si="64"/>
        <v>#REF!</v>
      </c>
    </row>
    <row r="2135" ht="15.75" spans="6:9">
      <c r="F2135" s="12" t="e">
        <f>'[4]#REF'!F2135</f>
        <v>#REF!</v>
      </c>
      <c r="G2135" s="12" t="e">
        <f>'[4]#REF'!G2135</f>
        <v>#REF!</v>
      </c>
      <c r="H2135" s="31" t="e">
        <f>'[4]#REF'!I2135</f>
        <v>#REF!</v>
      </c>
      <c r="I2135" s="32" t="e">
        <f t="shared" si="64"/>
        <v>#REF!</v>
      </c>
    </row>
    <row r="2136" ht="15.75" spans="6:9">
      <c r="F2136" s="12" t="e">
        <f>'[4]#REF'!F2136</f>
        <v>#REF!</v>
      </c>
      <c r="G2136" s="12" t="e">
        <f>'[4]#REF'!G2136</f>
        <v>#REF!</v>
      </c>
      <c r="H2136" s="31" t="e">
        <f>'[4]#REF'!I2136</f>
        <v>#REF!</v>
      </c>
      <c r="I2136" s="32" t="e">
        <f t="shared" si="64"/>
        <v>#REF!</v>
      </c>
    </row>
    <row r="2137" ht="15.75" spans="6:9">
      <c r="F2137" s="12" t="e">
        <f>'[4]#REF'!F2137</f>
        <v>#REF!</v>
      </c>
      <c r="G2137" s="12" t="e">
        <f>'[4]#REF'!G2137</f>
        <v>#REF!</v>
      </c>
      <c r="H2137" s="31" t="e">
        <f>'[4]#REF'!I2137</f>
        <v>#REF!</v>
      </c>
      <c r="I2137" s="32" t="e">
        <f t="shared" si="64"/>
        <v>#REF!</v>
      </c>
    </row>
    <row r="2138" ht="15.75" spans="6:9">
      <c r="F2138" s="12" t="e">
        <f>'[4]#REF'!F2138</f>
        <v>#REF!</v>
      </c>
      <c r="G2138" s="12" t="e">
        <f>'[4]#REF'!G2138</f>
        <v>#REF!</v>
      </c>
      <c r="H2138" s="31" t="e">
        <f>'[4]#REF'!I2138</f>
        <v>#REF!</v>
      </c>
      <c r="I2138" s="32" t="e">
        <f t="shared" si="64"/>
        <v>#REF!</v>
      </c>
    </row>
    <row r="2139" ht="15.75" spans="6:9">
      <c r="F2139" s="12" t="e">
        <f>'[4]#REF'!F2139</f>
        <v>#REF!</v>
      </c>
      <c r="G2139" s="12" t="e">
        <f>'[4]#REF'!G2139</f>
        <v>#REF!</v>
      </c>
      <c r="H2139" s="31" t="e">
        <f>'[4]#REF'!I2139</f>
        <v>#REF!</v>
      </c>
      <c r="I2139" s="32" t="e">
        <f t="shared" si="64"/>
        <v>#REF!</v>
      </c>
    </row>
    <row r="2140" ht="15.75" spans="6:9">
      <c r="F2140" s="12" t="e">
        <f>'[4]#REF'!F2140</f>
        <v>#REF!</v>
      </c>
      <c r="G2140" s="12" t="e">
        <f>'[4]#REF'!G2140</f>
        <v>#REF!</v>
      </c>
      <c r="H2140" s="31" t="e">
        <f>'[4]#REF'!I2140</f>
        <v>#REF!</v>
      </c>
      <c r="I2140" s="32" t="e">
        <f t="shared" si="64"/>
        <v>#REF!</v>
      </c>
    </row>
    <row r="2141" ht="15.75" spans="6:9">
      <c r="F2141" s="12" t="e">
        <f>'[4]#REF'!F2141</f>
        <v>#REF!</v>
      </c>
      <c r="G2141" s="12" t="e">
        <f>'[4]#REF'!G2141</f>
        <v>#REF!</v>
      </c>
      <c r="H2141" s="31" t="e">
        <f>'[4]#REF'!I2141</f>
        <v>#REF!</v>
      </c>
      <c r="I2141" s="32" t="e">
        <f t="shared" si="64"/>
        <v>#REF!</v>
      </c>
    </row>
    <row r="2142" ht="15.75" spans="6:9">
      <c r="F2142" s="12" t="e">
        <f>'[4]#REF'!F2142</f>
        <v>#REF!</v>
      </c>
      <c r="G2142" s="12" t="e">
        <f>'[4]#REF'!G2142</f>
        <v>#REF!</v>
      </c>
      <c r="H2142" s="31" t="e">
        <f>'[4]#REF'!I2142</f>
        <v>#REF!</v>
      </c>
      <c r="I2142" s="32" t="e">
        <f t="shared" si="64"/>
        <v>#REF!</v>
      </c>
    </row>
    <row r="2143" ht="15.75" spans="6:9">
      <c r="F2143" s="12" t="e">
        <f>'[4]#REF'!F2143</f>
        <v>#REF!</v>
      </c>
      <c r="G2143" s="12" t="e">
        <f>'[4]#REF'!G2143</f>
        <v>#REF!</v>
      </c>
      <c r="H2143" s="31" t="e">
        <f>'[4]#REF'!I2143</f>
        <v>#REF!</v>
      </c>
      <c r="I2143" s="32" t="e">
        <f t="shared" si="64"/>
        <v>#REF!</v>
      </c>
    </row>
    <row r="2144" ht="15.75" spans="6:9">
      <c r="F2144" s="12" t="e">
        <f>'[4]#REF'!F2144</f>
        <v>#REF!</v>
      </c>
      <c r="G2144" s="12" t="e">
        <f>'[4]#REF'!G2144</f>
        <v>#REF!</v>
      </c>
      <c r="H2144" s="31" t="e">
        <f>'[4]#REF'!I2144</f>
        <v>#REF!</v>
      </c>
      <c r="I2144" s="32" t="e">
        <f t="shared" si="64"/>
        <v>#REF!</v>
      </c>
    </row>
    <row r="2145" ht="15.75" spans="6:9">
      <c r="F2145" s="12" t="e">
        <f>'[4]#REF'!F2145</f>
        <v>#REF!</v>
      </c>
      <c r="G2145" s="12" t="e">
        <f>'[4]#REF'!G2145</f>
        <v>#REF!</v>
      </c>
      <c r="H2145" s="31" t="e">
        <f>'[4]#REF'!I2145</f>
        <v>#REF!</v>
      </c>
      <c r="I2145" s="32" t="e">
        <f t="shared" si="64"/>
        <v>#REF!</v>
      </c>
    </row>
    <row r="2146" ht="15.75" spans="6:9">
      <c r="F2146" s="12" t="e">
        <f>'[4]#REF'!F2146</f>
        <v>#REF!</v>
      </c>
      <c r="G2146" s="12" t="e">
        <f>'[4]#REF'!G2146</f>
        <v>#REF!</v>
      </c>
      <c r="H2146" s="31" t="e">
        <f>'[4]#REF'!I2146</f>
        <v>#REF!</v>
      </c>
      <c r="I2146" s="32" t="e">
        <f t="shared" si="64"/>
        <v>#REF!</v>
      </c>
    </row>
    <row r="2147" ht="15.75" spans="6:9">
      <c r="F2147" s="12" t="e">
        <f>'[4]#REF'!F2147</f>
        <v>#REF!</v>
      </c>
      <c r="G2147" s="12" t="e">
        <f>'[4]#REF'!G2147</f>
        <v>#REF!</v>
      </c>
      <c r="H2147" s="31" t="e">
        <f>'[4]#REF'!I2147</f>
        <v>#REF!</v>
      </c>
      <c r="I2147" s="32" t="e">
        <f t="shared" si="64"/>
        <v>#REF!</v>
      </c>
    </row>
    <row r="2148" ht="15.75" spans="6:9">
      <c r="F2148" s="12" t="e">
        <f>'[4]#REF'!F2148</f>
        <v>#REF!</v>
      </c>
      <c r="G2148" s="12" t="e">
        <f>'[4]#REF'!G2148</f>
        <v>#REF!</v>
      </c>
      <c r="H2148" s="31" t="e">
        <f>'[4]#REF'!I2148</f>
        <v>#REF!</v>
      </c>
      <c r="I2148" s="32" t="e">
        <f t="shared" si="64"/>
        <v>#REF!</v>
      </c>
    </row>
    <row r="2149" ht="15.75" spans="6:9">
      <c r="F2149" s="12" t="e">
        <f>'[4]#REF'!F2149</f>
        <v>#REF!</v>
      </c>
      <c r="G2149" s="12" t="e">
        <f>'[4]#REF'!G2149</f>
        <v>#REF!</v>
      </c>
      <c r="H2149" s="31" t="e">
        <f>'[4]#REF'!I2149</f>
        <v>#REF!</v>
      </c>
      <c r="I2149" s="32" t="e">
        <f t="shared" si="64"/>
        <v>#REF!</v>
      </c>
    </row>
    <row r="2150" ht="15.75" spans="6:9">
      <c r="F2150" s="12" t="e">
        <f>'[4]#REF'!F2150</f>
        <v>#REF!</v>
      </c>
      <c r="G2150" s="12" t="e">
        <f>'[4]#REF'!G2150</f>
        <v>#REF!</v>
      </c>
      <c r="H2150" s="31" t="e">
        <f>'[4]#REF'!I2150</f>
        <v>#REF!</v>
      </c>
      <c r="I2150" s="32" t="e">
        <f t="shared" si="64"/>
        <v>#REF!</v>
      </c>
    </row>
    <row r="2151" ht="15.75" spans="6:9">
      <c r="F2151" s="12" t="e">
        <f>'[4]#REF'!F2151</f>
        <v>#REF!</v>
      </c>
      <c r="G2151" s="12" t="e">
        <f>'[4]#REF'!G2151</f>
        <v>#REF!</v>
      </c>
      <c r="H2151" s="31" t="e">
        <f>'[4]#REF'!I2151</f>
        <v>#REF!</v>
      </c>
      <c r="I2151" s="32" t="e">
        <f t="shared" si="64"/>
        <v>#REF!</v>
      </c>
    </row>
    <row r="2152" ht="15.75" spans="6:9">
      <c r="F2152" s="12" t="e">
        <f>'[4]#REF'!F2152</f>
        <v>#REF!</v>
      </c>
      <c r="G2152" s="12" t="e">
        <f>'[4]#REF'!G2152</f>
        <v>#REF!</v>
      </c>
      <c r="H2152" s="31" t="e">
        <f>'[4]#REF'!I2152</f>
        <v>#REF!</v>
      </c>
      <c r="I2152" s="32" t="e">
        <f t="shared" si="64"/>
        <v>#REF!</v>
      </c>
    </row>
    <row r="2153" ht="15.75" spans="6:9">
      <c r="F2153" s="12" t="e">
        <f>'[4]#REF'!F2153</f>
        <v>#REF!</v>
      </c>
      <c r="G2153" s="12" t="e">
        <f>'[4]#REF'!G2153</f>
        <v>#REF!</v>
      </c>
      <c r="H2153" s="31" t="e">
        <f>'[4]#REF'!I2153</f>
        <v>#REF!</v>
      </c>
      <c r="I2153" s="32" t="e">
        <f t="shared" si="64"/>
        <v>#REF!</v>
      </c>
    </row>
    <row r="2154" ht="15.75" spans="6:9">
      <c r="F2154" s="12" t="e">
        <f>'[4]#REF'!F2154</f>
        <v>#REF!</v>
      </c>
      <c r="G2154" s="12" t="e">
        <f>'[4]#REF'!G2154</f>
        <v>#REF!</v>
      </c>
      <c r="H2154" s="31" t="e">
        <f>'[4]#REF'!I2154</f>
        <v>#REF!</v>
      </c>
      <c r="I2154" s="32" t="e">
        <f t="shared" si="64"/>
        <v>#REF!</v>
      </c>
    </row>
    <row r="2155" ht="15.75" spans="6:9">
      <c r="F2155" s="12" t="e">
        <f>'[4]#REF'!F2155</f>
        <v>#REF!</v>
      </c>
      <c r="G2155" s="12" t="e">
        <f>'[4]#REF'!G2155</f>
        <v>#REF!</v>
      </c>
      <c r="H2155" s="31" t="e">
        <f>'[4]#REF'!I2155</f>
        <v>#REF!</v>
      </c>
      <c r="I2155" s="32" t="e">
        <f t="shared" si="64"/>
        <v>#REF!</v>
      </c>
    </row>
    <row r="2156" ht="15.75" spans="6:9">
      <c r="F2156" s="12" t="e">
        <f>'[4]#REF'!F2156</f>
        <v>#REF!</v>
      </c>
      <c r="G2156" s="12" t="e">
        <f>'[4]#REF'!G2156</f>
        <v>#REF!</v>
      </c>
      <c r="H2156" s="31" t="e">
        <f>'[4]#REF'!I2156</f>
        <v>#REF!</v>
      </c>
      <c r="I2156" s="32" t="e">
        <f t="shared" si="64"/>
        <v>#REF!</v>
      </c>
    </row>
    <row r="2157" ht="15.75" spans="6:9">
      <c r="F2157" s="12" t="e">
        <f>'[4]#REF'!F2157</f>
        <v>#REF!</v>
      </c>
      <c r="G2157" s="12" t="e">
        <f>'[4]#REF'!G2157</f>
        <v>#REF!</v>
      </c>
      <c r="H2157" s="31" t="e">
        <f>'[4]#REF'!I2157</f>
        <v>#REF!</v>
      </c>
      <c r="I2157" s="32" t="e">
        <f t="shared" si="64"/>
        <v>#REF!</v>
      </c>
    </row>
    <row r="2158" ht="15.75" spans="6:9">
      <c r="F2158" s="12" t="e">
        <f>'[4]#REF'!F2158</f>
        <v>#REF!</v>
      </c>
      <c r="G2158" s="12" t="e">
        <f>'[4]#REF'!G2158</f>
        <v>#REF!</v>
      </c>
      <c r="H2158" s="31" t="e">
        <f>'[4]#REF'!I2158</f>
        <v>#REF!</v>
      </c>
      <c r="I2158" s="32" t="e">
        <f t="shared" si="64"/>
        <v>#REF!</v>
      </c>
    </row>
    <row r="2159" ht="15.75" spans="6:9">
      <c r="F2159" s="12" t="e">
        <f>'[4]#REF'!F2159</f>
        <v>#REF!</v>
      </c>
      <c r="G2159" s="12" t="e">
        <f>'[4]#REF'!G2159</f>
        <v>#REF!</v>
      </c>
      <c r="H2159" s="31" t="e">
        <f>'[4]#REF'!I2159</f>
        <v>#REF!</v>
      </c>
      <c r="I2159" s="32" t="e">
        <f t="shared" si="64"/>
        <v>#REF!</v>
      </c>
    </row>
    <row r="2160" ht="15.75" spans="6:9">
      <c r="F2160" s="12" t="e">
        <f>'[4]#REF'!F2160</f>
        <v>#REF!</v>
      </c>
      <c r="G2160" s="12" t="e">
        <f>'[4]#REF'!G2160</f>
        <v>#REF!</v>
      </c>
      <c r="H2160" s="31" t="e">
        <f>'[4]#REF'!I2160</f>
        <v>#REF!</v>
      </c>
      <c r="I2160" s="32" t="e">
        <f t="shared" si="64"/>
        <v>#REF!</v>
      </c>
    </row>
    <row r="2161" ht="15.75" spans="6:9">
      <c r="F2161" s="12" t="e">
        <f>'[4]#REF'!F2161</f>
        <v>#REF!</v>
      </c>
      <c r="G2161" s="12" t="e">
        <f>'[4]#REF'!G2161</f>
        <v>#REF!</v>
      </c>
      <c r="H2161" s="31" t="e">
        <f>'[4]#REF'!I2161</f>
        <v>#REF!</v>
      </c>
      <c r="I2161" s="32" t="e">
        <f t="shared" si="64"/>
        <v>#REF!</v>
      </c>
    </row>
    <row r="2162" ht="15.75" spans="6:9">
      <c r="F2162" s="12" t="e">
        <f>'[4]#REF'!F2162</f>
        <v>#REF!</v>
      </c>
      <c r="G2162" s="12" t="e">
        <f>'[4]#REF'!G2162</f>
        <v>#REF!</v>
      </c>
      <c r="H2162" s="31" t="e">
        <f>'[4]#REF'!I2162</f>
        <v>#REF!</v>
      </c>
      <c r="I2162" s="32" t="e">
        <f t="shared" si="64"/>
        <v>#REF!</v>
      </c>
    </row>
    <row r="2163" ht="15.75" spans="6:9">
      <c r="F2163" s="12" t="e">
        <f>'[4]#REF'!F2163</f>
        <v>#REF!</v>
      </c>
      <c r="G2163" s="12" t="e">
        <f>'[4]#REF'!G2163</f>
        <v>#REF!</v>
      </c>
      <c r="H2163" s="31" t="e">
        <f>'[4]#REF'!I2163</f>
        <v>#REF!</v>
      </c>
      <c r="I2163" s="32" t="e">
        <f t="shared" si="64"/>
        <v>#REF!</v>
      </c>
    </row>
    <row r="2164" ht="15.75" spans="6:9">
      <c r="F2164" s="12" t="e">
        <f>'[4]#REF'!F2164</f>
        <v>#REF!</v>
      </c>
      <c r="G2164" s="12" t="e">
        <f>'[4]#REF'!G2164</f>
        <v>#REF!</v>
      </c>
      <c r="H2164" s="31" t="e">
        <f>'[4]#REF'!I2164</f>
        <v>#REF!</v>
      </c>
      <c r="I2164" s="32" t="e">
        <f t="shared" si="64"/>
        <v>#REF!</v>
      </c>
    </row>
    <row r="2165" ht="15.75" spans="6:9">
      <c r="F2165" s="12" t="e">
        <f>'[4]#REF'!F2165</f>
        <v>#REF!</v>
      </c>
      <c r="G2165" s="12" t="e">
        <f>'[4]#REF'!G2165</f>
        <v>#REF!</v>
      </c>
      <c r="H2165" s="31" t="e">
        <f>'[4]#REF'!I2165</f>
        <v>#REF!</v>
      </c>
      <c r="I2165" s="32" t="e">
        <f t="shared" si="64"/>
        <v>#REF!</v>
      </c>
    </row>
    <row r="2166" ht="15.75" spans="6:9">
      <c r="F2166" s="12" t="e">
        <f>'[4]#REF'!F2166</f>
        <v>#REF!</v>
      </c>
      <c r="G2166" s="12" t="e">
        <f>'[4]#REF'!G2166</f>
        <v>#REF!</v>
      </c>
      <c r="H2166" s="31" t="e">
        <f>'[4]#REF'!I2166</f>
        <v>#REF!</v>
      </c>
      <c r="I2166" s="32" t="e">
        <f t="shared" si="64"/>
        <v>#REF!</v>
      </c>
    </row>
    <row r="2167" ht="15.75" spans="6:9">
      <c r="F2167" s="12" t="e">
        <f>'[4]#REF'!F2167</f>
        <v>#REF!</v>
      </c>
      <c r="G2167" s="12" t="e">
        <f>'[4]#REF'!G2167</f>
        <v>#REF!</v>
      </c>
      <c r="H2167" s="31" t="e">
        <f>'[4]#REF'!I2167</f>
        <v>#REF!</v>
      </c>
      <c r="I2167" s="32" t="e">
        <f t="shared" si="64"/>
        <v>#REF!</v>
      </c>
    </row>
    <row r="2168" ht="15.75" spans="6:9">
      <c r="F2168" s="12" t="e">
        <f>'[4]#REF'!F2168</f>
        <v>#REF!</v>
      </c>
      <c r="G2168" s="12" t="e">
        <f>'[4]#REF'!G2168</f>
        <v>#REF!</v>
      </c>
      <c r="H2168" s="31" t="e">
        <f>'[4]#REF'!I2168</f>
        <v>#REF!</v>
      </c>
      <c r="I2168" s="32" t="e">
        <f t="shared" si="64"/>
        <v>#REF!</v>
      </c>
    </row>
    <row r="2169" ht="15.75" spans="6:9">
      <c r="F2169" s="12" t="e">
        <f>'[4]#REF'!F2169</f>
        <v>#REF!</v>
      </c>
      <c r="G2169" s="12" t="e">
        <f>'[4]#REF'!G2169</f>
        <v>#REF!</v>
      </c>
      <c r="H2169" s="31" t="e">
        <f>'[4]#REF'!I2169</f>
        <v>#REF!</v>
      </c>
      <c r="I2169" s="32" t="e">
        <f t="shared" si="64"/>
        <v>#REF!</v>
      </c>
    </row>
    <row r="2170" ht="15.75" spans="6:9">
      <c r="F2170" s="12" t="e">
        <f>'[4]#REF'!F2170</f>
        <v>#REF!</v>
      </c>
      <c r="G2170" s="12" t="e">
        <f>'[4]#REF'!G2170</f>
        <v>#REF!</v>
      </c>
      <c r="H2170" s="31" t="e">
        <f>'[4]#REF'!I2170</f>
        <v>#REF!</v>
      </c>
      <c r="I2170" s="32" t="e">
        <f t="shared" si="64"/>
        <v>#REF!</v>
      </c>
    </row>
    <row r="2171" ht="15.75" spans="6:9">
      <c r="F2171" s="12" t="e">
        <f>'[4]#REF'!F2171</f>
        <v>#REF!</v>
      </c>
      <c r="G2171" s="12" t="e">
        <f>'[4]#REF'!G2171</f>
        <v>#REF!</v>
      </c>
      <c r="H2171" s="31" t="e">
        <f>'[4]#REF'!I2171</f>
        <v>#REF!</v>
      </c>
      <c r="I2171" s="32" t="e">
        <f t="shared" si="64"/>
        <v>#REF!</v>
      </c>
    </row>
    <row r="2172" ht="15.75" spans="6:9">
      <c r="F2172" s="12" t="e">
        <f>'[4]#REF'!F2172</f>
        <v>#REF!</v>
      </c>
      <c r="G2172" s="12" t="e">
        <f>'[4]#REF'!G2172</f>
        <v>#REF!</v>
      </c>
      <c r="H2172" s="31" t="e">
        <f>'[4]#REF'!I2172</f>
        <v>#REF!</v>
      </c>
      <c r="I2172" s="32" t="e">
        <f t="shared" si="64"/>
        <v>#REF!</v>
      </c>
    </row>
    <row r="2173" ht="15.75" spans="6:9">
      <c r="F2173" s="12" t="e">
        <f>'[4]#REF'!F2173</f>
        <v>#REF!</v>
      </c>
      <c r="G2173" s="12" t="e">
        <f>'[4]#REF'!G2173</f>
        <v>#REF!</v>
      </c>
      <c r="H2173" s="31" t="e">
        <f>'[4]#REF'!I2173</f>
        <v>#REF!</v>
      </c>
      <c r="I2173" s="32" t="e">
        <f t="shared" si="64"/>
        <v>#REF!</v>
      </c>
    </row>
    <row r="2174" ht="15.75" spans="6:9">
      <c r="F2174" s="12" t="e">
        <f>'[4]#REF'!F2174</f>
        <v>#REF!</v>
      </c>
      <c r="G2174" s="12" t="e">
        <f>'[4]#REF'!G2174</f>
        <v>#REF!</v>
      </c>
      <c r="H2174" s="31" t="e">
        <f>'[4]#REF'!I2174</f>
        <v>#REF!</v>
      </c>
      <c r="I2174" s="32" t="e">
        <f t="shared" si="64"/>
        <v>#REF!</v>
      </c>
    </row>
    <row r="2175" ht="15.75" spans="6:9">
      <c r="F2175" s="12" t="e">
        <f>'[4]#REF'!F2175</f>
        <v>#REF!</v>
      </c>
      <c r="G2175" s="12" t="e">
        <f>'[4]#REF'!G2175</f>
        <v>#REF!</v>
      </c>
      <c r="H2175" s="31" t="e">
        <f>'[4]#REF'!I2175</f>
        <v>#REF!</v>
      </c>
      <c r="I2175" s="32" t="e">
        <f t="shared" si="64"/>
        <v>#REF!</v>
      </c>
    </row>
    <row r="2176" ht="15.75" spans="6:9">
      <c r="F2176" s="12" t="e">
        <f>'[4]#REF'!F2176</f>
        <v>#REF!</v>
      </c>
      <c r="G2176" s="12" t="e">
        <f>'[4]#REF'!G2176</f>
        <v>#REF!</v>
      </c>
      <c r="H2176" s="31" t="e">
        <f>'[4]#REF'!I2176</f>
        <v>#REF!</v>
      </c>
      <c r="I2176" s="32" t="e">
        <f t="shared" si="64"/>
        <v>#REF!</v>
      </c>
    </row>
    <row r="2177" ht="15.75" spans="6:9">
      <c r="F2177" s="12" t="e">
        <f>'[4]#REF'!F2177</f>
        <v>#REF!</v>
      </c>
      <c r="G2177" s="12" t="e">
        <f>'[4]#REF'!G2177</f>
        <v>#REF!</v>
      </c>
      <c r="H2177" s="31" t="e">
        <f>'[4]#REF'!I2177</f>
        <v>#REF!</v>
      </c>
      <c r="I2177" s="32" t="e">
        <f t="shared" si="64"/>
        <v>#REF!</v>
      </c>
    </row>
    <row r="2178" ht="15.75" spans="6:9">
      <c r="F2178" s="12" t="e">
        <f>'[4]#REF'!F2178</f>
        <v>#REF!</v>
      </c>
      <c r="G2178" s="12" t="e">
        <f>'[4]#REF'!G2178</f>
        <v>#REF!</v>
      </c>
      <c r="H2178" s="31" t="e">
        <f>'[4]#REF'!I2178</f>
        <v>#REF!</v>
      </c>
      <c r="I2178" s="32" t="e">
        <f t="shared" si="64"/>
        <v>#REF!</v>
      </c>
    </row>
    <row r="2179" ht="15.75" spans="6:9">
      <c r="F2179" s="12" t="e">
        <f>'[4]#REF'!F2179</f>
        <v>#REF!</v>
      </c>
      <c r="G2179" s="12" t="e">
        <f>'[4]#REF'!G2179</f>
        <v>#REF!</v>
      </c>
      <c r="H2179" s="31" t="e">
        <f>'[4]#REF'!I2179</f>
        <v>#REF!</v>
      </c>
      <c r="I2179" s="32" t="e">
        <f t="shared" si="64"/>
        <v>#REF!</v>
      </c>
    </row>
    <row r="2180" ht="15.75" spans="6:9">
      <c r="F2180" s="12" t="e">
        <f>'[4]#REF'!F2180</f>
        <v>#REF!</v>
      </c>
      <c r="G2180" s="12" t="e">
        <f>'[4]#REF'!G2180</f>
        <v>#REF!</v>
      </c>
      <c r="H2180" s="31" t="e">
        <f>'[4]#REF'!I2180</f>
        <v>#REF!</v>
      </c>
      <c r="I2180" s="32" t="e">
        <f t="shared" si="64"/>
        <v>#REF!</v>
      </c>
    </row>
    <row r="2181" ht="15.75" spans="6:9">
      <c r="F2181" s="12" t="e">
        <f>'[4]#REF'!F2181</f>
        <v>#REF!</v>
      </c>
      <c r="G2181" s="12" t="e">
        <f>'[4]#REF'!G2181</f>
        <v>#REF!</v>
      </c>
      <c r="H2181" s="31" t="e">
        <f>'[4]#REF'!I2181</f>
        <v>#REF!</v>
      </c>
      <c r="I2181" s="32" t="e">
        <f t="shared" si="64"/>
        <v>#REF!</v>
      </c>
    </row>
    <row r="2182" ht="15.75" spans="6:9">
      <c r="F2182" s="12" t="e">
        <f>'[4]#REF'!F2182</f>
        <v>#REF!</v>
      </c>
      <c r="G2182" s="12" t="e">
        <f>'[4]#REF'!G2182</f>
        <v>#REF!</v>
      </c>
      <c r="H2182" s="31" t="e">
        <f>'[4]#REF'!I2182</f>
        <v>#REF!</v>
      </c>
      <c r="I2182" s="32" t="e">
        <f t="shared" ref="I2182:I2245" si="65">ROUND(H2182/$I$4*100,2)</f>
        <v>#REF!</v>
      </c>
    </row>
    <row r="2183" ht="15.75" spans="6:9">
      <c r="F2183" s="12" t="e">
        <f>'[4]#REF'!F2183</f>
        <v>#REF!</v>
      </c>
      <c r="G2183" s="12" t="e">
        <f>'[4]#REF'!G2183</f>
        <v>#REF!</v>
      </c>
      <c r="H2183" s="31" t="e">
        <f>'[4]#REF'!I2183</f>
        <v>#REF!</v>
      </c>
      <c r="I2183" s="32" t="e">
        <f t="shared" si="65"/>
        <v>#REF!</v>
      </c>
    </row>
    <row r="2184" ht="15.75" spans="6:9">
      <c r="F2184" s="12" t="e">
        <f>'[4]#REF'!F2184</f>
        <v>#REF!</v>
      </c>
      <c r="G2184" s="12" t="e">
        <f>'[4]#REF'!G2184</f>
        <v>#REF!</v>
      </c>
      <c r="H2184" s="31" t="e">
        <f>'[4]#REF'!I2184</f>
        <v>#REF!</v>
      </c>
      <c r="I2184" s="32" t="e">
        <f t="shared" si="65"/>
        <v>#REF!</v>
      </c>
    </row>
    <row r="2185" ht="15.75" spans="6:9">
      <c r="F2185" s="12" t="e">
        <f>'[4]#REF'!F2185</f>
        <v>#REF!</v>
      </c>
      <c r="G2185" s="12" t="e">
        <f>'[4]#REF'!G2185</f>
        <v>#REF!</v>
      </c>
      <c r="H2185" s="31" t="e">
        <f>'[4]#REF'!I2185</f>
        <v>#REF!</v>
      </c>
      <c r="I2185" s="32" t="e">
        <f t="shared" si="65"/>
        <v>#REF!</v>
      </c>
    </row>
    <row r="2186" ht="15.75" spans="6:9">
      <c r="F2186" s="12" t="e">
        <f>'[4]#REF'!F2186</f>
        <v>#REF!</v>
      </c>
      <c r="G2186" s="12" t="e">
        <f>'[4]#REF'!G2186</f>
        <v>#REF!</v>
      </c>
      <c r="H2186" s="31" t="e">
        <f>'[4]#REF'!I2186</f>
        <v>#REF!</v>
      </c>
      <c r="I2186" s="32" t="e">
        <f t="shared" si="65"/>
        <v>#REF!</v>
      </c>
    </row>
    <row r="2187" ht="15.75" spans="6:9">
      <c r="F2187" s="12" t="e">
        <f>'[4]#REF'!F2187</f>
        <v>#REF!</v>
      </c>
      <c r="G2187" s="12" t="e">
        <f>'[4]#REF'!G2187</f>
        <v>#REF!</v>
      </c>
      <c r="H2187" s="31" t="e">
        <f>'[4]#REF'!I2187</f>
        <v>#REF!</v>
      </c>
      <c r="I2187" s="32" t="e">
        <f t="shared" si="65"/>
        <v>#REF!</v>
      </c>
    </row>
    <row r="2188" ht="15.75" spans="6:9">
      <c r="F2188" s="12" t="e">
        <f>'[4]#REF'!F2188</f>
        <v>#REF!</v>
      </c>
      <c r="G2188" s="12" t="e">
        <f>'[4]#REF'!G2188</f>
        <v>#REF!</v>
      </c>
      <c r="H2188" s="31" t="e">
        <f>'[4]#REF'!I2188</f>
        <v>#REF!</v>
      </c>
      <c r="I2188" s="32" t="e">
        <f t="shared" si="65"/>
        <v>#REF!</v>
      </c>
    </row>
    <row r="2189" ht="15.75" spans="6:9">
      <c r="F2189" s="12" t="e">
        <f>'[4]#REF'!F2189</f>
        <v>#REF!</v>
      </c>
      <c r="G2189" s="12" t="e">
        <f>'[4]#REF'!G2189</f>
        <v>#REF!</v>
      </c>
      <c r="H2189" s="31" t="e">
        <f>'[4]#REF'!I2189</f>
        <v>#REF!</v>
      </c>
      <c r="I2189" s="32" t="e">
        <f t="shared" si="65"/>
        <v>#REF!</v>
      </c>
    </row>
    <row r="2190" ht="15.75" spans="6:9">
      <c r="F2190" s="12" t="e">
        <f>'[4]#REF'!F2190</f>
        <v>#REF!</v>
      </c>
      <c r="G2190" s="12" t="e">
        <f>'[4]#REF'!G2190</f>
        <v>#REF!</v>
      </c>
      <c r="H2190" s="31" t="e">
        <f>'[4]#REF'!I2190</f>
        <v>#REF!</v>
      </c>
      <c r="I2190" s="32" t="e">
        <f t="shared" si="65"/>
        <v>#REF!</v>
      </c>
    </row>
    <row r="2191" ht="15.75" spans="6:9">
      <c r="F2191" s="12" t="e">
        <f>'[4]#REF'!F2191</f>
        <v>#REF!</v>
      </c>
      <c r="G2191" s="12" t="e">
        <f>'[4]#REF'!G2191</f>
        <v>#REF!</v>
      </c>
      <c r="H2191" s="31" t="e">
        <f>'[4]#REF'!I2191</f>
        <v>#REF!</v>
      </c>
      <c r="I2191" s="32" t="e">
        <f t="shared" si="65"/>
        <v>#REF!</v>
      </c>
    </row>
    <row r="2192" ht="15.75" spans="6:9">
      <c r="F2192" s="12" t="e">
        <f>'[4]#REF'!F2192</f>
        <v>#REF!</v>
      </c>
      <c r="G2192" s="12" t="e">
        <f>'[4]#REF'!G2192</f>
        <v>#REF!</v>
      </c>
      <c r="H2192" s="31" t="e">
        <f>'[4]#REF'!I2192</f>
        <v>#REF!</v>
      </c>
      <c r="I2192" s="32" t="e">
        <f t="shared" si="65"/>
        <v>#REF!</v>
      </c>
    </row>
    <row r="2193" ht="15.75" spans="6:9">
      <c r="F2193" s="12" t="e">
        <f>'[4]#REF'!F2193</f>
        <v>#REF!</v>
      </c>
      <c r="G2193" s="12" t="e">
        <f>'[4]#REF'!G2193</f>
        <v>#REF!</v>
      </c>
      <c r="H2193" s="31" t="e">
        <f>'[4]#REF'!I2193</f>
        <v>#REF!</v>
      </c>
      <c r="I2193" s="32" t="e">
        <f t="shared" si="65"/>
        <v>#REF!</v>
      </c>
    </row>
    <row r="2194" ht="15.75" spans="6:9">
      <c r="F2194" s="12" t="e">
        <f>'[4]#REF'!F2194</f>
        <v>#REF!</v>
      </c>
      <c r="G2194" s="12" t="e">
        <f>'[4]#REF'!G2194</f>
        <v>#REF!</v>
      </c>
      <c r="H2194" s="31" t="e">
        <f>'[4]#REF'!I2194</f>
        <v>#REF!</v>
      </c>
      <c r="I2194" s="32" t="e">
        <f t="shared" si="65"/>
        <v>#REF!</v>
      </c>
    </row>
    <row r="2195" ht="15.75" spans="6:9">
      <c r="F2195" s="12" t="e">
        <f>'[4]#REF'!F2195</f>
        <v>#REF!</v>
      </c>
      <c r="G2195" s="12" t="e">
        <f>'[4]#REF'!G2195</f>
        <v>#REF!</v>
      </c>
      <c r="H2195" s="31" t="e">
        <f>'[4]#REF'!I2195</f>
        <v>#REF!</v>
      </c>
      <c r="I2195" s="32" t="e">
        <f t="shared" si="65"/>
        <v>#REF!</v>
      </c>
    </row>
    <row r="2196" ht="15.75" spans="6:9">
      <c r="F2196" s="12" t="e">
        <f>'[4]#REF'!F2196</f>
        <v>#REF!</v>
      </c>
      <c r="G2196" s="12" t="e">
        <f>'[4]#REF'!G2196</f>
        <v>#REF!</v>
      </c>
      <c r="H2196" s="31" t="e">
        <f>'[4]#REF'!I2196</f>
        <v>#REF!</v>
      </c>
      <c r="I2196" s="32" t="e">
        <f t="shared" si="65"/>
        <v>#REF!</v>
      </c>
    </row>
    <row r="2197" ht="15.75" spans="6:9">
      <c r="F2197" s="12" t="e">
        <f>'[4]#REF'!F2197</f>
        <v>#REF!</v>
      </c>
      <c r="G2197" s="12" t="e">
        <f>'[4]#REF'!G2197</f>
        <v>#REF!</v>
      </c>
      <c r="H2197" s="31" t="e">
        <f>'[4]#REF'!I2197</f>
        <v>#REF!</v>
      </c>
      <c r="I2197" s="32" t="e">
        <f t="shared" si="65"/>
        <v>#REF!</v>
      </c>
    </row>
    <row r="2198" ht="15.75" spans="6:9">
      <c r="F2198" s="12" t="e">
        <f>'[4]#REF'!F2198</f>
        <v>#REF!</v>
      </c>
      <c r="G2198" s="12" t="e">
        <f>'[4]#REF'!G2198</f>
        <v>#REF!</v>
      </c>
      <c r="H2198" s="31" t="e">
        <f>'[4]#REF'!I2198</f>
        <v>#REF!</v>
      </c>
      <c r="I2198" s="32" t="e">
        <f t="shared" si="65"/>
        <v>#REF!</v>
      </c>
    </row>
    <row r="2199" ht="15.75" spans="6:9">
      <c r="F2199" s="12" t="e">
        <f>'[4]#REF'!F2199</f>
        <v>#REF!</v>
      </c>
      <c r="G2199" s="12" t="e">
        <f>'[4]#REF'!G2199</f>
        <v>#REF!</v>
      </c>
      <c r="H2199" s="31" t="e">
        <f>'[4]#REF'!I2199</f>
        <v>#REF!</v>
      </c>
      <c r="I2199" s="32" t="e">
        <f t="shared" si="65"/>
        <v>#REF!</v>
      </c>
    </row>
    <row r="2200" ht="15.75" spans="6:9">
      <c r="F2200" s="12" t="e">
        <f>'[4]#REF'!F2200</f>
        <v>#REF!</v>
      </c>
      <c r="G2200" s="12" t="e">
        <f>'[4]#REF'!G2200</f>
        <v>#REF!</v>
      </c>
      <c r="H2200" s="31" t="e">
        <f>'[4]#REF'!I2200</f>
        <v>#REF!</v>
      </c>
      <c r="I2200" s="32" t="e">
        <f t="shared" si="65"/>
        <v>#REF!</v>
      </c>
    </row>
    <row r="2201" ht="15.75" spans="6:9">
      <c r="F2201" s="12" t="e">
        <f>'[4]#REF'!F2201</f>
        <v>#REF!</v>
      </c>
      <c r="G2201" s="12" t="e">
        <f>'[4]#REF'!G2201</f>
        <v>#REF!</v>
      </c>
      <c r="H2201" s="31" t="e">
        <f>'[4]#REF'!I2201</f>
        <v>#REF!</v>
      </c>
      <c r="I2201" s="32" t="e">
        <f t="shared" si="65"/>
        <v>#REF!</v>
      </c>
    </row>
    <row r="2202" ht="15.75" spans="6:9">
      <c r="F2202" s="12" t="e">
        <f>'[4]#REF'!F2202</f>
        <v>#REF!</v>
      </c>
      <c r="G2202" s="12" t="e">
        <f>'[4]#REF'!G2202</f>
        <v>#REF!</v>
      </c>
      <c r="H2202" s="31" t="e">
        <f>'[4]#REF'!I2202</f>
        <v>#REF!</v>
      </c>
      <c r="I2202" s="32" t="e">
        <f t="shared" si="65"/>
        <v>#REF!</v>
      </c>
    </row>
    <row r="2203" ht="15.75" spans="6:9">
      <c r="F2203" s="12" t="e">
        <f>'[4]#REF'!F2203</f>
        <v>#REF!</v>
      </c>
      <c r="G2203" s="12" t="e">
        <f>'[4]#REF'!G2203</f>
        <v>#REF!</v>
      </c>
      <c r="H2203" s="31" t="e">
        <f>'[4]#REF'!I2203</f>
        <v>#REF!</v>
      </c>
      <c r="I2203" s="32" t="e">
        <f t="shared" si="65"/>
        <v>#REF!</v>
      </c>
    </row>
    <row r="2204" ht="15.75" spans="6:9">
      <c r="F2204" s="12" t="e">
        <f>'[4]#REF'!F2204</f>
        <v>#REF!</v>
      </c>
      <c r="G2204" s="12" t="e">
        <f>'[4]#REF'!G2204</f>
        <v>#REF!</v>
      </c>
      <c r="H2204" s="31" t="e">
        <f>'[4]#REF'!I2204</f>
        <v>#REF!</v>
      </c>
      <c r="I2204" s="32" t="e">
        <f t="shared" si="65"/>
        <v>#REF!</v>
      </c>
    </row>
    <row r="2205" ht="15.75" spans="6:9">
      <c r="F2205" s="12" t="e">
        <f>'[4]#REF'!F2205</f>
        <v>#REF!</v>
      </c>
      <c r="G2205" s="12" t="e">
        <f>'[4]#REF'!G2205</f>
        <v>#REF!</v>
      </c>
      <c r="H2205" s="31" t="e">
        <f>'[4]#REF'!I2205</f>
        <v>#REF!</v>
      </c>
      <c r="I2205" s="32" t="e">
        <f t="shared" si="65"/>
        <v>#REF!</v>
      </c>
    </row>
    <row r="2206" ht="15.75" spans="6:9">
      <c r="F2206" s="12" t="e">
        <f>'[4]#REF'!F2206</f>
        <v>#REF!</v>
      </c>
      <c r="G2206" s="12" t="e">
        <f>'[4]#REF'!G2206</f>
        <v>#REF!</v>
      </c>
      <c r="H2206" s="31" t="e">
        <f>'[4]#REF'!I2206</f>
        <v>#REF!</v>
      </c>
      <c r="I2206" s="32" t="e">
        <f t="shared" si="65"/>
        <v>#REF!</v>
      </c>
    </row>
    <row r="2207" ht="15.75" spans="6:9">
      <c r="F2207" s="12" t="e">
        <f>'[4]#REF'!F2207</f>
        <v>#REF!</v>
      </c>
      <c r="G2207" s="12" t="e">
        <f>'[4]#REF'!G2207</f>
        <v>#REF!</v>
      </c>
      <c r="H2207" s="31" t="e">
        <f>'[4]#REF'!I2207</f>
        <v>#REF!</v>
      </c>
      <c r="I2207" s="32" t="e">
        <f t="shared" si="65"/>
        <v>#REF!</v>
      </c>
    </row>
    <row r="2208" ht="15.75" spans="6:9">
      <c r="F2208" s="12" t="e">
        <f>'[4]#REF'!F2208</f>
        <v>#REF!</v>
      </c>
      <c r="G2208" s="12" t="e">
        <f>'[4]#REF'!G2208</f>
        <v>#REF!</v>
      </c>
      <c r="H2208" s="31" t="e">
        <f>'[4]#REF'!I2208</f>
        <v>#REF!</v>
      </c>
      <c r="I2208" s="32" t="e">
        <f t="shared" si="65"/>
        <v>#REF!</v>
      </c>
    </row>
    <row r="2209" ht="15.75" spans="6:9">
      <c r="F2209" s="12" t="e">
        <f>'[4]#REF'!F2209</f>
        <v>#REF!</v>
      </c>
      <c r="G2209" s="12" t="e">
        <f>'[4]#REF'!G2209</f>
        <v>#REF!</v>
      </c>
      <c r="H2209" s="31" t="e">
        <f>'[4]#REF'!I2209</f>
        <v>#REF!</v>
      </c>
      <c r="I2209" s="32" t="e">
        <f t="shared" si="65"/>
        <v>#REF!</v>
      </c>
    </row>
    <row r="2210" ht="15.75" spans="6:9">
      <c r="F2210" s="12" t="e">
        <f>'[4]#REF'!F2210</f>
        <v>#REF!</v>
      </c>
      <c r="G2210" s="12" t="e">
        <f>'[4]#REF'!G2210</f>
        <v>#REF!</v>
      </c>
      <c r="H2210" s="31" t="e">
        <f>'[4]#REF'!I2210</f>
        <v>#REF!</v>
      </c>
      <c r="I2210" s="32" t="e">
        <f t="shared" si="65"/>
        <v>#REF!</v>
      </c>
    </row>
    <row r="2211" ht="15.75" spans="6:9">
      <c r="F2211" s="12" t="e">
        <f>'[4]#REF'!F2211</f>
        <v>#REF!</v>
      </c>
      <c r="G2211" s="12" t="e">
        <f>'[4]#REF'!G2211</f>
        <v>#REF!</v>
      </c>
      <c r="H2211" s="31" t="e">
        <f>'[4]#REF'!I2211</f>
        <v>#REF!</v>
      </c>
      <c r="I2211" s="32" t="e">
        <f t="shared" si="65"/>
        <v>#REF!</v>
      </c>
    </row>
    <row r="2212" ht="15.75" spans="6:9">
      <c r="F2212" s="12" t="e">
        <f>'[4]#REF'!F2212</f>
        <v>#REF!</v>
      </c>
      <c r="G2212" s="12" t="e">
        <f>'[4]#REF'!G2212</f>
        <v>#REF!</v>
      </c>
      <c r="H2212" s="31" t="e">
        <f>'[4]#REF'!I2212</f>
        <v>#REF!</v>
      </c>
      <c r="I2212" s="32" t="e">
        <f t="shared" si="65"/>
        <v>#REF!</v>
      </c>
    </row>
    <row r="2213" ht="15.75" spans="6:9">
      <c r="F2213" s="12" t="e">
        <f>'[4]#REF'!F2213</f>
        <v>#REF!</v>
      </c>
      <c r="G2213" s="12" t="e">
        <f>'[4]#REF'!G2213</f>
        <v>#REF!</v>
      </c>
      <c r="H2213" s="31" t="e">
        <f>'[4]#REF'!I2213</f>
        <v>#REF!</v>
      </c>
      <c r="I2213" s="32" t="e">
        <f t="shared" si="65"/>
        <v>#REF!</v>
      </c>
    </row>
    <row r="2214" ht="15.75" spans="6:9">
      <c r="F2214" s="12" t="e">
        <f>'[4]#REF'!F2214</f>
        <v>#REF!</v>
      </c>
      <c r="G2214" s="12" t="e">
        <f>'[4]#REF'!G2214</f>
        <v>#REF!</v>
      </c>
      <c r="H2214" s="31" t="e">
        <f>'[4]#REF'!I2214</f>
        <v>#REF!</v>
      </c>
      <c r="I2214" s="32" t="e">
        <f t="shared" si="65"/>
        <v>#REF!</v>
      </c>
    </row>
    <row r="2215" ht="15.75" spans="6:9">
      <c r="F2215" s="12" t="e">
        <f>'[4]#REF'!F2215</f>
        <v>#REF!</v>
      </c>
      <c r="G2215" s="12" t="e">
        <f>'[4]#REF'!G2215</f>
        <v>#REF!</v>
      </c>
      <c r="H2215" s="31" t="e">
        <f>'[4]#REF'!I2215</f>
        <v>#REF!</v>
      </c>
      <c r="I2215" s="32" t="e">
        <f t="shared" si="65"/>
        <v>#REF!</v>
      </c>
    </row>
    <row r="2216" ht="15.75" spans="6:9">
      <c r="F2216" s="12" t="e">
        <f>'[4]#REF'!F2216</f>
        <v>#REF!</v>
      </c>
      <c r="G2216" s="12" t="e">
        <f>'[4]#REF'!G2216</f>
        <v>#REF!</v>
      </c>
      <c r="H2216" s="31" t="e">
        <f>'[4]#REF'!I2216</f>
        <v>#REF!</v>
      </c>
      <c r="I2216" s="32" t="e">
        <f t="shared" si="65"/>
        <v>#REF!</v>
      </c>
    </row>
    <row r="2217" ht="15.75" spans="6:9">
      <c r="F2217" s="12" t="e">
        <f>'[4]#REF'!F2217</f>
        <v>#REF!</v>
      </c>
      <c r="G2217" s="12" t="e">
        <f>'[4]#REF'!G2217</f>
        <v>#REF!</v>
      </c>
      <c r="H2217" s="31" t="e">
        <f>'[4]#REF'!I2217</f>
        <v>#REF!</v>
      </c>
      <c r="I2217" s="32" t="e">
        <f t="shared" si="65"/>
        <v>#REF!</v>
      </c>
    </row>
    <row r="2218" ht="15.75" spans="6:9">
      <c r="F2218" s="12" t="e">
        <f>'[4]#REF'!F2218</f>
        <v>#REF!</v>
      </c>
      <c r="G2218" s="12" t="e">
        <f>'[4]#REF'!G2218</f>
        <v>#REF!</v>
      </c>
      <c r="H2218" s="31" t="e">
        <f>'[4]#REF'!I2218</f>
        <v>#REF!</v>
      </c>
      <c r="I2218" s="32" t="e">
        <f t="shared" si="65"/>
        <v>#REF!</v>
      </c>
    </row>
    <row r="2219" ht="15.75" spans="6:9">
      <c r="F2219" s="12" t="e">
        <f>'[4]#REF'!F2219</f>
        <v>#REF!</v>
      </c>
      <c r="G2219" s="12" t="e">
        <f>'[4]#REF'!G2219</f>
        <v>#REF!</v>
      </c>
      <c r="H2219" s="31" t="e">
        <f>'[4]#REF'!I2219</f>
        <v>#REF!</v>
      </c>
      <c r="I2219" s="32" t="e">
        <f t="shared" si="65"/>
        <v>#REF!</v>
      </c>
    </row>
    <row r="2220" ht="15.75" spans="6:9">
      <c r="F2220" s="12" t="e">
        <f>'[4]#REF'!F2220</f>
        <v>#REF!</v>
      </c>
      <c r="G2220" s="12" t="e">
        <f>'[4]#REF'!G2220</f>
        <v>#REF!</v>
      </c>
      <c r="H2220" s="31" t="e">
        <f>'[4]#REF'!I2220</f>
        <v>#REF!</v>
      </c>
      <c r="I2220" s="32" t="e">
        <f t="shared" si="65"/>
        <v>#REF!</v>
      </c>
    </row>
    <row r="2221" ht="15.75" spans="6:9">
      <c r="F2221" s="12" t="e">
        <f>'[4]#REF'!F2221</f>
        <v>#REF!</v>
      </c>
      <c r="G2221" s="12" t="e">
        <f>'[4]#REF'!G2221</f>
        <v>#REF!</v>
      </c>
      <c r="H2221" s="31" t="e">
        <f>'[4]#REF'!I2221</f>
        <v>#REF!</v>
      </c>
      <c r="I2221" s="32" t="e">
        <f t="shared" si="65"/>
        <v>#REF!</v>
      </c>
    </row>
    <row r="2222" ht="15.75" spans="6:9">
      <c r="F2222" s="12" t="e">
        <f>'[4]#REF'!F2222</f>
        <v>#REF!</v>
      </c>
      <c r="G2222" s="12" t="e">
        <f>'[4]#REF'!G2222</f>
        <v>#REF!</v>
      </c>
      <c r="H2222" s="31" t="e">
        <f>'[4]#REF'!I2222</f>
        <v>#REF!</v>
      </c>
      <c r="I2222" s="32" t="e">
        <f t="shared" si="65"/>
        <v>#REF!</v>
      </c>
    </row>
    <row r="2223" ht="15.75" spans="6:9">
      <c r="F2223" s="12" t="e">
        <f>'[4]#REF'!F2223</f>
        <v>#REF!</v>
      </c>
      <c r="G2223" s="12" t="e">
        <f>'[4]#REF'!G2223</f>
        <v>#REF!</v>
      </c>
      <c r="H2223" s="31" t="e">
        <f>'[4]#REF'!I2223</f>
        <v>#REF!</v>
      </c>
      <c r="I2223" s="32" t="e">
        <f t="shared" si="65"/>
        <v>#REF!</v>
      </c>
    </row>
    <row r="2224" ht="15.75" spans="6:9">
      <c r="F2224" s="12" t="e">
        <f>'[4]#REF'!F2224</f>
        <v>#REF!</v>
      </c>
      <c r="G2224" s="12" t="e">
        <f>'[4]#REF'!G2224</f>
        <v>#REF!</v>
      </c>
      <c r="H2224" s="31" t="e">
        <f>'[4]#REF'!I2224</f>
        <v>#REF!</v>
      </c>
      <c r="I2224" s="32" t="e">
        <f t="shared" si="65"/>
        <v>#REF!</v>
      </c>
    </row>
    <row r="2225" ht="15.75" spans="6:9">
      <c r="F2225" s="12" t="e">
        <f>'[4]#REF'!F2225</f>
        <v>#REF!</v>
      </c>
      <c r="G2225" s="12" t="e">
        <f>'[4]#REF'!G2225</f>
        <v>#REF!</v>
      </c>
      <c r="H2225" s="31" t="e">
        <f>'[4]#REF'!I2225</f>
        <v>#REF!</v>
      </c>
      <c r="I2225" s="32" t="e">
        <f t="shared" si="65"/>
        <v>#REF!</v>
      </c>
    </row>
    <row r="2226" ht="15.75" spans="6:9">
      <c r="F2226" s="12" t="e">
        <f>'[4]#REF'!F2226</f>
        <v>#REF!</v>
      </c>
      <c r="G2226" s="12" t="e">
        <f>'[4]#REF'!G2226</f>
        <v>#REF!</v>
      </c>
      <c r="H2226" s="31" t="e">
        <f>'[4]#REF'!I2226</f>
        <v>#REF!</v>
      </c>
      <c r="I2226" s="32" t="e">
        <f t="shared" si="65"/>
        <v>#REF!</v>
      </c>
    </row>
    <row r="2227" ht="15.75" spans="6:9">
      <c r="F2227" s="12" t="e">
        <f>'[4]#REF'!F2227</f>
        <v>#REF!</v>
      </c>
      <c r="G2227" s="12" t="e">
        <f>'[4]#REF'!G2227</f>
        <v>#REF!</v>
      </c>
      <c r="H2227" s="31" t="e">
        <f>'[4]#REF'!I2227</f>
        <v>#REF!</v>
      </c>
      <c r="I2227" s="32" t="e">
        <f t="shared" si="65"/>
        <v>#REF!</v>
      </c>
    </row>
    <row r="2228" ht="15.75" spans="6:9">
      <c r="F2228" s="12" t="e">
        <f>'[4]#REF'!F2228</f>
        <v>#REF!</v>
      </c>
      <c r="G2228" s="12" t="e">
        <f>'[4]#REF'!G2228</f>
        <v>#REF!</v>
      </c>
      <c r="H2228" s="31" t="e">
        <f>'[4]#REF'!I2228</f>
        <v>#REF!</v>
      </c>
      <c r="I2228" s="32" t="e">
        <f t="shared" si="65"/>
        <v>#REF!</v>
      </c>
    </row>
    <row r="2229" ht="15.75" spans="6:9">
      <c r="F2229" s="12" t="e">
        <f>'[4]#REF'!F2229</f>
        <v>#REF!</v>
      </c>
      <c r="G2229" s="12" t="e">
        <f>'[4]#REF'!G2229</f>
        <v>#REF!</v>
      </c>
      <c r="H2229" s="31" t="e">
        <f>'[4]#REF'!I2229</f>
        <v>#REF!</v>
      </c>
      <c r="I2229" s="32" t="e">
        <f t="shared" si="65"/>
        <v>#REF!</v>
      </c>
    </row>
    <row r="2230" ht="15.75" spans="6:9">
      <c r="F2230" s="12" t="e">
        <f>'[4]#REF'!F2230</f>
        <v>#REF!</v>
      </c>
      <c r="G2230" s="12" t="e">
        <f>'[4]#REF'!G2230</f>
        <v>#REF!</v>
      </c>
      <c r="H2230" s="31" t="e">
        <f>'[4]#REF'!I2230</f>
        <v>#REF!</v>
      </c>
      <c r="I2230" s="32" t="e">
        <f t="shared" si="65"/>
        <v>#REF!</v>
      </c>
    </row>
    <row r="2231" ht="15.75" spans="6:9">
      <c r="F2231" s="12" t="e">
        <f>'[4]#REF'!F2231</f>
        <v>#REF!</v>
      </c>
      <c r="G2231" s="12" t="e">
        <f>'[4]#REF'!G2231</f>
        <v>#REF!</v>
      </c>
      <c r="H2231" s="31" t="e">
        <f>'[4]#REF'!I2231</f>
        <v>#REF!</v>
      </c>
      <c r="I2231" s="32" t="e">
        <f t="shared" si="65"/>
        <v>#REF!</v>
      </c>
    </row>
    <row r="2232" ht="15.75" spans="6:9">
      <c r="F2232" s="12" t="e">
        <f>'[4]#REF'!F2232</f>
        <v>#REF!</v>
      </c>
      <c r="G2232" s="12" t="e">
        <f>'[4]#REF'!G2232</f>
        <v>#REF!</v>
      </c>
      <c r="H2232" s="31" t="e">
        <f>'[4]#REF'!I2232</f>
        <v>#REF!</v>
      </c>
      <c r="I2232" s="32" t="e">
        <f t="shared" si="65"/>
        <v>#REF!</v>
      </c>
    </row>
    <row r="2233" ht="15.75" spans="6:9">
      <c r="F2233" s="12" t="e">
        <f>'[4]#REF'!F2233</f>
        <v>#REF!</v>
      </c>
      <c r="G2233" s="12" t="e">
        <f>'[4]#REF'!G2233</f>
        <v>#REF!</v>
      </c>
      <c r="H2233" s="31" t="e">
        <f>'[4]#REF'!I2233</f>
        <v>#REF!</v>
      </c>
      <c r="I2233" s="32" t="e">
        <f t="shared" si="65"/>
        <v>#REF!</v>
      </c>
    </row>
    <row r="2234" ht="15.75" spans="6:9">
      <c r="F2234" s="12" t="e">
        <f>'[4]#REF'!F2234</f>
        <v>#REF!</v>
      </c>
      <c r="G2234" s="12" t="e">
        <f>'[4]#REF'!G2234</f>
        <v>#REF!</v>
      </c>
      <c r="H2234" s="31" t="e">
        <f>'[4]#REF'!I2234</f>
        <v>#REF!</v>
      </c>
      <c r="I2234" s="32" t="e">
        <f t="shared" si="65"/>
        <v>#REF!</v>
      </c>
    </row>
    <row r="2235" ht="15.75" spans="6:9">
      <c r="F2235" s="12" t="e">
        <f>'[4]#REF'!F2235</f>
        <v>#REF!</v>
      </c>
      <c r="G2235" s="12" t="e">
        <f>'[4]#REF'!G2235</f>
        <v>#REF!</v>
      </c>
      <c r="H2235" s="31" t="e">
        <f>'[4]#REF'!I2235</f>
        <v>#REF!</v>
      </c>
      <c r="I2235" s="32" t="e">
        <f t="shared" si="65"/>
        <v>#REF!</v>
      </c>
    </row>
    <row r="2236" ht="15.75" spans="6:9">
      <c r="F2236" s="12" t="e">
        <f>'[4]#REF'!F2236</f>
        <v>#REF!</v>
      </c>
      <c r="G2236" s="12" t="e">
        <f>'[4]#REF'!G2236</f>
        <v>#REF!</v>
      </c>
      <c r="H2236" s="31" t="e">
        <f>'[4]#REF'!I2236</f>
        <v>#REF!</v>
      </c>
      <c r="I2236" s="32" t="e">
        <f t="shared" si="65"/>
        <v>#REF!</v>
      </c>
    </row>
    <row r="2237" ht="15.75" spans="6:9">
      <c r="F2237" s="12" t="e">
        <f>'[4]#REF'!F2237</f>
        <v>#REF!</v>
      </c>
      <c r="G2237" s="12" t="e">
        <f>'[4]#REF'!G2237</f>
        <v>#REF!</v>
      </c>
      <c r="H2237" s="31" t="e">
        <f>'[4]#REF'!I2237</f>
        <v>#REF!</v>
      </c>
      <c r="I2237" s="32" t="e">
        <f t="shared" si="65"/>
        <v>#REF!</v>
      </c>
    </row>
    <row r="2238" ht="15.75" spans="6:9">
      <c r="F2238" s="12" t="e">
        <f>'[4]#REF'!F2238</f>
        <v>#REF!</v>
      </c>
      <c r="G2238" s="12" t="e">
        <f>'[4]#REF'!G2238</f>
        <v>#REF!</v>
      </c>
      <c r="H2238" s="31" t="e">
        <f>'[4]#REF'!I2238</f>
        <v>#REF!</v>
      </c>
      <c r="I2238" s="32" t="e">
        <f t="shared" si="65"/>
        <v>#REF!</v>
      </c>
    </row>
    <row r="2239" ht="15.75" spans="6:9">
      <c r="F2239" s="12" t="e">
        <f>'[4]#REF'!F2239</f>
        <v>#REF!</v>
      </c>
      <c r="G2239" s="12" t="e">
        <f>'[4]#REF'!G2239</f>
        <v>#REF!</v>
      </c>
      <c r="H2239" s="31" t="e">
        <f>'[4]#REF'!I2239</f>
        <v>#REF!</v>
      </c>
      <c r="I2239" s="32" t="e">
        <f t="shared" si="65"/>
        <v>#REF!</v>
      </c>
    </row>
    <row r="2240" ht="15.75" spans="6:9">
      <c r="F2240" s="12" t="e">
        <f>'[4]#REF'!F2240</f>
        <v>#REF!</v>
      </c>
      <c r="G2240" s="12" t="e">
        <f>'[4]#REF'!G2240</f>
        <v>#REF!</v>
      </c>
      <c r="H2240" s="31" t="e">
        <f>'[4]#REF'!I2240</f>
        <v>#REF!</v>
      </c>
      <c r="I2240" s="32" t="e">
        <f t="shared" si="65"/>
        <v>#REF!</v>
      </c>
    </row>
    <row r="2241" ht="15.75" spans="6:9">
      <c r="F2241" s="12" t="e">
        <f>'[4]#REF'!F2241</f>
        <v>#REF!</v>
      </c>
      <c r="G2241" s="12" t="e">
        <f>'[4]#REF'!G2241</f>
        <v>#REF!</v>
      </c>
      <c r="H2241" s="31" t="e">
        <f>'[4]#REF'!I2241</f>
        <v>#REF!</v>
      </c>
      <c r="I2241" s="32" t="e">
        <f t="shared" si="65"/>
        <v>#REF!</v>
      </c>
    </row>
    <row r="2242" ht="15.75" spans="6:9">
      <c r="F2242" s="12" t="e">
        <f>'[4]#REF'!F2242</f>
        <v>#REF!</v>
      </c>
      <c r="G2242" s="12" t="e">
        <f>'[4]#REF'!G2242</f>
        <v>#REF!</v>
      </c>
      <c r="H2242" s="31" t="e">
        <f>'[4]#REF'!I2242</f>
        <v>#REF!</v>
      </c>
      <c r="I2242" s="32" t="e">
        <f t="shared" si="65"/>
        <v>#REF!</v>
      </c>
    </row>
    <row r="2243" ht="15.75" spans="6:9">
      <c r="F2243" s="12" t="e">
        <f>'[4]#REF'!F2243</f>
        <v>#REF!</v>
      </c>
      <c r="G2243" s="12" t="e">
        <f>'[4]#REF'!G2243</f>
        <v>#REF!</v>
      </c>
      <c r="H2243" s="31" t="e">
        <f>'[4]#REF'!I2243</f>
        <v>#REF!</v>
      </c>
      <c r="I2243" s="32" t="e">
        <f t="shared" si="65"/>
        <v>#REF!</v>
      </c>
    </row>
    <row r="2244" ht="15.75" spans="6:9">
      <c r="F2244" s="12" t="e">
        <f>'[4]#REF'!F2244</f>
        <v>#REF!</v>
      </c>
      <c r="G2244" s="12" t="e">
        <f>'[4]#REF'!G2244</f>
        <v>#REF!</v>
      </c>
      <c r="H2244" s="31" t="e">
        <f>'[4]#REF'!I2244</f>
        <v>#REF!</v>
      </c>
      <c r="I2244" s="32" t="e">
        <f t="shared" si="65"/>
        <v>#REF!</v>
      </c>
    </row>
    <row r="2245" ht="15.75" spans="6:9">
      <c r="F2245" s="12" t="e">
        <f>'[4]#REF'!F2245</f>
        <v>#REF!</v>
      </c>
      <c r="G2245" s="12" t="e">
        <f>'[4]#REF'!G2245</f>
        <v>#REF!</v>
      </c>
      <c r="H2245" s="31" t="e">
        <f>'[4]#REF'!I2245</f>
        <v>#REF!</v>
      </c>
      <c r="I2245" s="32" t="e">
        <f t="shared" si="65"/>
        <v>#REF!</v>
      </c>
    </row>
    <row r="2246" ht="15.75" spans="6:9">
      <c r="F2246" s="12" t="e">
        <f>'[4]#REF'!F2246</f>
        <v>#REF!</v>
      </c>
      <c r="G2246" s="12" t="e">
        <f>'[4]#REF'!G2246</f>
        <v>#REF!</v>
      </c>
      <c r="H2246" s="31" t="e">
        <f>'[4]#REF'!I2246</f>
        <v>#REF!</v>
      </c>
      <c r="I2246" s="32" t="e">
        <f t="shared" ref="I2246:I2309" si="66">ROUND(H2246/$I$4*100,2)</f>
        <v>#REF!</v>
      </c>
    </row>
    <row r="2247" ht="15.75" spans="6:9">
      <c r="F2247" s="12" t="e">
        <f>'[4]#REF'!F2247</f>
        <v>#REF!</v>
      </c>
      <c r="G2247" s="12" t="e">
        <f>'[4]#REF'!G2247</f>
        <v>#REF!</v>
      </c>
      <c r="H2247" s="31" t="e">
        <f>'[4]#REF'!I2247</f>
        <v>#REF!</v>
      </c>
      <c r="I2247" s="32" t="e">
        <f t="shared" si="66"/>
        <v>#REF!</v>
      </c>
    </row>
    <row r="2248" ht="15.75" spans="6:9">
      <c r="F2248" s="12" t="e">
        <f>'[4]#REF'!F2248</f>
        <v>#REF!</v>
      </c>
      <c r="G2248" s="12" t="e">
        <f>'[4]#REF'!G2248</f>
        <v>#REF!</v>
      </c>
      <c r="H2248" s="31" t="e">
        <f>'[4]#REF'!I2248</f>
        <v>#REF!</v>
      </c>
      <c r="I2248" s="32" t="e">
        <f t="shared" si="66"/>
        <v>#REF!</v>
      </c>
    </row>
    <row r="2249" ht="15.75" spans="6:9">
      <c r="F2249" s="12" t="e">
        <f>'[4]#REF'!F2249</f>
        <v>#REF!</v>
      </c>
      <c r="G2249" s="12" t="e">
        <f>'[4]#REF'!G2249</f>
        <v>#REF!</v>
      </c>
      <c r="H2249" s="31" t="e">
        <f>'[4]#REF'!I2249</f>
        <v>#REF!</v>
      </c>
      <c r="I2249" s="32" t="e">
        <f t="shared" si="66"/>
        <v>#REF!</v>
      </c>
    </row>
    <row r="2250" ht="15.75" spans="6:9">
      <c r="F2250" s="12" t="e">
        <f>'[4]#REF'!F2250</f>
        <v>#REF!</v>
      </c>
      <c r="G2250" s="12" t="e">
        <f>'[4]#REF'!G2250</f>
        <v>#REF!</v>
      </c>
      <c r="H2250" s="31" t="e">
        <f>'[4]#REF'!I2250</f>
        <v>#REF!</v>
      </c>
      <c r="I2250" s="32" t="e">
        <f t="shared" si="66"/>
        <v>#REF!</v>
      </c>
    </row>
    <row r="2251" ht="15.75" spans="6:9">
      <c r="F2251" s="12" t="e">
        <f>'[4]#REF'!F2251</f>
        <v>#REF!</v>
      </c>
      <c r="G2251" s="12" t="e">
        <f>'[4]#REF'!G2251</f>
        <v>#REF!</v>
      </c>
      <c r="H2251" s="31" t="e">
        <f>'[4]#REF'!I2251</f>
        <v>#REF!</v>
      </c>
      <c r="I2251" s="32" t="e">
        <f t="shared" si="66"/>
        <v>#REF!</v>
      </c>
    </row>
    <row r="2252" ht="15.75" spans="6:9">
      <c r="F2252" s="12" t="e">
        <f>'[4]#REF'!F2252</f>
        <v>#REF!</v>
      </c>
      <c r="G2252" s="12" t="e">
        <f>'[4]#REF'!G2252</f>
        <v>#REF!</v>
      </c>
      <c r="H2252" s="31" t="e">
        <f>'[4]#REF'!I2252</f>
        <v>#REF!</v>
      </c>
      <c r="I2252" s="32" t="e">
        <f t="shared" si="66"/>
        <v>#REF!</v>
      </c>
    </row>
    <row r="2253" ht="15.75" spans="6:9">
      <c r="F2253" s="12" t="e">
        <f>'[4]#REF'!F2253</f>
        <v>#REF!</v>
      </c>
      <c r="G2253" s="12" t="e">
        <f>'[4]#REF'!G2253</f>
        <v>#REF!</v>
      </c>
      <c r="H2253" s="31" t="e">
        <f>'[4]#REF'!I2253</f>
        <v>#REF!</v>
      </c>
      <c r="I2253" s="32" t="e">
        <f t="shared" si="66"/>
        <v>#REF!</v>
      </c>
    </row>
    <row r="2254" ht="15.75" spans="6:9">
      <c r="F2254" s="12" t="e">
        <f>'[4]#REF'!F2254</f>
        <v>#REF!</v>
      </c>
      <c r="G2254" s="12" t="e">
        <f>'[4]#REF'!G2254</f>
        <v>#REF!</v>
      </c>
      <c r="H2254" s="31" t="e">
        <f>'[4]#REF'!I2254</f>
        <v>#REF!</v>
      </c>
      <c r="I2254" s="32" t="e">
        <f t="shared" si="66"/>
        <v>#REF!</v>
      </c>
    </row>
    <row r="2255" ht="15.75" spans="6:9">
      <c r="F2255" s="12" t="e">
        <f>'[4]#REF'!F2255</f>
        <v>#REF!</v>
      </c>
      <c r="G2255" s="12" t="e">
        <f>'[4]#REF'!G2255</f>
        <v>#REF!</v>
      </c>
      <c r="H2255" s="31" t="e">
        <f>'[4]#REF'!I2255</f>
        <v>#REF!</v>
      </c>
      <c r="I2255" s="32" t="e">
        <f t="shared" si="66"/>
        <v>#REF!</v>
      </c>
    </row>
    <row r="2256" ht="15.75" spans="6:9">
      <c r="F2256" s="12" t="e">
        <f>'[4]#REF'!F2256</f>
        <v>#REF!</v>
      </c>
      <c r="G2256" s="12" t="e">
        <f>'[4]#REF'!G2256</f>
        <v>#REF!</v>
      </c>
      <c r="H2256" s="31" t="e">
        <f>'[4]#REF'!I2256</f>
        <v>#REF!</v>
      </c>
      <c r="I2256" s="32" t="e">
        <f t="shared" si="66"/>
        <v>#REF!</v>
      </c>
    </row>
    <row r="2257" ht="15.75" spans="6:9">
      <c r="F2257" s="12" t="e">
        <f>'[4]#REF'!F2257</f>
        <v>#REF!</v>
      </c>
      <c r="G2257" s="12" t="e">
        <f>'[4]#REF'!G2257</f>
        <v>#REF!</v>
      </c>
      <c r="H2257" s="31" t="e">
        <f>'[4]#REF'!I2257</f>
        <v>#REF!</v>
      </c>
      <c r="I2257" s="32" t="e">
        <f t="shared" si="66"/>
        <v>#REF!</v>
      </c>
    </row>
    <row r="2258" ht="15.75" spans="6:9">
      <c r="F2258" s="12" t="e">
        <f>'[4]#REF'!F2258</f>
        <v>#REF!</v>
      </c>
      <c r="G2258" s="12" t="e">
        <f>'[4]#REF'!G2258</f>
        <v>#REF!</v>
      </c>
      <c r="H2258" s="31" t="e">
        <f>'[4]#REF'!I2258</f>
        <v>#REF!</v>
      </c>
      <c r="I2258" s="32" t="e">
        <f t="shared" si="66"/>
        <v>#REF!</v>
      </c>
    </row>
    <row r="2259" ht="15.75" spans="6:9">
      <c r="F2259" s="12" t="e">
        <f>'[4]#REF'!F2259</f>
        <v>#REF!</v>
      </c>
      <c r="G2259" s="12" t="e">
        <f>'[4]#REF'!G2259</f>
        <v>#REF!</v>
      </c>
      <c r="H2259" s="31" t="e">
        <f>'[4]#REF'!I2259</f>
        <v>#REF!</v>
      </c>
      <c r="I2259" s="32" t="e">
        <f t="shared" si="66"/>
        <v>#REF!</v>
      </c>
    </row>
    <row r="2260" ht="15.75" spans="6:9">
      <c r="F2260" s="12" t="e">
        <f>'[4]#REF'!F2260</f>
        <v>#REF!</v>
      </c>
      <c r="G2260" s="12" t="e">
        <f>'[4]#REF'!G2260</f>
        <v>#REF!</v>
      </c>
      <c r="H2260" s="31" t="e">
        <f>'[4]#REF'!I2260</f>
        <v>#REF!</v>
      </c>
      <c r="I2260" s="32" t="e">
        <f t="shared" si="66"/>
        <v>#REF!</v>
      </c>
    </row>
    <row r="2261" ht="15.75" spans="6:9">
      <c r="F2261" s="12" t="e">
        <f>'[4]#REF'!F2261</f>
        <v>#REF!</v>
      </c>
      <c r="G2261" s="12" t="e">
        <f>'[4]#REF'!G2261</f>
        <v>#REF!</v>
      </c>
      <c r="H2261" s="31" t="e">
        <f>'[4]#REF'!I2261</f>
        <v>#REF!</v>
      </c>
      <c r="I2261" s="32" t="e">
        <f t="shared" si="66"/>
        <v>#REF!</v>
      </c>
    </row>
    <row r="2262" ht="15.75" spans="6:9">
      <c r="F2262" s="12" t="e">
        <f>'[4]#REF'!F2262</f>
        <v>#REF!</v>
      </c>
      <c r="G2262" s="12" t="e">
        <f>'[4]#REF'!G2262</f>
        <v>#REF!</v>
      </c>
      <c r="H2262" s="31" t="e">
        <f>'[4]#REF'!I2262</f>
        <v>#REF!</v>
      </c>
      <c r="I2262" s="32" t="e">
        <f t="shared" si="66"/>
        <v>#REF!</v>
      </c>
    </row>
    <row r="2263" ht="15.75" spans="6:9">
      <c r="F2263" s="12" t="e">
        <f>'[4]#REF'!F2263</f>
        <v>#REF!</v>
      </c>
      <c r="G2263" s="12" t="e">
        <f>'[4]#REF'!G2263</f>
        <v>#REF!</v>
      </c>
      <c r="H2263" s="31" t="e">
        <f>'[4]#REF'!I2263</f>
        <v>#REF!</v>
      </c>
      <c r="I2263" s="32" t="e">
        <f t="shared" si="66"/>
        <v>#REF!</v>
      </c>
    </row>
    <row r="2264" ht="15.75" spans="6:9">
      <c r="F2264" s="12" t="e">
        <f>'[4]#REF'!F2264</f>
        <v>#REF!</v>
      </c>
      <c r="G2264" s="12" t="e">
        <f>'[4]#REF'!G2264</f>
        <v>#REF!</v>
      </c>
      <c r="H2264" s="31" t="e">
        <f>'[4]#REF'!I2264</f>
        <v>#REF!</v>
      </c>
      <c r="I2264" s="32" t="e">
        <f t="shared" si="66"/>
        <v>#REF!</v>
      </c>
    </row>
    <row r="2265" ht="15.75" spans="6:9">
      <c r="F2265" s="12" t="e">
        <f>'[4]#REF'!F2265</f>
        <v>#REF!</v>
      </c>
      <c r="G2265" s="12" t="e">
        <f>'[4]#REF'!G2265</f>
        <v>#REF!</v>
      </c>
      <c r="H2265" s="31" t="e">
        <f>'[4]#REF'!I2265</f>
        <v>#REF!</v>
      </c>
      <c r="I2265" s="32" t="e">
        <f t="shared" si="66"/>
        <v>#REF!</v>
      </c>
    </row>
    <row r="2266" ht="15.75" spans="6:9">
      <c r="F2266" s="12" t="e">
        <f>'[4]#REF'!F2266</f>
        <v>#REF!</v>
      </c>
      <c r="G2266" s="12" t="e">
        <f>'[4]#REF'!G2266</f>
        <v>#REF!</v>
      </c>
      <c r="H2266" s="31" t="e">
        <f>'[4]#REF'!I2266</f>
        <v>#REF!</v>
      </c>
      <c r="I2266" s="32" t="e">
        <f t="shared" si="66"/>
        <v>#REF!</v>
      </c>
    </row>
    <row r="2267" ht="15.75" spans="6:9">
      <c r="F2267" s="12" t="e">
        <f>'[4]#REF'!F2267</f>
        <v>#REF!</v>
      </c>
      <c r="G2267" s="12" t="e">
        <f>'[4]#REF'!G2267</f>
        <v>#REF!</v>
      </c>
      <c r="H2267" s="31" t="e">
        <f>'[4]#REF'!I2267</f>
        <v>#REF!</v>
      </c>
      <c r="I2267" s="32" t="e">
        <f t="shared" si="66"/>
        <v>#REF!</v>
      </c>
    </row>
    <row r="2268" ht="15.75" spans="6:9">
      <c r="F2268" s="12" t="e">
        <f>'[4]#REF'!F2268</f>
        <v>#REF!</v>
      </c>
      <c r="G2268" s="12" t="e">
        <f>'[4]#REF'!G2268</f>
        <v>#REF!</v>
      </c>
      <c r="H2268" s="31" t="e">
        <f>'[4]#REF'!I2268</f>
        <v>#REF!</v>
      </c>
      <c r="I2268" s="32" t="e">
        <f t="shared" si="66"/>
        <v>#REF!</v>
      </c>
    </row>
    <row r="2269" ht="15.75" spans="6:9">
      <c r="F2269" s="12" t="e">
        <f>'[4]#REF'!F2269</f>
        <v>#REF!</v>
      </c>
      <c r="G2269" s="12" t="e">
        <f>'[4]#REF'!G2269</f>
        <v>#REF!</v>
      </c>
      <c r="H2269" s="31" t="e">
        <f>'[4]#REF'!I2269</f>
        <v>#REF!</v>
      </c>
      <c r="I2269" s="32" t="e">
        <f t="shared" si="66"/>
        <v>#REF!</v>
      </c>
    </row>
    <row r="2270" ht="15.75" spans="6:9">
      <c r="F2270" s="12" t="e">
        <f>'[4]#REF'!F2270</f>
        <v>#REF!</v>
      </c>
      <c r="G2270" s="12" t="e">
        <f>'[4]#REF'!G2270</f>
        <v>#REF!</v>
      </c>
      <c r="H2270" s="31" t="e">
        <f>'[4]#REF'!I2270</f>
        <v>#REF!</v>
      </c>
      <c r="I2270" s="32" t="e">
        <f t="shared" si="66"/>
        <v>#REF!</v>
      </c>
    </row>
    <row r="2271" ht="15.75" spans="6:9">
      <c r="F2271" s="12" t="e">
        <f>'[4]#REF'!F2271</f>
        <v>#REF!</v>
      </c>
      <c r="G2271" s="12" t="e">
        <f>'[4]#REF'!G2271</f>
        <v>#REF!</v>
      </c>
      <c r="H2271" s="31" t="e">
        <f>'[4]#REF'!I2271</f>
        <v>#REF!</v>
      </c>
      <c r="I2271" s="32" t="e">
        <f t="shared" si="66"/>
        <v>#REF!</v>
      </c>
    </row>
    <row r="2272" ht="15.75" spans="6:9">
      <c r="F2272" s="12" t="e">
        <f>'[4]#REF'!F2272</f>
        <v>#REF!</v>
      </c>
      <c r="G2272" s="12" t="e">
        <f>'[4]#REF'!G2272</f>
        <v>#REF!</v>
      </c>
      <c r="H2272" s="31" t="e">
        <f>'[4]#REF'!I2272</f>
        <v>#REF!</v>
      </c>
      <c r="I2272" s="32" t="e">
        <f t="shared" si="66"/>
        <v>#REF!</v>
      </c>
    </row>
    <row r="2273" ht="15.75" spans="6:9">
      <c r="F2273" s="12" t="e">
        <f>'[4]#REF'!F2273</f>
        <v>#REF!</v>
      </c>
      <c r="G2273" s="12" t="e">
        <f>'[4]#REF'!G2273</f>
        <v>#REF!</v>
      </c>
      <c r="H2273" s="31" t="e">
        <f>'[4]#REF'!I2273</f>
        <v>#REF!</v>
      </c>
      <c r="I2273" s="32" t="e">
        <f t="shared" si="66"/>
        <v>#REF!</v>
      </c>
    </row>
    <row r="2274" ht="15.75" spans="6:9">
      <c r="F2274" s="12" t="e">
        <f>'[4]#REF'!F2274</f>
        <v>#REF!</v>
      </c>
      <c r="G2274" s="12" t="e">
        <f>'[4]#REF'!G2274</f>
        <v>#REF!</v>
      </c>
      <c r="H2274" s="31" t="e">
        <f>'[4]#REF'!I2274</f>
        <v>#REF!</v>
      </c>
      <c r="I2274" s="32" t="e">
        <f t="shared" si="66"/>
        <v>#REF!</v>
      </c>
    </row>
    <row r="2275" ht="15.75" spans="6:9">
      <c r="F2275" s="12" t="e">
        <f>'[4]#REF'!F2275</f>
        <v>#REF!</v>
      </c>
      <c r="G2275" s="12" t="e">
        <f>'[4]#REF'!G2275</f>
        <v>#REF!</v>
      </c>
      <c r="H2275" s="31" t="e">
        <f>'[4]#REF'!I2275</f>
        <v>#REF!</v>
      </c>
      <c r="I2275" s="32" t="e">
        <f t="shared" si="66"/>
        <v>#REF!</v>
      </c>
    </row>
    <row r="2276" ht="15.75" spans="6:9">
      <c r="F2276" s="12" t="e">
        <f>'[4]#REF'!F2276</f>
        <v>#REF!</v>
      </c>
      <c r="G2276" s="12" t="e">
        <f>'[4]#REF'!G2276</f>
        <v>#REF!</v>
      </c>
      <c r="H2276" s="31" t="e">
        <f>'[4]#REF'!I2276</f>
        <v>#REF!</v>
      </c>
      <c r="I2276" s="32" t="e">
        <f t="shared" si="66"/>
        <v>#REF!</v>
      </c>
    </row>
    <row r="2277" ht="15.75" spans="6:9">
      <c r="F2277" s="12" t="e">
        <f>'[4]#REF'!F2277</f>
        <v>#REF!</v>
      </c>
      <c r="G2277" s="12" t="e">
        <f>'[4]#REF'!G2277</f>
        <v>#REF!</v>
      </c>
      <c r="H2277" s="31" t="e">
        <f>'[4]#REF'!I2277</f>
        <v>#REF!</v>
      </c>
      <c r="I2277" s="32" t="e">
        <f t="shared" si="66"/>
        <v>#REF!</v>
      </c>
    </row>
    <row r="2278" ht="15.75" spans="6:9">
      <c r="F2278" s="12" t="e">
        <f>'[4]#REF'!F2278</f>
        <v>#REF!</v>
      </c>
      <c r="G2278" s="12" t="e">
        <f>'[4]#REF'!G2278</f>
        <v>#REF!</v>
      </c>
      <c r="H2278" s="31" t="e">
        <f>'[4]#REF'!I2278</f>
        <v>#REF!</v>
      </c>
      <c r="I2278" s="32" t="e">
        <f t="shared" si="66"/>
        <v>#REF!</v>
      </c>
    </row>
    <row r="2279" ht="15.75" spans="6:9">
      <c r="F2279" s="12" t="e">
        <f>'[4]#REF'!F2279</f>
        <v>#REF!</v>
      </c>
      <c r="G2279" s="12" t="e">
        <f>'[4]#REF'!G2279</f>
        <v>#REF!</v>
      </c>
      <c r="H2279" s="31" t="e">
        <f>'[4]#REF'!I2279</f>
        <v>#REF!</v>
      </c>
      <c r="I2279" s="32" t="e">
        <f t="shared" si="66"/>
        <v>#REF!</v>
      </c>
    </row>
    <row r="2280" ht="15.75" spans="6:9">
      <c r="F2280" s="12" t="e">
        <f>'[4]#REF'!F2280</f>
        <v>#REF!</v>
      </c>
      <c r="G2280" s="12" t="e">
        <f>'[4]#REF'!G2280</f>
        <v>#REF!</v>
      </c>
      <c r="H2280" s="31" t="e">
        <f>'[4]#REF'!I2280</f>
        <v>#REF!</v>
      </c>
      <c r="I2280" s="32" t="e">
        <f t="shared" si="66"/>
        <v>#REF!</v>
      </c>
    </row>
    <row r="2281" ht="15.75" spans="6:9">
      <c r="F2281" s="12" t="e">
        <f>'[4]#REF'!F2281</f>
        <v>#REF!</v>
      </c>
      <c r="G2281" s="12" t="e">
        <f>'[4]#REF'!G2281</f>
        <v>#REF!</v>
      </c>
      <c r="H2281" s="31" t="e">
        <f>'[4]#REF'!I2281</f>
        <v>#REF!</v>
      </c>
      <c r="I2281" s="32" t="e">
        <f t="shared" si="66"/>
        <v>#REF!</v>
      </c>
    </row>
    <row r="2282" ht="15.75" spans="6:9">
      <c r="F2282" s="12" t="e">
        <f>'[4]#REF'!F2282</f>
        <v>#REF!</v>
      </c>
      <c r="G2282" s="12" t="e">
        <f>'[4]#REF'!G2282</f>
        <v>#REF!</v>
      </c>
      <c r="H2282" s="31" t="e">
        <f>'[4]#REF'!I2282</f>
        <v>#REF!</v>
      </c>
      <c r="I2282" s="32" t="e">
        <f t="shared" si="66"/>
        <v>#REF!</v>
      </c>
    </row>
    <row r="2283" ht="15.75" spans="6:9">
      <c r="F2283" s="12" t="e">
        <f>'[4]#REF'!F2283</f>
        <v>#REF!</v>
      </c>
      <c r="G2283" s="12" t="e">
        <f>'[4]#REF'!G2283</f>
        <v>#REF!</v>
      </c>
      <c r="H2283" s="31" t="e">
        <f>'[4]#REF'!I2283</f>
        <v>#REF!</v>
      </c>
      <c r="I2283" s="32" t="e">
        <f t="shared" si="66"/>
        <v>#REF!</v>
      </c>
    </row>
    <row r="2284" ht="15.75" spans="6:9">
      <c r="F2284" s="12" t="e">
        <f>'[4]#REF'!F2284</f>
        <v>#REF!</v>
      </c>
      <c r="G2284" s="12" t="e">
        <f>'[4]#REF'!G2284</f>
        <v>#REF!</v>
      </c>
      <c r="H2284" s="31" t="e">
        <f>'[4]#REF'!I2284</f>
        <v>#REF!</v>
      </c>
      <c r="I2284" s="32" t="e">
        <f t="shared" si="66"/>
        <v>#REF!</v>
      </c>
    </row>
    <row r="2285" ht="15.75" spans="6:9">
      <c r="F2285" s="12" t="e">
        <f>'[4]#REF'!F2285</f>
        <v>#REF!</v>
      </c>
      <c r="G2285" s="12" t="e">
        <f>'[4]#REF'!G2285</f>
        <v>#REF!</v>
      </c>
      <c r="H2285" s="31" t="e">
        <f>'[4]#REF'!I2285</f>
        <v>#REF!</v>
      </c>
      <c r="I2285" s="32" t="e">
        <f t="shared" si="66"/>
        <v>#REF!</v>
      </c>
    </row>
    <row r="2286" ht="15.75" spans="6:9">
      <c r="F2286" s="12" t="e">
        <f>'[4]#REF'!F2286</f>
        <v>#REF!</v>
      </c>
      <c r="G2286" s="12" t="e">
        <f>'[4]#REF'!G2286</f>
        <v>#REF!</v>
      </c>
      <c r="H2286" s="31" t="e">
        <f>'[4]#REF'!I2286</f>
        <v>#REF!</v>
      </c>
      <c r="I2286" s="32" t="e">
        <f t="shared" si="66"/>
        <v>#REF!</v>
      </c>
    </row>
    <row r="2287" ht="15.75" spans="6:9">
      <c r="F2287" s="12" t="e">
        <f>'[4]#REF'!F2287</f>
        <v>#REF!</v>
      </c>
      <c r="G2287" s="12" t="e">
        <f>'[4]#REF'!G2287</f>
        <v>#REF!</v>
      </c>
      <c r="H2287" s="31" t="e">
        <f>'[4]#REF'!I2287</f>
        <v>#REF!</v>
      </c>
      <c r="I2287" s="32" t="e">
        <f t="shared" si="66"/>
        <v>#REF!</v>
      </c>
    </row>
    <row r="2288" ht="15.75" spans="6:9">
      <c r="F2288" s="12" t="e">
        <f>'[4]#REF'!F2288</f>
        <v>#REF!</v>
      </c>
      <c r="G2288" s="12" t="e">
        <f>'[4]#REF'!G2288</f>
        <v>#REF!</v>
      </c>
      <c r="H2288" s="31" t="e">
        <f>'[4]#REF'!I2288</f>
        <v>#REF!</v>
      </c>
      <c r="I2288" s="32" t="e">
        <f t="shared" si="66"/>
        <v>#REF!</v>
      </c>
    </row>
    <row r="2289" ht="15.75" spans="6:9">
      <c r="F2289" s="12" t="e">
        <f>'[4]#REF'!F2289</f>
        <v>#REF!</v>
      </c>
      <c r="G2289" s="12" t="e">
        <f>'[4]#REF'!G2289</f>
        <v>#REF!</v>
      </c>
      <c r="H2289" s="31" t="e">
        <f>'[4]#REF'!I2289</f>
        <v>#REF!</v>
      </c>
      <c r="I2289" s="32" t="e">
        <f t="shared" si="66"/>
        <v>#REF!</v>
      </c>
    </row>
    <row r="2290" ht="15.75" spans="6:9">
      <c r="F2290" s="12" t="e">
        <f>'[4]#REF'!F2290</f>
        <v>#REF!</v>
      </c>
      <c r="G2290" s="12" t="e">
        <f>'[4]#REF'!G2290</f>
        <v>#REF!</v>
      </c>
      <c r="H2290" s="31" t="e">
        <f>'[4]#REF'!I2290</f>
        <v>#REF!</v>
      </c>
      <c r="I2290" s="32" t="e">
        <f t="shared" si="66"/>
        <v>#REF!</v>
      </c>
    </row>
    <row r="2291" ht="15.75" spans="6:9">
      <c r="F2291" s="12" t="e">
        <f>'[4]#REF'!F2291</f>
        <v>#REF!</v>
      </c>
      <c r="G2291" s="12" t="e">
        <f>'[4]#REF'!G2291</f>
        <v>#REF!</v>
      </c>
      <c r="H2291" s="31" t="e">
        <f>'[4]#REF'!I2291</f>
        <v>#REF!</v>
      </c>
      <c r="I2291" s="32" t="e">
        <f t="shared" si="66"/>
        <v>#REF!</v>
      </c>
    </row>
    <row r="2292" ht="15.75" spans="6:9">
      <c r="F2292" s="12" t="e">
        <f>'[4]#REF'!F2292</f>
        <v>#REF!</v>
      </c>
      <c r="G2292" s="12" t="e">
        <f>'[4]#REF'!G2292</f>
        <v>#REF!</v>
      </c>
      <c r="H2292" s="31" t="e">
        <f>'[4]#REF'!I2292</f>
        <v>#REF!</v>
      </c>
      <c r="I2292" s="32" t="e">
        <f t="shared" si="66"/>
        <v>#REF!</v>
      </c>
    </row>
    <row r="2293" ht="15.75" spans="6:9">
      <c r="F2293" s="12" t="e">
        <f>'[4]#REF'!F2293</f>
        <v>#REF!</v>
      </c>
      <c r="G2293" s="12" t="e">
        <f>'[4]#REF'!G2293</f>
        <v>#REF!</v>
      </c>
      <c r="H2293" s="31" t="e">
        <f>'[4]#REF'!I2293</f>
        <v>#REF!</v>
      </c>
      <c r="I2293" s="32" t="e">
        <f t="shared" si="66"/>
        <v>#REF!</v>
      </c>
    </row>
    <row r="2294" ht="15.75" spans="6:9">
      <c r="F2294" s="12" t="e">
        <f>'[4]#REF'!F2294</f>
        <v>#REF!</v>
      </c>
      <c r="G2294" s="12" t="e">
        <f>'[4]#REF'!G2294</f>
        <v>#REF!</v>
      </c>
      <c r="H2294" s="31" t="e">
        <f>'[4]#REF'!I2294</f>
        <v>#REF!</v>
      </c>
      <c r="I2294" s="32" t="e">
        <f t="shared" si="66"/>
        <v>#REF!</v>
      </c>
    </row>
    <row r="2295" ht="15.75" spans="6:9">
      <c r="F2295" s="12" t="e">
        <f>'[4]#REF'!F2295</f>
        <v>#REF!</v>
      </c>
      <c r="G2295" s="12" t="e">
        <f>'[4]#REF'!G2295</f>
        <v>#REF!</v>
      </c>
      <c r="H2295" s="31" t="e">
        <f>'[4]#REF'!I2295</f>
        <v>#REF!</v>
      </c>
      <c r="I2295" s="32" t="e">
        <f t="shared" si="66"/>
        <v>#REF!</v>
      </c>
    </row>
    <row r="2296" ht="15.75" spans="6:9">
      <c r="F2296" s="12" t="e">
        <f>'[4]#REF'!F2296</f>
        <v>#REF!</v>
      </c>
      <c r="G2296" s="12" t="e">
        <f>'[4]#REF'!G2296</f>
        <v>#REF!</v>
      </c>
      <c r="H2296" s="31" t="e">
        <f>'[4]#REF'!I2296</f>
        <v>#REF!</v>
      </c>
      <c r="I2296" s="32" t="e">
        <f t="shared" si="66"/>
        <v>#REF!</v>
      </c>
    </row>
    <row r="2297" ht="15.75" spans="6:9">
      <c r="F2297" s="12" t="e">
        <f>'[4]#REF'!F2297</f>
        <v>#REF!</v>
      </c>
      <c r="G2297" s="12" t="e">
        <f>'[4]#REF'!G2297</f>
        <v>#REF!</v>
      </c>
      <c r="H2297" s="31" t="e">
        <f>'[4]#REF'!I2297</f>
        <v>#REF!</v>
      </c>
      <c r="I2297" s="32" t="e">
        <f t="shared" si="66"/>
        <v>#REF!</v>
      </c>
    </row>
    <row r="2298" ht="15.75" spans="6:9">
      <c r="F2298" s="12" t="e">
        <f>'[4]#REF'!F2298</f>
        <v>#REF!</v>
      </c>
      <c r="G2298" s="12" t="e">
        <f>'[4]#REF'!G2298</f>
        <v>#REF!</v>
      </c>
      <c r="H2298" s="31" t="e">
        <f>'[4]#REF'!I2298</f>
        <v>#REF!</v>
      </c>
      <c r="I2298" s="32" t="e">
        <f t="shared" si="66"/>
        <v>#REF!</v>
      </c>
    </row>
    <row r="2299" ht="15.75" spans="6:9">
      <c r="F2299" s="12" t="e">
        <f>'[4]#REF'!F2299</f>
        <v>#REF!</v>
      </c>
      <c r="G2299" s="12" t="e">
        <f>'[4]#REF'!G2299</f>
        <v>#REF!</v>
      </c>
      <c r="H2299" s="31" t="e">
        <f>'[4]#REF'!I2299</f>
        <v>#REF!</v>
      </c>
      <c r="I2299" s="32" t="e">
        <f t="shared" si="66"/>
        <v>#REF!</v>
      </c>
    </row>
    <row r="2300" ht="15.75" spans="6:9">
      <c r="F2300" s="12" t="e">
        <f>'[4]#REF'!F2300</f>
        <v>#REF!</v>
      </c>
      <c r="G2300" s="12" t="e">
        <f>'[4]#REF'!G2300</f>
        <v>#REF!</v>
      </c>
      <c r="H2300" s="31" t="e">
        <f>'[4]#REF'!I2300</f>
        <v>#REF!</v>
      </c>
      <c r="I2300" s="32" t="e">
        <f t="shared" si="66"/>
        <v>#REF!</v>
      </c>
    </row>
    <row r="2301" ht="15.75" spans="6:9">
      <c r="F2301" s="12" t="e">
        <f>'[4]#REF'!F2301</f>
        <v>#REF!</v>
      </c>
      <c r="G2301" s="12" t="e">
        <f>'[4]#REF'!G2301</f>
        <v>#REF!</v>
      </c>
      <c r="H2301" s="31" t="e">
        <f>'[4]#REF'!I2301</f>
        <v>#REF!</v>
      </c>
      <c r="I2301" s="32" t="e">
        <f t="shared" si="66"/>
        <v>#REF!</v>
      </c>
    </row>
    <row r="2302" ht="15.75" spans="6:9">
      <c r="F2302" s="12" t="e">
        <f>'[4]#REF'!F2302</f>
        <v>#REF!</v>
      </c>
      <c r="G2302" s="12" t="e">
        <f>'[4]#REF'!G2302</f>
        <v>#REF!</v>
      </c>
      <c r="H2302" s="31" t="e">
        <f>'[4]#REF'!I2302</f>
        <v>#REF!</v>
      </c>
      <c r="I2302" s="32" t="e">
        <f t="shared" si="66"/>
        <v>#REF!</v>
      </c>
    </row>
    <row r="2303" ht="15.75" spans="6:9">
      <c r="F2303" s="12" t="e">
        <f>'[4]#REF'!F2303</f>
        <v>#REF!</v>
      </c>
      <c r="G2303" s="12" t="e">
        <f>'[4]#REF'!G2303</f>
        <v>#REF!</v>
      </c>
      <c r="H2303" s="31" t="e">
        <f>'[4]#REF'!I2303</f>
        <v>#REF!</v>
      </c>
      <c r="I2303" s="32" t="e">
        <f t="shared" si="66"/>
        <v>#REF!</v>
      </c>
    </row>
    <row r="2304" ht="15.75" spans="6:9">
      <c r="F2304" s="12" t="e">
        <f>'[4]#REF'!F2304</f>
        <v>#REF!</v>
      </c>
      <c r="G2304" s="12" t="e">
        <f>'[4]#REF'!G2304</f>
        <v>#REF!</v>
      </c>
      <c r="H2304" s="31" t="e">
        <f>'[4]#REF'!I2304</f>
        <v>#REF!</v>
      </c>
      <c r="I2304" s="32" t="e">
        <f t="shared" si="66"/>
        <v>#REF!</v>
      </c>
    </row>
    <row r="2305" ht="15.75" spans="6:9">
      <c r="F2305" s="12" t="e">
        <f>'[4]#REF'!F2305</f>
        <v>#REF!</v>
      </c>
      <c r="G2305" s="12" t="e">
        <f>'[4]#REF'!G2305</f>
        <v>#REF!</v>
      </c>
      <c r="H2305" s="31" t="e">
        <f>'[4]#REF'!I2305</f>
        <v>#REF!</v>
      </c>
      <c r="I2305" s="32" t="e">
        <f t="shared" si="66"/>
        <v>#REF!</v>
      </c>
    </row>
    <row r="2306" ht="15.75" spans="6:9">
      <c r="F2306" s="12" t="e">
        <f>'[4]#REF'!F2306</f>
        <v>#REF!</v>
      </c>
      <c r="G2306" s="12" t="e">
        <f>'[4]#REF'!G2306</f>
        <v>#REF!</v>
      </c>
      <c r="H2306" s="31" t="e">
        <f>'[4]#REF'!I2306</f>
        <v>#REF!</v>
      </c>
      <c r="I2306" s="32" t="e">
        <f t="shared" si="66"/>
        <v>#REF!</v>
      </c>
    </row>
    <row r="2307" ht="15.75" spans="6:9">
      <c r="F2307" s="12" t="e">
        <f>'[4]#REF'!F2307</f>
        <v>#REF!</v>
      </c>
      <c r="G2307" s="12" t="e">
        <f>'[4]#REF'!G2307</f>
        <v>#REF!</v>
      </c>
      <c r="H2307" s="31" t="e">
        <f>'[4]#REF'!I2307</f>
        <v>#REF!</v>
      </c>
      <c r="I2307" s="32" t="e">
        <f t="shared" si="66"/>
        <v>#REF!</v>
      </c>
    </row>
    <row r="2308" ht="15.75" spans="6:9">
      <c r="F2308" s="12" t="e">
        <f>'[4]#REF'!F2308</f>
        <v>#REF!</v>
      </c>
      <c r="G2308" s="12" t="e">
        <f>'[4]#REF'!G2308</f>
        <v>#REF!</v>
      </c>
      <c r="H2308" s="31" t="e">
        <f>'[4]#REF'!I2308</f>
        <v>#REF!</v>
      </c>
      <c r="I2308" s="32" t="e">
        <f t="shared" si="66"/>
        <v>#REF!</v>
      </c>
    </row>
    <row r="2309" ht="15.75" spans="6:9">
      <c r="F2309" s="12" t="e">
        <f>'[4]#REF'!F2309</f>
        <v>#REF!</v>
      </c>
      <c r="G2309" s="12" t="e">
        <f>'[4]#REF'!G2309</f>
        <v>#REF!</v>
      </c>
      <c r="H2309" s="31" t="e">
        <f>'[4]#REF'!I2309</f>
        <v>#REF!</v>
      </c>
      <c r="I2309" s="32" t="e">
        <f t="shared" si="66"/>
        <v>#REF!</v>
      </c>
    </row>
    <row r="2310" ht="15.75" spans="6:9">
      <c r="F2310" s="12" t="e">
        <f>'[4]#REF'!F2310</f>
        <v>#REF!</v>
      </c>
      <c r="G2310" s="12" t="e">
        <f>'[4]#REF'!G2310</f>
        <v>#REF!</v>
      </c>
      <c r="H2310" s="31" t="e">
        <f>'[4]#REF'!I2310</f>
        <v>#REF!</v>
      </c>
      <c r="I2310" s="32" t="e">
        <f t="shared" ref="I2310:I2373" si="67">ROUND(H2310/$I$4*100,2)</f>
        <v>#REF!</v>
      </c>
    </row>
    <row r="2311" ht="15.75" spans="6:9">
      <c r="F2311" s="12" t="e">
        <f>'[4]#REF'!F2311</f>
        <v>#REF!</v>
      </c>
      <c r="G2311" s="12" t="e">
        <f>'[4]#REF'!G2311</f>
        <v>#REF!</v>
      </c>
      <c r="H2311" s="31" t="e">
        <f>'[4]#REF'!I2311</f>
        <v>#REF!</v>
      </c>
      <c r="I2311" s="32" t="e">
        <f t="shared" si="67"/>
        <v>#REF!</v>
      </c>
    </row>
    <row r="2312" ht="15.75" spans="6:9">
      <c r="F2312" s="12" t="e">
        <f>'[4]#REF'!F2312</f>
        <v>#REF!</v>
      </c>
      <c r="G2312" s="12" t="e">
        <f>'[4]#REF'!G2312</f>
        <v>#REF!</v>
      </c>
      <c r="H2312" s="31" t="e">
        <f>'[4]#REF'!I2312</f>
        <v>#REF!</v>
      </c>
      <c r="I2312" s="32" t="e">
        <f t="shared" si="67"/>
        <v>#REF!</v>
      </c>
    </row>
    <row r="2313" ht="15.75" spans="6:9">
      <c r="F2313" s="12" t="e">
        <f>'[4]#REF'!F2313</f>
        <v>#REF!</v>
      </c>
      <c r="G2313" s="12" t="e">
        <f>'[4]#REF'!G2313</f>
        <v>#REF!</v>
      </c>
      <c r="H2313" s="31" t="e">
        <f>'[4]#REF'!I2313</f>
        <v>#REF!</v>
      </c>
      <c r="I2313" s="32" t="e">
        <f t="shared" si="67"/>
        <v>#REF!</v>
      </c>
    </row>
    <row r="2314" ht="15.75" spans="6:9">
      <c r="F2314" s="12" t="e">
        <f>'[4]#REF'!F2314</f>
        <v>#REF!</v>
      </c>
      <c r="G2314" s="12" t="e">
        <f>'[4]#REF'!G2314</f>
        <v>#REF!</v>
      </c>
      <c r="H2314" s="31" t="e">
        <f>'[4]#REF'!I2314</f>
        <v>#REF!</v>
      </c>
      <c r="I2314" s="32" t="e">
        <f t="shared" si="67"/>
        <v>#REF!</v>
      </c>
    </row>
    <row r="2315" ht="15.75" spans="6:9">
      <c r="F2315" s="12" t="e">
        <f>'[4]#REF'!F2315</f>
        <v>#REF!</v>
      </c>
      <c r="G2315" s="12" t="e">
        <f>'[4]#REF'!G2315</f>
        <v>#REF!</v>
      </c>
      <c r="H2315" s="31" t="e">
        <f>'[4]#REF'!I2315</f>
        <v>#REF!</v>
      </c>
      <c r="I2315" s="32" t="e">
        <f t="shared" si="67"/>
        <v>#REF!</v>
      </c>
    </row>
    <row r="2316" ht="15.75" spans="6:9">
      <c r="F2316" s="12" t="e">
        <f>'[4]#REF'!F2316</f>
        <v>#REF!</v>
      </c>
      <c r="G2316" s="12" t="e">
        <f>'[4]#REF'!G2316</f>
        <v>#REF!</v>
      </c>
      <c r="H2316" s="31" t="e">
        <f>'[4]#REF'!I2316</f>
        <v>#REF!</v>
      </c>
      <c r="I2316" s="32" t="e">
        <f t="shared" si="67"/>
        <v>#REF!</v>
      </c>
    </row>
    <row r="2317" ht="15.75" spans="6:9">
      <c r="F2317" s="12" t="e">
        <f>'[4]#REF'!F2317</f>
        <v>#REF!</v>
      </c>
      <c r="G2317" s="12" t="e">
        <f>'[4]#REF'!G2317</f>
        <v>#REF!</v>
      </c>
      <c r="H2317" s="31" t="e">
        <f>'[4]#REF'!I2317</f>
        <v>#REF!</v>
      </c>
      <c r="I2317" s="32" t="e">
        <f t="shared" si="67"/>
        <v>#REF!</v>
      </c>
    </row>
    <row r="2318" ht="15.75" spans="6:9">
      <c r="F2318" s="12" t="e">
        <f>'[4]#REF'!F2318</f>
        <v>#REF!</v>
      </c>
      <c r="G2318" s="12" t="e">
        <f>'[4]#REF'!G2318</f>
        <v>#REF!</v>
      </c>
      <c r="H2318" s="31" t="e">
        <f>'[4]#REF'!I2318</f>
        <v>#REF!</v>
      </c>
      <c r="I2318" s="32" t="e">
        <f t="shared" si="67"/>
        <v>#REF!</v>
      </c>
    </row>
    <row r="2319" ht="15.75" spans="6:9">
      <c r="F2319" s="12" t="e">
        <f>'[4]#REF'!F2319</f>
        <v>#REF!</v>
      </c>
      <c r="G2319" s="12" t="e">
        <f>'[4]#REF'!G2319</f>
        <v>#REF!</v>
      </c>
      <c r="H2319" s="31" t="e">
        <f>'[4]#REF'!I2319</f>
        <v>#REF!</v>
      </c>
      <c r="I2319" s="32" t="e">
        <f t="shared" si="67"/>
        <v>#REF!</v>
      </c>
    </row>
    <row r="2320" ht="15.75" spans="6:9">
      <c r="F2320" s="12" t="e">
        <f>'[4]#REF'!F2320</f>
        <v>#REF!</v>
      </c>
      <c r="G2320" s="12" t="e">
        <f>'[4]#REF'!G2320</f>
        <v>#REF!</v>
      </c>
      <c r="H2320" s="31" t="e">
        <f>'[4]#REF'!I2320</f>
        <v>#REF!</v>
      </c>
      <c r="I2320" s="32" t="e">
        <f t="shared" si="67"/>
        <v>#REF!</v>
      </c>
    </row>
    <row r="2321" ht="15.75" spans="6:9">
      <c r="F2321" s="12" t="e">
        <f>'[4]#REF'!F2321</f>
        <v>#REF!</v>
      </c>
      <c r="G2321" s="12" t="e">
        <f>'[4]#REF'!G2321</f>
        <v>#REF!</v>
      </c>
      <c r="H2321" s="31" t="e">
        <f>'[4]#REF'!I2321</f>
        <v>#REF!</v>
      </c>
      <c r="I2321" s="32" t="e">
        <f t="shared" si="67"/>
        <v>#REF!</v>
      </c>
    </row>
    <row r="2322" ht="15.75" spans="6:9">
      <c r="F2322" s="12" t="e">
        <f>'[4]#REF'!F2322</f>
        <v>#REF!</v>
      </c>
      <c r="G2322" s="12" t="e">
        <f>'[4]#REF'!G2322</f>
        <v>#REF!</v>
      </c>
      <c r="H2322" s="31" t="e">
        <f>'[4]#REF'!I2322</f>
        <v>#REF!</v>
      </c>
      <c r="I2322" s="32" t="e">
        <f t="shared" si="67"/>
        <v>#REF!</v>
      </c>
    </row>
    <row r="2323" ht="15.75" spans="6:9">
      <c r="F2323" s="12" t="e">
        <f>'[4]#REF'!F2323</f>
        <v>#REF!</v>
      </c>
      <c r="G2323" s="12" t="e">
        <f>'[4]#REF'!G2323</f>
        <v>#REF!</v>
      </c>
      <c r="H2323" s="31" t="e">
        <f>'[4]#REF'!I2323</f>
        <v>#REF!</v>
      </c>
      <c r="I2323" s="32" t="e">
        <f t="shared" si="67"/>
        <v>#REF!</v>
      </c>
    </row>
    <row r="2324" ht="15.75" spans="6:9">
      <c r="F2324" s="12" t="e">
        <f>'[4]#REF'!F2324</f>
        <v>#REF!</v>
      </c>
      <c r="G2324" s="12" t="e">
        <f>'[4]#REF'!G2324</f>
        <v>#REF!</v>
      </c>
      <c r="H2324" s="31" t="e">
        <f>'[4]#REF'!I2324</f>
        <v>#REF!</v>
      </c>
      <c r="I2324" s="32" t="e">
        <f t="shared" si="67"/>
        <v>#REF!</v>
      </c>
    </row>
    <row r="2325" ht="15.75" spans="6:9">
      <c r="F2325" s="12" t="e">
        <f>'[4]#REF'!F2325</f>
        <v>#REF!</v>
      </c>
      <c r="G2325" s="12" t="e">
        <f>'[4]#REF'!G2325</f>
        <v>#REF!</v>
      </c>
      <c r="H2325" s="31" t="e">
        <f>'[4]#REF'!I2325</f>
        <v>#REF!</v>
      </c>
      <c r="I2325" s="32" t="e">
        <f t="shared" si="67"/>
        <v>#REF!</v>
      </c>
    </row>
    <row r="2326" ht="15.75" spans="6:9">
      <c r="F2326" s="12" t="e">
        <f>'[4]#REF'!F2326</f>
        <v>#REF!</v>
      </c>
      <c r="G2326" s="12" t="e">
        <f>'[4]#REF'!G2326</f>
        <v>#REF!</v>
      </c>
      <c r="H2326" s="31" t="e">
        <f>'[4]#REF'!I2326</f>
        <v>#REF!</v>
      </c>
      <c r="I2326" s="32" t="e">
        <f t="shared" si="67"/>
        <v>#REF!</v>
      </c>
    </row>
    <row r="2327" ht="15.75" spans="6:9">
      <c r="F2327" s="12" t="e">
        <f>'[4]#REF'!F2327</f>
        <v>#REF!</v>
      </c>
      <c r="G2327" s="12" t="e">
        <f>'[4]#REF'!G2327</f>
        <v>#REF!</v>
      </c>
      <c r="H2327" s="31" t="e">
        <f>'[4]#REF'!I2327</f>
        <v>#REF!</v>
      </c>
      <c r="I2327" s="32" t="e">
        <f t="shared" si="67"/>
        <v>#REF!</v>
      </c>
    </row>
    <row r="2328" ht="15.75" spans="6:9">
      <c r="F2328" s="12" t="e">
        <f>'[4]#REF'!F2328</f>
        <v>#REF!</v>
      </c>
      <c r="G2328" s="12" t="e">
        <f>'[4]#REF'!G2328</f>
        <v>#REF!</v>
      </c>
      <c r="H2328" s="31" t="e">
        <f>'[4]#REF'!I2328</f>
        <v>#REF!</v>
      </c>
      <c r="I2328" s="32" t="e">
        <f t="shared" si="67"/>
        <v>#REF!</v>
      </c>
    </row>
    <row r="2329" ht="15.75" spans="6:9">
      <c r="F2329" s="12" t="e">
        <f>'[4]#REF'!F2329</f>
        <v>#REF!</v>
      </c>
      <c r="G2329" s="12" t="e">
        <f>'[4]#REF'!G2329</f>
        <v>#REF!</v>
      </c>
      <c r="H2329" s="31" t="e">
        <f>'[4]#REF'!I2329</f>
        <v>#REF!</v>
      </c>
      <c r="I2329" s="32" t="e">
        <f t="shared" si="67"/>
        <v>#REF!</v>
      </c>
    </row>
    <row r="2330" ht="15.75" spans="6:9">
      <c r="F2330" s="12" t="e">
        <f>'[4]#REF'!F2330</f>
        <v>#REF!</v>
      </c>
      <c r="G2330" s="12" t="e">
        <f>'[4]#REF'!G2330</f>
        <v>#REF!</v>
      </c>
      <c r="H2330" s="31" t="e">
        <f>'[4]#REF'!I2330</f>
        <v>#REF!</v>
      </c>
      <c r="I2330" s="32" t="e">
        <f t="shared" si="67"/>
        <v>#REF!</v>
      </c>
    </row>
    <row r="2331" ht="15.75" spans="6:9">
      <c r="F2331" s="12" t="e">
        <f>'[4]#REF'!F2331</f>
        <v>#REF!</v>
      </c>
      <c r="G2331" s="12" t="e">
        <f>'[4]#REF'!G2331</f>
        <v>#REF!</v>
      </c>
      <c r="H2331" s="31" t="e">
        <f>'[4]#REF'!I2331</f>
        <v>#REF!</v>
      </c>
      <c r="I2331" s="32" t="e">
        <f t="shared" si="67"/>
        <v>#REF!</v>
      </c>
    </row>
    <row r="2332" ht="15.75" spans="6:9">
      <c r="F2332" s="12" t="e">
        <f>'[4]#REF'!F2332</f>
        <v>#REF!</v>
      </c>
      <c r="G2332" s="12" t="e">
        <f>'[4]#REF'!G2332</f>
        <v>#REF!</v>
      </c>
      <c r="H2332" s="31" t="e">
        <f>'[4]#REF'!I2332</f>
        <v>#REF!</v>
      </c>
      <c r="I2332" s="32" t="e">
        <f t="shared" si="67"/>
        <v>#REF!</v>
      </c>
    </row>
    <row r="2333" ht="15.75" spans="6:9">
      <c r="F2333" s="12" t="e">
        <f>'[4]#REF'!F2333</f>
        <v>#REF!</v>
      </c>
      <c r="G2333" s="12" t="e">
        <f>'[4]#REF'!G2333</f>
        <v>#REF!</v>
      </c>
      <c r="H2333" s="31" t="e">
        <f>'[4]#REF'!I2333</f>
        <v>#REF!</v>
      </c>
      <c r="I2333" s="32" t="e">
        <f t="shared" si="67"/>
        <v>#REF!</v>
      </c>
    </row>
    <row r="2334" ht="15.75" spans="6:9">
      <c r="F2334" s="12" t="e">
        <f>'[4]#REF'!F2334</f>
        <v>#REF!</v>
      </c>
      <c r="G2334" s="12" t="e">
        <f>'[4]#REF'!G2334</f>
        <v>#REF!</v>
      </c>
      <c r="H2334" s="31" t="e">
        <f>'[4]#REF'!I2334</f>
        <v>#REF!</v>
      </c>
      <c r="I2334" s="32" t="e">
        <f t="shared" si="67"/>
        <v>#REF!</v>
      </c>
    </row>
    <row r="2335" ht="15.75" spans="6:9">
      <c r="F2335" s="12" t="e">
        <f>'[4]#REF'!F2335</f>
        <v>#REF!</v>
      </c>
      <c r="G2335" s="12" t="e">
        <f>'[4]#REF'!G2335</f>
        <v>#REF!</v>
      </c>
      <c r="H2335" s="31" t="e">
        <f>'[4]#REF'!I2335</f>
        <v>#REF!</v>
      </c>
      <c r="I2335" s="32" t="e">
        <f t="shared" si="67"/>
        <v>#REF!</v>
      </c>
    </row>
    <row r="2336" ht="15.75" spans="6:9">
      <c r="F2336" s="12" t="e">
        <f>'[4]#REF'!F2336</f>
        <v>#REF!</v>
      </c>
      <c r="G2336" s="12" t="e">
        <f>'[4]#REF'!G2336</f>
        <v>#REF!</v>
      </c>
      <c r="H2336" s="31" t="e">
        <f>'[4]#REF'!I2336</f>
        <v>#REF!</v>
      </c>
      <c r="I2336" s="32" t="e">
        <f t="shared" si="67"/>
        <v>#REF!</v>
      </c>
    </row>
    <row r="2337" ht="15.75" spans="6:9">
      <c r="F2337" s="12" t="e">
        <f>'[4]#REF'!F2337</f>
        <v>#REF!</v>
      </c>
      <c r="G2337" s="12" t="e">
        <f>'[4]#REF'!G2337</f>
        <v>#REF!</v>
      </c>
      <c r="H2337" s="31" t="e">
        <f>'[4]#REF'!I2337</f>
        <v>#REF!</v>
      </c>
      <c r="I2337" s="32" t="e">
        <f t="shared" si="67"/>
        <v>#REF!</v>
      </c>
    </row>
    <row r="2338" ht="15.75" spans="6:9">
      <c r="F2338" s="12" t="e">
        <f>'[4]#REF'!F2338</f>
        <v>#REF!</v>
      </c>
      <c r="G2338" s="12" t="e">
        <f>'[4]#REF'!G2338</f>
        <v>#REF!</v>
      </c>
      <c r="H2338" s="31" t="e">
        <f>'[4]#REF'!I2338</f>
        <v>#REF!</v>
      </c>
      <c r="I2338" s="32" t="e">
        <f t="shared" si="67"/>
        <v>#REF!</v>
      </c>
    </row>
    <row r="2339" ht="15.75" spans="6:9">
      <c r="F2339" s="12" t="e">
        <f>'[4]#REF'!F2339</f>
        <v>#REF!</v>
      </c>
      <c r="G2339" s="12" t="e">
        <f>'[4]#REF'!G2339</f>
        <v>#REF!</v>
      </c>
      <c r="H2339" s="31" t="e">
        <f>'[4]#REF'!I2339</f>
        <v>#REF!</v>
      </c>
      <c r="I2339" s="32" t="e">
        <f t="shared" si="67"/>
        <v>#REF!</v>
      </c>
    </row>
    <row r="2340" ht="15.75" spans="6:9">
      <c r="F2340" s="12" t="e">
        <f>'[4]#REF'!F2340</f>
        <v>#REF!</v>
      </c>
      <c r="G2340" s="12" t="e">
        <f>'[4]#REF'!G2340</f>
        <v>#REF!</v>
      </c>
      <c r="H2340" s="31" t="e">
        <f>'[4]#REF'!I2340</f>
        <v>#REF!</v>
      </c>
      <c r="I2340" s="32" t="e">
        <f t="shared" si="67"/>
        <v>#REF!</v>
      </c>
    </row>
    <row r="2341" ht="15.75" spans="6:9">
      <c r="F2341" s="12" t="e">
        <f>'[4]#REF'!F2341</f>
        <v>#REF!</v>
      </c>
      <c r="G2341" s="12" t="e">
        <f>'[4]#REF'!G2341</f>
        <v>#REF!</v>
      </c>
      <c r="H2341" s="31" t="e">
        <f>'[4]#REF'!I2341</f>
        <v>#REF!</v>
      </c>
      <c r="I2341" s="32" t="e">
        <f t="shared" si="67"/>
        <v>#REF!</v>
      </c>
    </row>
    <row r="2342" ht="15.75" spans="6:9">
      <c r="F2342" s="12" t="e">
        <f>'[4]#REF'!F2342</f>
        <v>#REF!</v>
      </c>
      <c r="G2342" s="12" t="e">
        <f>'[4]#REF'!G2342</f>
        <v>#REF!</v>
      </c>
      <c r="H2342" s="31" t="e">
        <f>'[4]#REF'!I2342</f>
        <v>#REF!</v>
      </c>
      <c r="I2342" s="32" t="e">
        <f t="shared" si="67"/>
        <v>#REF!</v>
      </c>
    </row>
    <row r="2343" ht="15.75" spans="6:9">
      <c r="F2343" s="12" t="e">
        <f>'[4]#REF'!F2343</f>
        <v>#REF!</v>
      </c>
      <c r="G2343" s="12" t="e">
        <f>'[4]#REF'!G2343</f>
        <v>#REF!</v>
      </c>
      <c r="H2343" s="31" t="e">
        <f>'[4]#REF'!I2343</f>
        <v>#REF!</v>
      </c>
      <c r="I2343" s="32" t="e">
        <f t="shared" si="67"/>
        <v>#REF!</v>
      </c>
    </row>
    <row r="2344" ht="15.75" spans="6:9">
      <c r="F2344" s="12" t="e">
        <f>'[4]#REF'!F2344</f>
        <v>#REF!</v>
      </c>
      <c r="G2344" s="12" t="e">
        <f>'[4]#REF'!G2344</f>
        <v>#REF!</v>
      </c>
      <c r="H2344" s="31" t="e">
        <f>'[4]#REF'!I2344</f>
        <v>#REF!</v>
      </c>
      <c r="I2344" s="32" t="e">
        <f t="shared" si="67"/>
        <v>#REF!</v>
      </c>
    </row>
    <row r="2345" ht="15.75" spans="6:9">
      <c r="F2345" s="12" t="e">
        <f>'[4]#REF'!F2345</f>
        <v>#REF!</v>
      </c>
      <c r="G2345" s="12" t="e">
        <f>'[4]#REF'!G2345</f>
        <v>#REF!</v>
      </c>
      <c r="H2345" s="31" t="e">
        <f>'[4]#REF'!I2345</f>
        <v>#REF!</v>
      </c>
      <c r="I2345" s="32" t="e">
        <f t="shared" si="67"/>
        <v>#REF!</v>
      </c>
    </row>
    <row r="2346" ht="15.75" spans="6:9">
      <c r="F2346" s="12" t="e">
        <f>'[4]#REF'!F2346</f>
        <v>#REF!</v>
      </c>
      <c r="G2346" s="12" t="e">
        <f>'[4]#REF'!G2346</f>
        <v>#REF!</v>
      </c>
      <c r="H2346" s="31" t="e">
        <f>'[4]#REF'!I2346</f>
        <v>#REF!</v>
      </c>
      <c r="I2346" s="32" t="e">
        <f t="shared" si="67"/>
        <v>#REF!</v>
      </c>
    </row>
    <row r="2347" ht="15.75" spans="6:9">
      <c r="F2347" s="12" t="e">
        <f>'[4]#REF'!F2347</f>
        <v>#REF!</v>
      </c>
      <c r="G2347" s="12" t="e">
        <f>'[4]#REF'!G2347</f>
        <v>#REF!</v>
      </c>
      <c r="H2347" s="31" t="e">
        <f>'[4]#REF'!I2347</f>
        <v>#REF!</v>
      </c>
      <c r="I2347" s="32" t="e">
        <f t="shared" si="67"/>
        <v>#REF!</v>
      </c>
    </row>
    <row r="2348" ht="15.75" spans="6:9">
      <c r="F2348" s="12" t="e">
        <f>'[4]#REF'!F2348</f>
        <v>#REF!</v>
      </c>
      <c r="G2348" s="12" t="e">
        <f>'[4]#REF'!G2348</f>
        <v>#REF!</v>
      </c>
      <c r="H2348" s="31" t="e">
        <f>'[4]#REF'!I2348</f>
        <v>#REF!</v>
      </c>
      <c r="I2348" s="32" t="e">
        <f t="shared" si="67"/>
        <v>#REF!</v>
      </c>
    </row>
    <row r="2349" ht="15.75" spans="6:9">
      <c r="F2349" s="12" t="e">
        <f>'[4]#REF'!F2349</f>
        <v>#REF!</v>
      </c>
      <c r="G2349" s="12" t="e">
        <f>'[4]#REF'!G2349</f>
        <v>#REF!</v>
      </c>
      <c r="H2349" s="31" t="e">
        <f>'[4]#REF'!I2349</f>
        <v>#REF!</v>
      </c>
      <c r="I2349" s="32" t="e">
        <f t="shared" si="67"/>
        <v>#REF!</v>
      </c>
    </row>
    <row r="2350" ht="15.75" spans="6:9">
      <c r="F2350" s="12" t="e">
        <f>'[4]#REF'!F2350</f>
        <v>#REF!</v>
      </c>
      <c r="G2350" s="12" t="e">
        <f>'[4]#REF'!G2350</f>
        <v>#REF!</v>
      </c>
      <c r="H2350" s="31" t="e">
        <f>'[4]#REF'!I2350</f>
        <v>#REF!</v>
      </c>
      <c r="I2350" s="32" t="e">
        <f t="shared" si="67"/>
        <v>#REF!</v>
      </c>
    </row>
    <row r="2351" ht="15.75" spans="6:9">
      <c r="F2351" s="12" t="e">
        <f>'[4]#REF'!F2351</f>
        <v>#REF!</v>
      </c>
      <c r="G2351" s="12" t="e">
        <f>'[4]#REF'!G2351</f>
        <v>#REF!</v>
      </c>
      <c r="H2351" s="31" t="e">
        <f>'[4]#REF'!I2351</f>
        <v>#REF!</v>
      </c>
      <c r="I2351" s="32" t="e">
        <f t="shared" si="67"/>
        <v>#REF!</v>
      </c>
    </row>
    <row r="2352" ht="15.75" spans="6:9">
      <c r="F2352" s="12" t="e">
        <f>'[4]#REF'!F2352</f>
        <v>#REF!</v>
      </c>
      <c r="G2352" s="12" t="e">
        <f>'[4]#REF'!G2352</f>
        <v>#REF!</v>
      </c>
      <c r="H2352" s="31" t="e">
        <f>'[4]#REF'!I2352</f>
        <v>#REF!</v>
      </c>
      <c r="I2352" s="32" t="e">
        <f t="shared" si="67"/>
        <v>#REF!</v>
      </c>
    </row>
    <row r="2353" ht="15.75" spans="6:9">
      <c r="F2353" s="12" t="e">
        <f>'[4]#REF'!F2353</f>
        <v>#REF!</v>
      </c>
      <c r="G2353" s="12" t="e">
        <f>'[4]#REF'!G2353</f>
        <v>#REF!</v>
      </c>
      <c r="H2353" s="31" t="e">
        <f>'[4]#REF'!I2353</f>
        <v>#REF!</v>
      </c>
      <c r="I2353" s="32" t="e">
        <f t="shared" si="67"/>
        <v>#REF!</v>
      </c>
    </row>
    <row r="2354" ht="15.75" spans="6:9">
      <c r="F2354" s="12" t="e">
        <f>'[4]#REF'!F2354</f>
        <v>#REF!</v>
      </c>
      <c r="G2354" s="12" t="e">
        <f>'[4]#REF'!G2354</f>
        <v>#REF!</v>
      </c>
      <c r="H2354" s="31" t="e">
        <f>'[4]#REF'!I2354</f>
        <v>#REF!</v>
      </c>
      <c r="I2354" s="32" t="e">
        <f t="shared" si="67"/>
        <v>#REF!</v>
      </c>
    </row>
    <row r="2355" ht="15.75" spans="6:9">
      <c r="F2355" s="12" t="e">
        <f>'[4]#REF'!F2355</f>
        <v>#REF!</v>
      </c>
      <c r="G2355" s="12" t="e">
        <f>'[4]#REF'!G2355</f>
        <v>#REF!</v>
      </c>
      <c r="H2355" s="31" t="e">
        <f>'[4]#REF'!I2355</f>
        <v>#REF!</v>
      </c>
      <c r="I2355" s="32" t="e">
        <f t="shared" si="67"/>
        <v>#REF!</v>
      </c>
    </row>
    <row r="2356" ht="15.75" spans="6:9">
      <c r="F2356" s="12" t="e">
        <f>'[4]#REF'!F2356</f>
        <v>#REF!</v>
      </c>
      <c r="G2356" s="12" t="e">
        <f>'[4]#REF'!G2356</f>
        <v>#REF!</v>
      </c>
      <c r="H2356" s="31" t="e">
        <f>'[4]#REF'!I2356</f>
        <v>#REF!</v>
      </c>
      <c r="I2356" s="32" t="e">
        <f t="shared" si="67"/>
        <v>#REF!</v>
      </c>
    </row>
    <row r="2357" ht="15.75" spans="6:9">
      <c r="F2357" s="12" t="e">
        <f>'[4]#REF'!F2357</f>
        <v>#REF!</v>
      </c>
      <c r="G2357" s="12" t="e">
        <f>'[4]#REF'!G2357</f>
        <v>#REF!</v>
      </c>
      <c r="H2357" s="31" t="e">
        <f>'[4]#REF'!I2357</f>
        <v>#REF!</v>
      </c>
      <c r="I2357" s="32" t="e">
        <f t="shared" si="67"/>
        <v>#REF!</v>
      </c>
    </row>
    <row r="2358" ht="15.75" spans="6:9">
      <c r="F2358" s="12" t="e">
        <f>'[4]#REF'!F2358</f>
        <v>#REF!</v>
      </c>
      <c r="G2358" s="12" t="e">
        <f>'[4]#REF'!G2358</f>
        <v>#REF!</v>
      </c>
      <c r="H2358" s="31" t="e">
        <f>'[4]#REF'!I2358</f>
        <v>#REF!</v>
      </c>
      <c r="I2358" s="32" t="e">
        <f t="shared" si="67"/>
        <v>#REF!</v>
      </c>
    </row>
    <row r="2359" ht="15.75" spans="6:9">
      <c r="F2359" s="12" t="e">
        <f>'[4]#REF'!F2359</f>
        <v>#REF!</v>
      </c>
      <c r="G2359" s="12" t="e">
        <f>'[4]#REF'!G2359</f>
        <v>#REF!</v>
      </c>
      <c r="H2359" s="31" t="e">
        <f>'[4]#REF'!I2359</f>
        <v>#REF!</v>
      </c>
      <c r="I2359" s="32" t="e">
        <f t="shared" si="67"/>
        <v>#REF!</v>
      </c>
    </row>
    <row r="2360" ht="15.75" spans="6:9">
      <c r="F2360" s="12" t="e">
        <f>'[4]#REF'!F2360</f>
        <v>#REF!</v>
      </c>
      <c r="G2360" s="12" t="e">
        <f>'[4]#REF'!G2360</f>
        <v>#REF!</v>
      </c>
      <c r="H2360" s="31" t="e">
        <f>'[4]#REF'!I2360</f>
        <v>#REF!</v>
      </c>
      <c r="I2360" s="32" t="e">
        <f t="shared" si="67"/>
        <v>#REF!</v>
      </c>
    </row>
    <row r="2361" ht="15.75" spans="6:9">
      <c r="F2361" s="12" t="e">
        <f>'[4]#REF'!F2361</f>
        <v>#REF!</v>
      </c>
      <c r="G2361" s="12" t="e">
        <f>'[4]#REF'!G2361</f>
        <v>#REF!</v>
      </c>
      <c r="H2361" s="31" t="e">
        <f>'[4]#REF'!I2361</f>
        <v>#REF!</v>
      </c>
      <c r="I2361" s="32" t="e">
        <f t="shared" si="67"/>
        <v>#REF!</v>
      </c>
    </row>
    <row r="2362" ht="15.75" spans="6:9">
      <c r="F2362" s="12" t="e">
        <f>'[4]#REF'!F2362</f>
        <v>#REF!</v>
      </c>
      <c r="G2362" s="12" t="e">
        <f>'[4]#REF'!G2362</f>
        <v>#REF!</v>
      </c>
      <c r="H2362" s="31" t="e">
        <f>'[4]#REF'!I2362</f>
        <v>#REF!</v>
      </c>
      <c r="I2362" s="32" t="e">
        <f t="shared" si="67"/>
        <v>#REF!</v>
      </c>
    </row>
    <row r="2363" ht="15.75" spans="6:9">
      <c r="F2363" s="12" t="e">
        <f>'[4]#REF'!F2363</f>
        <v>#REF!</v>
      </c>
      <c r="G2363" s="12" t="e">
        <f>'[4]#REF'!G2363</f>
        <v>#REF!</v>
      </c>
      <c r="H2363" s="31" t="e">
        <f>'[4]#REF'!I2363</f>
        <v>#REF!</v>
      </c>
      <c r="I2363" s="32" t="e">
        <f t="shared" si="67"/>
        <v>#REF!</v>
      </c>
    </row>
    <row r="2364" ht="15.75" spans="6:9">
      <c r="F2364" s="12" t="e">
        <f>'[4]#REF'!F2364</f>
        <v>#REF!</v>
      </c>
      <c r="G2364" s="12" t="e">
        <f>'[4]#REF'!G2364</f>
        <v>#REF!</v>
      </c>
      <c r="H2364" s="31" t="e">
        <f>'[4]#REF'!I2364</f>
        <v>#REF!</v>
      </c>
      <c r="I2364" s="32" t="e">
        <f t="shared" si="67"/>
        <v>#REF!</v>
      </c>
    </row>
    <row r="2365" ht="15.75" spans="6:9">
      <c r="F2365" s="12" t="e">
        <f>'[4]#REF'!F2365</f>
        <v>#REF!</v>
      </c>
      <c r="G2365" s="12" t="e">
        <f>'[4]#REF'!G2365</f>
        <v>#REF!</v>
      </c>
      <c r="H2365" s="31" t="e">
        <f>'[4]#REF'!I2365</f>
        <v>#REF!</v>
      </c>
      <c r="I2365" s="32" t="e">
        <f t="shared" si="67"/>
        <v>#REF!</v>
      </c>
    </row>
    <row r="2366" ht="15.75" spans="6:9">
      <c r="F2366" s="12" t="e">
        <f>'[4]#REF'!F2366</f>
        <v>#REF!</v>
      </c>
      <c r="G2366" s="12" t="e">
        <f>'[4]#REF'!G2366</f>
        <v>#REF!</v>
      </c>
      <c r="H2366" s="31" t="e">
        <f>'[4]#REF'!I2366</f>
        <v>#REF!</v>
      </c>
      <c r="I2366" s="32" t="e">
        <f t="shared" si="67"/>
        <v>#REF!</v>
      </c>
    </row>
    <row r="2367" ht="15.75" spans="6:9">
      <c r="F2367" s="12" t="e">
        <f>'[4]#REF'!F2367</f>
        <v>#REF!</v>
      </c>
      <c r="G2367" s="12" t="e">
        <f>'[4]#REF'!G2367</f>
        <v>#REF!</v>
      </c>
      <c r="H2367" s="31" t="e">
        <f>'[4]#REF'!I2367</f>
        <v>#REF!</v>
      </c>
      <c r="I2367" s="32" t="e">
        <f t="shared" si="67"/>
        <v>#REF!</v>
      </c>
    </row>
    <row r="2368" ht="15.75" spans="6:9">
      <c r="F2368" s="12" t="e">
        <f>'[4]#REF'!F2368</f>
        <v>#REF!</v>
      </c>
      <c r="G2368" s="12" t="e">
        <f>'[4]#REF'!G2368</f>
        <v>#REF!</v>
      </c>
      <c r="H2368" s="31" t="e">
        <f>'[4]#REF'!I2368</f>
        <v>#REF!</v>
      </c>
      <c r="I2368" s="32" t="e">
        <f t="shared" si="67"/>
        <v>#REF!</v>
      </c>
    </row>
    <row r="2369" ht="15.75" spans="6:9">
      <c r="F2369" s="12" t="e">
        <f>'[4]#REF'!F2369</f>
        <v>#REF!</v>
      </c>
      <c r="G2369" s="12" t="e">
        <f>'[4]#REF'!G2369</f>
        <v>#REF!</v>
      </c>
      <c r="H2369" s="31" t="e">
        <f>'[4]#REF'!I2369</f>
        <v>#REF!</v>
      </c>
      <c r="I2369" s="32" t="e">
        <f t="shared" si="67"/>
        <v>#REF!</v>
      </c>
    </row>
    <row r="2370" ht="15.75" spans="6:9">
      <c r="F2370" s="12" t="e">
        <f>'[4]#REF'!F2370</f>
        <v>#REF!</v>
      </c>
      <c r="G2370" s="12" t="e">
        <f>'[4]#REF'!G2370</f>
        <v>#REF!</v>
      </c>
      <c r="H2370" s="31" t="e">
        <f>'[4]#REF'!I2370</f>
        <v>#REF!</v>
      </c>
      <c r="I2370" s="32" t="e">
        <f t="shared" si="67"/>
        <v>#REF!</v>
      </c>
    </row>
    <row r="2371" ht="15.75" spans="6:9">
      <c r="F2371" s="12" t="e">
        <f>'[4]#REF'!F2371</f>
        <v>#REF!</v>
      </c>
      <c r="G2371" s="12" t="e">
        <f>'[4]#REF'!G2371</f>
        <v>#REF!</v>
      </c>
      <c r="H2371" s="31" t="e">
        <f>'[4]#REF'!I2371</f>
        <v>#REF!</v>
      </c>
      <c r="I2371" s="32" t="e">
        <f t="shared" si="67"/>
        <v>#REF!</v>
      </c>
    </row>
    <row r="2372" ht="15.75" spans="6:9">
      <c r="F2372" s="12" t="e">
        <f>'[4]#REF'!F2372</f>
        <v>#REF!</v>
      </c>
      <c r="G2372" s="12" t="e">
        <f>'[4]#REF'!G2372</f>
        <v>#REF!</v>
      </c>
      <c r="H2372" s="31" t="e">
        <f>'[4]#REF'!I2372</f>
        <v>#REF!</v>
      </c>
      <c r="I2372" s="32" t="e">
        <f t="shared" si="67"/>
        <v>#REF!</v>
      </c>
    </row>
    <row r="2373" ht="15.75" spans="6:9">
      <c r="F2373" s="12" t="e">
        <f>'[4]#REF'!F2373</f>
        <v>#REF!</v>
      </c>
      <c r="G2373" s="12" t="e">
        <f>'[4]#REF'!G2373</f>
        <v>#REF!</v>
      </c>
      <c r="H2373" s="31" t="e">
        <f>'[4]#REF'!I2373</f>
        <v>#REF!</v>
      </c>
      <c r="I2373" s="32" t="e">
        <f t="shared" si="67"/>
        <v>#REF!</v>
      </c>
    </row>
    <row r="2374" ht="15.75" spans="6:9">
      <c r="F2374" s="12" t="e">
        <f>'[4]#REF'!F2374</f>
        <v>#REF!</v>
      </c>
      <c r="G2374" s="12" t="e">
        <f>'[4]#REF'!G2374</f>
        <v>#REF!</v>
      </c>
      <c r="H2374" s="31" t="e">
        <f>'[4]#REF'!I2374</f>
        <v>#REF!</v>
      </c>
      <c r="I2374" s="32" t="e">
        <f t="shared" ref="I2374:I2437" si="68">ROUND(H2374/$I$4*100,2)</f>
        <v>#REF!</v>
      </c>
    </row>
    <row r="2375" ht="15.75" spans="6:9">
      <c r="F2375" s="12" t="e">
        <f>'[4]#REF'!F2375</f>
        <v>#REF!</v>
      </c>
      <c r="G2375" s="12" t="e">
        <f>'[4]#REF'!G2375</f>
        <v>#REF!</v>
      </c>
      <c r="H2375" s="31" t="e">
        <f>'[4]#REF'!I2375</f>
        <v>#REF!</v>
      </c>
      <c r="I2375" s="32" t="e">
        <f t="shared" si="68"/>
        <v>#REF!</v>
      </c>
    </row>
    <row r="2376" ht="15.75" spans="6:9">
      <c r="F2376" s="12" t="e">
        <f>'[4]#REF'!F2376</f>
        <v>#REF!</v>
      </c>
      <c r="G2376" s="12" t="e">
        <f>'[4]#REF'!G2376</f>
        <v>#REF!</v>
      </c>
      <c r="H2376" s="31" t="e">
        <f>'[4]#REF'!I2376</f>
        <v>#REF!</v>
      </c>
      <c r="I2376" s="32" t="e">
        <f t="shared" si="68"/>
        <v>#REF!</v>
      </c>
    </row>
    <row r="2377" ht="15.75" spans="6:9">
      <c r="F2377" s="12" t="e">
        <f>'[4]#REF'!F2377</f>
        <v>#REF!</v>
      </c>
      <c r="G2377" s="12" t="e">
        <f>'[4]#REF'!G2377</f>
        <v>#REF!</v>
      </c>
      <c r="H2377" s="31" t="e">
        <f>'[4]#REF'!I2377</f>
        <v>#REF!</v>
      </c>
      <c r="I2377" s="32" t="e">
        <f t="shared" si="68"/>
        <v>#REF!</v>
      </c>
    </row>
    <row r="2378" ht="15.75" spans="6:9">
      <c r="F2378" s="12" t="e">
        <f>'[4]#REF'!F2378</f>
        <v>#REF!</v>
      </c>
      <c r="G2378" s="12" t="e">
        <f>'[4]#REF'!G2378</f>
        <v>#REF!</v>
      </c>
      <c r="H2378" s="31" t="e">
        <f>'[4]#REF'!I2378</f>
        <v>#REF!</v>
      </c>
      <c r="I2378" s="32" t="e">
        <f t="shared" si="68"/>
        <v>#REF!</v>
      </c>
    </row>
    <row r="2379" ht="15.75" spans="6:9">
      <c r="F2379" s="12" t="e">
        <f>'[4]#REF'!F2379</f>
        <v>#REF!</v>
      </c>
      <c r="G2379" s="12" t="e">
        <f>'[4]#REF'!G2379</f>
        <v>#REF!</v>
      </c>
      <c r="H2379" s="31" t="e">
        <f>'[4]#REF'!I2379</f>
        <v>#REF!</v>
      </c>
      <c r="I2379" s="32" t="e">
        <f t="shared" si="68"/>
        <v>#REF!</v>
      </c>
    </row>
    <row r="2380" ht="15.75" spans="6:9">
      <c r="F2380" s="12" t="e">
        <f>'[4]#REF'!F2380</f>
        <v>#REF!</v>
      </c>
      <c r="G2380" s="12" t="e">
        <f>'[4]#REF'!G2380</f>
        <v>#REF!</v>
      </c>
      <c r="H2380" s="31" t="e">
        <f>'[4]#REF'!I2380</f>
        <v>#REF!</v>
      </c>
      <c r="I2380" s="32" t="e">
        <f t="shared" si="68"/>
        <v>#REF!</v>
      </c>
    </row>
    <row r="2381" ht="15.75" spans="6:9">
      <c r="F2381" s="12" t="e">
        <f>'[4]#REF'!F2381</f>
        <v>#REF!</v>
      </c>
      <c r="G2381" s="12" t="e">
        <f>'[4]#REF'!G2381</f>
        <v>#REF!</v>
      </c>
      <c r="H2381" s="31" t="e">
        <f>'[4]#REF'!I2381</f>
        <v>#REF!</v>
      </c>
      <c r="I2381" s="32" t="e">
        <f t="shared" si="68"/>
        <v>#REF!</v>
      </c>
    </row>
    <row r="2382" ht="15.75" spans="6:9">
      <c r="F2382" s="12" t="e">
        <f>'[4]#REF'!F2382</f>
        <v>#REF!</v>
      </c>
      <c r="G2382" s="12" t="e">
        <f>'[4]#REF'!G2382</f>
        <v>#REF!</v>
      </c>
      <c r="H2382" s="31" t="e">
        <f>'[4]#REF'!I2382</f>
        <v>#REF!</v>
      </c>
      <c r="I2382" s="32" t="e">
        <f t="shared" si="68"/>
        <v>#REF!</v>
      </c>
    </row>
    <row r="2383" ht="15.75" spans="6:9">
      <c r="F2383" s="12" t="e">
        <f>'[4]#REF'!F2383</f>
        <v>#REF!</v>
      </c>
      <c r="G2383" s="12" t="e">
        <f>'[4]#REF'!G2383</f>
        <v>#REF!</v>
      </c>
      <c r="H2383" s="31" t="e">
        <f>'[4]#REF'!I2383</f>
        <v>#REF!</v>
      </c>
      <c r="I2383" s="32" t="e">
        <f t="shared" si="68"/>
        <v>#REF!</v>
      </c>
    </row>
    <row r="2384" ht="15.75" spans="6:9">
      <c r="F2384" s="12" t="e">
        <f>'[4]#REF'!F2384</f>
        <v>#REF!</v>
      </c>
      <c r="G2384" s="12" t="e">
        <f>'[4]#REF'!G2384</f>
        <v>#REF!</v>
      </c>
      <c r="H2384" s="31" t="e">
        <f>'[4]#REF'!I2384</f>
        <v>#REF!</v>
      </c>
      <c r="I2384" s="32" t="e">
        <f t="shared" si="68"/>
        <v>#REF!</v>
      </c>
    </row>
    <row r="2385" ht="15.75" spans="6:9">
      <c r="F2385" s="12" t="e">
        <f>'[4]#REF'!F2385</f>
        <v>#REF!</v>
      </c>
      <c r="G2385" s="12" t="e">
        <f>'[4]#REF'!G2385</f>
        <v>#REF!</v>
      </c>
      <c r="H2385" s="31" t="e">
        <f>'[4]#REF'!I2385</f>
        <v>#REF!</v>
      </c>
      <c r="I2385" s="32" t="e">
        <f t="shared" si="68"/>
        <v>#REF!</v>
      </c>
    </row>
    <row r="2386" ht="15.75" spans="6:9">
      <c r="F2386" s="12" t="e">
        <f>'[4]#REF'!F2386</f>
        <v>#REF!</v>
      </c>
      <c r="G2386" s="12" t="e">
        <f>'[4]#REF'!G2386</f>
        <v>#REF!</v>
      </c>
      <c r="H2386" s="31" t="e">
        <f>'[4]#REF'!I2386</f>
        <v>#REF!</v>
      </c>
      <c r="I2386" s="32" t="e">
        <f t="shared" si="68"/>
        <v>#REF!</v>
      </c>
    </row>
    <row r="2387" ht="15.75" spans="6:9">
      <c r="F2387" s="12" t="e">
        <f>'[4]#REF'!F2387</f>
        <v>#REF!</v>
      </c>
      <c r="G2387" s="12" t="e">
        <f>'[4]#REF'!G2387</f>
        <v>#REF!</v>
      </c>
      <c r="H2387" s="31" t="e">
        <f>'[4]#REF'!I2387</f>
        <v>#REF!</v>
      </c>
      <c r="I2387" s="32" t="e">
        <f t="shared" si="68"/>
        <v>#REF!</v>
      </c>
    </row>
    <row r="2388" ht="15.75" spans="6:9">
      <c r="F2388" s="12" t="e">
        <f>'[4]#REF'!F2388</f>
        <v>#REF!</v>
      </c>
      <c r="G2388" s="12" t="e">
        <f>'[4]#REF'!G2388</f>
        <v>#REF!</v>
      </c>
      <c r="H2388" s="31" t="e">
        <f>'[4]#REF'!I2388</f>
        <v>#REF!</v>
      </c>
      <c r="I2388" s="32" t="e">
        <f t="shared" si="68"/>
        <v>#REF!</v>
      </c>
    </row>
    <row r="2389" ht="15.75" spans="6:9">
      <c r="F2389" s="12" t="e">
        <f>'[4]#REF'!F2389</f>
        <v>#REF!</v>
      </c>
      <c r="G2389" s="12" t="e">
        <f>'[4]#REF'!G2389</f>
        <v>#REF!</v>
      </c>
      <c r="H2389" s="31" t="e">
        <f>'[4]#REF'!I2389</f>
        <v>#REF!</v>
      </c>
      <c r="I2389" s="32" t="e">
        <f t="shared" si="68"/>
        <v>#REF!</v>
      </c>
    </row>
    <row r="2390" ht="15.75" spans="6:9">
      <c r="F2390" s="12" t="e">
        <f>'[4]#REF'!F2390</f>
        <v>#REF!</v>
      </c>
      <c r="G2390" s="12" t="e">
        <f>'[4]#REF'!G2390</f>
        <v>#REF!</v>
      </c>
      <c r="H2390" s="31" t="e">
        <f>'[4]#REF'!I2390</f>
        <v>#REF!</v>
      </c>
      <c r="I2390" s="32" t="e">
        <f t="shared" si="68"/>
        <v>#REF!</v>
      </c>
    </row>
    <row r="2391" ht="15.75" spans="6:9">
      <c r="F2391" s="12" t="e">
        <f>'[4]#REF'!F2391</f>
        <v>#REF!</v>
      </c>
      <c r="G2391" s="12" t="e">
        <f>'[4]#REF'!G2391</f>
        <v>#REF!</v>
      </c>
      <c r="H2391" s="31" t="e">
        <f>'[4]#REF'!I2391</f>
        <v>#REF!</v>
      </c>
      <c r="I2391" s="32" t="e">
        <f t="shared" si="68"/>
        <v>#REF!</v>
      </c>
    </row>
    <row r="2392" ht="15.75" spans="6:9">
      <c r="F2392" s="12" t="e">
        <f>'[4]#REF'!F2392</f>
        <v>#REF!</v>
      </c>
      <c r="G2392" s="12" t="e">
        <f>'[4]#REF'!G2392</f>
        <v>#REF!</v>
      </c>
      <c r="H2392" s="31" t="e">
        <f>'[4]#REF'!I2392</f>
        <v>#REF!</v>
      </c>
      <c r="I2392" s="32" t="e">
        <f t="shared" si="68"/>
        <v>#REF!</v>
      </c>
    </row>
    <row r="2393" ht="15.75" spans="6:9">
      <c r="F2393" s="12" t="e">
        <f>'[4]#REF'!F2393</f>
        <v>#REF!</v>
      </c>
      <c r="G2393" s="12" t="e">
        <f>'[4]#REF'!G2393</f>
        <v>#REF!</v>
      </c>
      <c r="H2393" s="31" t="e">
        <f>'[4]#REF'!I2393</f>
        <v>#REF!</v>
      </c>
      <c r="I2393" s="32" t="e">
        <f t="shared" si="68"/>
        <v>#REF!</v>
      </c>
    </row>
    <row r="2394" ht="15.75" spans="6:9">
      <c r="F2394" s="12" t="e">
        <f>'[4]#REF'!F2394</f>
        <v>#REF!</v>
      </c>
      <c r="G2394" s="12" t="e">
        <f>'[4]#REF'!G2394</f>
        <v>#REF!</v>
      </c>
      <c r="H2394" s="31" t="e">
        <f>'[4]#REF'!I2394</f>
        <v>#REF!</v>
      </c>
      <c r="I2394" s="32" t="e">
        <f t="shared" si="68"/>
        <v>#REF!</v>
      </c>
    </row>
    <row r="2395" ht="15.75" spans="6:9">
      <c r="F2395" s="12" t="e">
        <f>'[4]#REF'!F2395</f>
        <v>#REF!</v>
      </c>
      <c r="G2395" s="12" t="e">
        <f>'[4]#REF'!G2395</f>
        <v>#REF!</v>
      </c>
      <c r="H2395" s="31" t="e">
        <f>'[4]#REF'!I2395</f>
        <v>#REF!</v>
      </c>
      <c r="I2395" s="32" t="e">
        <f t="shared" si="68"/>
        <v>#REF!</v>
      </c>
    </row>
    <row r="2396" ht="15.75" spans="6:9">
      <c r="F2396" s="12" t="e">
        <f>'[4]#REF'!F2396</f>
        <v>#REF!</v>
      </c>
      <c r="G2396" s="12" t="e">
        <f>'[4]#REF'!G2396</f>
        <v>#REF!</v>
      </c>
      <c r="H2396" s="31" t="e">
        <f>'[4]#REF'!I2396</f>
        <v>#REF!</v>
      </c>
      <c r="I2396" s="32" t="e">
        <f t="shared" si="68"/>
        <v>#REF!</v>
      </c>
    </row>
    <row r="2397" ht="15.75" spans="6:9">
      <c r="F2397" s="12" t="e">
        <f>'[4]#REF'!F2397</f>
        <v>#REF!</v>
      </c>
      <c r="G2397" s="12" t="e">
        <f>'[4]#REF'!G2397</f>
        <v>#REF!</v>
      </c>
      <c r="H2397" s="31" t="e">
        <f>'[4]#REF'!I2397</f>
        <v>#REF!</v>
      </c>
      <c r="I2397" s="32" t="e">
        <f t="shared" si="68"/>
        <v>#REF!</v>
      </c>
    </row>
    <row r="2398" ht="15.75" spans="6:9">
      <c r="F2398" s="12" t="e">
        <f>'[4]#REF'!F2398</f>
        <v>#REF!</v>
      </c>
      <c r="G2398" s="12" t="e">
        <f>'[4]#REF'!G2398</f>
        <v>#REF!</v>
      </c>
      <c r="H2398" s="31" t="e">
        <f>'[4]#REF'!I2398</f>
        <v>#REF!</v>
      </c>
      <c r="I2398" s="32" t="e">
        <f t="shared" si="68"/>
        <v>#REF!</v>
      </c>
    </row>
    <row r="2399" ht="15.75" spans="6:9">
      <c r="F2399" s="12" t="e">
        <f>'[4]#REF'!F2399</f>
        <v>#REF!</v>
      </c>
      <c r="G2399" s="12" t="e">
        <f>'[4]#REF'!G2399</f>
        <v>#REF!</v>
      </c>
      <c r="H2399" s="31" t="e">
        <f>'[4]#REF'!I2399</f>
        <v>#REF!</v>
      </c>
      <c r="I2399" s="32" t="e">
        <f t="shared" si="68"/>
        <v>#REF!</v>
      </c>
    </row>
    <row r="2400" ht="15.75" spans="6:9">
      <c r="F2400" s="12" t="e">
        <f>'[4]#REF'!F2400</f>
        <v>#REF!</v>
      </c>
      <c r="G2400" s="12" t="e">
        <f>'[4]#REF'!G2400</f>
        <v>#REF!</v>
      </c>
      <c r="H2400" s="31" t="e">
        <f>'[4]#REF'!I2400</f>
        <v>#REF!</v>
      </c>
      <c r="I2400" s="32" t="e">
        <f t="shared" si="68"/>
        <v>#REF!</v>
      </c>
    </row>
    <row r="2401" ht="15.75" spans="6:9">
      <c r="F2401" s="12" t="e">
        <f>'[4]#REF'!F2401</f>
        <v>#REF!</v>
      </c>
      <c r="G2401" s="12" t="e">
        <f>'[4]#REF'!G2401</f>
        <v>#REF!</v>
      </c>
      <c r="H2401" s="31" t="e">
        <f>'[4]#REF'!I2401</f>
        <v>#REF!</v>
      </c>
      <c r="I2401" s="32" t="e">
        <f t="shared" si="68"/>
        <v>#REF!</v>
      </c>
    </row>
    <row r="2402" ht="15.75" spans="6:9">
      <c r="F2402" s="12" t="e">
        <f>'[4]#REF'!F2402</f>
        <v>#REF!</v>
      </c>
      <c r="G2402" s="12" t="e">
        <f>'[4]#REF'!G2402</f>
        <v>#REF!</v>
      </c>
      <c r="H2402" s="31" t="e">
        <f>'[4]#REF'!I2402</f>
        <v>#REF!</v>
      </c>
      <c r="I2402" s="32" t="e">
        <f t="shared" si="68"/>
        <v>#REF!</v>
      </c>
    </row>
    <row r="2403" ht="15.75" spans="6:9">
      <c r="F2403" s="12" t="e">
        <f>'[4]#REF'!F2403</f>
        <v>#REF!</v>
      </c>
      <c r="G2403" s="12" t="e">
        <f>'[4]#REF'!G2403</f>
        <v>#REF!</v>
      </c>
      <c r="H2403" s="31" t="e">
        <f>'[4]#REF'!I2403</f>
        <v>#REF!</v>
      </c>
      <c r="I2403" s="32" t="e">
        <f t="shared" si="68"/>
        <v>#REF!</v>
      </c>
    </row>
    <row r="2404" ht="15.75" spans="6:9">
      <c r="F2404" s="12" t="e">
        <f>'[4]#REF'!F2404</f>
        <v>#REF!</v>
      </c>
      <c r="G2404" s="12" t="e">
        <f>'[4]#REF'!G2404</f>
        <v>#REF!</v>
      </c>
      <c r="H2404" s="31" t="e">
        <f>'[4]#REF'!I2404</f>
        <v>#REF!</v>
      </c>
      <c r="I2404" s="32" t="e">
        <f t="shared" si="68"/>
        <v>#REF!</v>
      </c>
    </row>
    <row r="2405" ht="15.75" spans="6:9">
      <c r="F2405" s="12" t="e">
        <f>'[4]#REF'!F2405</f>
        <v>#REF!</v>
      </c>
      <c r="G2405" s="12" t="e">
        <f>'[4]#REF'!G2405</f>
        <v>#REF!</v>
      </c>
      <c r="H2405" s="31" t="e">
        <f>'[4]#REF'!I2405</f>
        <v>#REF!</v>
      </c>
      <c r="I2405" s="32" t="e">
        <f t="shared" si="68"/>
        <v>#REF!</v>
      </c>
    </row>
    <row r="2406" ht="15.75" spans="6:9">
      <c r="F2406" s="12" t="e">
        <f>'[4]#REF'!F2406</f>
        <v>#REF!</v>
      </c>
      <c r="G2406" s="12" t="e">
        <f>'[4]#REF'!G2406</f>
        <v>#REF!</v>
      </c>
      <c r="H2406" s="31" t="e">
        <f>'[4]#REF'!I2406</f>
        <v>#REF!</v>
      </c>
      <c r="I2406" s="32" t="e">
        <f t="shared" si="68"/>
        <v>#REF!</v>
      </c>
    </row>
    <row r="2407" ht="15.75" spans="6:9">
      <c r="F2407" s="12" t="e">
        <f>'[4]#REF'!F2407</f>
        <v>#REF!</v>
      </c>
      <c r="G2407" s="12" t="e">
        <f>'[4]#REF'!G2407</f>
        <v>#REF!</v>
      </c>
      <c r="H2407" s="31" t="e">
        <f>'[4]#REF'!I2407</f>
        <v>#REF!</v>
      </c>
      <c r="I2407" s="32" t="e">
        <f t="shared" si="68"/>
        <v>#REF!</v>
      </c>
    </row>
    <row r="2408" ht="15.75" spans="6:9">
      <c r="F2408" s="12" t="e">
        <f>'[4]#REF'!F2408</f>
        <v>#REF!</v>
      </c>
      <c r="G2408" s="12" t="e">
        <f>'[4]#REF'!G2408</f>
        <v>#REF!</v>
      </c>
      <c r="H2408" s="31" t="e">
        <f>'[4]#REF'!I2408</f>
        <v>#REF!</v>
      </c>
      <c r="I2408" s="32" t="e">
        <f t="shared" si="68"/>
        <v>#REF!</v>
      </c>
    </row>
    <row r="2409" ht="15.75" spans="6:9">
      <c r="F2409" s="12" t="e">
        <f>'[4]#REF'!F2409</f>
        <v>#REF!</v>
      </c>
      <c r="G2409" s="12" t="e">
        <f>'[4]#REF'!G2409</f>
        <v>#REF!</v>
      </c>
      <c r="H2409" s="31" t="e">
        <f>'[4]#REF'!I2409</f>
        <v>#REF!</v>
      </c>
      <c r="I2409" s="32" t="e">
        <f t="shared" si="68"/>
        <v>#REF!</v>
      </c>
    </row>
    <row r="2410" ht="15.75" spans="6:9">
      <c r="F2410" s="12" t="e">
        <f>'[4]#REF'!F2410</f>
        <v>#REF!</v>
      </c>
      <c r="G2410" s="12" t="e">
        <f>'[4]#REF'!G2410</f>
        <v>#REF!</v>
      </c>
      <c r="H2410" s="31" t="e">
        <f>'[4]#REF'!I2410</f>
        <v>#REF!</v>
      </c>
      <c r="I2410" s="32" t="e">
        <f t="shared" si="68"/>
        <v>#REF!</v>
      </c>
    </row>
    <row r="2411" ht="15.75" spans="6:9">
      <c r="F2411" s="12" t="e">
        <f>'[4]#REF'!F2411</f>
        <v>#REF!</v>
      </c>
      <c r="G2411" s="12" t="e">
        <f>'[4]#REF'!G2411</f>
        <v>#REF!</v>
      </c>
      <c r="H2411" s="31" t="e">
        <f>'[4]#REF'!I2411</f>
        <v>#REF!</v>
      </c>
      <c r="I2411" s="32" t="e">
        <f t="shared" si="68"/>
        <v>#REF!</v>
      </c>
    </row>
    <row r="2412" ht="15.75" spans="6:9">
      <c r="F2412" s="12" t="e">
        <f>'[4]#REF'!F2412</f>
        <v>#REF!</v>
      </c>
      <c r="G2412" s="12" t="e">
        <f>'[4]#REF'!G2412</f>
        <v>#REF!</v>
      </c>
      <c r="H2412" s="31" t="e">
        <f>'[4]#REF'!I2412</f>
        <v>#REF!</v>
      </c>
      <c r="I2412" s="32" t="e">
        <f t="shared" si="68"/>
        <v>#REF!</v>
      </c>
    </row>
    <row r="2413" ht="15.75" spans="6:9">
      <c r="F2413" s="12" t="e">
        <f>'[4]#REF'!F2413</f>
        <v>#REF!</v>
      </c>
      <c r="G2413" s="12" t="e">
        <f>'[4]#REF'!G2413</f>
        <v>#REF!</v>
      </c>
      <c r="H2413" s="31" t="e">
        <f>'[4]#REF'!I2413</f>
        <v>#REF!</v>
      </c>
      <c r="I2413" s="32" t="e">
        <f t="shared" si="68"/>
        <v>#REF!</v>
      </c>
    </row>
    <row r="2414" ht="15.75" spans="6:9">
      <c r="F2414" s="12" t="e">
        <f>'[4]#REF'!F2414</f>
        <v>#REF!</v>
      </c>
      <c r="G2414" s="12" t="e">
        <f>'[4]#REF'!G2414</f>
        <v>#REF!</v>
      </c>
      <c r="H2414" s="31" t="e">
        <f>'[4]#REF'!I2414</f>
        <v>#REF!</v>
      </c>
      <c r="I2414" s="32" t="e">
        <f t="shared" si="68"/>
        <v>#REF!</v>
      </c>
    </row>
    <row r="2415" ht="15.75" spans="6:9">
      <c r="F2415" s="12" t="e">
        <f>'[4]#REF'!F2415</f>
        <v>#REF!</v>
      </c>
      <c r="G2415" s="12" t="e">
        <f>'[4]#REF'!G2415</f>
        <v>#REF!</v>
      </c>
      <c r="H2415" s="31" t="e">
        <f>'[4]#REF'!I2415</f>
        <v>#REF!</v>
      </c>
      <c r="I2415" s="32" t="e">
        <f t="shared" si="68"/>
        <v>#REF!</v>
      </c>
    </row>
    <row r="2416" ht="15.75" spans="6:9">
      <c r="F2416" s="12" t="e">
        <f>'[4]#REF'!F2416</f>
        <v>#REF!</v>
      </c>
      <c r="G2416" s="12" t="e">
        <f>'[4]#REF'!G2416</f>
        <v>#REF!</v>
      </c>
      <c r="H2416" s="31" t="e">
        <f>'[4]#REF'!I2416</f>
        <v>#REF!</v>
      </c>
      <c r="I2416" s="32" t="e">
        <f t="shared" si="68"/>
        <v>#REF!</v>
      </c>
    </row>
    <row r="2417" ht="15.75" spans="6:9">
      <c r="F2417" s="12" t="e">
        <f>'[4]#REF'!F2417</f>
        <v>#REF!</v>
      </c>
      <c r="G2417" s="12" t="e">
        <f>'[4]#REF'!G2417</f>
        <v>#REF!</v>
      </c>
      <c r="H2417" s="31" t="e">
        <f>'[4]#REF'!I2417</f>
        <v>#REF!</v>
      </c>
      <c r="I2417" s="32" t="e">
        <f t="shared" si="68"/>
        <v>#REF!</v>
      </c>
    </row>
    <row r="2418" ht="15.75" spans="6:9">
      <c r="F2418" s="12" t="e">
        <f>'[4]#REF'!F2418</f>
        <v>#REF!</v>
      </c>
      <c r="G2418" s="12" t="e">
        <f>'[4]#REF'!G2418</f>
        <v>#REF!</v>
      </c>
      <c r="H2418" s="31" t="e">
        <f>'[4]#REF'!I2418</f>
        <v>#REF!</v>
      </c>
      <c r="I2418" s="32" t="e">
        <f t="shared" si="68"/>
        <v>#REF!</v>
      </c>
    </row>
    <row r="2419" ht="15.75" spans="6:9">
      <c r="F2419" s="12" t="e">
        <f>'[4]#REF'!F2419</f>
        <v>#REF!</v>
      </c>
      <c r="G2419" s="12" t="e">
        <f>'[4]#REF'!G2419</f>
        <v>#REF!</v>
      </c>
      <c r="H2419" s="31" t="e">
        <f>'[4]#REF'!I2419</f>
        <v>#REF!</v>
      </c>
      <c r="I2419" s="32" t="e">
        <f t="shared" si="68"/>
        <v>#REF!</v>
      </c>
    </row>
    <row r="2420" ht="15.75" spans="6:9">
      <c r="F2420" s="12" t="e">
        <f>'[4]#REF'!F2420</f>
        <v>#REF!</v>
      </c>
      <c r="G2420" s="12" t="e">
        <f>'[4]#REF'!G2420</f>
        <v>#REF!</v>
      </c>
      <c r="H2420" s="31" t="e">
        <f>'[4]#REF'!I2420</f>
        <v>#REF!</v>
      </c>
      <c r="I2420" s="32" t="e">
        <f t="shared" si="68"/>
        <v>#REF!</v>
      </c>
    </row>
    <row r="2421" ht="15.75" spans="6:9">
      <c r="F2421" s="12" t="e">
        <f>'[4]#REF'!F2421</f>
        <v>#REF!</v>
      </c>
      <c r="G2421" s="12" t="e">
        <f>'[4]#REF'!G2421</f>
        <v>#REF!</v>
      </c>
      <c r="H2421" s="31" t="e">
        <f>'[4]#REF'!I2421</f>
        <v>#REF!</v>
      </c>
      <c r="I2421" s="32" t="e">
        <f t="shared" si="68"/>
        <v>#REF!</v>
      </c>
    </row>
    <row r="2422" ht="15.75" spans="6:9">
      <c r="F2422" s="12" t="e">
        <f>'[4]#REF'!F2422</f>
        <v>#REF!</v>
      </c>
      <c r="G2422" s="12" t="e">
        <f>'[4]#REF'!G2422</f>
        <v>#REF!</v>
      </c>
      <c r="H2422" s="31" t="e">
        <f>'[4]#REF'!I2422</f>
        <v>#REF!</v>
      </c>
      <c r="I2422" s="32" t="e">
        <f t="shared" si="68"/>
        <v>#REF!</v>
      </c>
    </row>
    <row r="2423" ht="15.75" spans="6:9">
      <c r="F2423" s="12" t="e">
        <f>'[4]#REF'!F2423</f>
        <v>#REF!</v>
      </c>
      <c r="G2423" s="12" t="e">
        <f>'[4]#REF'!G2423</f>
        <v>#REF!</v>
      </c>
      <c r="H2423" s="31" t="e">
        <f>'[4]#REF'!I2423</f>
        <v>#REF!</v>
      </c>
      <c r="I2423" s="32" t="e">
        <f t="shared" si="68"/>
        <v>#REF!</v>
      </c>
    </row>
    <row r="2424" ht="15.75" spans="6:9">
      <c r="F2424" s="12" t="e">
        <f>'[4]#REF'!F2424</f>
        <v>#REF!</v>
      </c>
      <c r="G2424" s="12" t="e">
        <f>'[4]#REF'!G2424</f>
        <v>#REF!</v>
      </c>
      <c r="H2424" s="31" t="e">
        <f>'[4]#REF'!I2424</f>
        <v>#REF!</v>
      </c>
      <c r="I2424" s="32" t="e">
        <f t="shared" si="68"/>
        <v>#REF!</v>
      </c>
    </row>
    <row r="2425" ht="15.75" spans="6:9">
      <c r="F2425" s="12" t="e">
        <f>'[4]#REF'!F2425</f>
        <v>#REF!</v>
      </c>
      <c r="G2425" s="12" t="e">
        <f>'[4]#REF'!G2425</f>
        <v>#REF!</v>
      </c>
      <c r="H2425" s="31" t="e">
        <f>'[4]#REF'!I2425</f>
        <v>#REF!</v>
      </c>
      <c r="I2425" s="32" t="e">
        <f t="shared" si="68"/>
        <v>#REF!</v>
      </c>
    </row>
    <row r="2426" ht="15.75" spans="6:9">
      <c r="F2426" s="12" t="e">
        <f>'[4]#REF'!F2426</f>
        <v>#REF!</v>
      </c>
      <c r="G2426" s="12" t="e">
        <f>'[4]#REF'!G2426</f>
        <v>#REF!</v>
      </c>
      <c r="H2426" s="31" t="e">
        <f>'[4]#REF'!I2426</f>
        <v>#REF!</v>
      </c>
      <c r="I2426" s="32" t="e">
        <f t="shared" si="68"/>
        <v>#REF!</v>
      </c>
    </row>
    <row r="2427" ht="15.75" spans="6:9">
      <c r="F2427" s="12" t="e">
        <f>'[4]#REF'!F2427</f>
        <v>#REF!</v>
      </c>
      <c r="G2427" s="12" t="e">
        <f>'[4]#REF'!G2427</f>
        <v>#REF!</v>
      </c>
      <c r="H2427" s="31" t="e">
        <f>'[4]#REF'!I2427</f>
        <v>#REF!</v>
      </c>
      <c r="I2427" s="32" t="e">
        <f t="shared" si="68"/>
        <v>#REF!</v>
      </c>
    </row>
    <row r="2428" ht="15.75" spans="6:9">
      <c r="F2428" s="12" t="e">
        <f>'[4]#REF'!F2428</f>
        <v>#REF!</v>
      </c>
      <c r="G2428" s="12" t="e">
        <f>'[4]#REF'!G2428</f>
        <v>#REF!</v>
      </c>
      <c r="H2428" s="31" t="e">
        <f>'[4]#REF'!I2428</f>
        <v>#REF!</v>
      </c>
      <c r="I2428" s="32" t="e">
        <f t="shared" si="68"/>
        <v>#REF!</v>
      </c>
    </row>
    <row r="2429" ht="15.75" spans="6:9">
      <c r="F2429" s="12" t="e">
        <f>'[4]#REF'!F2429</f>
        <v>#REF!</v>
      </c>
      <c r="G2429" s="12" t="e">
        <f>'[4]#REF'!G2429</f>
        <v>#REF!</v>
      </c>
      <c r="H2429" s="31" t="e">
        <f>'[4]#REF'!I2429</f>
        <v>#REF!</v>
      </c>
      <c r="I2429" s="32" t="e">
        <f t="shared" si="68"/>
        <v>#REF!</v>
      </c>
    </row>
    <row r="2430" ht="15.75" spans="6:9">
      <c r="F2430" s="12" t="e">
        <f>'[4]#REF'!F2430</f>
        <v>#REF!</v>
      </c>
      <c r="G2430" s="12" t="e">
        <f>'[4]#REF'!G2430</f>
        <v>#REF!</v>
      </c>
      <c r="H2430" s="31" t="e">
        <f>'[4]#REF'!I2430</f>
        <v>#REF!</v>
      </c>
      <c r="I2430" s="32" t="e">
        <f t="shared" si="68"/>
        <v>#REF!</v>
      </c>
    </row>
    <row r="2431" ht="15.75" spans="6:9">
      <c r="F2431" s="12" t="e">
        <f>'[4]#REF'!F2431</f>
        <v>#REF!</v>
      </c>
      <c r="G2431" s="12" t="e">
        <f>'[4]#REF'!G2431</f>
        <v>#REF!</v>
      </c>
      <c r="H2431" s="31" t="e">
        <f>'[4]#REF'!I2431</f>
        <v>#REF!</v>
      </c>
      <c r="I2431" s="32" t="e">
        <f t="shared" si="68"/>
        <v>#REF!</v>
      </c>
    </row>
    <row r="2432" ht="15.75" spans="6:9">
      <c r="F2432" s="12" t="e">
        <f>'[4]#REF'!F2432</f>
        <v>#REF!</v>
      </c>
      <c r="G2432" s="12" t="e">
        <f>'[4]#REF'!G2432</f>
        <v>#REF!</v>
      </c>
      <c r="H2432" s="31" t="e">
        <f>'[4]#REF'!I2432</f>
        <v>#REF!</v>
      </c>
      <c r="I2432" s="32" t="e">
        <f t="shared" si="68"/>
        <v>#REF!</v>
      </c>
    </row>
    <row r="2433" ht="15.75" spans="6:9">
      <c r="F2433" s="12" t="e">
        <f>'[4]#REF'!F2433</f>
        <v>#REF!</v>
      </c>
      <c r="G2433" s="12" t="e">
        <f>'[4]#REF'!G2433</f>
        <v>#REF!</v>
      </c>
      <c r="H2433" s="31" t="e">
        <f>'[4]#REF'!I2433</f>
        <v>#REF!</v>
      </c>
      <c r="I2433" s="32" t="e">
        <f t="shared" si="68"/>
        <v>#REF!</v>
      </c>
    </row>
    <row r="2434" ht="15.75" spans="6:9">
      <c r="F2434" s="12" t="e">
        <f>'[4]#REF'!F2434</f>
        <v>#REF!</v>
      </c>
      <c r="G2434" s="12" t="e">
        <f>'[4]#REF'!G2434</f>
        <v>#REF!</v>
      </c>
      <c r="H2434" s="31" t="e">
        <f>'[4]#REF'!I2434</f>
        <v>#REF!</v>
      </c>
      <c r="I2434" s="32" t="e">
        <f t="shared" si="68"/>
        <v>#REF!</v>
      </c>
    </row>
    <row r="2435" ht="15.75" spans="6:9">
      <c r="F2435" s="12" t="e">
        <f>'[4]#REF'!F2435</f>
        <v>#REF!</v>
      </c>
      <c r="G2435" s="12" t="e">
        <f>'[4]#REF'!G2435</f>
        <v>#REF!</v>
      </c>
      <c r="H2435" s="31" t="e">
        <f>'[4]#REF'!I2435</f>
        <v>#REF!</v>
      </c>
      <c r="I2435" s="32" t="e">
        <f t="shared" si="68"/>
        <v>#REF!</v>
      </c>
    </row>
    <row r="2436" ht="15.75" spans="6:9">
      <c r="F2436" s="12" t="e">
        <f>'[4]#REF'!F2436</f>
        <v>#REF!</v>
      </c>
      <c r="G2436" s="12" t="e">
        <f>'[4]#REF'!G2436</f>
        <v>#REF!</v>
      </c>
      <c r="H2436" s="31" t="e">
        <f>'[4]#REF'!I2436</f>
        <v>#REF!</v>
      </c>
      <c r="I2436" s="32" t="e">
        <f t="shared" si="68"/>
        <v>#REF!</v>
      </c>
    </row>
    <row r="2437" ht="15.75" spans="6:9">
      <c r="F2437" s="12" t="e">
        <f>'[4]#REF'!F2437</f>
        <v>#REF!</v>
      </c>
      <c r="G2437" s="12" t="e">
        <f>'[4]#REF'!G2437</f>
        <v>#REF!</v>
      </c>
      <c r="H2437" s="31" t="e">
        <f>'[4]#REF'!I2437</f>
        <v>#REF!</v>
      </c>
      <c r="I2437" s="32" t="e">
        <f t="shared" si="68"/>
        <v>#REF!</v>
      </c>
    </row>
    <row r="2438" ht="15.75" spans="6:9">
      <c r="F2438" s="12" t="e">
        <f>'[4]#REF'!F2438</f>
        <v>#REF!</v>
      </c>
      <c r="G2438" s="12" t="e">
        <f>'[4]#REF'!G2438</f>
        <v>#REF!</v>
      </c>
      <c r="H2438" s="31" t="e">
        <f>'[4]#REF'!I2438</f>
        <v>#REF!</v>
      </c>
      <c r="I2438" s="32" t="e">
        <f t="shared" ref="I2438:I2501" si="69">ROUND(H2438/$I$4*100,2)</f>
        <v>#REF!</v>
      </c>
    </row>
    <row r="2439" ht="15.75" spans="6:9">
      <c r="F2439" s="12" t="e">
        <f>'[4]#REF'!F2439</f>
        <v>#REF!</v>
      </c>
      <c r="G2439" s="12" t="e">
        <f>'[4]#REF'!G2439</f>
        <v>#REF!</v>
      </c>
      <c r="H2439" s="31" t="e">
        <f>'[4]#REF'!I2439</f>
        <v>#REF!</v>
      </c>
      <c r="I2439" s="32" t="e">
        <f t="shared" si="69"/>
        <v>#REF!</v>
      </c>
    </row>
    <row r="2440" ht="15.75" spans="6:9">
      <c r="F2440" s="12" t="e">
        <f>'[4]#REF'!F2440</f>
        <v>#REF!</v>
      </c>
      <c r="G2440" s="12" t="e">
        <f>'[4]#REF'!G2440</f>
        <v>#REF!</v>
      </c>
      <c r="H2440" s="31" t="e">
        <f>'[4]#REF'!I2440</f>
        <v>#REF!</v>
      </c>
      <c r="I2440" s="32" t="e">
        <f t="shared" si="69"/>
        <v>#REF!</v>
      </c>
    </row>
    <row r="2441" ht="15.75" spans="6:9">
      <c r="F2441" s="12" t="e">
        <f>'[4]#REF'!F2441</f>
        <v>#REF!</v>
      </c>
      <c r="G2441" s="12" t="e">
        <f>'[4]#REF'!G2441</f>
        <v>#REF!</v>
      </c>
      <c r="H2441" s="31" t="e">
        <f>'[4]#REF'!I2441</f>
        <v>#REF!</v>
      </c>
      <c r="I2441" s="32" t="e">
        <f t="shared" si="69"/>
        <v>#REF!</v>
      </c>
    </row>
    <row r="2442" ht="15.75" spans="6:9">
      <c r="F2442" s="12" t="e">
        <f>'[4]#REF'!F2442</f>
        <v>#REF!</v>
      </c>
      <c r="G2442" s="12" t="e">
        <f>'[4]#REF'!G2442</f>
        <v>#REF!</v>
      </c>
      <c r="H2442" s="31" t="e">
        <f>'[4]#REF'!I2442</f>
        <v>#REF!</v>
      </c>
      <c r="I2442" s="32" t="e">
        <f t="shared" si="69"/>
        <v>#REF!</v>
      </c>
    </row>
    <row r="2443" ht="15.75" spans="6:9">
      <c r="F2443" s="12" t="e">
        <f>'[4]#REF'!F2443</f>
        <v>#REF!</v>
      </c>
      <c r="G2443" s="12" t="e">
        <f>'[4]#REF'!G2443</f>
        <v>#REF!</v>
      </c>
      <c r="H2443" s="31" t="e">
        <f>'[4]#REF'!I2443</f>
        <v>#REF!</v>
      </c>
      <c r="I2443" s="32" t="e">
        <f t="shared" si="69"/>
        <v>#REF!</v>
      </c>
    </row>
    <row r="2444" ht="15.75" spans="6:9">
      <c r="F2444" s="12" t="e">
        <f>'[4]#REF'!F2444</f>
        <v>#REF!</v>
      </c>
      <c r="G2444" s="12" t="e">
        <f>'[4]#REF'!G2444</f>
        <v>#REF!</v>
      </c>
      <c r="H2444" s="31" t="e">
        <f>'[4]#REF'!I2444</f>
        <v>#REF!</v>
      </c>
      <c r="I2444" s="32" t="e">
        <f t="shared" si="69"/>
        <v>#REF!</v>
      </c>
    </row>
    <row r="2445" ht="15.75" spans="6:9">
      <c r="F2445" s="12" t="e">
        <f>'[4]#REF'!F2445</f>
        <v>#REF!</v>
      </c>
      <c r="G2445" s="12" t="e">
        <f>'[4]#REF'!G2445</f>
        <v>#REF!</v>
      </c>
      <c r="H2445" s="31" t="e">
        <f>'[4]#REF'!I2445</f>
        <v>#REF!</v>
      </c>
      <c r="I2445" s="32" t="e">
        <f t="shared" si="69"/>
        <v>#REF!</v>
      </c>
    </row>
    <row r="2446" ht="15.75" spans="6:9">
      <c r="F2446" s="12" t="e">
        <f>'[4]#REF'!F2446</f>
        <v>#REF!</v>
      </c>
      <c r="G2446" s="12" t="e">
        <f>'[4]#REF'!G2446</f>
        <v>#REF!</v>
      </c>
      <c r="H2446" s="31" t="e">
        <f>'[4]#REF'!I2446</f>
        <v>#REF!</v>
      </c>
      <c r="I2446" s="32" t="e">
        <f t="shared" si="69"/>
        <v>#REF!</v>
      </c>
    </row>
    <row r="2447" ht="15.75" spans="6:9">
      <c r="F2447" s="12" t="e">
        <f>'[4]#REF'!F2447</f>
        <v>#REF!</v>
      </c>
      <c r="G2447" s="12" t="e">
        <f>'[4]#REF'!G2447</f>
        <v>#REF!</v>
      </c>
      <c r="H2447" s="31" t="e">
        <f>'[4]#REF'!I2447</f>
        <v>#REF!</v>
      </c>
      <c r="I2447" s="32" t="e">
        <f t="shared" si="69"/>
        <v>#REF!</v>
      </c>
    </row>
    <row r="2448" ht="15.75" spans="6:9">
      <c r="F2448" s="12" t="e">
        <f>'[4]#REF'!F2448</f>
        <v>#REF!</v>
      </c>
      <c r="G2448" s="12" t="e">
        <f>'[4]#REF'!G2448</f>
        <v>#REF!</v>
      </c>
      <c r="H2448" s="31" t="e">
        <f>'[4]#REF'!I2448</f>
        <v>#REF!</v>
      </c>
      <c r="I2448" s="32" t="e">
        <f t="shared" si="69"/>
        <v>#REF!</v>
      </c>
    </row>
    <row r="2449" ht="15.75" spans="6:9">
      <c r="F2449" s="12" t="e">
        <f>'[4]#REF'!F2449</f>
        <v>#REF!</v>
      </c>
      <c r="G2449" s="12" t="e">
        <f>'[4]#REF'!G2449</f>
        <v>#REF!</v>
      </c>
      <c r="H2449" s="31" t="e">
        <f>'[4]#REF'!I2449</f>
        <v>#REF!</v>
      </c>
      <c r="I2449" s="32" t="e">
        <f t="shared" si="69"/>
        <v>#REF!</v>
      </c>
    </row>
    <row r="2450" ht="15.75" spans="6:9">
      <c r="F2450" s="12" t="e">
        <f>'[4]#REF'!F2450</f>
        <v>#REF!</v>
      </c>
      <c r="G2450" s="12" t="e">
        <f>'[4]#REF'!G2450</f>
        <v>#REF!</v>
      </c>
      <c r="H2450" s="31" t="e">
        <f>'[4]#REF'!I2450</f>
        <v>#REF!</v>
      </c>
      <c r="I2450" s="32" t="e">
        <f t="shared" si="69"/>
        <v>#REF!</v>
      </c>
    </row>
    <row r="2451" ht="15.75" spans="6:9">
      <c r="F2451" s="12" t="e">
        <f>'[4]#REF'!F2451</f>
        <v>#REF!</v>
      </c>
      <c r="G2451" s="12" t="e">
        <f>'[4]#REF'!G2451</f>
        <v>#REF!</v>
      </c>
      <c r="H2451" s="31" t="e">
        <f>'[4]#REF'!I2451</f>
        <v>#REF!</v>
      </c>
      <c r="I2451" s="32" t="e">
        <f t="shared" si="69"/>
        <v>#REF!</v>
      </c>
    </row>
    <row r="2452" ht="15.75" spans="6:9">
      <c r="F2452" s="12" t="e">
        <f>'[4]#REF'!F2452</f>
        <v>#REF!</v>
      </c>
      <c r="G2452" s="12" t="e">
        <f>'[4]#REF'!G2452</f>
        <v>#REF!</v>
      </c>
      <c r="H2452" s="31" t="e">
        <f>'[4]#REF'!I2452</f>
        <v>#REF!</v>
      </c>
      <c r="I2452" s="32" t="e">
        <f t="shared" si="69"/>
        <v>#REF!</v>
      </c>
    </row>
    <row r="2453" ht="15.75" spans="6:9">
      <c r="F2453" s="12" t="e">
        <f>'[4]#REF'!F2453</f>
        <v>#REF!</v>
      </c>
      <c r="G2453" s="12" t="e">
        <f>'[4]#REF'!G2453</f>
        <v>#REF!</v>
      </c>
      <c r="H2453" s="31" t="e">
        <f>'[4]#REF'!I2453</f>
        <v>#REF!</v>
      </c>
      <c r="I2453" s="32" t="e">
        <f t="shared" si="69"/>
        <v>#REF!</v>
      </c>
    </row>
    <row r="2454" ht="15.75" spans="6:9">
      <c r="F2454" s="12" t="e">
        <f>'[4]#REF'!F2454</f>
        <v>#REF!</v>
      </c>
      <c r="G2454" s="12" t="e">
        <f>'[4]#REF'!G2454</f>
        <v>#REF!</v>
      </c>
      <c r="H2454" s="31" t="e">
        <f>'[4]#REF'!I2454</f>
        <v>#REF!</v>
      </c>
      <c r="I2454" s="32" t="e">
        <f t="shared" si="69"/>
        <v>#REF!</v>
      </c>
    </row>
    <row r="2455" ht="15.75" spans="6:9">
      <c r="F2455" s="12" t="e">
        <f>'[4]#REF'!F2455</f>
        <v>#REF!</v>
      </c>
      <c r="G2455" s="12" t="e">
        <f>'[4]#REF'!G2455</f>
        <v>#REF!</v>
      </c>
      <c r="H2455" s="31" t="e">
        <f>'[4]#REF'!I2455</f>
        <v>#REF!</v>
      </c>
      <c r="I2455" s="32" t="e">
        <f t="shared" si="69"/>
        <v>#REF!</v>
      </c>
    </row>
    <row r="2456" ht="15.75" spans="6:9">
      <c r="F2456" s="12" t="e">
        <f>'[4]#REF'!F2456</f>
        <v>#REF!</v>
      </c>
      <c r="G2456" s="12" t="e">
        <f>'[4]#REF'!G2456</f>
        <v>#REF!</v>
      </c>
      <c r="H2456" s="31" t="e">
        <f>'[4]#REF'!I2456</f>
        <v>#REF!</v>
      </c>
      <c r="I2456" s="32" t="e">
        <f t="shared" si="69"/>
        <v>#REF!</v>
      </c>
    </row>
    <row r="2457" ht="15.75" spans="6:9">
      <c r="F2457" s="12" t="e">
        <f>'[4]#REF'!F2457</f>
        <v>#REF!</v>
      </c>
      <c r="G2457" s="12" t="e">
        <f>'[4]#REF'!G2457</f>
        <v>#REF!</v>
      </c>
      <c r="H2457" s="31" t="e">
        <f>'[4]#REF'!I2457</f>
        <v>#REF!</v>
      </c>
      <c r="I2457" s="32" t="e">
        <f t="shared" si="69"/>
        <v>#REF!</v>
      </c>
    </row>
    <row r="2458" ht="15.75" spans="6:9">
      <c r="F2458" s="12" t="e">
        <f>'[4]#REF'!F2458</f>
        <v>#REF!</v>
      </c>
      <c r="G2458" s="12" t="e">
        <f>'[4]#REF'!G2458</f>
        <v>#REF!</v>
      </c>
      <c r="H2458" s="31" t="e">
        <f>'[4]#REF'!I2458</f>
        <v>#REF!</v>
      </c>
      <c r="I2458" s="32" t="e">
        <f t="shared" si="69"/>
        <v>#REF!</v>
      </c>
    </row>
    <row r="2459" ht="15.75" spans="6:9">
      <c r="F2459" s="12" t="e">
        <f>'[4]#REF'!F2459</f>
        <v>#REF!</v>
      </c>
      <c r="G2459" s="12" t="e">
        <f>'[4]#REF'!G2459</f>
        <v>#REF!</v>
      </c>
      <c r="H2459" s="31" t="e">
        <f>'[4]#REF'!I2459</f>
        <v>#REF!</v>
      </c>
      <c r="I2459" s="32" t="e">
        <f t="shared" si="69"/>
        <v>#REF!</v>
      </c>
    </row>
    <row r="2460" ht="15.75" spans="6:9">
      <c r="F2460" s="12" t="e">
        <f>'[4]#REF'!F2460</f>
        <v>#REF!</v>
      </c>
      <c r="G2460" s="12" t="e">
        <f>'[4]#REF'!G2460</f>
        <v>#REF!</v>
      </c>
      <c r="H2460" s="31" t="e">
        <f>'[4]#REF'!I2460</f>
        <v>#REF!</v>
      </c>
      <c r="I2460" s="32" t="e">
        <f t="shared" si="69"/>
        <v>#REF!</v>
      </c>
    </row>
    <row r="2461" ht="15.75" spans="6:9">
      <c r="F2461" s="12" t="e">
        <f>'[4]#REF'!F2461</f>
        <v>#REF!</v>
      </c>
      <c r="G2461" s="12" t="e">
        <f>'[4]#REF'!G2461</f>
        <v>#REF!</v>
      </c>
      <c r="H2461" s="31" t="e">
        <f>'[4]#REF'!I2461</f>
        <v>#REF!</v>
      </c>
      <c r="I2461" s="32" t="e">
        <f t="shared" si="69"/>
        <v>#REF!</v>
      </c>
    </row>
    <row r="2462" ht="15.75" spans="6:9">
      <c r="F2462" s="12" t="e">
        <f>'[4]#REF'!F2462</f>
        <v>#REF!</v>
      </c>
      <c r="G2462" s="12" t="e">
        <f>'[4]#REF'!G2462</f>
        <v>#REF!</v>
      </c>
      <c r="H2462" s="31" t="e">
        <f>'[4]#REF'!I2462</f>
        <v>#REF!</v>
      </c>
      <c r="I2462" s="32" t="e">
        <f t="shared" si="69"/>
        <v>#REF!</v>
      </c>
    </row>
    <row r="2463" ht="15.75" spans="6:9">
      <c r="F2463" s="12" t="e">
        <f>'[4]#REF'!F2463</f>
        <v>#REF!</v>
      </c>
      <c r="G2463" s="12" t="e">
        <f>'[4]#REF'!G2463</f>
        <v>#REF!</v>
      </c>
      <c r="H2463" s="31" t="e">
        <f>'[4]#REF'!I2463</f>
        <v>#REF!</v>
      </c>
      <c r="I2463" s="32" t="e">
        <f t="shared" si="69"/>
        <v>#REF!</v>
      </c>
    </row>
    <row r="2464" ht="15.75" spans="6:9">
      <c r="F2464" s="12" t="e">
        <f>'[4]#REF'!F2464</f>
        <v>#REF!</v>
      </c>
      <c r="G2464" s="12" t="e">
        <f>'[4]#REF'!G2464</f>
        <v>#REF!</v>
      </c>
      <c r="H2464" s="31" t="e">
        <f>'[4]#REF'!I2464</f>
        <v>#REF!</v>
      </c>
      <c r="I2464" s="32" t="e">
        <f t="shared" si="69"/>
        <v>#REF!</v>
      </c>
    </row>
    <row r="2465" ht="15.75" spans="6:9">
      <c r="F2465" s="12" t="e">
        <f>'[4]#REF'!F2465</f>
        <v>#REF!</v>
      </c>
      <c r="G2465" s="12" t="e">
        <f>'[4]#REF'!G2465</f>
        <v>#REF!</v>
      </c>
      <c r="H2465" s="31" t="e">
        <f>'[4]#REF'!I2465</f>
        <v>#REF!</v>
      </c>
      <c r="I2465" s="32" t="e">
        <f t="shared" si="69"/>
        <v>#REF!</v>
      </c>
    </row>
    <row r="2466" ht="15.75" spans="6:9">
      <c r="F2466" s="12" t="e">
        <f>'[4]#REF'!F2466</f>
        <v>#REF!</v>
      </c>
      <c r="G2466" s="12" t="e">
        <f>'[4]#REF'!G2466</f>
        <v>#REF!</v>
      </c>
      <c r="H2466" s="31" t="e">
        <f>'[4]#REF'!I2466</f>
        <v>#REF!</v>
      </c>
      <c r="I2466" s="32" t="e">
        <f t="shared" si="69"/>
        <v>#REF!</v>
      </c>
    </row>
    <row r="2467" ht="15.75" spans="6:9">
      <c r="F2467" s="12" t="e">
        <f>'[4]#REF'!F2467</f>
        <v>#REF!</v>
      </c>
      <c r="G2467" s="12" t="e">
        <f>'[4]#REF'!G2467</f>
        <v>#REF!</v>
      </c>
      <c r="H2467" s="31" t="e">
        <f>'[4]#REF'!I2467</f>
        <v>#REF!</v>
      </c>
      <c r="I2467" s="32" t="e">
        <f t="shared" si="69"/>
        <v>#REF!</v>
      </c>
    </row>
    <row r="2468" ht="15.75" spans="6:9">
      <c r="F2468" s="12" t="e">
        <f>'[4]#REF'!F2468</f>
        <v>#REF!</v>
      </c>
      <c r="G2468" s="12" t="e">
        <f>'[4]#REF'!G2468</f>
        <v>#REF!</v>
      </c>
      <c r="H2468" s="31" t="e">
        <f>'[4]#REF'!I2468</f>
        <v>#REF!</v>
      </c>
      <c r="I2468" s="32" t="e">
        <f t="shared" si="69"/>
        <v>#REF!</v>
      </c>
    </row>
    <row r="2469" ht="15.75" spans="6:9">
      <c r="F2469" s="12" t="e">
        <f>'[4]#REF'!F2469</f>
        <v>#REF!</v>
      </c>
      <c r="G2469" s="12" t="e">
        <f>'[4]#REF'!G2469</f>
        <v>#REF!</v>
      </c>
      <c r="H2469" s="31" t="e">
        <f>'[4]#REF'!I2469</f>
        <v>#REF!</v>
      </c>
      <c r="I2469" s="32" t="e">
        <f t="shared" si="69"/>
        <v>#REF!</v>
      </c>
    </row>
    <row r="2470" ht="15.75" spans="6:9">
      <c r="F2470" s="12" t="e">
        <f>'[4]#REF'!F2470</f>
        <v>#REF!</v>
      </c>
      <c r="G2470" s="12" t="e">
        <f>'[4]#REF'!G2470</f>
        <v>#REF!</v>
      </c>
      <c r="H2470" s="31" t="e">
        <f>'[4]#REF'!I2470</f>
        <v>#REF!</v>
      </c>
      <c r="I2470" s="32" t="e">
        <f t="shared" si="69"/>
        <v>#REF!</v>
      </c>
    </row>
    <row r="2471" ht="15.75" spans="6:9">
      <c r="F2471" s="12" t="e">
        <f>'[4]#REF'!F2471</f>
        <v>#REF!</v>
      </c>
      <c r="G2471" s="12" t="e">
        <f>'[4]#REF'!G2471</f>
        <v>#REF!</v>
      </c>
      <c r="H2471" s="31" t="e">
        <f>'[4]#REF'!I2471</f>
        <v>#REF!</v>
      </c>
      <c r="I2471" s="32" t="e">
        <f t="shared" si="69"/>
        <v>#REF!</v>
      </c>
    </row>
    <row r="2472" ht="15.75" spans="6:9">
      <c r="F2472" s="12" t="e">
        <f>'[4]#REF'!F2472</f>
        <v>#REF!</v>
      </c>
      <c r="G2472" s="12" t="e">
        <f>'[4]#REF'!G2472</f>
        <v>#REF!</v>
      </c>
      <c r="H2472" s="31" t="e">
        <f>'[4]#REF'!I2472</f>
        <v>#REF!</v>
      </c>
      <c r="I2472" s="32" t="e">
        <f t="shared" si="69"/>
        <v>#REF!</v>
      </c>
    </row>
    <row r="2473" ht="15.75" spans="6:9">
      <c r="F2473" s="12" t="e">
        <f>'[4]#REF'!F2473</f>
        <v>#REF!</v>
      </c>
      <c r="G2473" s="12" t="e">
        <f>'[4]#REF'!G2473</f>
        <v>#REF!</v>
      </c>
      <c r="H2473" s="31" t="e">
        <f>'[4]#REF'!I2473</f>
        <v>#REF!</v>
      </c>
      <c r="I2473" s="32" t="e">
        <f t="shared" si="69"/>
        <v>#REF!</v>
      </c>
    </row>
    <row r="2474" ht="15.75" spans="6:9">
      <c r="F2474" s="12" t="e">
        <f>'[4]#REF'!F2474</f>
        <v>#REF!</v>
      </c>
      <c r="G2474" s="12" t="e">
        <f>'[4]#REF'!G2474</f>
        <v>#REF!</v>
      </c>
      <c r="H2474" s="31" t="e">
        <f>'[4]#REF'!I2474</f>
        <v>#REF!</v>
      </c>
      <c r="I2474" s="32" t="e">
        <f t="shared" si="69"/>
        <v>#REF!</v>
      </c>
    </row>
    <row r="2475" ht="15.75" spans="6:9">
      <c r="F2475" s="12" t="e">
        <f>'[4]#REF'!F2475</f>
        <v>#REF!</v>
      </c>
      <c r="G2475" s="12" t="e">
        <f>'[4]#REF'!G2475</f>
        <v>#REF!</v>
      </c>
      <c r="H2475" s="31" t="e">
        <f>'[4]#REF'!I2475</f>
        <v>#REF!</v>
      </c>
      <c r="I2475" s="32" t="e">
        <f t="shared" si="69"/>
        <v>#REF!</v>
      </c>
    </row>
    <row r="2476" ht="15.75" spans="6:9">
      <c r="F2476" s="12" t="e">
        <f>'[4]#REF'!F2476</f>
        <v>#REF!</v>
      </c>
      <c r="G2476" s="12" t="e">
        <f>'[4]#REF'!G2476</f>
        <v>#REF!</v>
      </c>
      <c r="H2476" s="31" t="e">
        <f>'[4]#REF'!I2476</f>
        <v>#REF!</v>
      </c>
      <c r="I2476" s="32" t="e">
        <f t="shared" si="69"/>
        <v>#REF!</v>
      </c>
    </row>
    <row r="2477" ht="15.75" spans="6:9">
      <c r="F2477" s="12" t="e">
        <f>'[4]#REF'!F2477</f>
        <v>#REF!</v>
      </c>
      <c r="G2477" s="12" t="e">
        <f>'[4]#REF'!G2477</f>
        <v>#REF!</v>
      </c>
      <c r="H2477" s="31" t="e">
        <f>'[4]#REF'!I2477</f>
        <v>#REF!</v>
      </c>
      <c r="I2477" s="32" t="e">
        <f t="shared" si="69"/>
        <v>#REF!</v>
      </c>
    </row>
    <row r="2478" ht="15.75" spans="6:9">
      <c r="F2478" s="12" t="e">
        <f>'[4]#REF'!F2478</f>
        <v>#REF!</v>
      </c>
      <c r="G2478" s="12" t="e">
        <f>'[4]#REF'!G2478</f>
        <v>#REF!</v>
      </c>
      <c r="H2478" s="31" t="e">
        <f>'[4]#REF'!I2478</f>
        <v>#REF!</v>
      </c>
      <c r="I2478" s="32" t="e">
        <f t="shared" si="69"/>
        <v>#REF!</v>
      </c>
    </row>
    <row r="2479" ht="15.75" spans="6:9">
      <c r="F2479" s="12" t="e">
        <f>'[4]#REF'!F2479</f>
        <v>#REF!</v>
      </c>
      <c r="G2479" s="12" t="e">
        <f>'[4]#REF'!G2479</f>
        <v>#REF!</v>
      </c>
      <c r="H2479" s="31" t="e">
        <f>'[4]#REF'!I2479</f>
        <v>#REF!</v>
      </c>
      <c r="I2479" s="32" t="e">
        <f t="shared" si="69"/>
        <v>#REF!</v>
      </c>
    </row>
    <row r="2480" ht="15.75" spans="6:9">
      <c r="F2480" s="12" t="e">
        <f>'[4]#REF'!F2480</f>
        <v>#REF!</v>
      </c>
      <c r="G2480" s="12" t="e">
        <f>'[4]#REF'!G2480</f>
        <v>#REF!</v>
      </c>
      <c r="H2480" s="31" t="e">
        <f>'[4]#REF'!I2480</f>
        <v>#REF!</v>
      </c>
      <c r="I2480" s="32" t="e">
        <f t="shared" si="69"/>
        <v>#REF!</v>
      </c>
    </row>
    <row r="2481" ht="15.75" spans="6:9">
      <c r="F2481" s="12" t="e">
        <f>'[4]#REF'!F2481</f>
        <v>#REF!</v>
      </c>
      <c r="G2481" s="12" t="e">
        <f>'[4]#REF'!G2481</f>
        <v>#REF!</v>
      </c>
      <c r="H2481" s="31" t="e">
        <f>'[4]#REF'!I2481</f>
        <v>#REF!</v>
      </c>
      <c r="I2481" s="32" t="e">
        <f t="shared" si="69"/>
        <v>#REF!</v>
      </c>
    </row>
    <row r="2482" ht="15.75" spans="6:9">
      <c r="F2482" s="12" t="e">
        <f>'[4]#REF'!F2482</f>
        <v>#REF!</v>
      </c>
      <c r="G2482" s="12" t="e">
        <f>'[4]#REF'!G2482</f>
        <v>#REF!</v>
      </c>
      <c r="H2482" s="31" t="e">
        <f>'[4]#REF'!I2482</f>
        <v>#REF!</v>
      </c>
      <c r="I2482" s="32" t="e">
        <f t="shared" si="69"/>
        <v>#REF!</v>
      </c>
    </row>
    <row r="2483" ht="15.75" spans="6:9">
      <c r="F2483" s="12" t="e">
        <f>'[4]#REF'!F2483</f>
        <v>#REF!</v>
      </c>
      <c r="G2483" s="12" t="e">
        <f>'[4]#REF'!G2483</f>
        <v>#REF!</v>
      </c>
      <c r="H2483" s="31" t="e">
        <f>'[4]#REF'!I2483</f>
        <v>#REF!</v>
      </c>
      <c r="I2483" s="32" t="e">
        <f t="shared" si="69"/>
        <v>#REF!</v>
      </c>
    </row>
    <row r="2484" ht="15.75" spans="6:9">
      <c r="F2484" s="12" t="e">
        <f>'[4]#REF'!F2484</f>
        <v>#REF!</v>
      </c>
      <c r="G2484" s="12" t="e">
        <f>'[4]#REF'!G2484</f>
        <v>#REF!</v>
      </c>
      <c r="H2484" s="31" t="e">
        <f>'[4]#REF'!I2484</f>
        <v>#REF!</v>
      </c>
      <c r="I2484" s="32" t="e">
        <f t="shared" si="69"/>
        <v>#REF!</v>
      </c>
    </row>
    <row r="2485" ht="15.75" spans="6:9">
      <c r="F2485" s="12" t="e">
        <f>'[4]#REF'!F2485</f>
        <v>#REF!</v>
      </c>
      <c r="G2485" s="12" t="e">
        <f>'[4]#REF'!G2485</f>
        <v>#REF!</v>
      </c>
      <c r="H2485" s="31" t="e">
        <f>'[4]#REF'!I2485</f>
        <v>#REF!</v>
      </c>
      <c r="I2485" s="32" t="e">
        <f t="shared" si="69"/>
        <v>#REF!</v>
      </c>
    </row>
    <row r="2486" ht="15.75" spans="6:9">
      <c r="F2486" s="12" t="e">
        <f>'[4]#REF'!F2486</f>
        <v>#REF!</v>
      </c>
      <c r="G2486" s="12" t="e">
        <f>'[4]#REF'!G2486</f>
        <v>#REF!</v>
      </c>
      <c r="H2486" s="31" t="e">
        <f>'[4]#REF'!I2486</f>
        <v>#REF!</v>
      </c>
      <c r="I2486" s="32" t="e">
        <f t="shared" si="69"/>
        <v>#REF!</v>
      </c>
    </row>
    <row r="2487" ht="15.75" spans="6:9">
      <c r="F2487" s="12" t="e">
        <f>'[4]#REF'!F2487</f>
        <v>#REF!</v>
      </c>
      <c r="G2487" s="12" t="e">
        <f>'[4]#REF'!G2487</f>
        <v>#REF!</v>
      </c>
      <c r="H2487" s="31" t="e">
        <f>'[4]#REF'!I2487</f>
        <v>#REF!</v>
      </c>
      <c r="I2487" s="32" t="e">
        <f t="shared" si="69"/>
        <v>#REF!</v>
      </c>
    </row>
    <row r="2488" ht="15.75" spans="6:9">
      <c r="F2488" s="12" t="e">
        <f>'[4]#REF'!F2488</f>
        <v>#REF!</v>
      </c>
      <c r="G2488" s="12" t="e">
        <f>'[4]#REF'!G2488</f>
        <v>#REF!</v>
      </c>
      <c r="H2488" s="31" t="e">
        <f>'[4]#REF'!I2488</f>
        <v>#REF!</v>
      </c>
      <c r="I2488" s="32" t="e">
        <f t="shared" si="69"/>
        <v>#REF!</v>
      </c>
    </row>
    <row r="2489" ht="15.75" spans="6:9">
      <c r="F2489" s="12" t="e">
        <f>'[4]#REF'!F2489</f>
        <v>#REF!</v>
      </c>
      <c r="G2489" s="12" t="e">
        <f>'[4]#REF'!G2489</f>
        <v>#REF!</v>
      </c>
      <c r="H2489" s="31" t="e">
        <f>'[4]#REF'!I2489</f>
        <v>#REF!</v>
      </c>
      <c r="I2489" s="32" t="e">
        <f t="shared" si="69"/>
        <v>#REF!</v>
      </c>
    </row>
    <row r="2490" ht="15.75" spans="6:9">
      <c r="F2490" s="12" t="e">
        <f>'[4]#REF'!F2490</f>
        <v>#REF!</v>
      </c>
      <c r="G2490" s="12" t="e">
        <f>'[4]#REF'!G2490</f>
        <v>#REF!</v>
      </c>
      <c r="H2490" s="31" t="e">
        <f>'[4]#REF'!I2490</f>
        <v>#REF!</v>
      </c>
      <c r="I2490" s="32" t="e">
        <f t="shared" si="69"/>
        <v>#REF!</v>
      </c>
    </row>
    <row r="2491" ht="15.75" spans="6:9">
      <c r="F2491" s="12" t="e">
        <f>'[4]#REF'!F2491</f>
        <v>#REF!</v>
      </c>
      <c r="G2491" s="12" t="e">
        <f>'[4]#REF'!G2491</f>
        <v>#REF!</v>
      </c>
      <c r="H2491" s="31" t="e">
        <f>'[4]#REF'!I2491</f>
        <v>#REF!</v>
      </c>
      <c r="I2491" s="32" t="e">
        <f t="shared" si="69"/>
        <v>#REF!</v>
      </c>
    </row>
    <row r="2492" ht="15.75" spans="6:9">
      <c r="F2492" s="12" t="e">
        <f>'[4]#REF'!F2492</f>
        <v>#REF!</v>
      </c>
      <c r="G2492" s="12" t="e">
        <f>'[4]#REF'!G2492</f>
        <v>#REF!</v>
      </c>
      <c r="H2492" s="31" t="e">
        <f>'[4]#REF'!I2492</f>
        <v>#REF!</v>
      </c>
      <c r="I2492" s="32" t="e">
        <f t="shared" si="69"/>
        <v>#REF!</v>
      </c>
    </row>
    <row r="2493" ht="15.75" spans="6:9">
      <c r="F2493" s="12" t="e">
        <f>'[4]#REF'!F2493</f>
        <v>#REF!</v>
      </c>
      <c r="G2493" s="12" t="e">
        <f>'[4]#REF'!G2493</f>
        <v>#REF!</v>
      </c>
      <c r="H2493" s="31" t="e">
        <f>'[4]#REF'!I2493</f>
        <v>#REF!</v>
      </c>
      <c r="I2493" s="32" t="e">
        <f t="shared" si="69"/>
        <v>#REF!</v>
      </c>
    </row>
    <row r="2494" ht="15.75" spans="6:9">
      <c r="F2494" s="12" t="e">
        <f>'[4]#REF'!F2494</f>
        <v>#REF!</v>
      </c>
      <c r="G2494" s="12" t="e">
        <f>'[4]#REF'!G2494</f>
        <v>#REF!</v>
      </c>
      <c r="H2494" s="31" t="e">
        <f>'[4]#REF'!I2494</f>
        <v>#REF!</v>
      </c>
      <c r="I2494" s="32" t="e">
        <f t="shared" si="69"/>
        <v>#REF!</v>
      </c>
    </row>
    <row r="2495" ht="15.75" spans="6:9">
      <c r="F2495" s="12" t="e">
        <f>'[4]#REF'!F2495</f>
        <v>#REF!</v>
      </c>
      <c r="G2495" s="12" t="e">
        <f>'[4]#REF'!G2495</f>
        <v>#REF!</v>
      </c>
      <c r="H2495" s="31" t="e">
        <f>'[4]#REF'!I2495</f>
        <v>#REF!</v>
      </c>
      <c r="I2495" s="32" t="e">
        <f t="shared" si="69"/>
        <v>#REF!</v>
      </c>
    </row>
    <row r="2496" ht="15.75" spans="6:9">
      <c r="F2496" s="12" t="e">
        <f>'[4]#REF'!F2496</f>
        <v>#REF!</v>
      </c>
      <c r="G2496" s="12" t="e">
        <f>'[4]#REF'!G2496</f>
        <v>#REF!</v>
      </c>
      <c r="H2496" s="31" t="e">
        <f>'[4]#REF'!I2496</f>
        <v>#REF!</v>
      </c>
      <c r="I2496" s="32" t="e">
        <f t="shared" si="69"/>
        <v>#REF!</v>
      </c>
    </row>
    <row r="2497" ht="15.75" spans="6:9">
      <c r="F2497" s="12" t="e">
        <f>'[4]#REF'!F2497</f>
        <v>#REF!</v>
      </c>
      <c r="G2497" s="12" t="e">
        <f>'[4]#REF'!G2497</f>
        <v>#REF!</v>
      </c>
      <c r="H2497" s="31" t="e">
        <f>'[4]#REF'!I2497</f>
        <v>#REF!</v>
      </c>
      <c r="I2497" s="32" t="e">
        <f t="shared" si="69"/>
        <v>#REF!</v>
      </c>
    </row>
    <row r="2498" ht="15.75" spans="6:9">
      <c r="F2498" s="12" t="e">
        <f>'[4]#REF'!F2498</f>
        <v>#REF!</v>
      </c>
      <c r="G2498" s="12" t="e">
        <f>'[4]#REF'!G2498</f>
        <v>#REF!</v>
      </c>
      <c r="H2498" s="31" t="e">
        <f>'[4]#REF'!I2498</f>
        <v>#REF!</v>
      </c>
      <c r="I2498" s="32" t="e">
        <f t="shared" si="69"/>
        <v>#REF!</v>
      </c>
    </row>
    <row r="2499" ht="15.75" spans="6:9">
      <c r="F2499" s="12" t="e">
        <f>'[4]#REF'!F2499</f>
        <v>#REF!</v>
      </c>
      <c r="G2499" s="12" t="e">
        <f>'[4]#REF'!G2499</f>
        <v>#REF!</v>
      </c>
      <c r="H2499" s="31" t="e">
        <f>'[4]#REF'!I2499</f>
        <v>#REF!</v>
      </c>
      <c r="I2499" s="32" t="e">
        <f t="shared" si="69"/>
        <v>#REF!</v>
      </c>
    </row>
    <row r="2500" ht="15.75" spans="6:9">
      <c r="F2500" s="12" t="e">
        <f>'[4]#REF'!F2500</f>
        <v>#REF!</v>
      </c>
      <c r="G2500" s="12" t="e">
        <f>'[4]#REF'!G2500</f>
        <v>#REF!</v>
      </c>
      <c r="H2500" s="31" t="e">
        <f>'[4]#REF'!I2500</f>
        <v>#REF!</v>
      </c>
      <c r="I2500" s="32" t="e">
        <f t="shared" si="69"/>
        <v>#REF!</v>
      </c>
    </row>
    <row r="2501" ht="15.75" spans="6:9">
      <c r="F2501" s="12" t="e">
        <f>'[4]#REF'!F2501</f>
        <v>#REF!</v>
      </c>
      <c r="G2501" s="12" t="e">
        <f>'[4]#REF'!G2501</f>
        <v>#REF!</v>
      </c>
      <c r="H2501" s="31" t="e">
        <f>'[4]#REF'!I2501</f>
        <v>#REF!</v>
      </c>
      <c r="I2501" s="32" t="e">
        <f t="shared" si="69"/>
        <v>#REF!</v>
      </c>
    </row>
    <row r="2502" ht="15.75" spans="6:9">
      <c r="F2502" s="12" t="e">
        <f>'[4]#REF'!F2502</f>
        <v>#REF!</v>
      </c>
      <c r="G2502" s="12" t="e">
        <f>'[4]#REF'!G2502</f>
        <v>#REF!</v>
      </c>
      <c r="H2502" s="31" t="e">
        <f>'[4]#REF'!I2502</f>
        <v>#REF!</v>
      </c>
      <c r="I2502" s="32" t="e">
        <f t="shared" ref="I2502:I2565" si="70">ROUND(H2502/$I$4*100,2)</f>
        <v>#REF!</v>
      </c>
    </row>
    <row r="2503" ht="15.75" spans="6:9">
      <c r="F2503" s="12" t="e">
        <f>'[4]#REF'!F2503</f>
        <v>#REF!</v>
      </c>
      <c r="G2503" s="12" t="e">
        <f>'[4]#REF'!G2503</f>
        <v>#REF!</v>
      </c>
      <c r="H2503" s="31" t="e">
        <f>'[4]#REF'!I2503</f>
        <v>#REF!</v>
      </c>
      <c r="I2503" s="32" t="e">
        <f t="shared" si="70"/>
        <v>#REF!</v>
      </c>
    </row>
    <row r="2504" ht="15.75" spans="6:9">
      <c r="F2504" s="12" t="e">
        <f>'[4]#REF'!F2504</f>
        <v>#REF!</v>
      </c>
      <c r="G2504" s="12" t="e">
        <f>'[4]#REF'!G2504</f>
        <v>#REF!</v>
      </c>
      <c r="H2504" s="31" t="e">
        <f>'[4]#REF'!I2504</f>
        <v>#REF!</v>
      </c>
      <c r="I2504" s="32" t="e">
        <f t="shared" si="70"/>
        <v>#REF!</v>
      </c>
    </row>
    <row r="2505" ht="15.75" spans="6:9">
      <c r="F2505" s="12" t="e">
        <f>'[4]#REF'!F2505</f>
        <v>#REF!</v>
      </c>
      <c r="G2505" s="12" t="e">
        <f>'[4]#REF'!G2505</f>
        <v>#REF!</v>
      </c>
      <c r="H2505" s="31" t="e">
        <f>'[4]#REF'!I2505</f>
        <v>#REF!</v>
      </c>
      <c r="I2505" s="32" t="e">
        <f t="shared" si="70"/>
        <v>#REF!</v>
      </c>
    </row>
    <row r="2506" ht="15.75" spans="6:9">
      <c r="F2506" s="12" t="e">
        <f>'[4]#REF'!F2506</f>
        <v>#REF!</v>
      </c>
      <c r="G2506" s="12" t="e">
        <f>'[4]#REF'!G2506</f>
        <v>#REF!</v>
      </c>
      <c r="H2506" s="31" t="e">
        <f>'[4]#REF'!I2506</f>
        <v>#REF!</v>
      </c>
      <c r="I2506" s="32" t="e">
        <f t="shared" si="70"/>
        <v>#REF!</v>
      </c>
    </row>
    <row r="2507" ht="15.75" spans="6:9">
      <c r="F2507" s="12" t="e">
        <f>'[4]#REF'!F2507</f>
        <v>#REF!</v>
      </c>
      <c r="G2507" s="12" t="e">
        <f>'[4]#REF'!G2507</f>
        <v>#REF!</v>
      </c>
      <c r="H2507" s="31" t="e">
        <f>'[4]#REF'!I2507</f>
        <v>#REF!</v>
      </c>
      <c r="I2507" s="32" t="e">
        <f t="shared" si="70"/>
        <v>#REF!</v>
      </c>
    </row>
    <row r="2508" ht="15.75" spans="6:9">
      <c r="F2508" s="12" t="e">
        <f>'[4]#REF'!F2508</f>
        <v>#REF!</v>
      </c>
      <c r="G2508" s="12" t="e">
        <f>'[4]#REF'!G2508</f>
        <v>#REF!</v>
      </c>
      <c r="H2508" s="31" t="e">
        <f>'[4]#REF'!I2508</f>
        <v>#REF!</v>
      </c>
      <c r="I2508" s="32" t="e">
        <f t="shared" si="70"/>
        <v>#REF!</v>
      </c>
    </row>
    <row r="2509" ht="15.75" spans="6:9">
      <c r="F2509" s="12" t="e">
        <f>'[4]#REF'!F2509</f>
        <v>#REF!</v>
      </c>
      <c r="G2509" s="12" t="e">
        <f>'[4]#REF'!G2509</f>
        <v>#REF!</v>
      </c>
      <c r="H2509" s="31" t="e">
        <f>'[4]#REF'!I2509</f>
        <v>#REF!</v>
      </c>
      <c r="I2509" s="32" t="e">
        <f t="shared" si="70"/>
        <v>#REF!</v>
      </c>
    </row>
    <row r="2510" ht="15.75" spans="6:9">
      <c r="F2510" s="12" t="e">
        <f>'[4]#REF'!F2510</f>
        <v>#REF!</v>
      </c>
      <c r="G2510" s="12" t="e">
        <f>'[4]#REF'!G2510</f>
        <v>#REF!</v>
      </c>
      <c r="H2510" s="31" t="e">
        <f>'[4]#REF'!I2510</f>
        <v>#REF!</v>
      </c>
      <c r="I2510" s="32" t="e">
        <f t="shared" si="70"/>
        <v>#REF!</v>
      </c>
    </row>
    <row r="2511" ht="15.75" spans="6:9">
      <c r="F2511" s="12" t="e">
        <f>'[4]#REF'!F2511</f>
        <v>#REF!</v>
      </c>
      <c r="G2511" s="12" t="e">
        <f>'[4]#REF'!G2511</f>
        <v>#REF!</v>
      </c>
      <c r="H2511" s="31" t="e">
        <f>'[4]#REF'!I2511</f>
        <v>#REF!</v>
      </c>
      <c r="I2511" s="32" t="e">
        <f t="shared" si="70"/>
        <v>#REF!</v>
      </c>
    </row>
    <row r="2512" ht="15.75" spans="6:9">
      <c r="F2512" s="12" t="e">
        <f>'[4]#REF'!F2512</f>
        <v>#REF!</v>
      </c>
      <c r="G2512" s="12" t="e">
        <f>'[4]#REF'!G2512</f>
        <v>#REF!</v>
      </c>
      <c r="H2512" s="31" t="e">
        <f>'[4]#REF'!I2512</f>
        <v>#REF!</v>
      </c>
      <c r="I2512" s="32" t="e">
        <f t="shared" si="70"/>
        <v>#REF!</v>
      </c>
    </row>
    <row r="2513" ht="15.75" spans="6:9">
      <c r="F2513" s="12" t="e">
        <f>'[4]#REF'!F2513</f>
        <v>#REF!</v>
      </c>
      <c r="G2513" s="12" t="e">
        <f>'[4]#REF'!G2513</f>
        <v>#REF!</v>
      </c>
      <c r="H2513" s="31" t="e">
        <f>'[4]#REF'!I2513</f>
        <v>#REF!</v>
      </c>
      <c r="I2513" s="32" t="e">
        <f t="shared" si="70"/>
        <v>#REF!</v>
      </c>
    </row>
    <row r="2514" ht="15.75" spans="6:9">
      <c r="F2514" s="12" t="e">
        <f>'[4]#REF'!F2514</f>
        <v>#REF!</v>
      </c>
      <c r="G2514" s="12" t="e">
        <f>'[4]#REF'!G2514</f>
        <v>#REF!</v>
      </c>
      <c r="H2514" s="31" t="e">
        <f>'[4]#REF'!I2514</f>
        <v>#REF!</v>
      </c>
      <c r="I2514" s="32" t="e">
        <f t="shared" si="70"/>
        <v>#REF!</v>
      </c>
    </row>
    <row r="2515" ht="15.75" spans="6:9">
      <c r="F2515" s="12" t="e">
        <f>'[4]#REF'!F2515</f>
        <v>#REF!</v>
      </c>
      <c r="G2515" s="12" t="e">
        <f>'[4]#REF'!G2515</f>
        <v>#REF!</v>
      </c>
      <c r="H2515" s="31" t="e">
        <f>'[4]#REF'!I2515</f>
        <v>#REF!</v>
      </c>
      <c r="I2515" s="32" t="e">
        <f t="shared" si="70"/>
        <v>#REF!</v>
      </c>
    </row>
    <row r="2516" ht="15.75" spans="6:9">
      <c r="F2516" s="12" t="e">
        <f>'[4]#REF'!F2516</f>
        <v>#REF!</v>
      </c>
      <c r="G2516" s="12" t="e">
        <f>'[4]#REF'!G2516</f>
        <v>#REF!</v>
      </c>
      <c r="H2516" s="31" t="e">
        <f>'[4]#REF'!I2516</f>
        <v>#REF!</v>
      </c>
      <c r="I2516" s="32" t="e">
        <f t="shared" si="70"/>
        <v>#REF!</v>
      </c>
    </row>
    <row r="2517" ht="15.75" spans="6:9">
      <c r="F2517" s="12" t="e">
        <f>'[4]#REF'!F2517</f>
        <v>#REF!</v>
      </c>
      <c r="G2517" s="12" t="e">
        <f>'[4]#REF'!G2517</f>
        <v>#REF!</v>
      </c>
      <c r="H2517" s="31" t="e">
        <f>'[4]#REF'!I2517</f>
        <v>#REF!</v>
      </c>
      <c r="I2517" s="32" t="e">
        <f t="shared" si="70"/>
        <v>#REF!</v>
      </c>
    </row>
    <row r="2518" ht="15.75" spans="6:9">
      <c r="F2518" s="12" t="e">
        <f>'[4]#REF'!F2518</f>
        <v>#REF!</v>
      </c>
      <c r="G2518" s="12" t="e">
        <f>'[4]#REF'!G2518</f>
        <v>#REF!</v>
      </c>
      <c r="H2518" s="31" t="e">
        <f>'[4]#REF'!I2518</f>
        <v>#REF!</v>
      </c>
      <c r="I2518" s="32" t="e">
        <f t="shared" si="70"/>
        <v>#REF!</v>
      </c>
    </row>
    <row r="2519" ht="15.75" spans="6:9">
      <c r="F2519" s="12" t="e">
        <f>'[4]#REF'!F2519</f>
        <v>#REF!</v>
      </c>
      <c r="G2519" s="12" t="e">
        <f>'[4]#REF'!G2519</f>
        <v>#REF!</v>
      </c>
      <c r="H2519" s="31" t="e">
        <f>'[4]#REF'!I2519</f>
        <v>#REF!</v>
      </c>
      <c r="I2519" s="32" t="e">
        <f t="shared" si="70"/>
        <v>#REF!</v>
      </c>
    </row>
    <row r="2520" ht="15.75" spans="6:9">
      <c r="F2520" s="12" t="e">
        <f>'[4]#REF'!F2520</f>
        <v>#REF!</v>
      </c>
      <c r="G2520" s="12" t="e">
        <f>'[4]#REF'!G2520</f>
        <v>#REF!</v>
      </c>
      <c r="H2520" s="31" t="e">
        <f>'[4]#REF'!I2520</f>
        <v>#REF!</v>
      </c>
      <c r="I2520" s="32" t="e">
        <f t="shared" si="70"/>
        <v>#REF!</v>
      </c>
    </row>
    <row r="2521" ht="15.75" spans="6:9">
      <c r="F2521" s="12" t="e">
        <f>'[4]#REF'!F2521</f>
        <v>#REF!</v>
      </c>
      <c r="G2521" s="12" t="e">
        <f>'[4]#REF'!G2521</f>
        <v>#REF!</v>
      </c>
      <c r="H2521" s="31" t="e">
        <f>'[4]#REF'!I2521</f>
        <v>#REF!</v>
      </c>
      <c r="I2521" s="32" t="e">
        <f t="shared" si="70"/>
        <v>#REF!</v>
      </c>
    </row>
    <row r="2522" ht="15.75" spans="6:9">
      <c r="F2522" s="12" t="e">
        <f>'[4]#REF'!F2522</f>
        <v>#REF!</v>
      </c>
      <c r="G2522" s="12" t="e">
        <f>'[4]#REF'!G2522</f>
        <v>#REF!</v>
      </c>
      <c r="H2522" s="31" t="e">
        <f>'[4]#REF'!I2522</f>
        <v>#REF!</v>
      </c>
      <c r="I2522" s="32" t="e">
        <f t="shared" si="70"/>
        <v>#REF!</v>
      </c>
    </row>
    <row r="2523" ht="15.75" spans="6:9">
      <c r="F2523" s="12" t="e">
        <f>'[4]#REF'!F2523</f>
        <v>#REF!</v>
      </c>
      <c r="G2523" s="12" t="e">
        <f>'[4]#REF'!G2523</f>
        <v>#REF!</v>
      </c>
      <c r="H2523" s="31" t="e">
        <f>'[4]#REF'!I2523</f>
        <v>#REF!</v>
      </c>
      <c r="I2523" s="32" t="e">
        <f t="shared" si="70"/>
        <v>#REF!</v>
      </c>
    </row>
    <row r="2524" ht="15.75" spans="6:9">
      <c r="F2524" s="12" t="e">
        <f>'[4]#REF'!F2524</f>
        <v>#REF!</v>
      </c>
      <c r="G2524" s="12" t="e">
        <f>'[4]#REF'!G2524</f>
        <v>#REF!</v>
      </c>
      <c r="H2524" s="31" t="e">
        <f>'[4]#REF'!I2524</f>
        <v>#REF!</v>
      </c>
      <c r="I2524" s="32" t="e">
        <f t="shared" si="70"/>
        <v>#REF!</v>
      </c>
    </row>
    <row r="2525" ht="15.75" spans="6:9">
      <c r="F2525" s="12" t="e">
        <f>'[4]#REF'!F2525</f>
        <v>#REF!</v>
      </c>
      <c r="G2525" s="12" t="e">
        <f>'[4]#REF'!G2525</f>
        <v>#REF!</v>
      </c>
      <c r="H2525" s="31" t="e">
        <f>'[4]#REF'!I2525</f>
        <v>#REF!</v>
      </c>
      <c r="I2525" s="32" t="e">
        <f t="shared" si="70"/>
        <v>#REF!</v>
      </c>
    </row>
    <row r="2526" ht="15.75" spans="6:9">
      <c r="F2526" s="12" t="e">
        <f>'[4]#REF'!F2526</f>
        <v>#REF!</v>
      </c>
      <c r="G2526" s="12" t="e">
        <f>'[4]#REF'!G2526</f>
        <v>#REF!</v>
      </c>
      <c r="H2526" s="31" t="e">
        <f>'[4]#REF'!I2526</f>
        <v>#REF!</v>
      </c>
      <c r="I2526" s="32" t="e">
        <f t="shared" si="70"/>
        <v>#REF!</v>
      </c>
    </row>
    <row r="2527" ht="15.75" spans="6:9">
      <c r="F2527" s="12" t="e">
        <f>'[4]#REF'!F2527</f>
        <v>#REF!</v>
      </c>
      <c r="G2527" s="12" t="e">
        <f>'[4]#REF'!G2527</f>
        <v>#REF!</v>
      </c>
      <c r="H2527" s="31" t="e">
        <f>'[4]#REF'!I2527</f>
        <v>#REF!</v>
      </c>
      <c r="I2527" s="32" t="e">
        <f t="shared" si="70"/>
        <v>#REF!</v>
      </c>
    </row>
    <row r="2528" ht="15.75" spans="6:9">
      <c r="F2528" s="12" t="e">
        <f>'[4]#REF'!F2528</f>
        <v>#REF!</v>
      </c>
      <c r="G2528" s="12" t="e">
        <f>'[4]#REF'!G2528</f>
        <v>#REF!</v>
      </c>
      <c r="H2528" s="31" t="e">
        <f>'[4]#REF'!I2528</f>
        <v>#REF!</v>
      </c>
      <c r="I2528" s="32" t="e">
        <f t="shared" si="70"/>
        <v>#REF!</v>
      </c>
    </row>
    <row r="2529" ht="15.75" spans="6:9">
      <c r="F2529" s="12" t="e">
        <f>'[4]#REF'!F2529</f>
        <v>#REF!</v>
      </c>
      <c r="G2529" s="12" t="e">
        <f>'[4]#REF'!G2529</f>
        <v>#REF!</v>
      </c>
      <c r="H2529" s="31" t="e">
        <f>'[4]#REF'!I2529</f>
        <v>#REF!</v>
      </c>
      <c r="I2529" s="32" t="e">
        <f t="shared" si="70"/>
        <v>#REF!</v>
      </c>
    </row>
    <row r="2530" ht="15.75" spans="6:9">
      <c r="F2530" s="12" t="e">
        <f>'[4]#REF'!F2530</f>
        <v>#REF!</v>
      </c>
      <c r="G2530" s="12" t="e">
        <f>'[4]#REF'!G2530</f>
        <v>#REF!</v>
      </c>
      <c r="H2530" s="31" t="e">
        <f>'[4]#REF'!I2530</f>
        <v>#REF!</v>
      </c>
      <c r="I2530" s="32" t="e">
        <f t="shared" si="70"/>
        <v>#REF!</v>
      </c>
    </row>
    <row r="2531" ht="15.75" spans="6:9">
      <c r="F2531" s="12" t="e">
        <f>'[4]#REF'!F2531</f>
        <v>#REF!</v>
      </c>
      <c r="G2531" s="12" t="e">
        <f>'[4]#REF'!G2531</f>
        <v>#REF!</v>
      </c>
      <c r="H2531" s="31" t="e">
        <f>'[4]#REF'!I2531</f>
        <v>#REF!</v>
      </c>
      <c r="I2531" s="32" t="e">
        <f t="shared" si="70"/>
        <v>#REF!</v>
      </c>
    </row>
    <row r="2532" ht="15.75" spans="6:9">
      <c r="F2532" s="12" t="e">
        <f>'[4]#REF'!F2532</f>
        <v>#REF!</v>
      </c>
      <c r="G2532" s="12" t="e">
        <f>'[4]#REF'!G2532</f>
        <v>#REF!</v>
      </c>
      <c r="H2532" s="31" t="e">
        <f>'[4]#REF'!I2532</f>
        <v>#REF!</v>
      </c>
      <c r="I2532" s="32" t="e">
        <f t="shared" si="70"/>
        <v>#REF!</v>
      </c>
    </row>
    <row r="2533" ht="15.75" spans="6:9">
      <c r="F2533" s="12" t="e">
        <f>'[4]#REF'!F2533</f>
        <v>#REF!</v>
      </c>
      <c r="G2533" s="12" t="e">
        <f>'[4]#REF'!G2533</f>
        <v>#REF!</v>
      </c>
      <c r="H2533" s="31" t="e">
        <f>'[4]#REF'!I2533</f>
        <v>#REF!</v>
      </c>
      <c r="I2533" s="32" t="e">
        <f t="shared" si="70"/>
        <v>#REF!</v>
      </c>
    </row>
    <row r="2534" ht="15.75" spans="6:9">
      <c r="F2534" s="12" t="e">
        <f>'[4]#REF'!F2534</f>
        <v>#REF!</v>
      </c>
      <c r="G2534" s="12" t="e">
        <f>'[4]#REF'!G2534</f>
        <v>#REF!</v>
      </c>
      <c r="H2534" s="31" t="e">
        <f>'[4]#REF'!I2534</f>
        <v>#REF!</v>
      </c>
      <c r="I2534" s="32" t="e">
        <f t="shared" si="70"/>
        <v>#REF!</v>
      </c>
    </row>
    <row r="2535" ht="15.75" spans="6:9">
      <c r="F2535" s="12" t="e">
        <f>'[4]#REF'!F2535</f>
        <v>#REF!</v>
      </c>
      <c r="G2535" s="12" t="e">
        <f>'[4]#REF'!G2535</f>
        <v>#REF!</v>
      </c>
      <c r="H2535" s="31" t="e">
        <f>'[4]#REF'!I2535</f>
        <v>#REF!</v>
      </c>
      <c r="I2535" s="32" t="e">
        <f t="shared" si="70"/>
        <v>#REF!</v>
      </c>
    </row>
    <row r="2536" ht="15.75" spans="6:9">
      <c r="F2536" s="12" t="e">
        <f>'[4]#REF'!F2536</f>
        <v>#REF!</v>
      </c>
      <c r="G2536" s="12" t="e">
        <f>'[4]#REF'!G2536</f>
        <v>#REF!</v>
      </c>
      <c r="H2536" s="31" t="e">
        <f>'[4]#REF'!I2536</f>
        <v>#REF!</v>
      </c>
      <c r="I2536" s="32" t="e">
        <f t="shared" si="70"/>
        <v>#REF!</v>
      </c>
    </row>
    <row r="2537" ht="15.75" spans="6:9">
      <c r="F2537" s="12" t="e">
        <f>'[4]#REF'!F2537</f>
        <v>#REF!</v>
      </c>
      <c r="G2537" s="12" t="e">
        <f>'[4]#REF'!G2537</f>
        <v>#REF!</v>
      </c>
      <c r="H2537" s="31" t="e">
        <f>'[4]#REF'!I2537</f>
        <v>#REF!</v>
      </c>
      <c r="I2537" s="32" t="e">
        <f t="shared" si="70"/>
        <v>#REF!</v>
      </c>
    </row>
    <row r="2538" ht="15.75" spans="6:9">
      <c r="F2538" s="12" t="e">
        <f>'[4]#REF'!F2538</f>
        <v>#REF!</v>
      </c>
      <c r="G2538" s="12" t="e">
        <f>'[4]#REF'!G2538</f>
        <v>#REF!</v>
      </c>
      <c r="H2538" s="31" t="e">
        <f>'[4]#REF'!I2538</f>
        <v>#REF!</v>
      </c>
      <c r="I2538" s="32" t="e">
        <f t="shared" si="70"/>
        <v>#REF!</v>
      </c>
    </row>
    <row r="2539" ht="15.75" spans="6:9">
      <c r="F2539" s="12" t="e">
        <f>'[4]#REF'!F2539</f>
        <v>#REF!</v>
      </c>
      <c r="G2539" s="12" t="e">
        <f>'[4]#REF'!G2539</f>
        <v>#REF!</v>
      </c>
      <c r="H2539" s="31" t="e">
        <f>'[4]#REF'!I2539</f>
        <v>#REF!</v>
      </c>
      <c r="I2539" s="32" t="e">
        <f t="shared" si="70"/>
        <v>#REF!</v>
      </c>
    </row>
    <row r="2540" ht="15.75" spans="6:9">
      <c r="F2540" s="12" t="e">
        <f>'[4]#REF'!F2540</f>
        <v>#REF!</v>
      </c>
      <c r="G2540" s="12" t="e">
        <f>'[4]#REF'!G2540</f>
        <v>#REF!</v>
      </c>
      <c r="H2540" s="31" t="e">
        <f>'[4]#REF'!I2540</f>
        <v>#REF!</v>
      </c>
      <c r="I2540" s="32" t="e">
        <f t="shared" si="70"/>
        <v>#REF!</v>
      </c>
    </row>
    <row r="2541" ht="15.75" spans="6:9">
      <c r="F2541" s="12" t="e">
        <f>'[4]#REF'!F2541</f>
        <v>#REF!</v>
      </c>
      <c r="G2541" s="12" t="e">
        <f>'[4]#REF'!G2541</f>
        <v>#REF!</v>
      </c>
      <c r="H2541" s="31" t="e">
        <f>'[4]#REF'!I2541</f>
        <v>#REF!</v>
      </c>
      <c r="I2541" s="32" t="e">
        <f t="shared" si="70"/>
        <v>#REF!</v>
      </c>
    </row>
    <row r="2542" ht="15.75" spans="6:9">
      <c r="F2542" s="12" t="e">
        <f>'[4]#REF'!F2542</f>
        <v>#REF!</v>
      </c>
      <c r="G2542" s="12" t="e">
        <f>'[4]#REF'!G2542</f>
        <v>#REF!</v>
      </c>
      <c r="H2542" s="31" t="e">
        <f>'[4]#REF'!I2542</f>
        <v>#REF!</v>
      </c>
      <c r="I2542" s="32" t="e">
        <f t="shared" si="70"/>
        <v>#REF!</v>
      </c>
    </row>
    <row r="2543" ht="15.75" spans="6:9">
      <c r="F2543" s="12" t="e">
        <f>'[4]#REF'!F2543</f>
        <v>#REF!</v>
      </c>
      <c r="G2543" s="12" t="e">
        <f>'[4]#REF'!G2543</f>
        <v>#REF!</v>
      </c>
      <c r="H2543" s="31" t="e">
        <f>'[4]#REF'!I2543</f>
        <v>#REF!</v>
      </c>
      <c r="I2543" s="32" t="e">
        <f t="shared" si="70"/>
        <v>#REF!</v>
      </c>
    </row>
    <row r="2544" ht="15.75" spans="6:9">
      <c r="F2544" s="12" t="e">
        <f>'[4]#REF'!F2544</f>
        <v>#REF!</v>
      </c>
      <c r="G2544" s="12" t="e">
        <f>'[4]#REF'!G2544</f>
        <v>#REF!</v>
      </c>
      <c r="H2544" s="31" t="e">
        <f>'[4]#REF'!I2544</f>
        <v>#REF!</v>
      </c>
      <c r="I2544" s="32" t="e">
        <f t="shared" si="70"/>
        <v>#REF!</v>
      </c>
    </row>
    <row r="2545" ht="15.75" spans="6:9">
      <c r="F2545" s="12" t="e">
        <f>'[4]#REF'!F2545</f>
        <v>#REF!</v>
      </c>
      <c r="G2545" s="12" t="e">
        <f>'[4]#REF'!G2545</f>
        <v>#REF!</v>
      </c>
      <c r="H2545" s="31" t="e">
        <f>'[4]#REF'!I2545</f>
        <v>#REF!</v>
      </c>
      <c r="I2545" s="32" t="e">
        <f t="shared" si="70"/>
        <v>#REF!</v>
      </c>
    </row>
    <row r="2546" ht="15.75" spans="6:9">
      <c r="F2546" s="12" t="e">
        <f>'[4]#REF'!F2546</f>
        <v>#REF!</v>
      </c>
      <c r="G2546" s="12" t="e">
        <f>'[4]#REF'!G2546</f>
        <v>#REF!</v>
      </c>
      <c r="H2546" s="31" t="e">
        <f>'[4]#REF'!I2546</f>
        <v>#REF!</v>
      </c>
      <c r="I2546" s="32" t="e">
        <f t="shared" si="70"/>
        <v>#REF!</v>
      </c>
    </row>
    <row r="2547" ht="15.75" spans="6:9">
      <c r="F2547" s="12" t="e">
        <f>'[4]#REF'!F2547</f>
        <v>#REF!</v>
      </c>
      <c r="G2547" s="12" t="e">
        <f>'[4]#REF'!G2547</f>
        <v>#REF!</v>
      </c>
      <c r="H2547" s="31" t="e">
        <f>'[4]#REF'!I2547</f>
        <v>#REF!</v>
      </c>
      <c r="I2547" s="32" t="e">
        <f t="shared" si="70"/>
        <v>#REF!</v>
      </c>
    </row>
    <row r="2548" ht="15.75" spans="6:9">
      <c r="F2548" s="12" t="e">
        <f>'[4]#REF'!F2548</f>
        <v>#REF!</v>
      </c>
      <c r="G2548" s="12" t="e">
        <f>'[4]#REF'!G2548</f>
        <v>#REF!</v>
      </c>
      <c r="H2548" s="31" t="e">
        <f>'[4]#REF'!I2548</f>
        <v>#REF!</v>
      </c>
      <c r="I2548" s="32" t="e">
        <f t="shared" si="70"/>
        <v>#REF!</v>
      </c>
    </row>
    <row r="2549" ht="15.75" spans="6:9">
      <c r="F2549" s="12" t="e">
        <f>'[4]#REF'!F2549</f>
        <v>#REF!</v>
      </c>
      <c r="G2549" s="12" t="e">
        <f>'[4]#REF'!G2549</f>
        <v>#REF!</v>
      </c>
      <c r="H2549" s="31" t="e">
        <f>'[4]#REF'!I2549</f>
        <v>#REF!</v>
      </c>
      <c r="I2549" s="32" t="e">
        <f t="shared" si="70"/>
        <v>#REF!</v>
      </c>
    </row>
    <row r="2550" ht="15.75" spans="6:9">
      <c r="F2550" s="12" t="e">
        <f>'[4]#REF'!F2550</f>
        <v>#REF!</v>
      </c>
      <c r="G2550" s="12" t="e">
        <f>'[4]#REF'!G2550</f>
        <v>#REF!</v>
      </c>
      <c r="H2550" s="31" t="e">
        <f>'[4]#REF'!I2550</f>
        <v>#REF!</v>
      </c>
      <c r="I2550" s="32" t="e">
        <f t="shared" si="70"/>
        <v>#REF!</v>
      </c>
    </row>
    <row r="2551" ht="15.75" spans="6:9">
      <c r="F2551" s="12" t="e">
        <f>'[4]#REF'!F2551</f>
        <v>#REF!</v>
      </c>
      <c r="G2551" s="12" t="e">
        <f>'[4]#REF'!G2551</f>
        <v>#REF!</v>
      </c>
      <c r="H2551" s="31" t="e">
        <f>'[4]#REF'!I2551</f>
        <v>#REF!</v>
      </c>
      <c r="I2551" s="32" t="e">
        <f t="shared" si="70"/>
        <v>#REF!</v>
      </c>
    </row>
    <row r="2552" ht="15.75" spans="6:9">
      <c r="F2552" s="12" t="e">
        <f>'[4]#REF'!F2552</f>
        <v>#REF!</v>
      </c>
      <c r="G2552" s="12" t="e">
        <f>'[4]#REF'!G2552</f>
        <v>#REF!</v>
      </c>
      <c r="H2552" s="31" t="e">
        <f>'[4]#REF'!I2552</f>
        <v>#REF!</v>
      </c>
      <c r="I2552" s="32" t="e">
        <f t="shared" si="70"/>
        <v>#REF!</v>
      </c>
    </row>
    <row r="2553" ht="15.75" spans="6:9">
      <c r="F2553" s="12" t="e">
        <f>'[4]#REF'!F2553</f>
        <v>#REF!</v>
      </c>
      <c r="G2553" s="12" t="e">
        <f>'[4]#REF'!G2553</f>
        <v>#REF!</v>
      </c>
      <c r="H2553" s="31" t="e">
        <f>'[4]#REF'!I2553</f>
        <v>#REF!</v>
      </c>
      <c r="I2553" s="32" t="e">
        <f t="shared" si="70"/>
        <v>#REF!</v>
      </c>
    </row>
    <row r="2554" ht="15.75" spans="6:9">
      <c r="F2554" s="12" t="e">
        <f>'[4]#REF'!F2554</f>
        <v>#REF!</v>
      </c>
      <c r="G2554" s="12" t="e">
        <f>'[4]#REF'!G2554</f>
        <v>#REF!</v>
      </c>
      <c r="H2554" s="31" t="e">
        <f>'[4]#REF'!I2554</f>
        <v>#REF!</v>
      </c>
      <c r="I2554" s="32" t="e">
        <f t="shared" si="70"/>
        <v>#REF!</v>
      </c>
    </row>
    <row r="2555" ht="15.75" spans="6:9">
      <c r="F2555" s="12" t="e">
        <f>'[4]#REF'!F2555</f>
        <v>#REF!</v>
      </c>
      <c r="G2555" s="12" t="e">
        <f>'[4]#REF'!G2555</f>
        <v>#REF!</v>
      </c>
      <c r="H2555" s="31" t="e">
        <f>'[4]#REF'!I2555</f>
        <v>#REF!</v>
      </c>
      <c r="I2555" s="32" t="e">
        <f t="shared" si="70"/>
        <v>#REF!</v>
      </c>
    </row>
    <row r="2556" ht="15.75" spans="6:9">
      <c r="F2556" s="12" t="e">
        <f>'[4]#REF'!F2556</f>
        <v>#REF!</v>
      </c>
      <c r="G2556" s="12" t="e">
        <f>'[4]#REF'!G2556</f>
        <v>#REF!</v>
      </c>
      <c r="H2556" s="31" t="e">
        <f>'[4]#REF'!I2556</f>
        <v>#REF!</v>
      </c>
      <c r="I2556" s="32" t="e">
        <f t="shared" si="70"/>
        <v>#REF!</v>
      </c>
    </row>
    <row r="2557" ht="15.75" spans="6:9">
      <c r="F2557" s="12" t="e">
        <f>'[4]#REF'!F2557</f>
        <v>#REF!</v>
      </c>
      <c r="G2557" s="12" t="e">
        <f>'[4]#REF'!G2557</f>
        <v>#REF!</v>
      </c>
      <c r="H2557" s="31" t="e">
        <f>'[4]#REF'!I2557</f>
        <v>#REF!</v>
      </c>
      <c r="I2557" s="32" t="e">
        <f t="shared" si="70"/>
        <v>#REF!</v>
      </c>
    </row>
    <row r="2558" ht="15.75" spans="6:9">
      <c r="F2558" s="12" t="e">
        <f>'[4]#REF'!F2558</f>
        <v>#REF!</v>
      </c>
      <c r="G2558" s="12" t="e">
        <f>'[4]#REF'!G2558</f>
        <v>#REF!</v>
      </c>
      <c r="H2558" s="31" t="e">
        <f>'[4]#REF'!I2558</f>
        <v>#REF!</v>
      </c>
      <c r="I2558" s="32" t="e">
        <f t="shared" si="70"/>
        <v>#REF!</v>
      </c>
    </row>
    <row r="2559" ht="15.75" spans="6:9">
      <c r="F2559" s="12" t="e">
        <f>'[4]#REF'!F2559</f>
        <v>#REF!</v>
      </c>
      <c r="G2559" s="12" t="e">
        <f>'[4]#REF'!G2559</f>
        <v>#REF!</v>
      </c>
      <c r="H2559" s="31" t="e">
        <f>'[4]#REF'!I2559</f>
        <v>#REF!</v>
      </c>
      <c r="I2559" s="32" t="e">
        <f t="shared" si="70"/>
        <v>#REF!</v>
      </c>
    </row>
    <row r="2560" ht="15.75" spans="6:9">
      <c r="F2560" s="12" t="e">
        <f>'[4]#REF'!F2560</f>
        <v>#REF!</v>
      </c>
      <c r="G2560" s="12" t="e">
        <f>'[4]#REF'!G2560</f>
        <v>#REF!</v>
      </c>
      <c r="H2560" s="31" t="e">
        <f>'[4]#REF'!I2560</f>
        <v>#REF!</v>
      </c>
      <c r="I2560" s="32" t="e">
        <f t="shared" si="70"/>
        <v>#REF!</v>
      </c>
    </row>
    <row r="2561" ht="15.75" spans="6:9">
      <c r="F2561" s="12" t="e">
        <f>'[4]#REF'!F2561</f>
        <v>#REF!</v>
      </c>
      <c r="G2561" s="12" t="e">
        <f>'[4]#REF'!G2561</f>
        <v>#REF!</v>
      </c>
      <c r="H2561" s="31" t="e">
        <f>'[4]#REF'!I2561</f>
        <v>#REF!</v>
      </c>
      <c r="I2561" s="32" t="e">
        <f t="shared" si="70"/>
        <v>#REF!</v>
      </c>
    </row>
    <row r="2562" ht="15.75" spans="6:9">
      <c r="F2562" s="12" t="e">
        <f>'[4]#REF'!F2562</f>
        <v>#REF!</v>
      </c>
      <c r="G2562" s="12" t="e">
        <f>'[4]#REF'!G2562</f>
        <v>#REF!</v>
      </c>
      <c r="H2562" s="31" t="e">
        <f>'[4]#REF'!I2562</f>
        <v>#REF!</v>
      </c>
      <c r="I2562" s="32" t="e">
        <f t="shared" si="70"/>
        <v>#REF!</v>
      </c>
    </row>
    <row r="2563" ht="15.75" spans="6:9">
      <c r="F2563" s="12" t="e">
        <f>'[4]#REF'!F2563</f>
        <v>#REF!</v>
      </c>
      <c r="G2563" s="12" t="e">
        <f>'[4]#REF'!G2563</f>
        <v>#REF!</v>
      </c>
      <c r="H2563" s="31" t="e">
        <f>'[4]#REF'!I2563</f>
        <v>#REF!</v>
      </c>
      <c r="I2563" s="32" t="e">
        <f t="shared" si="70"/>
        <v>#REF!</v>
      </c>
    </row>
    <row r="2564" ht="15.75" spans="6:9">
      <c r="F2564" s="12" t="e">
        <f>'[4]#REF'!F2564</f>
        <v>#REF!</v>
      </c>
      <c r="G2564" s="12" t="e">
        <f>'[4]#REF'!G2564</f>
        <v>#REF!</v>
      </c>
      <c r="H2564" s="31" t="e">
        <f>'[4]#REF'!I2564</f>
        <v>#REF!</v>
      </c>
      <c r="I2564" s="32" t="e">
        <f t="shared" si="70"/>
        <v>#REF!</v>
      </c>
    </row>
    <row r="2565" ht="15.75" spans="6:9">
      <c r="F2565" s="12" t="e">
        <f>'[4]#REF'!F2565</f>
        <v>#REF!</v>
      </c>
      <c r="G2565" s="12" t="e">
        <f>'[4]#REF'!G2565</f>
        <v>#REF!</v>
      </c>
      <c r="H2565" s="31" t="e">
        <f>'[4]#REF'!I2565</f>
        <v>#REF!</v>
      </c>
      <c r="I2565" s="32" t="e">
        <f t="shared" si="70"/>
        <v>#REF!</v>
      </c>
    </row>
    <row r="2566" ht="15.75" spans="6:9">
      <c r="F2566" s="12" t="e">
        <f>'[4]#REF'!F2566</f>
        <v>#REF!</v>
      </c>
      <c r="G2566" s="12" t="e">
        <f>'[4]#REF'!G2566</f>
        <v>#REF!</v>
      </c>
      <c r="H2566" s="31" t="e">
        <f>'[4]#REF'!I2566</f>
        <v>#REF!</v>
      </c>
      <c r="I2566" s="32" t="e">
        <f t="shared" ref="I2566:I2629" si="71">ROUND(H2566/$I$4*100,2)</f>
        <v>#REF!</v>
      </c>
    </row>
    <row r="2567" ht="15.75" spans="6:9">
      <c r="F2567" s="12" t="e">
        <f>'[4]#REF'!F2567</f>
        <v>#REF!</v>
      </c>
      <c r="G2567" s="12" t="e">
        <f>'[4]#REF'!G2567</f>
        <v>#REF!</v>
      </c>
      <c r="H2567" s="31" t="e">
        <f>'[4]#REF'!I2567</f>
        <v>#REF!</v>
      </c>
      <c r="I2567" s="32" t="e">
        <f t="shared" si="71"/>
        <v>#REF!</v>
      </c>
    </row>
    <row r="2568" ht="15.75" spans="6:9">
      <c r="F2568" s="12" t="e">
        <f>'[4]#REF'!F2568</f>
        <v>#REF!</v>
      </c>
      <c r="G2568" s="12" t="e">
        <f>'[4]#REF'!G2568</f>
        <v>#REF!</v>
      </c>
      <c r="H2568" s="31" t="e">
        <f>'[4]#REF'!I2568</f>
        <v>#REF!</v>
      </c>
      <c r="I2568" s="32" t="e">
        <f t="shared" si="71"/>
        <v>#REF!</v>
      </c>
    </row>
    <row r="2569" ht="15.75" spans="6:9">
      <c r="F2569" s="12" t="e">
        <f>'[4]#REF'!F2569</f>
        <v>#REF!</v>
      </c>
      <c r="G2569" s="12" t="e">
        <f>'[4]#REF'!G2569</f>
        <v>#REF!</v>
      </c>
      <c r="H2569" s="31" t="e">
        <f>'[4]#REF'!I2569</f>
        <v>#REF!</v>
      </c>
      <c r="I2569" s="32" t="e">
        <f t="shared" si="71"/>
        <v>#REF!</v>
      </c>
    </row>
    <row r="2570" ht="15.75" spans="6:9">
      <c r="F2570" s="12" t="e">
        <f>'[4]#REF'!F2570</f>
        <v>#REF!</v>
      </c>
      <c r="G2570" s="12" t="e">
        <f>'[4]#REF'!G2570</f>
        <v>#REF!</v>
      </c>
      <c r="H2570" s="31" t="e">
        <f>'[4]#REF'!I2570</f>
        <v>#REF!</v>
      </c>
      <c r="I2570" s="32" t="e">
        <f t="shared" si="71"/>
        <v>#REF!</v>
      </c>
    </row>
    <row r="2571" ht="15.75" spans="6:9">
      <c r="F2571" s="12" t="e">
        <f>'[4]#REF'!F2571</f>
        <v>#REF!</v>
      </c>
      <c r="G2571" s="12" t="e">
        <f>'[4]#REF'!G2571</f>
        <v>#REF!</v>
      </c>
      <c r="H2571" s="31" t="e">
        <f>'[4]#REF'!I2571</f>
        <v>#REF!</v>
      </c>
      <c r="I2571" s="32" t="e">
        <f t="shared" si="71"/>
        <v>#REF!</v>
      </c>
    </row>
    <row r="2572" ht="15.75" spans="6:9">
      <c r="F2572" s="12" t="e">
        <f>'[4]#REF'!F2572</f>
        <v>#REF!</v>
      </c>
      <c r="G2572" s="12" t="e">
        <f>'[4]#REF'!G2572</f>
        <v>#REF!</v>
      </c>
      <c r="H2572" s="31" t="e">
        <f>'[4]#REF'!I2572</f>
        <v>#REF!</v>
      </c>
      <c r="I2572" s="32" t="e">
        <f t="shared" si="71"/>
        <v>#REF!</v>
      </c>
    </row>
    <row r="2573" ht="15.75" spans="6:9">
      <c r="F2573" s="12" t="e">
        <f>'[4]#REF'!F2573</f>
        <v>#REF!</v>
      </c>
      <c r="G2573" s="12" t="e">
        <f>'[4]#REF'!G2573</f>
        <v>#REF!</v>
      </c>
      <c r="H2573" s="31" t="e">
        <f>'[4]#REF'!I2573</f>
        <v>#REF!</v>
      </c>
      <c r="I2573" s="32" t="e">
        <f t="shared" si="71"/>
        <v>#REF!</v>
      </c>
    </row>
    <row r="2574" ht="15.75" spans="6:9">
      <c r="F2574" s="12" t="e">
        <f>'[4]#REF'!F2574</f>
        <v>#REF!</v>
      </c>
      <c r="G2574" s="12" t="e">
        <f>'[4]#REF'!G2574</f>
        <v>#REF!</v>
      </c>
      <c r="H2574" s="31" t="e">
        <f>'[4]#REF'!I2574</f>
        <v>#REF!</v>
      </c>
      <c r="I2574" s="32" t="e">
        <f t="shared" si="71"/>
        <v>#REF!</v>
      </c>
    </row>
    <row r="2575" ht="15.75" spans="6:9">
      <c r="F2575" s="12" t="e">
        <f>'[4]#REF'!F2575</f>
        <v>#REF!</v>
      </c>
      <c r="G2575" s="12" t="e">
        <f>'[4]#REF'!G2575</f>
        <v>#REF!</v>
      </c>
      <c r="H2575" s="31" t="e">
        <f>'[4]#REF'!I2575</f>
        <v>#REF!</v>
      </c>
      <c r="I2575" s="32" t="e">
        <f t="shared" si="71"/>
        <v>#REF!</v>
      </c>
    </row>
    <row r="2576" ht="15.75" spans="6:9">
      <c r="F2576" s="12" t="e">
        <f>'[4]#REF'!F2576</f>
        <v>#REF!</v>
      </c>
      <c r="G2576" s="12" t="e">
        <f>'[4]#REF'!G2576</f>
        <v>#REF!</v>
      </c>
      <c r="H2576" s="31" t="e">
        <f>'[4]#REF'!I2576</f>
        <v>#REF!</v>
      </c>
      <c r="I2576" s="32" t="e">
        <f t="shared" si="71"/>
        <v>#REF!</v>
      </c>
    </row>
    <row r="2577" ht="15.75" spans="6:9">
      <c r="F2577" s="12" t="e">
        <f>'[4]#REF'!F2577</f>
        <v>#REF!</v>
      </c>
      <c r="G2577" s="12" t="e">
        <f>'[4]#REF'!G2577</f>
        <v>#REF!</v>
      </c>
      <c r="H2577" s="31" t="e">
        <f>'[4]#REF'!I2577</f>
        <v>#REF!</v>
      </c>
      <c r="I2577" s="32" t="e">
        <f t="shared" si="71"/>
        <v>#REF!</v>
      </c>
    </row>
    <row r="2578" ht="15.75" spans="6:9">
      <c r="F2578" s="12" t="e">
        <f>'[4]#REF'!F2578</f>
        <v>#REF!</v>
      </c>
      <c r="G2578" s="12" t="e">
        <f>'[4]#REF'!G2578</f>
        <v>#REF!</v>
      </c>
      <c r="H2578" s="31" t="e">
        <f>'[4]#REF'!I2578</f>
        <v>#REF!</v>
      </c>
      <c r="I2578" s="32" t="e">
        <f t="shared" si="71"/>
        <v>#REF!</v>
      </c>
    </row>
    <row r="2579" ht="15.75" spans="6:9">
      <c r="F2579" s="12" t="e">
        <f>'[4]#REF'!F2579</f>
        <v>#REF!</v>
      </c>
      <c r="G2579" s="12" t="e">
        <f>'[4]#REF'!G2579</f>
        <v>#REF!</v>
      </c>
      <c r="H2579" s="31" t="e">
        <f>'[4]#REF'!I2579</f>
        <v>#REF!</v>
      </c>
      <c r="I2579" s="32" t="e">
        <f t="shared" si="71"/>
        <v>#REF!</v>
      </c>
    </row>
    <row r="2580" ht="15.75" spans="6:9">
      <c r="F2580" s="12" t="e">
        <f>'[4]#REF'!F2580</f>
        <v>#REF!</v>
      </c>
      <c r="G2580" s="12" t="e">
        <f>'[4]#REF'!G2580</f>
        <v>#REF!</v>
      </c>
      <c r="H2580" s="31" t="e">
        <f>'[4]#REF'!I2580</f>
        <v>#REF!</v>
      </c>
      <c r="I2580" s="32" t="e">
        <f t="shared" si="71"/>
        <v>#REF!</v>
      </c>
    </row>
    <row r="2581" ht="15.75" spans="6:9">
      <c r="F2581" s="12" t="e">
        <f>'[4]#REF'!F2581</f>
        <v>#REF!</v>
      </c>
      <c r="G2581" s="12" t="e">
        <f>'[4]#REF'!G2581</f>
        <v>#REF!</v>
      </c>
      <c r="H2581" s="31" t="e">
        <f>'[4]#REF'!I2581</f>
        <v>#REF!</v>
      </c>
      <c r="I2581" s="32" t="e">
        <f t="shared" si="71"/>
        <v>#REF!</v>
      </c>
    </row>
    <row r="2582" ht="15.75" spans="6:9">
      <c r="F2582" s="12" t="e">
        <f>'[4]#REF'!F2582</f>
        <v>#REF!</v>
      </c>
      <c r="G2582" s="12" t="e">
        <f>'[4]#REF'!G2582</f>
        <v>#REF!</v>
      </c>
      <c r="H2582" s="31" t="e">
        <f>'[4]#REF'!I2582</f>
        <v>#REF!</v>
      </c>
      <c r="I2582" s="32" t="e">
        <f t="shared" si="71"/>
        <v>#REF!</v>
      </c>
    </row>
    <row r="2583" ht="15.75" spans="6:9">
      <c r="F2583" s="12" t="e">
        <f>'[4]#REF'!F2583</f>
        <v>#REF!</v>
      </c>
      <c r="G2583" s="12" t="e">
        <f>'[4]#REF'!G2583</f>
        <v>#REF!</v>
      </c>
      <c r="H2583" s="31" t="e">
        <f>'[4]#REF'!I2583</f>
        <v>#REF!</v>
      </c>
      <c r="I2583" s="32" t="e">
        <f t="shared" si="71"/>
        <v>#REF!</v>
      </c>
    </row>
    <row r="2584" ht="15.75" spans="6:9">
      <c r="F2584" s="12" t="e">
        <f>'[4]#REF'!F2584</f>
        <v>#REF!</v>
      </c>
      <c r="G2584" s="12" t="e">
        <f>'[4]#REF'!G2584</f>
        <v>#REF!</v>
      </c>
      <c r="H2584" s="31" t="e">
        <f>'[4]#REF'!I2584</f>
        <v>#REF!</v>
      </c>
      <c r="I2584" s="32" t="e">
        <f t="shared" si="71"/>
        <v>#REF!</v>
      </c>
    </row>
    <row r="2585" ht="15.75" spans="6:9">
      <c r="F2585" s="12" t="e">
        <f>'[4]#REF'!F2585</f>
        <v>#REF!</v>
      </c>
      <c r="G2585" s="12" t="e">
        <f>'[4]#REF'!G2585</f>
        <v>#REF!</v>
      </c>
      <c r="H2585" s="31" t="e">
        <f>'[4]#REF'!I2585</f>
        <v>#REF!</v>
      </c>
      <c r="I2585" s="32" t="e">
        <f t="shared" si="71"/>
        <v>#REF!</v>
      </c>
    </row>
    <row r="2586" ht="15.75" spans="6:9">
      <c r="F2586" s="12" t="e">
        <f>'[4]#REF'!F2586</f>
        <v>#REF!</v>
      </c>
      <c r="G2586" s="12" t="e">
        <f>'[4]#REF'!G2586</f>
        <v>#REF!</v>
      </c>
      <c r="H2586" s="31" t="e">
        <f>'[4]#REF'!I2586</f>
        <v>#REF!</v>
      </c>
      <c r="I2586" s="32" t="e">
        <f t="shared" si="71"/>
        <v>#REF!</v>
      </c>
    </row>
    <row r="2587" ht="15.75" spans="6:9">
      <c r="F2587" s="12" t="e">
        <f>'[4]#REF'!F2587</f>
        <v>#REF!</v>
      </c>
      <c r="G2587" s="12" t="e">
        <f>'[4]#REF'!G2587</f>
        <v>#REF!</v>
      </c>
      <c r="H2587" s="31" t="e">
        <f>'[4]#REF'!I2587</f>
        <v>#REF!</v>
      </c>
      <c r="I2587" s="32" t="e">
        <f t="shared" si="71"/>
        <v>#REF!</v>
      </c>
    </row>
    <row r="2588" ht="15.75" spans="6:9">
      <c r="F2588" s="12" t="e">
        <f>'[4]#REF'!F2588</f>
        <v>#REF!</v>
      </c>
      <c r="G2588" s="12" t="e">
        <f>'[4]#REF'!G2588</f>
        <v>#REF!</v>
      </c>
      <c r="H2588" s="31" t="e">
        <f>'[4]#REF'!I2588</f>
        <v>#REF!</v>
      </c>
      <c r="I2588" s="32" t="e">
        <f t="shared" si="71"/>
        <v>#REF!</v>
      </c>
    </row>
    <row r="2589" ht="15.75" spans="6:9">
      <c r="F2589" s="12" t="e">
        <f>'[4]#REF'!F2589</f>
        <v>#REF!</v>
      </c>
      <c r="G2589" s="12" t="e">
        <f>'[4]#REF'!G2589</f>
        <v>#REF!</v>
      </c>
      <c r="H2589" s="31" t="e">
        <f>'[4]#REF'!I2589</f>
        <v>#REF!</v>
      </c>
      <c r="I2589" s="32" t="e">
        <f t="shared" si="71"/>
        <v>#REF!</v>
      </c>
    </row>
    <row r="2590" ht="15.75" spans="6:9">
      <c r="F2590" s="12" t="e">
        <f>'[4]#REF'!F2590</f>
        <v>#REF!</v>
      </c>
      <c r="G2590" s="12" t="e">
        <f>'[4]#REF'!G2590</f>
        <v>#REF!</v>
      </c>
      <c r="H2590" s="31" t="e">
        <f>'[4]#REF'!I2590</f>
        <v>#REF!</v>
      </c>
      <c r="I2590" s="32" t="e">
        <f t="shared" si="71"/>
        <v>#REF!</v>
      </c>
    </row>
    <row r="2591" ht="15.75" spans="6:9">
      <c r="F2591" s="12" t="e">
        <f>'[4]#REF'!F2591</f>
        <v>#REF!</v>
      </c>
      <c r="G2591" s="12" t="e">
        <f>'[4]#REF'!G2591</f>
        <v>#REF!</v>
      </c>
      <c r="H2591" s="31" t="e">
        <f>'[4]#REF'!I2591</f>
        <v>#REF!</v>
      </c>
      <c r="I2591" s="32" t="e">
        <f t="shared" si="71"/>
        <v>#REF!</v>
      </c>
    </row>
    <row r="2592" ht="15.75" spans="6:9">
      <c r="F2592" s="12" t="e">
        <f>'[4]#REF'!F2592</f>
        <v>#REF!</v>
      </c>
      <c r="G2592" s="12" t="e">
        <f>'[4]#REF'!G2592</f>
        <v>#REF!</v>
      </c>
      <c r="H2592" s="31" t="e">
        <f>'[4]#REF'!I2592</f>
        <v>#REF!</v>
      </c>
      <c r="I2592" s="32" t="e">
        <f t="shared" si="71"/>
        <v>#REF!</v>
      </c>
    </row>
    <row r="2593" ht="15.75" spans="6:9">
      <c r="F2593" s="12" t="e">
        <f>'[4]#REF'!F2593</f>
        <v>#REF!</v>
      </c>
      <c r="G2593" s="12" t="e">
        <f>'[4]#REF'!G2593</f>
        <v>#REF!</v>
      </c>
      <c r="H2593" s="31" t="e">
        <f>'[4]#REF'!I2593</f>
        <v>#REF!</v>
      </c>
      <c r="I2593" s="32" t="e">
        <f t="shared" si="71"/>
        <v>#REF!</v>
      </c>
    </row>
    <row r="2594" ht="15.75" spans="6:9">
      <c r="F2594" s="12" t="e">
        <f>'[4]#REF'!F2594</f>
        <v>#REF!</v>
      </c>
      <c r="G2594" s="12" t="e">
        <f>'[4]#REF'!G2594</f>
        <v>#REF!</v>
      </c>
      <c r="H2594" s="31" t="e">
        <f>'[4]#REF'!I2594</f>
        <v>#REF!</v>
      </c>
      <c r="I2594" s="32" t="e">
        <f t="shared" si="71"/>
        <v>#REF!</v>
      </c>
    </row>
    <row r="2595" ht="15.75" spans="6:9">
      <c r="F2595" s="12" t="e">
        <f>'[4]#REF'!F2595</f>
        <v>#REF!</v>
      </c>
      <c r="G2595" s="12" t="e">
        <f>'[4]#REF'!G2595</f>
        <v>#REF!</v>
      </c>
      <c r="H2595" s="31" t="e">
        <f>'[4]#REF'!I2595</f>
        <v>#REF!</v>
      </c>
      <c r="I2595" s="32" t="e">
        <f t="shared" si="71"/>
        <v>#REF!</v>
      </c>
    </row>
    <row r="2596" ht="15.75" spans="6:9">
      <c r="F2596" s="12" t="e">
        <f>'[4]#REF'!F2596</f>
        <v>#REF!</v>
      </c>
      <c r="G2596" s="12" t="e">
        <f>'[4]#REF'!G2596</f>
        <v>#REF!</v>
      </c>
      <c r="H2596" s="31" t="e">
        <f>'[4]#REF'!I2596</f>
        <v>#REF!</v>
      </c>
      <c r="I2596" s="32" t="e">
        <f t="shared" si="71"/>
        <v>#REF!</v>
      </c>
    </row>
    <row r="2597" ht="15.75" spans="6:9">
      <c r="F2597" s="12" t="e">
        <f>'[4]#REF'!F2597</f>
        <v>#REF!</v>
      </c>
      <c r="G2597" s="12" t="e">
        <f>'[4]#REF'!G2597</f>
        <v>#REF!</v>
      </c>
      <c r="H2597" s="31" t="e">
        <f>'[4]#REF'!I2597</f>
        <v>#REF!</v>
      </c>
      <c r="I2597" s="32" t="e">
        <f t="shared" si="71"/>
        <v>#REF!</v>
      </c>
    </row>
    <row r="2598" ht="15.75" spans="6:9">
      <c r="F2598" s="12" t="e">
        <f>'[4]#REF'!F2598</f>
        <v>#REF!</v>
      </c>
      <c r="G2598" s="12" t="e">
        <f>'[4]#REF'!G2598</f>
        <v>#REF!</v>
      </c>
      <c r="H2598" s="31" t="e">
        <f>'[4]#REF'!I2598</f>
        <v>#REF!</v>
      </c>
      <c r="I2598" s="32" t="e">
        <f t="shared" si="71"/>
        <v>#REF!</v>
      </c>
    </row>
    <row r="2599" ht="15.75" spans="6:9">
      <c r="F2599" s="12" t="e">
        <f>'[4]#REF'!F2599</f>
        <v>#REF!</v>
      </c>
      <c r="G2599" s="12" t="e">
        <f>'[4]#REF'!G2599</f>
        <v>#REF!</v>
      </c>
      <c r="H2599" s="31" t="e">
        <f>'[4]#REF'!I2599</f>
        <v>#REF!</v>
      </c>
      <c r="I2599" s="32" t="e">
        <f t="shared" si="71"/>
        <v>#REF!</v>
      </c>
    </row>
    <row r="2600" ht="15.75" spans="6:9">
      <c r="F2600" s="12" t="e">
        <f>'[4]#REF'!F2600</f>
        <v>#REF!</v>
      </c>
      <c r="G2600" s="12" t="e">
        <f>'[4]#REF'!G2600</f>
        <v>#REF!</v>
      </c>
      <c r="H2600" s="31" t="e">
        <f>'[4]#REF'!I2600</f>
        <v>#REF!</v>
      </c>
      <c r="I2600" s="32" t="e">
        <f t="shared" si="71"/>
        <v>#REF!</v>
      </c>
    </row>
    <row r="2601" ht="15.75" spans="6:9">
      <c r="F2601" s="12" t="e">
        <f>'[4]#REF'!F2601</f>
        <v>#REF!</v>
      </c>
      <c r="G2601" s="12" t="e">
        <f>'[4]#REF'!G2601</f>
        <v>#REF!</v>
      </c>
      <c r="H2601" s="31" t="e">
        <f>'[4]#REF'!I2601</f>
        <v>#REF!</v>
      </c>
      <c r="I2601" s="32" t="e">
        <f t="shared" si="71"/>
        <v>#REF!</v>
      </c>
    </row>
    <row r="2602" ht="15.75" spans="6:9">
      <c r="F2602" s="12" t="e">
        <f>'[4]#REF'!F2602</f>
        <v>#REF!</v>
      </c>
      <c r="G2602" s="12" t="e">
        <f>'[4]#REF'!G2602</f>
        <v>#REF!</v>
      </c>
      <c r="H2602" s="31" t="e">
        <f>'[4]#REF'!I2602</f>
        <v>#REF!</v>
      </c>
      <c r="I2602" s="32" t="e">
        <f t="shared" si="71"/>
        <v>#REF!</v>
      </c>
    </row>
    <row r="2603" ht="15.75" spans="6:9">
      <c r="F2603" s="12" t="e">
        <f>'[4]#REF'!F2603</f>
        <v>#REF!</v>
      </c>
      <c r="G2603" s="12" t="e">
        <f>'[4]#REF'!G2603</f>
        <v>#REF!</v>
      </c>
      <c r="H2603" s="31" t="e">
        <f>'[4]#REF'!I2603</f>
        <v>#REF!</v>
      </c>
      <c r="I2603" s="32" t="e">
        <f t="shared" si="71"/>
        <v>#REF!</v>
      </c>
    </row>
    <row r="2604" ht="15.75" spans="6:9">
      <c r="F2604" s="12" t="e">
        <f>'[4]#REF'!F2604</f>
        <v>#REF!</v>
      </c>
      <c r="G2604" s="12" t="e">
        <f>'[4]#REF'!G2604</f>
        <v>#REF!</v>
      </c>
      <c r="H2604" s="31" t="e">
        <f>'[4]#REF'!I2604</f>
        <v>#REF!</v>
      </c>
      <c r="I2604" s="32" t="e">
        <f t="shared" si="71"/>
        <v>#REF!</v>
      </c>
    </row>
    <row r="2605" ht="15.75" spans="6:9">
      <c r="F2605" s="12" t="e">
        <f>'[4]#REF'!F2605</f>
        <v>#REF!</v>
      </c>
      <c r="G2605" s="12" t="e">
        <f>'[4]#REF'!G2605</f>
        <v>#REF!</v>
      </c>
      <c r="H2605" s="31" t="e">
        <f>'[4]#REF'!I2605</f>
        <v>#REF!</v>
      </c>
      <c r="I2605" s="32" t="e">
        <f t="shared" si="71"/>
        <v>#REF!</v>
      </c>
    </row>
    <row r="2606" ht="15.75" spans="6:9">
      <c r="F2606" s="12" t="e">
        <f>'[4]#REF'!F2606</f>
        <v>#REF!</v>
      </c>
      <c r="G2606" s="12" t="e">
        <f>'[4]#REF'!G2606</f>
        <v>#REF!</v>
      </c>
      <c r="H2606" s="31" t="e">
        <f>'[4]#REF'!I2606</f>
        <v>#REF!</v>
      </c>
      <c r="I2606" s="32" t="e">
        <f t="shared" si="71"/>
        <v>#REF!</v>
      </c>
    </row>
    <row r="2607" ht="15.75" spans="6:9">
      <c r="F2607" s="12" t="e">
        <f>'[4]#REF'!F2607</f>
        <v>#REF!</v>
      </c>
      <c r="G2607" s="12" t="e">
        <f>'[4]#REF'!G2607</f>
        <v>#REF!</v>
      </c>
      <c r="H2607" s="31" t="e">
        <f>'[4]#REF'!I2607</f>
        <v>#REF!</v>
      </c>
      <c r="I2607" s="32" t="e">
        <f t="shared" si="71"/>
        <v>#REF!</v>
      </c>
    </row>
    <row r="2608" ht="15.75" spans="6:9">
      <c r="F2608" s="12" t="e">
        <f>'[4]#REF'!F2608</f>
        <v>#REF!</v>
      </c>
      <c r="G2608" s="12" t="e">
        <f>'[4]#REF'!G2608</f>
        <v>#REF!</v>
      </c>
      <c r="H2608" s="31" t="e">
        <f>'[4]#REF'!I2608</f>
        <v>#REF!</v>
      </c>
      <c r="I2608" s="32" t="e">
        <f t="shared" si="71"/>
        <v>#REF!</v>
      </c>
    </row>
    <row r="2609" ht="15.75" spans="6:9">
      <c r="F2609" s="12" t="e">
        <f>'[4]#REF'!F2609</f>
        <v>#REF!</v>
      </c>
      <c r="G2609" s="12" t="e">
        <f>'[4]#REF'!G2609</f>
        <v>#REF!</v>
      </c>
      <c r="H2609" s="31" t="e">
        <f>'[4]#REF'!I2609</f>
        <v>#REF!</v>
      </c>
      <c r="I2609" s="32" t="e">
        <f t="shared" si="71"/>
        <v>#REF!</v>
      </c>
    </row>
    <row r="2610" ht="15.75" spans="6:9">
      <c r="F2610" s="12" t="e">
        <f>'[4]#REF'!F2610</f>
        <v>#REF!</v>
      </c>
      <c r="G2610" s="12" t="e">
        <f>'[4]#REF'!G2610</f>
        <v>#REF!</v>
      </c>
      <c r="H2610" s="31" t="e">
        <f>'[4]#REF'!I2610</f>
        <v>#REF!</v>
      </c>
      <c r="I2610" s="32" t="e">
        <f t="shared" si="71"/>
        <v>#REF!</v>
      </c>
    </row>
    <row r="2611" ht="15.75" spans="6:9">
      <c r="F2611" s="12" t="e">
        <f>'[4]#REF'!F2611</f>
        <v>#REF!</v>
      </c>
      <c r="G2611" s="12" t="e">
        <f>'[4]#REF'!G2611</f>
        <v>#REF!</v>
      </c>
      <c r="H2611" s="31" t="e">
        <f>'[4]#REF'!I2611</f>
        <v>#REF!</v>
      </c>
      <c r="I2611" s="32" t="e">
        <f t="shared" si="71"/>
        <v>#REF!</v>
      </c>
    </row>
    <row r="2612" ht="15.75" spans="6:9">
      <c r="F2612" s="12" t="e">
        <f>'[4]#REF'!F2612</f>
        <v>#REF!</v>
      </c>
      <c r="G2612" s="12" t="e">
        <f>'[4]#REF'!G2612</f>
        <v>#REF!</v>
      </c>
      <c r="H2612" s="31" t="e">
        <f>'[4]#REF'!I2612</f>
        <v>#REF!</v>
      </c>
      <c r="I2612" s="32" t="e">
        <f t="shared" si="71"/>
        <v>#REF!</v>
      </c>
    </row>
    <row r="2613" ht="15.75" spans="6:9">
      <c r="F2613" s="12" t="e">
        <f>'[4]#REF'!F2613</f>
        <v>#REF!</v>
      </c>
      <c r="G2613" s="12" t="e">
        <f>'[4]#REF'!G2613</f>
        <v>#REF!</v>
      </c>
      <c r="H2613" s="31" t="e">
        <f>'[4]#REF'!I2613</f>
        <v>#REF!</v>
      </c>
      <c r="I2613" s="32" t="e">
        <f t="shared" si="71"/>
        <v>#REF!</v>
      </c>
    </row>
    <row r="2614" ht="15.75" spans="6:9">
      <c r="F2614" s="12" t="e">
        <f>'[4]#REF'!F2614</f>
        <v>#REF!</v>
      </c>
      <c r="G2614" s="12" t="e">
        <f>'[4]#REF'!G2614</f>
        <v>#REF!</v>
      </c>
      <c r="H2614" s="31" t="e">
        <f>'[4]#REF'!I2614</f>
        <v>#REF!</v>
      </c>
      <c r="I2614" s="32" t="e">
        <f t="shared" si="71"/>
        <v>#REF!</v>
      </c>
    </row>
    <row r="2615" ht="15.75" spans="6:9">
      <c r="F2615" s="12" t="e">
        <f>'[4]#REF'!F2615</f>
        <v>#REF!</v>
      </c>
      <c r="G2615" s="12" t="e">
        <f>'[4]#REF'!G2615</f>
        <v>#REF!</v>
      </c>
      <c r="H2615" s="31" t="e">
        <f>'[4]#REF'!I2615</f>
        <v>#REF!</v>
      </c>
      <c r="I2615" s="32" t="e">
        <f t="shared" si="71"/>
        <v>#REF!</v>
      </c>
    </row>
    <row r="2616" ht="15.75" spans="6:9">
      <c r="F2616" s="12" t="e">
        <f>'[4]#REF'!F2616</f>
        <v>#REF!</v>
      </c>
      <c r="G2616" s="12" t="e">
        <f>'[4]#REF'!G2616</f>
        <v>#REF!</v>
      </c>
      <c r="H2616" s="31" t="e">
        <f>'[4]#REF'!I2616</f>
        <v>#REF!</v>
      </c>
      <c r="I2616" s="32" t="e">
        <f t="shared" si="71"/>
        <v>#REF!</v>
      </c>
    </row>
    <row r="2617" ht="15.75" spans="6:9">
      <c r="F2617" s="12" t="e">
        <f>'[4]#REF'!F2617</f>
        <v>#REF!</v>
      </c>
      <c r="G2617" s="12" t="e">
        <f>'[4]#REF'!G2617</f>
        <v>#REF!</v>
      </c>
      <c r="H2617" s="31" t="e">
        <f>'[4]#REF'!I2617</f>
        <v>#REF!</v>
      </c>
      <c r="I2617" s="32" t="e">
        <f t="shared" si="71"/>
        <v>#REF!</v>
      </c>
    </row>
    <row r="2618" ht="15.75" spans="6:9">
      <c r="F2618" s="12" t="e">
        <f>'[4]#REF'!F2618</f>
        <v>#REF!</v>
      </c>
      <c r="G2618" s="12" t="e">
        <f>'[4]#REF'!G2618</f>
        <v>#REF!</v>
      </c>
      <c r="H2618" s="31" t="e">
        <f>'[4]#REF'!I2618</f>
        <v>#REF!</v>
      </c>
      <c r="I2618" s="32" t="e">
        <f t="shared" si="71"/>
        <v>#REF!</v>
      </c>
    </row>
    <row r="2619" ht="15.75" spans="6:9">
      <c r="F2619" s="12" t="e">
        <f>'[4]#REF'!F2619</f>
        <v>#REF!</v>
      </c>
      <c r="G2619" s="12" t="e">
        <f>'[4]#REF'!G2619</f>
        <v>#REF!</v>
      </c>
      <c r="H2619" s="31" t="e">
        <f>'[4]#REF'!I2619</f>
        <v>#REF!</v>
      </c>
      <c r="I2619" s="32" t="e">
        <f t="shared" si="71"/>
        <v>#REF!</v>
      </c>
    </row>
    <row r="2620" ht="15.75" spans="6:9">
      <c r="F2620" s="12" t="e">
        <f>'[4]#REF'!F2620</f>
        <v>#REF!</v>
      </c>
      <c r="G2620" s="12" t="e">
        <f>'[4]#REF'!G2620</f>
        <v>#REF!</v>
      </c>
      <c r="H2620" s="31" t="e">
        <f>'[4]#REF'!I2620</f>
        <v>#REF!</v>
      </c>
      <c r="I2620" s="32" t="e">
        <f t="shared" si="71"/>
        <v>#REF!</v>
      </c>
    </row>
    <row r="2621" ht="15.75" spans="6:9">
      <c r="F2621" s="12" t="e">
        <f>'[4]#REF'!F2621</f>
        <v>#REF!</v>
      </c>
      <c r="G2621" s="12" t="e">
        <f>'[4]#REF'!G2621</f>
        <v>#REF!</v>
      </c>
      <c r="H2621" s="31" t="e">
        <f>'[4]#REF'!I2621</f>
        <v>#REF!</v>
      </c>
      <c r="I2621" s="32" t="e">
        <f t="shared" si="71"/>
        <v>#REF!</v>
      </c>
    </row>
    <row r="2622" ht="15.75" spans="6:9">
      <c r="F2622" s="12" t="e">
        <f>'[4]#REF'!F2622</f>
        <v>#REF!</v>
      </c>
      <c r="G2622" s="12" t="e">
        <f>'[4]#REF'!G2622</f>
        <v>#REF!</v>
      </c>
      <c r="H2622" s="31" t="e">
        <f>'[4]#REF'!I2622</f>
        <v>#REF!</v>
      </c>
      <c r="I2622" s="32" t="e">
        <f t="shared" si="71"/>
        <v>#REF!</v>
      </c>
    </row>
    <row r="2623" ht="15.75" spans="6:9">
      <c r="F2623" s="12" t="e">
        <f>'[4]#REF'!F2623</f>
        <v>#REF!</v>
      </c>
      <c r="G2623" s="12" t="e">
        <f>'[4]#REF'!G2623</f>
        <v>#REF!</v>
      </c>
      <c r="H2623" s="31" t="e">
        <f>'[4]#REF'!I2623</f>
        <v>#REF!</v>
      </c>
      <c r="I2623" s="32" t="e">
        <f t="shared" si="71"/>
        <v>#REF!</v>
      </c>
    </row>
    <row r="2624" ht="15.75" spans="6:9">
      <c r="F2624" s="12" t="e">
        <f>'[4]#REF'!F2624</f>
        <v>#REF!</v>
      </c>
      <c r="G2624" s="12" t="e">
        <f>'[4]#REF'!G2624</f>
        <v>#REF!</v>
      </c>
      <c r="H2624" s="31" t="e">
        <f>'[4]#REF'!I2624</f>
        <v>#REF!</v>
      </c>
      <c r="I2624" s="32" t="e">
        <f t="shared" si="71"/>
        <v>#REF!</v>
      </c>
    </row>
    <row r="2625" ht="15.75" spans="6:9">
      <c r="F2625" s="12" t="e">
        <f>'[4]#REF'!F2625</f>
        <v>#REF!</v>
      </c>
      <c r="G2625" s="12" t="e">
        <f>'[4]#REF'!G2625</f>
        <v>#REF!</v>
      </c>
      <c r="H2625" s="31" t="e">
        <f>'[4]#REF'!I2625</f>
        <v>#REF!</v>
      </c>
      <c r="I2625" s="32" t="e">
        <f t="shared" si="71"/>
        <v>#REF!</v>
      </c>
    </row>
    <row r="2626" ht="15.75" spans="6:9">
      <c r="F2626" s="12" t="e">
        <f>'[4]#REF'!F2626</f>
        <v>#REF!</v>
      </c>
      <c r="G2626" s="12" t="e">
        <f>'[4]#REF'!G2626</f>
        <v>#REF!</v>
      </c>
      <c r="H2626" s="31" t="e">
        <f>'[4]#REF'!I2626</f>
        <v>#REF!</v>
      </c>
      <c r="I2626" s="32" t="e">
        <f t="shared" si="71"/>
        <v>#REF!</v>
      </c>
    </row>
    <row r="2627" ht="15.75" spans="6:9">
      <c r="F2627" s="12" t="e">
        <f>'[4]#REF'!F2627</f>
        <v>#REF!</v>
      </c>
      <c r="G2627" s="12" t="e">
        <f>'[4]#REF'!G2627</f>
        <v>#REF!</v>
      </c>
      <c r="H2627" s="31" t="e">
        <f>'[4]#REF'!I2627</f>
        <v>#REF!</v>
      </c>
      <c r="I2627" s="32" t="e">
        <f t="shared" si="71"/>
        <v>#REF!</v>
      </c>
    </row>
    <row r="2628" ht="15.75" spans="6:9">
      <c r="F2628" s="12" t="e">
        <f>'[4]#REF'!F2628</f>
        <v>#REF!</v>
      </c>
      <c r="G2628" s="12" t="e">
        <f>'[4]#REF'!G2628</f>
        <v>#REF!</v>
      </c>
      <c r="H2628" s="31" t="e">
        <f>'[4]#REF'!I2628</f>
        <v>#REF!</v>
      </c>
      <c r="I2628" s="32" t="e">
        <f t="shared" si="71"/>
        <v>#REF!</v>
      </c>
    </row>
    <row r="2629" ht="15.75" spans="6:9">
      <c r="F2629" s="12" t="e">
        <f>'[4]#REF'!F2629</f>
        <v>#REF!</v>
      </c>
      <c r="G2629" s="12" t="e">
        <f>'[4]#REF'!G2629</f>
        <v>#REF!</v>
      </c>
      <c r="H2629" s="31" t="e">
        <f>'[4]#REF'!I2629</f>
        <v>#REF!</v>
      </c>
      <c r="I2629" s="32" t="e">
        <f t="shared" si="71"/>
        <v>#REF!</v>
      </c>
    </row>
    <row r="2630" ht="15.75" spans="6:9">
      <c r="F2630" s="12" t="e">
        <f>'[4]#REF'!F2630</f>
        <v>#REF!</v>
      </c>
      <c r="G2630" s="12" t="e">
        <f>'[4]#REF'!G2630</f>
        <v>#REF!</v>
      </c>
      <c r="H2630" s="31" t="e">
        <f>'[4]#REF'!I2630</f>
        <v>#REF!</v>
      </c>
      <c r="I2630" s="32" t="e">
        <f t="shared" ref="I2630:I2693" si="72">ROUND(H2630/$I$4*100,2)</f>
        <v>#REF!</v>
      </c>
    </row>
    <row r="2631" ht="15.75" spans="6:9">
      <c r="F2631" s="12" t="e">
        <f>'[4]#REF'!F2631</f>
        <v>#REF!</v>
      </c>
      <c r="G2631" s="12" t="e">
        <f>'[4]#REF'!G2631</f>
        <v>#REF!</v>
      </c>
      <c r="H2631" s="31" t="e">
        <f>'[4]#REF'!I2631</f>
        <v>#REF!</v>
      </c>
      <c r="I2631" s="32" t="e">
        <f t="shared" si="72"/>
        <v>#REF!</v>
      </c>
    </row>
    <row r="2632" ht="15.75" spans="6:9">
      <c r="F2632" s="12" t="e">
        <f>'[4]#REF'!F2632</f>
        <v>#REF!</v>
      </c>
      <c r="G2632" s="12" t="e">
        <f>'[4]#REF'!G2632</f>
        <v>#REF!</v>
      </c>
      <c r="H2632" s="31" t="e">
        <f>'[4]#REF'!I2632</f>
        <v>#REF!</v>
      </c>
      <c r="I2632" s="32" t="e">
        <f t="shared" si="72"/>
        <v>#REF!</v>
      </c>
    </row>
    <row r="2633" ht="15.75" spans="6:9">
      <c r="F2633" s="12" t="e">
        <f>'[4]#REF'!F2633</f>
        <v>#REF!</v>
      </c>
      <c r="G2633" s="12" t="e">
        <f>'[4]#REF'!G2633</f>
        <v>#REF!</v>
      </c>
      <c r="H2633" s="31" t="e">
        <f>'[4]#REF'!I2633</f>
        <v>#REF!</v>
      </c>
      <c r="I2633" s="32" t="e">
        <f t="shared" si="72"/>
        <v>#REF!</v>
      </c>
    </row>
    <row r="2634" ht="15.75" spans="6:9">
      <c r="F2634" s="12" t="e">
        <f>'[4]#REF'!F2634</f>
        <v>#REF!</v>
      </c>
      <c r="G2634" s="12" t="e">
        <f>'[4]#REF'!G2634</f>
        <v>#REF!</v>
      </c>
      <c r="H2634" s="31" t="e">
        <f>'[4]#REF'!I2634</f>
        <v>#REF!</v>
      </c>
      <c r="I2634" s="32" t="e">
        <f t="shared" si="72"/>
        <v>#REF!</v>
      </c>
    </row>
    <row r="2635" ht="15.75" spans="6:9">
      <c r="F2635" s="12" t="e">
        <f>'[4]#REF'!F2635</f>
        <v>#REF!</v>
      </c>
      <c r="G2635" s="12" t="e">
        <f>'[4]#REF'!G2635</f>
        <v>#REF!</v>
      </c>
      <c r="H2635" s="31" t="e">
        <f>'[4]#REF'!I2635</f>
        <v>#REF!</v>
      </c>
      <c r="I2635" s="32" t="e">
        <f t="shared" si="72"/>
        <v>#REF!</v>
      </c>
    </row>
    <row r="2636" ht="15.75" spans="6:9">
      <c r="F2636" s="12" t="e">
        <f>'[4]#REF'!F2636</f>
        <v>#REF!</v>
      </c>
      <c r="G2636" s="12" t="e">
        <f>'[4]#REF'!G2636</f>
        <v>#REF!</v>
      </c>
      <c r="H2636" s="31" t="e">
        <f>'[4]#REF'!I2636</f>
        <v>#REF!</v>
      </c>
      <c r="I2636" s="32" t="e">
        <f t="shared" si="72"/>
        <v>#REF!</v>
      </c>
    </row>
    <row r="2637" ht="15.75" spans="6:9">
      <c r="F2637" s="12" t="e">
        <f>'[4]#REF'!F2637</f>
        <v>#REF!</v>
      </c>
      <c r="G2637" s="12" t="e">
        <f>'[4]#REF'!G2637</f>
        <v>#REF!</v>
      </c>
      <c r="H2637" s="31" t="e">
        <f>'[4]#REF'!I2637</f>
        <v>#REF!</v>
      </c>
      <c r="I2637" s="32" t="e">
        <f t="shared" si="72"/>
        <v>#REF!</v>
      </c>
    </row>
    <row r="2638" ht="15.75" spans="6:9">
      <c r="F2638" s="12" t="e">
        <f>'[4]#REF'!F2638</f>
        <v>#REF!</v>
      </c>
      <c r="G2638" s="12" t="e">
        <f>'[4]#REF'!G2638</f>
        <v>#REF!</v>
      </c>
      <c r="H2638" s="31" t="e">
        <f>'[4]#REF'!I2638</f>
        <v>#REF!</v>
      </c>
      <c r="I2638" s="32" t="e">
        <f t="shared" si="72"/>
        <v>#REF!</v>
      </c>
    </row>
    <row r="2639" ht="15.75" spans="6:9">
      <c r="F2639" s="12" t="e">
        <f>'[4]#REF'!F2639</f>
        <v>#REF!</v>
      </c>
      <c r="G2639" s="12" t="e">
        <f>'[4]#REF'!G2639</f>
        <v>#REF!</v>
      </c>
      <c r="H2639" s="31" t="e">
        <f>'[4]#REF'!I2639</f>
        <v>#REF!</v>
      </c>
      <c r="I2639" s="32" t="e">
        <f t="shared" si="72"/>
        <v>#REF!</v>
      </c>
    </row>
    <row r="2640" ht="15.75" spans="6:9">
      <c r="F2640" s="12" t="e">
        <f>'[4]#REF'!F2640</f>
        <v>#REF!</v>
      </c>
      <c r="G2640" s="12" t="e">
        <f>'[4]#REF'!G2640</f>
        <v>#REF!</v>
      </c>
      <c r="H2640" s="31" t="e">
        <f>'[4]#REF'!I2640</f>
        <v>#REF!</v>
      </c>
      <c r="I2640" s="32" t="e">
        <f t="shared" si="72"/>
        <v>#REF!</v>
      </c>
    </row>
    <row r="2641" ht="15.75" spans="6:9">
      <c r="F2641" s="12" t="e">
        <f>'[4]#REF'!F2641</f>
        <v>#REF!</v>
      </c>
      <c r="G2641" s="12" t="e">
        <f>'[4]#REF'!G2641</f>
        <v>#REF!</v>
      </c>
      <c r="H2641" s="31" t="e">
        <f>'[4]#REF'!I2641</f>
        <v>#REF!</v>
      </c>
      <c r="I2641" s="32" t="e">
        <f t="shared" si="72"/>
        <v>#REF!</v>
      </c>
    </row>
    <row r="2642" ht="15.75" spans="6:9">
      <c r="F2642" s="12" t="e">
        <f>'[4]#REF'!F2642</f>
        <v>#REF!</v>
      </c>
      <c r="G2642" s="12" t="e">
        <f>'[4]#REF'!G2642</f>
        <v>#REF!</v>
      </c>
      <c r="H2642" s="31" t="e">
        <f>'[4]#REF'!I2642</f>
        <v>#REF!</v>
      </c>
      <c r="I2642" s="32" t="e">
        <f t="shared" si="72"/>
        <v>#REF!</v>
      </c>
    </row>
    <row r="2643" ht="15.75" spans="6:9">
      <c r="F2643" s="12" t="e">
        <f>'[4]#REF'!F2643</f>
        <v>#REF!</v>
      </c>
      <c r="G2643" s="12" t="e">
        <f>'[4]#REF'!G2643</f>
        <v>#REF!</v>
      </c>
      <c r="H2643" s="31" t="e">
        <f>'[4]#REF'!I2643</f>
        <v>#REF!</v>
      </c>
      <c r="I2643" s="32" t="e">
        <f t="shared" si="72"/>
        <v>#REF!</v>
      </c>
    </row>
    <row r="2644" ht="15.75" spans="6:9">
      <c r="F2644" s="12" t="e">
        <f>'[4]#REF'!F2644</f>
        <v>#REF!</v>
      </c>
      <c r="G2644" s="12" t="e">
        <f>'[4]#REF'!G2644</f>
        <v>#REF!</v>
      </c>
      <c r="H2644" s="31" t="e">
        <f>'[4]#REF'!I2644</f>
        <v>#REF!</v>
      </c>
      <c r="I2644" s="32" t="e">
        <f t="shared" si="72"/>
        <v>#REF!</v>
      </c>
    </row>
    <row r="2645" ht="15.75" spans="6:9">
      <c r="F2645" s="12" t="e">
        <f>'[4]#REF'!F2645</f>
        <v>#REF!</v>
      </c>
      <c r="G2645" s="12" t="e">
        <f>'[4]#REF'!G2645</f>
        <v>#REF!</v>
      </c>
      <c r="H2645" s="31" t="e">
        <f>'[4]#REF'!I2645</f>
        <v>#REF!</v>
      </c>
      <c r="I2645" s="32" t="e">
        <f t="shared" si="72"/>
        <v>#REF!</v>
      </c>
    </row>
    <row r="2646" ht="15.75" spans="6:9">
      <c r="F2646" s="12" t="e">
        <f>'[4]#REF'!F2646</f>
        <v>#REF!</v>
      </c>
      <c r="G2646" s="12" t="e">
        <f>'[4]#REF'!G2646</f>
        <v>#REF!</v>
      </c>
      <c r="H2646" s="31" t="e">
        <f>'[4]#REF'!I2646</f>
        <v>#REF!</v>
      </c>
      <c r="I2646" s="32" t="e">
        <f t="shared" si="72"/>
        <v>#REF!</v>
      </c>
    </row>
    <row r="2647" ht="15.75" spans="6:9">
      <c r="F2647" s="12" t="e">
        <f>'[4]#REF'!F2647</f>
        <v>#REF!</v>
      </c>
      <c r="G2647" s="12" t="e">
        <f>'[4]#REF'!G2647</f>
        <v>#REF!</v>
      </c>
      <c r="H2647" s="31" t="e">
        <f>'[4]#REF'!I2647</f>
        <v>#REF!</v>
      </c>
      <c r="I2647" s="32" t="e">
        <f t="shared" si="72"/>
        <v>#REF!</v>
      </c>
    </row>
    <row r="2648" ht="15.75" spans="6:9">
      <c r="F2648" s="12" t="e">
        <f>'[4]#REF'!F2648</f>
        <v>#REF!</v>
      </c>
      <c r="G2648" s="12" t="e">
        <f>'[4]#REF'!G2648</f>
        <v>#REF!</v>
      </c>
      <c r="H2648" s="31" t="e">
        <f>'[4]#REF'!I2648</f>
        <v>#REF!</v>
      </c>
      <c r="I2648" s="32" t="e">
        <f t="shared" si="72"/>
        <v>#REF!</v>
      </c>
    </row>
    <row r="2649" ht="15.75" spans="6:9">
      <c r="F2649" s="12" t="e">
        <f>'[4]#REF'!F2649</f>
        <v>#REF!</v>
      </c>
      <c r="G2649" s="12" t="e">
        <f>'[4]#REF'!G2649</f>
        <v>#REF!</v>
      </c>
      <c r="H2649" s="31" t="e">
        <f>'[4]#REF'!I2649</f>
        <v>#REF!</v>
      </c>
      <c r="I2649" s="32" t="e">
        <f t="shared" si="72"/>
        <v>#REF!</v>
      </c>
    </row>
    <row r="2650" ht="15.75" spans="6:9">
      <c r="F2650" s="12" t="e">
        <f>'[4]#REF'!F2650</f>
        <v>#REF!</v>
      </c>
      <c r="G2650" s="12" t="e">
        <f>'[4]#REF'!G2650</f>
        <v>#REF!</v>
      </c>
      <c r="H2650" s="31" t="e">
        <f>'[4]#REF'!I2650</f>
        <v>#REF!</v>
      </c>
      <c r="I2650" s="32" t="e">
        <f t="shared" si="72"/>
        <v>#REF!</v>
      </c>
    </row>
    <row r="2651" ht="15.75" spans="6:9">
      <c r="F2651" s="12" t="e">
        <f>'[4]#REF'!F2651</f>
        <v>#REF!</v>
      </c>
      <c r="G2651" s="12" t="e">
        <f>'[4]#REF'!G2651</f>
        <v>#REF!</v>
      </c>
      <c r="H2651" s="31" t="e">
        <f>'[4]#REF'!I2651</f>
        <v>#REF!</v>
      </c>
      <c r="I2651" s="32" t="e">
        <f t="shared" si="72"/>
        <v>#REF!</v>
      </c>
    </row>
    <row r="2652" ht="15.75" spans="6:9">
      <c r="F2652" s="12" t="e">
        <f>'[4]#REF'!F2652</f>
        <v>#REF!</v>
      </c>
      <c r="G2652" s="12" t="e">
        <f>'[4]#REF'!G2652</f>
        <v>#REF!</v>
      </c>
      <c r="H2652" s="31" t="e">
        <f>'[4]#REF'!I2652</f>
        <v>#REF!</v>
      </c>
      <c r="I2652" s="32" t="e">
        <f t="shared" si="72"/>
        <v>#REF!</v>
      </c>
    </row>
    <row r="2653" ht="15.75" spans="6:9">
      <c r="F2653" s="12" t="e">
        <f>'[4]#REF'!F2653</f>
        <v>#REF!</v>
      </c>
      <c r="G2653" s="12" t="e">
        <f>'[4]#REF'!G2653</f>
        <v>#REF!</v>
      </c>
      <c r="H2653" s="31" t="e">
        <f>'[4]#REF'!I2653</f>
        <v>#REF!</v>
      </c>
      <c r="I2653" s="32" t="e">
        <f t="shared" si="72"/>
        <v>#REF!</v>
      </c>
    </row>
    <row r="2654" ht="15.75" spans="6:9">
      <c r="F2654" s="12" t="e">
        <f>'[4]#REF'!F2654</f>
        <v>#REF!</v>
      </c>
      <c r="G2654" s="12" t="e">
        <f>'[4]#REF'!G2654</f>
        <v>#REF!</v>
      </c>
      <c r="H2654" s="31" t="e">
        <f>'[4]#REF'!I2654</f>
        <v>#REF!</v>
      </c>
      <c r="I2654" s="32" t="e">
        <f t="shared" si="72"/>
        <v>#REF!</v>
      </c>
    </row>
    <row r="2655" ht="15.75" spans="6:9">
      <c r="F2655" s="12" t="e">
        <f>'[4]#REF'!F2655</f>
        <v>#REF!</v>
      </c>
      <c r="G2655" s="12" t="e">
        <f>'[4]#REF'!G2655</f>
        <v>#REF!</v>
      </c>
      <c r="H2655" s="31" t="e">
        <f>'[4]#REF'!I2655</f>
        <v>#REF!</v>
      </c>
      <c r="I2655" s="32" t="e">
        <f t="shared" si="72"/>
        <v>#REF!</v>
      </c>
    </row>
    <row r="2656" ht="15.75" spans="6:9">
      <c r="F2656" s="12" t="e">
        <f>'[4]#REF'!F2656</f>
        <v>#REF!</v>
      </c>
      <c r="G2656" s="12" t="e">
        <f>'[4]#REF'!G2656</f>
        <v>#REF!</v>
      </c>
      <c r="H2656" s="31" t="e">
        <f>'[4]#REF'!I2656</f>
        <v>#REF!</v>
      </c>
      <c r="I2656" s="32" t="e">
        <f t="shared" si="72"/>
        <v>#REF!</v>
      </c>
    </row>
    <row r="2657" ht="15.75" spans="6:9">
      <c r="F2657" s="12" t="e">
        <f>'[4]#REF'!F2657</f>
        <v>#REF!</v>
      </c>
      <c r="G2657" s="12" t="e">
        <f>'[4]#REF'!G2657</f>
        <v>#REF!</v>
      </c>
      <c r="H2657" s="31" t="e">
        <f>'[4]#REF'!I2657</f>
        <v>#REF!</v>
      </c>
      <c r="I2657" s="32" t="e">
        <f t="shared" si="72"/>
        <v>#REF!</v>
      </c>
    </row>
    <row r="2658" ht="15.75" spans="6:9">
      <c r="F2658" s="12" t="e">
        <f>'[4]#REF'!F2658</f>
        <v>#REF!</v>
      </c>
      <c r="G2658" s="12" t="e">
        <f>'[4]#REF'!G2658</f>
        <v>#REF!</v>
      </c>
      <c r="H2658" s="31" t="e">
        <f>'[4]#REF'!I2658</f>
        <v>#REF!</v>
      </c>
      <c r="I2658" s="32" t="e">
        <f t="shared" si="72"/>
        <v>#REF!</v>
      </c>
    </row>
    <row r="2659" ht="15.75" spans="6:9">
      <c r="F2659" s="12" t="e">
        <f>'[4]#REF'!F2659</f>
        <v>#REF!</v>
      </c>
      <c r="G2659" s="12" t="e">
        <f>'[4]#REF'!G2659</f>
        <v>#REF!</v>
      </c>
      <c r="H2659" s="31" t="e">
        <f>'[4]#REF'!I2659</f>
        <v>#REF!</v>
      </c>
      <c r="I2659" s="32" t="e">
        <f t="shared" si="72"/>
        <v>#REF!</v>
      </c>
    </row>
    <row r="2660" ht="15.75" spans="6:9">
      <c r="F2660" s="12" t="e">
        <f>'[4]#REF'!F2660</f>
        <v>#REF!</v>
      </c>
      <c r="G2660" s="12" t="e">
        <f>'[4]#REF'!G2660</f>
        <v>#REF!</v>
      </c>
      <c r="H2660" s="31" t="e">
        <f>'[4]#REF'!I2660</f>
        <v>#REF!</v>
      </c>
      <c r="I2660" s="32" t="e">
        <f t="shared" si="72"/>
        <v>#REF!</v>
      </c>
    </row>
    <row r="2661" ht="15.75" spans="6:9">
      <c r="F2661" s="12" t="e">
        <f>'[4]#REF'!F2661</f>
        <v>#REF!</v>
      </c>
      <c r="G2661" s="12" t="e">
        <f>'[4]#REF'!G2661</f>
        <v>#REF!</v>
      </c>
      <c r="H2661" s="31" t="e">
        <f>'[4]#REF'!I2661</f>
        <v>#REF!</v>
      </c>
      <c r="I2661" s="32" t="e">
        <f t="shared" si="72"/>
        <v>#REF!</v>
      </c>
    </row>
    <row r="2662" ht="15.75" spans="6:9">
      <c r="F2662" s="12" t="e">
        <f>'[4]#REF'!F2662</f>
        <v>#REF!</v>
      </c>
      <c r="G2662" s="12" t="e">
        <f>'[4]#REF'!G2662</f>
        <v>#REF!</v>
      </c>
      <c r="H2662" s="31" t="e">
        <f>'[4]#REF'!I2662</f>
        <v>#REF!</v>
      </c>
      <c r="I2662" s="32" t="e">
        <f t="shared" si="72"/>
        <v>#REF!</v>
      </c>
    </row>
    <row r="2663" ht="15.75" spans="6:9">
      <c r="F2663" s="12" t="e">
        <f>'[4]#REF'!F2663</f>
        <v>#REF!</v>
      </c>
      <c r="G2663" s="12" t="e">
        <f>'[4]#REF'!G2663</f>
        <v>#REF!</v>
      </c>
      <c r="H2663" s="31" t="e">
        <f>'[4]#REF'!I2663</f>
        <v>#REF!</v>
      </c>
      <c r="I2663" s="32" t="e">
        <f t="shared" si="72"/>
        <v>#REF!</v>
      </c>
    </row>
    <row r="2664" ht="15.75" spans="6:9">
      <c r="F2664" s="12" t="e">
        <f>'[4]#REF'!F2664</f>
        <v>#REF!</v>
      </c>
      <c r="G2664" s="12" t="e">
        <f>'[4]#REF'!G2664</f>
        <v>#REF!</v>
      </c>
      <c r="H2664" s="31" t="e">
        <f>'[4]#REF'!I2664</f>
        <v>#REF!</v>
      </c>
      <c r="I2664" s="32" t="e">
        <f t="shared" si="72"/>
        <v>#REF!</v>
      </c>
    </row>
    <row r="2665" ht="15.75" spans="6:9">
      <c r="F2665" s="12" t="e">
        <f>'[4]#REF'!F2665</f>
        <v>#REF!</v>
      </c>
      <c r="G2665" s="12" t="e">
        <f>'[4]#REF'!G2665</f>
        <v>#REF!</v>
      </c>
      <c r="H2665" s="31" t="e">
        <f>'[4]#REF'!I2665</f>
        <v>#REF!</v>
      </c>
      <c r="I2665" s="32" t="e">
        <f t="shared" si="72"/>
        <v>#REF!</v>
      </c>
    </row>
    <row r="2666" ht="15.75" spans="6:9">
      <c r="F2666" s="12" t="e">
        <f>'[4]#REF'!F2666</f>
        <v>#REF!</v>
      </c>
      <c r="G2666" s="12" t="e">
        <f>'[4]#REF'!G2666</f>
        <v>#REF!</v>
      </c>
      <c r="H2666" s="31" t="e">
        <f>'[4]#REF'!I2666</f>
        <v>#REF!</v>
      </c>
      <c r="I2666" s="32" t="e">
        <f t="shared" si="72"/>
        <v>#REF!</v>
      </c>
    </row>
    <row r="2667" ht="15.75" spans="6:9">
      <c r="F2667" s="12" t="e">
        <f>'[4]#REF'!F2667</f>
        <v>#REF!</v>
      </c>
      <c r="G2667" s="12" t="e">
        <f>'[4]#REF'!G2667</f>
        <v>#REF!</v>
      </c>
      <c r="H2667" s="31" t="e">
        <f>'[4]#REF'!I2667</f>
        <v>#REF!</v>
      </c>
      <c r="I2667" s="32" t="e">
        <f t="shared" si="72"/>
        <v>#REF!</v>
      </c>
    </row>
    <row r="2668" ht="15.75" spans="6:9">
      <c r="F2668" s="12" t="e">
        <f>'[4]#REF'!F2668</f>
        <v>#REF!</v>
      </c>
      <c r="G2668" s="12" t="e">
        <f>'[4]#REF'!G2668</f>
        <v>#REF!</v>
      </c>
      <c r="H2668" s="31" t="e">
        <f>'[4]#REF'!I2668</f>
        <v>#REF!</v>
      </c>
      <c r="I2668" s="32" t="e">
        <f t="shared" si="72"/>
        <v>#REF!</v>
      </c>
    </row>
    <row r="2669" ht="15.75" spans="6:9">
      <c r="F2669" s="12" t="e">
        <f>'[4]#REF'!F2669</f>
        <v>#REF!</v>
      </c>
      <c r="G2669" s="12" t="e">
        <f>'[4]#REF'!G2669</f>
        <v>#REF!</v>
      </c>
      <c r="H2669" s="31" t="e">
        <f>'[4]#REF'!I2669</f>
        <v>#REF!</v>
      </c>
      <c r="I2669" s="32" t="e">
        <f t="shared" si="72"/>
        <v>#REF!</v>
      </c>
    </row>
    <row r="2670" ht="15.75" spans="6:9">
      <c r="F2670" s="12" t="e">
        <f>'[4]#REF'!F2670</f>
        <v>#REF!</v>
      </c>
      <c r="G2670" s="12" t="e">
        <f>'[4]#REF'!G2670</f>
        <v>#REF!</v>
      </c>
      <c r="H2670" s="31" t="e">
        <f>'[4]#REF'!I2670</f>
        <v>#REF!</v>
      </c>
      <c r="I2670" s="32" t="e">
        <f t="shared" si="72"/>
        <v>#REF!</v>
      </c>
    </row>
    <row r="2671" ht="15.75" spans="6:9">
      <c r="F2671" s="12" t="e">
        <f>'[4]#REF'!F2671</f>
        <v>#REF!</v>
      </c>
      <c r="G2671" s="12" t="e">
        <f>'[4]#REF'!G2671</f>
        <v>#REF!</v>
      </c>
      <c r="H2671" s="31" t="e">
        <f>'[4]#REF'!I2671</f>
        <v>#REF!</v>
      </c>
      <c r="I2671" s="32" t="e">
        <f t="shared" si="72"/>
        <v>#REF!</v>
      </c>
    </row>
    <row r="2672" ht="15.75" spans="6:9">
      <c r="F2672" s="12" t="e">
        <f>'[4]#REF'!F2672</f>
        <v>#REF!</v>
      </c>
      <c r="G2672" s="12" t="e">
        <f>'[4]#REF'!G2672</f>
        <v>#REF!</v>
      </c>
      <c r="H2672" s="31" t="e">
        <f>'[4]#REF'!I2672</f>
        <v>#REF!</v>
      </c>
      <c r="I2672" s="32" t="e">
        <f t="shared" si="72"/>
        <v>#REF!</v>
      </c>
    </row>
    <row r="2673" ht="15.75" spans="6:9">
      <c r="F2673" s="12" t="e">
        <f>'[4]#REF'!F2673</f>
        <v>#REF!</v>
      </c>
      <c r="G2673" s="12" t="e">
        <f>'[4]#REF'!G2673</f>
        <v>#REF!</v>
      </c>
      <c r="H2673" s="31" t="e">
        <f>'[4]#REF'!I2673</f>
        <v>#REF!</v>
      </c>
      <c r="I2673" s="32" t="e">
        <f t="shared" si="72"/>
        <v>#REF!</v>
      </c>
    </row>
    <row r="2674" ht="15.75" spans="6:9">
      <c r="F2674" s="12" t="e">
        <f>'[4]#REF'!F2674</f>
        <v>#REF!</v>
      </c>
      <c r="G2674" s="12" t="e">
        <f>'[4]#REF'!G2674</f>
        <v>#REF!</v>
      </c>
      <c r="H2674" s="31" t="e">
        <f>'[4]#REF'!I2674</f>
        <v>#REF!</v>
      </c>
      <c r="I2674" s="32" t="e">
        <f t="shared" si="72"/>
        <v>#REF!</v>
      </c>
    </row>
    <row r="2675" ht="15.75" spans="6:9">
      <c r="F2675" s="12" t="e">
        <f>'[4]#REF'!F2675</f>
        <v>#REF!</v>
      </c>
      <c r="G2675" s="12" t="e">
        <f>'[4]#REF'!G2675</f>
        <v>#REF!</v>
      </c>
      <c r="H2675" s="31" t="e">
        <f>'[4]#REF'!I2675</f>
        <v>#REF!</v>
      </c>
      <c r="I2675" s="32" t="e">
        <f t="shared" si="72"/>
        <v>#REF!</v>
      </c>
    </row>
    <row r="2676" ht="15.75" spans="6:9">
      <c r="F2676" s="12" t="e">
        <f>'[4]#REF'!F2676</f>
        <v>#REF!</v>
      </c>
      <c r="G2676" s="12" t="e">
        <f>'[4]#REF'!G2676</f>
        <v>#REF!</v>
      </c>
      <c r="H2676" s="31" t="e">
        <f>'[4]#REF'!I2676</f>
        <v>#REF!</v>
      </c>
      <c r="I2676" s="32" t="e">
        <f t="shared" si="72"/>
        <v>#REF!</v>
      </c>
    </row>
    <row r="2677" ht="15.75" spans="6:9">
      <c r="F2677" s="12" t="e">
        <f>'[4]#REF'!F2677</f>
        <v>#REF!</v>
      </c>
      <c r="G2677" s="12" t="e">
        <f>'[4]#REF'!G2677</f>
        <v>#REF!</v>
      </c>
      <c r="H2677" s="31" t="e">
        <f>'[4]#REF'!I2677</f>
        <v>#REF!</v>
      </c>
      <c r="I2677" s="32" t="e">
        <f t="shared" si="72"/>
        <v>#REF!</v>
      </c>
    </row>
    <row r="2678" ht="15.75" spans="6:9">
      <c r="F2678" s="12" t="e">
        <f>'[4]#REF'!F2678</f>
        <v>#REF!</v>
      </c>
      <c r="G2678" s="12" t="e">
        <f>'[4]#REF'!G2678</f>
        <v>#REF!</v>
      </c>
      <c r="H2678" s="31" t="e">
        <f>'[4]#REF'!I2678</f>
        <v>#REF!</v>
      </c>
      <c r="I2678" s="32" t="e">
        <f t="shared" si="72"/>
        <v>#REF!</v>
      </c>
    </row>
    <row r="2679" ht="15.75" spans="6:9">
      <c r="F2679" s="12" t="e">
        <f>'[4]#REF'!F2679</f>
        <v>#REF!</v>
      </c>
      <c r="G2679" s="12" t="e">
        <f>'[4]#REF'!G2679</f>
        <v>#REF!</v>
      </c>
      <c r="H2679" s="31" t="e">
        <f>'[4]#REF'!I2679</f>
        <v>#REF!</v>
      </c>
      <c r="I2679" s="32" t="e">
        <f t="shared" si="72"/>
        <v>#REF!</v>
      </c>
    </row>
    <row r="2680" ht="15.75" spans="6:9">
      <c r="F2680" s="12" t="e">
        <f>'[4]#REF'!F2680</f>
        <v>#REF!</v>
      </c>
      <c r="G2680" s="12" t="e">
        <f>'[4]#REF'!G2680</f>
        <v>#REF!</v>
      </c>
      <c r="H2680" s="31" t="e">
        <f>'[4]#REF'!I2680</f>
        <v>#REF!</v>
      </c>
      <c r="I2680" s="32" t="e">
        <f t="shared" si="72"/>
        <v>#REF!</v>
      </c>
    </row>
    <row r="2681" ht="15.75" spans="6:9">
      <c r="F2681" s="12" t="e">
        <f>'[4]#REF'!F2681</f>
        <v>#REF!</v>
      </c>
      <c r="G2681" s="12" t="e">
        <f>'[4]#REF'!G2681</f>
        <v>#REF!</v>
      </c>
      <c r="H2681" s="31" t="e">
        <f>'[4]#REF'!I2681</f>
        <v>#REF!</v>
      </c>
      <c r="I2681" s="32" t="e">
        <f t="shared" si="72"/>
        <v>#REF!</v>
      </c>
    </row>
    <row r="2682" ht="15.75" spans="6:9">
      <c r="F2682" s="12" t="e">
        <f>'[4]#REF'!F2682</f>
        <v>#REF!</v>
      </c>
      <c r="G2682" s="12" t="e">
        <f>'[4]#REF'!G2682</f>
        <v>#REF!</v>
      </c>
      <c r="H2682" s="31" t="e">
        <f>'[4]#REF'!I2682</f>
        <v>#REF!</v>
      </c>
      <c r="I2682" s="32" t="e">
        <f t="shared" si="72"/>
        <v>#REF!</v>
      </c>
    </row>
    <row r="2683" ht="15.75" spans="6:9">
      <c r="F2683" s="12" t="e">
        <f>'[4]#REF'!F2683</f>
        <v>#REF!</v>
      </c>
      <c r="G2683" s="12" t="e">
        <f>'[4]#REF'!G2683</f>
        <v>#REF!</v>
      </c>
      <c r="H2683" s="31" t="e">
        <f>'[4]#REF'!I2683</f>
        <v>#REF!</v>
      </c>
      <c r="I2683" s="32" t="e">
        <f t="shared" si="72"/>
        <v>#REF!</v>
      </c>
    </row>
    <row r="2684" ht="15.75" spans="6:9">
      <c r="F2684" s="12" t="e">
        <f>'[4]#REF'!F2684</f>
        <v>#REF!</v>
      </c>
      <c r="G2684" s="12" t="e">
        <f>'[4]#REF'!G2684</f>
        <v>#REF!</v>
      </c>
      <c r="H2684" s="31" t="e">
        <f>'[4]#REF'!I2684</f>
        <v>#REF!</v>
      </c>
      <c r="I2684" s="32" t="e">
        <f t="shared" si="72"/>
        <v>#REF!</v>
      </c>
    </row>
    <row r="2685" ht="15.75" spans="6:9">
      <c r="F2685" s="12" t="e">
        <f>'[4]#REF'!F2685</f>
        <v>#REF!</v>
      </c>
      <c r="G2685" s="12" t="e">
        <f>'[4]#REF'!G2685</f>
        <v>#REF!</v>
      </c>
      <c r="H2685" s="31" t="e">
        <f>'[4]#REF'!I2685</f>
        <v>#REF!</v>
      </c>
      <c r="I2685" s="32" t="e">
        <f t="shared" si="72"/>
        <v>#REF!</v>
      </c>
    </row>
    <row r="2686" ht="15.75" spans="6:9">
      <c r="F2686" s="12" t="e">
        <f>'[4]#REF'!F2686</f>
        <v>#REF!</v>
      </c>
      <c r="G2686" s="12" t="e">
        <f>'[4]#REF'!G2686</f>
        <v>#REF!</v>
      </c>
      <c r="H2686" s="31" t="e">
        <f>'[4]#REF'!I2686</f>
        <v>#REF!</v>
      </c>
      <c r="I2686" s="32" t="e">
        <f t="shared" si="72"/>
        <v>#REF!</v>
      </c>
    </row>
    <row r="2687" ht="15.75" spans="6:9">
      <c r="F2687" s="12" t="e">
        <f>'[4]#REF'!F2687</f>
        <v>#REF!</v>
      </c>
      <c r="G2687" s="12" t="e">
        <f>'[4]#REF'!G2687</f>
        <v>#REF!</v>
      </c>
      <c r="H2687" s="31" t="e">
        <f>'[4]#REF'!I2687</f>
        <v>#REF!</v>
      </c>
      <c r="I2687" s="32" t="e">
        <f t="shared" si="72"/>
        <v>#REF!</v>
      </c>
    </row>
    <row r="2688" ht="15.75" spans="6:9">
      <c r="F2688" s="12" t="e">
        <f>'[4]#REF'!F2688</f>
        <v>#REF!</v>
      </c>
      <c r="G2688" s="12" t="e">
        <f>'[4]#REF'!G2688</f>
        <v>#REF!</v>
      </c>
      <c r="H2688" s="31" t="e">
        <f>'[4]#REF'!I2688</f>
        <v>#REF!</v>
      </c>
      <c r="I2688" s="32" t="e">
        <f t="shared" si="72"/>
        <v>#REF!</v>
      </c>
    </row>
    <row r="2689" ht="15.75" spans="6:9">
      <c r="F2689" s="12" t="e">
        <f>'[4]#REF'!F2689</f>
        <v>#REF!</v>
      </c>
      <c r="G2689" s="12" t="e">
        <f>'[4]#REF'!G2689</f>
        <v>#REF!</v>
      </c>
      <c r="H2689" s="31" t="e">
        <f>'[4]#REF'!I2689</f>
        <v>#REF!</v>
      </c>
      <c r="I2689" s="32" t="e">
        <f t="shared" si="72"/>
        <v>#REF!</v>
      </c>
    </row>
    <row r="2690" ht="15.75" spans="6:9">
      <c r="F2690" s="12" t="e">
        <f>'[4]#REF'!F2690</f>
        <v>#REF!</v>
      </c>
      <c r="G2690" s="12" t="e">
        <f>'[4]#REF'!G2690</f>
        <v>#REF!</v>
      </c>
      <c r="H2690" s="31" t="e">
        <f>'[4]#REF'!I2690</f>
        <v>#REF!</v>
      </c>
      <c r="I2690" s="32" t="e">
        <f t="shared" si="72"/>
        <v>#REF!</v>
      </c>
    </row>
    <row r="2691" ht="15.75" spans="6:9">
      <c r="F2691" s="12" t="e">
        <f>'[4]#REF'!F2691</f>
        <v>#REF!</v>
      </c>
      <c r="G2691" s="12" t="e">
        <f>'[4]#REF'!G2691</f>
        <v>#REF!</v>
      </c>
      <c r="H2691" s="31" t="e">
        <f>'[4]#REF'!I2691</f>
        <v>#REF!</v>
      </c>
      <c r="I2691" s="32" t="e">
        <f t="shared" si="72"/>
        <v>#REF!</v>
      </c>
    </row>
    <row r="2692" ht="15.75" spans="6:9">
      <c r="F2692" s="12" t="e">
        <f>'[4]#REF'!F2692</f>
        <v>#REF!</v>
      </c>
      <c r="G2692" s="12" t="e">
        <f>'[4]#REF'!G2692</f>
        <v>#REF!</v>
      </c>
      <c r="H2692" s="31" t="e">
        <f>'[4]#REF'!I2692</f>
        <v>#REF!</v>
      </c>
      <c r="I2692" s="32" t="e">
        <f t="shared" si="72"/>
        <v>#REF!</v>
      </c>
    </row>
    <row r="2693" ht="15.75" spans="6:9">
      <c r="F2693" s="12" t="e">
        <f>'[4]#REF'!F2693</f>
        <v>#REF!</v>
      </c>
      <c r="G2693" s="12" t="e">
        <f>'[4]#REF'!G2693</f>
        <v>#REF!</v>
      </c>
      <c r="H2693" s="31" t="e">
        <f>'[4]#REF'!I2693</f>
        <v>#REF!</v>
      </c>
      <c r="I2693" s="32" t="e">
        <f t="shared" si="72"/>
        <v>#REF!</v>
      </c>
    </row>
    <row r="2694" ht="15.75" spans="6:9">
      <c r="F2694" s="12" t="e">
        <f>'[4]#REF'!F2694</f>
        <v>#REF!</v>
      </c>
      <c r="G2694" s="12" t="e">
        <f>'[4]#REF'!G2694</f>
        <v>#REF!</v>
      </c>
      <c r="H2694" s="31" t="e">
        <f>'[4]#REF'!I2694</f>
        <v>#REF!</v>
      </c>
      <c r="I2694" s="32" t="e">
        <f t="shared" ref="I2694:I2757" si="73">ROUND(H2694/$I$4*100,2)</f>
        <v>#REF!</v>
      </c>
    </row>
    <row r="2695" ht="15.75" spans="6:9">
      <c r="F2695" s="12" t="e">
        <f>'[4]#REF'!F2695</f>
        <v>#REF!</v>
      </c>
      <c r="G2695" s="12" t="e">
        <f>'[4]#REF'!G2695</f>
        <v>#REF!</v>
      </c>
      <c r="H2695" s="31" t="e">
        <f>'[4]#REF'!I2695</f>
        <v>#REF!</v>
      </c>
      <c r="I2695" s="32" t="e">
        <f t="shared" si="73"/>
        <v>#REF!</v>
      </c>
    </row>
    <row r="2696" ht="15.75" spans="6:9">
      <c r="F2696" s="12" t="e">
        <f>'[4]#REF'!F2696</f>
        <v>#REF!</v>
      </c>
      <c r="G2696" s="12" t="e">
        <f>'[4]#REF'!G2696</f>
        <v>#REF!</v>
      </c>
      <c r="H2696" s="31" t="e">
        <f>'[4]#REF'!I2696</f>
        <v>#REF!</v>
      </c>
      <c r="I2696" s="32" t="e">
        <f t="shared" si="73"/>
        <v>#REF!</v>
      </c>
    </row>
    <row r="2697" ht="15.75" spans="6:9">
      <c r="F2697" s="12" t="e">
        <f>'[4]#REF'!F2697</f>
        <v>#REF!</v>
      </c>
      <c r="G2697" s="12" t="e">
        <f>'[4]#REF'!G2697</f>
        <v>#REF!</v>
      </c>
      <c r="H2697" s="31" t="e">
        <f>'[4]#REF'!I2697</f>
        <v>#REF!</v>
      </c>
      <c r="I2697" s="32" t="e">
        <f t="shared" si="73"/>
        <v>#REF!</v>
      </c>
    </row>
    <row r="2698" ht="15.75" spans="6:9">
      <c r="F2698" s="12" t="e">
        <f>'[4]#REF'!F2698</f>
        <v>#REF!</v>
      </c>
      <c r="G2698" s="12" t="e">
        <f>'[4]#REF'!G2698</f>
        <v>#REF!</v>
      </c>
      <c r="H2698" s="31" t="e">
        <f>'[4]#REF'!I2698</f>
        <v>#REF!</v>
      </c>
      <c r="I2698" s="32" t="e">
        <f t="shared" si="73"/>
        <v>#REF!</v>
      </c>
    </row>
    <row r="2699" ht="15.75" spans="6:9">
      <c r="F2699" s="12" t="e">
        <f>'[4]#REF'!F2699</f>
        <v>#REF!</v>
      </c>
      <c r="G2699" s="12" t="e">
        <f>'[4]#REF'!G2699</f>
        <v>#REF!</v>
      </c>
      <c r="H2699" s="31" t="e">
        <f>'[4]#REF'!I2699</f>
        <v>#REF!</v>
      </c>
      <c r="I2699" s="32" t="e">
        <f t="shared" si="73"/>
        <v>#REF!</v>
      </c>
    </row>
    <row r="2700" ht="15.75" spans="6:9">
      <c r="F2700" s="12" t="e">
        <f>'[4]#REF'!F2700</f>
        <v>#REF!</v>
      </c>
      <c r="G2700" s="12" t="e">
        <f>'[4]#REF'!G2700</f>
        <v>#REF!</v>
      </c>
      <c r="H2700" s="31" t="e">
        <f>'[4]#REF'!I2700</f>
        <v>#REF!</v>
      </c>
      <c r="I2700" s="32" t="e">
        <f t="shared" si="73"/>
        <v>#REF!</v>
      </c>
    </row>
    <row r="2701" ht="15.75" spans="6:9">
      <c r="F2701" s="12" t="e">
        <f>'[4]#REF'!F2701</f>
        <v>#REF!</v>
      </c>
      <c r="G2701" s="12" t="e">
        <f>'[4]#REF'!G2701</f>
        <v>#REF!</v>
      </c>
      <c r="H2701" s="31" t="e">
        <f>'[4]#REF'!I2701</f>
        <v>#REF!</v>
      </c>
      <c r="I2701" s="32" t="e">
        <f t="shared" si="73"/>
        <v>#REF!</v>
      </c>
    </row>
    <row r="2702" ht="15.75" spans="6:9">
      <c r="F2702" s="12" t="e">
        <f>'[4]#REF'!F2702</f>
        <v>#REF!</v>
      </c>
      <c r="G2702" s="12" t="e">
        <f>'[4]#REF'!G2702</f>
        <v>#REF!</v>
      </c>
      <c r="H2702" s="31" t="e">
        <f>'[4]#REF'!I2702</f>
        <v>#REF!</v>
      </c>
      <c r="I2702" s="32" t="e">
        <f t="shared" si="73"/>
        <v>#REF!</v>
      </c>
    </row>
    <row r="2703" ht="15.75" spans="6:9">
      <c r="F2703" s="12" t="e">
        <f>'[4]#REF'!F2703</f>
        <v>#REF!</v>
      </c>
      <c r="G2703" s="12" t="e">
        <f>'[4]#REF'!G2703</f>
        <v>#REF!</v>
      </c>
      <c r="H2703" s="31" t="e">
        <f>'[4]#REF'!I2703</f>
        <v>#REF!</v>
      </c>
      <c r="I2703" s="32" t="e">
        <f t="shared" si="73"/>
        <v>#REF!</v>
      </c>
    </row>
    <row r="2704" ht="15.75" spans="6:9">
      <c r="F2704" s="12" t="e">
        <f>'[4]#REF'!F2704</f>
        <v>#REF!</v>
      </c>
      <c r="G2704" s="12" t="e">
        <f>'[4]#REF'!G2704</f>
        <v>#REF!</v>
      </c>
      <c r="H2704" s="31" t="e">
        <f>'[4]#REF'!I2704</f>
        <v>#REF!</v>
      </c>
      <c r="I2704" s="32" t="e">
        <f t="shared" si="73"/>
        <v>#REF!</v>
      </c>
    </row>
    <row r="2705" ht="15.75" spans="6:9">
      <c r="F2705" s="12" t="e">
        <f>'[4]#REF'!F2705</f>
        <v>#REF!</v>
      </c>
      <c r="G2705" s="12" t="e">
        <f>'[4]#REF'!G2705</f>
        <v>#REF!</v>
      </c>
      <c r="H2705" s="31" t="e">
        <f>'[4]#REF'!I2705</f>
        <v>#REF!</v>
      </c>
      <c r="I2705" s="32" t="e">
        <f t="shared" si="73"/>
        <v>#REF!</v>
      </c>
    </row>
    <row r="2706" ht="15.75" spans="6:9">
      <c r="F2706" s="12" t="e">
        <f>'[4]#REF'!F2706</f>
        <v>#REF!</v>
      </c>
      <c r="G2706" s="12" t="e">
        <f>'[4]#REF'!G2706</f>
        <v>#REF!</v>
      </c>
      <c r="H2706" s="31" t="e">
        <f>'[4]#REF'!I2706</f>
        <v>#REF!</v>
      </c>
      <c r="I2706" s="32" t="e">
        <f t="shared" si="73"/>
        <v>#REF!</v>
      </c>
    </row>
    <row r="2707" ht="15.75" spans="6:9">
      <c r="F2707" s="12" t="e">
        <f>'[4]#REF'!F2707</f>
        <v>#REF!</v>
      </c>
      <c r="G2707" s="12" t="e">
        <f>'[4]#REF'!G2707</f>
        <v>#REF!</v>
      </c>
      <c r="H2707" s="31" t="e">
        <f>'[4]#REF'!I2707</f>
        <v>#REF!</v>
      </c>
      <c r="I2707" s="32" t="e">
        <f t="shared" si="73"/>
        <v>#REF!</v>
      </c>
    </row>
    <row r="2708" ht="15.75" spans="6:9">
      <c r="F2708" s="12" t="e">
        <f>'[4]#REF'!F2708</f>
        <v>#REF!</v>
      </c>
      <c r="G2708" s="12" t="e">
        <f>'[4]#REF'!G2708</f>
        <v>#REF!</v>
      </c>
      <c r="H2708" s="31" t="e">
        <f>'[4]#REF'!I2708</f>
        <v>#REF!</v>
      </c>
      <c r="I2708" s="32" t="e">
        <f t="shared" si="73"/>
        <v>#REF!</v>
      </c>
    </row>
    <row r="2709" ht="15.75" spans="6:9">
      <c r="F2709" s="12" t="e">
        <f>'[4]#REF'!F2709</f>
        <v>#REF!</v>
      </c>
      <c r="G2709" s="12" t="e">
        <f>'[4]#REF'!G2709</f>
        <v>#REF!</v>
      </c>
      <c r="H2709" s="31" t="e">
        <f>'[4]#REF'!I2709</f>
        <v>#REF!</v>
      </c>
      <c r="I2709" s="32" t="e">
        <f t="shared" si="73"/>
        <v>#REF!</v>
      </c>
    </row>
    <row r="2710" ht="15.75" spans="6:9">
      <c r="F2710" s="12" t="e">
        <f>'[4]#REF'!F2710</f>
        <v>#REF!</v>
      </c>
      <c r="G2710" s="12" t="e">
        <f>'[4]#REF'!G2710</f>
        <v>#REF!</v>
      </c>
      <c r="H2710" s="31" t="e">
        <f>'[4]#REF'!I2710</f>
        <v>#REF!</v>
      </c>
      <c r="I2710" s="32" t="e">
        <f t="shared" si="73"/>
        <v>#REF!</v>
      </c>
    </row>
    <row r="2711" ht="15.75" spans="6:9">
      <c r="F2711" s="12" t="e">
        <f>'[4]#REF'!F2711</f>
        <v>#REF!</v>
      </c>
      <c r="G2711" s="12" t="e">
        <f>'[4]#REF'!G2711</f>
        <v>#REF!</v>
      </c>
      <c r="H2711" s="31" t="e">
        <f>'[4]#REF'!I2711</f>
        <v>#REF!</v>
      </c>
      <c r="I2711" s="32" t="e">
        <f t="shared" si="73"/>
        <v>#REF!</v>
      </c>
    </row>
    <row r="2712" ht="15.75" spans="6:9">
      <c r="F2712" s="12" t="e">
        <f>'[4]#REF'!F2712</f>
        <v>#REF!</v>
      </c>
      <c r="G2712" s="12" t="e">
        <f>'[4]#REF'!G2712</f>
        <v>#REF!</v>
      </c>
      <c r="H2712" s="31" t="e">
        <f>'[4]#REF'!I2712</f>
        <v>#REF!</v>
      </c>
      <c r="I2712" s="32" t="e">
        <f t="shared" si="73"/>
        <v>#REF!</v>
      </c>
    </row>
    <row r="2713" ht="15.75" spans="6:9">
      <c r="F2713" s="12" t="e">
        <f>'[4]#REF'!F2713</f>
        <v>#REF!</v>
      </c>
      <c r="G2713" s="12" t="e">
        <f>'[4]#REF'!G2713</f>
        <v>#REF!</v>
      </c>
      <c r="H2713" s="31" t="e">
        <f>'[4]#REF'!I2713</f>
        <v>#REF!</v>
      </c>
      <c r="I2713" s="32" t="e">
        <f t="shared" si="73"/>
        <v>#REF!</v>
      </c>
    </row>
    <row r="2714" ht="15.75" spans="6:9">
      <c r="F2714" s="12" t="e">
        <f>'[4]#REF'!F2714</f>
        <v>#REF!</v>
      </c>
      <c r="G2714" s="12" t="e">
        <f>'[4]#REF'!G2714</f>
        <v>#REF!</v>
      </c>
      <c r="H2714" s="31" t="e">
        <f>'[4]#REF'!I2714</f>
        <v>#REF!</v>
      </c>
      <c r="I2714" s="32" t="e">
        <f t="shared" si="73"/>
        <v>#REF!</v>
      </c>
    </row>
    <row r="2715" ht="15.75" spans="6:9">
      <c r="F2715" s="12" t="e">
        <f>'[4]#REF'!F2715</f>
        <v>#REF!</v>
      </c>
      <c r="G2715" s="12" t="e">
        <f>'[4]#REF'!G2715</f>
        <v>#REF!</v>
      </c>
      <c r="H2715" s="31" t="e">
        <f>'[4]#REF'!I2715</f>
        <v>#REF!</v>
      </c>
      <c r="I2715" s="32" t="e">
        <f t="shared" si="73"/>
        <v>#REF!</v>
      </c>
    </row>
    <row r="2716" ht="15.75" spans="6:9">
      <c r="F2716" s="12" t="e">
        <f>'[4]#REF'!F2716</f>
        <v>#REF!</v>
      </c>
      <c r="G2716" s="12" t="e">
        <f>'[4]#REF'!G2716</f>
        <v>#REF!</v>
      </c>
      <c r="H2716" s="31" t="e">
        <f>'[4]#REF'!I2716</f>
        <v>#REF!</v>
      </c>
      <c r="I2716" s="32" t="e">
        <f t="shared" si="73"/>
        <v>#REF!</v>
      </c>
    </row>
    <row r="2717" ht="15.75" spans="6:9">
      <c r="F2717" s="12" t="e">
        <f>'[4]#REF'!F2717</f>
        <v>#REF!</v>
      </c>
      <c r="G2717" s="12" t="e">
        <f>'[4]#REF'!G2717</f>
        <v>#REF!</v>
      </c>
      <c r="H2717" s="31" t="e">
        <f>'[4]#REF'!I2717</f>
        <v>#REF!</v>
      </c>
      <c r="I2717" s="32" t="e">
        <f t="shared" si="73"/>
        <v>#REF!</v>
      </c>
    </row>
    <row r="2718" ht="15.75" spans="6:9">
      <c r="F2718" s="12" t="e">
        <f>'[4]#REF'!F2718</f>
        <v>#REF!</v>
      </c>
      <c r="G2718" s="12" t="e">
        <f>'[4]#REF'!G2718</f>
        <v>#REF!</v>
      </c>
      <c r="H2718" s="31" t="e">
        <f>'[4]#REF'!I2718</f>
        <v>#REF!</v>
      </c>
      <c r="I2718" s="32" t="e">
        <f t="shared" si="73"/>
        <v>#REF!</v>
      </c>
    </row>
    <row r="2719" ht="15.75" spans="6:9">
      <c r="F2719" s="12" t="e">
        <f>'[4]#REF'!F2719</f>
        <v>#REF!</v>
      </c>
      <c r="G2719" s="12" t="e">
        <f>'[4]#REF'!G2719</f>
        <v>#REF!</v>
      </c>
      <c r="H2719" s="31" t="e">
        <f>'[4]#REF'!I2719</f>
        <v>#REF!</v>
      </c>
      <c r="I2719" s="32" t="e">
        <f t="shared" si="73"/>
        <v>#REF!</v>
      </c>
    </row>
    <row r="2720" ht="15.75" spans="6:9">
      <c r="F2720" s="12" t="e">
        <f>'[4]#REF'!F2720</f>
        <v>#REF!</v>
      </c>
      <c r="G2720" s="12" t="e">
        <f>'[4]#REF'!G2720</f>
        <v>#REF!</v>
      </c>
      <c r="H2720" s="31" t="e">
        <f>'[4]#REF'!I2720</f>
        <v>#REF!</v>
      </c>
      <c r="I2720" s="32" t="e">
        <f t="shared" si="73"/>
        <v>#REF!</v>
      </c>
    </row>
    <row r="2721" ht="15.75" spans="6:9">
      <c r="F2721" s="12" t="e">
        <f>'[4]#REF'!F2721</f>
        <v>#REF!</v>
      </c>
      <c r="G2721" s="12" t="e">
        <f>'[4]#REF'!G2721</f>
        <v>#REF!</v>
      </c>
      <c r="H2721" s="31" t="e">
        <f>'[4]#REF'!I2721</f>
        <v>#REF!</v>
      </c>
      <c r="I2721" s="32" t="e">
        <f t="shared" si="73"/>
        <v>#REF!</v>
      </c>
    </row>
    <row r="2722" ht="15.75" spans="6:9">
      <c r="F2722" s="12" t="e">
        <f>'[4]#REF'!F2722</f>
        <v>#REF!</v>
      </c>
      <c r="G2722" s="12" t="e">
        <f>'[4]#REF'!G2722</f>
        <v>#REF!</v>
      </c>
      <c r="H2722" s="31" t="e">
        <f>'[4]#REF'!I2722</f>
        <v>#REF!</v>
      </c>
      <c r="I2722" s="32" t="e">
        <f t="shared" si="73"/>
        <v>#REF!</v>
      </c>
    </row>
    <row r="2723" ht="15.75" spans="6:9">
      <c r="F2723" s="12" t="e">
        <f>'[4]#REF'!F2723</f>
        <v>#REF!</v>
      </c>
      <c r="G2723" s="12" t="e">
        <f>'[4]#REF'!G2723</f>
        <v>#REF!</v>
      </c>
      <c r="H2723" s="31" t="e">
        <f>'[4]#REF'!I2723</f>
        <v>#REF!</v>
      </c>
      <c r="I2723" s="32" t="e">
        <f t="shared" si="73"/>
        <v>#REF!</v>
      </c>
    </row>
    <row r="2724" ht="15.75" spans="6:9">
      <c r="F2724" s="12" t="e">
        <f>'[4]#REF'!F2724</f>
        <v>#REF!</v>
      </c>
      <c r="G2724" s="12" t="e">
        <f>'[4]#REF'!G2724</f>
        <v>#REF!</v>
      </c>
      <c r="H2724" s="31" t="e">
        <f>'[4]#REF'!I2724</f>
        <v>#REF!</v>
      </c>
      <c r="I2724" s="32" t="e">
        <f t="shared" si="73"/>
        <v>#REF!</v>
      </c>
    </row>
    <row r="2725" ht="15.75" spans="6:9">
      <c r="F2725" s="12" t="e">
        <f>'[4]#REF'!F2725</f>
        <v>#REF!</v>
      </c>
      <c r="G2725" s="12" t="e">
        <f>'[4]#REF'!G2725</f>
        <v>#REF!</v>
      </c>
      <c r="H2725" s="31" t="e">
        <f>'[4]#REF'!I2725</f>
        <v>#REF!</v>
      </c>
      <c r="I2725" s="32" t="e">
        <f t="shared" si="73"/>
        <v>#REF!</v>
      </c>
    </row>
    <row r="2726" ht="15.75" spans="6:9">
      <c r="F2726" s="12" t="e">
        <f>'[4]#REF'!F2726</f>
        <v>#REF!</v>
      </c>
      <c r="G2726" s="12" t="e">
        <f>'[4]#REF'!G2726</f>
        <v>#REF!</v>
      </c>
      <c r="H2726" s="31" t="e">
        <f>'[4]#REF'!I2726</f>
        <v>#REF!</v>
      </c>
      <c r="I2726" s="32" t="e">
        <f t="shared" si="73"/>
        <v>#REF!</v>
      </c>
    </row>
    <row r="2727" ht="15.75" spans="6:9">
      <c r="F2727" s="12" t="e">
        <f>'[4]#REF'!F2727</f>
        <v>#REF!</v>
      </c>
      <c r="G2727" s="12" t="e">
        <f>'[4]#REF'!G2727</f>
        <v>#REF!</v>
      </c>
      <c r="H2727" s="31" t="e">
        <f>'[4]#REF'!I2727</f>
        <v>#REF!</v>
      </c>
      <c r="I2727" s="32" t="e">
        <f t="shared" si="73"/>
        <v>#REF!</v>
      </c>
    </row>
    <row r="2728" ht="15.75" spans="6:9">
      <c r="F2728" s="12" t="e">
        <f>'[4]#REF'!F2728</f>
        <v>#REF!</v>
      </c>
      <c r="G2728" s="12" t="e">
        <f>'[4]#REF'!G2728</f>
        <v>#REF!</v>
      </c>
      <c r="H2728" s="31" t="e">
        <f>'[4]#REF'!I2728</f>
        <v>#REF!</v>
      </c>
      <c r="I2728" s="32" t="e">
        <f t="shared" si="73"/>
        <v>#REF!</v>
      </c>
    </row>
    <row r="2729" ht="15.75" spans="6:9">
      <c r="F2729" s="12" t="e">
        <f>'[4]#REF'!F2729</f>
        <v>#REF!</v>
      </c>
      <c r="G2729" s="12" t="e">
        <f>'[4]#REF'!G2729</f>
        <v>#REF!</v>
      </c>
      <c r="H2729" s="31" t="e">
        <f>'[4]#REF'!I2729</f>
        <v>#REF!</v>
      </c>
      <c r="I2729" s="32" t="e">
        <f t="shared" si="73"/>
        <v>#REF!</v>
      </c>
    </row>
    <row r="2730" ht="15.75" spans="6:9">
      <c r="F2730" s="12" t="e">
        <f>'[4]#REF'!F2730</f>
        <v>#REF!</v>
      </c>
      <c r="G2730" s="12" t="e">
        <f>'[4]#REF'!G2730</f>
        <v>#REF!</v>
      </c>
      <c r="H2730" s="31" t="e">
        <f>'[4]#REF'!I2730</f>
        <v>#REF!</v>
      </c>
      <c r="I2730" s="32" t="e">
        <f t="shared" si="73"/>
        <v>#REF!</v>
      </c>
    </row>
    <row r="2731" ht="15.75" spans="6:9">
      <c r="F2731" s="12" t="e">
        <f>'[4]#REF'!F2731</f>
        <v>#REF!</v>
      </c>
      <c r="G2731" s="12" t="e">
        <f>'[4]#REF'!G2731</f>
        <v>#REF!</v>
      </c>
      <c r="H2731" s="31" t="e">
        <f>'[4]#REF'!I2731</f>
        <v>#REF!</v>
      </c>
      <c r="I2731" s="32" t="e">
        <f t="shared" si="73"/>
        <v>#REF!</v>
      </c>
    </row>
    <row r="2732" ht="15.75" spans="6:9">
      <c r="F2732" s="12" t="e">
        <f>'[4]#REF'!F2732</f>
        <v>#REF!</v>
      </c>
      <c r="G2732" s="12" t="e">
        <f>'[4]#REF'!G2732</f>
        <v>#REF!</v>
      </c>
      <c r="H2732" s="31" t="e">
        <f>'[4]#REF'!I2732</f>
        <v>#REF!</v>
      </c>
      <c r="I2732" s="32" t="e">
        <f t="shared" si="73"/>
        <v>#REF!</v>
      </c>
    </row>
    <row r="2733" ht="15.75" spans="6:9">
      <c r="F2733" s="12" t="e">
        <f>'[4]#REF'!F2733</f>
        <v>#REF!</v>
      </c>
      <c r="G2733" s="12" t="e">
        <f>'[4]#REF'!G2733</f>
        <v>#REF!</v>
      </c>
      <c r="H2733" s="31" t="e">
        <f>'[4]#REF'!I2733</f>
        <v>#REF!</v>
      </c>
      <c r="I2733" s="32" t="e">
        <f t="shared" si="73"/>
        <v>#REF!</v>
      </c>
    </row>
    <row r="2734" ht="15.75" spans="6:9">
      <c r="F2734" s="12" t="e">
        <f>'[4]#REF'!F2734</f>
        <v>#REF!</v>
      </c>
      <c r="G2734" s="12" t="e">
        <f>'[4]#REF'!G2734</f>
        <v>#REF!</v>
      </c>
      <c r="H2734" s="31" t="e">
        <f>'[4]#REF'!I2734</f>
        <v>#REF!</v>
      </c>
      <c r="I2734" s="32" t="e">
        <f t="shared" si="73"/>
        <v>#REF!</v>
      </c>
    </row>
    <row r="2735" ht="15.75" spans="6:9">
      <c r="F2735" s="12" t="e">
        <f>'[4]#REF'!F2735</f>
        <v>#REF!</v>
      </c>
      <c r="G2735" s="12" t="e">
        <f>'[4]#REF'!G2735</f>
        <v>#REF!</v>
      </c>
      <c r="H2735" s="31" t="e">
        <f>'[4]#REF'!I2735</f>
        <v>#REF!</v>
      </c>
      <c r="I2735" s="32" t="e">
        <f t="shared" si="73"/>
        <v>#REF!</v>
      </c>
    </row>
    <row r="2736" ht="15.75" spans="6:9">
      <c r="F2736" s="12" t="e">
        <f>'[4]#REF'!F2736</f>
        <v>#REF!</v>
      </c>
      <c r="G2736" s="12" t="e">
        <f>'[4]#REF'!G2736</f>
        <v>#REF!</v>
      </c>
      <c r="H2736" s="31" t="e">
        <f>'[4]#REF'!I2736</f>
        <v>#REF!</v>
      </c>
      <c r="I2736" s="32" t="e">
        <f t="shared" si="73"/>
        <v>#REF!</v>
      </c>
    </row>
    <row r="2737" ht="15.75" spans="6:9">
      <c r="F2737" s="12" t="e">
        <f>'[4]#REF'!F2737</f>
        <v>#REF!</v>
      </c>
      <c r="G2737" s="12" t="e">
        <f>'[4]#REF'!G2737</f>
        <v>#REF!</v>
      </c>
      <c r="H2737" s="31" t="e">
        <f>'[4]#REF'!I2737</f>
        <v>#REF!</v>
      </c>
      <c r="I2737" s="32" t="e">
        <f t="shared" si="73"/>
        <v>#REF!</v>
      </c>
    </row>
    <row r="2738" ht="15.75" spans="6:9">
      <c r="F2738" s="12" t="e">
        <f>'[4]#REF'!F2738</f>
        <v>#REF!</v>
      </c>
      <c r="G2738" s="12" t="e">
        <f>'[4]#REF'!G2738</f>
        <v>#REF!</v>
      </c>
      <c r="H2738" s="31" t="e">
        <f>'[4]#REF'!I2738</f>
        <v>#REF!</v>
      </c>
      <c r="I2738" s="32" t="e">
        <f t="shared" si="73"/>
        <v>#REF!</v>
      </c>
    </row>
    <row r="2739" ht="15.75" spans="6:9">
      <c r="F2739" s="12" t="e">
        <f>'[4]#REF'!F2739</f>
        <v>#REF!</v>
      </c>
      <c r="G2739" s="12" t="e">
        <f>'[4]#REF'!G2739</f>
        <v>#REF!</v>
      </c>
      <c r="H2739" s="31" t="e">
        <f>'[4]#REF'!I2739</f>
        <v>#REF!</v>
      </c>
      <c r="I2739" s="32" t="e">
        <f t="shared" si="73"/>
        <v>#REF!</v>
      </c>
    </row>
    <row r="2740" ht="15.75" spans="6:9">
      <c r="F2740" s="12" t="e">
        <f>'[4]#REF'!F2740</f>
        <v>#REF!</v>
      </c>
      <c r="G2740" s="12" t="e">
        <f>'[4]#REF'!G2740</f>
        <v>#REF!</v>
      </c>
      <c r="H2740" s="31" t="e">
        <f>'[4]#REF'!I2740</f>
        <v>#REF!</v>
      </c>
      <c r="I2740" s="32" t="e">
        <f t="shared" si="73"/>
        <v>#REF!</v>
      </c>
    </row>
    <row r="2741" ht="15.75" spans="6:9">
      <c r="F2741" s="12" t="e">
        <f>'[4]#REF'!F2741</f>
        <v>#REF!</v>
      </c>
      <c r="G2741" s="12" t="e">
        <f>'[4]#REF'!G2741</f>
        <v>#REF!</v>
      </c>
      <c r="H2741" s="31" t="e">
        <f>'[4]#REF'!I2741</f>
        <v>#REF!</v>
      </c>
      <c r="I2741" s="32" t="e">
        <f t="shared" si="73"/>
        <v>#REF!</v>
      </c>
    </row>
    <row r="2742" ht="15.75" spans="6:9">
      <c r="F2742" s="12" t="e">
        <f>'[4]#REF'!F2742</f>
        <v>#REF!</v>
      </c>
      <c r="G2742" s="12" t="e">
        <f>'[4]#REF'!G2742</f>
        <v>#REF!</v>
      </c>
      <c r="H2742" s="31" t="e">
        <f>'[4]#REF'!I2742</f>
        <v>#REF!</v>
      </c>
      <c r="I2742" s="32" t="e">
        <f t="shared" si="73"/>
        <v>#REF!</v>
      </c>
    </row>
    <row r="2743" ht="15.75" spans="6:9">
      <c r="F2743" s="12" t="e">
        <f>'[4]#REF'!F2743</f>
        <v>#REF!</v>
      </c>
      <c r="G2743" s="12" t="e">
        <f>'[4]#REF'!G2743</f>
        <v>#REF!</v>
      </c>
      <c r="H2743" s="31" t="e">
        <f>'[4]#REF'!I2743</f>
        <v>#REF!</v>
      </c>
      <c r="I2743" s="32" t="e">
        <f t="shared" si="73"/>
        <v>#REF!</v>
      </c>
    </row>
    <row r="2744" ht="15.75" spans="6:9">
      <c r="F2744" s="12" t="e">
        <f>'[4]#REF'!F2744</f>
        <v>#REF!</v>
      </c>
      <c r="G2744" s="12" t="e">
        <f>'[4]#REF'!G2744</f>
        <v>#REF!</v>
      </c>
      <c r="H2744" s="31" t="e">
        <f>'[4]#REF'!I2744</f>
        <v>#REF!</v>
      </c>
      <c r="I2744" s="32" t="e">
        <f t="shared" si="73"/>
        <v>#REF!</v>
      </c>
    </row>
    <row r="2745" ht="15.75" spans="6:9">
      <c r="F2745" s="12" t="e">
        <f>'[4]#REF'!F2745</f>
        <v>#REF!</v>
      </c>
      <c r="G2745" s="12" t="e">
        <f>'[4]#REF'!G2745</f>
        <v>#REF!</v>
      </c>
      <c r="H2745" s="31" t="e">
        <f>'[4]#REF'!I2745</f>
        <v>#REF!</v>
      </c>
      <c r="I2745" s="32" t="e">
        <f t="shared" si="73"/>
        <v>#REF!</v>
      </c>
    </row>
    <row r="2746" ht="15.75" spans="6:9">
      <c r="F2746" s="12" t="e">
        <f>'[4]#REF'!F2746</f>
        <v>#REF!</v>
      </c>
      <c r="G2746" s="12" t="e">
        <f>'[4]#REF'!G2746</f>
        <v>#REF!</v>
      </c>
      <c r="H2746" s="31" t="e">
        <f>'[4]#REF'!I2746</f>
        <v>#REF!</v>
      </c>
      <c r="I2746" s="32" t="e">
        <f t="shared" si="73"/>
        <v>#REF!</v>
      </c>
    </row>
    <row r="2747" ht="15.75" spans="6:9">
      <c r="F2747" s="12" t="e">
        <f>'[4]#REF'!F2747</f>
        <v>#REF!</v>
      </c>
      <c r="G2747" s="12" t="e">
        <f>'[4]#REF'!G2747</f>
        <v>#REF!</v>
      </c>
      <c r="H2747" s="31" t="e">
        <f>'[4]#REF'!I2747</f>
        <v>#REF!</v>
      </c>
      <c r="I2747" s="32" t="e">
        <f t="shared" si="73"/>
        <v>#REF!</v>
      </c>
    </row>
    <row r="2748" ht="15.75" spans="6:9">
      <c r="F2748" s="12" t="e">
        <f>'[4]#REF'!F2748</f>
        <v>#REF!</v>
      </c>
      <c r="G2748" s="12" t="e">
        <f>'[4]#REF'!G2748</f>
        <v>#REF!</v>
      </c>
      <c r="H2748" s="31" t="e">
        <f>'[4]#REF'!I2748</f>
        <v>#REF!</v>
      </c>
      <c r="I2748" s="32" t="e">
        <f t="shared" si="73"/>
        <v>#REF!</v>
      </c>
    </row>
    <row r="2749" ht="15.75" spans="6:9">
      <c r="F2749" s="12" t="e">
        <f>'[4]#REF'!F2749</f>
        <v>#REF!</v>
      </c>
      <c r="G2749" s="12" t="e">
        <f>'[4]#REF'!G2749</f>
        <v>#REF!</v>
      </c>
      <c r="H2749" s="31" t="e">
        <f>'[4]#REF'!I2749</f>
        <v>#REF!</v>
      </c>
      <c r="I2749" s="32" t="e">
        <f t="shared" si="73"/>
        <v>#REF!</v>
      </c>
    </row>
    <row r="2750" ht="15.75" spans="6:9">
      <c r="F2750" s="12" t="e">
        <f>'[4]#REF'!F2750</f>
        <v>#REF!</v>
      </c>
      <c r="G2750" s="12" t="e">
        <f>'[4]#REF'!G2750</f>
        <v>#REF!</v>
      </c>
      <c r="H2750" s="31" t="e">
        <f>'[4]#REF'!I2750</f>
        <v>#REF!</v>
      </c>
      <c r="I2750" s="32" t="e">
        <f t="shared" si="73"/>
        <v>#REF!</v>
      </c>
    </row>
    <row r="2751" ht="15.75" spans="6:9">
      <c r="F2751" s="12" t="e">
        <f>'[4]#REF'!F2751</f>
        <v>#REF!</v>
      </c>
      <c r="G2751" s="12" t="e">
        <f>'[4]#REF'!G2751</f>
        <v>#REF!</v>
      </c>
      <c r="H2751" s="31" t="e">
        <f>'[4]#REF'!I2751</f>
        <v>#REF!</v>
      </c>
      <c r="I2751" s="32" t="e">
        <f t="shared" si="73"/>
        <v>#REF!</v>
      </c>
    </row>
    <row r="2752" ht="15.75" spans="6:9">
      <c r="F2752" s="12" t="e">
        <f>'[4]#REF'!F2752</f>
        <v>#REF!</v>
      </c>
      <c r="G2752" s="12" t="e">
        <f>'[4]#REF'!G2752</f>
        <v>#REF!</v>
      </c>
      <c r="H2752" s="31" t="e">
        <f>'[4]#REF'!I2752</f>
        <v>#REF!</v>
      </c>
      <c r="I2752" s="32" t="e">
        <f t="shared" si="73"/>
        <v>#REF!</v>
      </c>
    </row>
    <row r="2753" ht="15.75" spans="6:9">
      <c r="F2753" s="12" t="e">
        <f>'[4]#REF'!F2753</f>
        <v>#REF!</v>
      </c>
      <c r="G2753" s="12" t="e">
        <f>'[4]#REF'!G2753</f>
        <v>#REF!</v>
      </c>
      <c r="H2753" s="31" t="e">
        <f>'[4]#REF'!I2753</f>
        <v>#REF!</v>
      </c>
      <c r="I2753" s="32" t="e">
        <f t="shared" si="73"/>
        <v>#REF!</v>
      </c>
    </row>
    <row r="2754" ht="15.75" spans="6:9">
      <c r="F2754" s="12" t="e">
        <f>'[4]#REF'!F2754</f>
        <v>#REF!</v>
      </c>
      <c r="G2754" s="12" t="e">
        <f>'[4]#REF'!G2754</f>
        <v>#REF!</v>
      </c>
      <c r="H2754" s="31" t="e">
        <f>'[4]#REF'!I2754</f>
        <v>#REF!</v>
      </c>
      <c r="I2754" s="32" t="e">
        <f t="shared" si="73"/>
        <v>#REF!</v>
      </c>
    </row>
    <row r="2755" ht="15.75" spans="6:9">
      <c r="F2755" s="12" t="e">
        <f>'[4]#REF'!F2755</f>
        <v>#REF!</v>
      </c>
      <c r="G2755" s="12" t="e">
        <f>'[4]#REF'!G2755</f>
        <v>#REF!</v>
      </c>
      <c r="H2755" s="31" t="e">
        <f>'[4]#REF'!I2755</f>
        <v>#REF!</v>
      </c>
      <c r="I2755" s="32" t="e">
        <f t="shared" si="73"/>
        <v>#REF!</v>
      </c>
    </row>
    <row r="2756" ht="15.75" spans="6:9">
      <c r="F2756" s="12" t="e">
        <f>'[4]#REF'!F2756</f>
        <v>#REF!</v>
      </c>
      <c r="G2756" s="12" t="e">
        <f>'[4]#REF'!G2756</f>
        <v>#REF!</v>
      </c>
      <c r="H2756" s="31" t="e">
        <f>'[4]#REF'!I2756</f>
        <v>#REF!</v>
      </c>
      <c r="I2756" s="32" t="e">
        <f t="shared" si="73"/>
        <v>#REF!</v>
      </c>
    </row>
    <row r="2757" ht="15.75" spans="6:9">
      <c r="F2757" s="12" t="e">
        <f>'[4]#REF'!F2757</f>
        <v>#REF!</v>
      </c>
      <c r="G2757" s="12" t="e">
        <f>'[4]#REF'!G2757</f>
        <v>#REF!</v>
      </c>
      <c r="H2757" s="31" t="e">
        <f>'[4]#REF'!I2757</f>
        <v>#REF!</v>
      </c>
      <c r="I2757" s="32" t="e">
        <f t="shared" si="73"/>
        <v>#REF!</v>
      </c>
    </row>
    <row r="2758" ht="15.75" spans="6:9">
      <c r="F2758" s="12" t="e">
        <f>'[4]#REF'!F2758</f>
        <v>#REF!</v>
      </c>
      <c r="G2758" s="12" t="e">
        <f>'[4]#REF'!G2758</f>
        <v>#REF!</v>
      </c>
      <c r="H2758" s="31" t="e">
        <f>'[4]#REF'!I2758</f>
        <v>#REF!</v>
      </c>
      <c r="I2758" s="32" t="e">
        <f t="shared" ref="I2758:I2821" si="74">ROUND(H2758/$I$4*100,2)</f>
        <v>#REF!</v>
      </c>
    </row>
    <row r="2759" ht="15.75" spans="6:9">
      <c r="F2759" s="12" t="e">
        <f>'[4]#REF'!F2759</f>
        <v>#REF!</v>
      </c>
      <c r="G2759" s="12" t="e">
        <f>'[4]#REF'!G2759</f>
        <v>#REF!</v>
      </c>
      <c r="H2759" s="31" t="e">
        <f>'[4]#REF'!I2759</f>
        <v>#REF!</v>
      </c>
      <c r="I2759" s="32" t="e">
        <f t="shared" si="74"/>
        <v>#REF!</v>
      </c>
    </row>
    <row r="2760" ht="15.75" spans="6:9">
      <c r="F2760" s="12" t="e">
        <f>'[4]#REF'!F2760</f>
        <v>#REF!</v>
      </c>
      <c r="G2760" s="12" t="e">
        <f>'[4]#REF'!G2760</f>
        <v>#REF!</v>
      </c>
      <c r="H2760" s="31" t="e">
        <f>'[4]#REF'!I2760</f>
        <v>#REF!</v>
      </c>
      <c r="I2760" s="32" t="e">
        <f t="shared" si="74"/>
        <v>#REF!</v>
      </c>
    </row>
    <row r="2761" ht="15.75" spans="6:9">
      <c r="F2761" s="12" t="e">
        <f>'[4]#REF'!F2761</f>
        <v>#REF!</v>
      </c>
      <c r="G2761" s="12" t="e">
        <f>'[4]#REF'!G2761</f>
        <v>#REF!</v>
      </c>
      <c r="H2761" s="31" t="e">
        <f>'[4]#REF'!I2761</f>
        <v>#REF!</v>
      </c>
      <c r="I2761" s="32" t="e">
        <f t="shared" si="74"/>
        <v>#REF!</v>
      </c>
    </row>
    <row r="2762" ht="15.75" spans="6:9">
      <c r="F2762" s="12" t="e">
        <f>'[4]#REF'!F2762</f>
        <v>#REF!</v>
      </c>
      <c r="G2762" s="12" t="e">
        <f>'[4]#REF'!G2762</f>
        <v>#REF!</v>
      </c>
      <c r="H2762" s="31" t="e">
        <f>'[4]#REF'!I2762</f>
        <v>#REF!</v>
      </c>
      <c r="I2762" s="32" t="e">
        <f t="shared" si="74"/>
        <v>#REF!</v>
      </c>
    </row>
    <row r="2763" ht="15.75" spans="6:9">
      <c r="F2763" s="12" t="e">
        <f>'[4]#REF'!F2763</f>
        <v>#REF!</v>
      </c>
      <c r="G2763" s="12" t="e">
        <f>'[4]#REF'!G2763</f>
        <v>#REF!</v>
      </c>
      <c r="H2763" s="31" t="e">
        <f>'[4]#REF'!I2763</f>
        <v>#REF!</v>
      </c>
      <c r="I2763" s="32" t="e">
        <f t="shared" si="74"/>
        <v>#REF!</v>
      </c>
    </row>
    <row r="2764" ht="15.75" spans="6:9">
      <c r="F2764" s="12" t="e">
        <f>'[4]#REF'!F2764</f>
        <v>#REF!</v>
      </c>
      <c r="G2764" s="12" t="e">
        <f>'[4]#REF'!G2764</f>
        <v>#REF!</v>
      </c>
      <c r="H2764" s="31" t="e">
        <f>'[4]#REF'!I2764</f>
        <v>#REF!</v>
      </c>
      <c r="I2764" s="32" t="e">
        <f t="shared" si="74"/>
        <v>#REF!</v>
      </c>
    </row>
    <row r="2765" ht="15.75" spans="6:9">
      <c r="F2765" s="12" t="e">
        <f>'[4]#REF'!F2765</f>
        <v>#REF!</v>
      </c>
      <c r="G2765" s="12" t="e">
        <f>'[4]#REF'!G2765</f>
        <v>#REF!</v>
      </c>
      <c r="H2765" s="31" t="e">
        <f>'[4]#REF'!I2765</f>
        <v>#REF!</v>
      </c>
      <c r="I2765" s="32" t="e">
        <f t="shared" si="74"/>
        <v>#REF!</v>
      </c>
    </row>
    <row r="2766" ht="15.75" spans="6:9">
      <c r="F2766" s="12" t="e">
        <f>'[4]#REF'!F2766</f>
        <v>#REF!</v>
      </c>
      <c r="G2766" s="12" t="e">
        <f>'[4]#REF'!G2766</f>
        <v>#REF!</v>
      </c>
      <c r="H2766" s="31" t="e">
        <f>'[4]#REF'!I2766</f>
        <v>#REF!</v>
      </c>
      <c r="I2766" s="32" t="e">
        <f t="shared" si="74"/>
        <v>#REF!</v>
      </c>
    </row>
    <row r="2767" ht="15.75" spans="6:9">
      <c r="F2767" s="12" t="e">
        <f>'[4]#REF'!F2767</f>
        <v>#REF!</v>
      </c>
      <c r="G2767" s="12" t="e">
        <f>'[4]#REF'!G2767</f>
        <v>#REF!</v>
      </c>
      <c r="H2767" s="31" t="e">
        <f>'[4]#REF'!I2767</f>
        <v>#REF!</v>
      </c>
      <c r="I2767" s="32" t="e">
        <f t="shared" si="74"/>
        <v>#REF!</v>
      </c>
    </row>
    <row r="2768" ht="15.75" spans="6:9">
      <c r="F2768" s="12" t="e">
        <f>'[4]#REF'!F2768</f>
        <v>#REF!</v>
      </c>
      <c r="G2768" s="12" t="e">
        <f>'[4]#REF'!G2768</f>
        <v>#REF!</v>
      </c>
      <c r="H2768" s="31" t="e">
        <f>'[4]#REF'!I2768</f>
        <v>#REF!</v>
      </c>
      <c r="I2768" s="32" t="e">
        <f t="shared" si="74"/>
        <v>#REF!</v>
      </c>
    </row>
    <row r="2769" ht="15.75" spans="6:9">
      <c r="F2769" s="12" t="e">
        <f>'[4]#REF'!F2769</f>
        <v>#REF!</v>
      </c>
      <c r="G2769" s="12" t="e">
        <f>'[4]#REF'!G2769</f>
        <v>#REF!</v>
      </c>
      <c r="H2769" s="31" t="e">
        <f>'[4]#REF'!I2769</f>
        <v>#REF!</v>
      </c>
      <c r="I2769" s="32" t="e">
        <f t="shared" si="74"/>
        <v>#REF!</v>
      </c>
    </row>
    <row r="2770" ht="15.75" spans="6:9">
      <c r="F2770" s="12" t="e">
        <f>'[4]#REF'!F2770</f>
        <v>#REF!</v>
      </c>
      <c r="G2770" s="12" t="e">
        <f>'[4]#REF'!G2770</f>
        <v>#REF!</v>
      </c>
      <c r="H2770" s="31" t="e">
        <f>'[4]#REF'!I2770</f>
        <v>#REF!</v>
      </c>
      <c r="I2770" s="32" t="e">
        <f t="shared" si="74"/>
        <v>#REF!</v>
      </c>
    </row>
    <row r="2771" ht="15.75" spans="6:9">
      <c r="F2771" s="12" t="e">
        <f>'[4]#REF'!F2771</f>
        <v>#REF!</v>
      </c>
      <c r="G2771" s="12" t="e">
        <f>'[4]#REF'!G2771</f>
        <v>#REF!</v>
      </c>
      <c r="H2771" s="31" t="e">
        <f>'[4]#REF'!I2771</f>
        <v>#REF!</v>
      </c>
      <c r="I2771" s="32" t="e">
        <f t="shared" si="74"/>
        <v>#REF!</v>
      </c>
    </row>
    <row r="2772" ht="15.75" spans="6:9">
      <c r="F2772" s="12" t="e">
        <f>'[4]#REF'!F2772</f>
        <v>#REF!</v>
      </c>
      <c r="G2772" s="12" t="e">
        <f>'[4]#REF'!G2772</f>
        <v>#REF!</v>
      </c>
      <c r="H2772" s="31" t="e">
        <f>'[4]#REF'!I2772</f>
        <v>#REF!</v>
      </c>
      <c r="I2772" s="32" t="e">
        <f t="shared" si="74"/>
        <v>#REF!</v>
      </c>
    </row>
    <row r="2773" ht="15.75" spans="6:9">
      <c r="F2773" s="12" t="e">
        <f>'[4]#REF'!F2773</f>
        <v>#REF!</v>
      </c>
      <c r="G2773" s="12" t="e">
        <f>'[4]#REF'!G2773</f>
        <v>#REF!</v>
      </c>
      <c r="H2773" s="31" t="e">
        <f>'[4]#REF'!I2773</f>
        <v>#REF!</v>
      </c>
      <c r="I2773" s="32" t="e">
        <f t="shared" si="74"/>
        <v>#REF!</v>
      </c>
    </row>
    <row r="2774" ht="15.75" spans="6:9">
      <c r="F2774" s="12" t="e">
        <f>'[4]#REF'!F2774</f>
        <v>#REF!</v>
      </c>
      <c r="G2774" s="12" t="e">
        <f>'[4]#REF'!G2774</f>
        <v>#REF!</v>
      </c>
      <c r="H2774" s="31" t="e">
        <f>'[4]#REF'!I2774</f>
        <v>#REF!</v>
      </c>
      <c r="I2774" s="32" t="e">
        <f t="shared" si="74"/>
        <v>#REF!</v>
      </c>
    </row>
    <row r="2775" ht="15.75" spans="6:9">
      <c r="F2775" s="12" t="e">
        <f>'[4]#REF'!F2775</f>
        <v>#REF!</v>
      </c>
      <c r="G2775" s="12" t="e">
        <f>'[4]#REF'!G2775</f>
        <v>#REF!</v>
      </c>
      <c r="H2775" s="31" t="e">
        <f>'[4]#REF'!I2775</f>
        <v>#REF!</v>
      </c>
      <c r="I2775" s="32" t="e">
        <f t="shared" si="74"/>
        <v>#REF!</v>
      </c>
    </row>
    <row r="2776" ht="15.75" spans="6:9">
      <c r="F2776" s="12" t="e">
        <f>'[4]#REF'!F2776</f>
        <v>#REF!</v>
      </c>
      <c r="G2776" s="12" t="e">
        <f>'[4]#REF'!G2776</f>
        <v>#REF!</v>
      </c>
      <c r="H2776" s="31" t="e">
        <f>'[4]#REF'!I2776</f>
        <v>#REF!</v>
      </c>
      <c r="I2776" s="32" t="e">
        <f t="shared" si="74"/>
        <v>#REF!</v>
      </c>
    </row>
    <row r="2777" ht="15.75" spans="6:9">
      <c r="F2777" s="12" t="e">
        <f>'[4]#REF'!F2777</f>
        <v>#REF!</v>
      </c>
      <c r="G2777" s="12" t="e">
        <f>'[4]#REF'!G2777</f>
        <v>#REF!</v>
      </c>
      <c r="H2777" s="31" t="e">
        <f>'[4]#REF'!I2777</f>
        <v>#REF!</v>
      </c>
      <c r="I2777" s="32" t="e">
        <f t="shared" si="74"/>
        <v>#REF!</v>
      </c>
    </row>
    <row r="2778" ht="15.75" spans="6:9">
      <c r="F2778" s="12" t="e">
        <f>'[4]#REF'!F2778</f>
        <v>#REF!</v>
      </c>
      <c r="G2778" s="12" t="e">
        <f>'[4]#REF'!G2778</f>
        <v>#REF!</v>
      </c>
      <c r="H2778" s="31" t="e">
        <f>'[4]#REF'!I2778</f>
        <v>#REF!</v>
      </c>
      <c r="I2778" s="32" t="e">
        <f t="shared" si="74"/>
        <v>#REF!</v>
      </c>
    </row>
    <row r="2779" ht="15.75" spans="6:9">
      <c r="F2779" s="12" t="e">
        <f>'[4]#REF'!F2779</f>
        <v>#REF!</v>
      </c>
      <c r="G2779" s="12" t="e">
        <f>'[4]#REF'!G2779</f>
        <v>#REF!</v>
      </c>
      <c r="H2779" s="31" t="e">
        <f>'[4]#REF'!I2779</f>
        <v>#REF!</v>
      </c>
      <c r="I2779" s="32" t="e">
        <f t="shared" si="74"/>
        <v>#REF!</v>
      </c>
    </row>
    <row r="2780" ht="15.75" spans="6:9">
      <c r="F2780" s="12" t="e">
        <f>'[4]#REF'!F2780</f>
        <v>#REF!</v>
      </c>
      <c r="G2780" s="12" t="e">
        <f>'[4]#REF'!G2780</f>
        <v>#REF!</v>
      </c>
      <c r="H2780" s="31" t="e">
        <f>'[4]#REF'!I2780</f>
        <v>#REF!</v>
      </c>
      <c r="I2780" s="32" t="e">
        <f t="shared" si="74"/>
        <v>#REF!</v>
      </c>
    </row>
    <row r="2781" ht="15.75" spans="6:9">
      <c r="F2781" s="12" t="e">
        <f>'[4]#REF'!F2781</f>
        <v>#REF!</v>
      </c>
      <c r="G2781" s="12" t="e">
        <f>'[4]#REF'!G2781</f>
        <v>#REF!</v>
      </c>
      <c r="H2781" s="31" t="e">
        <f>'[4]#REF'!I2781</f>
        <v>#REF!</v>
      </c>
      <c r="I2781" s="32" t="e">
        <f t="shared" si="74"/>
        <v>#REF!</v>
      </c>
    </row>
    <row r="2782" ht="15.75" spans="6:9">
      <c r="F2782" s="12" t="e">
        <f>'[4]#REF'!F2782</f>
        <v>#REF!</v>
      </c>
      <c r="G2782" s="12" t="e">
        <f>'[4]#REF'!G2782</f>
        <v>#REF!</v>
      </c>
      <c r="H2782" s="31" t="e">
        <f>'[4]#REF'!I2782</f>
        <v>#REF!</v>
      </c>
      <c r="I2782" s="32" t="e">
        <f t="shared" si="74"/>
        <v>#REF!</v>
      </c>
    </row>
    <row r="2783" ht="15.75" spans="6:9">
      <c r="F2783" s="12" t="e">
        <f>'[4]#REF'!F2783</f>
        <v>#REF!</v>
      </c>
      <c r="G2783" s="12" t="e">
        <f>'[4]#REF'!G2783</f>
        <v>#REF!</v>
      </c>
      <c r="H2783" s="31" t="e">
        <f>'[4]#REF'!I2783</f>
        <v>#REF!</v>
      </c>
      <c r="I2783" s="32" t="e">
        <f t="shared" si="74"/>
        <v>#REF!</v>
      </c>
    </row>
    <row r="2784" ht="15.75" spans="6:9">
      <c r="F2784" s="12" t="e">
        <f>'[4]#REF'!F2784</f>
        <v>#REF!</v>
      </c>
      <c r="G2784" s="12" t="e">
        <f>'[4]#REF'!G2784</f>
        <v>#REF!</v>
      </c>
      <c r="H2784" s="31" t="e">
        <f>'[4]#REF'!I2784</f>
        <v>#REF!</v>
      </c>
      <c r="I2784" s="32" t="e">
        <f t="shared" si="74"/>
        <v>#REF!</v>
      </c>
    </row>
    <row r="2785" ht="15.75" spans="6:9">
      <c r="F2785" s="12" t="e">
        <f>'[4]#REF'!F2785</f>
        <v>#REF!</v>
      </c>
      <c r="G2785" s="12" t="e">
        <f>'[4]#REF'!G2785</f>
        <v>#REF!</v>
      </c>
      <c r="H2785" s="31" t="e">
        <f>'[4]#REF'!I2785</f>
        <v>#REF!</v>
      </c>
      <c r="I2785" s="32" t="e">
        <f t="shared" si="74"/>
        <v>#REF!</v>
      </c>
    </row>
    <row r="2786" ht="15.75" spans="6:9">
      <c r="F2786" s="12" t="e">
        <f>'[4]#REF'!F2786</f>
        <v>#REF!</v>
      </c>
      <c r="G2786" s="12" t="e">
        <f>'[4]#REF'!G2786</f>
        <v>#REF!</v>
      </c>
      <c r="H2786" s="31" t="e">
        <f>'[4]#REF'!I2786</f>
        <v>#REF!</v>
      </c>
      <c r="I2786" s="32" t="e">
        <f t="shared" si="74"/>
        <v>#REF!</v>
      </c>
    </row>
    <row r="2787" ht="15.75" spans="6:9">
      <c r="F2787" s="12" t="e">
        <f>'[4]#REF'!F2787</f>
        <v>#REF!</v>
      </c>
      <c r="G2787" s="12" t="e">
        <f>'[4]#REF'!G2787</f>
        <v>#REF!</v>
      </c>
      <c r="H2787" s="31" t="e">
        <f>'[4]#REF'!I2787</f>
        <v>#REF!</v>
      </c>
      <c r="I2787" s="32" t="e">
        <f t="shared" si="74"/>
        <v>#REF!</v>
      </c>
    </row>
    <row r="2788" ht="15.75" spans="6:9">
      <c r="F2788" s="12" t="e">
        <f>'[4]#REF'!F2788</f>
        <v>#REF!</v>
      </c>
      <c r="G2788" s="12" t="e">
        <f>'[4]#REF'!G2788</f>
        <v>#REF!</v>
      </c>
      <c r="H2788" s="31" t="e">
        <f>'[4]#REF'!I2788</f>
        <v>#REF!</v>
      </c>
      <c r="I2788" s="32" t="e">
        <f t="shared" si="74"/>
        <v>#REF!</v>
      </c>
    </row>
    <row r="2789" ht="15.75" spans="6:9">
      <c r="F2789" s="12" t="e">
        <f>'[4]#REF'!F2789</f>
        <v>#REF!</v>
      </c>
      <c r="G2789" s="12" t="e">
        <f>'[4]#REF'!G2789</f>
        <v>#REF!</v>
      </c>
      <c r="H2789" s="31" t="e">
        <f>'[4]#REF'!I2789</f>
        <v>#REF!</v>
      </c>
      <c r="I2789" s="32" t="e">
        <f t="shared" si="74"/>
        <v>#REF!</v>
      </c>
    </row>
    <row r="2790" ht="15.75" spans="6:9">
      <c r="F2790" s="12" t="e">
        <f>'[4]#REF'!F2790</f>
        <v>#REF!</v>
      </c>
      <c r="G2790" s="12" t="e">
        <f>'[4]#REF'!G2790</f>
        <v>#REF!</v>
      </c>
      <c r="H2790" s="31" t="e">
        <f>'[4]#REF'!I2790</f>
        <v>#REF!</v>
      </c>
      <c r="I2790" s="32" t="e">
        <f t="shared" si="74"/>
        <v>#REF!</v>
      </c>
    </row>
    <row r="2791" ht="15.75" spans="6:9">
      <c r="F2791" s="12" t="e">
        <f>'[4]#REF'!F2791</f>
        <v>#REF!</v>
      </c>
      <c r="G2791" s="12" t="e">
        <f>'[4]#REF'!G2791</f>
        <v>#REF!</v>
      </c>
      <c r="H2791" s="31" t="e">
        <f>'[4]#REF'!I2791</f>
        <v>#REF!</v>
      </c>
      <c r="I2791" s="32" t="e">
        <f t="shared" si="74"/>
        <v>#REF!</v>
      </c>
    </row>
    <row r="2792" ht="15.75" spans="6:9">
      <c r="F2792" s="12" t="e">
        <f>'[4]#REF'!F2792</f>
        <v>#REF!</v>
      </c>
      <c r="G2792" s="12" t="e">
        <f>'[4]#REF'!G2792</f>
        <v>#REF!</v>
      </c>
      <c r="H2792" s="31" t="e">
        <f>'[4]#REF'!I2792</f>
        <v>#REF!</v>
      </c>
      <c r="I2792" s="32" t="e">
        <f t="shared" si="74"/>
        <v>#REF!</v>
      </c>
    </row>
    <row r="2793" ht="15.75" spans="6:9">
      <c r="F2793" s="12" t="e">
        <f>'[4]#REF'!F2793</f>
        <v>#REF!</v>
      </c>
      <c r="G2793" s="12" t="e">
        <f>'[4]#REF'!G2793</f>
        <v>#REF!</v>
      </c>
      <c r="H2793" s="31" t="e">
        <f>'[4]#REF'!I2793</f>
        <v>#REF!</v>
      </c>
      <c r="I2793" s="32" t="e">
        <f t="shared" si="74"/>
        <v>#REF!</v>
      </c>
    </row>
    <row r="2794" ht="15.75" spans="6:9">
      <c r="F2794" s="12" t="e">
        <f>'[4]#REF'!F2794</f>
        <v>#REF!</v>
      </c>
      <c r="G2794" s="12" t="e">
        <f>'[4]#REF'!G2794</f>
        <v>#REF!</v>
      </c>
      <c r="H2794" s="31" t="e">
        <f>'[4]#REF'!I2794</f>
        <v>#REF!</v>
      </c>
      <c r="I2794" s="32" t="e">
        <f t="shared" si="74"/>
        <v>#REF!</v>
      </c>
    </row>
    <row r="2795" ht="15.75" spans="6:9">
      <c r="F2795" s="12" t="e">
        <f>'[4]#REF'!F2795</f>
        <v>#REF!</v>
      </c>
      <c r="G2795" s="12" t="e">
        <f>'[4]#REF'!G2795</f>
        <v>#REF!</v>
      </c>
      <c r="H2795" s="31" t="e">
        <f>'[4]#REF'!I2795</f>
        <v>#REF!</v>
      </c>
      <c r="I2795" s="32" t="e">
        <f t="shared" si="74"/>
        <v>#REF!</v>
      </c>
    </row>
    <row r="2796" ht="15.75" spans="6:9">
      <c r="F2796" s="12" t="e">
        <f>'[4]#REF'!F2796</f>
        <v>#REF!</v>
      </c>
      <c r="G2796" s="12" t="e">
        <f>'[4]#REF'!G2796</f>
        <v>#REF!</v>
      </c>
      <c r="H2796" s="31" t="e">
        <f>'[4]#REF'!I2796</f>
        <v>#REF!</v>
      </c>
      <c r="I2796" s="32" t="e">
        <f t="shared" si="74"/>
        <v>#REF!</v>
      </c>
    </row>
    <row r="2797" ht="15.75" spans="6:9">
      <c r="F2797" s="12" t="e">
        <f>'[4]#REF'!F2797</f>
        <v>#REF!</v>
      </c>
      <c r="G2797" s="12" t="e">
        <f>'[4]#REF'!G2797</f>
        <v>#REF!</v>
      </c>
      <c r="H2797" s="31" t="e">
        <f>'[4]#REF'!I2797</f>
        <v>#REF!</v>
      </c>
      <c r="I2797" s="32" t="e">
        <f t="shared" si="74"/>
        <v>#REF!</v>
      </c>
    </row>
    <row r="2798" ht="15.75" spans="6:9">
      <c r="F2798" s="12" t="e">
        <f>'[4]#REF'!F2798</f>
        <v>#REF!</v>
      </c>
      <c r="G2798" s="12" t="e">
        <f>'[4]#REF'!G2798</f>
        <v>#REF!</v>
      </c>
      <c r="H2798" s="31" t="e">
        <f>'[4]#REF'!I2798</f>
        <v>#REF!</v>
      </c>
      <c r="I2798" s="32" t="e">
        <f t="shared" si="74"/>
        <v>#REF!</v>
      </c>
    </row>
    <row r="2799" ht="15.75" spans="6:9">
      <c r="F2799" s="12" t="e">
        <f>'[4]#REF'!F2799</f>
        <v>#REF!</v>
      </c>
      <c r="G2799" s="12" t="e">
        <f>'[4]#REF'!G2799</f>
        <v>#REF!</v>
      </c>
      <c r="H2799" s="31" t="e">
        <f>'[4]#REF'!I2799</f>
        <v>#REF!</v>
      </c>
      <c r="I2799" s="32" t="e">
        <f t="shared" si="74"/>
        <v>#REF!</v>
      </c>
    </row>
    <row r="2800" ht="15.75" spans="6:9">
      <c r="F2800" s="12" t="e">
        <f>'[4]#REF'!F2800</f>
        <v>#REF!</v>
      </c>
      <c r="G2800" s="12" t="e">
        <f>'[4]#REF'!G2800</f>
        <v>#REF!</v>
      </c>
      <c r="H2800" s="31" t="e">
        <f>'[4]#REF'!I2800</f>
        <v>#REF!</v>
      </c>
      <c r="I2800" s="32" t="e">
        <f t="shared" si="74"/>
        <v>#REF!</v>
      </c>
    </row>
    <row r="2801" ht="15.75" spans="6:9">
      <c r="F2801" s="12" t="e">
        <f>'[4]#REF'!F2801</f>
        <v>#REF!</v>
      </c>
      <c r="G2801" s="12" t="e">
        <f>'[4]#REF'!G2801</f>
        <v>#REF!</v>
      </c>
      <c r="H2801" s="31" t="e">
        <f>'[4]#REF'!I2801</f>
        <v>#REF!</v>
      </c>
      <c r="I2801" s="32" t="e">
        <f t="shared" si="74"/>
        <v>#REF!</v>
      </c>
    </row>
    <row r="2802" ht="15.75" spans="6:9">
      <c r="F2802" s="12" t="e">
        <f>'[4]#REF'!F2802</f>
        <v>#REF!</v>
      </c>
      <c r="G2802" s="12" t="e">
        <f>'[4]#REF'!G2802</f>
        <v>#REF!</v>
      </c>
      <c r="H2802" s="31" t="e">
        <f>'[4]#REF'!I2802</f>
        <v>#REF!</v>
      </c>
      <c r="I2802" s="32" t="e">
        <f t="shared" si="74"/>
        <v>#REF!</v>
      </c>
    </row>
    <row r="2803" ht="15.75" spans="6:9">
      <c r="F2803" s="12" t="e">
        <f>'[4]#REF'!F2803</f>
        <v>#REF!</v>
      </c>
      <c r="G2803" s="12" t="e">
        <f>'[4]#REF'!G2803</f>
        <v>#REF!</v>
      </c>
      <c r="H2803" s="31" t="e">
        <f>'[4]#REF'!I2803</f>
        <v>#REF!</v>
      </c>
      <c r="I2803" s="32" t="e">
        <f t="shared" si="74"/>
        <v>#REF!</v>
      </c>
    </row>
    <row r="2804" ht="15.75" spans="6:9">
      <c r="F2804" s="12" t="e">
        <f>'[4]#REF'!F2804</f>
        <v>#REF!</v>
      </c>
      <c r="G2804" s="12" t="e">
        <f>'[4]#REF'!G2804</f>
        <v>#REF!</v>
      </c>
      <c r="H2804" s="31" t="e">
        <f>'[4]#REF'!I2804</f>
        <v>#REF!</v>
      </c>
      <c r="I2804" s="32" t="e">
        <f t="shared" si="74"/>
        <v>#REF!</v>
      </c>
    </row>
    <row r="2805" ht="15.75" spans="6:9">
      <c r="F2805" s="12" t="e">
        <f>'[4]#REF'!F2805</f>
        <v>#REF!</v>
      </c>
      <c r="G2805" s="12" t="e">
        <f>'[4]#REF'!G2805</f>
        <v>#REF!</v>
      </c>
      <c r="H2805" s="31" t="e">
        <f>'[4]#REF'!I2805</f>
        <v>#REF!</v>
      </c>
      <c r="I2805" s="32" t="e">
        <f t="shared" si="74"/>
        <v>#REF!</v>
      </c>
    </row>
    <row r="2806" ht="15.75" spans="6:9">
      <c r="F2806" s="12" t="e">
        <f>'[4]#REF'!F2806</f>
        <v>#REF!</v>
      </c>
      <c r="G2806" s="12" t="e">
        <f>'[4]#REF'!G2806</f>
        <v>#REF!</v>
      </c>
      <c r="H2806" s="31" t="e">
        <f>'[4]#REF'!I2806</f>
        <v>#REF!</v>
      </c>
      <c r="I2806" s="32" t="e">
        <f t="shared" si="74"/>
        <v>#REF!</v>
      </c>
    </row>
    <row r="2807" ht="15.75" spans="6:9">
      <c r="F2807" s="12" t="e">
        <f>'[4]#REF'!F2807</f>
        <v>#REF!</v>
      </c>
      <c r="G2807" s="12" t="e">
        <f>'[4]#REF'!G2807</f>
        <v>#REF!</v>
      </c>
      <c r="H2807" s="31" t="e">
        <f>'[4]#REF'!I2807</f>
        <v>#REF!</v>
      </c>
      <c r="I2807" s="32" t="e">
        <f t="shared" si="74"/>
        <v>#REF!</v>
      </c>
    </row>
    <row r="2808" ht="15.75" spans="6:9">
      <c r="F2808" s="12" t="e">
        <f>'[4]#REF'!F2808</f>
        <v>#REF!</v>
      </c>
      <c r="G2808" s="12" t="e">
        <f>'[4]#REF'!G2808</f>
        <v>#REF!</v>
      </c>
      <c r="H2808" s="31" t="e">
        <f>'[4]#REF'!I2808</f>
        <v>#REF!</v>
      </c>
      <c r="I2808" s="32" t="e">
        <f t="shared" si="74"/>
        <v>#REF!</v>
      </c>
    </row>
    <row r="2809" ht="15.75" spans="6:9">
      <c r="F2809" s="12" t="e">
        <f>'[4]#REF'!F2809</f>
        <v>#REF!</v>
      </c>
      <c r="G2809" s="12" t="e">
        <f>'[4]#REF'!G2809</f>
        <v>#REF!</v>
      </c>
      <c r="H2809" s="31" t="e">
        <f>'[4]#REF'!I2809</f>
        <v>#REF!</v>
      </c>
      <c r="I2809" s="32" t="e">
        <f t="shared" si="74"/>
        <v>#REF!</v>
      </c>
    </row>
    <row r="2810" ht="15.75" spans="6:9">
      <c r="F2810" s="12" t="e">
        <f>'[4]#REF'!F2810</f>
        <v>#REF!</v>
      </c>
      <c r="G2810" s="12" t="e">
        <f>'[4]#REF'!G2810</f>
        <v>#REF!</v>
      </c>
      <c r="H2810" s="31" t="e">
        <f>'[4]#REF'!I2810</f>
        <v>#REF!</v>
      </c>
      <c r="I2810" s="32" t="e">
        <f t="shared" si="74"/>
        <v>#REF!</v>
      </c>
    </row>
    <row r="2811" ht="15.75" spans="6:9">
      <c r="F2811" s="12" t="e">
        <f>'[4]#REF'!F2811</f>
        <v>#REF!</v>
      </c>
      <c r="G2811" s="12" t="e">
        <f>'[4]#REF'!G2811</f>
        <v>#REF!</v>
      </c>
      <c r="H2811" s="31" t="e">
        <f>'[4]#REF'!I2811</f>
        <v>#REF!</v>
      </c>
      <c r="I2811" s="32" t="e">
        <f t="shared" si="74"/>
        <v>#REF!</v>
      </c>
    </row>
    <row r="2812" ht="15.75" spans="6:9">
      <c r="F2812" s="12" t="e">
        <f>'[4]#REF'!F2812</f>
        <v>#REF!</v>
      </c>
      <c r="G2812" s="12" t="e">
        <f>'[4]#REF'!G2812</f>
        <v>#REF!</v>
      </c>
      <c r="H2812" s="31" t="e">
        <f>'[4]#REF'!I2812</f>
        <v>#REF!</v>
      </c>
      <c r="I2812" s="32" t="e">
        <f t="shared" si="74"/>
        <v>#REF!</v>
      </c>
    </row>
    <row r="2813" ht="15.75" spans="6:9">
      <c r="F2813" s="12" t="e">
        <f>'[4]#REF'!F2813</f>
        <v>#REF!</v>
      </c>
      <c r="G2813" s="12" t="e">
        <f>'[4]#REF'!G2813</f>
        <v>#REF!</v>
      </c>
      <c r="H2813" s="31" t="e">
        <f>'[4]#REF'!I2813</f>
        <v>#REF!</v>
      </c>
      <c r="I2813" s="32" t="e">
        <f t="shared" si="74"/>
        <v>#REF!</v>
      </c>
    </row>
    <row r="2814" ht="15.75" spans="6:9">
      <c r="F2814" s="12" t="e">
        <f>'[4]#REF'!F2814</f>
        <v>#REF!</v>
      </c>
      <c r="G2814" s="12" t="e">
        <f>'[4]#REF'!G2814</f>
        <v>#REF!</v>
      </c>
      <c r="H2814" s="31" t="e">
        <f>'[4]#REF'!I2814</f>
        <v>#REF!</v>
      </c>
      <c r="I2814" s="32" t="e">
        <f t="shared" si="74"/>
        <v>#REF!</v>
      </c>
    </row>
    <row r="2815" ht="15.75" spans="6:9">
      <c r="F2815" s="12" t="e">
        <f>'[4]#REF'!F2815</f>
        <v>#REF!</v>
      </c>
      <c r="G2815" s="12" t="e">
        <f>'[4]#REF'!G2815</f>
        <v>#REF!</v>
      </c>
      <c r="H2815" s="31" t="e">
        <f>'[4]#REF'!I2815</f>
        <v>#REF!</v>
      </c>
      <c r="I2815" s="32" t="e">
        <f t="shared" si="74"/>
        <v>#REF!</v>
      </c>
    </row>
    <row r="2816" ht="15.75" spans="6:9">
      <c r="F2816" s="12" t="e">
        <f>'[4]#REF'!F2816</f>
        <v>#REF!</v>
      </c>
      <c r="G2816" s="12" t="e">
        <f>'[4]#REF'!G2816</f>
        <v>#REF!</v>
      </c>
      <c r="H2816" s="31" t="e">
        <f>'[4]#REF'!I2816</f>
        <v>#REF!</v>
      </c>
      <c r="I2816" s="32" t="e">
        <f t="shared" si="74"/>
        <v>#REF!</v>
      </c>
    </row>
    <row r="2817" ht="15.75" spans="6:9">
      <c r="F2817" s="12" t="e">
        <f>'[4]#REF'!F2817</f>
        <v>#REF!</v>
      </c>
      <c r="G2817" s="12" t="e">
        <f>'[4]#REF'!G2817</f>
        <v>#REF!</v>
      </c>
      <c r="H2817" s="31" t="e">
        <f>'[4]#REF'!I2817</f>
        <v>#REF!</v>
      </c>
      <c r="I2817" s="32" t="e">
        <f t="shared" si="74"/>
        <v>#REF!</v>
      </c>
    </row>
    <row r="2818" ht="15.75" spans="6:9">
      <c r="F2818" s="12" t="e">
        <f>'[4]#REF'!F2818</f>
        <v>#REF!</v>
      </c>
      <c r="G2818" s="12" t="e">
        <f>'[4]#REF'!G2818</f>
        <v>#REF!</v>
      </c>
      <c r="H2818" s="31" t="e">
        <f>'[4]#REF'!I2818</f>
        <v>#REF!</v>
      </c>
      <c r="I2818" s="32" t="e">
        <f t="shared" si="74"/>
        <v>#REF!</v>
      </c>
    </row>
    <row r="2819" ht="15.75" spans="6:9">
      <c r="F2819" s="12" t="e">
        <f>'[4]#REF'!F2819</f>
        <v>#REF!</v>
      </c>
      <c r="G2819" s="12" t="e">
        <f>'[4]#REF'!G2819</f>
        <v>#REF!</v>
      </c>
      <c r="H2819" s="31" t="e">
        <f>'[4]#REF'!I2819</f>
        <v>#REF!</v>
      </c>
      <c r="I2819" s="32" t="e">
        <f t="shared" si="74"/>
        <v>#REF!</v>
      </c>
    </row>
    <row r="2820" ht="15.75" spans="6:9">
      <c r="F2820" s="12" t="e">
        <f>'[4]#REF'!F2820</f>
        <v>#REF!</v>
      </c>
      <c r="G2820" s="12" t="e">
        <f>'[4]#REF'!G2820</f>
        <v>#REF!</v>
      </c>
      <c r="H2820" s="31" t="e">
        <f>'[4]#REF'!I2820</f>
        <v>#REF!</v>
      </c>
      <c r="I2820" s="32" t="e">
        <f t="shared" si="74"/>
        <v>#REF!</v>
      </c>
    </row>
    <row r="2821" ht="15.75" spans="6:9">
      <c r="F2821" s="12" t="e">
        <f>'[4]#REF'!F2821</f>
        <v>#REF!</v>
      </c>
      <c r="G2821" s="12" t="e">
        <f>'[4]#REF'!G2821</f>
        <v>#REF!</v>
      </c>
      <c r="H2821" s="31" t="e">
        <f>'[4]#REF'!I2821</f>
        <v>#REF!</v>
      </c>
      <c r="I2821" s="32" t="e">
        <f t="shared" si="74"/>
        <v>#REF!</v>
      </c>
    </row>
    <row r="2822" ht="15.75" spans="6:9">
      <c r="F2822" s="12" t="e">
        <f>'[4]#REF'!F2822</f>
        <v>#REF!</v>
      </c>
      <c r="G2822" s="12" t="e">
        <f>'[4]#REF'!G2822</f>
        <v>#REF!</v>
      </c>
      <c r="H2822" s="31" t="e">
        <f>'[4]#REF'!I2822</f>
        <v>#REF!</v>
      </c>
      <c r="I2822" s="32" t="e">
        <f t="shared" ref="I2822:I2885" si="75">ROUND(H2822/$I$4*100,2)</f>
        <v>#REF!</v>
      </c>
    </row>
    <row r="2823" ht="15.75" spans="6:9">
      <c r="F2823" s="12" t="e">
        <f>'[4]#REF'!F2823</f>
        <v>#REF!</v>
      </c>
      <c r="G2823" s="12" t="e">
        <f>'[4]#REF'!G2823</f>
        <v>#REF!</v>
      </c>
      <c r="H2823" s="31" t="e">
        <f>'[4]#REF'!I2823</f>
        <v>#REF!</v>
      </c>
      <c r="I2823" s="32" t="e">
        <f t="shared" si="75"/>
        <v>#REF!</v>
      </c>
    </row>
    <row r="2824" ht="15.75" spans="6:9">
      <c r="F2824" s="12" t="e">
        <f>'[4]#REF'!F2824</f>
        <v>#REF!</v>
      </c>
      <c r="G2824" s="12" t="e">
        <f>'[4]#REF'!G2824</f>
        <v>#REF!</v>
      </c>
      <c r="H2824" s="31" t="e">
        <f>'[4]#REF'!I2824</f>
        <v>#REF!</v>
      </c>
      <c r="I2824" s="32" t="e">
        <f t="shared" si="75"/>
        <v>#REF!</v>
      </c>
    </row>
    <row r="2825" ht="15.75" spans="6:9">
      <c r="F2825" s="12" t="e">
        <f>'[4]#REF'!F2825</f>
        <v>#REF!</v>
      </c>
      <c r="G2825" s="12" t="e">
        <f>'[4]#REF'!G2825</f>
        <v>#REF!</v>
      </c>
      <c r="H2825" s="31" t="e">
        <f>'[4]#REF'!I2825</f>
        <v>#REF!</v>
      </c>
      <c r="I2825" s="32" t="e">
        <f t="shared" si="75"/>
        <v>#REF!</v>
      </c>
    </row>
    <row r="2826" ht="15.75" spans="6:9">
      <c r="F2826" s="12" t="e">
        <f>'[4]#REF'!F2826</f>
        <v>#REF!</v>
      </c>
      <c r="G2826" s="12" t="e">
        <f>'[4]#REF'!G2826</f>
        <v>#REF!</v>
      </c>
      <c r="H2826" s="31" t="e">
        <f>'[4]#REF'!I2826</f>
        <v>#REF!</v>
      </c>
      <c r="I2826" s="32" t="e">
        <f t="shared" si="75"/>
        <v>#REF!</v>
      </c>
    </row>
    <row r="2827" ht="15.75" spans="6:9">
      <c r="F2827" s="12" t="e">
        <f>'[4]#REF'!F2827</f>
        <v>#REF!</v>
      </c>
      <c r="G2827" s="12" t="e">
        <f>'[4]#REF'!G2827</f>
        <v>#REF!</v>
      </c>
      <c r="H2827" s="31" t="e">
        <f>'[4]#REF'!I2827</f>
        <v>#REF!</v>
      </c>
      <c r="I2827" s="32" t="e">
        <f t="shared" si="75"/>
        <v>#REF!</v>
      </c>
    </row>
    <row r="2828" ht="15.75" spans="6:9">
      <c r="F2828" s="12" t="e">
        <f>'[4]#REF'!F2828</f>
        <v>#REF!</v>
      </c>
      <c r="G2828" s="12" t="e">
        <f>'[4]#REF'!G2828</f>
        <v>#REF!</v>
      </c>
      <c r="H2828" s="31" t="e">
        <f>'[4]#REF'!I2828</f>
        <v>#REF!</v>
      </c>
      <c r="I2828" s="32" t="e">
        <f t="shared" si="75"/>
        <v>#REF!</v>
      </c>
    </row>
    <row r="2829" ht="15.75" spans="6:9">
      <c r="F2829" s="12" t="e">
        <f>'[4]#REF'!F2829</f>
        <v>#REF!</v>
      </c>
      <c r="G2829" s="12" t="e">
        <f>'[4]#REF'!G2829</f>
        <v>#REF!</v>
      </c>
      <c r="H2829" s="31" t="e">
        <f>'[4]#REF'!I2829</f>
        <v>#REF!</v>
      </c>
      <c r="I2829" s="32" t="e">
        <f t="shared" si="75"/>
        <v>#REF!</v>
      </c>
    </row>
    <row r="2830" ht="15.75" spans="6:9">
      <c r="F2830" s="12" t="e">
        <f>'[4]#REF'!F2830</f>
        <v>#REF!</v>
      </c>
      <c r="G2830" s="12" t="e">
        <f>'[4]#REF'!G2830</f>
        <v>#REF!</v>
      </c>
      <c r="H2830" s="31" t="e">
        <f>'[4]#REF'!I2830</f>
        <v>#REF!</v>
      </c>
      <c r="I2830" s="32" t="e">
        <f t="shared" si="75"/>
        <v>#REF!</v>
      </c>
    </row>
    <row r="2831" ht="15.75" spans="6:9">
      <c r="F2831" s="12" t="e">
        <f>'[4]#REF'!F2831</f>
        <v>#REF!</v>
      </c>
      <c r="G2831" s="12" t="e">
        <f>'[4]#REF'!G2831</f>
        <v>#REF!</v>
      </c>
      <c r="H2831" s="31" t="e">
        <f>'[4]#REF'!I2831</f>
        <v>#REF!</v>
      </c>
      <c r="I2831" s="32" t="e">
        <f t="shared" si="75"/>
        <v>#REF!</v>
      </c>
    </row>
    <row r="2832" ht="15.75" spans="6:9">
      <c r="F2832" s="12" t="e">
        <f>'[4]#REF'!F2832</f>
        <v>#REF!</v>
      </c>
      <c r="G2832" s="12" t="e">
        <f>'[4]#REF'!G2832</f>
        <v>#REF!</v>
      </c>
      <c r="H2832" s="31" t="e">
        <f>'[4]#REF'!I2832</f>
        <v>#REF!</v>
      </c>
      <c r="I2832" s="32" t="e">
        <f t="shared" si="75"/>
        <v>#REF!</v>
      </c>
    </row>
    <row r="2833" ht="15.75" spans="6:9">
      <c r="F2833" s="12" t="e">
        <f>'[4]#REF'!F2833</f>
        <v>#REF!</v>
      </c>
      <c r="G2833" s="12" t="e">
        <f>'[4]#REF'!G2833</f>
        <v>#REF!</v>
      </c>
      <c r="H2833" s="31" t="e">
        <f>'[4]#REF'!I2833</f>
        <v>#REF!</v>
      </c>
      <c r="I2833" s="32" t="e">
        <f t="shared" si="75"/>
        <v>#REF!</v>
      </c>
    </row>
    <row r="2834" ht="15.75" spans="6:9">
      <c r="F2834" s="12" t="e">
        <f>'[4]#REF'!F2834</f>
        <v>#REF!</v>
      </c>
      <c r="G2834" s="12" t="e">
        <f>'[4]#REF'!G2834</f>
        <v>#REF!</v>
      </c>
      <c r="H2834" s="31" t="e">
        <f>'[4]#REF'!I2834</f>
        <v>#REF!</v>
      </c>
      <c r="I2834" s="32" t="e">
        <f t="shared" si="75"/>
        <v>#REF!</v>
      </c>
    </row>
    <row r="2835" ht="15.75" spans="6:9">
      <c r="F2835" s="12" t="e">
        <f>'[4]#REF'!F2835</f>
        <v>#REF!</v>
      </c>
      <c r="G2835" s="12" t="e">
        <f>'[4]#REF'!G2835</f>
        <v>#REF!</v>
      </c>
      <c r="H2835" s="31" t="e">
        <f>'[4]#REF'!I2835</f>
        <v>#REF!</v>
      </c>
      <c r="I2835" s="32" t="e">
        <f t="shared" si="75"/>
        <v>#REF!</v>
      </c>
    </row>
    <row r="2836" ht="15.75" spans="6:9">
      <c r="F2836" s="12" t="e">
        <f>'[4]#REF'!F2836</f>
        <v>#REF!</v>
      </c>
      <c r="G2836" s="12" t="e">
        <f>'[4]#REF'!G2836</f>
        <v>#REF!</v>
      </c>
      <c r="H2836" s="31" t="e">
        <f>'[4]#REF'!I2836</f>
        <v>#REF!</v>
      </c>
      <c r="I2836" s="32" t="e">
        <f t="shared" si="75"/>
        <v>#REF!</v>
      </c>
    </row>
    <row r="2837" ht="15.75" spans="6:9">
      <c r="F2837" s="12" t="e">
        <f>'[4]#REF'!F2837</f>
        <v>#REF!</v>
      </c>
      <c r="G2837" s="12" t="e">
        <f>'[4]#REF'!G2837</f>
        <v>#REF!</v>
      </c>
      <c r="H2837" s="31" t="e">
        <f>'[4]#REF'!I2837</f>
        <v>#REF!</v>
      </c>
      <c r="I2837" s="32" t="e">
        <f t="shared" si="75"/>
        <v>#REF!</v>
      </c>
    </row>
    <row r="2838" ht="15.75" spans="6:9">
      <c r="F2838" s="12" t="e">
        <f>'[4]#REF'!F2838</f>
        <v>#REF!</v>
      </c>
      <c r="G2838" s="12" t="e">
        <f>'[4]#REF'!G2838</f>
        <v>#REF!</v>
      </c>
      <c r="H2838" s="31" t="e">
        <f>'[4]#REF'!I2838</f>
        <v>#REF!</v>
      </c>
      <c r="I2838" s="32" t="e">
        <f t="shared" si="75"/>
        <v>#REF!</v>
      </c>
    </row>
    <row r="2839" ht="15.75" spans="6:9">
      <c r="F2839" s="12" t="e">
        <f>'[4]#REF'!F2839</f>
        <v>#REF!</v>
      </c>
      <c r="G2839" s="12" t="e">
        <f>'[4]#REF'!G2839</f>
        <v>#REF!</v>
      </c>
      <c r="H2839" s="31" t="e">
        <f>'[4]#REF'!I2839</f>
        <v>#REF!</v>
      </c>
      <c r="I2839" s="32" t="e">
        <f t="shared" si="75"/>
        <v>#REF!</v>
      </c>
    </row>
    <row r="2840" ht="15.75" spans="6:9">
      <c r="F2840" s="12" t="e">
        <f>'[4]#REF'!F2840</f>
        <v>#REF!</v>
      </c>
      <c r="G2840" s="12" t="e">
        <f>'[4]#REF'!G2840</f>
        <v>#REF!</v>
      </c>
      <c r="H2840" s="31" t="e">
        <f>'[4]#REF'!I2840</f>
        <v>#REF!</v>
      </c>
      <c r="I2840" s="32" t="e">
        <f t="shared" si="75"/>
        <v>#REF!</v>
      </c>
    </row>
    <row r="2841" ht="15.75" spans="6:9">
      <c r="F2841" s="12" t="e">
        <f>'[4]#REF'!F2841</f>
        <v>#REF!</v>
      </c>
      <c r="G2841" s="12" t="e">
        <f>'[4]#REF'!G2841</f>
        <v>#REF!</v>
      </c>
      <c r="H2841" s="31" t="e">
        <f>'[4]#REF'!I2841</f>
        <v>#REF!</v>
      </c>
      <c r="I2841" s="32" t="e">
        <f t="shared" si="75"/>
        <v>#REF!</v>
      </c>
    </row>
    <row r="2842" ht="15.75" spans="6:9">
      <c r="F2842" s="12" t="e">
        <f>'[4]#REF'!F2842</f>
        <v>#REF!</v>
      </c>
      <c r="G2842" s="12" t="e">
        <f>'[4]#REF'!G2842</f>
        <v>#REF!</v>
      </c>
      <c r="H2842" s="31" t="e">
        <f>'[4]#REF'!I2842</f>
        <v>#REF!</v>
      </c>
      <c r="I2842" s="32" t="e">
        <f t="shared" si="75"/>
        <v>#REF!</v>
      </c>
    </row>
    <row r="2843" ht="15.75" spans="6:9">
      <c r="F2843" s="12" t="e">
        <f>'[4]#REF'!F2843</f>
        <v>#REF!</v>
      </c>
      <c r="G2843" s="12" t="e">
        <f>'[4]#REF'!G2843</f>
        <v>#REF!</v>
      </c>
      <c r="H2843" s="31" t="e">
        <f>'[4]#REF'!I2843</f>
        <v>#REF!</v>
      </c>
      <c r="I2843" s="32" t="e">
        <f t="shared" si="75"/>
        <v>#REF!</v>
      </c>
    </row>
    <row r="2844" ht="15.75" spans="6:9">
      <c r="F2844" s="12" t="e">
        <f>'[4]#REF'!F2844</f>
        <v>#REF!</v>
      </c>
      <c r="G2844" s="12" t="e">
        <f>'[4]#REF'!G2844</f>
        <v>#REF!</v>
      </c>
      <c r="H2844" s="31" t="e">
        <f>'[4]#REF'!I2844</f>
        <v>#REF!</v>
      </c>
      <c r="I2844" s="32" t="e">
        <f t="shared" si="75"/>
        <v>#REF!</v>
      </c>
    </row>
    <row r="2845" ht="15.75" spans="6:9">
      <c r="F2845" s="12" t="e">
        <f>'[4]#REF'!F2845</f>
        <v>#REF!</v>
      </c>
      <c r="G2845" s="12" t="e">
        <f>'[4]#REF'!G2845</f>
        <v>#REF!</v>
      </c>
      <c r="H2845" s="31" t="e">
        <f>'[4]#REF'!I2845</f>
        <v>#REF!</v>
      </c>
      <c r="I2845" s="32" t="e">
        <f t="shared" si="75"/>
        <v>#REF!</v>
      </c>
    </row>
    <row r="2846" ht="15.75" spans="6:9">
      <c r="F2846" s="12" t="e">
        <f>'[4]#REF'!F2846</f>
        <v>#REF!</v>
      </c>
      <c r="G2846" s="12" t="e">
        <f>'[4]#REF'!G2846</f>
        <v>#REF!</v>
      </c>
      <c r="H2846" s="31" t="e">
        <f>'[4]#REF'!I2846</f>
        <v>#REF!</v>
      </c>
      <c r="I2846" s="32" t="e">
        <f t="shared" si="75"/>
        <v>#REF!</v>
      </c>
    </row>
    <row r="2847" ht="15.75" spans="6:9">
      <c r="F2847" s="12" t="e">
        <f>'[4]#REF'!F2847</f>
        <v>#REF!</v>
      </c>
      <c r="G2847" s="12" t="e">
        <f>'[4]#REF'!G2847</f>
        <v>#REF!</v>
      </c>
      <c r="H2847" s="31" t="e">
        <f>'[4]#REF'!I2847</f>
        <v>#REF!</v>
      </c>
      <c r="I2847" s="32" t="e">
        <f t="shared" si="75"/>
        <v>#REF!</v>
      </c>
    </row>
    <row r="2848" ht="15.75" spans="6:9">
      <c r="F2848" s="12" t="e">
        <f>'[4]#REF'!F2848</f>
        <v>#REF!</v>
      </c>
      <c r="G2848" s="12" t="e">
        <f>'[4]#REF'!G2848</f>
        <v>#REF!</v>
      </c>
      <c r="H2848" s="31" t="e">
        <f>'[4]#REF'!I2848</f>
        <v>#REF!</v>
      </c>
      <c r="I2848" s="32" t="e">
        <f t="shared" si="75"/>
        <v>#REF!</v>
      </c>
    </row>
    <row r="2849" ht="15.75" spans="6:9">
      <c r="F2849" s="12" t="e">
        <f>'[4]#REF'!F2849</f>
        <v>#REF!</v>
      </c>
      <c r="G2849" s="12" t="e">
        <f>'[4]#REF'!G2849</f>
        <v>#REF!</v>
      </c>
      <c r="H2849" s="31" t="e">
        <f>'[4]#REF'!I2849</f>
        <v>#REF!</v>
      </c>
      <c r="I2849" s="32" t="e">
        <f t="shared" si="75"/>
        <v>#REF!</v>
      </c>
    </row>
    <row r="2850" ht="15.75" spans="6:9">
      <c r="F2850" s="12" t="e">
        <f>'[4]#REF'!F2850</f>
        <v>#REF!</v>
      </c>
      <c r="G2850" s="12" t="e">
        <f>'[4]#REF'!G2850</f>
        <v>#REF!</v>
      </c>
      <c r="H2850" s="31" t="e">
        <f>'[4]#REF'!I2850</f>
        <v>#REF!</v>
      </c>
      <c r="I2850" s="32" t="e">
        <f t="shared" si="75"/>
        <v>#REF!</v>
      </c>
    </row>
    <row r="2851" ht="15.75" spans="6:9">
      <c r="F2851" s="12" t="e">
        <f>'[4]#REF'!F2851</f>
        <v>#REF!</v>
      </c>
      <c r="G2851" s="12" t="e">
        <f>'[4]#REF'!G2851</f>
        <v>#REF!</v>
      </c>
      <c r="H2851" s="31" t="e">
        <f>'[4]#REF'!I2851</f>
        <v>#REF!</v>
      </c>
      <c r="I2851" s="32" t="e">
        <f t="shared" si="75"/>
        <v>#REF!</v>
      </c>
    </row>
    <row r="2852" ht="15.75" spans="6:9">
      <c r="F2852" s="12" t="e">
        <f>'[4]#REF'!F2852</f>
        <v>#REF!</v>
      </c>
      <c r="G2852" s="12" t="e">
        <f>'[4]#REF'!G2852</f>
        <v>#REF!</v>
      </c>
      <c r="H2852" s="31" t="e">
        <f>'[4]#REF'!I2852</f>
        <v>#REF!</v>
      </c>
      <c r="I2852" s="32" t="e">
        <f t="shared" si="75"/>
        <v>#REF!</v>
      </c>
    </row>
    <row r="2853" ht="15.75" spans="6:9">
      <c r="F2853" s="12" t="e">
        <f>'[4]#REF'!F2853</f>
        <v>#REF!</v>
      </c>
      <c r="G2853" s="12" t="e">
        <f>'[4]#REF'!G2853</f>
        <v>#REF!</v>
      </c>
      <c r="H2853" s="31" t="e">
        <f>'[4]#REF'!I2853</f>
        <v>#REF!</v>
      </c>
      <c r="I2853" s="32" t="e">
        <f t="shared" si="75"/>
        <v>#REF!</v>
      </c>
    </row>
    <row r="2854" ht="15.75" spans="6:9">
      <c r="F2854" s="12" t="e">
        <f>'[4]#REF'!F2854</f>
        <v>#REF!</v>
      </c>
      <c r="G2854" s="12" t="e">
        <f>'[4]#REF'!G2854</f>
        <v>#REF!</v>
      </c>
      <c r="H2854" s="31" t="e">
        <f>'[4]#REF'!I2854</f>
        <v>#REF!</v>
      </c>
      <c r="I2854" s="32" t="e">
        <f t="shared" si="75"/>
        <v>#REF!</v>
      </c>
    </row>
    <row r="2855" ht="15.75" spans="6:9">
      <c r="F2855" s="12" t="e">
        <f>'[4]#REF'!F2855</f>
        <v>#REF!</v>
      </c>
      <c r="G2855" s="12" t="e">
        <f>'[4]#REF'!G2855</f>
        <v>#REF!</v>
      </c>
      <c r="H2855" s="31" t="e">
        <f>'[4]#REF'!I2855</f>
        <v>#REF!</v>
      </c>
      <c r="I2855" s="32" t="e">
        <f t="shared" si="75"/>
        <v>#REF!</v>
      </c>
    </row>
    <row r="2856" ht="15.75" spans="6:9">
      <c r="F2856" s="12" t="e">
        <f>'[4]#REF'!F2856</f>
        <v>#REF!</v>
      </c>
      <c r="G2856" s="12" t="e">
        <f>'[4]#REF'!G2856</f>
        <v>#REF!</v>
      </c>
      <c r="H2856" s="31" t="e">
        <f>'[4]#REF'!I2856</f>
        <v>#REF!</v>
      </c>
      <c r="I2856" s="32" t="e">
        <f t="shared" si="75"/>
        <v>#REF!</v>
      </c>
    </row>
    <row r="2857" ht="15.75" spans="6:9">
      <c r="F2857" s="12" t="e">
        <f>'[4]#REF'!F2857</f>
        <v>#REF!</v>
      </c>
      <c r="G2857" s="12" t="e">
        <f>'[4]#REF'!G2857</f>
        <v>#REF!</v>
      </c>
      <c r="H2857" s="31" t="e">
        <f>'[4]#REF'!I2857</f>
        <v>#REF!</v>
      </c>
      <c r="I2857" s="32" t="e">
        <f t="shared" si="75"/>
        <v>#REF!</v>
      </c>
    </row>
    <row r="2858" ht="15.75" spans="6:9">
      <c r="F2858" s="12" t="e">
        <f>'[4]#REF'!F2858</f>
        <v>#REF!</v>
      </c>
      <c r="G2858" s="12" t="e">
        <f>'[4]#REF'!G2858</f>
        <v>#REF!</v>
      </c>
      <c r="H2858" s="31" t="e">
        <f>'[4]#REF'!I2858</f>
        <v>#REF!</v>
      </c>
      <c r="I2858" s="32" t="e">
        <f t="shared" si="75"/>
        <v>#REF!</v>
      </c>
    </row>
    <row r="2859" ht="15.75" spans="6:9">
      <c r="F2859" s="12" t="e">
        <f>'[4]#REF'!F2859</f>
        <v>#REF!</v>
      </c>
      <c r="G2859" s="12" t="e">
        <f>'[4]#REF'!G2859</f>
        <v>#REF!</v>
      </c>
      <c r="H2859" s="31" t="e">
        <f>'[4]#REF'!I2859</f>
        <v>#REF!</v>
      </c>
      <c r="I2859" s="32" t="e">
        <f t="shared" si="75"/>
        <v>#REF!</v>
      </c>
    </row>
    <row r="2860" ht="15.75" spans="6:9">
      <c r="F2860" s="12" t="e">
        <f>'[4]#REF'!F2860</f>
        <v>#REF!</v>
      </c>
      <c r="G2860" s="12" t="e">
        <f>'[4]#REF'!G2860</f>
        <v>#REF!</v>
      </c>
      <c r="H2860" s="31" t="e">
        <f>'[4]#REF'!I2860</f>
        <v>#REF!</v>
      </c>
      <c r="I2860" s="32" t="e">
        <f t="shared" si="75"/>
        <v>#REF!</v>
      </c>
    </row>
    <row r="2861" ht="15.75" spans="6:9">
      <c r="F2861" s="12" t="e">
        <f>'[4]#REF'!F2861</f>
        <v>#REF!</v>
      </c>
      <c r="G2861" s="12" t="e">
        <f>'[4]#REF'!G2861</f>
        <v>#REF!</v>
      </c>
      <c r="H2861" s="31" t="e">
        <f>'[4]#REF'!I2861</f>
        <v>#REF!</v>
      </c>
      <c r="I2861" s="32" t="e">
        <f t="shared" si="75"/>
        <v>#REF!</v>
      </c>
    </row>
    <row r="2862" ht="15.75" spans="6:9">
      <c r="F2862" s="12" t="e">
        <f>'[4]#REF'!F2862</f>
        <v>#REF!</v>
      </c>
      <c r="G2862" s="12" t="e">
        <f>'[4]#REF'!G2862</f>
        <v>#REF!</v>
      </c>
      <c r="H2862" s="31" t="e">
        <f>'[4]#REF'!I2862</f>
        <v>#REF!</v>
      </c>
      <c r="I2862" s="32" t="e">
        <f t="shared" si="75"/>
        <v>#REF!</v>
      </c>
    </row>
    <row r="2863" ht="15.75" spans="6:9">
      <c r="F2863" s="12" t="e">
        <f>'[4]#REF'!F2863</f>
        <v>#REF!</v>
      </c>
      <c r="G2863" s="12" t="e">
        <f>'[4]#REF'!G2863</f>
        <v>#REF!</v>
      </c>
      <c r="H2863" s="31" t="e">
        <f>'[4]#REF'!I2863</f>
        <v>#REF!</v>
      </c>
      <c r="I2863" s="32" t="e">
        <f t="shared" si="75"/>
        <v>#REF!</v>
      </c>
    </row>
    <row r="2864" ht="15.75" spans="6:9">
      <c r="F2864" s="12" t="e">
        <f>'[4]#REF'!F2864</f>
        <v>#REF!</v>
      </c>
      <c r="G2864" s="12" t="e">
        <f>'[4]#REF'!G2864</f>
        <v>#REF!</v>
      </c>
      <c r="H2864" s="31" t="e">
        <f>'[4]#REF'!I2864</f>
        <v>#REF!</v>
      </c>
      <c r="I2864" s="32" t="e">
        <f t="shared" si="75"/>
        <v>#REF!</v>
      </c>
    </row>
    <row r="2865" ht="15.75" spans="6:9">
      <c r="F2865" s="12" t="e">
        <f>'[4]#REF'!F2865</f>
        <v>#REF!</v>
      </c>
      <c r="G2865" s="12" t="e">
        <f>'[4]#REF'!G2865</f>
        <v>#REF!</v>
      </c>
      <c r="H2865" s="31" t="e">
        <f>'[4]#REF'!I2865</f>
        <v>#REF!</v>
      </c>
      <c r="I2865" s="32" t="e">
        <f t="shared" si="75"/>
        <v>#REF!</v>
      </c>
    </row>
    <row r="2866" ht="15.75" spans="6:9">
      <c r="F2866" s="12" t="e">
        <f>'[4]#REF'!F2866</f>
        <v>#REF!</v>
      </c>
      <c r="G2866" s="12" t="e">
        <f>'[4]#REF'!G2866</f>
        <v>#REF!</v>
      </c>
      <c r="H2866" s="31" t="e">
        <f>'[4]#REF'!I2866</f>
        <v>#REF!</v>
      </c>
      <c r="I2866" s="32" t="e">
        <f t="shared" si="75"/>
        <v>#REF!</v>
      </c>
    </row>
    <row r="2867" ht="15.75" spans="6:9">
      <c r="F2867" s="12" t="e">
        <f>'[4]#REF'!F2867</f>
        <v>#REF!</v>
      </c>
      <c r="G2867" s="12" t="e">
        <f>'[4]#REF'!G2867</f>
        <v>#REF!</v>
      </c>
      <c r="H2867" s="31" t="e">
        <f>'[4]#REF'!I2867</f>
        <v>#REF!</v>
      </c>
      <c r="I2867" s="32" t="e">
        <f t="shared" si="75"/>
        <v>#REF!</v>
      </c>
    </row>
    <row r="2868" ht="15.75" spans="6:9">
      <c r="F2868" s="12" t="e">
        <f>'[4]#REF'!F2868</f>
        <v>#REF!</v>
      </c>
      <c r="G2868" s="12" t="e">
        <f>'[4]#REF'!G2868</f>
        <v>#REF!</v>
      </c>
      <c r="H2868" s="31" t="e">
        <f>'[4]#REF'!I2868</f>
        <v>#REF!</v>
      </c>
      <c r="I2868" s="32" t="e">
        <f t="shared" si="75"/>
        <v>#REF!</v>
      </c>
    </row>
    <row r="2869" ht="15.75" spans="6:9">
      <c r="F2869" s="12" t="e">
        <f>'[4]#REF'!F2869</f>
        <v>#REF!</v>
      </c>
      <c r="G2869" s="12" t="e">
        <f>'[4]#REF'!G2869</f>
        <v>#REF!</v>
      </c>
      <c r="H2869" s="31" t="e">
        <f>'[4]#REF'!I2869</f>
        <v>#REF!</v>
      </c>
      <c r="I2869" s="32" t="e">
        <f t="shared" si="75"/>
        <v>#REF!</v>
      </c>
    </row>
    <row r="2870" ht="15.75" spans="6:9">
      <c r="F2870" s="12" t="e">
        <f>'[4]#REF'!F2870</f>
        <v>#REF!</v>
      </c>
      <c r="G2870" s="12" t="e">
        <f>'[4]#REF'!G2870</f>
        <v>#REF!</v>
      </c>
      <c r="H2870" s="31" t="e">
        <f>'[4]#REF'!I2870</f>
        <v>#REF!</v>
      </c>
      <c r="I2870" s="32" t="e">
        <f t="shared" si="75"/>
        <v>#REF!</v>
      </c>
    </row>
    <row r="2871" ht="15.75" spans="6:9">
      <c r="F2871" s="12" t="e">
        <f>'[4]#REF'!F2871</f>
        <v>#REF!</v>
      </c>
      <c r="G2871" s="12" t="e">
        <f>'[4]#REF'!G2871</f>
        <v>#REF!</v>
      </c>
      <c r="H2871" s="31" t="e">
        <f>'[4]#REF'!I2871</f>
        <v>#REF!</v>
      </c>
      <c r="I2871" s="32" t="e">
        <f t="shared" si="75"/>
        <v>#REF!</v>
      </c>
    </row>
    <row r="2872" ht="15.75" spans="6:9">
      <c r="F2872" s="12" t="e">
        <f>'[4]#REF'!F2872</f>
        <v>#REF!</v>
      </c>
      <c r="G2872" s="12" t="e">
        <f>'[4]#REF'!G2872</f>
        <v>#REF!</v>
      </c>
      <c r="H2872" s="31" t="e">
        <f>'[4]#REF'!I2872</f>
        <v>#REF!</v>
      </c>
      <c r="I2872" s="32" t="e">
        <f t="shared" si="75"/>
        <v>#REF!</v>
      </c>
    </row>
    <row r="2873" ht="15.75" spans="6:9">
      <c r="F2873" s="12" t="e">
        <f>'[4]#REF'!F2873</f>
        <v>#REF!</v>
      </c>
      <c r="G2873" s="12" t="e">
        <f>'[4]#REF'!G2873</f>
        <v>#REF!</v>
      </c>
      <c r="H2873" s="31" t="e">
        <f>'[4]#REF'!I2873</f>
        <v>#REF!</v>
      </c>
      <c r="I2873" s="32" t="e">
        <f t="shared" si="75"/>
        <v>#REF!</v>
      </c>
    </row>
    <row r="2874" ht="15.75" spans="6:9">
      <c r="F2874" s="12" t="e">
        <f>'[4]#REF'!F2874</f>
        <v>#REF!</v>
      </c>
      <c r="G2874" s="12" t="e">
        <f>'[4]#REF'!G2874</f>
        <v>#REF!</v>
      </c>
      <c r="H2874" s="31" t="e">
        <f>'[4]#REF'!I2874</f>
        <v>#REF!</v>
      </c>
      <c r="I2874" s="32" t="e">
        <f t="shared" si="75"/>
        <v>#REF!</v>
      </c>
    </row>
    <row r="2875" ht="15.75" spans="6:9">
      <c r="F2875" s="12" t="e">
        <f>'[4]#REF'!F2875</f>
        <v>#REF!</v>
      </c>
      <c r="G2875" s="12" t="e">
        <f>'[4]#REF'!G2875</f>
        <v>#REF!</v>
      </c>
      <c r="H2875" s="31" t="e">
        <f>'[4]#REF'!I2875</f>
        <v>#REF!</v>
      </c>
      <c r="I2875" s="32" t="e">
        <f t="shared" si="75"/>
        <v>#REF!</v>
      </c>
    </row>
    <row r="2876" ht="15.75" spans="6:9">
      <c r="F2876" s="12" t="e">
        <f>'[4]#REF'!F2876</f>
        <v>#REF!</v>
      </c>
      <c r="G2876" s="12" t="e">
        <f>'[4]#REF'!G2876</f>
        <v>#REF!</v>
      </c>
      <c r="H2876" s="31" t="e">
        <f>'[4]#REF'!I2876</f>
        <v>#REF!</v>
      </c>
      <c r="I2876" s="32" t="e">
        <f t="shared" si="75"/>
        <v>#REF!</v>
      </c>
    </row>
    <row r="2877" ht="15.75" spans="6:9">
      <c r="F2877" s="12" t="e">
        <f>'[4]#REF'!F2877</f>
        <v>#REF!</v>
      </c>
      <c r="G2877" s="12" t="e">
        <f>'[4]#REF'!G2877</f>
        <v>#REF!</v>
      </c>
      <c r="H2877" s="31" t="e">
        <f>'[4]#REF'!I2877</f>
        <v>#REF!</v>
      </c>
      <c r="I2877" s="32" t="e">
        <f t="shared" si="75"/>
        <v>#REF!</v>
      </c>
    </row>
    <row r="2878" ht="15.75" spans="6:9">
      <c r="F2878" s="12" t="e">
        <f>'[4]#REF'!F2878</f>
        <v>#REF!</v>
      </c>
      <c r="G2878" s="12" t="e">
        <f>'[4]#REF'!G2878</f>
        <v>#REF!</v>
      </c>
      <c r="H2878" s="31" t="e">
        <f>'[4]#REF'!I2878</f>
        <v>#REF!</v>
      </c>
      <c r="I2878" s="32" t="e">
        <f t="shared" si="75"/>
        <v>#REF!</v>
      </c>
    </row>
    <row r="2879" ht="15.75" spans="6:9">
      <c r="F2879" s="12" t="e">
        <f>'[4]#REF'!F2879</f>
        <v>#REF!</v>
      </c>
      <c r="G2879" s="12" t="e">
        <f>'[4]#REF'!G2879</f>
        <v>#REF!</v>
      </c>
      <c r="H2879" s="31" t="e">
        <f>'[4]#REF'!I2879</f>
        <v>#REF!</v>
      </c>
      <c r="I2879" s="32" t="e">
        <f t="shared" si="75"/>
        <v>#REF!</v>
      </c>
    </row>
    <row r="2880" ht="15.75" spans="6:9">
      <c r="F2880" s="12" t="e">
        <f>'[4]#REF'!F2880</f>
        <v>#REF!</v>
      </c>
      <c r="G2880" s="12" t="e">
        <f>'[4]#REF'!G2880</f>
        <v>#REF!</v>
      </c>
      <c r="H2880" s="31" t="e">
        <f>'[4]#REF'!I2880</f>
        <v>#REF!</v>
      </c>
      <c r="I2880" s="32" t="e">
        <f t="shared" si="75"/>
        <v>#REF!</v>
      </c>
    </row>
    <row r="2881" ht="15.75" spans="6:9">
      <c r="F2881" s="12" t="e">
        <f>'[4]#REF'!F2881</f>
        <v>#REF!</v>
      </c>
      <c r="G2881" s="12" t="e">
        <f>'[4]#REF'!G2881</f>
        <v>#REF!</v>
      </c>
      <c r="H2881" s="31" t="e">
        <f>'[4]#REF'!I2881</f>
        <v>#REF!</v>
      </c>
      <c r="I2881" s="32" t="e">
        <f t="shared" si="75"/>
        <v>#REF!</v>
      </c>
    </row>
    <row r="2882" ht="15.75" spans="6:9">
      <c r="F2882" s="12" t="e">
        <f>'[4]#REF'!F2882</f>
        <v>#REF!</v>
      </c>
      <c r="G2882" s="12" t="e">
        <f>'[4]#REF'!G2882</f>
        <v>#REF!</v>
      </c>
      <c r="H2882" s="31" t="e">
        <f>'[4]#REF'!I2882</f>
        <v>#REF!</v>
      </c>
      <c r="I2882" s="32" t="e">
        <f t="shared" si="75"/>
        <v>#REF!</v>
      </c>
    </row>
    <row r="2883" ht="15.75" spans="6:9">
      <c r="F2883" s="12" t="e">
        <f>'[4]#REF'!F2883</f>
        <v>#REF!</v>
      </c>
      <c r="G2883" s="12" t="e">
        <f>'[4]#REF'!G2883</f>
        <v>#REF!</v>
      </c>
      <c r="H2883" s="31" t="e">
        <f>'[4]#REF'!I2883</f>
        <v>#REF!</v>
      </c>
      <c r="I2883" s="32" t="e">
        <f t="shared" si="75"/>
        <v>#REF!</v>
      </c>
    </row>
    <row r="2884" ht="15.75" spans="6:9">
      <c r="F2884" s="12" t="e">
        <f>'[4]#REF'!F2884</f>
        <v>#REF!</v>
      </c>
      <c r="G2884" s="12" t="e">
        <f>'[4]#REF'!G2884</f>
        <v>#REF!</v>
      </c>
      <c r="H2884" s="31" t="e">
        <f>'[4]#REF'!I2884</f>
        <v>#REF!</v>
      </c>
      <c r="I2884" s="32" t="e">
        <f t="shared" si="75"/>
        <v>#REF!</v>
      </c>
    </row>
    <row r="2885" ht="15.75" spans="6:9">
      <c r="F2885" s="12" t="e">
        <f>'[4]#REF'!F2885</f>
        <v>#REF!</v>
      </c>
      <c r="G2885" s="12" t="e">
        <f>'[4]#REF'!G2885</f>
        <v>#REF!</v>
      </c>
      <c r="H2885" s="31" t="e">
        <f>'[4]#REF'!I2885</f>
        <v>#REF!</v>
      </c>
      <c r="I2885" s="32" t="e">
        <f t="shared" si="75"/>
        <v>#REF!</v>
      </c>
    </row>
    <row r="2886" ht="15.75" spans="6:9">
      <c r="F2886" s="12" t="e">
        <f>'[4]#REF'!F2886</f>
        <v>#REF!</v>
      </c>
      <c r="G2886" s="12" t="e">
        <f>'[4]#REF'!G2886</f>
        <v>#REF!</v>
      </c>
      <c r="H2886" s="31" t="e">
        <f>'[4]#REF'!I2886</f>
        <v>#REF!</v>
      </c>
      <c r="I2886" s="32" t="e">
        <f t="shared" ref="I2886:I2949" si="76">ROUND(H2886/$I$4*100,2)</f>
        <v>#REF!</v>
      </c>
    </row>
    <row r="2887" ht="15.75" spans="6:9">
      <c r="F2887" s="12" t="e">
        <f>'[4]#REF'!F2887</f>
        <v>#REF!</v>
      </c>
      <c r="G2887" s="12" t="e">
        <f>'[4]#REF'!G2887</f>
        <v>#REF!</v>
      </c>
      <c r="H2887" s="31" t="e">
        <f>'[4]#REF'!I2887</f>
        <v>#REF!</v>
      </c>
      <c r="I2887" s="32" t="e">
        <f t="shared" si="76"/>
        <v>#REF!</v>
      </c>
    </row>
    <row r="2888" ht="15.75" spans="6:9">
      <c r="F2888" s="12" t="e">
        <f>'[4]#REF'!F2888</f>
        <v>#REF!</v>
      </c>
      <c r="G2888" s="12" t="e">
        <f>'[4]#REF'!G2888</f>
        <v>#REF!</v>
      </c>
      <c r="H2888" s="31" t="e">
        <f>'[4]#REF'!I2888</f>
        <v>#REF!</v>
      </c>
      <c r="I2888" s="32" t="e">
        <f t="shared" si="76"/>
        <v>#REF!</v>
      </c>
    </row>
    <row r="2889" ht="15.75" spans="6:9">
      <c r="F2889" s="12" t="e">
        <f>'[4]#REF'!F2889</f>
        <v>#REF!</v>
      </c>
      <c r="G2889" s="12" t="e">
        <f>'[4]#REF'!G2889</f>
        <v>#REF!</v>
      </c>
      <c r="H2889" s="31" t="e">
        <f>'[4]#REF'!I2889</f>
        <v>#REF!</v>
      </c>
      <c r="I2889" s="32" t="e">
        <f t="shared" si="76"/>
        <v>#REF!</v>
      </c>
    </row>
    <row r="2890" ht="15.75" spans="6:9">
      <c r="F2890" s="12" t="e">
        <f>'[4]#REF'!F2890</f>
        <v>#REF!</v>
      </c>
      <c r="G2890" s="12" t="e">
        <f>'[4]#REF'!G2890</f>
        <v>#REF!</v>
      </c>
      <c r="H2890" s="31" t="e">
        <f>'[4]#REF'!I2890</f>
        <v>#REF!</v>
      </c>
      <c r="I2890" s="32" t="e">
        <f t="shared" si="76"/>
        <v>#REF!</v>
      </c>
    </row>
    <row r="2891" ht="15.75" spans="6:9">
      <c r="F2891" s="12" t="e">
        <f>'[4]#REF'!F2891</f>
        <v>#REF!</v>
      </c>
      <c r="G2891" s="12" t="e">
        <f>'[4]#REF'!G2891</f>
        <v>#REF!</v>
      </c>
      <c r="H2891" s="31" t="e">
        <f>'[4]#REF'!I2891</f>
        <v>#REF!</v>
      </c>
      <c r="I2891" s="32" t="e">
        <f t="shared" si="76"/>
        <v>#REF!</v>
      </c>
    </row>
    <row r="2892" ht="15.75" spans="6:9">
      <c r="F2892" s="12" t="e">
        <f>'[4]#REF'!F2892</f>
        <v>#REF!</v>
      </c>
      <c r="G2892" s="12" t="e">
        <f>'[4]#REF'!G2892</f>
        <v>#REF!</v>
      </c>
      <c r="H2892" s="31" t="e">
        <f>'[4]#REF'!I2892</f>
        <v>#REF!</v>
      </c>
      <c r="I2892" s="32" t="e">
        <f t="shared" si="76"/>
        <v>#REF!</v>
      </c>
    </row>
    <row r="2893" ht="15.75" spans="6:9">
      <c r="F2893" s="12" t="e">
        <f>'[4]#REF'!F2893</f>
        <v>#REF!</v>
      </c>
      <c r="G2893" s="12" t="e">
        <f>'[4]#REF'!G2893</f>
        <v>#REF!</v>
      </c>
      <c r="H2893" s="31" t="e">
        <f>'[4]#REF'!I2893</f>
        <v>#REF!</v>
      </c>
      <c r="I2893" s="32" t="e">
        <f t="shared" si="76"/>
        <v>#REF!</v>
      </c>
    </row>
    <row r="2894" ht="15.75" spans="6:9">
      <c r="F2894" s="12" t="e">
        <f>'[4]#REF'!F2894</f>
        <v>#REF!</v>
      </c>
      <c r="G2894" s="12" t="e">
        <f>'[4]#REF'!G2894</f>
        <v>#REF!</v>
      </c>
      <c r="H2894" s="31" t="e">
        <f>'[4]#REF'!I2894</f>
        <v>#REF!</v>
      </c>
      <c r="I2894" s="32" t="e">
        <f t="shared" si="76"/>
        <v>#REF!</v>
      </c>
    </row>
    <row r="2895" ht="15.75" spans="6:9">
      <c r="F2895" s="12" t="e">
        <f>'[4]#REF'!F2895</f>
        <v>#REF!</v>
      </c>
      <c r="G2895" s="12" t="e">
        <f>'[4]#REF'!G2895</f>
        <v>#REF!</v>
      </c>
      <c r="H2895" s="31" t="e">
        <f>'[4]#REF'!I2895</f>
        <v>#REF!</v>
      </c>
      <c r="I2895" s="32" t="e">
        <f t="shared" si="76"/>
        <v>#REF!</v>
      </c>
    </row>
    <row r="2896" ht="15.75" spans="6:9">
      <c r="F2896" s="12" t="e">
        <f>'[4]#REF'!F2896</f>
        <v>#REF!</v>
      </c>
      <c r="G2896" s="12" t="e">
        <f>'[4]#REF'!G2896</f>
        <v>#REF!</v>
      </c>
      <c r="H2896" s="31" t="e">
        <f>'[4]#REF'!I2896</f>
        <v>#REF!</v>
      </c>
      <c r="I2896" s="32" t="e">
        <f t="shared" si="76"/>
        <v>#REF!</v>
      </c>
    </row>
    <row r="2897" ht="15.75" spans="6:9">
      <c r="F2897" s="12" t="e">
        <f>'[4]#REF'!F2897</f>
        <v>#REF!</v>
      </c>
      <c r="G2897" s="12" t="e">
        <f>'[4]#REF'!G2897</f>
        <v>#REF!</v>
      </c>
      <c r="H2897" s="31" t="e">
        <f>'[4]#REF'!I2897</f>
        <v>#REF!</v>
      </c>
      <c r="I2897" s="32" t="e">
        <f t="shared" si="76"/>
        <v>#REF!</v>
      </c>
    </row>
    <row r="2898" ht="15.75" spans="6:9">
      <c r="F2898" s="12" t="e">
        <f>'[4]#REF'!F2898</f>
        <v>#REF!</v>
      </c>
      <c r="G2898" s="12" t="e">
        <f>'[4]#REF'!G2898</f>
        <v>#REF!</v>
      </c>
      <c r="H2898" s="31" t="e">
        <f>'[4]#REF'!I2898</f>
        <v>#REF!</v>
      </c>
      <c r="I2898" s="32" t="e">
        <f t="shared" si="76"/>
        <v>#REF!</v>
      </c>
    </row>
    <row r="2899" ht="15.75" spans="6:9">
      <c r="F2899" s="12" t="e">
        <f>'[4]#REF'!F2899</f>
        <v>#REF!</v>
      </c>
      <c r="G2899" s="12" t="e">
        <f>'[4]#REF'!G2899</f>
        <v>#REF!</v>
      </c>
      <c r="H2899" s="31" t="e">
        <f>'[4]#REF'!I2899</f>
        <v>#REF!</v>
      </c>
      <c r="I2899" s="32" t="e">
        <f t="shared" si="76"/>
        <v>#REF!</v>
      </c>
    </row>
    <row r="2900" ht="15.75" spans="6:9">
      <c r="F2900" s="12" t="e">
        <f>'[4]#REF'!F2900</f>
        <v>#REF!</v>
      </c>
      <c r="G2900" s="12" t="e">
        <f>'[4]#REF'!G2900</f>
        <v>#REF!</v>
      </c>
      <c r="H2900" s="31" t="e">
        <f>'[4]#REF'!I2900</f>
        <v>#REF!</v>
      </c>
      <c r="I2900" s="32" t="e">
        <f t="shared" si="76"/>
        <v>#REF!</v>
      </c>
    </row>
    <row r="2901" ht="15.75" spans="6:9">
      <c r="F2901" s="12" t="e">
        <f>'[4]#REF'!F2901</f>
        <v>#REF!</v>
      </c>
      <c r="G2901" s="12" t="e">
        <f>'[4]#REF'!G2901</f>
        <v>#REF!</v>
      </c>
      <c r="H2901" s="31" t="e">
        <f>'[4]#REF'!I2901</f>
        <v>#REF!</v>
      </c>
      <c r="I2901" s="32" t="e">
        <f t="shared" si="76"/>
        <v>#REF!</v>
      </c>
    </row>
    <row r="2902" ht="15.75" spans="6:9">
      <c r="F2902" s="12" t="e">
        <f>'[4]#REF'!F2902</f>
        <v>#REF!</v>
      </c>
      <c r="G2902" s="12" t="e">
        <f>'[4]#REF'!G2902</f>
        <v>#REF!</v>
      </c>
      <c r="H2902" s="31" t="e">
        <f>'[4]#REF'!I2902</f>
        <v>#REF!</v>
      </c>
      <c r="I2902" s="32" t="e">
        <f t="shared" si="76"/>
        <v>#REF!</v>
      </c>
    </row>
    <row r="2903" ht="15.75" spans="6:9">
      <c r="F2903" s="12" t="e">
        <f>'[4]#REF'!F2903</f>
        <v>#REF!</v>
      </c>
      <c r="G2903" s="12" t="e">
        <f>'[4]#REF'!G2903</f>
        <v>#REF!</v>
      </c>
      <c r="H2903" s="31" t="e">
        <f>'[4]#REF'!I2903</f>
        <v>#REF!</v>
      </c>
      <c r="I2903" s="32" t="e">
        <f t="shared" si="76"/>
        <v>#REF!</v>
      </c>
    </row>
    <row r="2904" ht="15.75" spans="6:9">
      <c r="F2904" s="12" t="e">
        <f>'[4]#REF'!F2904</f>
        <v>#REF!</v>
      </c>
      <c r="G2904" s="12" t="e">
        <f>'[4]#REF'!G2904</f>
        <v>#REF!</v>
      </c>
      <c r="H2904" s="31" t="e">
        <f>'[4]#REF'!I2904</f>
        <v>#REF!</v>
      </c>
      <c r="I2904" s="32" t="e">
        <f t="shared" si="76"/>
        <v>#REF!</v>
      </c>
    </row>
    <row r="2905" ht="15.75" spans="6:9">
      <c r="F2905" s="12" t="e">
        <f>'[4]#REF'!F2905</f>
        <v>#REF!</v>
      </c>
      <c r="G2905" s="12" t="e">
        <f>'[4]#REF'!G2905</f>
        <v>#REF!</v>
      </c>
      <c r="H2905" s="31" t="e">
        <f>'[4]#REF'!I2905</f>
        <v>#REF!</v>
      </c>
      <c r="I2905" s="32" t="e">
        <f t="shared" si="76"/>
        <v>#REF!</v>
      </c>
    </row>
    <row r="2906" ht="15.75" spans="6:9">
      <c r="F2906" s="12" t="e">
        <f>'[4]#REF'!F2906</f>
        <v>#REF!</v>
      </c>
      <c r="G2906" s="12" t="e">
        <f>'[4]#REF'!G2906</f>
        <v>#REF!</v>
      </c>
      <c r="H2906" s="31" t="e">
        <f>'[4]#REF'!I2906</f>
        <v>#REF!</v>
      </c>
      <c r="I2906" s="32" t="e">
        <f t="shared" si="76"/>
        <v>#REF!</v>
      </c>
    </row>
    <row r="2907" ht="15.75" spans="6:9">
      <c r="F2907" s="12" t="e">
        <f>'[4]#REF'!F2907</f>
        <v>#REF!</v>
      </c>
      <c r="G2907" s="12" t="e">
        <f>'[4]#REF'!G2907</f>
        <v>#REF!</v>
      </c>
      <c r="H2907" s="31" t="e">
        <f>'[4]#REF'!I2907</f>
        <v>#REF!</v>
      </c>
      <c r="I2907" s="32" t="e">
        <f t="shared" si="76"/>
        <v>#REF!</v>
      </c>
    </row>
    <row r="2908" ht="15.75" spans="6:9">
      <c r="F2908" s="12" t="e">
        <f>'[4]#REF'!F2908</f>
        <v>#REF!</v>
      </c>
      <c r="G2908" s="12" t="e">
        <f>'[4]#REF'!G2908</f>
        <v>#REF!</v>
      </c>
      <c r="H2908" s="31" t="e">
        <f>'[4]#REF'!I2908</f>
        <v>#REF!</v>
      </c>
      <c r="I2908" s="32" t="e">
        <f t="shared" si="76"/>
        <v>#REF!</v>
      </c>
    </row>
    <row r="2909" ht="15.75" spans="6:9">
      <c r="F2909" s="12" t="e">
        <f>'[4]#REF'!F2909</f>
        <v>#REF!</v>
      </c>
      <c r="G2909" s="12" t="e">
        <f>'[4]#REF'!G2909</f>
        <v>#REF!</v>
      </c>
      <c r="H2909" s="31" t="e">
        <f>'[4]#REF'!I2909</f>
        <v>#REF!</v>
      </c>
      <c r="I2909" s="32" t="e">
        <f t="shared" si="76"/>
        <v>#REF!</v>
      </c>
    </row>
    <row r="2910" ht="15.75" spans="6:9">
      <c r="F2910" s="12" t="e">
        <f>'[4]#REF'!F2910</f>
        <v>#REF!</v>
      </c>
      <c r="G2910" s="12" t="e">
        <f>'[4]#REF'!G2910</f>
        <v>#REF!</v>
      </c>
      <c r="H2910" s="31" t="e">
        <f>'[4]#REF'!I2910</f>
        <v>#REF!</v>
      </c>
      <c r="I2910" s="32" t="e">
        <f t="shared" si="76"/>
        <v>#REF!</v>
      </c>
    </row>
    <row r="2911" ht="15.75" spans="6:9">
      <c r="F2911" s="12" t="e">
        <f>'[4]#REF'!F2911</f>
        <v>#REF!</v>
      </c>
      <c r="G2911" s="12" t="e">
        <f>'[4]#REF'!G2911</f>
        <v>#REF!</v>
      </c>
      <c r="H2911" s="31" t="e">
        <f>'[4]#REF'!I2911</f>
        <v>#REF!</v>
      </c>
      <c r="I2911" s="32" t="e">
        <f t="shared" si="76"/>
        <v>#REF!</v>
      </c>
    </row>
    <row r="2912" ht="15.75" spans="6:9">
      <c r="F2912" s="12" t="e">
        <f>'[4]#REF'!F2912</f>
        <v>#REF!</v>
      </c>
      <c r="G2912" s="12" t="e">
        <f>'[4]#REF'!G2912</f>
        <v>#REF!</v>
      </c>
      <c r="H2912" s="31" t="e">
        <f>'[4]#REF'!I2912</f>
        <v>#REF!</v>
      </c>
      <c r="I2912" s="32" t="e">
        <f t="shared" si="76"/>
        <v>#REF!</v>
      </c>
    </row>
    <row r="2913" ht="15.75" spans="6:9">
      <c r="F2913" s="12" t="e">
        <f>'[4]#REF'!F2913</f>
        <v>#REF!</v>
      </c>
      <c r="G2913" s="12" t="e">
        <f>'[4]#REF'!G2913</f>
        <v>#REF!</v>
      </c>
      <c r="H2913" s="31" t="e">
        <f>'[4]#REF'!I2913</f>
        <v>#REF!</v>
      </c>
      <c r="I2913" s="32" t="e">
        <f t="shared" si="76"/>
        <v>#REF!</v>
      </c>
    </row>
    <row r="2914" ht="15.75" spans="6:9">
      <c r="F2914" s="12" t="e">
        <f>'[4]#REF'!F2914</f>
        <v>#REF!</v>
      </c>
      <c r="G2914" s="12" t="e">
        <f>'[4]#REF'!G2914</f>
        <v>#REF!</v>
      </c>
      <c r="H2914" s="31" t="e">
        <f>'[4]#REF'!I2914</f>
        <v>#REF!</v>
      </c>
      <c r="I2914" s="32" t="e">
        <f t="shared" si="76"/>
        <v>#REF!</v>
      </c>
    </row>
    <row r="2915" ht="15.75" spans="6:9">
      <c r="F2915" s="12" t="e">
        <f>'[4]#REF'!F2915</f>
        <v>#REF!</v>
      </c>
      <c r="G2915" s="12" t="e">
        <f>'[4]#REF'!G2915</f>
        <v>#REF!</v>
      </c>
      <c r="H2915" s="31" t="e">
        <f>'[4]#REF'!I2915</f>
        <v>#REF!</v>
      </c>
      <c r="I2915" s="32" t="e">
        <f t="shared" si="76"/>
        <v>#REF!</v>
      </c>
    </row>
    <row r="2916" ht="15.75" spans="6:9">
      <c r="F2916" s="12" t="e">
        <f>'[4]#REF'!F2916</f>
        <v>#REF!</v>
      </c>
      <c r="G2916" s="12" t="e">
        <f>'[4]#REF'!G2916</f>
        <v>#REF!</v>
      </c>
      <c r="H2916" s="31" t="e">
        <f>'[4]#REF'!I2916</f>
        <v>#REF!</v>
      </c>
      <c r="I2916" s="32" t="e">
        <f t="shared" si="76"/>
        <v>#REF!</v>
      </c>
    </row>
    <row r="2917" ht="15.75" spans="6:9">
      <c r="F2917" s="12" t="e">
        <f>'[4]#REF'!F2917</f>
        <v>#REF!</v>
      </c>
      <c r="G2917" s="12" t="e">
        <f>'[4]#REF'!G2917</f>
        <v>#REF!</v>
      </c>
      <c r="H2917" s="31" t="e">
        <f>'[4]#REF'!I2917</f>
        <v>#REF!</v>
      </c>
      <c r="I2917" s="32" t="e">
        <f t="shared" si="76"/>
        <v>#REF!</v>
      </c>
    </row>
    <row r="2918" ht="15.75" spans="6:9">
      <c r="F2918" s="12" t="e">
        <f>'[4]#REF'!F2918</f>
        <v>#REF!</v>
      </c>
      <c r="G2918" s="12" t="e">
        <f>'[4]#REF'!G2918</f>
        <v>#REF!</v>
      </c>
      <c r="H2918" s="31" t="e">
        <f>'[4]#REF'!I2918</f>
        <v>#REF!</v>
      </c>
      <c r="I2918" s="32" t="e">
        <f t="shared" si="76"/>
        <v>#REF!</v>
      </c>
    </row>
    <row r="2919" ht="15.75" spans="6:9">
      <c r="F2919" s="12" t="e">
        <f>'[4]#REF'!F2919</f>
        <v>#REF!</v>
      </c>
      <c r="G2919" s="12" t="e">
        <f>'[4]#REF'!G2919</f>
        <v>#REF!</v>
      </c>
      <c r="H2919" s="31" t="e">
        <f>'[4]#REF'!I2919</f>
        <v>#REF!</v>
      </c>
      <c r="I2919" s="32" t="e">
        <f t="shared" si="76"/>
        <v>#REF!</v>
      </c>
    </row>
    <row r="2920" ht="15.75" spans="6:9">
      <c r="F2920" s="12" t="e">
        <f>'[4]#REF'!F2920</f>
        <v>#REF!</v>
      </c>
      <c r="G2920" s="12" t="e">
        <f>'[4]#REF'!G2920</f>
        <v>#REF!</v>
      </c>
      <c r="H2920" s="31" t="e">
        <f>'[4]#REF'!I2920</f>
        <v>#REF!</v>
      </c>
      <c r="I2920" s="32" t="e">
        <f t="shared" si="76"/>
        <v>#REF!</v>
      </c>
    </row>
    <row r="2921" ht="15.75" spans="6:9">
      <c r="F2921" s="12" t="e">
        <f>'[4]#REF'!F2921</f>
        <v>#REF!</v>
      </c>
      <c r="G2921" s="12" t="e">
        <f>'[4]#REF'!G2921</f>
        <v>#REF!</v>
      </c>
      <c r="H2921" s="31" t="e">
        <f>'[4]#REF'!I2921</f>
        <v>#REF!</v>
      </c>
      <c r="I2921" s="32" t="e">
        <f t="shared" si="76"/>
        <v>#REF!</v>
      </c>
    </row>
    <row r="2922" ht="15.75" spans="6:9">
      <c r="F2922" s="12" t="e">
        <f>'[4]#REF'!F2922</f>
        <v>#REF!</v>
      </c>
      <c r="G2922" s="12" t="e">
        <f>'[4]#REF'!G2922</f>
        <v>#REF!</v>
      </c>
      <c r="H2922" s="31" t="e">
        <f>'[4]#REF'!I2922</f>
        <v>#REF!</v>
      </c>
      <c r="I2922" s="32" t="e">
        <f t="shared" si="76"/>
        <v>#REF!</v>
      </c>
    </row>
    <row r="2923" ht="15.75" spans="6:9">
      <c r="F2923" s="12" t="e">
        <f>'[4]#REF'!F2923</f>
        <v>#REF!</v>
      </c>
      <c r="G2923" s="12" t="e">
        <f>'[4]#REF'!G2923</f>
        <v>#REF!</v>
      </c>
      <c r="H2923" s="31" t="e">
        <f>'[4]#REF'!I2923</f>
        <v>#REF!</v>
      </c>
      <c r="I2923" s="32" t="e">
        <f t="shared" si="76"/>
        <v>#REF!</v>
      </c>
    </row>
    <row r="2924" ht="15.75" spans="6:9">
      <c r="F2924" s="12" t="e">
        <f>'[4]#REF'!F2924</f>
        <v>#REF!</v>
      </c>
      <c r="G2924" s="12" t="e">
        <f>'[4]#REF'!G2924</f>
        <v>#REF!</v>
      </c>
      <c r="H2924" s="31" t="e">
        <f>'[4]#REF'!I2924</f>
        <v>#REF!</v>
      </c>
      <c r="I2924" s="32" t="e">
        <f t="shared" si="76"/>
        <v>#REF!</v>
      </c>
    </row>
    <row r="2925" ht="15.75" spans="6:9">
      <c r="F2925" s="12" t="e">
        <f>'[4]#REF'!F2925</f>
        <v>#REF!</v>
      </c>
      <c r="G2925" s="12" t="e">
        <f>'[4]#REF'!G2925</f>
        <v>#REF!</v>
      </c>
      <c r="H2925" s="31" t="e">
        <f>'[4]#REF'!I2925</f>
        <v>#REF!</v>
      </c>
      <c r="I2925" s="32" t="e">
        <f t="shared" si="76"/>
        <v>#REF!</v>
      </c>
    </row>
    <row r="2926" ht="15.75" spans="6:9">
      <c r="F2926" s="12" t="e">
        <f>'[4]#REF'!F2926</f>
        <v>#REF!</v>
      </c>
      <c r="G2926" s="12" t="e">
        <f>'[4]#REF'!G2926</f>
        <v>#REF!</v>
      </c>
      <c r="H2926" s="31" t="e">
        <f>'[4]#REF'!I2926</f>
        <v>#REF!</v>
      </c>
      <c r="I2926" s="32" t="e">
        <f t="shared" si="76"/>
        <v>#REF!</v>
      </c>
    </row>
    <row r="2927" ht="15.75" spans="6:9">
      <c r="F2927" s="12" t="e">
        <f>'[4]#REF'!F2927</f>
        <v>#REF!</v>
      </c>
      <c r="G2927" s="12" t="e">
        <f>'[4]#REF'!G2927</f>
        <v>#REF!</v>
      </c>
      <c r="H2927" s="31" t="e">
        <f>'[4]#REF'!I2927</f>
        <v>#REF!</v>
      </c>
      <c r="I2927" s="32" t="e">
        <f t="shared" si="76"/>
        <v>#REF!</v>
      </c>
    </row>
    <row r="2928" ht="15.75" spans="6:9">
      <c r="F2928" s="12" t="e">
        <f>'[4]#REF'!F2928</f>
        <v>#REF!</v>
      </c>
      <c r="G2928" s="12" t="e">
        <f>'[4]#REF'!G2928</f>
        <v>#REF!</v>
      </c>
      <c r="H2928" s="31" t="e">
        <f>'[4]#REF'!I2928</f>
        <v>#REF!</v>
      </c>
      <c r="I2928" s="32" t="e">
        <f t="shared" si="76"/>
        <v>#REF!</v>
      </c>
    </row>
    <row r="2929" ht="15.75" spans="6:9">
      <c r="F2929" s="12" t="e">
        <f>'[4]#REF'!F2929</f>
        <v>#REF!</v>
      </c>
      <c r="G2929" s="12" t="e">
        <f>'[4]#REF'!G2929</f>
        <v>#REF!</v>
      </c>
      <c r="H2929" s="31" t="e">
        <f>'[4]#REF'!I2929</f>
        <v>#REF!</v>
      </c>
      <c r="I2929" s="32" t="e">
        <f t="shared" si="76"/>
        <v>#REF!</v>
      </c>
    </row>
    <row r="2930" ht="15.75" spans="6:9">
      <c r="F2930" s="12" t="e">
        <f>'[4]#REF'!F2930</f>
        <v>#REF!</v>
      </c>
      <c r="G2930" s="12" t="e">
        <f>'[4]#REF'!G2930</f>
        <v>#REF!</v>
      </c>
      <c r="H2930" s="31" t="e">
        <f>'[4]#REF'!I2930</f>
        <v>#REF!</v>
      </c>
      <c r="I2930" s="32" t="e">
        <f t="shared" si="76"/>
        <v>#REF!</v>
      </c>
    </row>
    <row r="2931" ht="15.75" spans="6:9">
      <c r="F2931" s="12" t="e">
        <f>'[4]#REF'!F2931</f>
        <v>#REF!</v>
      </c>
      <c r="G2931" s="12" t="e">
        <f>'[4]#REF'!G2931</f>
        <v>#REF!</v>
      </c>
      <c r="H2931" s="31" t="e">
        <f>'[4]#REF'!I2931</f>
        <v>#REF!</v>
      </c>
      <c r="I2931" s="32" t="e">
        <f t="shared" si="76"/>
        <v>#REF!</v>
      </c>
    </row>
    <row r="2932" ht="15.75" spans="6:9">
      <c r="F2932" s="12" t="e">
        <f>'[4]#REF'!F2932</f>
        <v>#REF!</v>
      </c>
      <c r="G2932" s="12" t="e">
        <f>'[4]#REF'!G2932</f>
        <v>#REF!</v>
      </c>
      <c r="H2932" s="31" t="e">
        <f>'[4]#REF'!I2932</f>
        <v>#REF!</v>
      </c>
      <c r="I2932" s="32" t="e">
        <f t="shared" si="76"/>
        <v>#REF!</v>
      </c>
    </row>
    <row r="2933" ht="15.75" spans="6:9">
      <c r="F2933" s="12" t="e">
        <f>'[4]#REF'!F2933</f>
        <v>#REF!</v>
      </c>
      <c r="G2933" s="12" t="e">
        <f>'[4]#REF'!G2933</f>
        <v>#REF!</v>
      </c>
      <c r="H2933" s="31" t="e">
        <f>'[4]#REF'!I2933</f>
        <v>#REF!</v>
      </c>
      <c r="I2933" s="32" t="e">
        <f t="shared" si="76"/>
        <v>#REF!</v>
      </c>
    </row>
    <row r="2934" ht="15.75" spans="6:9">
      <c r="F2934" s="12" t="e">
        <f>'[4]#REF'!F2934</f>
        <v>#REF!</v>
      </c>
      <c r="G2934" s="12" t="e">
        <f>'[4]#REF'!G2934</f>
        <v>#REF!</v>
      </c>
      <c r="H2934" s="31" t="e">
        <f>'[4]#REF'!I2934</f>
        <v>#REF!</v>
      </c>
      <c r="I2934" s="32" t="e">
        <f t="shared" si="76"/>
        <v>#REF!</v>
      </c>
    </row>
    <row r="2935" ht="15.75" spans="6:9">
      <c r="F2935" s="12" t="e">
        <f>'[4]#REF'!F2935</f>
        <v>#REF!</v>
      </c>
      <c r="G2935" s="12" t="e">
        <f>'[4]#REF'!G2935</f>
        <v>#REF!</v>
      </c>
      <c r="H2935" s="31" t="e">
        <f>'[4]#REF'!I2935</f>
        <v>#REF!</v>
      </c>
      <c r="I2935" s="32" t="e">
        <f t="shared" si="76"/>
        <v>#REF!</v>
      </c>
    </row>
    <row r="2936" ht="15.75" spans="6:9">
      <c r="F2936" s="12" t="e">
        <f>'[4]#REF'!F2936</f>
        <v>#REF!</v>
      </c>
      <c r="G2936" s="12" t="e">
        <f>'[4]#REF'!G2936</f>
        <v>#REF!</v>
      </c>
      <c r="H2936" s="31" t="e">
        <f>'[4]#REF'!I2936</f>
        <v>#REF!</v>
      </c>
      <c r="I2936" s="32" t="e">
        <f t="shared" si="76"/>
        <v>#REF!</v>
      </c>
    </row>
    <row r="2937" ht="15.75" spans="6:9">
      <c r="F2937" s="12" t="e">
        <f>'[4]#REF'!F2937</f>
        <v>#REF!</v>
      </c>
      <c r="G2937" s="12" t="e">
        <f>'[4]#REF'!G2937</f>
        <v>#REF!</v>
      </c>
      <c r="H2937" s="31" t="e">
        <f>'[4]#REF'!I2937</f>
        <v>#REF!</v>
      </c>
      <c r="I2937" s="32" t="e">
        <f t="shared" si="76"/>
        <v>#REF!</v>
      </c>
    </row>
    <row r="2938" ht="15.75" spans="6:9">
      <c r="F2938" s="12" t="e">
        <f>'[4]#REF'!F2938</f>
        <v>#REF!</v>
      </c>
      <c r="G2938" s="12" t="e">
        <f>'[4]#REF'!G2938</f>
        <v>#REF!</v>
      </c>
      <c r="H2938" s="31" t="e">
        <f>'[4]#REF'!I2938</f>
        <v>#REF!</v>
      </c>
      <c r="I2938" s="32" t="e">
        <f t="shared" si="76"/>
        <v>#REF!</v>
      </c>
    </row>
    <row r="2939" ht="15.75" spans="6:9">
      <c r="F2939" s="12" t="e">
        <f>'[4]#REF'!F2939</f>
        <v>#REF!</v>
      </c>
      <c r="G2939" s="12" t="e">
        <f>'[4]#REF'!G2939</f>
        <v>#REF!</v>
      </c>
      <c r="H2939" s="31" t="e">
        <f>'[4]#REF'!I2939</f>
        <v>#REF!</v>
      </c>
      <c r="I2939" s="32" t="e">
        <f t="shared" si="76"/>
        <v>#REF!</v>
      </c>
    </row>
    <row r="2940" ht="15.75" spans="6:9">
      <c r="F2940" s="12" t="e">
        <f>'[4]#REF'!F2940</f>
        <v>#REF!</v>
      </c>
      <c r="G2940" s="12" t="e">
        <f>'[4]#REF'!G2940</f>
        <v>#REF!</v>
      </c>
      <c r="H2940" s="31" t="e">
        <f>'[4]#REF'!I2940</f>
        <v>#REF!</v>
      </c>
      <c r="I2940" s="32" t="e">
        <f t="shared" si="76"/>
        <v>#REF!</v>
      </c>
    </row>
    <row r="2941" ht="15.75" spans="6:9">
      <c r="F2941" s="12" t="e">
        <f>'[4]#REF'!F2941</f>
        <v>#REF!</v>
      </c>
      <c r="G2941" s="12" t="e">
        <f>'[4]#REF'!G2941</f>
        <v>#REF!</v>
      </c>
      <c r="H2941" s="31" t="e">
        <f>'[4]#REF'!I2941</f>
        <v>#REF!</v>
      </c>
      <c r="I2941" s="32" t="e">
        <f t="shared" si="76"/>
        <v>#REF!</v>
      </c>
    </row>
    <row r="2942" ht="15.75" spans="6:9">
      <c r="F2942" s="12" t="e">
        <f>'[4]#REF'!F2942</f>
        <v>#REF!</v>
      </c>
      <c r="G2942" s="12" t="e">
        <f>'[4]#REF'!G2942</f>
        <v>#REF!</v>
      </c>
      <c r="H2942" s="31" t="e">
        <f>'[4]#REF'!I2942</f>
        <v>#REF!</v>
      </c>
      <c r="I2942" s="32" t="e">
        <f t="shared" si="76"/>
        <v>#REF!</v>
      </c>
    </row>
    <row r="2943" ht="15.75" spans="6:9">
      <c r="F2943" s="12" t="e">
        <f>'[4]#REF'!F2943</f>
        <v>#REF!</v>
      </c>
      <c r="G2943" s="12" t="e">
        <f>'[4]#REF'!G2943</f>
        <v>#REF!</v>
      </c>
      <c r="H2943" s="31" t="e">
        <f>'[4]#REF'!I2943</f>
        <v>#REF!</v>
      </c>
      <c r="I2943" s="32" t="e">
        <f t="shared" si="76"/>
        <v>#REF!</v>
      </c>
    </row>
    <row r="2944" ht="15.75" spans="6:9">
      <c r="F2944" s="12" t="e">
        <f>'[4]#REF'!F2944</f>
        <v>#REF!</v>
      </c>
      <c r="G2944" s="12" t="e">
        <f>'[4]#REF'!G2944</f>
        <v>#REF!</v>
      </c>
      <c r="H2944" s="31" t="e">
        <f>'[4]#REF'!I2944</f>
        <v>#REF!</v>
      </c>
      <c r="I2944" s="32" t="e">
        <f t="shared" si="76"/>
        <v>#REF!</v>
      </c>
    </row>
    <row r="2945" ht="15.75" spans="6:9">
      <c r="F2945" s="12" t="e">
        <f>'[4]#REF'!F2945</f>
        <v>#REF!</v>
      </c>
      <c r="G2945" s="12" t="e">
        <f>'[4]#REF'!G2945</f>
        <v>#REF!</v>
      </c>
      <c r="H2945" s="31" t="e">
        <f>'[4]#REF'!I2945</f>
        <v>#REF!</v>
      </c>
      <c r="I2945" s="32" t="e">
        <f t="shared" si="76"/>
        <v>#REF!</v>
      </c>
    </row>
    <row r="2946" ht="15.75" spans="6:9">
      <c r="F2946" s="12" t="e">
        <f>'[4]#REF'!F2946</f>
        <v>#REF!</v>
      </c>
      <c r="G2946" s="12" t="e">
        <f>'[4]#REF'!G2946</f>
        <v>#REF!</v>
      </c>
      <c r="H2946" s="31" t="e">
        <f>'[4]#REF'!I2946</f>
        <v>#REF!</v>
      </c>
      <c r="I2946" s="32" t="e">
        <f t="shared" si="76"/>
        <v>#REF!</v>
      </c>
    </row>
    <row r="2947" ht="15.75" spans="6:9">
      <c r="F2947" s="12" t="e">
        <f>'[4]#REF'!F2947</f>
        <v>#REF!</v>
      </c>
      <c r="G2947" s="12" t="e">
        <f>'[4]#REF'!G2947</f>
        <v>#REF!</v>
      </c>
      <c r="H2947" s="31" t="e">
        <f>'[4]#REF'!I2947</f>
        <v>#REF!</v>
      </c>
      <c r="I2947" s="32" t="e">
        <f t="shared" si="76"/>
        <v>#REF!</v>
      </c>
    </row>
    <row r="2948" ht="15.75" spans="6:9">
      <c r="F2948" s="12" t="e">
        <f>'[4]#REF'!F2948</f>
        <v>#REF!</v>
      </c>
      <c r="G2948" s="12" t="e">
        <f>'[4]#REF'!G2948</f>
        <v>#REF!</v>
      </c>
      <c r="H2948" s="31" t="e">
        <f>'[4]#REF'!I2948</f>
        <v>#REF!</v>
      </c>
      <c r="I2948" s="32" t="e">
        <f t="shared" si="76"/>
        <v>#REF!</v>
      </c>
    </row>
    <row r="2949" ht="15.75" spans="6:9">
      <c r="F2949" s="12" t="e">
        <f>'[4]#REF'!F2949</f>
        <v>#REF!</v>
      </c>
      <c r="G2949" s="12" t="e">
        <f>'[4]#REF'!G2949</f>
        <v>#REF!</v>
      </c>
      <c r="H2949" s="31" t="e">
        <f>'[4]#REF'!I2949</f>
        <v>#REF!</v>
      </c>
      <c r="I2949" s="32" t="e">
        <f t="shared" si="76"/>
        <v>#REF!</v>
      </c>
    </row>
    <row r="2950" ht="15.75" spans="6:9">
      <c r="F2950" s="12" t="e">
        <f>'[4]#REF'!F2950</f>
        <v>#REF!</v>
      </c>
      <c r="G2950" s="12" t="e">
        <f>'[4]#REF'!G2950</f>
        <v>#REF!</v>
      </c>
      <c r="H2950" s="31" t="e">
        <f>'[4]#REF'!I2950</f>
        <v>#REF!</v>
      </c>
      <c r="I2950" s="32" t="e">
        <f t="shared" ref="I2950:I3013" si="77">ROUND(H2950/$I$4*100,2)</f>
        <v>#REF!</v>
      </c>
    </row>
    <row r="2951" ht="15.75" spans="6:9">
      <c r="F2951" s="12" t="e">
        <f>'[4]#REF'!F2951</f>
        <v>#REF!</v>
      </c>
      <c r="G2951" s="12" t="e">
        <f>'[4]#REF'!G2951</f>
        <v>#REF!</v>
      </c>
      <c r="H2951" s="31" t="e">
        <f>'[4]#REF'!I2951</f>
        <v>#REF!</v>
      </c>
      <c r="I2951" s="32" t="e">
        <f t="shared" si="77"/>
        <v>#REF!</v>
      </c>
    </row>
    <row r="2952" ht="15.75" spans="6:9">
      <c r="F2952" s="12" t="e">
        <f>'[4]#REF'!F2952</f>
        <v>#REF!</v>
      </c>
      <c r="G2952" s="12" t="e">
        <f>'[4]#REF'!G2952</f>
        <v>#REF!</v>
      </c>
      <c r="H2952" s="31" t="e">
        <f>'[4]#REF'!I2952</f>
        <v>#REF!</v>
      </c>
      <c r="I2952" s="32" t="e">
        <f t="shared" si="77"/>
        <v>#REF!</v>
      </c>
    </row>
    <row r="2953" ht="15.75" spans="6:9">
      <c r="F2953" s="12" t="e">
        <f>'[4]#REF'!F2953</f>
        <v>#REF!</v>
      </c>
      <c r="G2953" s="12" t="e">
        <f>'[4]#REF'!G2953</f>
        <v>#REF!</v>
      </c>
      <c r="H2953" s="31" t="e">
        <f>'[4]#REF'!I2953</f>
        <v>#REF!</v>
      </c>
      <c r="I2953" s="32" t="e">
        <f t="shared" si="77"/>
        <v>#REF!</v>
      </c>
    </row>
    <row r="2954" ht="15.75" spans="6:9">
      <c r="F2954" s="12" t="e">
        <f>'[4]#REF'!F2954</f>
        <v>#REF!</v>
      </c>
      <c r="G2954" s="12" t="e">
        <f>'[4]#REF'!G2954</f>
        <v>#REF!</v>
      </c>
      <c r="H2954" s="31" t="e">
        <f>'[4]#REF'!I2954</f>
        <v>#REF!</v>
      </c>
      <c r="I2954" s="32" t="e">
        <f t="shared" si="77"/>
        <v>#REF!</v>
      </c>
    </row>
    <row r="2955" ht="15.75" spans="6:9">
      <c r="F2955" s="12" t="e">
        <f>'[4]#REF'!F2955</f>
        <v>#REF!</v>
      </c>
      <c r="G2955" s="12" t="e">
        <f>'[4]#REF'!G2955</f>
        <v>#REF!</v>
      </c>
      <c r="H2955" s="31" t="e">
        <f>'[4]#REF'!I2955</f>
        <v>#REF!</v>
      </c>
      <c r="I2955" s="32" t="e">
        <f t="shared" si="77"/>
        <v>#REF!</v>
      </c>
    </row>
    <row r="2956" ht="15.75" spans="6:9">
      <c r="F2956" s="12" t="e">
        <f>'[4]#REF'!F2956</f>
        <v>#REF!</v>
      </c>
      <c r="G2956" s="12" t="e">
        <f>'[4]#REF'!G2956</f>
        <v>#REF!</v>
      </c>
      <c r="H2956" s="31" t="e">
        <f>'[4]#REF'!I2956</f>
        <v>#REF!</v>
      </c>
      <c r="I2956" s="32" t="e">
        <f t="shared" si="77"/>
        <v>#REF!</v>
      </c>
    </row>
    <row r="2957" ht="15.75" spans="6:9">
      <c r="F2957" s="12" t="e">
        <f>'[4]#REF'!F2957</f>
        <v>#REF!</v>
      </c>
      <c r="G2957" s="12" t="e">
        <f>'[4]#REF'!G2957</f>
        <v>#REF!</v>
      </c>
      <c r="H2957" s="31" t="e">
        <f>'[4]#REF'!I2957</f>
        <v>#REF!</v>
      </c>
      <c r="I2957" s="32" t="e">
        <f t="shared" si="77"/>
        <v>#REF!</v>
      </c>
    </row>
    <row r="2958" ht="15.75" spans="6:9">
      <c r="F2958" s="12" t="e">
        <f>'[4]#REF'!F2958</f>
        <v>#REF!</v>
      </c>
      <c r="G2958" s="12" t="e">
        <f>'[4]#REF'!G2958</f>
        <v>#REF!</v>
      </c>
      <c r="H2958" s="31" t="e">
        <f>'[4]#REF'!I2958</f>
        <v>#REF!</v>
      </c>
      <c r="I2958" s="32" t="e">
        <f t="shared" si="77"/>
        <v>#REF!</v>
      </c>
    </row>
    <row r="2959" ht="15.75" spans="6:9">
      <c r="F2959" s="12" t="e">
        <f>'[4]#REF'!F2959</f>
        <v>#REF!</v>
      </c>
      <c r="G2959" s="12" t="e">
        <f>'[4]#REF'!G2959</f>
        <v>#REF!</v>
      </c>
      <c r="H2959" s="31" t="e">
        <f>'[4]#REF'!I2959</f>
        <v>#REF!</v>
      </c>
      <c r="I2959" s="32" t="e">
        <f t="shared" si="77"/>
        <v>#REF!</v>
      </c>
    </row>
    <row r="2960" ht="15.75" spans="6:9">
      <c r="F2960" s="12" t="e">
        <f>'[4]#REF'!F2960</f>
        <v>#REF!</v>
      </c>
      <c r="G2960" s="12" t="e">
        <f>'[4]#REF'!G2960</f>
        <v>#REF!</v>
      </c>
      <c r="H2960" s="31" t="e">
        <f>'[4]#REF'!I2960</f>
        <v>#REF!</v>
      </c>
      <c r="I2960" s="32" t="e">
        <f t="shared" si="77"/>
        <v>#REF!</v>
      </c>
    </row>
    <row r="2961" ht="15.75" spans="6:9">
      <c r="F2961" s="12" t="e">
        <f>'[4]#REF'!F2961</f>
        <v>#REF!</v>
      </c>
      <c r="G2961" s="12" t="e">
        <f>'[4]#REF'!G2961</f>
        <v>#REF!</v>
      </c>
      <c r="H2961" s="31" t="e">
        <f>'[4]#REF'!I2961</f>
        <v>#REF!</v>
      </c>
      <c r="I2961" s="32" t="e">
        <f t="shared" si="77"/>
        <v>#REF!</v>
      </c>
    </row>
    <row r="2962" ht="15.75" spans="6:9">
      <c r="F2962" s="12" t="e">
        <f>'[4]#REF'!F2962</f>
        <v>#REF!</v>
      </c>
      <c r="G2962" s="12" t="e">
        <f>'[4]#REF'!G2962</f>
        <v>#REF!</v>
      </c>
      <c r="H2962" s="31" t="e">
        <f>'[4]#REF'!I2962</f>
        <v>#REF!</v>
      </c>
      <c r="I2962" s="32" t="e">
        <f t="shared" si="77"/>
        <v>#REF!</v>
      </c>
    </row>
    <row r="2963" ht="15.75" spans="6:9">
      <c r="F2963" s="12" t="e">
        <f>'[4]#REF'!F2963</f>
        <v>#REF!</v>
      </c>
      <c r="G2963" s="12" t="e">
        <f>'[4]#REF'!G2963</f>
        <v>#REF!</v>
      </c>
      <c r="H2963" s="31" t="e">
        <f>'[4]#REF'!I2963</f>
        <v>#REF!</v>
      </c>
      <c r="I2963" s="32" t="e">
        <f t="shared" si="77"/>
        <v>#REF!</v>
      </c>
    </row>
    <row r="2964" ht="15.75" spans="6:9">
      <c r="F2964" s="12" t="e">
        <f>'[4]#REF'!F2964</f>
        <v>#REF!</v>
      </c>
      <c r="G2964" s="12" t="e">
        <f>'[4]#REF'!G2964</f>
        <v>#REF!</v>
      </c>
      <c r="H2964" s="31" t="e">
        <f>'[4]#REF'!I2964</f>
        <v>#REF!</v>
      </c>
      <c r="I2964" s="32" t="e">
        <f t="shared" si="77"/>
        <v>#REF!</v>
      </c>
    </row>
    <row r="2965" ht="15.75" spans="6:9">
      <c r="F2965" s="12" t="e">
        <f>'[4]#REF'!F2965</f>
        <v>#REF!</v>
      </c>
      <c r="G2965" s="12" t="e">
        <f>'[4]#REF'!G2965</f>
        <v>#REF!</v>
      </c>
      <c r="H2965" s="31" t="e">
        <f>'[4]#REF'!I2965</f>
        <v>#REF!</v>
      </c>
      <c r="I2965" s="32" t="e">
        <f t="shared" si="77"/>
        <v>#REF!</v>
      </c>
    </row>
    <row r="2966" ht="15.75" spans="6:9">
      <c r="F2966" s="12" t="e">
        <f>'[4]#REF'!F2966</f>
        <v>#REF!</v>
      </c>
      <c r="G2966" s="12" t="e">
        <f>'[4]#REF'!G2966</f>
        <v>#REF!</v>
      </c>
      <c r="H2966" s="31" t="e">
        <f>'[4]#REF'!I2966</f>
        <v>#REF!</v>
      </c>
      <c r="I2966" s="32" t="e">
        <f t="shared" si="77"/>
        <v>#REF!</v>
      </c>
    </row>
    <row r="2967" ht="15.75" spans="6:9">
      <c r="F2967" s="12" t="e">
        <f>'[4]#REF'!F2967</f>
        <v>#REF!</v>
      </c>
      <c r="G2967" s="12" t="e">
        <f>'[4]#REF'!G2967</f>
        <v>#REF!</v>
      </c>
      <c r="H2967" s="31" t="e">
        <f>'[4]#REF'!I2967</f>
        <v>#REF!</v>
      </c>
      <c r="I2967" s="32" t="e">
        <f t="shared" si="77"/>
        <v>#REF!</v>
      </c>
    </row>
    <row r="2968" ht="15.75" spans="6:9">
      <c r="F2968" s="12" t="e">
        <f>'[4]#REF'!F2968</f>
        <v>#REF!</v>
      </c>
      <c r="G2968" s="12" t="e">
        <f>'[4]#REF'!G2968</f>
        <v>#REF!</v>
      </c>
      <c r="H2968" s="31" t="e">
        <f>'[4]#REF'!I2968</f>
        <v>#REF!</v>
      </c>
      <c r="I2968" s="32" t="e">
        <f t="shared" si="77"/>
        <v>#REF!</v>
      </c>
    </row>
    <row r="2969" ht="15.75" spans="6:9">
      <c r="F2969" s="12" t="e">
        <f>'[4]#REF'!F2969</f>
        <v>#REF!</v>
      </c>
      <c r="G2969" s="12" t="e">
        <f>'[4]#REF'!G2969</f>
        <v>#REF!</v>
      </c>
      <c r="H2969" s="31" t="e">
        <f>'[4]#REF'!I2969</f>
        <v>#REF!</v>
      </c>
      <c r="I2969" s="32" t="e">
        <f t="shared" si="77"/>
        <v>#REF!</v>
      </c>
    </row>
    <row r="2970" ht="15.75" spans="6:9">
      <c r="F2970" s="12" t="e">
        <f>'[4]#REF'!F2970</f>
        <v>#REF!</v>
      </c>
      <c r="G2970" s="12" t="e">
        <f>'[4]#REF'!G2970</f>
        <v>#REF!</v>
      </c>
      <c r="H2970" s="31" t="e">
        <f>'[4]#REF'!I2970</f>
        <v>#REF!</v>
      </c>
      <c r="I2970" s="32" t="e">
        <f t="shared" si="77"/>
        <v>#REF!</v>
      </c>
    </row>
    <row r="2971" ht="15.75" spans="6:9">
      <c r="F2971" s="12" t="e">
        <f>'[4]#REF'!F2971</f>
        <v>#REF!</v>
      </c>
      <c r="G2971" s="12" t="e">
        <f>'[4]#REF'!G2971</f>
        <v>#REF!</v>
      </c>
      <c r="H2971" s="31" t="e">
        <f>'[4]#REF'!I2971</f>
        <v>#REF!</v>
      </c>
      <c r="I2971" s="32" t="e">
        <f t="shared" si="77"/>
        <v>#REF!</v>
      </c>
    </row>
    <row r="2972" ht="15.75" spans="6:9">
      <c r="F2972" s="12" t="e">
        <f>'[4]#REF'!F2972</f>
        <v>#REF!</v>
      </c>
      <c r="G2972" s="12" t="e">
        <f>'[4]#REF'!G2972</f>
        <v>#REF!</v>
      </c>
      <c r="H2972" s="31" t="e">
        <f>'[4]#REF'!I2972</f>
        <v>#REF!</v>
      </c>
      <c r="I2972" s="32" t="e">
        <f t="shared" si="77"/>
        <v>#REF!</v>
      </c>
    </row>
    <row r="2973" ht="15.75" spans="6:9">
      <c r="F2973" s="12" t="e">
        <f>'[4]#REF'!F2973</f>
        <v>#REF!</v>
      </c>
      <c r="G2973" s="12" t="e">
        <f>'[4]#REF'!G2973</f>
        <v>#REF!</v>
      </c>
      <c r="H2973" s="31" t="e">
        <f>'[4]#REF'!I2973</f>
        <v>#REF!</v>
      </c>
      <c r="I2973" s="32" t="e">
        <f t="shared" si="77"/>
        <v>#REF!</v>
      </c>
    </row>
    <row r="2974" ht="15.75" spans="6:9">
      <c r="F2974" s="12" t="e">
        <f>'[4]#REF'!F2974</f>
        <v>#REF!</v>
      </c>
      <c r="G2974" s="12" t="e">
        <f>'[4]#REF'!G2974</f>
        <v>#REF!</v>
      </c>
      <c r="H2974" s="31" t="e">
        <f>'[4]#REF'!I2974</f>
        <v>#REF!</v>
      </c>
      <c r="I2974" s="32" t="e">
        <f t="shared" si="77"/>
        <v>#REF!</v>
      </c>
    </row>
    <row r="2975" ht="15.75" spans="6:9">
      <c r="F2975" s="12" t="e">
        <f>'[4]#REF'!F2975</f>
        <v>#REF!</v>
      </c>
      <c r="G2975" s="12" t="e">
        <f>'[4]#REF'!G2975</f>
        <v>#REF!</v>
      </c>
      <c r="H2975" s="31" t="e">
        <f>'[4]#REF'!I2975</f>
        <v>#REF!</v>
      </c>
      <c r="I2975" s="32" t="e">
        <f t="shared" si="77"/>
        <v>#REF!</v>
      </c>
    </row>
    <row r="2976" ht="15.75" spans="6:9">
      <c r="F2976" s="12" t="e">
        <f>'[4]#REF'!F2976</f>
        <v>#REF!</v>
      </c>
      <c r="G2976" s="12" t="e">
        <f>'[4]#REF'!G2976</f>
        <v>#REF!</v>
      </c>
      <c r="H2976" s="31" t="e">
        <f>'[4]#REF'!I2976</f>
        <v>#REF!</v>
      </c>
      <c r="I2976" s="32" t="e">
        <f t="shared" si="77"/>
        <v>#REF!</v>
      </c>
    </row>
    <row r="2977" ht="15.75" spans="6:9">
      <c r="F2977" s="12" t="e">
        <f>'[4]#REF'!F2977</f>
        <v>#REF!</v>
      </c>
      <c r="G2977" s="12" t="e">
        <f>'[4]#REF'!G2977</f>
        <v>#REF!</v>
      </c>
      <c r="H2977" s="31" t="e">
        <f>'[4]#REF'!I2977</f>
        <v>#REF!</v>
      </c>
      <c r="I2977" s="32" t="e">
        <f t="shared" si="77"/>
        <v>#REF!</v>
      </c>
    </row>
    <row r="2978" ht="15.75" spans="6:9">
      <c r="F2978" s="12" t="e">
        <f>'[4]#REF'!F2978</f>
        <v>#REF!</v>
      </c>
      <c r="G2978" s="12" t="e">
        <f>'[4]#REF'!G2978</f>
        <v>#REF!</v>
      </c>
      <c r="H2978" s="31" t="e">
        <f>'[4]#REF'!I2978</f>
        <v>#REF!</v>
      </c>
      <c r="I2978" s="32" t="e">
        <f t="shared" si="77"/>
        <v>#REF!</v>
      </c>
    </row>
    <row r="2979" ht="15.75" spans="6:9">
      <c r="F2979" s="12" t="e">
        <f>'[4]#REF'!F2979</f>
        <v>#REF!</v>
      </c>
      <c r="G2979" s="12" t="e">
        <f>'[4]#REF'!G2979</f>
        <v>#REF!</v>
      </c>
      <c r="H2979" s="31" t="e">
        <f>'[4]#REF'!I2979</f>
        <v>#REF!</v>
      </c>
      <c r="I2979" s="32" t="e">
        <f t="shared" si="77"/>
        <v>#REF!</v>
      </c>
    </row>
    <row r="2980" ht="15.75" spans="6:9">
      <c r="F2980" s="12" t="e">
        <f>'[4]#REF'!F2980</f>
        <v>#REF!</v>
      </c>
      <c r="G2980" s="12" t="e">
        <f>'[4]#REF'!G2980</f>
        <v>#REF!</v>
      </c>
      <c r="H2980" s="31" t="e">
        <f>'[4]#REF'!I2980</f>
        <v>#REF!</v>
      </c>
      <c r="I2980" s="32" t="e">
        <f t="shared" si="77"/>
        <v>#REF!</v>
      </c>
    </row>
    <row r="2981" ht="15.75" spans="6:9">
      <c r="F2981" s="12" t="e">
        <f>'[4]#REF'!F2981</f>
        <v>#REF!</v>
      </c>
      <c r="G2981" s="12" t="e">
        <f>'[4]#REF'!G2981</f>
        <v>#REF!</v>
      </c>
      <c r="H2981" s="31" t="e">
        <f>'[4]#REF'!I2981</f>
        <v>#REF!</v>
      </c>
      <c r="I2981" s="32" t="e">
        <f t="shared" si="77"/>
        <v>#REF!</v>
      </c>
    </row>
    <row r="2982" ht="15.75" spans="6:9">
      <c r="F2982" s="12" t="e">
        <f>'[4]#REF'!F2982</f>
        <v>#REF!</v>
      </c>
      <c r="G2982" s="12" t="e">
        <f>'[4]#REF'!G2982</f>
        <v>#REF!</v>
      </c>
      <c r="H2982" s="31" t="e">
        <f>'[4]#REF'!I2982</f>
        <v>#REF!</v>
      </c>
      <c r="I2982" s="32" t="e">
        <f t="shared" si="77"/>
        <v>#REF!</v>
      </c>
    </row>
    <row r="2983" ht="15.75" spans="6:9">
      <c r="F2983" s="12" t="e">
        <f>'[4]#REF'!F2983</f>
        <v>#REF!</v>
      </c>
      <c r="G2983" s="12" t="e">
        <f>'[4]#REF'!G2983</f>
        <v>#REF!</v>
      </c>
      <c r="H2983" s="31" t="e">
        <f>'[4]#REF'!I2983</f>
        <v>#REF!</v>
      </c>
      <c r="I2983" s="32" t="e">
        <f t="shared" si="77"/>
        <v>#REF!</v>
      </c>
    </row>
    <row r="2984" ht="15.75" spans="6:9">
      <c r="F2984" s="12" t="e">
        <f>'[4]#REF'!F2984</f>
        <v>#REF!</v>
      </c>
      <c r="G2984" s="12" t="e">
        <f>'[4]#REF'!G2984</f>
        <v>#REF!</v>
      </c>
      <c r="H2984" s="31" t="e">
        <f>'[4]#REF'!I2984</f>
        <v>#REF!</v>
      </c>
      <c r="I2984" s="32" t="e">
        <f t="shared" si="77"/>
        <v>#REF!</v>
      </c>
    </row>
    <row r="2985" ht="15.75" spans="6:9">
      <c r="F2985" s="12" t="e">
        <f>'[4]#REF'!F2985</f>
        <v>#REF!</v>
      </c>
      <c r="G2985" s="12" t="e">
        <f>'[4]#REF'!G2985</f>
        <v>#REF!</v>
      </c>
      <c r="H2985" s="31" t="e">
        <f>'[4]#REF'!I2985</f>
        <v>#REF!</v>
      </c>
      <c r="I2985" s="32" t="e">
        <f t="shared" si="77"/>
        <v>#REF!</v>
      </c>
    </row>
    <row r="2986" ht="15.75" spans="6:9">
      <c r="F2986" s="12" t="e">
        <f>'[4]#REF'!F2986</f>
        <v>#REF!</v>
      </c>
      <c r="G2986" s="12" t="e">
        <f>'[4]#REF'!G2986</f>
        <v>#REF!</v>
      </c>
      <c r="H2986" s="31" t="e">
        <f>'[4]#REF'!I2986</f>
        <v>#REF!</v>
      </c>
      <c r="I2986" s="32" t="e">
        <f t="shared" si="77"/>
        <v>#REF!</v>
      </c>
    </row>
    <row r="2987" ht="15.75" spans="6:9">
      <c r="F2987" s="12" t="e">
        <f>'[4]#REF'!F2987</f>
        <v>#REF!</v>
      </c>
      <c r="G2987" s="12" t="e">
        <f>'[4]#REF'!G2987</f>
        <v>#REF!</v>
      </c>
      <c r="H2987" s="31" t="e">
        <f>'[4]#REF'!I2987</f>
        <v>#REF!</v>
      </c>
      <c r="I2987" s="32" t="e">
        <f t="shared" si="77"/>
        <v>#REF!</v>
      </c>
    </row>
    <row r="2988" ht="15.75" spans="6:9">
      <c r="F2988" s="12" t="e">
        <f>'[4]#REF'!F2988</f>
        <v>#REF!</v>
      </c>
      <c r="G2988" s="12" t="e">
        <f>'[4]#REF'!G2988</f>
        <v>#REF!</v>
      </c>
      <c r="H2988" s="31" t="e">
        <f>'[4]#REF'!I2988</f>
        <v>#REF!</v>
      </c>
      <c r="I2988" s="32" t="e">
        <f t="shared" si="77"/>
        <v>#REF!</v>
      </c>
    </row>
    <row r="2989" ht="15.75" spans="6:9">
      <c r="F2989" s="12" t="e">
        <f>'[4]#REF'!F2989</f>
        <v>#REF!</v>
      </c>
      <c r="G2989" s="12" t="e">
        <f>'[4]#REF'!G2989</f>
        <v>#REF!</v>
      </c>
      <c r="H2989" s="31" t="e">
        <f>'[4]#REF'!I2989</f>
        <v>#REF!</v>
      </c>
      <c r="I2989" s="32" t="e">
        <f t="shared" si="77"/>
        <v>#REF!</v>
      </c>
    </row>
    <row r="2990" ht="15.75" spans="6:9">
      <c r="F2990" s="12" t="e">
        <f>'[4]#REF'!F2990</f>
        <v>#REF!</v>
      </c>
      <c r="G2990" s="12" t="e">
        <f>'[4]#REF'!G2990</f>
        <v>#REF!</v>
      </c>
      <c r="H2990" s="31" t="e">
        <f>'[4]#REF'!I2990</f>
        <v>#REF!</v>
      </c>
      <c r="I2990" s="32" t="e">
        <f t="shared" si="77"/>
        <v>#REF!</v>
      </c>
    </row>
    <row r="2991" ht="15.75" spans="6:9">
      <c r="F2991" s="12" t="e">
        <f>'[4]#REF'!F2991</f>
        <v>#REF!</v>
      </c>
      <c r="G2991" s="12" t="e">
        <f>'[4]#REF'!G2991</f>
        <v>#REF!</v>
      </c>
      <c r="H2991" s="31" t="e">
        <f>'[4]#REF'!I2991</f>
        <v>#REF!</v>
      </c>
      <c r="I2991" s="32" t="e">
        <f t="shared" si="77"/>
        <v>#REF!</v>
      </c>
    </row>
    <row r="2992" ht="15.75" spans="6:9">
      <c r="F2992" s="12" t="e">
        <f>'[4]#REF'!F2992</f>
        <v>#REF!</v>
      </c>
      <c r="G2992" s="12" t="e">
        <f>'[4]#REF'!G2992</f>
        <v>#REF!</v>
      </c>
      <c r="H2992" s="31" t="e">
        <f>'[4]#REF'!I2992</f>
        <v>#REF!</v>
      </c>
      <c r="I2992" s="32" t="e">
        <f t="shared" si="77"/>
        <v>#REF!</v>
      </c>
    </row>
    <row r="2993" ht="15.75" spans="6:9">
      <c r="F2993" s="12" t="e">
        <f>'[4]#REF'!F2993</f>
        <v>#REF!</v>
      </c>
      <c r="G2993" s="12" t="e">
        <f>'[4]#REF'!G2993</f>
        <v>#REF!</v>
      </c>
      <c r="H2993" s="31" t="e">
        <f>'[4]#REF'!I2993</f>
        <v>#REF!</v>
      </c>
      <c r="I2993" s="32" t="e">
        <f t="shared" si="77"/>
        <v>#REF!</v>
      </c>
    </row>
    <row r="2994" ht="15.75" spans="6:9">
      <c r="F2994" s="12" t="e">
        <f>'[4]#REF'!F2994</f>
        <v>#REF!</v>
      </c>
      <c r="G2994" s="12" t="e">
        <f>'[4]#REF'!G2994</f>
        <v>#REF!</v>
      </c>
      <c r="H2994" s="31" t="e">
        <f>'[4]#REF'!I2994</f>
        <v>#REF!</v>
      </c>
      <c r="I2994" s="32" t="e">
        <f t="shared" si="77"/>
        <v>#REF!</v>
      </c>
    </row>
    <row r="2995" ht="15.75" spans="6:9">
      <c r="F2995" s="12" t="e">
        <f>'[4]#REF'!F2995</f>
        <v>#REF!</v>
      </c>
      <c r="G2995" s="12" t="e">
        <f>'[4]#REF'!G2995</f>
        <v>#REF!</v>
      </c>
      <c r="H2995" s="31" t="e">
        <f>'[4]#REF'!I2995</f>
        <v>#REF!</v>
      </c>
      <c r="I2995" s="32" t="e">
        <f t="shared" si="77"/>
        <v>#REF!</v>
      </c>
    </row>
    <row r="2996" ht="15.75" spans="6:9">
      <c r="F2996" s="12" t="e">
        <f>'[4]#REF'!F2996</f>
        <v>#REF!</v>
      </c>
      <c r="G2996" s="12" t="e">
        <f>'[4]#REF'!G2996</f>
        <v>#REF!</v>
      </c>
      <c r="H2996" s="31" t="e">
        <f>'[4]#REF'!I2996</f>
        <v>#REF!</v>
      </c>
      <c r="I2996" s="32" t="e">
        <f t="shared" si="77"/>
        <v>#REF!</v>
      </c>
    </row>
    <row r="2997" ht="15.75" spans="6:9">
      <c r="F2997" s="12" t="e">
        <f>'[4]#REF'!F2997</f>
        <v>#REF!</v>
      </c>
      <c r="G2997" s="12" t="e">
        <f>'[4]#REF'!G2997</f>
        <v>#REF!</v>
      </c>
      <c r="H2997" s="31" t="e">
        <f>'[4]#REF'!I2997</f>
        <v>#REF!</v>
      </c>
      <c r="I2997" s="32" t="e">
        <f t="shared" si="77"/>
        <v>#REF!</v>
      </c>
    </row>
    <row r="2998" ht="15.75" spans="6:9">
      <c r="F2998" s="12" t="e">
        <f>'[4]#REF'!F2998</f>
        <v>#REF!</v>
      </c>
      <c r="G2998" s="12" t="e">
        <f>'[4]#REF'!G2998</f>
        <v>#REF!</v>
      </c>
      <c r="H2998" s="31" t="e">
        <f>'[4]#REF'!I2998</f>
        <v>#REF!</v>
      </c>
      <c r="I2998" s="32" t="e">
        <f t="shared" si="77"/>
        <v>#REF!</v>
      </c>
    </row>
    <row r="2999" ht="15.75" spans="6:9">
      <c r="F2999" s="12" t="e">
        <f>'[4]#REF'!F2999</f>
        <v>#REF!</v>
      </c>
      <c r="G2999" s="12" t="e">
        <f>'[4]#REF'!G2999</f>
        <v>#REF!</v>
      </c>
      <c r="H2999" s="31" t="e">
        <f>'[4]#REF'!I2999</f>
        <v>#REF!</v>
      </c>
      <c r="I2999" s="32" t="e">
        <f t="shared" si="77"/>
        <v>#REF!</v>
      </c>
    </row>
    <row r="3000" ht="15.75" spans="6:9">
      <c r="F3000" s="12" t="e">
        <f>'[4]#REF'!F3000</f>
        <v>#REF!</v>
      </c>
      <c r="G3000" s="12" t="e">
        <f>'[4]#REF'!G3000</f>
        <v>#REF!</v>
      </c>
      <c r="H3000" s="31" t="e">
        <f>'[4]#REF'!I3000</f>
        <v>#REF!</v>
      </c>
      <c r="I3000" s="32" t="e">
        <f t="shared" si="77"/>
        <v>#REF!</v>
      </c>
    </row>
    <row r="3001" ht="15.75" spans="6:9">
      <c r="F3001" s="12" t="e">
        <f>'[4]#REF'!F3001</f>
        <v>#REF!</v>
      </c>
      <c r="G3001" s="12" t="e">
        <f>'[4]#REF'!G3001</f>
        <v>#REF!</v>
      </c>
      <c r="H3001" s="31" t="e">
        <f>'[4]#REF'!I3001</f>
        <v>#REF!</v>
      </c>
      <c r="I3001" s="32" t="e">
        <f t="shared" si="77"/>
        <v>#REF!</v>
      </c>
    </row>
    <row r="3002" ht="15.75" spans="6:9">
      <c r="F3002" s="12" t="e">
        <f>'[4]#REF'!F3002</f>
        <v>#REF!</v>
      </c>
      <c r="G3002" s="12" t="e">
        <f>'[4]#REF'!G3002</f>
        <v>#REF!</v>
      </c>
      <c r="H3002" s="31" t="e">
        <f>'[4]#REF'!I3002</f>
        <v>#REF!</v>
      </c>
      <c r="I3002" s="32" t="e">
        <f t="shared" si="77"/>
        <v>#REF!</v>
      </c>
    </row>
    <row r="3003" ht="15.75" spans="6:9">
      <c r="F3003" s="12" t="e">
        <f>'[4]#REF'!F3003</f>
        <v>#REF!</v>
      </c>
      <c r="G3003" s="12" t="e">
        <f>'[4]#REF'!G3003</f>
        <v>#REF!</v>
      </c>
      <c r="H3003" s="31" t="e">
        <f>'[4]#REF'!I3003</f>
        <v>#REF!</v>
      </c>
      <c r="I3003" s="32" t="e">
        <f t="shared" si="77"/>
        <v>#REF!</v>
      </c>
    </row>
    <row r="3004" ht="15.75" spans="6:9">
      <c r="F3004" s="12" t="e">
        <f>'[4]#REF'!F3004</f>
        <v>#REF!</v>
      </c>
      <c r="G3004" s="12" t="e">
        <f>'[4]#REF'!G3004</f>
        <v>#REF!</v>
      </c>
      <c r="H3004" s="31" t="e">
        <f>'[4]#REF'!I3004</f>
        <v>#REF!</v>
      </c>
      <c r="I3004" s="32" t="e">
        <f t="shared" si="77"/>
        <v>#REF!</v>
      </c>
    </row>
    <row r="3005" ht="15.75" spans="6:9">
      <c r="F3005" s="12" t="e">
        <f>'[4]#REF'!F3005</f>
        <v>#REF!</v>
      </c>
      <c r="G3005" s="12" t="e">
        <f>'[4]#REF'!G3005</f>
        <v>#REF!</v>
      </c>
      <c r="H3005" s="31" t="e">
        <f>'[4]#REF'!I3005</f>
        <v>#REF!</v>
      </c>
      <c r="I3005" s="32" t="e">
        <f t="shared" si="77"/>
        <v>#REF!</v>
      </c>
    </row>
    <row r="3006" ht="15.75" spans="6:9">
      <c r="F3006" s="12" t="e">
        <f>'[4]#REF'!F3006</f>
        <v>#REF!</v>
      </c>
      <c r="G3006" s="12" t="e">
        <f>'[4]#REF'!G3006</f>
        <v>#REF!</v>
      </c>
      <c r="H3006" s="31" t="e">
        <f>'[4]#REF'!I3006</f>
        <v>#REF!</v>
      </c>
      <c r="I3006" s="32" t="e">
        <f t="shared" si="77"/>
        <v>#REF!</v>
      </c>
    </row>
    <row r="3007" ht="15.75" spans="6:9">
      <c r="F3007" s="12" t="e">
        <f>'[4]#REF'!F3007</f>
        <v>#REF!</v>
      </c>
      <c r="G3007" s="12" t="e">
        <f>'[4]#REF'!G3007</f>
        <v>#REF!</v>
      </c>
      <c r="H3007" s="31" t="e">
        <f>'[4]#REF'!I3007</f>
        <v>#REF!</v>
      </c>
      <c r="I3007" s="32" t="e">
        <f t="shared" si="77"/>
        <v>#REF!</v>
      </c>
    </row>
    <row r="3008" ht="15.75" spans="6:9">
      <c r="F3008" s="12" t="e">
        <f>'[4]#REF'!F3008</f>
        <v>#REF!</v>
      </c>
      <c r="G3008" s="12" t="e">
        <f>'[4]#REF'!G3008</f>
        <v>#REF!</v>
      </c>
      <c r="H3008" s="31" t="e">
        <f>'[4]#REF'!I3008</f>
        <v>#REF!</v>
      </c>
      <c r="I3008" s="32" t="e">
        <f t="shared" si="77"/>
        <v>#REF!</v>
      </c>
    </row>
    <row r="3009" ht="15.75" spans="6:9">
      <c r="F3009" s="12" t="e">
        <f>'[4]#REF'!F3009</f>
        <v>#REF!</v>
      </c>
      <c r="G3009" s="12" t="e">
        <f>'[4]#REF'!G3009</f>
        <v>#REF!</v>
      </c>
      <c r="H3009" s="31" t="e">
        <f>'[4]#REF'!I3009</f>
        <v>#REF!</v>
      </c>
      <c r="I3009" s="32" t="e">
        <f t="shared" si="77"/>
        <v>#REF!</v>
      </c>
    </row>
    <row r="3010" ht="15.75" spans="6:9">
      <c r="F3010" s="12" t="e">
        <f>'[4]#REF'!F3010</f>
        <v>#REF!</v>
      </c>
      <c r="G3010" s="12" t="e">
        <f>'[4]#REF'!G3010</f>
        <v>#REF!</v>
      </c>
      <c r="H3010" s="31" t="e">
        <f>'[4]#REF'!I3010</f>
        <v>#REF!</v>
      </c>
      <c r="I3010" s="32" t="e">
        <f t="shared" si="77"/>
        <v>#REF!</v>
      </c>
    </row>
    <row r="3011" ht="15.75" spans="6:9">
      <c r="F3011" s="12" t="e">
        <f>'[4]#REF'!F3011</f>
        <v>#REF!</v>
      </c>
      <c r="G3011" s="12" t="e">
        <f>'[4]#REF'!G3011</f>
        <v>#REF!</v>
      </c>
      <c r="H3011" s="31" t="e">
        <f>'[4]#REF'!I3011</f>
        <v>#REF!</v>
      </c>
      <c r="I3011" s="32" t="e">
        <f t="shared" si="77"/>
        <v>#REF!</v>
      </c>
    </row>
    <row r="3012" ht="15.75" spans="6:9">
      <c r="F3012" s="12" t="e">
        <f>'[4]#REF'!F3012</f>
        <v>#REF!</v>
      </c>
      <c r="G3012" s="12" t="e">
        <f>'[4]#REF'!G3012</f>
        <v>#REF!</v>
      </c>
      <c r="H3012" s="31" t="e">
        <f>'[4]#REF'!I3012</f>
        <v>#REF!</v>
      </c>
      <c r="I3012" s="32" t="e">
        <f t="shared" si="77"/>
        <v>#REF!</v>
      </c>
    </row>
    <row r="3013" ht="15.75" spans="6:9">
      <c r="F3013" s="12" t="e">
        <f>'[4]#REF'!F3013</f>
        <v>#REF!</v>
      </c>
      <c r="G3013" s="12" t="e">
        <f>'[4]#REF'!G3013</f>
        <v>#REF!</v>
      </c>
      <c r="H3013" s="31" t="e">
        <f>'[4]#REF'!I3013</f>
        <v>#REF!</v>
      </c>
      <c r="I3013" s="32" t="e">
        <f t="shared" si="77"/>
        <v>#REF!</v>
      </c>
    </row>
    <row r="3014" ht="15.75" spans="6:9">
      <c r="F3014" s="12" t="e">
        <f>'[4]#REF'!F3014</f>
        <v>#REF!</v>
      </c>
      <c r="G3014" s="12" t="e">
        <f>'[4]#REF'!G3014</f>
        <v>#REF!</v>
      </c>
      <c r="H3014" s="31" t="e">
        <f>'[4]#REF'!I3014</f>
        <v>#REF!</v>
      </c>
      <c r="I3014" s="32" t="e">
        <f t="shared" ref="I3014:I3077" si="78">ROUND(H3014/$I$4*100,2)</f>
        <v>#REF!</v>
      </c>
    </row>
    <row r="3015" ht="15.75" spans="6:9">
      <c r="F3015" s="12" t="e">
        <f>'[4]#REF'!F3015</f>
        <v>#REF!</v>
      </c>
      <c r="G3015" s="12" t="e">
        <f>'[4]#REF'!G3015</f>
        <v>#REF!</v>
      </c>
      <c r="H3015" s="31" t="e">
        <f>'[4]#REF'!I3015</f>
        <v>#REF!</v>
      </c>
      <c r="I3015" s="32" t="e">
        <f t="shared" si="78"/>
        <v>#REF!</v>
      </c>
    </row>
    <row r="3016" ht="15.75" spans="6:9">
      <c r="F3016" s="12" t="e">
        <f>'[4]#REF'!F3016</f>
        <v>#REF!</v>
      </c>
      <c r="G3016" s="12" t="e">
        <f>'[4]#REF'!G3016</f>
        <v>#REF!</v>
      </c>
      <c r="H3016" s="31" t="e">
        <f>'[4]#REF'!I3016</f>
        <v>#REF!</v>
      </c>
      <c r="I3016" s="32" t="e">
        <f t="shared" si="78"/>
        <v>#REF!</v>
      </c>
    </row>
    <row r="3017" ht="15.75" spans="6:9">
      <c r="F3017" s="12" t="e">
        <f>'[4]#REF'!F3017</f>
        <v>#REF!</v>
      </c>
      <c r="G3017" s="12" t="e">
        <f>'[4]#REF'!G3017</f>
        <v>#REF!</v>
      </c>
      <c r="H3017" s="31" t="e">
        <f>'[4]#REF'!I3017</f>
        <v>#REF!</v>
      </c>
      <c r="I3017" s="32" t="e">
        <f t="shared" si="78"/>
        <v>#REF!</v>
      </c>
    </row>
    <row r="3018" ht="15.75" spans="6:9">
      <c r="F3018" s="12" t="e">
        <f>'[4]#REF'!F3018</f>
        <v>#REF!</v>
      </c>
      <c r="G3018" s="12" t="e">
        <f>'[4]#REF'!G3018</f>
        <v>#REF!</v>
      </c>
      <c r="H3018" s="31" t="e">
        <f>'[4]#REF'!I3018</f>
        <v>#REF!</v>
      </c>
      <c r="I3018" s="32" t="e">
        <f t="shared" si="78"/>
        <v>#REF!</v>
      </c>
    </row>
    <row r="3019" ht="15.75" spans="6:9">
      <c r="F3019" s="12" t="e">
        <f>'[4]#REF'!F3019</f>
        <v>#REF!</v>
      </c>
      <c r="G3019" s="12" t="e">
        <f>'[4]#REF'!G3019</f>
        <v>#REF!</v>
      </c>
      <c r="H3019" s="31" t="e">
        <f>'[4]#REF'!I3019</f>
        <v>#REF!</v>
      </c>
      <c r="I3019" s="32" t="e">
        <f t="shared" si="78"/>
        <v>#REF!</v>
      </c>
    </row>
    <row r="3020" ht="15.75" spans="6:9">
      <c r="F3020" s="12" t="e">
        <f>'[4]#REF'!F3020</f>
        <v>#REF!</v>
      </c>
      <c r="G3020" s="12" t="e">
        <f>'[4]#REF'!G3020</f>
        <v>#REF!</v>
      </c>
      <c r="H3020" s="31" t="e">
        <f>'[4]#REF'!I3020</f>
        <v>#REF!</v>
      </c>
      <c r="I3020" s="32" t="e">
        <f t="shared" si="78"/>
        <v>#REF!</v>
      </c>
    </row>
    <row r="3021" ht="15.75" spans="6:9">
      <c r="F3021" s="12" t="e">
        <f>'[4]#REF'!F3021</f>
        <v>#REF!</v>
      </c>
      <c r="G3021" s="12" t="e">
        <f>'[4]#REF'!G3021</f>
        <v>#REF!</v>
      </c>
      <c r="H3021" s="31" t="e">
        <f>'[4]#REF'!I3021</f>
        <v>#REF!</v>
      </c>
      <c r="I3021" s="32" t="e">
        <f t="shared" si="78"/>
        <v>#REF!</v>
      </c>
    </row>
    <row r="3022" ht="15.75" spans="6:9">
      <c r="F3022" s="12" t="e">
        <f>'[4]#REF'!F3022</f>
        <v>#REF!</v>
      </c>
      <c r="G3022" s="12" t="e">
        <f>'[4]#REF'!G3022</f>
        <v>#REF!</v>
      </c>
      <c r="H3022" s="31" t="e">
        <f>'[4]#REF'!I3022</f>
        <v>#REF!</v>
      </c>
      <c r="I3022" s="32" t="e">
        <f t="shared" si="78"/>
        <v>#REF!</v>
      </c>
    </row>
    <row r="3023" ht="15.75" spans="6:9">
      <c r="F3023" s="12" t="e">
        <f>'[4]#REF'!F3023</f>
        <v>#REF!</v>
      </c>
      <c r="G3023" s="12" t="e">
        <f>'[4]#REF'!G3023</f>
        <v>#REF!</v>
      </c>
      <c r="H3023" s="31" t="e">
        <f>'[4]#REF'!I3023</f>
        <v>#REF!</v>
      </c>
      <c r="I3023" s="32" t="e">
        <f t="shared" si="78"/>
        <v>#REF!</v>
      </c>
    </row>
    <row r="3024" ht="15.75" spans="6:9">
      <c r="F3024" s="12" t="e">
        <f>'[4]#REF'!F3024</f>
        <v>#REF!</v>
      </c>
      <c r="G3024" s="12" t="e">
        <f>'[4]#REF'!G3024</f>
        <v>#REF!</v>
      </c>
      <c r="H3024" s="31" t="e">
        <f>'[4]#REF'!I3024</f>
        <v>#REF!</v>
      </c>
      <c r="I3024" s="32" t="e">
        <f t="shared" si="78"/>
        <v>#REF!</v>
      </c>
    </row>
    <row r="3025" ht="15.75" spans="6:9">
      <c r="F3025" s="12" t="e">
        <f>'[4]#REF'!F3025</f>
        <v>#REF!</v>
      </c>
      <c r="G3025" s="12" t="e">
        <f>'[4]#REF'!G3025</f>
        <v>#REF!</v>
      </c>
      <c r="H3025" s="31" t="e">
        <f>'[4]#REF'!I3025</f>
        <v>#REF!</v>
      </c>
      <c r="I3025" s="32" t="e">
        <f t="shared" si="78"/>
        <v>#REF!</v>
      </c>
    </row>
    <row r="3026" ht="15.75" spans="6:9">
      <c r="F3026" s="12" t="e">
        <f>'[4]#REF'!F3026</f>
        <v>#REF!</v>
      </c>
      <c r="G3026" s="12" t="e">
        <f>'[4]#REF'!G3026</f>
        <v>#REF!</v>
      </c>
      <c r="H3026" s="31" t="e">
        <f>'[4]#REF'!I3026</f>
        <v>#REF!</v>
      </c>
      <c r="I3026" s="32" t="e">
        <f t="shared" si="78"/>
        <v>#REF!</v>
      </c>
    </row>
    <row r="3027" ht="15.75" spans="6:9">
      <c r="F3027" s="12" t="e">
        <f>'[4]#REF'!F3027</f>
        <v>#REF!</v>
      </c>
      <c r="G3027" s="12" t="e">
        <f>'[4]#REF'!G3027</f>
        <v>#REF!</v>
      </c>
      <c r="H3027" s="31" t="e">
        <f>'[4]#REF'!I3027</f>
        <v>#REF!</v>
      </c>
      <c r="I3027" s="32" t="e">
        <f t="shared" si="78"/>
        <v>#REF!</v>
      </c>
    </row>
    <row r="3028" ht="15.75" spans="6:9">
      <c r="F3028" s="12" t="e">
        <f>'[4]#REF'!F3028</f>
        <v>#REF!</v>
      </c>
      <c r="G3028" s="12" t="e">
        <f>'[4]#REF'!G3028</f>
        <v>#REF!</v>
      </c>
      <c r="H3028" s="31" t="e">
        <f>'[4]#REF'!I3028</f>
        <v>#REF!</v>
      </c>
      <c r="I3028" s="32" t="e">
        <f t="shared" si="78"/>
        <v>#REF!</v>
      </c>
    </row>
    <row r="3029" ht="15.75" spans="6:9">
      <c r="F3029" s="12" t="e">
        <f>'[4]#REF'!F3029</f>
        <v>#REF!</v>
      </c>
      <c r="G3029" s="12" t="e">
        <f>'[4]#REF'!G3029</f>
        <v>#REF!</v>
      </c>
      <c r="H3029" s="31" t="e">
        <f>'[4]#REF'!I3029</f>
        <v>#REF!</v>
      </c>
      <c r="I3029" s="32" t="e">
        <f t="shared" si="78"/>
        <v>#REF!</v>
      </c>
    </row>
    <row r="3030" ht="15.75" spans="6:9">
      <c r="F3030" s="12" t="e">
        <f>'[4]#REF'!F3030</f>
        <v>#REF!</v>
      </c>
      <c r="G3030" s="12" t="e">
        <f>'[4]#REF'!G3030</f>
        <v>#REF!</v>
      </c>
      <c r="H3030" s="31" t="e">
        <f>'[4]#REF'!I3030</f>
        <v>#REF!</v>
      </c>
      <c r="I3030" s="32" t="e">
        <f t="shared" si="78"/>
        <v>#REF!</v>
      </c>
    </row>
    <row r="3031" ht="15.75" spans="6:9">
      <c r="F3031" s="12" t="e">
        <f>'[4]#REF'!F3031</f>
        <v>#REF!</v>
      </c>
      <c r="G3031" s="12" t="e">
        <f>'[4]#REF'!G3031</f>
        <v>#REF!</v>
      </c>
      <c r="H3031" s="31" t="e">
        <f>'[4]#REF'!I3031</f>
        <v>#REF!</v>
      </c>
      <c r="I3031" s="32" t="e">
        <f t="shared" si="78"/>
        <v>#REF!</v>
      </c>
    </row>
    <row r="3032" ht="15.75" spans="6:9">
      <c r="F3032" s="12" t="e">
        <f>'[4]#REF'!F3032</f>
        <v>#REF!</v>
      </c>
      <c r="G3032" s="12" t="e">
        <f>'[4]#REF'!G3032</f>
        <v>#REF!</v>
      </c>
      <c r="H3032" s="31" t="e">
        <f>'[4]#REF'!I3032</f>
        <v>#REF!</v>
      </c>
      <c r="I3032" s="32" t="e">
        <f t="shared" si="78"/>
        <v>#REF!</v>
      </c>
    </row>
    <row r="3033" ht="15.75" spans="6:9">
      <c r="F3033" s="12" t="e">
        <f>'[4]#REF'!F3033</f>
        <v>#REF!</v>
      </c>
      <c r="G3033" s="12" t="e">
        <f>'[4]#REF'!G3033</f>
        <v>#REF!</v>
      </c>
      <c r="H3033" s="31" t="e">
        <f>'[4]#REF'!I3033</f>
        <v>#REF!</v>
      </c>
      <c r="I3033" s="32" t="e">
        <f t="shared" si="78"/>
        <v>#REF!</v>
      </c>
    </row>
    <row r="3034" ht="15.75" spans="6:9">
      <c r="F3034" s="12" t="e">
        <f>'[4]#REF'!F3034</f>
        <v>#REF!</v>
      </c>
      <c r="G3034" s="12" t="e">
        <f>'[4]#REF'!G3034</f>
        <v>#REF!</v>
      </c>
      <c r="H3034" s="31" t="e">
        <f>'[4]#REF'!I3034</f>
        <v>#REF!</v>
      </c>
      <c r="I3034" s="32" t="e">
        <f t="shared" si="78"/>
        <v>#REF!</v>
      </c>
    </row>
    <row r="3035" ht="15.75" spans="6:9">
      <c r="F3035" s="12" t="e">
        <f>'[4]#REF'!F3035</f>
        <v>#REF!</v>
      </c>
      <c r="G3035" s="12" t="e">
        <f>'[4]#REF'!G3035</f>
        <v>#REF!</v>
      </c>
      <c r="H3035" s="31" t="e">
        <f>'[4]#REF'!I3035</f>
        <v>#REF!</v>
      </c>
      <c r="I3035" s="32" t="e">
        <f t="shared" si="78"/>
        <v>#REF!</v>
      </c>
    </row>
    <row r="3036" ht="15.75" spans="6:9">
      <c r="F3036" s="12" t="e">
        <f>'[4]#REF'!F3036</f>
        <v>#REF!</v>
      </c>
      <c r="G3036" s="12" t="e">
        <f>'[4]#REF'!G3036</f>
        <v>#REF!</v>
      </c>
      <c r="H3036" s="31" t="e">
        <f>'[4]#REF'!I3036</f>
        <v>#REF!</v>
      </c>
      <c r="I3036" s="32" t="e">
        <f t="shared" si="78"/>
        <v>#REF!</v>
      </c>
    </row>
    <row r="3037" ht="15.75" spans="6:9">
      <c r="F3037" s="12" t="e">
        <f>'[4]#REF'!F3037</f>
        <v>#REF!</v>
      </c>
      <c r="G3037" s="12" t="e">
        <f>'[4]#REF'!G3037</f>
        <v>#REF!</v>
      </c>
      <c r="H3037" s="31" t="e">
        <f>'[4]#REF'!I3037</f>
        <v>#REF!</v>
      </c>
      <c r="I3037" s="32" t="e">
        <f t="shared" si="78"/>
        <v>#REF!</v>
      </c>
    </row>
    <row r="3038" ht="15.75" spans="6:9">
      <c r="F3038" s="12" t="e">
        <f>'[4]#REF'!F3038</f>
        <v>#REF!</v>
      </c>
      <c r="G3038" s="12" t="e">
        <f>'[4]#REF'!G3038</f>
        <v>#REF!</v>
      </c>
      <c r="H3038" s="31" t="e">
        <f>'[4]#REF'!I3038</f>
        <v>#REF!</v>
      </c>
      <c r="I3038" s="32" t="e">
        <f t="shared" si="78"/>
        <v>#REF!</v>
      </c>
    </row>
    <row r="3039" ht="15.75" spans="6:9">
      <c r="F3039" s="12" t="e">
        <f>'[4]#REF'!F3039</f>
        <v>#REF!</v>
      </c>
      <c r="G3039" s="12" t="e">
        <f>'[4]#REF'!G3039</f>
        <v>#REF!</v>
      </c>
      <c r="H3039" s="31" t="e">
        <f>'[4]#REF'!I3039</f>
        <v>#REF!</v>
      </c>
      <c r="I3039" s="32" t="e">
        <f t="shared" si="78"/>
        <v>#REF!</v>
      </c>
    </row>
    <row r="3040" ht="15.75" spans="6:9">
      <c r="F3040" s="12" t="e">
        <f>'[4]#REF'!F3040</f>
        <v>#REF!</v>
      </c>
      <c r="G3040" s="12" t="e">
        <f>'[4]#REF'!G3040</f>
        <v>#REF!</v>
      </c>
      <c r="H3040" s="31" t="e">
        <f>'[4]#REF'!I3040</f>
        <v>#REF!</v>
      </c>
      <c r="I3040" s="32" t="e">
        <f t="shared" si="78"/>
        <v>#REF!</v>
      </c>
    </row>
    <row r="3041" ht="15.75" spans="6:9">
      <c r="F3041" s="12" t="e">
        <f>'[4]#REF'!F3041</f>
        <v>#REF!</v>
      </c>
      <c r="G3041" s="12" t="e">
        <f>'[4]#REF'!G3041</f>
        <v>#REF!</v>
      </c>
      <c r="H3041" s="31" t="e">
        <f>'[4]#REF'!I3041</f>
        <v>#REF!</v>
      </c>
      <c r="I3041" s="32" t="e">
        <f t="shared" si="78"/>
        <v>#REF!</v>
      </c>
    </row>
    <row r="3042" ht="15.75" spans="6:9">
      <c r="F3042" s="12" t="e">
        <f>'[4]#REF'!F3042</f>
        <v>#REF!</v>
      </c>
      <c r="G3042" s="12" t="e">
        <f>'[4]#REF'!G3042</f>
        <v>#REF!</v>
      </c>
      <c r="H3042" s="31" t="e">
        <f>'[4]#REF'!I3042</f>
        <v>#REF!</v>
      </c>
      <c r="I3042" s="32" t="e">
        <f t="shared" si="78"/>
        <v>#REF!</v>
      </c>
    </row>
    <row r="3043" ht="15.75" spans="6:9">
      <c r="F3043" s="12" t="e">
        <f>'[4]#REF'!F3043</f>
        <v>#REF!</v>
      </c>
      <c r="G3043" s="12" t="e">
        <f>'[4]#REF'!G3043</f>
        <v>#REF!</v>
      </c>
      <c r="H3043" s="31" t="e">
        <f>'[4]#REF'!I3043</f>
        <v>#REF!</v>
      </c>
      <c r="I3043" s="32" t="e">
        <f t="shared" si="78"/>
        <v>#REF!</v>
      </c>
    </row>
    <row r="3044" ht="15.75" spans="6:9">
      <c r="F3044" s="12" t="e">
        <f>'[4]#REF'!F3044</f>
        <v>#REF!</v>
      </c>
      <c r="G3044" s="12" t="e">
        <f>'[4]#REF'!G3044</f>
        <v>#REF!</v>
      </c>
      <c r="H3044" s="31" t="e">
        <f>'[4]#REF'!I3044</f>
        <v>#REF!</v>
      </c>
      <c r="I3044" s="32" t="e">
        <f t="shared" si="78"/>
        <v>#REF!</v>
      </c>
    </row>
    <row r="3045" ht="15.75" spans="6:9">
      <c r="F3045" s="12" t="e">
        <f>'[4]#REF'!F3045</f>
        <v>#REF!</v>
      </c>
      <c r="G3045" s="12" t="e">
        <f>'[4]#REF'!G3045</f>
        <v>#REF!</v>
      </c>
      <c r="H3045" s="31" t="e">
        <f>'[4]#REF'!I3045</f>
        <v>#REF!</v>
      </c>
      <c r="I3045" s="32" t="e">
        <f t="shared" si="78"/>
        <v>#REF!</v>
      </c>
    </row>
    <row r="3046" ht="15.75" spans="6:9">
      <c r="F3046" s="12" t="e">
        <f>'[4]#REF'!F3046</f>
        <v>#REF!</v>
      </c>
      <c r="G3046" s="12" t="e">
        <f>'[4]#REF'!G3046</f>
        <v>#REF!</v>
      </c>
      <c r="H3046" s="31" t="e">
        <f>'[4]#REF'!I3046</f>
        <v>#REF!</v>
      </c>
      <c r="I3046" s="32" t="e">
        <f t="shared" si="78"/>
        <v>#REF!</v>
      </c>
    </row>
    <row r="3047" ht="15.75" spans="6:9">
      <c r="F3047" s="12" t="e">
        <f>'[4]#REF'!F3047</f>
        <v>#REF!</v>
      </c>
      <c r="G3047" s="12" t="e">
        <f>'[4]#REF'!G3047</f>
        <v>#REF!</v>
      </c>
      <c r="H3047" s="31" t="e">
        <f>'[4]#REF'!I3047</f>
        <v>#REF!</v>
      </c>
      <c r="I3047" s="32" t="e">
        <f t="shared" si="78"/>
        <v>#REF!</v>
      </c>
    </row>
    <row r="3048" ht="15.75" spans="6:9">
      <c r="F3048" s="12" t="e">
        <f>'[4]#REF'!F3048</f>
        <v>#REF!</v>
      </c>
      <c r="G3048" s="12" t="e">
        <f>'[4]#REF'!G3048</f>
        <v>#REF!</v>
      </c>
      <c r="H3048" s="31" t="e">
        <f>'[4]#REF'!I3048</f>
        <v>#REF!</v>
      </c>
      <c r="I3048" s="32" t="e">
        <f t="shared" si="78"/>
        <v>#REF!</v>
      </c>
    </row>
    <row r="3049" ht="15.75" spans="6:9">
      <c r="F3049" s="12" t="e">
        <f>'[4]#REF'!F3049</f>
        <v>#REF!</v>
      </c>
      <c r="G3049" s="12" t="e">
        <f>'[4]#REF'!G3049</f>
        <v>#REF!</v>
      </c>
      <c r="H3049" s="31" t="e">
        <f>'[4]#REF'!I3049</f>
        <v>#REF!</v>
      </c>
      <c r="I3049" s="32" t="e">
        <f t="shared" si="78"/>
        <v>#REF!</v>
      </c>
    </row>
    <row r="3050" ht="15.75" spans="6:9">
      <c r="F3050" s="12" t="e">
        <f>'[4]#REF'!F3050</f>
        <v>#REF!</v>
      </c>
      <c r="G3050" s="12" t="e">
        <f>'[4]#REF'!G3050</f>
        <v>#REF!</v>
      </c>
      <c r="H3050" s="31" t="e">
        <f>'[4]#REF'!I3050</f>
        <v>#REF!</v>
      </c>
      <c r="I3050" s="32" t="e">
        <f t="shared" si="78"/>
        <v>#REF!</v>
      </c>
    </row>
    <row r="3051" ht="15.75" spans="6:9">
      <c r="F3051" s="12" t="e">
        <f>'[4]#REF'!F3051</f>
        <v>#REF!</v>
      </c>
      <c r="G3051" s="12" t="e">
        <f>'[4]#REF'!G3051</f>
        <v>#REF!</v>
      </c>
      <c r="H3051" s="31" t="e">
        <f>'[4]#REF'!I3051</f>
        <v>#REF!</v>
      </c>
      <c r="I3051" s="32" t="e">
        <f t="shared" si="78"/>
        <v>#REF!</v>
      </c>
    </row>
    <row r="3052" ht="15.75" spans="6:9">
      <c r="F3052" s="12" t="e">
        <f>'[4]#REF'!F3052</f>
        <v>#REF!</v>
      </c>
      <c r="G3052" s="12" t="e">
        <f>'[4]#REF'!G3052</f>
        <v>#REF!</v>
      </c>
      <c r="H3052" s="31" t="e">
        <f>'[4]#REF'!I3052</f>
        <v>#REF!</v>
      </c>
      <c r="I3052" s="32" t="e">
        <f t="shared" si="78"/>
        <v>#REF!</v>
      </c>
    </row>
    <row r="3053" ht="15.75" spans="6:9">
      <c r="F3053" s="12" t="e">
        <f>'[4]#REF'!F3053</f>
        <v>#REF!</v>
      </c>
      <c r="G3053" s="12" t="e">
        <f>'[4]#REF'!G3053</f>
        <v>#REF!</v>
      </c>
      <c r="H3053" s="31" t="e">
        <f>'[4]#REF'!I3053</f>
        <v>#REF!</v>
      </c>
      <c r="I3053" s="32" t="e">
        <f t="shared" si="78"/>
        <v>#REF!</v>
      </c>
    </row>
    <row r="3054" ht="15.75" spans="6:9">
      <c r="F3054" s="12" t="e">
        <f>'[4]#REF'!F3054</f>
        <v>#REF!</v>
      </c>
      <c r="G3054" s="12" t="e">
        <f>'[4]#REF'!G3054</f>
        <v>#REF!</v>
      </c>
      <c r="H3054" s="31" t="e">
        <f>'[4]#REF'!I3054</f>
        <v>#REF!</v>
      </c>
      <c r="I3054" s="32" t="e">
        <f t="shared" si="78"/>
        <v>#REF!</v>
      </c>
    </row>
    <row r="3055" ht="15.75" spans="6:9">
      <c r="F3055" s="12" t="e">
        <f>'[4]#REF'!F3055</f>
        <v>#REF!</v>
      </c>
      <c r="G3055" s="12" t="e">
        <f>'[4]#REF'!G3055</f>
        <v>#REF!</v>
      </c>
      <c r="H3055" s="31" t="e">
        <f>'[4]#REF'!I3055</f>
        <v>#REF!</v>
      </c>
      <c r="I3055" s="32" t="e">
        <f t="shared" si="78"/>
        <v>#REF!</v>
      </c>
    </row>
    <row r="3056" ht="15.75" spans="6:9">
      <c r="F3056" s="12" t="e">
        <f>'[4]#REF'!F3056</f>
        <v>#REF!</v>
      </c>
      <c r="G3056" s="12" t="e">
        <f>'[4]#REF'!G3056</f>
        <v>#REF!</v>
      </c>
      <c r="H3056" s="31" t="e">
        <f>'[4]#REF'!I3056</f>
        <v>#REF!</v>
      </c>
      <c r="I3056" s="32" t="e">
        <f t="shared" si="78"/>
        <v>#REF!</v>
      </c>
    </row>
    <row r="3057" ht="15.75" spans="6:9">
      <c r="F3057" s="12" t="e">
        <f>'[4]#REF'!F3057</f>
        <v>#REF!</v>
      </c>
      <c r="G3057" s="12" t="e">
        <f>'[4]#REF'!G3057</f>
        <v>#REF!</v>
      </c>
      <c r="H3057" s="31" t="e">
        <f>'[4]#REF'!I3057</f>
        <v>#REF!</v>
      </c>
      <c r="I3057" s="32" t="e">
        <f t="shared" si="78"/>
        <v>#REF!</v>
      </c>
    </row>
    <row r="3058" ht="15.75" spans="6:9">
      <c r="F3058" s="12" t="e">
        <f>'[4]#REF'!F3058</f>
        <v>#REF!</v>
      </c>
      <c r="G3058" s="12" t="e">
        <f>'[4]#REF'!G3058</f>
        <v>#REF!</v>
      </c>
      <c r="H3058" s="31" t="e">
        <f>'[4]#REF'!I3058</f>
        <v>#REF!</v>
      </c>
      <c r="I3058" s="32" t="e">
        <f t="shared" si="78"/>
        <v>#REF!</v>
      </c>
    </row>
    <row r="3059" ht="15.75" spans="6:9">
      <c r="F3059" s="12" t="e">
        <f>'[4]#REF'!F3059</f>
        <v>#REF!</v>
      </c>
      <c r="G3059" s="12" t="e">
        <f>'[4]#REF'!G3059</f>
        <v>#REF!</v>
      </c>
      <c r="H3059" s="31" t="e">
        <f>'[4]#REF'!I3059</f>
        <v>#REF!</v>
      </c>
      <c r="I3059" s="32" t="e">
        <f t="shared" si="78"/>
        <v>#REF!</v>
      </c>
    </row>
    <row r="3060" ht="15.75" spans="6:9">
      <c r="F3060" s="12" t="e">
        <f>'[4]#REF'!F3060</f>
        <v>#REF!</v>
      </c>
      <c r="G3060" s="12" t="e">
        <f>'[4]#REF'!G3060</f>
        <v>#REF!</v>
      </c>
      <c r="H3060" s="31" t="e">
        <f>'[4]#REF'!I3060</f>
        <v>#REF!</v>
      </c>
      <c r="I3060" s="32" t="e">
        <f t="shared" si="78"/>
        <v>#REF!</v>
      </c>
    </row>
    <row r="3061" ht="15.75" spans="6:9">
      <c r="F3061" s="12" t="e">
        <f>'[4]#REF'!F3061</f>
        <v>#REF!</v>
      </c>
      <c r="G3061" s="12" t="e">
        <f>'[4]#REF'!G3061</f>
        <v>#REF!</v>
      </c>
      <c r="H3061" s="31" t="e">
        <f>'[4]#REF'!I3061</f>
        <v>#REF!</v>
      </c>
      <c r="I3061" s="32" t="e">
        <f t="shared" si="78"/>
        <v>#REF!</v>
      </c>
    </row>
    <row r="3062" ht="15.75" spans="6:9">
      <c r="F3062" s="12" t="e">
        <f>'[4]#REF'!F3062</f>
        <v>#REF!</v>
      </c>
      <c r="G3062" s="12" t="e">
        <f>'[4]#REF'!G3062</f>
        <v>#REF!</v>
      </c>
      <c r="H3062" s="31" t="e">
        <f>'[4]#REF'!I3062</f>
        <v>#REF!</v>
      </c>
      <c r="I3062" s="32" t="e">
        <f t="shared" si="78"/>
        <v>#REF!</v>
      </c>
    </row>
    <row r="3063" ht="15.75" spans="6:9">
      <c r="F3063" s="12" t="e">
        <f>'[4]#REF'!F3063</f>
        <v>#REF!</v>
      </c>
      <c r="G3063" s="12" t="e">
        <f>'[4]#REF'!G3063</f>
        <v>#REF!</v>
      </c>
      <c r="H3063" s="31" t="e">
        <f>'[4]#REF'!I3063</f>
        <v>#REF!</v>
      </c>
      <c r="I3063" s="32" t="e">
        <f t="shared" si="78"/>
        <v>#REF!</v>
      </c>
    </row>
    <row r="3064" ht="15.75" spans="6:9">
      <c r="F3064" s="12" t="e">
        <f>'[4]#REF'!F3064</f>
        <v>#REF!</v>
      </c>
      <c r="G3064" s="12" t="e">
        <f>'[4]#REF'!G3064</f>
        <v>#REF!</v>
      </c>
      <c r="H3064" s="31" t="e">
        <f>'[4]#REF'!I3064</f>
        <v>#REF!</v>
      </c>
      <c r="I3064" s="32" t="e">
        <f t="shared" si="78"/>
        <v>#REF!</v>
      </c>
    </row>
    <row r="3065" ht="15.75" spans="6:9">
      <c r="F3065" s="12" t="e">
        <f>'[4]#REF'!F3065</f>
        <v>#REF!</v>
      </c>
      <c r="G3065" s="12" t="e">
        <f>'[4]#REF'!G3065</f>
        <v>#REF!</v>
      </c>
      <c r="H3065" s="31" t="e">
        <f>'[4]#REF'!I3065</f>
        <v>#REF!</v>
      </c>
      <c r="I3065" s="32" t="e">
        <f t="shared" si="78"/>
        <v>#REF!</v>
      </c>
    </row>
    <row r="3066" ht="15.75" spans="6:9">
      <c r="F3066" s="12" t="e">
        <f>'[4]#REF'!F3066</f>
        <v>#REF!</v>
      </c>
      <c r="G3066" s="12" t="e">
        <f>'[4]#REF'!G3066</f>
        <v>#REF!</v>
      </c>
      <c r="H3066" s="31" t="e">
        <f>'[4]#REF'!I3066</f>
        <v>#REF!</v>
      </c>
      <c r="I3066" s="32" t="e">
        <f t="shared" si="78"/>
        <v>#REF!</v>
      </c>
    </row>
    <row r="3067" ht="15.75" spans="6:9">
      <c r="F3067" s="12" t="e">
        <f>'[4]#REF'!F3067</f>
        <v>#REF!</v>
      </c>
      <c r="G3067" s="12" t="e">
        <f>'[4]#REF'!G3067</f>
        <v>#REF!</v>
      </c>
      <c r="H3067" s="31" t="e">
        <f>'[4]#REF'!I3067</f>
        <v>#REF!</v>
      </c>
      <c r="I3067" s="32" t="e">
        <f t="shared" si="78"/>
        <v>#REF!</v>
      </c>
    </row>
    <row r="3068" ht="15.75" spans="6:9">
      <c r="F3068" s="12" t="e">
        <f>'[4]#REF'!F3068</f>
        <v>#REF!</v>
      </c>
      <c r="G3068" s="12" t="e">
        <f>'[4]#REF'!G3068</f>
        <v>#REF!</v>
      </c>
      <c r="H3068" s="31" t="e">
        <f>'[4]#REF'!I3068</f>
        <v>#REF!</v>
      </c>
      <c r="I3068" s="32" t="e">
        <f t="shared" si="78"/>
        <v>#REF!</v>
      </c>
    </row>
    <row r="3069" ht="15.75" spans="6:9">
      <c r="F3069" s="12" t="e">
        <f>'[4]#REF'!F3069</f>
        <v>#REF!</v>
      </c>
      <c r="G3069" s="12" t="e">
        <f>'[4]#REF'!G3069</f>
        <v>#REF!</v>
      </c>
      <c r="H3069" s="31" t="e">
        <f>'[4]#REF'!I3069</f>
        <v>#REF!</v>
      </c>
      <c r="I3069" s="32" t="e">
        <f t="shared" si="78"/>
        <v>#REF!</v>
      </c>
    </row>
    <row r="3070" ht="15.75" spans="6:9">
      <c r="F3070" s="12" t="e">
        <f>'[4]#REF'!F3070</f>
        <v>#REF!</v>
      </c>
      <c r="G3070" s="12" t="e">
        <f>'[4]#REF'!G3070</f>
        <v>#REF!</v>
      </c>
      <c r="H3070" s="31" t="e">
        <f>'[4]#REF'!I3070</f>
        <v>#REF!</v>
      </c>
      <c r="I3070" s="32" t="e">
        <f t="shared" si="78"/>
        <v>#REF!</v>
      </c>
    </row>
    <row r="3071" ht="15.75" spans="6:9">
      <c r="F3071" s="12" t="e">
        <f>'[4]#REF'!F3071</f>
        <v>#REF!</v>
      </c>
      <c r="G3071" s="12" t="e">
        <f>'[4]#REF'!G3071</f>
        <v>#REF!</v>
      </c>
      <c r="H3071" s="31" t="e">
        <f>'[4]#REF'!I3071</f>
        <v>#REF!</v>
      </c>
      <c r="I3071" s="32" t="e">
        <f t="shared" si="78"/>
        <v>#REF!</v>
      </c>
    </row>
    <row r="3072" ht="15.75" spans="6:9">
      <c r="F3072" s="12" t="e">
        <f>'[4]#REF'!F3072</f>
        <v>#REF!</v>
      </c>
      <c r="G3072" s="12" t="e">
        <f>'[4]#REF'!G3072</f>
        <v>#REF!</v>
      </c>
      <c r="H3072" s="31" t="e">
        <f>'[4]#REF'!I3072</f>
        <v>#REF!</v>
      </c>
      <c r="I3072" s="32" t="e">
        <f t="shared" si="78"/>
        <v>#REF!</v>
      </c>
    </row>
    <row r="3073" ht="15.75" spans="6:9">
      <c r="F3073" s="12" t="e">
        <f>'[4]#REF'!F3073</f>
        <v>#REF!</v>
      </c>
      <c r="G3073" s="12" t="e">
        <f>'[4]#REF'!G3073</f>
        <v>#REF!</v>
      </c>
      <c r="H3073" s="31" t="e">
        <f>'[4]#REF'!I3073</f>
        <v>#REF!</v>
      </c>
      <c r="I3073" s="32" t="e">
        <f t="shared" si="78"/>
        <v>#REF!</v>
      </c>
    </row>
    <row r="3074" ht="15.75" spans="6:9">
      <c r="F3074" s="12" t="e">
        <f>'[4]#REF'!F3074</f>
        <v>#REF!</v>
      </c>
      <c r="G3074" s="12" t="e">
        <f>'[4]#REF'!G3074</f>
        <v>#REF!</v>
      </c>
      <c r="H3074" s="31" t="e">
        <f>'[4]#REF'!I3074</f>
        <v>#REF!</v>
      </c>
      <c r="I3074" s="32" t="e">
        <f t="shared" si="78"/>
        <v>#REF!</v>
      </c>
    </row>
    <row r="3075" ht="15.75" spans="6:9">
      <c r="F3075" s="12" t="e">
        <f>'[4]#REF'!F3075</f>
        <v>#REF!</v>
      </c>
      <c r="G3075" s="12" t="e">
        <f>'[4]#REF'!G3075</f>
        <v>#REF!</v>
      </c>
      <c r="H3075" s="31" t="e">
        <f>'[4]#REF'!I3075</f>
        <v>#REF!</v>
      </c>
      <c r="I3075" s="32" t="e">
        <f t="shared" si="78"/>
        <v>#REF!</v>
      </c>
    </row>
    <row r="3076" ht="15.75" spans="6:9">
      <c r="F3076" s="12" t="e">
        <f>'[4]#REF'!F3076</f>
        <v>#REF!</v>
      </c>
      <c r="G3076" s="12" t="e">
        <f>'[4]#REF'!G3076</f>
        <v>#REF!</v>
      </c>
      <c r="H3076" s="31" t="e">
        <f>'[4]#REF'!I3076</f>
        <v>#REF!</v>
      </c>
      <c r="I3076" s="32" t="e">
        <f t="shared" si="78"/>
        <v>#REF!</v>
      </c>
    </row>
    <row r="3077" ht="15.75" spans="6:9">
      <c r="F3077" s="12" t="e">
        <f>'[4]#REF'!F3077</f>
        <v>#REF!</v>
      </c>
      <c r="G3077" s="12" t="e">
        <f>'[4]#REF'!G3077</f>
        <v>#REF!</v>
      </c>
      <c r="H3077" s="31" t="e">
        <f>'[4]#REF'!I3077</f>
        <v>#REF!</v>
      </c>
      <c r="I3077" s="32" t="e">
        <f t="shared" si="78"/>
        <v>#REF!</v>
      </c>
    </row>
    <row r="3078" ht="15.75" spans="6:9">
      <c r="F3078" s="12" t="e">
        <f>'[4]#REF'!F3078</f>
        <v>#REF!</v>
      </c>
      <c r="G3078" s="12" t="e">
        <f>'[4]#REF'!G3078</f>
        <v>#REF!</v>
      </c>
      <c r="H3078" s="31" t="e">
        <f>'[4]#REF'!I3078</f>
        <v>#REF!</v>
      </c>
      <c r="I3078" s="32" t="e">
        <f t="shared" ref="I3078:I3141" si="79">ROUND(H3078/$I$4*100,2)</f>
        <v>#REF!</v>
      </c>
    </row>
    <row r="3079" ht="15.75" spans="6:9">
      <c r="F3079" s="12" t="e">
        <f>'[4]#REF'!F3079</f>
        <v>#REF!</v>
      </c>
      <c r="G3079" s="12" t="e">
        <f>'[4]#REF'!G3079</f>
        <v>#REF!</v>
      </c>
      <c r="H3079" s="31" t="e">
        <f>'[4]#REF'!I3079</f>
        <v>#REF!</v>
      </c>
      <c r="I3079" s="32" t="e">
        <f t="shared" si="79"/>
        <v>#REF!</v>
      </c>
    </row>
    <row r="3080" ht="15.75" spans="6:9">
      <c r="F3080" s="12" t="e">
        <f>'[4]#REF'!F3080</f>
        <v>#REF!</v>
      </c>
      <c r="G3080" s="12" t="e">
        <f>'[4]#REF'!G3080</f>
        <v>#REF!</v>
      </c>
      <c r="H3080" s="31" t="e">
        <f>'[4]#REF'!I3080</f>
        <v>#REF!</v>
      </c>
      <c r="I3080" s="32" t="e">
        <f t="shared" si="79"/>
        <v>#REF!</v>
      </c>
    </row>
    <row r="3081" ht="15.75" spans="6:9">
      <c r="F3081" s="12" t="e">
        <f>'[4]#REF'!F3081</f>
        <v>#REF!</v>
      </c>
      <c r="G3081" s="12" t="e">
        <f>'[4]#REF'!G3081</f>
        <v>#REF!</v>
      </c>
      <c r="H3081" s="31" t="e">
        <f>'[4]#REF'!I3081</f>
        <v>#REF!</v>
      </c>
      <c r="I3081" s="32" t="e">
        <f t="shared" si="79"/>
        <v>#REF!</v>
      </c>
    </row>
    <row r="3082" ht="15.75" spans="6:9">
      <c r="F3082" s="12" t="e">
        <f>'[4]#REF'!F3082</f>
        <v>#REF!</v>
      </c>
      <c r="G3082" s="12" t="e">
        <f>'[4]#REF'!G3082</f>
        <v>#REF!</v>
      </c>
      <c r="H3082" s="31" t="e">
        <f>'[4]#REF'!I3082</f>
        <v>#REF!</v>
      </c>
      <c r="I3082" s="32" t="e">
        <f t="shared" si="79"/>
        <v>#REF!</v>
      </c>
    </row>
    <row r="3083" ht="15.75" spans="6:9">
      <c r="F3083" s="12" t="e">
        <f>'[4]#REF'!F3083</f>
        <v>#REF!</v>
      </c>
      <c r="G3083" s="12" t="e">
        <f>'[4]#REF'!G3083</f>
        <v>#REF!</v>
      </c>
      <c r="H3083" s="31" t="e">
        <f>'[4]#REF'!I3083</f>
        <v>#REF!</v>
      </c>
      <c r="I3083" s="32" t="e">
        <f t="shared" si="79"/>
        <v>#REF!</v>
      </c>
    </row>
    <row r="3084" ht="15.75" spans="6:9">
      <c r="F3084" s="12" t="e">
        <f>'[4]#REF'!F3084</f>
        <v>#REF!</v>
      </c>
      <c r="G3084" s="12" t="e">
        <f>'[4]#REF'!G3084</f>
        <v>#REF!</v>
      </c>
      <c r="H3084" s="31" t="e">
        <f>'[4]#REF'!I3084</f>
        <v>#REF!</v>
      </c>
      <c r="I3084" s="32" t="e">
        <f t="shared" si="79"/>
        <v>#REF!</v>
      </c>
    </row>
    <row r="3085" ht="15.75" spans="6:9">
      <c r="F3085" s="12" t="e">
        <f>'[4]#REF'!F3085</f>
        <v>#REF!</v>
      </c>
      <c r="G3085" s="12" t="e">
        <f>'[4]#REF'!G3085</f>
        <v>#REF!</v>
      </c>
      <c r="H3085" s="31" t="e">
        <f>'[4]#REF'!I3085</f>
        <v>#REF!</v>
      </c>
      <c r="I3085" s="32" t="e">
        <f t="shared" si="79"/>
        <v>#REF!</v>
      </c>
    </row>
    <row r="3086" ht="15.75" spans="6:9">
      <c r="F3086" s="12" t="e">
        <f>'[4]#REF'!F3086</f>
        <v>#REF!</v>
      </c>
      <c r="G3086" s="12" t="e">
        <f>'[4]#REF'!G3086</f>
        <v>#REF!</v>
      </c>
      <c r="H3086" s="31" t="e">
        <f>'[4]#REF'!I3086</f>
        <v>#REF!</v>
      </c>
      <c r="I3086" s="32" t="e">
        <f t="shared" si="79"/>
        <v>#REF!</v>
      </c>
    </row>
    <row r="3087" ht="15.75" spans="6:9">
      <c r="F3087" s="12" t="e">
        <f>'[4]#REF'!F3087</f>
        <v>#REF!</v>
      </c>
      <c r="G3087" s="12" t="e">
        <f>'[4]#REF'!G3087</f>
        <v>#REF!</v>
      </c>
      <c r="H3087" s="31" t="e">
        <f>'[4]#REF'!I3087</f>
        <v>#REF!</v>
      </c>
      <c r="I3087" s="32" t="e">
        <f t="shared" si="79"/>
        <v>#REF!</v>
      </c>
    </row>
    <row r="3088" ht="15.75" spans="6:9">
      <c r="F3088" s="12" t="e">
        <f>'[4]#REF'!F3088</f>
        <v>#REF!</v>
      </c>
      <c r="G3088" s="12" t="e">
        <f>'[4]#REF'!G3088</f>
        <v>#REF!</v>
      </c>
      <c r="H3088" s="31" t="e">
        <f>'[4]#REF'!I3088</f>
        <v>#REF!</v>
      </c>
      <c r="I3088" s="32" t="e">
        <f t="shared" si="79"/>
        <v>#REF!</v>
      </c>
    </row>
    <row r="3089" ht="15.75" spans="6:9">
      <c r="F3089" s="12" t="e">
        <f>'[4]#REF'!F3089</f>
        <v>#REF!</v>
      </c>
      <c r="G3089" s="12" t="e">
        <f>'[4]#REF'!G3089</f>
        <v>#REF!</v>
      </c>
      <c r="H3089" s="31" t="e">
        <f>'[4]#REF'!I3089</f>
        <v>#REF!</v>
      </c>
      <c r="I3089" s="32" t="e">
        <f t="shared" si="79"/>
        <v>#REF!</v>
      </c>
    </row>
    <row r="3090" ht="15.75" spans="6:9">
      <c r="F3090" s="12" t="e">
        <f>'[4]#REF'!F3090</f>
        <v>#REF!</v>
      </c>
      <c r="G3090" s="12" t="e">
        <f>'[4]#REF'!G3090</f>
        <v>#REF!</v>
      </c>
      <c r="H3090" s="31" t="e">
        <f>'[4]#REF'!I3090</f>
        <v>#REF!</v>
      </c>
      <c r="I3090" s="32" t="e">
        <f t="shared" si="79"/>
        <v>#REF!</v>
      </c>
    </row>
    <row r="3091" ht="15.75" spans="6:9">
      <c r="F3091" s="12" t="e">
        <f>'[4]#REF'!F3091</f>
        <v>#REF!</v>
      </c>
      <c r="G3091" s="12" t="e">
        <f>'[4]#REF'!G3091</f>
        <v>#REF!</v>
      </c>
      <c r="H3091" s="31" t="e">
        <f>'[4]#REF'!I3091</f>
        <v>#REF!</v>
      </c>
      <c r="I3091" s="32" t="e">
        <f t="shared" si="79"/>
        <v>#REF!</v>
      </c>
    </row>
    <row r="3092" ht="15.75" spans="6:9">
      <c r="F3092" s="12" t="e">
        <f>'[4]#REF'!F3092</f>
        <v>#REF!</v>
      </c>
      <c r="G3092" s="12" t="e">
        <f>'[4]#REF'!G3092</f>
        <v>#REF!</v>
      </c>
      <c r="H3092" s="31" t="e">
        <f>'[4]#REF'!I3092</f>
        <v>#REF!</v>
      </c>
      <c r="I3092" s="32" t="e">
        <f t="shared" si="79"/>
        <v>#REF!</v>
      </c>
    </row>
    <row r="3093" ht="15.75" spans="6:9">
      <c r="F3093" s="12" t="e">
        <f>'[4]#REF'!F3093</f>
        <v>#REF!</v>
      </c>
      <c r="G3093" s="12" t="e">
        <f>'[4]#REF'!G3093</f>
        <v>#REF!</v>
      </c>
      <c r="H3093" s="31" t="e">
        <f>'[4]#REF'!I3093</f>
        <v>#REF!</v>
      </c>
      <c r="I3093" s="32" t="e">
        <f t="shared" si="79"/>
        <v>#REF!</v>
      </c>
    </row>
    <row r="3094" ht="15.75" spans="6:9">
      <c r="F3094" s="12" t="e">
        <f>'[4]#REF'!F3094</f>
        <v>#REF!</v>
      </c>
      <c r="G3094" s="12" t="e">
        <f>'[4]#REF'!G3094</f>
        <v>#REF!</v>
      </c>
      <c r="H3094" s="31" t="e">
        <f>'[4]#REF'!I3094</f>
        <v>#REF!</v>
      </c>
      <c r="I3094" s="32" t="e">
        <f t="shared" si="79"/>
        <v>#REF!</v>
      </c>
    </row>
    <row r="3095" ht="15.75" spans="6:9">
      <c r="F3095" s="12" t="e">
        <f>'[4]#REF'!F3095</f>
        <v>#REF!</v>
      </c>
      <c r="G3095" s="12" t="e">
        <f>'[4]#REF'!G3095</f>
        <v>#REF!</v>
      </c>
      <c r="H3095" s="31" t="e">
        <f>'[4]#REF'!I3095</f>
        <v>#REF!</v>
      </c>
      <c r="I3095" s="32" t="e">
        <f t="shared" si="79"/>
        <v>#REF!</v>
      </c>
    </row>
    <row r="3096" ht="15.75" spans="6:9">
      <c r="F3096" s="12" t="e">
        <f>'[4]#REF'!F3096</f>
        <v>#REF!</v>
      </c>
      <c r="G3096" s="12" t="e">
        <f>'[4]#REF'!G3096</f>
        <v>#REF!</v>
      </c>
      <c r="H3096" s="31" t="e">
        <f>'[4]#REF'!I3096</f>
        <v>#REF!</v>
      </c>
      <c r="I3096" s="32" t="e">
        <f t="shared" si="79"/>
        <v>#REF!</v>
      </c>
    </row>
    <row r="3097" ht="15.75" spans="6:9">
      <c r="F3097" s="12" t="e">
        <f>'[4]#REF'!F3097</f>
        <v>#REF!</v>
      </c>
      <c r="G3097" s="12" t="e">
        <f>'[4]#REF'!G3097</f>
        <v>#REF!</v>
      </c>
      <c r="H3097" s="31" t="e">
        <f>'[4]#REF'!I3097</f>
        <v>#REF!</v>
      </c>
      <c r="I3097" s="32" t="e">
        <f t="shared" si="79"/>
        <v>#REF!</v>
      </c>
    </row>
    <row r="3098" ht="15.75" spans="6:9">
      <c r="F3098" s="12" t="e">
        <f>'[4]#REF'!F3098</f>
        <v>#REF!</v>
      </c>
      <c r="G3098" s="12" t="e">
        <f>'[4]#REF'!G3098</f>
        <v>#REF!</v>
      </c>
      <c r="H3098" s="31" t="e">
        <f>'[4]#REF'!I3098</f>
        <v>#REF!</v>
      </c>
      <c r="I3098" s="32" t="e">
        <f t="shared" si="79"/>
        <v>#REF!</v>
      </c>
    </row>
    <row r="3099" ht="15.75" spans="6:9">
      <c r="F3099" s="12" t="e">
        <f>'[4]#REF'!F3099</f>
        <v>#REF!</v>
      </c>
      <c r="G3099" s="12" t="e">
        <f>'[4]#REF'!G3099</f>
        <v>#REF!</v>
      </c>
      <c r="H3099" s="31" t="e">
        <f>'[4]#REF'!I3099</f>
        <v>#REF!</v>
      </c>
      <c r="I3099" s="32" t="e">
        <f t="shared" si="79"/>
        <v>#REF!</v>
      </c>
    </row>
    <row r="3100" ht="15.75" spans="6:9">
      <c r="F3100" s="12" t="e">
        <f>'[4]#REF'!F3100</f>
        <v>#REF!</v>
      </c>
      <c r="G3100" s="12" t="e">
        <f>'[4]#REF'!G3100</f>
        <v>#REF!</v>
      </c>
      <c r="H3100" s="31" t="e">
        <f>'[4]#REF'!I3100</f>
        <v>#REF!</v>
      </c>
      <c r="I3100" s="32" t="e">
        <f t="shared" si="79"/>
        <v>#REF!</v>
      </c>
    </row>
    <row r="3101" ht="15.75" spans="6:9">
      <c r="F3101" s="12" t="e">
        <f>'[4]#REF'!F3101</f>
        <v>#REF!</v>
      </c>
      <c r="G3101" s="12" t="e">
        <f>'[4]#REF'!G3101</f>
        <v>#REF!</v>
      </c>
      <c r="H3101" s="31" t="e">
        <f>'[4]#REF'!I3101</f>
        <v>#REF!</v>
      </c>
      <c r="I3101" s="32" t="e">
        <f t="shared" si="79"/>
        <v>#REF!</v>
      </c>
    </row>
    <row r="3102" ht="15.75" spans="6:9">
      <c r="F3102" s="12" t="e">
        <f>'[4]#REF'!F3102</f>
        <v>#REF!</v>
      </c>
      <c r="G3102" s="12" t="e">
        <f>'[4]#REF'!G3102</f>
        <v>#REF!</v>
      </c>
      <c r="H3102" s="31" t="e">
        <f>'[4]#REF'!I3102</f>
        <v>#REF!</v>
      </c>
      <c r="I3102" s="32" t="e">
        <f t="shared" si="79"/>
        <v>#REF!</v>
      </c>
    </row>
    <row r="3103" ht="15.75" spans="6:9">
      <c r="F3103" s="12" t="e">
        <f>'[4]#REF'!F3103</f>
        <v>#REF!</v>
      </c>
      <c r="G3103" s="12" t="e">
        <f>'[4]#REF'!G3103</f>
        <v>#REF!</v>
      </c>
      <c r="H3103" s="31" t="e">
        <f>'[4]#REF'!I3103</f>
        <v>#REF!</v>
      </c>
      <c r="I3103" s="32" t="e">
        <f t="shared" si="79"/>
        <v>#REF!</v>
      </c>
    </row>
    <row r="3104" ht="15.75" spans="6:9">
      <c r="F3104" s="12" t="e">
        <f>'[4]#REF'!F3104</f>
        <v>#REF!</v>
      </c>
      <c r="G3104" s="12" t="e">
        <f>'[4]#REF'!G3104</f>
        <v>#REF!</v>
      </c>
      <c r="H3104" s="31" t="e">
        <f>'[4]#REF'!I3104</f>
        <v>#REF!</v>
      </c>
      <c r="I3104" s="32" t="e">
        <f t="shared" si="79"/>
        <v>#REF!</v>
      </c>
    </row>
    <row r="3105" ht="15.75" spans="6:9">
      <c r="F3105" s="12" t="e">
        <f>'[4]#REF'!F3105</f>
        <v>#REF!</v>
      </c>
      <c r="G3105" s="12" t="e">
        <f>'[4]#REF'!G3105</f>
        <v>#REF!</v>
      </c>
      <c r="H3105" s="31" t="e">
        <f>'[4]#REF'!I3105</f>
        <v>#REF!</v>
      </c>
      <c r="I3105" s="32" t="e">
        <f t="shared" si="79"/>
        <v>#REF!</v>
      </c>
    </row>
    <row r="3106" ht="15.75" spans="6:9">
      <c r="F3106" s="12" t="e">
        <f>'[4]#REF'!F3106</f>
        <v>#REF!</v>
      </c>
      <c r="G3106" s="12" t="e">
        <f>'[4]#REF'!G3106</f>
        <v>#REF!</v>
      </c>
      <c r="H3106" s="31" t="e">
        <f>'[4]#REF'!I3106</f>
        <v>#REF!</v>
      </c>
      <c r="I3106" s="32" t="e">
        <f t="shared" si="79"/>
        <v>#REF!</v>
      </c>
    </row>
    <row r="3107" ht="15.75" spans="6:9">
      <c r="F3107" s="12" t="e">
        <f>'[4]#REF'!F3107</f>
        <v>#REF!</v>
      </c>
      <c r="G3107" s="12" t="e">
        <f>'[4]#REF'!G3107</f>
        <v>#REF!</v>
      </c>
      <c r="H3107" s="31" t="e">
        <f>'[4]#REF'!I3107</f>
        <v>#REF!</v>
      </c>
      <c r="I3107" s="32" t="e">
        <f t="shared" si="79"/>
        <v>#REF!</v>
      </c>
    </row>
    <row r="3108" ht="15.75" spans="6:9">
      <c r="F3108" s="12" t="e">
        <f>'[4]#REF'!F3108</f>
        <v>#REF!</v>
      </c>
      <c r="G3108" s="12" t="e">
        <f>'[4]#REF'!G3108</f>
        <v>#REF!</v>
      </c>
      <c r="H3108" s="31" t="e">
        <f>'[4]#REF'!I3108</f>
        <v>#REF!</v>
      </c>
      <c r="I3108" s="32" t="e">
        <f t="shared" si="79"/>
        <v>#REF!</v>
      </c>
    </row>
    <row r="3109" ht="15.75" spans="6:9">
      <c r="F3109" s="12" t="e">
        <f>'[4]#REF'!F3109</f>
        <v>#REF!</v>
      </c>
      <c r="G3109" s="12" t="e">
        <f>'[4]#REF'!G3109</f>
        <v>#REF!</v>
      </c>
      <c r="H3109" s="31" t="e">
        <f>'[4]#REF'!I3109</f>
        <v>#REF!</v>
      </c>
      <c r="I3109" s="32" t="e">
        <f t="shared" si="79"/>
        <v>#REF!</v>
      </c>
    </row>
    <row r="3110" ht="15.75" spans="6:9">
      <c r="F3110" s="12" t="e">
        <f>'[4]#REF'!F3110</f>
        <v>#REF!</v>
      </c>
      <c r="G3110" s="12" t="e">
        <f>'[4]#REF'!G3110</f>
        <v>#REF!</v>
      </c>
      <c r="H3110" s="31" t="e">
        <f>'[4]#REF'!I3110</f>
        <v>#REF!</v>
      </c>
      <c r="I3110" s="32" t="e">
        <f t="shared" si="79"/>
        <v>#REF!</v>
      </c>
    </row>
    <row r="3111" ht="15.75" spans="6:9">
      <c r="F3111" s="12" t="e">
        <f>'[4]#REF'!F3111</f>
        <v>#REF!</v>
      </c>
      <c r="G3111" s="12" t="e">
        <f>'[4]#REF'!G3111</f>
        <v>#REF!</v>
      </c>
      <c r="H3111" s="31" t="e">
        <f>'[4]#REF'!I3111</f>
        <v>#REF!</v>
      </c>
      <c r="I3111" s="32" t="e">
        <f t="shared" si="79"/>
        <v>#REF!</v>
      </c>
    </row>
    <row r="3112" ht="15.75" spans="6:9">
      <c r="F3112" s="12" t="e">
        <f>'[4]#REF'!F3112</f>
        <v>#REF!</v>
      </c>
      <c r="G3112" s="12" t="e">
        <f>'[4]#REF'!G3112</f>
        <v>#REF!</v>
      </c>
      <c r="H3112" s="31" t="e">
        <f>'[4]#REF'!I3112</f>
        <v>#REF!</v>
      </c>
      <c r="I3112" s="32" t="e">
        <f t="shared" si="79"/>
        <v>#REF!</v>
      </c>
    </row>
    <row r="3113" ht="15.75" spans="6:9">
      <c r="F3113" s="12" t="e">
        <f>'[4]#REF'!F3113</f>
        <v>#REF!</v>
      </c>
      <c r="G3113" s="12" t="e">
        <f>'[4]#REF'!G3113</f>
        <v>#REF!</v>
      </c>
      <c r="H3113" s="31" t="e">
        <f>'[4]#REF'!I3113</f>
        <v>#REF!</v>
      </c>
      <c r="I3113" s="32" t="e">
        <f t="shared" si="79"/>
        <v>#REF!</v>
      </c>
    </row>
    <row r="3114" ht="15.75" spans="6:9">
      <c r="F3114" s="12" t="e">
        <f>'[4]#REF'!F3114</f>
        <v>#REF!</v>
      </c>
      <c r="G3114" s="12" t="e">
        <f>'[4]#REF'!G3114</f>
        <v>#REF!</v>
      </c>
      <c r="H3114" s="31" t="e">
        <f>'[4]#REF'!I3114</f>
        <v>#REF!</v>
      </c>
      <c r="I3114" s="32" t="e">
        <f t="shared" si="79"/>
        <v>#REF!</v>
      </c>
    </row>
    <row r="3115" ht="15.75" spans="6:9">
      <c r="F3115" s="12" t="e">
        <f>'[4]#REF'!F3115</f>
        <v>#REF!</v>
      </c>
      <c r="G3115" s="12" t="e">
        <f>'[4]#REF'!G3115</f>
        <v>#REF!</v>
      </c>
      <c r="H3115" s="31" t="e">
        <f>'[4]#REF'!I3115</f>
        <v>#REF!</v>
      </c>
      <c r="I3115" s="32" t="e">
        <f t="shared" si="79"/>
        <v>#REF!</v>
      </c>
    </row>
    <row r="3116" ht="15.75" spans="6:9">
      <c r="F3116" s="12" t="e">
        <f>'[4]#REF'!F3116</f>
        <v>#REF!</v>
      </c>
      <c r="G3116" s="12" t="e">
        <f>'[4]#REF'!G3116</f>
        <v>#REF!</v>
      </c>
      <c r="H3116" s="31" t="e">
        <f>'[4]#REF'!I3116</f>
        <v>#REF!</v>
      </c>
      <c r="I3116" s="32" t="e">
        <f t="shared" si="79"/>
        <v>#REF!</v>
      </c>
    </row>
    <row r="3117" ht="15.75" spans="6:9">
      <c r="F3117" s="12" t="e">
        <f>'[4]#REF'!F3117</f>
        <v>#REF!</v>
      </c>
      <c r="G3117" s="12" t="e">
        <f>'[4]#REF'!G3117</f>
        <v>#REF!</v>
      </c>
      <c r="H3117" s="31" t="e">
        <f>'[4]#REF'!I3117</f>
        <v>#REF!</v>
      </c>
      <c r="I3117" s="32" t="e">
        <f t="shared" si="79"/>
        <v>#REF!</v>
      </c>
    </row>
    <row r="3118" ht="15.75" spans="6:9">
      <c r="F3118" s="12" t="e">
        <f>'[4]#REF'!F3118</f>
        <v>#REF!</v>
      </c>
      <c r="G3118" s="12" t="e">
        <f>'[4]#REF'!G3118</f>
        <v>#REF!</v>
      </c>
      <c r="H3118" s="31" t="e">
        <f>'[4]#REF'!I3118</f>
        <v>#REF!</v>
      </c>
      <c r="I3118" s="32" t="e">
        <f t="shared" si="79"/>
        <v>#REF!</v>
      </c>
    </row>
    <row r="3119" ht="15.75" spans="6:9">
      <c r="F3119" s="12" t="e">
        <f>'[4]#REF'!F3119</f>
        <v>#REF!</v>
      </c>
      <c r="G3119" s="12" t="e">
        <f>'[4]#REF'!G3119</f>
        <v>#REF!</v>
      </c>
      <c r="H3119" s="31" t="e">
        <f>'[4]#REF'!I3119</f>
        <v>#REF!</v>
      </c>
      <c r="I3119" s="32" t="e">
        <f t="shared" si="79"/>
        <v>#REF!</v>
      </c>
    </row>
    <row r="3120" ht="15.75" spans="6:9">
      <c r="F3120" s="12" t="e">
        <f>'[4]#REF'!F3120</f>
        <v>#REF!</v>
      </c>
      <c r="G3120" s="12" t="e">
        <f>'[4]#REF'!G3120</f>
        <v>#REF!</v>
      </c>
      <c r="H3120" s="31" t="e">
        <f>'[4]#REF'!I3120</f>
        <v>#REF!</v>
      </c>
      <c r="I3120" s="32" t="e">
        <f t="shared" si="79"/>
        <v>#REF!</v>
      </c>
    </row>
    <row r="3121" ht="15.75" spans="6:9">
      <c r="F3121" s="12" t="e">
        <f>'[4]#REF'!F3121</f>
        <v>#REF!</v>
      </c>
      <c r="G3121" s="12" t="e">
        <f>'[4]#REF'!G3121</f>
        <v>#REF!</v>
      </c>
      <c r="H3121" s="31" t="e">
        <f>'[4]#REF'!I3121</f>
        <v>#REF!</v>
      </c>
      <c r="I3121" s="32" t="e">
        <f t="shared" si="79"/>
        <v>#REF!</v>
      </c>
    </row>
    <row r="3122" ht="15.75" spans="6:9">
      <c r="F3122" s="12" t="e">
        <f>'[4]#REF'!F3122</f>
        <v>#REF!</v>
      </c>
      <c r="G3122" s="12" t="e">
        <f>'[4]#REF'!G3122</f>
        <v>#REF!</v>
      </c>
      <c r="H3122" s="31" t="e">
        <f>'[4]#REF'!I3122</f>
        <v>#REF!</v>
      </c>
      <c r="I3122" s="32" t="e">
        <f t="shared" si="79"/>
        <v>#REF!</v>
      </c>
    </row>
    <row r="3123" ht="15.75" spans="6:9">
      <c r="F3123" s="12" t="e">
        <f>'[4]#REF'!F3123</f>
        <v>#REF!</v>
      </c>
      <c r="G3123" s="12" t="e">
        <f>'[4]#REF'!G3123</f>
        <v>#REF!</v>
      </c>
      <c r="H3123" s="31" t="e">
        <f>'[4]#REF'!I3123</f>
        <v>#REF!</v>
      </c>
      <c r="I3123" s="32" t="e">
        <f t="shared" si="79"/>
        <v>#REF!</v>
      </c>
    </row>
    <row r="3124" ht="15.75" spans="6:9">
      <c r="F3124" s="12" t="e">
        <f>'[4]#REF'!F3124</f>
        <v>#REF!</v>
      </c>
      <c r="G3124" s="12" t="e">
        <f>'[4]#REF'!G3124</f>
        <v>#REF!</v>
      </c>
      <c r="H3124" s="31" t="e">
        <f>'[4]#REF'!I3124</f>
        <v>#REF!</v>
      </c>
      <c r="I3124" s="32" t="e">
        <f t="shared" si="79"/>
        <v>#REF!</v>
      </c>
    </row>
    <row r="3125" ht="15.75" spans="6:9">
      <c r="F3125" s="12" t="e">
        <f>'[4]#REF'!F3125</f>
        <v>#REF!</v>
      </c>
      <c r="G3125" s="12" t="e">
        <f>'[4]#REF'!G3125</f>
        <v>#REF!</v>
      </c>
      <c r="H3125" s="31" t="e">
        <f>'[4]#REF'!I3125</f>
        <v>#REF!</v>
      </c>
      <c r="I3125" s="32" t="e">
        <f t="shared" si="79"/>
        <v>#REF!</v>
      </c>
    </row>
    <row r="3126" ht="15.75" spans="6:9">
      <c r="F3126" s="12" t="e">
        <f>'[4]#REF'!F3126</f>
        <v>#REF!</v>
      </c>
      <c r="G3126" s="12" t="e">
        <f>'[4]#REF'!G3126</f>
        <v>#REF!</v>
      </c>
      <c r="H3126" s="31" t="e">
        <f>'[4]#REF'!I3126</f>
        <v>#REF!</v>
      </c>
      <c r="I3126" s="32" t="e">
        <f t="shared" si="79"/>
        <v>#REF!</v>
      </c>
    </row>
    <row r="3127" ht="15.75" spans="6:9">
      <c r="F3127" s="12" t="e">
        <f>'[4]#REF'!F3127</f>
        <v>#REF!</v>
      </c>
      <c r="G3127" s="12" t="e">
        <f>'[4]#REF'!G3127</f>
        <v>#REF!</v>
      </c>
      <c r="H3127" s="31" t="e">
        <f>'[4]#REF'!I3127</f>
        <v>#REF!</v>
      </c>
      <c r="I3127" s="32" t="e">
        <f t="shared" si="79"/>
        <v>#REF!</v>
      </c>
    </row>
    <row r="3128" ht="15.75" spans="6:9">
      <c r="F3128" s="12" t="e">
        <f>'[4]#REF'!F3128</f>
        <v>#REF!</v>
      </c>
      <c r="G3128" s="12" t="e">
        <f>'[4]#REF'!G3128</f>
        <v>#REF!</v>
      </c>
      <c r="H3128" s="31" t="e">
        <f>'[4]#REF'!I3128</f>
        <v>#REF!</v>
      </c>
      <c r="I3128" s="32" t="e">
        <f t="shared" si="79"/>
        <v>#REF!</v>
      </c>
    </row>
    <row r="3129" ht="15.75" spans="6:9">
      <c r="F3129" s="12" t="e">
        <f>'[4]#REF'!F3129</f>
        <v>#REF!</v>
      </c>
      <c r="G3129" s="12" t="e">
        <f>'[4]#REF'!G3129</f>
        <v>#REF!</v>
      </c>
      <c r="H3129" s="31" t="e">
        <f>'[4]#REF'!I3129</f>
        <v>#REF!</v>
      </c>
      <c r="I3129" s="32" t="e">
        <f t="shared" si="79"/>
        <v>#REF!</v>
      </c>
    </row>
    <row r="3130" ht="15.75" spans="6:9">
      <c r="F3130" s="12" t="e">
        <f>'[4]#REF'!F3130</f>
        <v>#REF!</v>
      </c>
      <c r="G3130" s="12" t="e">
        <f>'[4]#REF'!G3130</f>
        <v>#REF!</v>
      </c>
      <c r="H3130" s="31" t="e">
        <f>'[4]#REF'!I3130</f>
        <v>#REF!</v>
      </c>
      <c r="I3130" s="32" t="e">
        <f t="shared" si="79"/>
        <v>#REF!</v>
      </c>
    </row>
    <row r="3131" ht="15.75" spans="6:9">
      <c r="F3131" s="12" t="e">
        <f>'[4]#REF'!F3131</f>
        <v>#REF!</v>
      </c>
      <c r="G3131" s="12" t="e">
        <f>'[4]#REF'!G3131</f>
        <v>#REF!</v>
      </c>
      <c r="H3131" s="31" t="e">
        <f>'[4]#REF'!I3131</f>
        <v>#REF!</v>
      </c>
      <c r="I3131" s="32" t="e">
        <f t="shared" si="79"/>
        <v>#REF!</v>
      </c>
    </row>
    <row r="3132" ht="15.75" spans="6:9">
      <c r="F3132" s="12" t="e">
        <f>'[4]#REF'!F3132</f>
        <v>#REF!</v>
      </c>
      <c r="G3132" s="12" t="e">
        <f>'[4]#REF'!G3132</f>
        <v>#REF!</v>
      </c>
      <c r="H3132" s="31" t="e">
        <f>'[4]#REF'!I3132</f>
        <v>#REF!</v>
      </c>
      <c r="I3132" s="32" t="e">
        <f t="shared" si="79"/>
        <v>#REF!</v>
      </c>
    </row>
    <row r="3133" ht="15.75" spans="6:9">
      <c r="F3133" s="12" t="e">
        <f>'[4]#REF'!F3133</f>
        <v>#REF!</v>
      </c>
      <c r="G3133" s="12" t="e">
        <f>'[4]#REF'!G3133</f>
        <v>#REF!</v>
      </c>
      <c r="H3133" s="31" t="e">
        <f>'[4]#REF'!I3133</f>
        <v>#REF!</v>
      </c>
      <c r="I3133" s="32" t="e">
        <f t="shared" si="79"/>
        <v>#REF!</v>
      </c>
    </row>
    <row r="3134" ht="15.75" spans="6:9">
      <c r="F3134" s="12" t="e">
        <f>'[4]#REF'!F3134</f>
        <v>#REF!</v>
      </c>
      <c r="G3134" s="12" t="e">
        <f>'[4]#REF'!G3134</f>
        <v>#REF!</v>
      </c>
      <c r="H3134" s="31" t="e">
        <f>'[4]#REF'!I3134</f>
        <v>#REF!</v>
      </c>
      <c r="I3134" s="32" t="e">
        <f t="shared" si="79"/>
        <v>#REF!</v>
      </c>
    </row>
    <row r="3135" ht="15.75" spans="6:9">
      <c r="F3135" s="12" t="e">
        <f>'[4]#REF'!F3135</f>
        <v>#REF!</v>
      </c>
      <c r="G3135" s="12" t="e">
        <f>'[4]#REF'!G3135</f>
        <v>#REF!</v>
      </c>
      <c r="H3135" s="31" t="e">
        <f>'[4]#REF'!I3135</f>
        <v>#REF!</v>
      </c>
      <c r="I3135" s="32" t="e">
        <f t="shared" si="79"/>
        <v>#REF!</v>
      </c>
    </row>
    <row r="3136" ht="15.75" spans="6:9">
      <c r="F3136" s="12" t="e">
        <f>'[4]#REF'!F3136</f>
        <v>#REF!</v>
      </c>
      <c r="G3136" s="12" t="e">
        <f>'[4]#REF'!G3136</f>
        <v>#REF!</v>
      </c>
      <c r="H3136" s="31" t="e">
        <f>'[4]#REF'!I3136</f>
        <v>#REF!</v>
      </c>
      <c r="I3136" s="32" t="e">
        <f t="shared" si="79"/>
        <v>#REF!</v>
      </c>
    </row>
    <row r="3137" ht="15.75" spans="6:9">
      <c r="F3137" s="12" t="e">
        <f>'[4]#REF'!F3137</f>
        <v>#REF!</v>
      </c>
      <c r="G3137" s="12" t="e">
        <f>'[4]#REF'!G3137</f>
        <v>#REF!</v>
      </c>
      <c r="H3137" s="31" t="e">
        <f>'[4]#REF'!I3137</f>
        <v>#REF!</v>
      </c>
      <c r="I3137" s="32" t="e">
        <f t="shared" si="79"/>
        <v>#REF!</v>
      </c>
    </row>
    <row r="3138" ht="15.75" spans="6:9">
      <c r="F3138" s="12" t="e">
        <f>'[4]#REF'!F3138</f>
        <v>#REF!</v>
      </c>
      <c r="G3138" s="12" t="e">
        <f>'[4]#REF'!G3138</f>
        <v>#REF!</v>
      </c>
      <c r="H3138" s="31" t="e">
        <f>'[4]#REF'!I3138</f>
        <v>#REF!</v>
      </c>
      <c r="I3138" s="32" t="e">
        <f t="shared" si="79"/>
        <v>#REF!</v>
      </c>
    </row>
    <row r="3139" ht="15.75" spans="6:9">
      <c r="F3139" s="12" t="e">
        <f>'[4]#REF'!F3139</f>
        <v>#REF!</v>
      </c>
      <c r="G3139" s="12" t="e">
        <f>'[4]#REF'!G3139</f>
        <v>#REF!</v>
      </c>
      <c r="H3139" s="31" t="e">
        <f>'[4]#REF'!I3139</f>
        <v>#REF!</v>
      </c>
      <c r="I3139" s="32" t="e">
        <f t="shared" si="79"/>
        <v>#REF!</v>
      </c>
    </row>
    <row r="3140" ht="15.75" spans="6:9">
      <c r="F3140" s="12" t="e">
        <f>'[4]#REF'!F3140</f>
        <v>#REF!</v>
      </c>
      <c r="G3140" s="12" t="e">
        <f>'[4]#REF'!G3140</f>
        <v>#REF!</v>
      </c>
      <c r="H3140" s="31" t="e">
        <f>'[4]#REF'!I3140</f>
        <v>#REF!</v>
      </c>
      <c r="I3140" s="32" t="e">
        <f t="shared" si="79"/>
        <v>#REF!</v>
      </c>
    </row>
    <row r="3141" ht="15.75" spans="6:9">
      <c r="F3141" s="12" t="e">
        <f>'[4]#REF'!F3141</f>
        <v>#REF!</v>
      </c>
      <c r="G3141" s="12" t="e">
        <f>'[4]#REF'!G3141</f>
        <v>#REF!</v>
      </c>
      <c r="H3141" s="31" t="e">
        <f>'[4]#REF'!I3141</f>
        <v>#REF!</v>
      </c>
      <c r="I3141" s="32" t="e">
        <f t="shared" si="79"/>
        <v>#REF!</v>
      </c>
    </row>
    <row r="3142" ht="15.75" spans="6:9">
      <c r="F3142" s="12" t="e">
        <f>'[4]#REF'!F3142</f>
        <v>#REF!</v>
      </c>
      <c r="G3142" s="12" t="e">
        <f>'[4]#REF'!G3142</f>
        <v>#REF!</v>
      </c>
      <c r="H3142" s="31" t="e">
        <f>'[4]#REF'!I3142</f>
        <v>#REF!</v>
      </c>
      <c r="I3142" s="32" t="e">
        <f t="shared" ref="I3142:I3205" si="80">ROUND(H3142/$I$4*100,2)</f>
        <v>#REF!</v>
      </c>
    </row>
    <row r="3143" ht="15.75" spans="6:9">
      <c r="F3143" s="12" t="e">
        <f>'[4]#REF'!F3143</f>
        <v>#REF!</v>
      </c>
      <c r="G3143" s="12" t="e">
        <f>'[4]#REF'!G3143</f>
        <v>#REF!</v>
      </c>
      <c r="H3143" s="31" t="e">
        <f>'[4]#REF'!I3143</f>
        <v>#REF!</v>
      </c>
      <c r="I3143" s="32" t="e">
        <f t="shared" si="80"/>
        <v>#REF!</v>
      </c>
    </row>
    <row r="3144" ht="15.75" spans="6:9">
      <c r="F3144" s="12" t="e">
        <f>'[4]#REF'!F3144</f>
        <v>#REF!</v>
      </c>
      <c r="G3144" s="12" t="e">
        <f>'[4]#REF'!G3144</f>
        <v>#REF!</v>
      </c>
      <c r="H3144" s="31" t="e">
        <f>'[4]#REF'!I3144</f>
        <v>#REF!</v>
      </c>
      <c r="I3144" s="32" t="e">
        <f t="shared" si="80"/>
        <v>#REF!</v>
      </c>
    </row>
    <row r="3145" ht="15.75" spans="6:9">
      <c r="F3145" s="12" t="e">
        <f>'[4]#REF'!F3145</f>
        <v>#REF!</v>
      </c>
      <c r="G3145" s="12" t="e">
        <f>'[4]#REF'!G3145</f>
        <v>#REF!</v>
      </c>
      <c r="H3145" s="31" t="e">
        <f>'[4]#REF'!I3145</f>
        <v>#REF!</v>
      </c>
      <c r="I3145" s="32" t="e">
        <f t="shared" si="80"/>
        <v>#REF!</v>
      </c>
    </row>
    <row r="3146" ht="15.75" spans="6:9">
      <c r="F3146" s="12" t="e">
        <f>'[4]#REF'!F3146</f>
        <v>#REF!</v>
      </c>
      <c r="G3146" s="12" t="e">
        <f>'[4]#REF'!G3146</f>
        <v>#REF!</v>
      </c>
      <c r="H3146" s="31" t="e">
        <f>'[4]#REF'!I3146</f>
        <v>#REF!</v>
      </c>
      <c r="I3146" s="32" t="e">
        <f t="shared" si="80"/>
        <v>#REF!</v>
      </c>
    </row>
    <row r="3147" ht="15.75" spans="6:9">
      <c r="F3147" s="12" t="e">
        <f>'[4]#REF'!F3147</f>
        <v>#REF!</v>
      </c>
      <c r="G3147" s="12" t="e">
        <f>'[4]#REF'!G3147</f>
        <v>#REF!</v>
      </c>
      <c r="H3147" s="31" t="e">
        <f>'[4]#REF'!I3147</f>
        <v>#REF!</v>
      </c>
      <c r="I3147" s="32" t="e">
        <f t="shared" si="80"/>
        <v>#REF!</v>
      </c>
    </row>
    <row r="3148" ht="15.75" spans="6:9">
      <c r="F3148" s="12" t="e">
        <f>'[4]#REF'!F3148</f>
        <v>#REF!</v>
      </c>
      <c r="G3148" s="12" t="e">
        <f>'[4]#REF'!G3148</f>
        <v>#REF!</v>
      </c>
      <c r="H3148" s="31" t="e">
        <f>'[4]#REF'!I3148</f>
        <v>#REF!</v>
      </c>
      <c r="I3148" s="32" t="e">
        <f t="shared" si="80"/>
        <v>#REF!</v>
      </c>
    </row>
    <row r="3149" ht="15.75" spans="6:9">
      <c r="F3149" s="12" t="e">
        <f>'[4]#REF'!F3149</f>
        <v>#REF!</v>
      </c>
      <c r="G3149" s="12" t="e">
        <f>'[4]#REF'!G3149</f>
        <v>#REF!</v>
      </c>
      <c r="H3149" s="31" t="e">
        <f>'[4]#REF'!I3149</f>
        <v>#REF!</v>
      </c>
      <c r="I3149" s="32" t="e">
        <f t="shared" si="80"/>
        <v>#REF!</v>
      </c>
    </row>
    <row r="3150" ht="15.75" spans="6:9">
      <c r="F3150" s="12" t="e">
        <f>'[4]#REF'!F3150</f>
        <v>#REF!</v>
      </c>
      <c r="G3150" s="12" t="e">
        <f>'[4]#REF'!G3150</f>
        <v>#REF!</v>
      </c>
      <c r="H3150" s="31" t="e">
        <f>'[4]#REF'!I3150</f>
        <v>#REF!</v>
      </c>
      <c r="I3150" s="32" t="e">
        <f t="shared" si="80"/>
        <v>#REF!</v>
      </c>
    </row>
    <row r="3151" ht="15.75" spans="6:9">
      <c r="F3151" s="12" t="e">
        <f>'[4]#REF'!F3151</f>
        <v>#REF!</v>
      </c>
      <c r="G3151" s="12" t="e">
        <f>'[4]#REF'!G3151</f>
        <v>#REF!</v>
      </c>
      <c r="H3151" s="31" t="e">
        <f>'[4]#REF'!I3151</f>
        <v>#REF!</v>
      </c>
      <c r="I3151" s="32" t="e">
        <f t="shared" si="80"/>
        <v>#REF!</v>
      </c>
    </row>
    <row r="3152" ht="15.75" spans="6:9">
      <c r="F3152" s="12" t="e">
        <f>'[4]#REF'!F3152</f>
        <v>#REF!</v>
      </c>
      <c r="G3152" s="12" t="e">
        <f>'[4]#REF'!G3152</f>
        <v>#REF!</v>
      </c>
      <c r="H3152" s="31" t="e">
        <f>'[4]#REF'!I3152</f>
        <v>#REF!</v>
      </c>
      <c r="I3152" s="32" t="e">
        <f t="shared" si="80"/>
        <v>#REF!</v>
      </c>
    </row>
    <row r="3153" ht="15.75" spans="6:9">
      <c r="F3153" s="12" t="e">
        <f>'[4]#REF'!F3153</f>
        <v>#REF!</v>
      </c>
      <c r="G3153" s="12" t="e">
        <f>'[4]#REF'!G3153</f>
        <v>#REF!</v>
      </c>
      <c r="H3153" s="31" t="e">
        <f>'[4]#REF'!I3153</f>
        <v>#REF!</v>
      </c>
      <c r="I3153" s="32" t="e">
        <f t="shared" si="80"/>
        <v>#REF!</v>
      </c>
    </row>
    <row r="3154" ht="15.75" spans="6:9">
      <c r="F3154" s="12" t="e">
        <f>'[4]#REF'!F3154</f>
        <v>#REF!</v>
      </c>
      <c r="G3154" s="12" t="e">
        <f>'[4]#REF'!G3154</f>
        <v>#REF!</v>
      </c>
      <c r="H3154" s="31" t="e">
        <f>'[4]#REF'!I3154</f>
        <v>#REF!</v>
      </c>
      <c r="I3154" s="32" t="e">
        <f t="shared" si="80"/>
        <v>#REF!</v>
      </c>
    </row>
    <row r="3155" ht="15.75" spans="6:9">
      <c r="F3155" s="12" t="e">
        <f>'[4]#REF'!F3155</f>
        <v>#REF!</v>
      </c>
      <c r="G3155" s="12" t="e">
        <f>'[4]#REF'!G3155</f>
        <v>#REF!</v>
      </c>
      <c r="H3155" s="31" t="e">
        <f>'[4]#REF'!I3155</f>
        <v>#REF!</v>
      </c>
      <c r="I3155" s="32" t="e">
        <f t="shared" si="80"/>
        <v>#REF!</v>
      </c>
    </row>
    <row r="3156" ht="15.75" spans="6:9">
      <c r="F3156" s="12" t="e">
        <f>'[4]#REF'!F3156</f>
        <v>#REF!</v>
      </c>
      <c r="G3156" s="12" t="e">
        <f>'[4]#REF'!G3156</f>
        <v>#REF!</v>
      </c>
      <c r="H3156" s="31" t="e">
        <f>'[4]#REF'!I3156</f>
        <v>#REF!</v>
      </c>
      <c r="I3156" s="32" t="e">
        <f t="shared" si="80"/>
        <v>#REF!</v>
      </c>
    </row>
    <row r="3157" ht="15.75" spans="6:9">
      <c r="F3157" s="12" t="e">
        <f>'[4]#REF'!F3157</f>
        <v>#REF!</v>
      </c>
      <c r="G3157" s="12" t="e">
        <f>'[4]#REF'!G3157</f>
        <v>#REF!</v>
      </c>
      <c r="H3157" s="31" t="e">
        <f>'[4]#REF'!I3157</f>
        <v>#REF!</v>
      </c>
      <c r="I3157" s="32" t="e">
        <f t="shared" si="80"/>
        <v>#REF!</v>
      </c>
    </row>
    <row r="3158" ht="15.75" spans="6:9">
      <c r="F3158" s="12" t="e">
        <f>'[4]#REF'!F3158</f>
        <v>#REF!</v>
      </c>
      <c r="G3158" s="12" t="e">
        <f>'[4]#REF'!G3158</f>
        <v>#REF!</v>
      </c>
      <c r="H3158" s="31" t="e">
        <f>'[4]#REF'!I3158</f>
        <v>#REF!</v>
      </c>
      <c r="I3158" s="32" t="e">
        <f t="shared" si="80"/>
        <v>#REF!</v>
      </c>
    </row>
    <row r="3159" ht="15.75" spans="6:9">
      <c r="F3159" s="12" t="e">
        <f>'[4]#REF'!F3159</f>
        <v>#REF!</v>
      </c>
      <c r="G3159" s="12" t="e">
        <f>'[4]#REF'!G3159</f>
        <v>#REF!</v>
      </c>
      <c r="H3159" s="31" t="e">
        <f>'[4]#REF'!I3159</f>
        <v>#REF!</v>
      </c>
      <c r="I3159" s="32" t="e">
        <f t="shared" si="80"/>
        <v>#REF!</v>
      </c>
    </row>
    <row r="3160" ht="15.75" spans="6:9">
      <c r="F3160" s="12" t="e">
        <f>'[4]#REF'!F3160</f>
        <v>#REF!</v>
      </c>
      <c r="G3160" s="12" t="e">
        <f>'[4]#REF'!G3160</f>
        <v>#REF!</v>
      </c>
      <c r="H3160" s="31" t="e">
        <f>'[4]#REF'!I3160</f>
        <v>#REF!</v>
      </c>
      <c r="I3160" s="32" t="e">
        <f t="shared" si="80"/>
        <v>#REF!</v>
      </c>
    </row>
    <row r="3161" ht="15.75" spans="6:9">
      <c r="F3161" s="12" t="e">
        <f>'[4]#REF'!F3161</f>
        <v>#REF!</v>
      </c>
      <c r="G3161" s="12" t="e">
        <f>'[4]#REF'!G3161</f>
        <v>#REF!</v>
      </c>
      <c r="H3161" s="31" t="e">
        <f>'[4]#REF'!I3161</f>
        <v>#REF!</v>
      </c>
      <c r="I3161" s="32" t="e">
        <f t="shared" si="80"/>
        <v>#REF!</v>
      </c>
    </row>
    <row r="3162" ht="15.75" spans="6:9">
      <c r="F3162" s="12" t="e">
        <f>'[4]#REF'!F3162</f>
        <v>#REF!</v>
      </c>
      <c r="G3162" s="12" t="e">
        <f>'[4]#REF'!G3162</f>
        <v>#REF!</v>
      </c>
      <c r="H3162" s="31" t="e">
        <f>'[4]#REF'!I3162</f>
        <v>#REF!</v>
      </c>
      <c r="I3162" s="32" t="e">
        <f t="shared" si="80"/>
        <v>#REF!</v>
      </c>
    </row>
    <row r="3163" ht="15.75" spans="6:9">
      <c r="F3163" s="12" t="e">
        <f>'[4]#REF'!F3163</f>
        <v>#REF!</v>
      </c>
      <c r="G3163" s="12" t="e">
        <f>'[4]#REF'!G3163</f>
        <v>#REF!</v>
      </c>
      <c r="H3163" s="31" t="e">
        <f>'[4]#REF'!I3163</f>
        <v>#REF!</v>
      </c>
      <c r="I3163" s="32" t="e">
        <f t="shared" si="80"/>
        <v>#REF!</v>
      </c>
    </row>
    <row r="3164" ht="15.75" spans="6:9">
      <c r="F3164" s="12" t="e">
        <f>'[4]#REF'!F3164</f>
        <v>#REF!</v>
      </c>
      <c r="G3164" s="12" t="e">
        <f>'[4]#REF'!G3164</f>
        <v>#REF!</v>
      </c>
      <c r="H3164" s="31" t="e">
        <f>'[4]#REF'!I3164</f>
        <v>#REF!</v>
      </c>
      <c r="I3164" s="32" t="e">
        <f t="shared" si="80"/>
        <v>#REF!</v>
      </c>
    </row>
    <row r="3165" ht="15.75" spans="6:9">
      <c r="F3165" s="12" t="e">
        <f>'[4]#REF'!F3165</f>
        <v>#REF!</v>
      </c>
      <c r="G3165" s="12" t="e">
        <f>'[4]#REF'!G3165</f>
        <v>#REF!</v>
      </c>
      <c r="H3165" s="31" t="e">
        <f>'[4]#REF'!I3165</f>
        <v>#REF!</v>
      </c>
      <c r="I3165" s="32" t="e">
        <f t="shared" si="80"/>
        <v>#REF!</v>
      </c>
    </row>
    <row r="3166" ht="15.75" spans="6:9">
      <c r="F3166" s="12" t="e">
        <f>'[4]#REF'!F3166</f>
        <v>#REF!</v>
      </c>
      <c r="G3166" s="12" t="e">
        <f>'[4]#REF'!G3166</f>
        <v>#REF!</v>
      </c>
      <c r="H3166" s="31" t="e">
        <f>'[4]#REF'!I3166</f>
        <v>#REF!</v>
      </c>
      <c r="I3166" s="32" t="e">
        <f t="shared" si="80"/>
        <v>#REF!</v>
      </c>
    </row>
    <row r="3167" ht="15.75" spans="6:9">
      <c r="F3167" s="12" t="e">
        <f>'[4]#REF'!F3167</f>
        <v>#REF!</v>
      </c>
      <c r="G3167" s="12" t="e">
        <f>'[4]#REF'!G3167</f>
        <v>#REF!</v>
      </c>
      <c r="H3167" s="31" t="e">
        <f>'[4]#REF'!I3167</f>
        <v>#REF!</v>
      </c>
      <c r="I3167" s="32" t="e">
        <f t="shared" si="80"/>
        <v>#REF!</v>
      </c>
    </row>
    <row r="3168" ht="15.75" spans="6:9">
      <c r="F3168" s="12" t="e">
        <f>'[4]#REF'!F3168</f>
        <v>#REF!</v>
      </c>
      <c r="G3168" s="12" t="e">
        <f>'[4]#REF'!G3168</f>
        <v>#REF!</v>
      </c>
      <c r="H3168" s="31" t="e">
        <f>'[4]#REF'!I3168</f>
        <v>#REF!</v>
      </c>
      <c r="I3168" s="32" t="e">
        <f t="shared" si="80"/>
        <v>#REF!</v>
      </c>
    </row>
    <row r="3169" ht="15.75" spans="6:9">
      <c r="F3169" s="12" t="e">
        <f>'[4]#REF'!F3169</f>
        <v>#REF!</v>
      </c>
      <c r="G3169" s="12" t="e">
        <f>'[4]#REF'!G3169</f>
        <v>#REF!</v>
      </c>
      <c r="H3169" s="31" t="e">
        <f>'[4]#REF'!I3169</f>
        <v>#REF!</v>
      </c>
      <c r="I3169" s="32" t="e">
        <f t="shared" si="80"/>
        <v>#REF!</v>
      </c>
    </row>
    <row r="3170" ht="15.75" spans="6:9">
      <c r="F3170" s="12" t="e">
        <f>'[4]#REF'!F3170</f>
        <v>#REF!</v>
      </c>
      <c r="G3170" s="12" t="e">
        <f>'[4]#REF'!G3170</f>
        <v>#REF!</v>
      </c>
      <c r="H3170" s="31" t="e">
        <f>'[4]#REF'!I3170</f>
        <v>#REF!</v>
      </c>
      <c r="I3170" s="32" t="e">
        <f t="shared" si="80"/>
        <v>#REF!</v>
      </c>
    </row>
    <row r="3171" ht="15.75" spans="6:9">
      <c r="F3171" s="12" t="e">
        <f>'[4]#REF'!F3171</f>
        <v>#REF!</v>
      </c>
      <c r="G3171" s="12" t="e">
        <f>'[4]#REF'!G3171</f>
        <v>#REF!</v>
      </c>
      <c r="H3171" s="31" t="e">
        <f>'[4]#REF'!I3171</f>
        <v>#REF!</v>
      </c>
      <c r="I3171" s="32" t="e">
        <f t="shared" si="80"/>
        <v>#REF!</v>
      </c>
    </row>
    <row r="3172" ht="15.75" spans="6:9">
      <c r="F3172" s="12" t="e">
        <f>'[4]#REF'!F3172</f>
        <v>#REF!</v>
      </c>
      <c r="G3172" s="12" t="e">
        <f>'[4]#REF'!G3172</f>
        <v>#REF!</v>
      </c>
      <c r="H3172" s="31" t="e">
        <f>'[4]#REF'!I3172</f>
        <v>#REF!</v>
      </c>
      <c r="I3172" s="32" t="e">
        <f t="shared" si="80"/>
        <v>#REF!</v>
      </c>
    </row>
    <row r="3173" ht="15.75" spans="6:9">
      <c r="F3173" s="12" t="e">
        <f>'[4]#REF'!F3173</f>
        <v>#REF!</v>
      </c>
      <c r="G3173" s="12" t="e">
        <f>'[4]#REF'!G3173</f>
        <v>#REF!</v>
      </c>
      <c r="H3173" s="31" t="e">
        <f>'[4]#REF'!I3173</f>
        <v>#REF!</v>
      </c>
      <c r="I3173" s="32" t="e">
        <f t="shared" si="80"/>
        <v>#REF!</v>
      </c>
    </row>
    <row r="3174" ht="15.75" spans="6:9">
      <c r="F3174" s="12" t="e">
        <f>'[4]#REF'!F3174</f>
        <v>#REF!</v>
      </c>
      <c r="G3174" s="12" t="e">
        <f>'[4]#REF'!G3174</f>
        <v>#REF!</v>
      </c>
      <c r="H3174" s="31" t="e">
        <f>'[4]#REF'!I3174</f>
        <v>#REF!</v>
      </c>
      <c r="I3174" s="32" t="e">
        <f t="shared" si="80"/>
        <v>#REF!</v>
      </c>
    </row>
    <row r="3175" ht="15.75" spans="6:9">
      <c r="F3175" s="12" t="e">
        <f>'[4]#REF'!F3175</f>
        <v>#REF!</v>
      </c>
      <c r="G3175" s="12" t="e">
        <f>'[4]#REF'!G3175</f>
        <v>#REF!</v>
      </c>
      <c r="H3175" s="31" t="e">
        <f>'[4]#REF'!I3175</f>
        <v>#REF!</v>
      </c>
      <c r="I3175" s="32" t="e">
        <f t="shared" si="80"/>
        <v>#REF!</v>
      </c>
    </row>
    <row r="3176" ht="15.75" spans="6:9">
      <c r="F3176" s="12" t="e">
        <f>'[4]#REF'!F3176</f>
        <v>#REF!</v>
      </c>
      <c r="G3176" s="12" t="e">
        <f>'[4]#REF'!G3176</f>
        <v>#REF!</v>
      </c>
      <c r="H3176" s="31" t="e">
        <f>'[4]#REF'!I3176</f>
        <v>#REF!</v>
      </c>
      <c r="I3176" s="32" t="e">
        <f t="shared" si="80"/>
        <v>#REF!</v>
      </c>
    </row>
    <row r="3177" ht="15.75" spans="6:9">
      <c r="F3177" s="12" t="e">
        <f>'[4]#REF'!F3177</f>
        <v>#REF!</v>
      </c>
      <c r="G3177" s="12" t="e">
        <f>'[4]#REF'!G3177</f>
        <v>#REF!</v>
      </c>
      <c r="H3177" s="31" t="e">
        <f>'[4]#REF'!I3177</f>
        <v>#REF!</v>
      </c>
      <c r="I3177" s="32" t="e">
        <f t="shared" si="80"/>
        <v>#REF!</v>
      </c>
    </row>
    <row r="3178" ht="15.75" spans="6:9">
      <c r="F3178" s="12" t="e">
        <f>'[4]#REF'!F3178</f>
        <v>#REF!</v>
      </c>
      <c r="G3178" s="12" t="e">
        <f>'[4]#REF'!G3178</f>
        <v>#REF!</v>
      </c>
      <c r="H3178" s="31" t="e">
        <f>'[4]#REF'!I3178</f>
        <v>#REF!</v>
      </c>
      <c r="I3178" s="32" t="e">
        <f t="shared" si="80"/>
        <v>#REF!</v>
      </c>
    </row>
    <row r="3179" ht="15.75" spans="6:9">
      <c r="F3179" s="12" t="e">
        <f>'[4]#REF'!F3179</f>
        <v>#REF!</v>
      </c>
      <c r="G3179" s="12" t="e">
        <f>'[4]#REF'!G3179</f>
        <v>#REF!</v>
      </c>
      <c r="H3179" s="31" t="e">
        <f>'[4]#REF'!I3179</f>
        <v>#REF!</v>
      </c>
      <c r="I3179" s="32" t="e">
        <f t="shared" si="80"/>
        <v>#REF!</v>
      </c>
    </row>
    <row r="3180" ht="15.75" spans="6:9">
      <c r="F3180" s="12" t="e">
        <f>'[4]#REF'!F3180</f>
        <v>#REF!</v>
      </c>
      <c r="G3180" s="12" t="e">
        <f>'[4]#REF'!G3180</f>
        <v>#REF!</v>
      </c>
      <c r="H3180" s="31" t="e">
        <f>'[4]#REF'!I3180</f>
        <v>#REF!</v>
      </c>
      <c r="I3180" s="32" t="e">
        <f t="shared" si="80"/>
        <v>#REF!</v>
      </c>
    </row>
    <row r="3181" ht="15.75" spans="6:9">
      <c r="F3181" s="12" t="e">
        <f>'[4]#REF'!F3181</f>
        <v>#REF!</v>
      </c>
      <c r="G3181" s="12" t="e">
        <f>'[4]#REF'!G3181</f>
        <v>#REF!</v>
      </c>
      <c r="H3181" s="31" t="e">
        <f>'[4]#REF'!I3181</f>
        <v>#REF!</v>
      </c>
      <c r="I3181" s="32" t="e">
        <f t="shared" si="80"/>
        <v>#REF!</v>
      </c>
    </row>
    <row r="3182" ht="15.75" spans="6:9">
      <c r="F3182" s="12" t="e">
        <f>'[4]#REF'!F3182</f>
        <v>#REF!</v>
      </c>
      <c r="G3182" s="12" t="e">
        <f>'[4]#REF'!G3182</f>
        <v>#REF!</v>
      </c>
      <c r="H3182" s="31" t="e">
        <f>'[4]#REF'!I3182</f>
        <v>#REF!</v>
      </c>
      <c r="I3182" s="32" t="e">
        <f t="shared" si="80"/>
        <v>#REF!</v>
      </c>
    </row>
    <row r="3183" ht="15.75" spans="6:9">
      <c r="F3183" s="12" t="e">
        <f>'[4]#REF'!F3183</f>
        <v>#REF!</v>
      </c>
      <c r="G3183" s="12" t="e">
        <f>'[4]#REF'!G3183</f>
        <v>#REF!</v>
      </c>
      <c r="H3183" s="31" t="e">
        <f>'[4]#REF'!I3183</f>
        <v>#REF!</v>
      </c>
      <c r="I3183" s="32" t="e">
        <f t="shared" si="80"/>
        <v>#REF!</v>
      </c>
    </row>
    <row r="3184" ht="15.75" spans="6:9">
      <c r="F3184" s="12" t="e">
        <f>'[4]#REF'!F3184</f>
        <v>#REF!</v>
      </c>
      <c r="G3184" s="12" t="e">
        <f>'[4]#REF'!G3184</f>
        <v>#REF!</v>
      </c>
      <c r="H3184" s="31" t="e">
        <f>'[4]#REF'!I3184</f>
        <v>#REF!</v>
      </c>
      <c r="I3184" s="32" t="e">
        <f t="shared" si="80"/>
        <v>#REF!</v>
      </c>
    </row>
    <row r="3185" ht="15.75" spans="6:9">
      <c r="F3185" s="12" t="e">
        <f>'[4]#REF'!F3185</f>
        <v>#REF!</v>
      </c>
      <c r="G3185" s="12" t="e">
        <f>'[4]#REF'!G3185</f>
        <v>#REF!</v>
      </c>
      <c r="H3185" s="31" t="e">
        <f>'[4]#REF'!I3185</f>
        <v>#REF!</v>
      </c>
      <c r="I3185" s="32" t="e">
        <f t="shared" si="80"/>
        <v>#REF!</v>
      </c>
    </row>
    <row r="3186" ht="15.75" spans="6:9">
      <c r="F3186" s="12" t="e">
        <f>'[4]#REF'!F3186</f>
        <v>#REF!</v>
      </c>
      <c r="G3186" s="12" t="e">
        <f>'[4]#REF'!G3186</f>
        <v>#REF!</v>
      </c>
      <c r="H3186" s="31" t="e">
        <f>'[4]#REF'!I3186</f>
        <v>#REF!</v>
      </c>
      <c r="I3186" s="32" t="e">
        <f t="shared" si="80"/>
        <v>#REF!</v>
      </c>
    </row>
    <row r="3187" ht="15.75" spans="6:9">
      <c r="F3187" s="12" t="e">
        <f>'[4]#REF'!F3187</f>
        <v>#REF!</v>
      </c>
      <c r="G3187" s="12" t="e">
        <f>'[4]#REF'!G3187</f>
        <v>#REF!</v>
      </c>
      <c r="H3187" s="31" t="e">
        <f>'[4]#REF'!I3187</f>
        <v>#REF!</v>
      </c>
      <c r="I3187" s="32" t="e">
        <f t="shared" si="80"/>
        <v>#REF!</v>
      </c>
    </row>
    <row r="3188" ht="15.75" spans="6:9">
      <c r="F3188" s="12" t="e">
        <f>'[4]#REF'!F3188</f>
        <v>#REF!</v>
      </c>
      <c r="G3188" s="12" t="e">
        <f>'[4]#REF'!G3188</f>
        <v>#REF!</v>
      </c>
      <c r="H3188" s="31" t="e">
        <f>'[4]#REF'!I3188</f>
        <v>#REF!</v>
      </c>
      <c r="I3188" s="32" t="e">
        <f t="shared" si="80"/>
        <v>#REF!</v>
      </c>
    </row>
    <row r="3189" ht="15.75" spans="6:9">
      <c r="F3189" s="12" t="e">
        <f>'[4]#REF'!F3189</f>
        <v>#REF!</v>
      </c>
      <c r="G3189" s="12" t="e">
        <f>'[4]#REF'!G3189</f>
        <v>#REF!</v>
      </c>
      <c r="H3189" s="31" t="e">
        <f>'[4]#REF'!I3189</f>
        <v>#REF!</v>
      </c>
      <c r="I3189" s="32" t="e">
        <f t="shared" si="80"/>
        <v>#REF!</v>
      </c>
    </row>
    <row r="3190" ht="15.75" spans="6:9">
      <c r="F3190" s="12" t="e">
        <f>'[4]#REF'!F3190</f>
        <v>#REF!</v>
      </c>
      <c r="G3190" s="12" t="e">
        <f>'[4]#REF'!G3190</f>
        <v>#REF!</v>
      </c>
      <c r="H3190" s="31" t="e">
        <f>'[4]#REF'!I3190</f>
        <v>#REF!</v>
      </c>
      <c r="I3190" s="32" t="e">
        <f t="shared" si="80"/>
        <v>#REF!</v>
      </c>
    </row>
    <row r="3191" ht="15.75" spans="6:9">
      <c r="F3191" s="12" t="e">
        <f>'[4]#REF'!F3191</f>
        <v>#REF!</v>
      </c>
      <c r="G3191" s="12" t="e">
        <f>'[4]#REF'!G3191</f>
        <v>#REF!</v>
      </c>
      <c r="H3191" s="31" t="e">
        <f>'[4]#REF'!I3191</f>
        <v>#REF!</v>
      </c>
      <c r="I3191" s="32" t="e">
        <f t="shared" si="80"/>
        <v>#REF!</v>
      </c>
    </row>
    <row r="3192" ht="15.75" spans="6:9">
      <c r="F3192" s="12" t="e">
        <f>'[4]#REF'!F3192</f>
        <v>#REF!</v>
      </c>
      <c r="G3192" s="12" t="e">
        <f>'[4]#REF'!G3192</f>
        <v>#REF!</v>
      </c>
      <c r="H3192" s="31" t="e">
        <f>'[4]#REF'!I3192</f>
        <v>#REF!</v>
      </c>
      <c r="I3192" s="32" t="e">
        <f t="shared" si="80"/>
        <v>#REF!</v>
      </c>
    </row>
    <row r="3193" ht="15.75" spans="6:9">
      <c r="F3193" s="12" t="e">
        <f>'[4]#REF'!F3193</f>
        <v>#REF!</v>
      </c>
      <c r="G3193" s="12" t="e">
        <f>'[4]#REF'!G3193</f>
        <v>#REF!</v>
      </c>
      <c r="H3193" s="31" t="e">
        <f>'[4]#REF'!I3193</f>
        <v>#REF!</v>
      </c>
      <c r="I3193" s="32" t="e">
        <f t="shared" si="80"/>
        <v>#REF!</v>
      </c>
    </row>
    <row r="3194" ht="15.75" spans="6:9">
      <c r="F3194" s="12" t="e">
        <f>'[4]#REF'!F3194</f>
        <v>#REF!</v>
      </c>
      <c r="G3194" s="12" t="e">
        <f>'[4]#REF'!G3194</f>
        <v>#REF!</v>
      </c>
      <c r="H3194" s="31" t="e">
        <f>'[4]#REF'!I3194</f>
        <v>#REF!</v>
      </c>
      <c r="I3194" s="32" t="e">
        <f t="shared" si="80"/>
        <v>#REF!</v>
      </c>
    </row>
    <row r="3195" ht="15.75" spans="6:9">
      <c r="F3195" s="12" t="e">
        <f>'[4]#REF'!F3195</f>
        <v>#REF!</v>
      </c>
      <c r="G3195" s="12" t="e">
        <f>'[4]#REF'!G3195</f>
        <v>#REF!</v>
      </c>
      <c r="H3195" s="31" t="e">
        <f>'[4]#REF'!I3195</f>
        <v>#REF!</v>
      </c>
      <c r="I3195" s="32" t="e">
        <f t="shared" si="80"/>
        <v>#REF!</v>
      </c>
    </row>
    <row r="3196" ht="15.75" spans="6:9">
      <c r="F3196" s="12" t="e">
        <f>'[4]#REF'!F3196</f>
        <v>#REF!</v>
      </c>
      <c r="G3196" s="12" t="e">
        <f>'[4]#REF'!G3196</f>
        <v>#REF!</v>
      </c>
      <c r="H3196" s="31" t="e">
        <f>'[4]#REF'!I3196</f>
        <v>#REF!</v>
      </c>
      <c r="I3196" s="32" t="e">
        <f t="shared" si="80"/>
        <v>#REF!</v>
      </c>
    </row>
    <row r="3197" ht="15.75" spans="6:9">
      <c r="F3197" s="12" t="e">
        <f>'[4]#REF'!F3197</f>
        <v>#REF!</v>
      </c>
      <c r="G3197" s="12" t="e">
        <f>'[4]#REF'!G3197</f>
        <v>#REF!</v>
      </c>
      <c r="H3197" s="31" t="e">
        <f>'[4]#REF'!I3197</f>
        <v>#REF!</v>
      </c>
      <c r="I3197" s="32" t="e">
        <f t="shared" si="80"/>
        <v>#REF!</v>
      </c>
    </row>
    <row r="3198" ht="15.75" spans="6:9">
      <c r="F3198" s="12" t="e">
        <f>'[4]#REF'!F3198</f>
        <v>#REF!</v>
      </c>
      <c r="G3198" s="12" t="e">
        <f>'[4]#REF'!G3198</f>
        <v>#REF!</v>
      </c>
      <c r="H3198" s="31" t="e">
        <f>'[4]#REF'!I3198</f>
        <v>#REF!</v>
      </c>
      <c r="I3198" s="32" t="e">
        <f t="shared" si="80"/>
        <v>#REF!</v>
      </c>
    </row>
    <row r="3199" ht="15.75" spans="6:9">
      <c r="F3199" s="12" t="e">
        <f>'[4]#REF'!F3199</f>
        <v>#REF!</v>
      </c>
      <c r="G3199" s="12" t="e">
        <f>'[4]#REF'!G3199</f>
        <v>#REF!</v>
      </c>
      <c r="H3199" s="31" t="e">
        <f>'[4]#REF'!I3199</f>
        <v>#REF!</v>
      </c>
      <c r="I3199" s="32" t="e">
        <f t="shared" si="80"/>
        <v>#REF!</v>
      </c>
    </row>
    <row r="3200" ht="15.75" spans="6:9">
      <c r="F3200" s="12" t="e">
        <f>'[4]#REF'!F3200</f>
        <v>#REF!</v>
      </c>
      <c r="G3200" s="12" t="e">
        <f>'[4]#REF'!G3200</f>
        <v>#REF!</v>
      </c>
      <c r="H3200" s="31" t="e">
        <f>'[4]#REF'!I3200</f>
        <v>#REF!</v>
      </c>
      <c r="I3200" s="32" t="e">
        <f t="shared" si="80"/>
        <v>#REF!</v>
      </c>
    </row>
    <row r="3201" ht="15.75" spans="6:9">
      <c r="F3201" s="12" t="e">
        <f>'[4]#REF'!F3201</f>
        <v>#REF!</v>
      </c>
      <c r="G3201" s="12" t="e">
        <f>'[4]#REF'!G3201</f>
        <v>#REF!</v>
      </c>
      <c r="H3201" s="31" t="e">
        <f>'[4]#REF'!I3201</f>
        <v>#REF!</v>
      </c>
      <c r="I3201" s="32" t="e">
        <f t="shared" si="80"/>
        <v>#REF!</v>
      </c>
    </row>
    <row r="3202" ht="15.75" spans="6:9">
      <c r="F3202" s="12" t="e">
        <f>'[4]#REF'!F3202</f>
        <v>#REF!</v>
      </c>
      <c r="G3202" s="12" t="e">
        <f>'[4]#REF'!G3202</f>
        <v>#REF!</v>
      </c>
      <c r="H3202" s="31" t="e">
        <f>'[4]#REF'!I3202</f>
        <v>#REF!</v>
      </c>
      <c r="I3202" s="32" t="e">
        <f t="shared" si="80"/>
        <v>#REF!</v>
      </c>
    </row>
    <row r="3203" ht="15.75" spans="6:9">
      <c r="F3203" s="12" t="e">
        <f>'[4]#REF'!F3203</f>
        <v>#REF!</v>
      </c>
      <c r="G3203" s="12" t="e">
        <f>'[4]#REF'!G3203</f>
        <v>#REF!</v>
      </c>
      <c r="H3203" s="31" t="e">
        <f>'[4]#REF'!I3203</f>
        <v>#REF!</v>
      </c>
      <c r="I3203" s="32" t="e">
        <f t="shared" si="80"/>
        <v>#REF!</v>
      </c>
    </row>
    <row r="3204" ht="15.75" spans="6:9">
      <c r="F3204" s="12" t="e">
        <f>'[4]#REF'!F3204</f>
        <v>#REF!</v>
      </c>
      <c r="G3204" s="12" t="e">
        <f>'[4]#REF'!G3204</f>
        <v>#REF!</v>
      </c>
      <c r="H3204" s="31" t="e">
        <f>'[4]#REF'!I3204</f>
        <v>#REF!</v>
      </c>
      <c r="I3204" s="32" t="e">
        <f t="shared" si="80"/>
        <v>#REF!</v>
      </c>
    </row>
    <row r="3205" ht="15.75" spans="6:9">
      <c r="F3205" s="12" t="e">
        <f>'[4]#REF'!F3205</f>
        <v>#REF!</v>
      </c>
      <c r="G3205" s="12" t="e">
        <f>'[4]#REF'!G3205</f>
        <v>#REF!</v>
      </c>
      <c r="H3205" s="31" t="e">
        <f>'[4]#REF'!I3205</f>
        <v>#REF!</v>
      </c>
      <c r="I3205" s="32" t="e">
        <f t="shared" si="80"/>
        <v>#REF!</v>
      </c>
    </row>
    <row r="3206" ht="15.75" spans="6:9">
      <c r="F3206" s="12" t="e">
        <f>'[4]#REF'!F3206</f>
        <v>#REF!</v>
      </c>
      <c r="G3206" s="12" t="e">
        <f>'[4]#REF'!G3206</f>
        <v>#REF!</v>
      </c>
      <c r="H3206" s="31" t="e">
        <f>'[4]#REF'!I3206</f>
        <v>#REF!</v>
      </c>
      <c r="I3206" s="32" t="e">
        <f t="shared" ref="I3206:I3269" si="81">ROUND(H3206/$I$4*100,2)</f>
        <v>#REF!</v>
      </c>
    </row>
    <row r="3207" ht="15.75" spans="6:9">
      <c r="F3207" s="12" t="e">
        <f>'[4]#REF'!F3207</f>
        <v>#REF!</v>
      </c>
      <c r="G3207" s="12" t="e">
        <f>'[4]#REF'!G3207</f>
        <v>#REF!</v>
      </c>
      <c r="H3207" s="31" t="e">
        <f>'[4]#REF'!I3207</f>
        <v>#REF!</v>
      </c>
      <c r="I3207" s="32" t="e">
        <f t="shared" si="81"/>
        <v>#REF!</v>
      </c>
    </row>
    <row r="3208" ht="15.75" spans="6:9">
      <c r="F3208" s="12" t="e">
        <f>'[4]#REF'!F3208</f>
        <v>#REF!</v>
      </c>
      <c r="G3208" s="12" t="e">
        <f>'[4]#REF'!G3208</f>
        <v>#REF!</v>
      </c>
      <c r="H3208" s="31" t="e">
        <f>'[4]#REF'!I3208</f>
        <v>#REF!</v>
      </c>
      <c r="I3208" s="32" t="e">
        <f t="shared" si="81"/>
        <v>#REF!</v>
      </c>
    </row>
    <row r="3209" ht="15.75" spans="6:9">
      <c r="F3209" s="12" t="e">
        <f>'[4]#REF'!F3209</f>
        <v>#REF!</v>
      </c>
      <c r="G3209" s="12" t="e">
        <f>'[4]#REF'!G3209</f>
        <v>#REF!</v>
      </c>
      <c r="H3209" s="31" t="e">
        <f>'[4]#REF'!I3209</f>
        <v>#REF!</v>
      </c>
      <c r="I3209" s="32" t="e">
        <f t="shared" si="81"/>
        <v>#REF!</v>
      </c>
    </row>
    <row r="3210" ht="15.75" spans="6:9">
      <c r="F3210" s="12" t="e">
        <f>'[4]#REF'!F3210</f>
        <v>#REF!</v>
      </c>
      <c r="G3210" s="12" t="e">
        <f>'[4]#REF'!G3210</f>
        <v>#REF!</v>
      </c>
      <c r="H3210" s="31" t="e">
        <f>'[4]#REF'!I3210</f>
        <v>#REF!</v>
      </c>
      <c r="I3210" s="32" t="e">
        <f t="shared" si="81"/>
        <v>#REF!</v>
      </c>
    </row>
    <row r="3211" ht="15.75" spans="6:9">
      <c r="F3211" s="12" t="e">
        <f>'[4]#REF'!F3211</f>
        <v>#REF!</v>
      </c>
      <c r="G3211" s="12" t="e">
        <f>'[4]#REF'!G3211</f>
        <v>#REF!</v>
      </c>
      <c r="H3211" s="31" t="e">
        <f>'[4]#REF'!I3211</f>
        <v>#REF!</v>
      </c>
      <c r="I3211" s="32" t="e">
        <f t="shared" si="81"/>
        <v>#REF!</v>
      </c>
    </row>
    <row r="3212" ht="15.75" spans="6:9">
      <c r="F3212" s="12" t="e">
        <f>'[4]#REF'!F3212</f>
        <v>#REF!</v>
      </c>
      <c r="G3212" s="12" t="e">
        <f>'[4]#REF'!G3212</f>
        <v>#REF!</v>
      </c>
      <c r="H3212" s="31" t="e">
        <f>'[4]#REF'!I3212</f>
        <v>#REF!</v>
      </c>
      <c r="I3212" s="32" t="e">
        <f t="shared" si="81"/>
        <v>#REF!</v>
      </c>
    </row>
    <row r="3213" ht="15.75" spans="6:9">
      <c r="F3213" s="12" t="e">
        <f>'[4]#REF'!F3213</f>
        <v>#REF!</v>
      </c>
      <c r="G3213" s="12" t="e">
        <f>'[4]#REF'!G3213</f>
        <v>#REF!</v>
      </c>
      <c r="H3213" s="31" t="e">
        <f>'[4]#REF'!I3213</f>
        <v>#REF!</v>
      </c>
      <c r="I3213" s="32" t="e">
        <f t="shared" si="81"/>
        <v>#REF!</v>
      </c>
    </row>
    <row r="3214" ht="15.75" spans="6:9">
      <c r="F3214" s="12" t="e">
        <f>'[4]#REF'!F3214</f>
        <v>#REF!</v>
      </c>
      <c r="G3214" s="12" t="e">
        <f>'[4]#REF'!G3214</f>
        <v>#REF!</v>
      </c>
      <c r="H3214" s="31" t="e">
        <f>'[4]#REF'!I3214</f>
        <v>#REF!</v>
      </c>
      <c r="I3214" s="32" t="e">
        <f t="shared" si="81"/>
        <v>#REF!</v>
      </c>
    </row>
    <row r="3215" ht="15.75" spans="6:9">
      <c r="F3215" s="12" t="e">
        <f>'[4]#REF'!F3215</f>
        <v>#REF!</v>
      </c>
      <c r="G3215" s="12" t="e">
        <f>'[4]#REF'!G3215</f>
        <v>#REF!</v>
      </c>
      <c r="H3215" s="31" t="e">
        <f>'[4]#REF'!I3215</f>
        <v>#REF!</v>
      </c>
      <c r="I3215" s="32" t="e">
        <f t="shared" si="81"/>
        <v>#REF!</v>
      </c>
    </row>
    <row r="3216" ht="15.75" spans="6:9">
      <c r="F3216" s="12" t="e">
        <f>'[4]#REF'!F3216</f>
        <v>#REF!</v>
      </c>
      <c r="G3216" s="12" t="e">
        <f>'[4]#REF'!G3216</f>
        <v>#REF!</v>
      </c>
      <c r="H3216" s="31" t="e">
        <f>'[4]#REF'!I3216</f>
        <v>#REF!</v>
      </c>
      <c r="I3216" s="32" t="e">
        <f t="shared" si="81"/>
        <v>#REF!</v>
      </c>
    </row>
    <row r="3217" ht="15.75" spans="6:9">
      <c r="F3217" s="12" t="e">
        <f>'[4]#REF'!F3217</f>
        <v>#REF!</v>
      </c>
      <c r="G3217" s="12" t="e">
        <f>'[4]#REF'!G3217</f>
        <v>#REF!</v>
      </c>
      <c r="H3217" s="31" t="e">
        <f>'[4]#REF'!I3217</f>
        <v>#REF!</v>
      </c>
      <c r="I3217" s="32" t="e">
        <f t="shared" si="81"/>
        <v>#REF!</v>
      </c>
    </row>
    <row r="3218" ht="15.75" spans="6:9">
      <c r="F3218" s="12" t="e">
        <f>'[4]#REF'!F3218</f>
        <v>#REF!</v>
      </c>
      <c r="G3218" s="12" t="e">
        <f>'[4]#REF'!G3218</f>
        <v>#REF!</v>
      </c>
      <c r="H3218" s="31" t="e">
        <f>'[4]#REF'!I3218</f>
        <v>#REF!</v>
      </c>
      <c r="I3218" s="32" t="e">
        <f t="shared" si="81"/>
        <v>#REF!</v>
      </c>
    </row>
    <row r="3219" ht="15.75" spans="6:9">
      <c r="F3219" s="12" t="e">
        <f>'[4]#REF'!F3219</f>
        <v>#REF!</v>
      </c>
      <c r="G3219" s="12" t="e">
        <f>'[4]#REF'!G3219</f>
        <v>#REF!</v>
      </c>
      <c r="H3219" s="31" t="e">
        <f>'[4]#REF'!I3219</f>
        <v>#REF!</v>
      </c>
      <c r="I3219" s="32" t="e">
        <f t="shared" si="81"/>
        <v>#REF!</v>
      </c>
    </row>
    <row r="3220" ht="15.75" spans="6:9">
      <c r="F3220" s="12" t="e">
        <f>'[4]#REF'!F3220</f>
        <v>#REF!</v>
      </c>
      <c r="G3220" s="12" t="e">
        <f>'[4]#REF'!G3220</f>
        <v>#REF!</v>
      </c>
      <c r="H3220" s="31" t="e">
        <f>'[4]#REF'!I3220</f>
        <v>#REF!</v>
      </c>
      <c r="I3220" s="32" t="e">
        <f t="shared" si="81"/>
        <v>#REF!</v>
      </c>
    </row>
    <row r="3221" ht="15.75" spans="6:9">
      <c r="F3221" s="12" t="e">
        <f>'[4]#REF'!F3221</f>
        <v>#REF!</v>
      </c>
      <c r="G3221" s="12" t="e">
        <f>'[4]#REF'!G3221</f>
        <v>#REF!</v>
      </c>
      <c r="H3221" s="31" t="e">
        <f>'[4]#REF'!I3221</f>
        <v>#REF!</v>
      </c>
      <c r="I3221" s="32" t="e">
        <f t="shared" si="81"/>
        <v>#REF!</v>
      </c>
    </row>
    <row r="3222" ht="15.75" spans="6:9">
      <c r="F3222" s="12" t="e">
        <f>'[4]#REF'!F3222</f>
        <v>#REF!</v>
      </c>
      <c r="G3222" s="12" t="e">
        <f>'[4]#REF'!G3222</f>
        <v>#REF!</v>
      </c>
      <c r="H3222" s="31" t="e">
        <f>'[4]#REF'!I3222</f>
        <v>#REF!</v>
      </c>
      <c r="I3222" s="32" t="e">
        <f t="shared" si="81"/>
        <v>#REF!</v>
      </c>
    </row>
    <row r="3223" ht="15.75" spans="6:9">
      <c r="F3223" s="12" t="e">
        <f>'[4]#REF'!F3223</f>
        <v>#REF!</v>
      </c>
      <c r="G3223" s="12" t="e">
        <f>'[4]#REF'!G3223</f>
        <v>#REF!</v>
      </c>
      <c r="H3223" s="31" t="e">
        <f>'[4]#REF'!I3223</f>
        <v>#REF!</v>
      </c>
      <c r="I3223" s="32" t="e">
        <f t="shared" si="81"/>
        <v>#REF!</v>
      </c>
    </row>
    <row r="3224" ht="15.75" spans="6:9">
      <c r="F3224" s="12" t="e">
        <f>'[4]#REF'!F3224</f>
        <v>#REF!</v>
      </c>
      <c r="G3224" s="12" t="e">
        <f>'[4]#REF'!G3224</f>
        <v>#REF!</v>
      </c>
      <c r="H3224" s="31" t="e">
        <f>'[4]#REF'!I3224</f>
        <v>#REF!</v>
      </c>
      <c r="I3224" s="32" t="e">
        <f t="shared" si="81"/>
        <v>#REF!</v>
      </c>
    </row>
    <row r="3225" ht="15.75" spans="6:9">
      <c r="F3225" s="12" t="e">
        <f>'[4]#REF'!F3225</f>
        <v>#REF!</v>
      </c>
      <c r="G3225" s="12" t="e">
        <f>'[4]#REF'!G3225</f>
        <v>#REF!</v>
      </c>
      <c r="H3225" s="31" t="e">
        <f>'[4]#REF'!I3225</f>
        <v>#REF!</v>
      </c>
      <c r="I3225" s="32" t="e">
        <f t="shared" si="81"/>
        <v>#REF!</v>
      </c>
    </row>
    <row r="3226" ht="15.75" spans="6:9">
      <c r="F3226" s="12" t="e">
        <f>'[4]#REF'!F3226</f>
        <v>#REF!</v>
      </c>
      <c r="G3226" s="12" t="e">
        <f>'[4]#REF'!G3226</f>
        <v>#REF!</v>
      </c>
      <c r="H3226" s="31" t="e">
        <f>'[4]#REF'!I3226</f>
        <v>#REF!</v>
      </c>
      <c r="I3226" s="32" t="e">
        <f t="shared" si="81"/>
        <v>#REF!</v>
      </c>
    </row>
    <row r="3227" ht="15.75" spans="6:9">
      <c r="F3227" s="12" t="e">
        <f>'[4]#REF'!F3227</f>
        <v>#REF!</v>
      </c>
      <c r="G3227" s="12" t="e">
        <f>'[4]#REF'!G3227</f>
        <v>#REF!</v>
      </c>
      <c r="H3227" s="31" t="e">
        <f>'[4]#REF'!I3227</f>
        <v>#REF!</v>
      </c>
      <c r="I3227" s="32" t="e">
        <f t="shared" si="81"/>
        <v>#REF!</v>
      </c>
    </row>
    <row r="3228" ht="15.75" spans="6:9">
      <c r="F3228" s="12" t="e">
        <f>'[4]#REF'!F3228</f>
        <v>#REF!</v>
      </c>
      <c r="G3228" s="12" t="e">
        <f>'[4]#REF'!G3228</f>
        <v>#REF!</v>
      </c>
      <c r="H3228" s="31" t="e">
        <f>'[4]#REF'!I3228</f>
        <v>#REF!</v>
      </c>
      <c r="I3228" s="32" t="e">
        <f t="shared" si="81"/>
        <v>#REF!</v>
      </c>
    </row>
    <row r="3229" ht="15.75" spans="6:9">
      <c r="F3229" s="12" t="e">
        <f>'[4]#REF'!F3229</f>
        <v>#REF!</v>
      </c>
      <c r="G3229" s="12" t="e">
        <f>'[4]#REF'!G3229</f>
        <v>#REF!</v>
      </c>
      <c r="H3229" s="31" t="e">
        <f>'[4]#REF'!I3229</f>
        <v>#REF!</v>
      </c>
      <c r="I3229" s="32" t="e">
        <f t="shared" si="81"/>
        <v>#REF!</v>
      </c>
    </row>
    <row r="3230" ht="15.75" spans="6:9">
      <c r="F3230" s="12" t="e">
        <f>'[4]#REF'!F3230</f>
        <v>#REF!</v>
      </c>
      <c r="G3230" s="12" t="e">
        <f>'[4]#REF'!G3230</f>
        <v>#REF!</v>
      </c>
      <c r="H3230" s="31" t="e">
        <f>'[4]#REF'!I3230</f>
        <v>#REF!</v>
      </c>
      <c r="I3230" s="32" t="e">
        <f t="shared" si="81"/>
        <v>#REF!</v>
      </c>
    </row>
    <row r="3231" ht="15.75" spans="6:9">
      <c r="F3231" s="12" t="e">
        <f>'[4]#REF'!F3231</f>
        <v>#REF!</v>
      </c>
      <c r="G3231" s="12" t="e">
        <f>'[4]#REF'!G3231</f>
        <v>#REF!</v>
      </c>
      <c r="H3231" s="31" t="e">
        <f>'[4]#REF'!I3231</f>
        <v>#REF!</v>
      </c>
      <c r="I3231" s="32" t="e">
        <f t="shared" si="81"/>
        <v>#REF!</v>
      </c>
    </row>
    <row r="3232" ht="15.75" spans="6:9">
      <c r="F3232" s="12" t="e">
        <f>'[4]#REF'!F3232</f>
        <v>#REF!</v>
      </c>
      <c r="G3232" s="12" t="e">
        <f>'[4]#REF'!G3232</f>
        <v>#REF!</v>
      </c>
      <c r="H3232" s="31" t="e">
        <f>'[4]#REF'!I3232</f>
        <v>#REF!</v>
      </c>
      <c r="I3232" s="32" t="e">
        <f t="shared" si="81"/>
        <v>#REF!</v>
      </c>
    </row>
    <row r="3233" ht="15.75" spans="6:9">
      <c r="F3233" s="12" t="e">
        <f>'[4]#REF'!F3233</f>
        <v>#REF!</v>
      </c>
      <c r="G3233" s="12" t="e">
        <f>'[4]#REF'!G3233</f>
        <v>#REF!</v>
      </c>
      <c r="H3233" s="31" t="e">
        <f>'[4]#REF'!I3233</f>
        <v>#REF!</v>
      </c>
      <c r="I3233" s="32" t="e">
        <f t="shared" si="81"/>
        <v>#REF!</v>
      </c>
    </row>
    <row r="3234" ht="15.75" spans="6:9">
      <c r="F3234" s="12" t="e">
        <f>'[4]#REF'!F3234</f>
        <v>#REF!</v>
      </c>
      <c r="G3234" s="12" t="e">
        <f>'[4]#REF'!G3234</f>
        <v>#REF!</v>
      </c>
      <c r="H3234" s="31" t="e">
        <f>'[4]#REF'!I3234</f>
        <v>#REF!</v>
      </c>
      <c r="I3234" s="32" t="e">
        <f t="shared" si="81"/>
        <v>#REF!</v>
      </c>
    </row>
    <row r="3235" ht="15.75" spans="6:9">
      <c r="F3235" s="12" t="e">
        <f>'[4]#REF'!F3235</f>
        <v>#REF!</v>
      </c>
      <c r="G3235" s="12" t="e">
        <f>'[4]#REF'!G3235</f>
        <v>#REF!</v>
      </c>
      <c r="H3235" s="31" t="e">
        <f>'[4]#REF'!I3235</f>
        <v>#REF!</v>
      </c>
      <c r="I3235" s="32" t="e">
        <f t="shared" si="81"/>
        <v>#REF!</v>
      </c>
    </row>
    <row r="3236" ht="15.75" spans="6:9">
      <c r="F3236" s="12" t="e">
        <f>'[4]#REF'!F3236</f>
        <v>#REF!</v>
      </c>
      <c r="G3236" s="12" t="e">
        <f>'[4]#REF'!G3236</f>
        <v>#REF!</v>
      </c>
      <c r="H3236" s="31" t="e">
        <f>'[4]#REF'!I3236</f>
        <v>#REF!</v>
      </c>
      <c r="I3236" s="32" t="e">
        <f t="shared" si="81"/>
        <v>#REF!</v>
      </c>
    </row>
    <row r="3237" ht="15.75" spans="6:9">
      <c r="F3237" s="12" t="e">
        <f>'[4]#REF'!F3237</f>
        <v>#REF!</v>
      </c>
      <c r="G3237" s="12" t="e">
        <f>'[4]#REF'!G3237</f>
        <v>#REF!</v>
      </c>
      <c r="H3237" s="31" t="e">
        <f>'[4]#REF'!I3237</f>
        <v>#REF!</v>
      </c>
      <c r="I3237" s="32" t="e">
        <f t="shared" si="81"/>
        <v>#REF!</v>
      </c>
    </row>
    <row r="3238" ht="15.75" spans="6:9">
      <c r="F3238" s="12" t="e">
        <f>'[4]#REF'!F3238</f>
        <v>#REF!</v>
      </c>
      <c r="G3238" s="12" t="e">
        <f>'[4]#REF'!G3238</f>
        <v>#REF!</v>
      </c>
      <c r="H3238" s="31" t="e">
        <f>'[4]#REF'!I3238</f>
        <v>#REF!</v>
      </c>
      <c r="I3238" s="32" t="e">
        <f t="shared" si="81"/>
        <v>#REF!</v>
      </c>
    </row>
    <row r="3239" ht="15.75" spans="6:9">
      <c r="F3239" s="12" t="e">
        <f>'[4]#REF'!F3239</f>
        <v>#REF!</v>
      </c>
      <c r="G3239" s="12" t="e">
        <f>'[4]#REF'!G3239</f>
        <v>#REF!</v>
      </c>
      <c r="H3239" s="31" t="e">
        <f>'[4]#REF'!I3239</f>
        <v>#REF!</v>
      </c>
      <c r="I3239" s="32" t="e">
        <f t="shared" si="81"/>
        <v>#REF!</v>
      </c>
    </row>
    <row r="3240" ht="15.75" spans="6:9">
      <c r="F3240" s="12" t="e">
        <f>'[4]#REF'!F3240</f>
        <v>#REF!</v>
      </c>
      <c r="G3240" s="12" t="e">
        <f>'[4]#REF'!G3240</f>
        <v>#REF!</v>
      </c>
      <c r="H3240" s="31" t="e">
        <f>'[4]#REF'!I3240</f>
        <v>#REF!</v>
      </c>
      <c r="I3240" s="32" t="e">
        <f t="shared" si="81"/>
        <v>#REF!</v>
      </c>
    </row>
    <row r="3241" ht="15.75" spans="6:9">
      <c r="F3241" s="12" t="e">
        <f>'[4]#REF'!F3241</f>
        <v>#REF!</v>
      </c>
      <c r="G3241" s="12" t="e">
        <f>'[4]#REF'!G3241</f>
        <v>#REF!</v>
      </c>
      <c r="H3241" s="31" t="e">
        <f>'[4]#REF'!I3241</f>
        <v>#REF!</v>
      </c>
      <c r="I3241" s="32" t="e">
        <f t="shared" si="81"/>
        <v>#REF!</v>
      </c>
    </row>
    <row r="3242" ht="15.75" spans="6:9">
      <c r="F3242" s="12" t="e">
        <f>'[4]#REF'!F3242</f>
        <v>#REF!</v>
      </c>
      <c r="G3242" s="12" t="e">
        <f>'[4]#REF'!G3242</f>
        <v>#REF!</v>
      </c>
      <c r="H3242" s="31" t="e">
        <f>'[4]#REF'!I3242</f>
        <v>#REF!</v>
      </c>
      <c r="I3242" s="32" t="e">
        <f t="shared" si="81"/>
        <v>#REF!</v>
      </c>
    </row>
    <row r="3243" ht="15.75" spans="6:9">
      <c r="F3243" s="12" t="e">
        <f>'[4]#REF'!F3243</f>
        <v>#REF!</v>
      </c>
      <c r="G3243" s="12" t="e">
        <f>'[4]#REF'!G3243</f>
        <v>#REF!</v>
      </c>
      <c r="H3243" s="31" t="e">
        <f>'[4]#REF'!I3243</f>
        <v>#REF!</v>
      </c>
      <c r="I3243" s="32" t="e">
        <f t="shared" si="81"/>
        <v>#REF!</v>
      </c>
    </row>
    <row r="3244" ht="15.75" spans="6:9">
      <c r="F3244" s="12" t="e">
        <f>'[4]#REF'!F3244</f>
        <v>#REF!</v>
      </c>
      <c r="G3244" s="12" t="e">
        <f>'[4]#REF'!G3244</f>
        <v>#REF!</v>
      </c>
      <c r="H3244" s="31" t="e">
        <f>'[4]#REF'!I3244</f>
        <v>#REF!</v>
      </c>
      <c r="I3244" s="32" t="e">
        <f t="shared" si="81"/>
        <v>#REF!</v>
      </c>
    </row>
    <row r="3245" ht="15.75" spans="6:9">
      <c r="F3245" s="12" t="e">
        <f>'[4]#REF'!F3245</f>
        <v>#REF!</v>
      </c>
      <c r="G3245" s="12" t="e">
        <f>'[4]#REF'!G3245</f>
        <v>#REF!</v>
      </c>
      <c r="H3245" s="31" t="e">
        <f>'[4]#REF'!I3245</f>
        <v>#REF!</v>
      </c>
      <c r="I3245" s="32" t="e">
        <f t="shared" si="81"/>
        <v>#REF!</v>
      </c>
    </row>
    <row r="3246" ht="15.75" spans="6:9">
      <c r="F3246" s="12" t="e">
        <f>'[4]#REF'!F3246</f>
        <v>#REF!</v>
      </c>
      <c r="G3246" s="12" t="e">
        <f>'[4]#REF'!G3246</f>
        <v>#REF!</v>
      </c>
      <c r="H3246" s="31" t="e">
        <f>'[4]#REF'!I3246</f>
        <v>#REF!</v>
      </c>
      <c r="I3246" s="32" t="e">
        <f t="shared" si="81"/>
        <v>#REF!</v>
      </c>
    </row>
    <row r="3247" ht="15.75" spans="6:9">
      <c r="F3247" s="12" t="e">
        <f>'[4]#REF'!F3247</f>
        <v>#REF!</v>
      </c>
      <c r="G3247" s="12" t="e">
        <f>'[4]#REF'!G3247</f>
        <v>#REF!</v>
      </c>
      <c r="H3247" s="31" t="e">
        <f>'[4]#REF'!I3247</f>
        <v>#REF!</v>
      </c>
      <c r="I3247" s="32" t="e">
        <f t="shared" si="81"/>
        <v>#REF!</v>
      </c>
    </row>
    <row r="3248" ht="15.75" spans="6:9">
      <c r="F3248" s="12" t="e">
        <f>'[4]#REF'!F3248</f>
        <v>#REF!</v>
      </c>
      <c r="G3248" s="12" t="e">
        <f>'[4]#REF'!G3248</f>
        <v>#REF!</v>
      </c>
      <c r="H3248" s="31" t="e">
        <f>'[4]#REF'!I3248</f>
        <v>#REF!</v>
      </c>
      <c r="I3248" s="32" t="e">
        <f t="shared" si="81"/>
        <v>#REF!</v>
      </c>
    </row>
    <row r="3249" ht="15.75" spans="6:9">
      <c r="F3249" s="12" t="e">
        <f>'[4]#REF'!F3249</f>
        <v>#REF!</v>
      </c>
      <c r="G3249" s="12" t="e">
        <f>'[4]#REF'!G3249</f>
        <v>#REF!</v>
      </c>
      <c r="H3249" s="31" t="e">
        <f>'[4]#REF'!I3249</f>
        <v>#REF!</v>
      </c>
      <c r="I3249" s="32" t="e">
        <f t="shared" si="81"/>
        <v>#REF!</v>
      </c>
    </row>
    <row r="3250" ht="15.75" spans="6:9">
      <c r="F3250" s="12" t="e">
        <f>'[4]#REF'!F3250</f>
        <v>#REF!</v>
      </c>
      <c r="G3250" s="12" t="e">
        <f>'[4]#REF'!G3250</f>
        <v>#REF!</v>
      </c>
      <c r="H3250" s="31" t="e">
        <f>'[4]#REF'!I3250</f>
        <v>#REF!</v>
      </c>
      <c r="I3250" s="32" t="e">
        <f t="shared" si="81"/>
        <v>#REF!</v>
      </c>
    </row>
    <row r="3251" ht="15.75" spans="6:9">
      <c r="F3251" s="12" t="e">
        <f>'[4]#REF'!F3251</f>
        <v>#REF!</v>
      </c>
      <c r="G3251" s="12" t="e">
        <f>'[4]#REF'!G3251</f>
        <v>#REF!</v>
      </c>
      <c r="H3251" s="31" t="e">
        <f>'[4]#REF'!I3251</f>
        <v>#REF!</v>
      </c>
      <c r="I3251" s="32" t="e">
        <f t="shared" si="81"/>
        <v>#REF!</v>
      </c>
    </row>
    <row r="3252" ht="15.75" spans="6:9">
      <c r="F3252" s="12" t="e">
        <f>'[4]#REF'!F3252</f>
        <v>#REF!</v>
      </c>
      <c r="G3252" s="12" t="e">
        <f>'[4]#REF'!G3252</f>
        <v>#REF!</v>
      </c>
      <c r="H3252" s="31" t="e">
        <f>'[4]#REF'!I3252</f>
        <v>#REF!</v>
      </c>
      <c r="I3252" s="32" t="e">
        <f t="shared" si="81"/>
        <v>#REF!</v>
      </c>
    </row>
    <row r="3253" ht="15.75" spans="6:9">
      <c r="F3253" s="12" t="e">
        <f>'[4]#REF'!F3253</f>
        <v>#REF!</v>
      </c>
      <c r="G3253" s="12" t="e">
        <f>'[4]#REF'!G3253</f>
        <v>#REF!</v>
      </c>
      <c r="H3253" s="31" t="e">
        <f>'[4]#REF'!I3253</f>
        <v>#REF!</v>
      </c>
      <c r="I3253" s="32" t="e">
        <f t="shared" si="81"/>
        <v>#REF!</v>
      </c>
    </row>
    <row r="3254" ht="15.75" spans="6:9">
      <c r="F3254" s="12" t="e">
        <f>'[4]#REF'!F3254</f>
        <v>#REF!</v>
      </c>
      <c r="G3254" s="12" t="e">
        <f>'[4]#REF'!G3254</f>
        <v>#REF!</v>
      </c>
      <c r="H3254" s="31" t="e">
        <f>'[4]#REF'!I3254</f>
        <v>#REF!</v>
      </c>
      <c r="I3254" s="32" t="e">
        <f t="shared" si="81"/>
        <v>#REF!</v>
      </c>
    </row>
    <row r="3255" ht="15.75" spans="6:9">
      <c r="F3255" s="12" t="e">
        <f>'[4]#REF'!F3255</f>
        <v>#REF!</v>
      </c>
      <c r="G3255" s="12" t="e">
        <f>'[4]#REF'!G3255</f>
        <v>#REF!</v>
      </c>
      <c r="H3255" s="31" t="e">
        <f>'[4]#REF'!I3255</f>
        <v>#REF!</v>
      </c>
      <c r="I3255" s="32" t="e">
        <f t="shared" si="81"/>
        <v>#REF!</v>
      </c>
    </row>
    <row r="3256" ht="15.75" spans="6:9">
      <c r="F3256" s="12" t="e">
        <f>'[4]#REF'!F3256</f>
        <v>#REF!</v>
      </c>
      <c r="G3256" s="12" t="e">
        <f>'[4]#REF'!G3256</f>
        <v>#REF!</v>
      </c>
      <c r="H3256" s="31" t="e">
        <f>'[4]#REF'!I3256</f>
        <v>#REF!</v>
      </c>
      <c r="I3256" s="32" t="e">
        <f t="shared" si="81"/>
        <v>#REF!</v>
      </c>
    </row>
    <row r="3257" ht="15.75" spans="6:9">
      <c r="F3257" s="12" t="e">
        <f>'[4]#REF'!F3257</f>
        <v>#REF!</v>
      </c>
      <c r="G3257" s="12" t="e">
        <f>'[4]#REF'!G3257</f>
        <v>#REF!</v>
      </c>
      <c r="H3257" s="31" t="e">
        <f>'[4]#REF'!I3257</f>
        <v>#REF!</v>
      </c>
      <c r="I3257" s="32" t="e">
        <f t="shared" si="81"/>
        <v>#REF!</v>
      </c>
    </row>
    <row r="3258" ht="15.75" spans="6:9">
      <c r="F3258" s="12" t="e">
        <f>'[4]#REF'!F3258</f>
        <v>#REF!</v>
      </c>
      <c r="G3258" s="12" t="e">
        <f>'[4]#REF'!G3258</f>
        <v>#REF!</v>
      </c>
      <c r="H3258" s="31" t="e">
        <f>'[4]#REF'!I3258</f>
        <v>#REF!</v>
      </c>
      <c r="I3258" s="32" t="e">
        <f t="shared" si="81"/>
        <v>#REF!</v>
      </c>
    </row>
    <row r="3259" ht="15.75" spans="6:9">
      <c r="F3259" s="12" t="e">
        <f>'[4]#REF'!F3259</f>
        <v>#REF!</v>
      </c>
      <c r="G3259" s="12" t="e">
        <f>'[4]#REF'!G3259</f>
        <v>#REF!</v>
      </c>
      <c r="H3259" s="31" t="e">
        <f>'[4]#REF'!I3259</f>
        <v>#REF!</v>
      </c>
      <c r="I3259" s="32" t="e">
        <f t="shared" si="81"/>
        <v>#REF!</v>
      </c>
    </row>
    <row r="3260" ht="15.75" spans="6:9">
      <c r="F3260" s="12" t="e">
        <f>'[4]#REF'!F3260</f>
        <v>#REF!</v>
      </c>
      <c r="G3260" s="12" t="e">
        <f>'[4]#REF'!G3260</f>
        <v>#REF!</v>
      </c>
      <c r="H3260" s="31" t="e">
        <f>'[4]#REF'!I3260</f>
        <v>#REF!</v>
      </c>
      <c r="I3260" s="32" t="e">
        <f t="shared" si="81"/>
        <v>#REF!</v>
      </c>
    </row>
    <row r="3261" ht="15.75" spans="6:9">
      <c r="F3261" s="12" t="e">
        <f>'[4]#REF'!F3261</f>
        <v>#REF!</v>
      </c>
      <c r="G3261" s="12" t="e">
        <f>'[4]#REF'!G3261</f>
        <v>#REF!</v>
      </c>
      <c r="H3261" s="31" t="e">
        <f>'[4]#REF'!I3261</f>
        <v>#REF!</v>
      </c>
      <c r="I3261" s="32" t="e">
        <f t="shared" si="81"/>
        <v>#REF!</v>
      </c>
    </row>
    <row r="3262" ht="15.75" spans="6:9">
      <c r="F3262" s="12" t="e">
        <f>'[4]#REF'!F3262</f>
        <v>#REF!</v>
      </c>
      <c r="G3262" s="12" t="e">
        <f>'[4]#REF'!G3262</f>
        <v>#REF!</v>
      </c>
      <c r="H3262" s="31" t="e">
        <f>'[4]#REF'!I3262</f>
        <v>#REF!</v>
      </c>
      <c r="I3262" s="32" t="e">
        <f t="shared" si="81"/>
        <v>#REF!</v>
      </c>
    </row>
    <row r="3263" ht="15.75" spans="6:9">
      <c r="F3263" s="12" t="e">
        <f>'[4]#REF'!F3263</f>
        <v>#REF!</v>
      </c>
      <c r="G3263" s="12" t="e">
        <f>'[4]#REF'!G3263</f>
        <v>#REF!</v>
      </c>
      <c r="H3263" s="31" t="e">
        <f>'[4]#REF'!I3263</f>
        <v>#REF!</v>
      </c>
      <c r="I3263" s="32" t="e">
        <f t="shared" si="81"/>
        <v>#REF!</v>
      </c>
    </row>
    <row r="3264" ht="15.75" spans="6:9">
      <c r="F3264" s="12" t="e">
        <f>'[4]#REF'!F3264</f>
        <v>#REF!</v>
      </c>
      <c r="G3264" s="12" t="e">
        <f>'[4]#REF'!G3264</f>
        <v>#REF!</v>
      </c>
      <c r="H3264" s="31" t="e">
        <f>'[4]#REF'!I3264</f>
        <v>#REF!</v>
      </c>
      <c r="I3264" s="32" t="e">
        <f t="shared" si="81"/>
        <v>#REF!</v>
      </c>
    </row>
    <row r="3265" ht="15.75" spans="6:9">
      <c r="F3265" s="12" t="e">
        <f>'[4]#REF'!F3265</f>
        <v>#REF!</v>
      </c>
      <c r="G3265" s="12" t="e">
        <f>'[4]#REF'!G3265</f>
        <v>#REF!</v>
      </c>
      <c r="H3265" s="31" t="e">
        <f>'[4]#REF'!I3265</f>
        <v>#REF!</v>
      </c>
      <c r="I3265" s="32" t="e">
        <f t="shared" si="81"/>
        <v>#REF!</v>
      </c>
    </row>
    <row r="3266" ht="15.75" spans="6:9">
      <c r="F3266" s="12" t="e">
        <f>'[4]#REF'!F3266</f>
        <v>#REF!</v>
      </c>
      <c r="G3266" s="12" t="e">
        <f>'[4]#REF'!G3266</f>
        <v>#REF!</v>
      </c>
      <c r="H3266" s="31" t="e">
        <f>'[4]#REF'!I3266</f>
        <v>#REF!</v>
      </c>
      <c r="I3266" s="32" t="e">
        <f t="shared" si="81"/>
        <v>#REF!</v>
      </c>
    </row>
    <row r="3267" ht="15.75" spans="6:9">
      <c r="F3267" s="12" t="e">
        <f>'[4]#REF'!F3267</f>
        <v>#REF!</v>
      </c>
      <c r="G3267" s="12" t="e">
        <f>'[4]#REF'!G3267</f>
        <v>#REF!</v>
      </c>
      <c r="H3267" s="31" t="e">
        <f>'[4]#REF'!I3267</f>
        <v>#REF!</v>
      </c>
      <c r="I3267" s="32" t="e">
        <f t="shared" si="81"/>
        <v>#REF!</v>
      </c>
    </row>
    <row r="3268" ht="15.75" spans="6:9">
      <c r="F3268" s="12" t="e">
        <f>'[4]#REF'!F3268</f>
        <v>#REF!</v>
      </c>
      <c r="G3268" s="12" t="e">
        <f>'[4]#REF'!G3268</f>
        <v>#REF!</v>
      </c>
      <c r="H3268" s="31" t="e">
        <f>'[4]#REF'!I3268</f>
        <v>#REF!</v>
      </c>
      <c r="I3268" s="32" t="e">
        <f t="shared" si="81"/>
        <v>#REF!</v>
      </c>
    </row>
    <row r="3269" ht="15.75" spans="6:9">
      <c r="F3269" s="12" t="e">
        <f>'[4]#REF'!F3269</f>
        <v>#REF!</v>
      </c>
      <c r="G3269" s="12" t="e">
        <f>'[4]#REF'!G3269</f>
        <v>#REF!</v>
      </c>
      <c r="H3269" s="31" t="e">
        <f>'[4]#REF'!I3269</f>
        <v>#REF!</v>
      </c>
      <c r="I3269" s="32" t="e">
        <f t="shared" si="81"/>
        <v>#REF!</v>
      </c>
    </row>
    <row r="3270" ht="15.75" spans="6:9">
      <c r="F3270" s="12" t="e">
        <f>'[4]#REF'!F3270</f>
        <v>#REF!</v>
      </c>
      <c r="G3270" s="12" t="e">
        <f>'[4]#REF'!G3270</f>
        <v>#REF!</v>
      </c>
      <c r="H3270" s="31" t="e">
        <f>'[4]#REF'!I3270</f>
        <v>#REF!</v>
      </c>
      <c r="I3270" s="32" t="e">
        <f t="shared" ref="I3270:I3333" si="82">ROUND(H3270/$I$4*100,2)</f>
        <v>#REF!</v>
      </c>
    </row>
    <row r="3271" ht="15.75" spans="6:9">
      <c r="F3271" s="12" t="e">
        <f>'[4]#REF'!F3271</f>
        <v>#REF!</v>
      </c>
      <c r="G3271" s="12" t="e">
        <f>'[4]#REF'!G3271</f>
        <v>#REF!</v>
      </c>
      <c r="H3271" s="31" t="e">
        <f>'[4]#REF'!I3271</f>
        <v>#REF!</v>
      </c>
      <c r="I3271" s="32" t="e">
        <f t="shared" si="82"/>
        <v>#REF!</v>
      </c>
    </row>
    <row r="3272" ht="15.75" spans="6:9">
      <c r="F3272" s="12" t="e">
        <f>'[4]#REF'!F3272</f>
        <v>#REF!</v>
      </c>
      <c r="G3272" s="12" t="e">
        <f>'[4]#REF'!G3272</f>
        <v>#REF!</v>
      </c>
      <c r="H3272" s="31" t="e">
        <f>'[4]#REF'!I3272</f>
        <v>#REF!</v>
      </c>
      <c r="I3272" s="32" t="e">
        <f t="shared" si="82"/>
        <v>#REF!</v>
      </c>
    </row>
    <row r="3273" ht="15.75" spans="6:9">
      <c r="F3273" s="12" t="e">
        <f>'[4]#REF'!F3273</f>
        <v>#REF!</v>
      </c>
      <c r="G3273" s="12" t="e">
        <f>'[4]#REF'!G3273</f>
        <v>#REF!</v>
      </c>
      <c r="H3273" s="31" t="e">
        <f>'[4]#REF'!I3273</f>
        <v>#REF!</v>
      </c>
      <c r="I3273" s="32" t="e">
        <f t="shared" si="82"/>
        <v>#REF!</v>
      </c>
    </row>
    <row r="3274" ht="15.75" spans="6:9">
      <c r="F3274" s="12" t="e">
        <f>'[4]#REF'!F3274</f>
        <v>#REF!</v>
      </c>
      <c r="G3274" s="12" t="e">
        <f>'[4]#REF'!G3274</f>
        <v>#REF!</v>
      </c>
      <c r="H3274" s="31" t="e">
        <f>'[4]#REF'!I3274</f>
        <v>#REF!</v>
      </c>
      <c r="I3274" s="32" t="e">
        <f t="shared" si="82"/>
        <v>#REF!</v>
      </c>
    </row>
    <row r="3275" ht="15.75" spans="6:9">
      <c r="F3275" s="12" t="e">
        <f>'[4]#REF'!F3275</f>
        <v>#REF!</v>
      </c>
      <c r="G3275" s="12" t="e">
        <f>'[4]#REF'!G3275</f>
        <v>#REF!</v>
      </c>
      <c r="H3275" s="31" t="e">
        <f>'[4]#REF'!I3275</f>
        <v>#REF!</v>
      </c>
      <c r="I3275" s="32" t="e">
        <f t="shared" si="82"/>
        <v>#REF!</v>
      </c>
    </row>
    <row r="3276" ht="15.75" spans="6:9">
      <c r="F3276" s="12" t="e">
        <f>'[4]#REF'!F3276</f>
        <v>#REF!</v>
      </c>
      <c r="G3276" s="12" t="e">
        <f>'[4]#REF'!G3276</f>
        <v>#REF!</v>
      </c>
      <c r="H3276" s="31" t="e">
        <f>'[4]#REF'!I3276</f>
        <v>#REF!</v>
      </c>
      <c r="I3276" s="32" t="e">
        <f t="shared" si="82"/>
        <v>#REF!</v>
      </c>
    </row>
    <row r="3277" ht="15.75" spans="6:9">
      <c r="F3277" s="12" t="e">
        <f>'[4]#REF'!F3277</f>
        <v>#REF!</v>
      </c>
      <c r="G3277" s="12" t="e">
        <f>'[4]#REF'!G3277</f>
        <v>#REF!</v>
      </c>
      <c r="H3277" s="31" t="e">
        <f>'[4]#REF'!I3277</f>
        <v>#REF!</v>
      </c>
      <c r="I3277" s="32" t="e">
        <f t="shared" si="82"/>
        <v>#REF!</v>
      </c>
    </row>
    <row r="3278" ht="15.75" spans="6:9">
      <c r="F3278" s="12" t="e">
        <f>'[4]#REF'!F3278</f>
        <v>#REF!</v>
      </c>
      <c r="G3278" s="12" t="e">
        <f>'[4]#REF'!G3278</f>
        <v>#REF!</v>
      </c>
      <c r="H3278" s="31" t="e">
        <f>'[4]#REF'!I3278</f>
        <v>#REF!</v>
      </c>
      <c r="I3278" s="32" t="e">
        <f t="shared" si="82"/>
        <v>#REF!</v>
      </c>
    </row>
    <row r="3279" ht="15.75" spans="6:9">
      <c r="F3279" s="12" t="e">
        <f>'[4]#REF'!F3279</f>
        <v>#REF!</v>
      </c>
      <c r="G3279" s="12" t="e">
        <f>'[4]#REF'!G3279</f>
        <v>#REF!</v>
      </c>
      <c r="H3279" s="31" t="e">
        <f>'[4]#REF'!I3279</f>
        <v>#REF!</v>
      </c>
      <c r="I3279" s="32" t="e">
        <f t="shared" si="82"/>
        <v>#REF!</v>
      </c>
    </row>
    <row r="3280" ht="15.75" spans="6:9">
      <c r="F3280" s="12" t="e">
        <f>'[4]#REF'!F3280</f>
        <v>#REF!</v>
      </c>
      <c r="G3280" s="12" t="e">
        <f>'[4]#REF'!G3280</f>
        <v>#REF!</v>
      </c>
      <c r="H3280" s="31" t="e">
        <f>'[4]#REF'!I3280</f>
        <v>#REF!</v>
      </c>
      <c r="I3280" s="32" t="e">
        <f t="shared" si="82"/>
        <v>#REF!</v>
      </c>
    </row>
    <row r="3281" ht="15.75" spans="6:9">
      <c r="F3281" s="12" t="e">
        <f>'[4]#REF'!F3281</f>
        <v>#REF!</v>
      </c>
      <c r="G3281" s="12" t="e">
        <f>'[4]#REF'!G3281</f>
        <v>#REF!</v>
      </c>
      <c r="H3281" s="31" t="e">
        <f>'[4]#REF'!I3281</f>
        <v>#REF!</v>
      </c>
      <c r="I3281" s="32" t="e">
        <f t="shared" si="82"/>
        <v>#REF!</v>
      </c>
    </row>
    <row r="3282" ht="15.75" spans="6:9">
      <c r="F3282" s="12" t="e">
        <f>'[4]#REF'!F3282</f>
        <v>#REF!</v>
      </c>
      <c r="G3282" s="12" t="e">
        <f>'[4]#REF'!G3282</f>
        <v>#REF!</v>
      </c>
      <c r="H3282" s="31" t="e">
        <f>'[4]#REF'!I3282</f>
        <v>#REF!</v>
      </c>
      <c r="I3282" s="32" t="e">
        <f t="shared" si="82"/>
        <v>#REF!</v>
      </c>
    </row>
    <row r="3283" ht="15.75" spans="6:9">
      <c r="F3283" s="12" t="e">
        <f>'[4]#REF'!F3283</f>
        <v>#REF!</v>
      </c>
      <c r="G3283" s="12" t="e">
        <f>'[4]#REF'!G3283</f>
        <v>#REF!</v>
      </c>
      <c r="H3283" s="31" t="e">
        <f>'[4]#REF'!I3283</f>
        <v>#REF!</v>
      </c>
      <c r="I3283" s="32" t="e">
        <f t="shared" si="82"/>
        <v>#REF!</v>
      </c>
    </row>
    <row r="3284" ht="15.75" spans="6:9">
      <c r="F3284" s="12" t="e">
        <f>'[4]#REF'!F3284</f>
        <v>#REF!</v>
      </c>
      <c r="G3284" s="12" t="e">
        <f>'[4]#REF'!G3284</f>
        <v>#REF!</v>
      </c>
      <c r="H3284" s="31" t="e">
        <f>'[4]#REF'!I3284</f>
        <v>#REF!</v>
      </c>
      <c r="I3284" s="32" t="e">
        <f t="shared" si="82"/>
        <v>#REF!</v>
      </c>
    </row>
    <row r="3285" ht="15.75" spans="6:9">
      <c r="F3285" s="12" t="e">
        <f>'[4]#REF'!F3285</f>
        <v>#REF!</v>
      </c>
      <c r="G3285" s="12" t="e">
        <f>'[4]#REF'!G3285</f>
        <v>#REF!</v>
      </c>
      <c r="H3285" s="31" t="e">
        <f>'[4]#REF'!I3285</f>
        <v>#REF!</v>
      </c>
      <c r="I3285" s="32" t="e">
        <f t="shared" si="82"/>
        <v>#REF!</v>
      </c>
    </row>
    <row r="3286" ht="15.75" spans="6:9">
      <c r="F3286" s="12" t="e">
        <f>'[4]#REF'!F3286</f>
        <v>#REF!</v>
      </c>
      <c r="G3286" s="12" t="e">
        <f>'[4]#REF'!G3286</f>
        <v>#REF!</v>
      </c>
      <c r="H3286" s="31" t="e">
        <f>'[4]#REF'!I3286</f>
        <v>#REF!</v>
      </c>
      <c r="I3286" s="32" t="e">
        <f t="shared" si="82"/>
        <v>#REF!</v>
      </c>
    </row>
    <row r="3287" ht="15.75" spans="6:9">
      <c r="F3287" s="12" t="e">
        <f>'[4]#REF'!F3287</f>
        <v>#REF!</v>
      </c>
      <c r="G3287" s="12" t="e">
        <f>'[4]#REF'!G3287</f>
        <v>#REF!</v>
      </c>
      <c r="H3287" s="31" t="e">
        <f>'[4]#REF'!I3287</f>
        <v>#REF!</v>
      </c>
      <c r="I3287" s="32" t="e">
        <f t="shared" si="82"/>
        <v>#REF!</v>
      </c>
    </row>
    <row r="3288" ht="15.75" spans="6:9">
      <c r="F3288" s="12" t="e">
        <f>'[4]#REF'!F3288</f>
        <v>#REF!</v>
      </c>
      <c r="G3288" s="12" t="e">
        <f>'[4]#REF'!G3288</f>
        <v>#REF!</v>
      </c>
      <c r="H3288" s="31" t="e">
        <f>'[4]#REF'!I3288</f>
        <v>#REF!</v>
      </c>
      <c r="I3288" s="32" t="e">
        <f t="shared" si="82"/>
        <v>#REF!</v>
      </c>
    </row>
    <row r="3289" ht="15.75" spans="6:9">
      <c r="F3289" s="12" t="e">
        <f>'[4]#REF'!F3289</f>
        <v>#REF!</v>
      </c>
      <c r="G3289" s="12" t="e">
        <f>'[4]#REF'!G3289</f>
        <v>#REF!</v>
      </c>
      <c r="H3289" s="31" t="e">
        <f>'[4]#REF'!I3289</f>
        <v>#REF!</v>
      </c>
      <c r="I3289" s="32" t="e">
        <f t="shared" si="82"/>
        <v>#REF!</v>
      </c>
    </row>
    <row r="3290" ht="15.75" spans="6:9">
      <c r="F3290" s="12" t="e">
        <f>'[4]#REF'!F3290</f>
        <v>#REF!</v>
      </c>
      <c r="G3290" s="12" t="e">
        <f>'[4]#REF'!G3290</f>
        <v>#REF!</v>
      </c>
      <c r="H3290" s="31" t="e">
        <f>'[4]#REF'!I3290</f>
        <v>#REF!</v>
      </c>
      <c r="I3290" s="32" t="e">
        <f t="shared" si="82"/>
        <v>#REF!</v>
      </c>
    </row>
    <row r="3291" ht="15.75" spans="6:9">
      <c r="F3291" s="12" t="e">
        <f>'[4]#REF'!F3291</f>
        <v>#REF!</v>
      </c>
      <c r="G3291" s="12" t="e">
        <f>'[4]#REF'!G3291</f>
        <v>#REF!</v>
      </c>
      <c r="H3291" s="31" t="e">
        <f>'[4]#REF'!I3291</f>
        <v>#REF!</v>
      </c>
      <c r="I3291" s="32" t="e">
        <f t="shared" si="82"/>
        <v>#REF!</v>
      </c>
    </row>
    <row r="3292" ht="15.75" spans="6:9">
      <c r="F3292" s="12" t="e">
        <f>'[4]#REF'!F3292</f>
        <v>#REF!</v>
      </c>
      <c r="G3292" s="12" t="e">
        <f>'[4]#REF'!G3292</f>
        <v>#REF!</v>
      </c>
      <c r="H3292" s="31" t="e">
        <f>'[4]#REF'!I3292</f>
        <v>#REF!</v>
      </c>
      <c r="I3292" s="32" t="e">
        <f t="shared" si="82"/>
        <v>#REF!</v>
      </c>
    </row>
    <row r="3293" ht="15.75" spans="6:9">
      <c r="F3293" s="12" t="e">
        <f>'[4]#REF'!F3293</f>
        <v>#REF!</v>
      </c>
      <c r="G3293" s="12" t="e">
        <f>'[4]#REF'!G3293</f>
        <v>#REF!</v>
      </c>
      <c r="H3293" s="31" t="e">
        <f>'[4]#REF'!I3293</f>
        <v>#REF!</v>
      </c>
      <c r="I3293" s="32" t="e">
        <f t="shared" si="82"/>
        <v>#REF!</v>
      </c>
    </row>
    <row r="3294" ht="15.75" spans="6:9">
      <c r="F3294" s="12" t="e">
        <f>'[4]#REF'!F3294</f>
        <v>#REF!</v>
      </c>
      <c r="G3294" s="12" t="e">
        <f>'[4]#REF'!G3294</f>
        <v>#REF!</v>
      </c>
      <c r="H3294" s="31" t="e">
        <f>'[4]#REF'!I3294</f>
        <v>#REF!</v>
      </c>
      <c r="I3294" s="32" t="e">
        <f t="shared" si="82"/>
        <v>#REF!</v>
      </c>
    </row>
    <row r="3295" ht="15.75" spans="6:9">
      <c r="F3295" s="12" t="e">
        <f>'[4]#REF'!F3295</f>
        <v>#REF!</v>
      </c>
      <c r="G3295" s="12" t="e">
        <f>'[4]#REF'!G3295</f>
        <v>#REF!</v>
      </c>
      <c r="H3295" s="31" t="e">
        <f>'[4]#REF'!I3295</f>
        <v>#REF!</v>
      </c>
      <c r="I3295" s="32" t="e">
        <f t="shared" si="82"/>
        <v>#REF!</v>
      </c>
    </row>
    <row r="3296" ht="15.75" spans="6:9">
      <c r="F3296" s="12" t="e">
        <f>'[4]#REF'!F3296</f>
        <v>#REF!</v>
      </c>
      <c r="G3296" s="12" t="e">
        <f>'[4]#REF'!G3296</f>
        <v>#REF!</v>
      </c>
      <c r="H3296" s="31" t="e">
        <f>'[4]#REF'!I3296</f>
        <v>#REF!</v>
      </c>
      <c r="I3296" s="32" t="e">
        <f t="shared" si="82"/>
        <v>#REF!</v>
      </c>
    </row>
    <row r="3297" ht="15.75" spans="6:9">
      <c r="F3297" s="12" t="e">
        <f>'[4]#REF'!F3297</f>
        <v>#REF!</v>
      </c>
      <c r="G3297" s="12" t="e">
        <f>'[4]#REF'!G3297</f>
        <v>#REF!</v>
      </c>
      <c r="H3297" s="31" t="e">
        <f>'[4]#REF'!I3297</f>
        <v>#REF!</v>
      </c>
      <c r="I3297" s="32" t="e">
        <f t="shared" si="82"/>
        <v>#REF!</v>
      </c>
    </row>
    <row r="3298" ht="15.75" spans="6:9">
      <c r="F3298" s="12" t="e">
        <f>'[4]#REF'!F3298</f>
        <v>#REF!</v>
      </c>
      <c r="G3298" s="12" t="e">
        <f>'[4]#REF'!G3298</f>
        <v>#REF!</v>
      </c>
      <c r="H3298" s="31" t="e">
        <f>'[4]#REF'!I3298</f>
        <v>#REF!</v>
      </c>
      <c r="I3298" s="32" t="e">
        <f t="shared" si="82"/>
        <v>#REF!</v>
      </c>
    </row>
    <row r="3299" ht="15.75" spans="6:9">
      <c r="F3299" s="12" t="e">
        <f>'[4]#REF'!F3299</f>
        <v>#REF!</v>
      </c>
      <c r="G3299" s="12" t="e">
        <f>'[4]#REF'!G3299</f>
        <v>#REF!</v>
      </c>
      <c r="H3299" s="31" t="e">
        <f>'[4]#REF'!I3299</f>
        <v>#REF!</v>
      </c>
      <c r="I3299" s="32" t="e">
        <f t="shared" si="82"/>
        <v>#REF!</v>
      </c>
    </row>
    <row r="3300" ht="15.75" spans="6:9">
      <c r="F3300" s="12" t="e">
        <f>'[4]#REF'!F3300</f>
        <v>#REF!</v>
      </c>
      <c r="G3300" s="12" t="e">
        <f>'[4]#REF'!G3300</f>
        <v>#REF!</v>
      </c>
      <c r="H3300" s="31" t="e">
        <f>'[4]#REF'!I3300</f>
        <v>#REF!</v>
      </c>
      <c r="I3300" s="32" t="e">
        <f t="shared" si="82"/>
        <v>#REF!</v>
      </c>
    </row>
    <row r="3301" ht="15.75" spans="6:9">
      <c r="F3301" s="12" t="e">
        <f>'[4]#REF'!F3301</f>
        <v>#REF!</v>
      </c>
      <c r="G3301" s="12" t="e">
        <f>'[4]#REF'!G3301</f>
        <v>#REF!</v>
      </c>
      <c r="H3301" s="31" t="e">
        <f>'[4]#REF'!I3301</f>
        <v>#REF!</v>
      </c>
      <c r="I3301" s="32" t="e">
        <f t="shared" si="82"/>
        <v>#REF!</v>
      </c>
    </row>
    <row r="3302" ht="15.75" spans="6:9">
      <c r="F3302" s="12" t="e">
        <f>'[4]#REF'!F3302</f>
        <v>#REF!</v>
      </c>
      <c r="G3302" s="12" t="e">
        <f>'[4]#REF'!G3302</f>
        <v>#REF!</v>
      </c>
      <c r="H3302" s="31" t="e">
        <f>'[4]#REF'!I3302</f>
        <v>#REF!</v>
      </c>
      <c r="I3302" s="32" t="e">
        <f t="shared" si="82"/>
        <v>#REF!</v>
      </c>
    </row>
    <row r="3303" ht="15.75" spans="6:9">
      <c r="F3303" s="12" t="e">
        <f>'[4]#REF'!F3303</f>
        <v>#REF!</v>
      </c>
      <c r="G3303" s="12" t="e">
        <f>'[4]#REF'!G3303</f>
        <v>#REF!</v>
      </c>
      <c r="H3303" s="31" t="e">
        <f>'[4]#REF'!I3303</f>
        <v>#REF!</v>
      </c>
      <c r="I3303" s="32" t="e">
        <f t="shared" si="82"/>
        <v>#REF!</v>
      </c>
    </row>
    <row r="3304" ht="15.75" spans="6:9">
      <c r="F3304" s="12" t="e">
        <f>'[4]#REF'!F3304</f>
        <v>#REF!</v>
      </c>
      <c r="G3304" s="12" t="e">
        <f>'[4]#REF'!G3304</f>
        <v>#REF!</v>
      </c>
      <c r="H3304" s="31" t="e">
        <f>'[4]#REF'!I3304</f>
        <v>#REF!</v>
      </c>
      <c r="I3304" s="32" t="e">
        <f t="shared" si="82"/>
        <v>#REF!</v>
      </c>
    </row>
    <row r="3305" ht="15.75" spans="6:9">
      <c r="F3305" s="12" t="e">
        <f>'[4]#REF'!F3305</f>
        <v>#REF!</v>
      </c>
      <c r="G3305" s="12" t="e">
        <f>'[4]#REF'!G3305</f>
        <v>#REF!</v>
      </c>
      <c r="H3305" s="31" t="e">
        <f>'[4]#REF'!I3305</f>
        <v>#REF!</v>
      </c>
      <c r="I3305" s="32" t="e">
        <f t="shared" si="82"/>
        <v>#REF!</v>
      </c>
    </row>
    <row r="3306" ht="15.75" spans="6:9">
      <c r="F3306" s="12" t="e">
        <f>'[4]#REF'!F3306</f>
        <v>#REF!</v>
      </c>
      <c r="G3306" s="12" t="e">
        <f>'[4]#REF'!G3306</f>
        <v>#REF!</v>
      </c>
      <c r="H3306" s="31" t="e">
        <f>'[4]#REF'!I3306</f>
        <v>#REF!</v>
      </c>
      <c r="I3306" s="32" t="e">
        <f t="shared" si="82"/>
        <v>#REF!</v>
      </c>
    </row>
    <row r="3307" ht="15.75" spans="6:9">
      <c r="F3307" s="12" t="e">
        <f>'[4]#REF'!F3307</f>
        <v>#REF!</v>
      </c>
      <c r="G3307" s="12" t="e">
        <f>'[4]#REF'!G3307</f>
        <v>#REF!</v>
      </c>
      <c r="H3307" s="31" t="e">
        <f>'[4]#REF'!I3307</f>
        <v>#REF!</v>
      </c>
      <c r="I3307" s="32" t="e">
        <f t="shared" si="82"/>
        <v>#REF!</v>
      </c>
    </row>
    <row r="3308" ht="15.75" spans="6:9">
      <c r="F3308" s="12" t="e">
        <f>'[4]#REF'!F3308</f>
        <v>#REF!</v>
      </c>
      <c r="G3308" s="12" t="e">
        <f>'[4]#REF'!G3308</f>
        <v>#REF!</v>
      </c>
      <c r="H3308" s="31" t="e">
        <f>'[4]#REF'!I3308</f>
        <v>#REF!</v>
      </c>
      <c r="I3308" s="32" t="e">
        <f t="shared" si="82"/>
        <v>#REF!</v>
      </c>
    </row>
    <row r="3309" ht="15.75" spans="6:9">
      <c r="F3309" s="12" t="e">
        <f>'[4]#REF'!F3309</f>
        <v>#REF!</v>
      </c>
      <c r="G3309" s="12" t="e">
        <f>'[4]#REF'!G3309</f>
        <v>#REF!</v>
      </c>
      <c r="H3309" s="31" t="e">
        <f>'[4]#REF'!I3309</f>
        <v>#REF!</v>
      </c>
      <c r="I3309" s="32" t="e">
        <f t="shared" si="82"/>
        <v>#REF!</v>
      </c>
    </row>
    <row r="3310" ht="15.75" spans="6:9">
      <c r="F3310" s="12" t="e">
        <f>'[4]#REF'!F3310</f>
        <v>#REF!</v>
      </c>
      <c r="G3310" s="12" t="e">
        <f>'[4]#REF'!G3310</f>
        <v>#REF!</v>
      </c>
      <c r="H3310" s="31" t="e">
        <f>'[4]#REF'!I3310</f>
        <v>#REF!</v>
      </c>
      <c r="I3310" s="32" t="e">
        <f t="shared" si="82"/>
        <v>#REF!</v>
      </c>
    </row>
    <row r="3311" ht="15.75" spans="6:9">
      <c r="F3311" s="12" t="e">
        <f>'[4]#REF'!F3311</f>
        <v>#REF!</v>
      </c>
      <c r="G3311" s="12" t="e">
        <f>'[4]#REF'!G3311</f>
        <v>#REF!</v>
      </c>
      <c r="H3311" s="31" t="e">
        <f>'[4]#REF'!I3311</f>
        <v>#REF!</v>
      </c>
      <c r="I3311" s="32" t="e">
        <f t="shared" si="82"/>
        <v>#REF!</v>
      </c>
    </row>
    <row r="3312" ht="15.75" spans="6:9">
      <c r="F3312" s="12" t="e">
        <f>'[4]#REF'!F3312</f>
        <v>#REF!</v>
      </c>
      <c r="G3312" s="12" t="e">
        <f>'[4]#REF'!G3312</f>
        <v>#REF!</v>
      </c>
      <c r="H3312" s="31" t="e">
        <f>'[4]#REF'!I3312</f>
        <v>#REF!</v>
      </c>
      <c r="I3312" s="32" t="e">
        <f t="shared" si="82"/>
        <v>#REF!</v>
      </c>
    </row>
    <row r="3313" ht="15.75" spans="6:9">
      <c r="F3313" s="12" t="e">
        <f>'[4]#REF'!F3313</f>
        <v>#REF!</v>
      </c>
      <c r="G3313" s="12" t="e">
        <f>'[4]#REF'!G3313</f>
        <v>#REF!</v>
      </c>
      <c r="H3313" s="31" t="e">
        <f>'[4]#REF'!I3313</f>
        <v>#REF!</v>
      </c>
      <c r="I3313" s="32" t="e">
        <f t="shared" si="82"/>
        <v>#REF!</v>
      </c>
    </row>
    <row r="3314" ht="15.75" spans="6:9">
      <c r="F3314" s="12" t="e">
        <f>'[4]#REF'!F3314</f>
        <v>#REF!</v>
      </c>
      <c r="G3314" s="12" t="e">
        <f>'[4]#REF'!G3314</f>
        <v>#REF!</v>
      </c>
      <c r="H3314" s="31" t="e">
        <f>'[4]#REF'!I3314</f>
        <v>#REF!</v>
      </c>
      <c r="I3314" s="32" t="e">
        <f t="shared" si="82"/>
        <v>#REF!</v>
      </c>
    </row>
    <row r="3315" ht="15.75" spans="6:9">
      <c r="F3315" s="12" t="e">
        <f>'[4]#REF'!F3315</f>
        <v>#REF!</v>
      </c>
      <c r="G3315" s="12" t="e">
        <f>'[4]#REF'!G3315</f>
        <v>#REF!</v>
      </c>
      <c r="H3315" s="31" t="e">
        <f>'[4]#REF'!I3315</f>
        <v>#REF!</v>
      </c>
      <c r="I3315" s="32" t="e">
        <f t="shared" si="82"/>
        <v>#REF!</v>
      </c>
    </row>
    <row r="3316" ht="15.75" spans="6:9">
      <c r="F3316" s="12" t="e">
        <f>'[4]#REF'!F3316</f>
        <v>#REF!</v>
      </c>
      <c r="G3316" s="12" t="e">
        <f>'[4]#REF'!G3316</f>
        <v>#REF!</v>
      </c>
      <c r="H3316" s="31" t="e">
        <f>'[4]#REF'!I3316</f>
        <v>#REF!</v>
      </c>
      <c r="I3316" s="32" t="e">
        <f t="shared" si="82"/>
        <v>#REF!</v>
      </c>
    </row>
    <row r="3317" ht="15.75" spans="6:9">
      <c r="F3317" s="12" t="e">
        <f>'[4]#REF'!F3317</f>
        <v>#REF!</v>
      </c>
      <c r="G3317" s="12" t="e">
        <f>'[4]#REF'!G3317</f>
        <v>#REF!</v>
      </c>
      <c r="H3317" s="31" t="e">
        <f>'[4]#REF'!I3317</f>
        <v>#REF!</v>
      </c>
      <c r="I3317" s="32" t="e">
        <f t="shared" si="82"/>
        <v>#REF!</v>
      </c>
    </row>
    <row r="3318" ht="15.75" spans="6:9">
      <c r="F3318" s="12" t="e">
        <f>'[4]#REF'!F3318</f>
        <v>#REF!</v>
      </c>
      <c r="G3318" s="12" t="e">
        <f>'[4]#REF'!G3318</f>
        <v>#REF!</v>
      </c>
      <c r="H3318" s="31" t="e">
        <f>'[4]#REF'!I3318</f>
        <v>#REF!</v>
      </c>
      <c r="I3318" s="32" t="e">
        <f t="shared" si="82"/>
        <v>#REF!</v>
      </c>
    </row>
    <row r="3319" ht="15.75" spans="6:9">
      <c r="F3319" s="12" t="e">
        <f>'[4]#REF'!F3319</f>
        <v>#REF!</v>
      </c>
      <c r="G3319" s="12" t="e">
        <f>'[4]#REF'!G3319</f>
        <v>#REF!</v>
      </c>
      <c r="H3319" s="31" t="e">
        <f>'[4]#REF'!I3319</f>
        <v>#REF!</v>
      </c>
      <c r="I3319" s="32" t="e">
        <f t="shared" si="82"/>
        <v>#REF!</v>
      </c>
    </row>
    <row r="3320" ht="15.75" spans="6:9">
      <c r="F3320" s="12" t="e">
        <f>'[4]#REF'!F3320</f>
        <v>#REF!</v>
      </c>
      <c r="G3320" s="12" t="e">
        <f>'[4]#REF'!G3320</f>
        <v>#REF!</v>
      </c>
      <c r="H3320" s="31" t="e">
        <f>'[4]#REF'!I3320</f>
        <v>#REF!</v>
      </c>
      <c r="I3320" s="32" t="e">
        <f t="shared" si="82"/>
        <v>#REF!</v>
      </c>
    </row>
    <row r="3321" ht="15.75" spans="6:9">
      <c r="F3321" s="12" t="e">
        <f>'[4]#REF'!F3321</f>
        <v>#REF!</v>
      </c>
      <c r="G3321" s="12" t="e">
        <f>'[4]#REF'!G3321</f>
        <v>#REF!</v>
      </c>
      <c r="H3321" s="31" t="e">
        <f>'[4]#REF'!I3321</f>
        <v>#REF!</v>
      </c>
      <c r="I3321" s="32" t="e">
        <f t="shared" si="82"/>
        <v>#REF!</v>
      </c>
    </row>
    <row r="3322" ht="15.75" spans="6:9">
      <c r="F3322" s="12" t="e">
        <f>'[4]#REF'!F3322</f>
        <v>#REF!</v>
      </c>
      <c r="G3322" s="12" t="e">
        <f>'[4]#REF'!G3322</f>
        <v>#REF!</v>
      </c>
      <c r="H3322" s="31" t="e">
        <f>'[4]#REF'!I3322</f>
        <v>#REF!</v>
      </c>
      <c r="I3322" s="32" t="e">
        <f t="shared" si="82"/>
        <v>#REF!</v>
      </c>
    </row>
    <row r="3323" ht="15.75" spans="6:9">
      <c r="F3323" s="12" t="e">
        <f>'[4]#REF'!F3323</f>
        <v>#REF!</v>
      </c>
      <c r="G3323" s="12" t="e">
        <f>'[4]#REF'!G3323</f>
        <v>#REF!</v>
      </c>
      <c r="H3323" s="31" t="e">
        <f>'[4]#REF'!I3323</f>
        <v>#REF!</v>
      </c>
      <c r="I3323" s="32" t="e">
        <f t="shared" si="82"/>
        <v>#REF!</v>
      </c>
    </row>
    <row r="3324" ht="15.75" spans="6:9">
      <c r="F3324" s="12" t="e">
        <f>'[4]#REF'!F3324</f>
        <v>#REF!</v>
      </c>
      <c r="G3324" s="12" t="e">
        <f>'[4]#REF'!G3324</f>
        <v>#REF!</v>
      </c>
      <c r="H3324" s="31" t="e">
        <f>'[4]#REF'!I3324</f>
        <v>#REF!</v>
      </c>
      <c r="I3324" s="32" t="e">
        <f t="shared" si="82"/>
        <v>#REF!</v>
      </c>
    </row>
    <row r="3325" ht="15.75" spans="6:9">
      <c r="F3325" s="12" t="e">
        <f>'[4]#REF'!F3325</f>
        <v>#REF!</v>
      </c>
      <c r="G3325" s="12" t="e">
        <f>'[4]#REF'!G3325</f>
        <v>#REF!</v>
      </c>
      <c r="H3325" s="31" t="e">
        <f>'[4]#REF'!I3325</f>
        <v>#REF!</v>
      </c>
      <c r="I3325" s="32" t="e">
        <f t="shared" si="82"/>
        <v>#REF!</v>
      </c>
    </row>
    <row r="3326" ht="15.75" spans="6:9">
      <c r="F3326" s="12" t="e">
        <f>'[4]#REF'!F3326</f>
        <v>#REF!</v>
      </c>
      <c r="G3326" s="12" t="e">
        <f>'[4]#REF'!G3326</f>
        <v>#REF!</v>
      </c>
      <c r="H3326" s="31" t="e">
        <f>'[4]#REF'!I3326</f>
        <v>#REF!</v>
      </c>
      <c r="I3326" s="32" t="e">
        <f t="shared" si="82"/>
        <v>#REF!</v>
      </c>
    </row>
    <row r="3327" ht="15.75" spans="6:9">
      <c r="F3327" s="12" t="e">
        <f>'[4]#REF'!F3327</f>
        <v>#REF!</v>
      </c>
      <c r="G3327" s="12" t="e">
        <f>'[4]#REF'!G3327</f>
        <v>#REF!</v>
      </c>
      <c r="H3327" s="31" t="e">
        <f>'[4]#REF'!I3327</f>
        <v>#REF!</v>
      </c>
      <c r="I3327" s="32" t="e">
        <f t="shared" si="82"/>
        <v>#REF!</v>
      </c>
    </row>
    <row r="3328" ht="15.75" spans="6:9">
      <c r="F3328" s="12" t="e">
        <f>'[4]#REF'!F3328</f>
        <v>#REF!</v>
      </c>
      <c r="G3328" s="12" t="e">
        <f>'[4]#REF'!G3328</f>
        <v>#REF!</v>
      </c>
      <c r="H3328" s="31" t="e">
        <f>'[4]#REF'!I3328</f>
        <v>#REF!</v>
      </c>
      <c r="I3328" s="32" t="e">
        <f t="shared" si="82"/>
        <v>#REF!</v>
      </c>
    </row>
    <row r="3329" ht="15.75" spans="6:9">
      <c r="F3329" s="12" t="e">
        <f>'[4]#REF'!F3329</f>
        <v>#REF!</v>
      </c>
      <c r="G3329" s="12" t="e">
        <f>'[4]#REF'!G3329</f>
        <v>#REF!</v>
      </c>
      <c r="H3329" s="31" t="e">
        <f>'[4]#REF'!I3329</f>
        <v>#REF!</v>
      </c>
      <c r="I3329" s="32" t="e">
        <f t="shared" si="82"/>
        <v>#REF!</v>
      </c>
    </row>
    <row r="3330" ht="15.75" spans="6:9">
      <c r="F3330" s="12" t="e">
        <f>'[4]#REF'!F3330</f>
        <v>#REF!</v>
      </c>
      <c r="G3330" s="12" t="e">
        <f>'[4]#REF'!G3330</f>
        <v>#REF!</v>
      </c>
      <c r="H3330" s="31" t="e">
        <f>'[4]#REF'!I3330</f>
        <v>#REF!</v>
      </c>
      <c r="I3330" s="32" t="e">
        <f t="shared" si="82"/>
        <v>#REF!</v>
      </c>
    </row>
    <row r="3331" ht="15.75" spans="6:9">
      <c r="F3331" s="12" t="e">
        <f>'[4]#REF'!F3331</f>
        <v>#REF!</v>
      </c>
      <c r="G3331" s="12" t="e">
        <f>'[4]#REF'!G3331</f>
        <v>#REF!</v>
      </c>
      <c r="H3331" s="31" t="e">
        <f>'[4]#REF'!I3331</f>
        <v>#REF!</v>
      </c>
      <c r="I3331" s="32" t="e">
        <f t="shared" si="82"/>
        <v>#REF!</v>
      </c>
    </row>
    <row r="3332" ht="15.75" spans="6:9">
      <c r="F3332" s="12" t="e">
        <f>'[4]#REF'!F3332</f>
        <v>#REF!</v>
      </c>
      <c r="G3332" s="12" t="e">
        <f>'[4]#REF'!G3332</f>
        <v>#REF!</v>
      </c>
      <c r="H3332" s="31" t="e">
        <f>'[4]#REF'!I3332</f>
        <v>#REF!</v>
      </c>
      <c r="I3332" s="32" t="e">
        <f t="shared" si="82"/>
        <v>#REF!</v>
      </c>
    </row>
    <row r="3333" ht="15.75" spans="6:9">
      <c r="F3333" s="12" t="e">
        <f>'[4]#REF'!F3333</f>
        <v>#REF!</v>
      </c>
      <c r="G3333" s="12" t="e">
        <f>'[4]#REF'!G3333</f>
        <v>#REF!</v>
      </c>
      <c r="H3333" s="31" t="e">
        <f>'[4]#REF'!I3333</f>
        <v>#REF!</v>
      </c>
      <c r="I3333" s="32" t="e">
        <f t="shared" si="82"/>
        <v>#REF!</v>
      </c>
    </row>
    <row r="3334" ht="15.75" spans="6:9">
      <c r="F3334" s="12" t="e">
        <f>'[4]#REF'!F3334</f>
        <v>#REF!</v>
      </c>
      <c r="G3334" s="12" t="e">
        <f>'[4]#REF'!G3334</f>
        <v>#REF!</v>
      </c>
      <c r="H3334" s="31" t="e">
        <f>'[4]#REF'!I3334</f>
        <v>#REF!</v>
      </c>
      <c r="I3334" s="32" t="e">
        <f t="shared" ref="I3334:I3397" si="83">ROUND(H3334/$I$4*100,2)</f>
        <v>#REF!</v>
      </c>
    </row>
    <row r="3335" ht="15.75" spans="6:9">
      <c r="F3335" s="12" t="e">
        <f>'[4]#REF'!F3335</f>
        <v>#REF!</v>
      </c>
      <c r="G3335" s="12" t="e">
        <f>'[4]#REF'!G3335</f>
        <v>#REF!</v>
      </c>
      <c r="H3335" s="31" t="e">
        <f>'[4]#REF'!I3335</f>
        <v>#REF!</v>
      </c>
      <c r="I3335" s="32" t="e">
        <f t="shared" si="83"/>
        <v>#REF!</v>
      </c>
    </row>
    <row r="3336" ht="15.75" spans="6:9">
      <c r="F3336" s="12" t="e">
        <f>'[4]#REF'!F3336</f>
        <v>#REF!</v>
      </c>
      <c r="G3336" s="12" t="e">
        <f>'[4]#REF'!G3336</f>
        <v>#REF!</v>
      </c>
      <c r="H3336" s="31" t="e">
        <f>'[4]#REF'!I3336</f>
        <v>#REF!</v>
      </c>
      <c r="I3336" s="32" t="e">
        <f t="shared" si="83"/>
        <v>#REF!</v>
      </c>
    </row>
    <row r="3337" ht="15.75" spans="6:9">
      <c r="F3337" s="12" t="e">
        <f>'[4]#REF'!F3337</f>
        <v>#REF!</v>
      </c>
      <c r="G3337" s="12" t="e">
        <f>'[4]#REF'!G3337</f>
        <v>#REF!</v>
      </c>
      <c r="H3337" s="31" t="e">
        <f>'[4]#REF'!I3337</f>
        <v>#REF!</v>
      </c>
      <c r="I3337" s="32" t="e">
        <f t="shared" si="83"/>
        <v>#REF!</v>
      </c>
    </row>
    <row r="3338" ht="15.75" spans="6:9">
      <c r="F3338" s="12" t="e">
        <f>'[4]#REF'!F3338</f>
        <v>#REF!</v>
      </c>
      <c r="G3338" s="12" t="e">
        <f>'[4]#REF'!G3338</f>
        <v>#REF!</v>
      </c>
      <c r="H3338" s="31" t="e">
        <f>'[4]#REF'!I3338</f>
        <v>#REF!</v>
      </c>
      <c r="I3338" s="32" t="e">
        <f t="shared" si="83"/>
        <v>#REF!</v>
      </c>
    </row>
    <row r="3339" ht="15.75" spans="6:9">
      <c r="F3339" s="12" t="e">
        <f>'[4]#REF'!F3339</f>
        <v>#REF!</v>
      </c>
      <c r="G3339" s="12" t="e">
        <f>'[4]#REF'!G3339</f>
        <v>#REF!</v>
      </c>
      <c r="H3339" s="31" t="e">
        <f>'[4]#REF'!I3339</f>
        <v>#REF!</v>
      </c>
      <c r="I3339" s="32" t="e">
        <f t="shared" si="83"/>
        <v>#REF!</v>
      </c>
    </row>
    <row r="3340" ht="15.75" spans="6:9">
      <c r="F3340" s="12" t="e">
        <f>'[4]#REF'!F3340</f>
        <v>#REF!</v>
      </c>
      <c r="G3340" s="12" t="e">
        <f>'[4]#REF'!G3340</f>
        <v>#REF!</v>
      </c>
      <c r="H3340" s="31" t="e">
        <f>'[4]#REF'!I3340</f>
        <v>#REF!</v>
      </c>
      <c r="I3340" s="32" t="e">
        <f t="shared" si="83"/>
        <v>#REF!</v>
      </c>
    </row>
    <row r="3341" ht="15.75" spans="6:9">
      <c r="F3341" s="12" t="e">
        <f>'[4]#REF'!F3341</f>
        <v>#REF!</v>
      </c>
      <c r="G3341" s="12" t="e">
        <f>'[4]#REF'!G3341</f>
        <v>#REF!</v>
      </c>
      <c r="H3341" s="31" t="e">
        <f>'[4]#REF'!I3341</f>
        <v>#REF!</v>
      </c>
      <c r="I3341" s="32" t="e">
        <f t="shared" si="83"/>
        <v>#REF!</v>
      </c>
    </row>
    <row r="3342" ht="15.75" spans="6:9">
      <c r="F3342" s="12" t="e">
        <f>'[4]#REF'!F3342</f>
        <v>#REF!</v>
      </c>
      <c r="G3342" s="12" t="e">
        <f>'[4]#REF'!G3342</f>
        <v>#REF!</v>
      </c>
      <c r="H3342" s="31" t="e">
        <f>'[4]#REF'!I3342</f>
        <v>#REF!</v>
      </c>
      <c r="I3342" s="32" t="e">
        <f t="shared" si="83"/>
        <v>#REF!</v>
      </c>
    </row>
    <row r="3343" ht="15.75" spans="6:9">
      <c r="F3343" s="12" t="e">
        <f>'[4]#REF'!F3343</f>
        <v>#REF!</v>
      </c>
      <c r="G3343" s="12" t="e">
        <f>'[4]#REF'!G3343</f>
        <v>#REF!</v>
      </c>
      <c r="H3343" s="31" t="e">
        <f>'[4]#REF'!I3343</f>
        <v>#REF!</v>
      </c>
      <c r="I3343" s="32" t="e">
        <f t="shared" si="83"/>
        <v>#REF!</v>
      </c>
    </row>
    <row r="3344" ht="15.75" spans="6:9">
      <c r="F3344" s="12" t="e">
        <f>'[4]#REF'!F3344</f>
        <v>#REF!</v>
      </c>
      <c r="G3344" s="12" t="e">
        <f>'[4]#REF'!G3344</f>
        <v>#REF!</v>
      </c>
      <c r="H3344" s="31" t="e">
        <f>'[4]#REF'!I3344</f>
        <v>#REF!</v>
      </c>
      <c r="I3344" s="32" t="e">
        <f t="shared" si="83"/>
        <v>#REF!</v>
      </c>
    </row>
    <row r="3345" ht="15.75" spans="6:9">
      <c r="F3345" s="12" t="e">
        <f>'[4]#REF'!F3345</f>
        <v>#REF!</v>
      </c>
      <c r="G3345" s="12" t="e">
        <f>'[4]#REF'!G3345</f>
        <v>#REF!</v>
      </c>
      <c r="H3345" s="31" t="e">
        <f>'[4]#REF'!I3345</f>
        <v>#REF!</v>
      </c>
      <c r="I3345" s="32" t="e">
        <f t="shared" si="83"/>
        <v>#REF!</v>
      </c>
    </row>
    <row r="3346" ht="15.75" spans="6:9">
      <c r="F3346" s="12" t="e">
        <f>'[4]#REF'!F3346</f>
        <v>#REF!</v>
      </c>
      <c r="G3346" s="12" t="e">
        <f>'[4]#REF'!G3346</f>
        <v>#REF!</v>
      </c>
      <c r="H3346" s="31" t="e">
        <f>'[4]#REF'!I3346</f>
        <v>#REF!</v>
      </c>
      <c r="I3346" s="32" t="e">
        <f t="shared" si="83"/>
        <v>#REF!</v>
      </c>
    </row>
    <row r="3347" ht="15.75" spans="6:9">
      <c r="F3347" s="12" t="e">
        <f>'[4]#REF'!F3347</f>
        <v>#REF!</v>
      </c>
      <c r="G3347" s="12" t="e">
        <f>'[4]#REF'!G3347</f>
        <v>#REF!</v>
      </c>
      <c r="H3347" s="31" t="e">
        <f>'[4]#REF'!I3347</f>
        <v>#REF!</v>
      </c>
      <c r="I3347" s="32" t="e">
        <f t="shared" si="83"/>
        <v>#REF!</v>
      </c>
    </row>
    <row r="3348" ht="15.75" spans="6:9">
      <c r="F3348" s="12" t="e">
        <f>'[4]#REF'!F3348</f>
        <v>#REF!</v>
      </c>
      <c r="G3348" s="12" t="e">
        <f>'[4]#REF'!G3348</f>
        <v>#REF!</v>
      </c>
      <c r="H3348" s="31" t="e">
        <f>'[4]#REF'!I3348</f>
        <v>#REF!</v>
      </c>
      <c r="I3348" s="32" t="e">
        <f t="shared" si="83"/>
        <v>#REF!</v>
      </c>
    </row>
    <row r="3349" ht="15.75" spans="6:9">
      <c r="F3349" s="12" t="e">
        <f>'[4]#REF'!F3349</f>
        <v>#REF!</v>
      </c>
      <c r="G3349" s="12" t="e">
        <f>'[4]#REF'!G3349</f>
        <v>#REF!</v>
      </c>
      <c r="H3349" s="31" t="e">
        <f>'[4]#REF'!I3349</f>
        <v>#REF!</v>
      </c>
      <c r="I3349" s="32" t="e">
        <f t="shared" si="83"/>
        <v>#REF!</v>
      </c>
    </row>
    <row r="3350" ht="15.75" spans="6:9">
      <c r="F3350" s="12" t="e">
        <f>'[4]#REF'!F3350</f>
        <v>#REF!</v>
      </c>
      <c r="G3350" s="12" t="e">
        <f>'[4]#REF'!G3350</f>
        <v>#REF!</v>
      </c>
      <c r="H3350" s="31" t="e">
        <f>'[4]#REF'!I3350</f>
        <v>#REF!</v>
      </c>
      <c r="I3350" s="32" t="e">
        <f t="shared" si="83"/>
        <v>#REF!</v>
      </c>
    </row>
    <row r="3351" ht="15.75" spans="6:9">
      <c r="F3351" s="12" t="e">
        <f>'[4]#REF'!F3351</f>
        <v>#REF!</v>
      </c>
      <c r="G3351" s="12" t="e">
        <f>'[4]#REF'!G3351</f>
        <v>#REF!</v>
      </c>
      <c r="H3351" s="31" t="e">
        <f>'[4]#REF'!I3351</f>
        <v>#REF!</v>
      </c>
      <c r="I3351" s="32" t="e">
        <f t="shared" si="83"/>
        <v>#REF!</v>
      </c>
    </row>
    <row r="3352" ht="15.75" spans="6:9">
      <c r="F3352" s="12" t="e">
        <f>'[4]#REF'!F3352</f>
        <v>#REF!</v>
      </c>
      <c r="G3352" s="12" t="e">
        <f>'[4]#REF'!G3352</f>
        <v>#REF!</v>
      </c>
      <c r="H3352" s="31" t="e">
        <f>'[4]#REF'!I3352</f>
        <v>#REF!</v>
      </c>
      <c r="I3352" s="32" t="e">
        <f t="shared" si="83"/>
        <v>#REF!</v>
      </c>
    </row>
    <row r="3353" ht="15.75" spans="6:9">
      <c r="F3353" s="12" t="e">
        <f>'[4]#REF'!F3353</f>
        <v>#REF!</v>
      </c>
      <c r="G3353" s="12" t="e">
        <f>'[4]#REF'!G3353</f>
        <v>#REF!</v>
      </c>
      <c r="H3353" s="31" t="e">
        <f>'[4]#REF'!I3353</f>
        <v>#REF!</v>
      </c>
      <c r="I3353" s="32" t="e">
        <f t="shared" si="83"/>
        <v>#REF!</v>
      </c>
    </row>
    <row r="3354" ht="15.75" spans="6:9">
      <c r="F3354" s="12" t="e">
        <f>'[4]#REF'!F3354</f>
        <v>#REF!</v>
      </c>
      <c r="G3354" s="12" t="e">
        <f>'[4]#REF'!G3354</f>
        <v>#REF!</v>
      </c>
      <c r="H3354" s="31" t="e">
        <f>'[4]#REF'!I3354</f>
        <v>#REF!</v>
      </c>
      <c r="I3354" s="32" t="e">
        <f t="shared" si="83"/>
        <v>#REF!</v>
      </c>
    </row>
    <row r="3355" ht="15.75" spans="6:9">
      <c r="F3355" s="12" t="e">
        <f>'[4]#REF'!F3355</f>
        <v>#REF!</v>
      </c>
      <c r="G3355" s="12" t="e">
        <f>'[4]#REF'!G3355</f>
        <v>#REF!</v>
      </c>
      <c r="H3355" s="31" t="e">
        <f>'[4]#REF'!I3355</f>
        <v>#REF!</v>
      </c>
      <c r="I3355" s="32" t="e">
        <f t="shared" si="83"/>
        <v>#REF!</v>
      </c>
    </row>
    <row r="3356" ht="15.75" spans="6:9">
      <c r="F3356" s="12" t="e">
        <f>'[4]#REF'!F3356</f>
        <v>#REF!</v>
      </c>
      <c r="G3356" s="12" t="e">
        <f>'[4]#REF'!G3356</f>
        <v>#REF!</v>
      </c>
      <c r="H3356" s="31" t="e">
        <f>'[4]#REF'!I3356</f>
        <v>#REF!</v>
      </c>
      <c r="I3356" s="32" t="e">
        <f t="shared" si="83"/>
        <v>#REF!</v>
      </c>
    </row>
    <row r="3357" ht="15.75" spans="6:9">
      <c r="F3357" s="12" t="e">
        <f>'[4]#REF'!F3357</f>
        <v>#REF!</v>
      </c>
      <c r="G3357" s="12" t="e">
        <f>'[4]#REF'!G3357</f>
        <v>#REF!</v>
      </c>
      <c r="H3357" s="31" t="e">
        <f>'[4]#REF'!I3357</f>
        <v>#REF!</v>
      </c>
      <c r="I3357" s="32" t="e">
        <f t="shared" si="83"/>
        <v>#REF!</v>
      </c>
    </row>
    <row r="3358" ht="15.75" spans="6:9">
      <c r="F3358" s="12" t="e">
        <f>'[4]#REF'!F3358</f>
        <v>#REF!</v>
      </c>
      <c r="G3358" s="12" t="e">
        <f>'[4]#REF'!G3358</f>
        <v>#REF!</v>
      </c>
      <c r="H3358" s="31" t="e">
        <f>'[4]#REF'!I3358</f>
        <v>#REF!</v>
      </c>
      <c r="I3358" s="32" t="e">
        <f t="shared" si="83"/>
        <v>#REF!</v>
      </c>
    </row>
    <row r="3359" ht="15.75" spans="6:9">
      <c r="F3359" s="12" t="e">
        <f>'[4]#REF'!F3359</f>
        <v>#REF!</v>
      </c>
      <c r="G3359" s="12" t="e">
        <f>'[4]#REF'!G3359</f>
        <v>#REF!</v>
      </c>
      <c r="H3359" s="31" t="e">
        <f>'[4]#REF'!I3359</f>
        <v>#REF!</v>
      </c>
      <c r="I3359" s="32" t="e">
        <f t="shared" si="83"/>
        <v>#REF!</v>
      </c>
    </row>
    <row r="3360" ht="15.75" spans="6:9">
      <c r="F3360" s="12" t="e">
        <f>'[4]#REF'!F3360</f>
        <v>#REF!</v>
      </c>
      <c r="G3360" s="12" t="e">
        <f>'[4]#REF'!G3360</f>
        <v>#REF!</v>
      </c>
      <c r="H3360" s="31" t="e">
        <f>'[4]#REF'!I3360</f>
        <v>#REF!</v>
      </c>
      <c r="I3360" s="32" t="e">
        <f t="shared" si="83"/>
        <v>#REF!</v>
      </c>
    </row>
    <row r="3361" ht="15.75" spans="6:9">
      <c r="F3361" s="12" t="e">
        <f>'[4]#REF'!F3361</f>
        <v>#REF!</v>
      </c>
      <c r="G3361" s="12" t="e">
        <f>'[4]#REF'!G3361</f>
        <v>#REF!</v>
      </c>
      <c r="H3361" s="31" t="e">
        <f>'[4]#REF'!I3361</f>
        <v>#REF!</v>
      </c>
      <c r="I3361" s="32" t="e">
        <f t="shared" si="83"/>
        <v>#REF!</v>
      </c>
    </row>
    <row r="3362" ht="15.75" spans="6:9">
      <c r="F3362" s="12" t="e">
        <f>'[4]#REF'!F3362</f>
        <v>#REF!</v>
      </c>
      <c r="G3362" s="12" t="e">
        <f>'[4]#REF'!G3362</f>
        <v>#REF!</v>
      </c>
      <c r="H3362" s="31" t="e">
        <f>'[4]#REF'!I3362</f>
        <v>#REF!</v>
      </c>
      <c r="I3362" s="32" t="e">
        <f t="shared" si="83"/>
        <v>#REF!</v>
      </c>
    </row>
    <row r="3363" ht="15.75" spans="6:9">
      <c r="F3363" s="12" t="e">
        <f>'[4]#REF'!F3363</f>
        <v>#REF!</v>
      </c>
      <c r="G3363" s="12" t="e">
        <f>'[4]#REF'!G3363</f>
        <v>#REF!</v>
      </c>
      <c r="H3363" s="31" t="e">
        <f>'[4]#REF'!I3363</f>
        <v>#REF!</v>
      </c>
      <c r="I3363" s="32" t="e">
        <f t="shared" si="83"/>
        <v>#REF!</v>
      </c>
    </row>
    <row r="3364" ht="15.75" spans="6:9">
      <c r="F3364" s="12" t="e">
        <f>'[4]#REF'!F3364</f>
        <v>#REF!</v>
      </c>
      <c r="G3364" s="12" t="e">
        <f>'[4]#REF'!G3364</f>
        <v>#REF!</v>
      </c>
      <c r="H3364" s="31" t="e">
        <f>'[4]#REF'!I3364</f>
        <v>#REF!</v>
      </c>
      <c r="I3364" s="32" t="e">
        <f t="shared" si="83"/>
        <v>#REF!</v>
      </c>
    </row>
    <row r="3365" ht="15.75" spans="6:9">
      <c r="F3365" s="12" t="e">
        <f>'[4]#REF'!F3365</f>
        <v>#REF!</v>
      </c>
      <c r="G3365" s="12" t="e">
        <f>'[4]#REF'!G3365</f>
        <v>#REF!</v>
      </c>
      <c r="H3365" s="31" t="e">
        <f>'[4]#REF'!I3365</f>
        <v>#REF!</v>
      </c>
      <c r="I3365" s="32" t="e">
        <f t="shared" si="83"/>
        <v>#REF!</v>
      </c>
    </row>
    <row r="3366" ht="15.75" spans="6:9">
      <c r="F3366" s="12" t="e">
        <f>'[4]#REF'!F3366</f>
        <v>#REF!</v>
      </c>
      <c r="G3366" s="12" t="e">
        <f>'[4]#REF'!G3366</f>
        <v>#REF!</v>
      </c>
      <c r="H3366" s="31" t="e">
        <f>'[4]#REF'!I3366</f>
        <v>#REF!</v>
      </c>
      <c r="I3366" s="32" t="e">
        <f t="shared" si="83"/>
        <v>#REF!</v>
      </c>
    </row>
    <row r="3367" ht="15.75" spans="6:9">
      <c r="F3367" s="12" t="e">
        <f>'[4]#REF'!F3367</f>
        <v>#REF!</v>
      </c>
      <c r="G3367" s="12" t="e">
        <f>'[4]#REF'!G3367</f>
        <v>#REF!</v>
      </c>
      <c r="H3367" s="31" t="e">
        <f>'[4]#REF'!I3367</f>
        <v>#REF!</v>
      </c>
      <c r="I3367" s="32" t="e">
        <f t="shared" si="83"/>
        <v>#REF!</v>
      </c>
    </row>
    <row r="3368" ht="15.75" spans="6:9">
      <c r="F3368" s="12" t="e">
        <f>'[4]#REF'!F3368</f>
        <v>#REF!</v>
      </c>
      <c r="G3368" s="12" t="e">
        <f>'[4]#REF'!G3368</f>
        <v>#REF!</v>
      </c>
      <c r="H3368" s="31" t="e">
        <f>'[4]#REF'!I3368</f>
        <v>#REF!</v>
      </c>
      <c r="I3368" s="32" t="e">
        <f t="shared" si="83"/>
        <v>#REF!</v>
      </c>
    </row>
    <row r="3369" ht="15.75" spans="6:9">
      <c r="F3369" s="12" t="e">
        <f>'[4]#REF'!F3369</f>
        <v>#REF!</v>
      </c>
      <c r="G3369" s="12" t="e">
        <f>'[4]#REF'!G3369</f>
        <v>#REF!</v>
      </c>
      <c r="H3369" s="31" t="e">
        <f>'[4]#REF'!I3369</f>
        <v>#REF!</v>
      </c>
      <c r="I3369" s="32" t="e">
        <f t="shared" si="83"/>
        <v>#REF!</v>
      </c>
    </row>
    <row r="3370" ht="15.75" spans="6:9">
      <c r="F3370" s="12" t="e">
        <f>'[4]#REF'!F3370</f>
        <v>#REF!</v>
      </c>
      <c r="G3370" s="12" t="e">
        <f>'[4]#REF'!G3370</f>
        <v>#REF!</v>
      </c>
      <c r="H3370" s="31" t="e">
        <f>'[4]#REF'!I3370</f>
        <v>#REF!</v>
      </c>
      <c r="I3370" s="32" t="e">
        <f t="shared" si="83"/>
        <v>#REF!</v>
      </c>
    </row>
    <row r="3371" ht="15.75" spans="6:9">
      <c r="F3371" s="12" t="e">
        <f>'[4]#REF'!F3371</f>
        <v>#REF!</v>
      </c>
      <c r="G3371" s="12" t="e">
        <f>'[4]#REF'!G3371</f>
        <v>#REF!</v>
      </c>
      <c r="H3371" s="31" t="e">
        <f>'[4]#REF'!I3371</f>
        <v>#REF!</v>
      </c>
      <c r="I3371" s="32" t="e">
        <f t="shared" si="83"/>
        <v>#REF!</v>
      </c>
    </row>
    <row r="3372" ht="15.75" spans="6:9">
      <c r="F3372" s="12" t="e">
        <f>'[4]#REF'!F3372</f>
        <v>#REF!</v>
      </c>
      <c r="G3372" s="12" t="e">
        <f>'[4]#REF'!G3372</f>
        <v>#REF!</v>
      </c>
      <c r="H3372" s="31" t="e">
        <f>'[4]#REF'!I3372</f>
        <v>#REF!</v>
      </c>
      <c r="I3372" s="32" t="e">
        <f t="shared" si="83"/>
        <v>#REF!</v>
      </c>
    </row>
    <row r="3373" ht="15.75" spans="6:9">
      <c r="F3373" s="12" t="e">
        <f>'[4]#REF'!F3373</f>
        <v>#REF!</v>
      </c>
      <c r="G3373" s="12" t="e">
        <f>'[4]#REF'!G3373</f>
        <v>#REF!</v>
      </c>
      <c r="H3373" s="31" t="e">
        <f>'[4]#REF'!I3373</f>
        <v>#REF!</v>
      </c>
      <c r="I3373" s="32" t="e">
        <f t="shared" si="83"/>
        <v>#REF!</v>
      </c>
    </row>
    <row r="3374" ht="15.75" spans="6:9">
      <c r="F3374" s="12" t="e">
        <f>'[4]#REF'!F3374</f>
        <v>#REF!</v>
      </c>
      <c r="G3374" s="12" t="e">
        <f>'[4]#REF'!G3374</f>
        <v>#REF!</v>
      </c>
      <c r="H3374" s="31" t="e">
        <f>'[4]#REF'!I3374</f>
        <v>#REF!</v>
      </c>
      <c r="I3374" s="32" t="e">
        <f t="shared" si="83"/>
        <v>#REF!</v>
      </c>
    </row>
    <row r="3375" ht="15.75" spans="6:9">
      <c r="F3375" s="12" t="e">
        <f>'[4]#REF'!F3375</f>
        <v>#REF!</v>
      </c>
      <c r="G3375" s="12" t="e">
        <f>'[4]#REF'!G3375</f>
        <v>#REF!</v>
      </c>
      <c r="H3375" s="31" t="e">
        <f>'[4]#REF'!I3375</f>
        <v>#REF!</v>
      </c>
      <c r="I3375" s="32" t="e">
        <f t="shared" si="83"/>
        <v>#REF!</v>
      </c>
    </row>
    <row r="3376" ht="15.75" spans="6:9">
      <c r="F3376" s="12" t="e">
        <f>'[4]#REF'!F3376</f>
        <v>#REF!</v>
      </c>
      <c r="G3376" s="12" t="e">
        <f>'[4]#REF'!G3376</f>
        <v>#REF!</v>
      </c>
      <c r="H3376" s="31" t="e">
        <f>'[4]#REF'!I3376</f>
        <v>#REF!</v>
      </c>
      <c r="I3376" s="32" t="e">
        <f t="shared" si="83"/>
        <v>#REF!</v>
      </c>
    </row>
    <row r="3377" ht="15.75" spans="6:9">
      <c r="F3377" s="12" t="e">
        <f>'[4]#REF'!F3377</f>
        <v>#REF!</v>
      </c>
      <c r="G3377" s="12" t="e">
        <f>'[4]#REF'!G3377</f>
        <v>#REF!</v>
      </c>
      <c r="H3377" s="31" t="e">
        <f>'[4]#REF'!I3377</f>
        <v>#REF!</v>
      </c>
      <c r="I3377" s="32" t="e">
        <f t="shared" si="83"/>
        <v>#REF!</v>
      </c>
    </row>
    <row r="3378" ht="15.75" spans="6:9">
      <c r="F3378" s="12" t="e">
        <f>'[4]#REF'!F3378</f>
        <v>#REF!</v>
      </c>
      <c r="G3378" s="12" t="e">
        <f>'[4]#REF'!G3378</f>
        <v>#REF!</v>
      </c>
      <c r="H3378" s="31" t="e">
        <f>'[4]#REF'!I3378</f>
        <v>#REF!</v>
      </c>
      <c r="I3378" s="32" t="e">
        <f t="shared" si="83"/>
        <v>#REF!</v>
      </c>
    </row>
    <row r="3379" ht="15.75" spans="6:9">
      <c r="F3379" s="12" t="e">
        <f>'[4]#REF'!F3379</f>
        <v>#REF!</v>
      </c>
      <c r="G3379" s="12" t="e">
        <f>'[4]#REF'!G3379</f>
        <v>#REF!</v>
      </c>
      <c r="H3379" s="31" t="e">
        <f>'[4]#REF'!I3379</f>
        <v>#REF!</v>
      </c>
      <c r="I3379" s="32" t="e">
        <f t="shared" si="83"/>
        <v>#REF!</v>
      </c>
    </row>
    <row r="3380" ht="15.75" spans="6:9">
      <c r="F3380" s="12" t="e">
        <f>'[4]#REF'!F3380</f>
        <v>#REF!</v>
      </c>
      <c r="G3380" s="12" t="e">
        <f>'[4]#REF'!G3380</f>
        <v>#REF!</v>
      </c>
      <c r="H3380" s="31" t="e">
        <f>'[4]#REF'!I3380</f>
        <v>#REF!</v>
      </c>
      <c r="I3380" s="32" t="e">
        <f t="shared" si="83"/>
        <v>#REF!</v>
      </c>
    </row>
    <row r="3381" ht="15.75" spans="6:9">
      <c r="F3381" s="12" t="e">
        <f>'[4]#REF'!F3381</f>
        <v>#REF!</v>
      </c>
      <c r="G3381" s="12" t="e">
        <f>'[4]#REF'!G3381</f>
        <v>#REF!</v>
      </c>
      <c r="H3381" s="31" t="e">
        <f>'[4]#REF'!I3381</f>
        <v>#REF!</v>
      </c>
      <c r="I3381" s="32" t="e">
        <f t="shared" si="83"/>
        <v>#REF!</v>
      </c>
    </row>
    <row r="3382" ht="15.75" spans="6:9">
      <c r="F3382" s="12" t="e">
        <f>'[4]#REF'!F3382</f>
        <v>#REF!</v>
      </c>
      <c r="G3382" s="12" t="e">
        <f>'[4]#REF'!G3382</f>
        <v>#REF!</v>
      </c>
      <c r="H3382" s="31" t="e">
        <f>'[4]#REF'!I3382</f>
        <v>#REF!</v>
      </c>
      <c r="I3382" s="32" t="e">
        <f t="shared" si="83"/>
        <v>#REF!</v>
      </c>
    </row>
    <row r="3383" ht="15.75" spans="6:9">
      <c r="F3383" s="12" t="e">
        <f>'[4]#REF'!F3383</f>
        <v>#REF!</v>
      </c>
      <c r="G3383" s="12" t="e">
        <f>'[4]#REF'!G3383</f>
        <v>#REF!</v>
      </c>
      <c r="H3383" s="31" t="e">
        <f>'[4]#REF'!I3383</f>
        <v>#REF!</v>
      </c>
      <c r="I3383" s="32" t="e">
        <f t="shared" si="83"/>
        <v>#REF!</v>
      </c>
    </row>
    <row r="3384" ht="15.75" spans="6:9">
      <c r="F3384" s="12" t="e">
        <f>'[4]#REF'!F3384</f>
        <v>#REF!</v>
      </c>
      <c r="G3384" s="12" t="e">
        <f>'[4]#REF'!G3384</f>
        <v>#REF!</v>
      </c>
      <c r="H3384" s="31" t="e">
        <f>'[4]#REF'!I3384</f>
        <v>#REF!</v>
      </c>
      <c r="I3384" s="32" t="e">
        <f t="shared" si="83"/>
        <v>#REF!</v>
      </c>
    </row>
    <row r="3385" ht="15.75" spans="6:9">
      <c r="F3385" s="12" t="e">
        <f>'[4]#REF'!F3385</f>
        <v>#REF!</v>
      </c>
      <c r="G3385" s="12" t="e">
        <f>'[4]#REF'!G3385</f>
        <v>#REF!</v>
      </c>
      <c r="H3385" s="31" t="e">
        <f>'[4]#REF'!I3385</f>
        <v>#REF!</v>
      </c>
      <c r="I3385" s="32" t="e">
        <f t="shared" si="83"/>
        <v>#REF!</v>
      </c>
    </row>
    <row r="3386" ht="15.75" spans="6:9">
      <c r="F3386" s="12" t="e">
        <f>'[4]#REF'!F3386</f>
        <v>#REF!</v>
      </c>
      <c r="G3386" s="12" t="e">
        <f>'[4]#REF'!G3386</f>
        <v>#REF!</v>
      </c>
      <c r="H3386" s="31" t="e">
        <f>'[4]#REF'!I3386</f>
        <v>#REF!</v>
      </c>
      <c r="I3386" s="32" t="e">
        <f t="shared" si="83"/>
        <v>#REF!</v>
      </c>
    </row>
    <row r="3387" ht="15.75" spans="6:9">
      <c r="F3387" s="12" t="e">
        <f>'[4]#REF'!F3387</f>
        <v>#REF!</v>
      </c>
      <c r="G3387" s="12" t="e">
        <f>'[4]#REF'!G3387</f>
        <v>#REF!</v>
      </c>
      <c r="H3387" s="31" t="e">
        <f>'[4]#REF'!I3387</f>
        <v>#REF!</v>
      </c>
      <c r="I3387" s="32" t="e">
        <f t="shared" si="83"/>
        <v>#REF!</v>
      </c>
    </row>
    <row r="3388" ht="15.75" spans="6:9">
      <c r="F3388" s="12" t="e">
        <f>'[4]#REF'!F3388</f>
        <v>#REF!</v>
      </c>
      <c r="G3388" s="12" t="e">
        <f>'[4]#REF'!G3388</f>
        <v>#REF!</v>
      </c>
      <c r="H3388" s="31" t="e">
        <f>'[4]#REF'!I3388</f>
        <v>#REF!</v>
      </c>
      <c r="I3388" s="32" t="e">
        <f t="shared" si="83"/>
        <v>#REF!</v>
      </c>
    </row>
    <row r="3389" ht="15.75" spans="6:9">
      <c r="F3389" s="12" t="e">
        <f>'[4]#REF'!F3389</f>
        <v>#REF!</v>
      </c>
      <c r="G3389" s="12" t="e">
        <f>'[4]#REF'!G3389</f>
        <v>#REF!</v>
      </c>
      <c r="H3389" s="31" t="e">
        <f>'[4]#REF'!I3389</f>
        <v>#REF!</v>
      </c>
      <c r="I3389" s="32" t="e">
        <f t="shared" si="83"/>
        <v>#REF!</v>
      </c>
    </row>
    <row r="3390" ht="15.75" spans="6:9">
      <c r="F3390" s="12" t="e">
        <f>'[4]#REF'!F3390</f>
        <v>#REF!</v>
      </c>
      <c r="G3390" s="12" t="e">
        <f>'[4]#REF'!G3390</f>
        <v>#REF!</v>
      </c>
      <c r="H3390" s="31" t="e">
        <f>'[4]#REF'!I3390</f>
        <v>#REF!</v>
      </c>
      <c r="I3390" s="32" t="e">
        <f t="shared" si="83"/>
        <v>#REF!</v>
      </c>
    </row>
    <row r="3391" ht="15.75" spans="6:9">
      <c r="F3391" s="12" t="e">
        <f>'[4]#REF'!F3391</f>
        <v>#REF!</v>
      </c>
      <c r="G3391" s="12" t="e">
        <f>'[4]#REF'!G3391</f>
        <v>#REF!</v>
      </c>
      <c r="H3391" s="31" t="e">
        <f>'[4]#REF'!I3391</f>
        <v>#REF!</v>
      </c>
      <c r="I3391" s="32" t="e">
        <f t="shared" si="83"/>
        <v>#REF!</v>
      </c>
    </row>
    <row r="3392" ht="15.75" spans="6:9">
      <c r="F3392" s="12" t="e">
        <f>'[4]#REF'!F3392</f>
        <v>#REF!</v>
      </c>
      <c r="G3392" s="12" t="e">
        <f>'[4]#REF'!G3392</f>
        <v>#REF!</v>
      </c>
      <c r="H3392" s="31" t="e">
        <f>'[4]#REF'!I3392</f>
        <v>#REF!</v>
      </c>
      <c r="I3392" s="32" t="e">
        <f t="shared" si="83"/>
        <v>#REF!</v>
      </c>
    </row>
    <row r="3393" ht="15.75" spans="6:9">
      <c r="F3393" s="12" t="e">
        <f>'[4]#REF'!F3393</f>
        <v>#REF!</v>
      </c>
      <c r="G3393" s="12" t="e">
        <f>'[4]#REF'!G3393</f>
        <v>#REF!</v>
      </c>
      <c r="H3393" s="31" t="e">
        <f>'[4]#REF'!I3393</f>
        <v>#REF!</v>
      </c>
      <c r="I3393" s="32" t="e">
        <f t="shared" si="83"/>
        <v>#REF!</v>
      </c>
    </row>
    <row r="3394" ht="15.75" spans="6:9">
      <c r="F3394" s="12" t="e">
        <f>'[4]#REF'!F3394</f>
        <v>#REF!</v>
      </c>
      <c r="G3394" s="12" t="e">
        <f>'[4]#REF'!G3394</f>
        <v>#REF!</v>
      </c>
      <c r="H3394" s="31" t="e">
        <f>'[4]#REF'!I3394</f>
        <v>#REF!</v>
      </c>
      <c r="I3394" s="32" t="e">
        <f t="shared" si="83"/>
        <v>#REF!</v>
      </c>
    </row>
    <row r="3395" ht="15.75" spans="6:9">
      <c r="F3395" s="12" t="e">
        <f>'[4]#REF'!F3395</f>
        <v>#REF!</v>
      </c>
      <c r="G3395" s="12" t="e">
        <f>'[4]#REF'!G3395</f>
        <v>#REF!</v>
      </c>
      <c r="H3395" s="31" t="e">
        <f>'[4]#REF'!I3395</f>
        <v>#REF!</v>
      </c>
      <c r="I3395" s="32" t="e">
        <f t="shared" si="83"/>
        <v>#REF!</v>
      </c>
    </row>
    <row r="3396" ht="15.75" spans="6:9">
      <c r="F3396" s="12" t="e">
        <f>'[4]#REF'!F3396</f>
        <v>#REF!</v>
      </c>
      <c r="G3396" s="12" t="e">
        <f>'[4]#REF'!G3396</f>
        <v>#REF!</v>
      </c>
      <c r="H3396" s="31" t="e">
        <f>'[4]#REF'!I3396</f>
        <v>#REF!</v>
      </c>
      <c r="I3396" s="32" t="e">
        <f t="shared" si="83"/>
        <v>#REF!</v>
      </c>
    </row>
    <row r="3397" ht="15.75" spans="6:9">
      <c r="F3397" s="12" t="e">
        <f>'[4]#REF'!F3397</f>
        <v>#REF!</v>
      </c>
      <c r="G3397" s="12" t="e">
        <f>'[4]#REF'!G3397</f>
        <v>#REF!</v>
      </c>
      <c r="H3397" s="31" t="e">
        <f>'[4]#REF'!I3397</f>
        <v>#REF!</v>
      </c>
      <c r="I3397" s="32" t="e">
        <f t="shared" si="83"/>
        <v>#REF!</v>
      </c>
    </row>
    <row r="3398" ht="15.75" spans="6:9">
      <c r="F3398" s="12" t="e">
        <f>'[4]#REF'!F3398</f>
        <v>#REF!</v>
      </c>
      <c r="G3398" s="12" t="e">
        <f>'[4]#REF'!G3398</f>
        <v>#REF!</v>
      </c>
      <c r="H3398" s="31" t="e">
        <f>'[4]#REF'!I3398</f>
        <v>#REF!</v>
      </c>
      <c r="I3398" s="32" t="e">
        <f t="shared" ref="I3398:I3461" si="84">ROUND(H3398/$I$4*100,2)</f>
        <v>#REF!</v>
      </c>
    </row>
    <row r="3399" ht="15.75" spans="6:9">
      <c r="F3399" s="12" t="e">
        <f>'[4]#REF'!F3399</f>
        <v>#REF!</v>
      </c>
      <c r="G3399" s="12" t="e">
        <f>'[4]#REF'!G3399</f>
        <v>#REF!</v>
      </c>
      <c r="H3399" s="31" t="e">
        <f>'[4]#REF'!I3399</f>
        <v>#REF!</v>
      </c>
      <c r="I3399" s="32" t="e">
        <f t="shared" si="84"/>
        <v>#REF!</v>
      </c>
    </row>
    <row r="3400" ht="15.75" spans="6:9">
      <c r="F3400" s="12" t="e">
        <f>'[4]#REF'!F3400</f>
        <v>#REF!</v>
      </c>
      <c r="G3400" s="12" t="e">
        <f>'[4]#REF'!G3400</f>
        <v>#REF!</v>
      </c>
      <c r="H3400" s="31" t="e">
        <f>'[4]#REF'!I3400</f>
        <v>#REF!</v>
      </c>
      <c r="I3400" s="32" t="e">
        <f t="shared" si="84"/>
        <v>#REF!</v>
      </c>
    </row>
    <row r="3401" ht="15.75" spans="6:9">
      <c r="F3401" s="12" t="e">
        <f>'[4]#REF'!F3401</f>
        <v>#REF!</v>
      </c>
      <c r="G3401" s="12" t="e">
        <f>'[4]#REF'!G3401</f>
        <v>#REF!</v>
      </c>
      <c r="H3401" s="31" t="e">
        <f>'[4]#REF'!I3401</f>
        <v>#REF!</v>
      </c>
      <c r="I3401" s="32" t="e">
        <f t="shared" si="84"/>
        <v>#REF!</v>
      </c>
    </row>
    <row r="3402" ht="15.75" spans="6:9">
      <c r="F3402" s="12" t="e">
        <f>'[4]#REF'!F3402</f>
        <v>#REF!</v>
      </c>
      <c r="G3402" s="12" t="e">
        <f>'[4]#REF'!G3402</f>
        <v>#REF!</v>
      </c>
      <c r="H3402" s="31" t="e">
        <f>'[4]#REF'!I3402</f>
        <v>#REF!</v>
      </c>
      <c r="I3402" s="32" t="e">
        <f t="shared" si="84"/>
        <v>#REF!</v>
      </c>
    </row>
    <row r="3403" ht="15.75" spans="6:9">
      <c r="F3403" s="12" t="e">
        <f>'[4]#REF'!F3403</f>
        <v>#REF!</v>
      </c>
      <c r="G3403" s="12" t="e">
        <f>'[4]#REF'!G3403</f>
        <v>#REF!</v>
      </c>
      <c r="H3403" s="31" t="e">
        <f>'[4]#REF'!I3403</f>
        <v>#REF!</v>
      </c>
      <c r="I3403" s="32" t="e">
        <f t="shared" si="84"/>
        <v>#REF!</v>
      </c>
    </row>
    <row r="3404" ht="15.75" spans="6:9">
      <c r="F3404" s="12" t="e">
        <f>'[4]#REF'!F3404</f>
        <v>#REF!</v>
      </c>
      <c r="G3404" s="12" t="e">
        <f>'[4]#REF'!G3404</f>
        <v>#REF!</v>
      </c>
      <c r="H3404" s="31" t="e">
        <f>'[4]#REF'!I3404</f>
        <v>#REF!</v>
      </c>
      <c r="I3404" s="32" t="e">
        <f t="shared" si="84"/>
        <v>#REF!</v>
      </c>
    </row>
    <row r="3405" ht="15.75" spans="6:9">
      <c r="F3405" s="12" t="e">
        <f>'[4]#REF'!F3405</f>
        <v>#REF!</v>
      </c>
      <c r="G3405" s="12" t="e">
        <f>'[4]#REF'!G3405</f>
        <v>#REF!</v>
      </c>
      <c r="H3405" s="31" t="e">
        <f>'[4]#REF'!I3405</f>
        <v>#REF!</v>
      </c>
      <c r="I3405" s="32" t="e">
        <f t="shared" si="84"/>
        <v>#REF!</v>
      </c>
    </row>
    <row r="3406" ht="15.75" spans="6:9">
      <c r="F3406" s="12" t="e">
        <f>'[4]#REF'!F3406</f>
        <v>#REF!</v>
      </c>
      <c r="G3406" s="12" t="e">
        <f>'[4]#REF'!G3406</f>
        <v>#REF!</v>
      </c>
      <c r="H3406" s="31" t="e">
        <f>'[4]#REF'!I3406</f>
        <v>#REF!</v>
      </c>
      <c r="I3406" s="32" t="e">
        <f t="shared" si="84"/>
        <v>#REF!</v>
      </c>
    </row>
    <row r="3407" ht="15.75" spans="6:9">
      <c r="F3407" s="12" t="e">
        <f>'[4]#REF'!F3407</f>
        <v>#REF!</v>
      </c>
      <c r="G3407" s="12" t="e">
        <f>'[4]#REF'!G3407</f>
        <v>#REF!</v>
      </c>
      <c r="H3407" s="31" t="e">
        <f>'[4]#REF'!I3407</f>
        <v>#REF!</v>
      </c>
      <c r="I3407" s="32" t="e">
        <f t="shared" si="84"/>
        <v>#REF!</v>
      </c>
    </row>
    <row r="3408" ht="15.75" spans="6:9">
      <c r="F3408" s="12" t="e">
        <f>'[4]#REF'!F3408</f>
        <v>#REF!</v>
      </c>
      <c r="G3408" s="12" t="e">
        <f>'[4]#REF'!G3408</f>
        <v>#REF!</v>
      </c>
      <c r="H3408" s="31" t="e">
        <f>'[4]#REF'!I3408</f>
        <v>#REF!</v>
      </c>
      <c r="I3408" s="32" t="e">
        <f t="shared" si="84"/>
        <v>#REF!</v>
      </c>
    </row>
    <row r="3409" ht="15.75" spans="6:9">
      <c r="F3409" s="12" t="e">
        <f>'[4]#REF'!F3409</f>
        <v>#REF!</v>
      </c>
      <c r="G3409" s="12" t="e">
        <f>'[4]#REF'!G3409</f>
        <v>#REF!</v>
      </c>
      <c r="H3409" s="31" t="e">
        <f>'[4]#REF'!I3409</f>
        <v>#REF!</v>
      </c>
      <c r="I3409" s="32" t="e">
        <f t="shared" si="84"/>
        <v>#REF!</v>
      </c>
    </row>
    <row r="3410" ht="15.75" spans="6:9">
      <c r="F3410" s="12" t="e">
        <f>'[4]#REF'!F3410</f>
        <v>#REF!</v>
      </c>
      <c r="G3410" s="12" t="e">
        <f>'[4]#REF'!G3410</f>
        <v>#REF!</v>
      </c>
      <c r="H3410" s="31" t="e">
        <f>'[4]#REF'!I3410</f>
        <v>#REF!</v>
      </c>
      <c r="I3410" s="32" t="e">
        <f t="shared" si="84"/>
        <v>#REF!</v>
      </c>
    </row>
    <row r="3411" ht="15.75" spans="6:9">
      <c r="F3411" s="12" t="e">
        <f>'[4]#REF'!F3411</f>
        <v>#REF!</v>
      </c>
      <c r="G3411" s="12" t="e">
        <f>'[4]#REF'!G3411</f>
        <v>#REF!</v>
      </c>
      <c r="H3411" s="31" t="e">
        <f>'[4]#REF'!I3411</f>
        <v>#REF!</v>
      </c>
      <c r="I3411" s="32" t="e">
        <f t="shared" si="84"/>
        <v>#REF!</v>
      </c>
    </row>
    <row r="3412" ht="15.75" spans="6:9">
      <c r="F3412" s="12" t="e">
        <f>'[4]#REF'!F3412</f>
        <v>#REF!</v>
      </c>
      <c r="G3412" s="12" t="e">
        <f>'[4]#REF'!G3412</f>
        <v>#REF!</v>
      </c>
      <c r="H3412" s="31" t="e">
        <f>'[4]#REF'!I3412</f>
        <v>#REF!</v>
      </c>
      <c r="I3412" s="32" t="e">
        <f t="shared" si="84"/>
        <v>#REF!</v>
      </c>
    </row>
    <row r="3413" ht="15.75" spans="6:9">
      <c r="F3413" s="12" t="e">
        <f>'[4]#REF'!F3413</f>
        <v>#REF!</v>
      </c>
      <c r="G3413" s="12" t="e">
        <f>'[4]#REF'!G3413</f>
        <v>#REF!</v>
      </c>
      <c r="H3413" s="31" t="e">
        <f>'[4]#REF'!I3413</f>
        <v>#REF!</v>
      </c>
      <c r="I3413" s="32" t="e">
        <f t="shared" si="84"/>
        <v>#REF!</v>
      </c>
    </row>
    <row r="3414" ht="15.75" spans="6:9">
      <c r="F3414" s="12" t="e">
        <f>'[4]#REF'!F3414</f>
        <v>#REF!</v>
      </c>
      <c r="G3414" s="12" t="e">
        <f>'[4]#REF'!G3414</f>
        <v>#REF!</v>
      </c>
      <c r="H3414" s="31" t="e">
        <f>'[4]#REF'!I3414</f>
        <v>#REF!</v>
      </c>
      <c r="I3414" s="32" t="e">
        <f t="shared" si="84"/>
        <v>#REF!</v>
      </c>
    </row>
    <row r="3415" ht="15.75" spans="6:9">
      <c r="F3415" s="12" t="e">
        <f>'[4]#REF'!F3415</f>
        <v>#REF!</v>
      </c>
      <c r="G3415" s="12" t="e">
        <f>'[4]#REF'!G3415</f>
        <v>#REF!</v>
      </c>
      <c r="H3415" s="31" t="e">
        <f>'[4]#REF'!I3415</f>
        <v>#REF!</v>
      </c>
      <c r="I3415" s="32" t="e">
        <f t="shared" si="84"/>
        <v>#REF!</v>
      </c>
    </row>
    <row r="3416" ht="15.75" spans="6:9">
      <c r="F3416" s="12" t="e">
        <f>'[4]#REF'!F3416</f>
        <v>#REF!</v>
      </c>
      <c r="G3416" s="12" t="e">
        <f>'[4]#REF'!G3416</f>
        <v>#REF!</v>
      </c>
      <c r="H3416" s="31" t="e">
        <f>'[4]#REF'!I3416</f>
        <v>#REF!</v>
      </c>
      <c r="I3416" s="32" t="e">
        <f t="shared" si="84"/>
        <v>#REF!</v>
      </c>
    </row>
    <row r="3417" ht="15.75" spans="6:9">
      <c r="F3417" s="12" t="e">
        <f>'[4]#REF'!F3417</f>
        <v>#REF!</v>
      </c>
      <c r="G3417" s="12" t="e">
        <f>'[4]#REF'!G3417</f>
        <v>#REF!</v>
      </c>
      <c r="H3417" s="31" t="e">
        <f>'[4]#REF'!I3417</f>
        <v>#REF!</v>
      </c>
      <c r="I3417" s="32" t="e">
        <f t="shared" si="84"/>
        <v>#REF!</v>
      </c>
    </row>
    <row r="3418" ht="15.75" spans="6:9">
      <c r="F3418" s="12" t="e">
        <f>'[4]#REF'!F3418</f>
        <v>#REF!</v>
      </c>
      <c r="G3418" s="12" t="e">
        <f>'[4]#REF'!G3418</f>
        <v>#REF!</v>
      </c>
      <c r="H3418" s="31" t="e">
        <f>'[4]#REF'!I3418</f>
        <v>#REF!</v>
      </c>
      <c r="I3418" s="32" t="e">
        <f t="shared" si="84"/>
        <v>#REF!</v>
      </c>
    </row>
    <row r="3419" ht="15.75" spans="6:9">
      <c r="F3419" s="12" t="e">
        <f>'[4]#REF'!F3419</f>
        <v>#REF!</v>
      </c>
      <c r="G3419" s="12" t="e">
        <f>'[4]#REF'!G3419</f>
        <v>#REF!</v>
      </c>
      <c r="H3419" s="31" t="e">
        <f>'[4]#REF'!I3419</f>
        <v>#REF!</v>
      </c>
      <c r="I3419" s="32" t="e">
        <f t="shared" si="84"/>
        <v>#REF!</v>
      </c>
    </row>
    <row r="3420" ht="15.75" spans="6:9">
      <c r="F3420" s="12" t="e">
        <f>'[4]#REF'!F3420</f>
        <v>#REF!</v>
      </c>
      <c r="G3420" s="12" t="e">
        <f>'[4]#REF'!G3420</f>
        <v>#REF!</v>
      </c>
      <c r="H3420" s="31" t="e">
        <f>'[4]#REF'!I3420</f>
        <v>#REF!</v>
      </c>
      <c r="I3420" s="32" t="e">
        <f t="shared" si="84"/>
        <v>#REF!</v>
      </c>
    </row>
    <row r="3421" ht="15.75" spans="6:9">
      <c r="F3421" s="12" t="e">
        <f>'[4]#REF'!F3421</f>
        <v>#REF!</v>
      </c>
      <c r="G3421" s="12" t="e">
        <f>'[4]#REF'!G3421</f>
        <v>#REF!</v>
      </c>
      <c r="H3421" s="31" t="e">
        <f>'[4]#REF'!I3421</f>
        <v>#REF!</v>
      </c>
      <c r="I3421" s="32" t="e">
        <f t="shared" si="84"/>
        <v>#REF!</v>
      </c>
    </row>
    <row r="3422" ht="15.75" spans="6:9">
      <c r="F3422" s="12" t="e">
        <f>'[4]#REF'!F3422</f>
        <v>#REF!</v>
      </c>
      <c r="G3422" s="12" t="e">
        <f>'[4]#REF'!G3422</f>
        <v>#REF!</v>
      </c>
      <c r="H3422" s="31" t="e">
        <f>'[4]#REF'!I3422</f>
        <v>#REF!</v>
      </c>
      <c r="I3422" s="32" t="e">
        <f t="shared" si="84"/>
        <v>#REF!</v>
      </c>
    </row>
    <row r="3423" ht="15.75" spans="6:9">
      <c r="F3423" s="12" t="e">
        <f>'[4]#REF'!F3423</f>
        <v>#REF!</v>
      </c>
      <c r="G3423" s="12" t="e">
        <f>'[4]#REF'!G3423</f>
        <v>#REF!</v>
      </c>
      <c r="H3423" s="31" t="e">
        <f>'[4]#REF'!I3423</f>
        <v>#REF!</v>
      </c>
      <c r="I3423" s="32" t="e">
        <f t="shared" si="84"/>
        <v>#REF!</v>
      </c>
    </row>
    <row r="3424" ht="15.75" spans="6:9">
      <c r="F3424" s="12" t="e">
        <f>'[4]#REF'!F3424</f>
        <v>#REF!</v>
      </c>
      <c r="G3424" s="12" t="e">
        <f>'[4]#REF'!G3424</f>
        <v>#REF!</v>
      </c>
      <c r="H3424" s="31" t="e">
        <f>'[4]#REF'!I3424</f>
        <v>#REF!</v>
      </c>
      <c r="I3424" s="32" t="e">
        <f t="shared" si="84"/>
        <v>#REF!</v>
      </c>
    </row>
    <row r="3425" ht="15.75" spans="6:9">
      <c r="F3425" s="12" t="e">
        <f>'[4]#REF'!F3425</f>
        <v>#REF!</v>
      </c>
      <c r="G3425" s="12" t="e">
        <f>'[4]#REF'!G3425</f>
        <v>#REF!</v>
      </c>
      <c r="H3425" s="31" t="e">
        <f>'[4]#REF'!I3425</f>
        <v>#REF!</v>
      </c>
      <c r="I3425" s="32" t="e">
        <f t="shared" si="84"/>
        <v>#REF!</v>
      </c>
    </row>
    <row r="3426" ht="15.75" spans="6:9">
      <c r="F3426" s="12" t="e">
        <f>'[4]#REF'!F3426</f>
        <v>#REF!</v>
      </c>
      <c r="G3426" s="12" t="e">
        <f>'[4]#REF'!G3426</f>
        <v>#REF!</v>
      </c>
      <c r="H3426" s="31" t="e">
        <f>'[4]#REF'!I3426</f>
        <v>#REF!</v>
      </c>
      <c r="I3426" s="32" t="e">
        <f t="shared" si="84"/>
        <v>#REF!</v>
      </c>
    </row>
    <row r="3427" ht="15.75" spans="6:9">
      <c r="F3427" s="12" t="e">
        <f>'[4]#REF'!F3427</f>
        <v>#REF!</v>
      </c>
      <c r="G3427" s="12" t="e">
        <f>'[4]#REF'!G3427</f>
        <v>#REF!</v>
      </c>
      <c r="H3427" s="31" t="e">
        <f>'[4]#REF'!I3427</f>
        <v>#REF!</v>
      </c>
      <c r="I3427" s="32" t="e">
        <f t="shared" si="84"/>
        <v>#REF!</v>
      </c>
    </row>
    <row r="3428" ht="15.75" spans="6:9">
      <c r="F3428" s="12" t="e">
        <f>'[4]#REF'!F3428</f>
        <v>#REF!</v>
      </c>
      <c r="G3428" s="12" t="e">
        <f>'[4]#REF'!G3428</f>
        <v>#REF!</v>
      </c>
      <c r="H3428" s="31" t="e">
        <f>'[4]#REF'!I3428</f>
        <v>#REF!</v>
      </c>
      <c r="I3428" s="32" t="e">
        <f t="shared" si="84"/>
        <v>#REF!</v>
      </c>
    </row>
    <row r="3429" ht="15.75" spans="6:9">
      <c r="F3429" s="12" t="e">
        <f>'[4]#REF'!F3429</f>
        <v>#REF!</v>
      </c>
      <c r="G3429" s="12" t="e">
        <f>'[4]#REF'!G3429</f>
        <v>#REF!</v>
      </c>
      <c r="H3429" s="31" t="e">
        <f>'[4]#REF'!I3429</f>
        <v>#REF!</v>
      </c>
      <c r="I3429" s="32" t="e">
        <f t="shared" si="84"/>
        <v>#REF!</v>
      </c>
    </row>
    <row r="3430" ht="15.75" spans="6:9">
      <c r="F3430" s="12" t="e">
        <f>'[4]#REF'!F3430</f>
        <v>#REF!</v>
      </c>
      <c r="G3430" s="12" t="e">
        <f>'[4]#REF'!G3430</f>
        <v>#REF!</v>
      </c>
      <c r="H3430" s="31" t="e">
        <f>'[4]#REF'!I3430</f>
        <v>#REF!</v>
      </c>
      <c r="I3430" s="32" t="e">
        <f t="shared" si="84"/>
        <v>#REF!</v>
      </c>
    </row>
    <row r="3431" ht="15.75" spans="6:9">
      <c r="F3431" s="12" t="e">
        <f>'[4]#REF'!F3431</f>
        <v>#REF!</v>
      </c>
      <c r="G3431" s="12" t="e">
        <f>'[4]#REF'!G3431</f>
        <v>#REF!</v>
      </c>
      <c r="H3431" s="31" t="e">
        <f>'[4]#REF'!I3431</f>
        <v>#REF!</v>
      </c>
      <c r="I3431" s="32" t="e">
        <f t="shared" si="84"/>
        <v>#REF!</v>
      </c>
    </row>
    <row r="3432" ht="15.75" spans="6:9">
      <c r="F3432" s="12" t="e">
        <f>'[4]#REF'!F3432</f>
        <v>#REF!</v>
      </c>
      <c r="G3432" s="12" t="e">
        <f>'[4]#REF'!G3432</f>
        <v>#REF!</v>
      </c>
      <c r="H3432" s="31" t="e">
        <f>'[4]#REF'!I3432</f>
        <v>#REF!</v>
      </c>
      <c r="I3432" s="32" t="e">
        <f t="shared" si="84"/>
        <v>#REF!</v>
      </c>
    </row>
    <row r="3433" ht="15.75" spans="6:9">
      <c r="F3433" s="12" t="e">
        <f>'[4]#REF'!F3433</f>
        <v>#REF!</v>
      </c>
      <c r="G3433" s="12" t="e">
        <f>'[4]#REF'!G3433</f>
        <v>#REF!</v>
      </c>
      <c r="H3433" s="31" t="e">
        <f>'[4]#REF'!I3433</f>
        <v>#REF!</v>
      </c>
      <c r="I3433" s="32" t="e">
        <f t="shared" si="84"/>
        <v>#REF!</v>
      </c>
    </row>
    <row r="3434" ht="15.75" spans="6:9">
      <c r="F3434" s="12" t="e">
        <f>'[4]#REF'!F3434</f>
        <v>#REF!</v>
      </c>
      <c r="G3434" s="12" t="e">
        <f>'[4]#REF'!G3434</f>
        <v>#REF!</v>
      </c>
      <c r="H3434" s="31" t="e">
        <f>'[4]#REF'!I3434</f>
        <v>#REF!</v>
      </c>
      <c r="I3434" s="32" t="e">
        <f t="shared" si="84"/>
        <v>#REF!</v>
      </c>
    </row>
    <row r="3435" ht="15.75" spans="6:9">
      <c r="F3435" s="12" t="e">
        <f>'[4]#REF'!F3435</f>
        <v>#REF!</v>
      </c>
      <c r="G3435" s="12" t="e">
        <f>'[4]#REF'!G3435</f>
        <v>#REF!</v>
      </c>
      <c r="H3435" s="31" t="e">
        <f>'[4]#REF'!I3435</f>
        <v>#REF!</v>
      </c>
      <c r="I3435" s="32" t="e">
        <f t="shared" si="84"/>
        <v>#REF!</v>
      </c>
    </row>
    <row r="3436" ht="15.75" spans="6:9">
      <c r="F3436" s="12" t="e">
        <f>'[4]#REF'!F3436</f>
        <v>#REF!</v>
      </c>
      <c r="G3436" s="12" t="e">
        <f>'[4]#REF'!G3436</f>
        <v>#REF!</v>
      </c>
      <c r="H3436" s="31" t="e">
        <f>'[4]#REF'!I3436</f>
        <v>#REF!</v>
      </c>
      <c r="I3436" s="32" t="e">
        <f t="shared" si="84"/>
        <v>#REF!</v>
      </c>
    </row>
    <row r="3437" ht="15.75" spans="6:9">
      <c r="F3437" s="12" t="e">
        <f>'[4]#REF'!F3437</f>
        <v>#REF!</v>
      </c>
      <c r="G3437" s="12" t="e">
        <f>'[4]#REF'!G3437</f>
        <v>#REF!</v>
      </c>
      <c r="H3437" s="31" t="e">
        <f>'[4]#REF'!I3437</f>
        <v>#REF!</v>
      </c>
      <c r="I3437" s="32" t="e">
        <f t="shared" si="84"/>
        <v>#REF!</v>
      </c>
    </row>
    <row r="3438" ht="15.75" spans="6:9">
      <c r="F3438" s="12" t="e">
        <f>'[4]#REF'!F3438</f>
        <v>#REF!</v>
      </c>
      <c r="G3438" s="12" t="e">
        <f>'[4]#REF'!G3438</f>
        <v>#REF!</v>
      </c>
      <c r="H3438" s="31" t="e">
        <f>'[4]#REF'!I3438</f>
        <v>#REF!</v>
      </c>
      <c r="I3438" s="32" t="e">
        <f t="shared" si="84"/>
        <v>#REF!</v>
      </c>
    </row>
    <row r="3439" ht="15.75" spans="6:9">
      <c r="F3439" s="12" t="e">
        <f>'[4]#REF'!F3439</f>
        <v>#REF!</v>
      </c>
      <c r="G3439" s="12" t="e">
        <f>'[4]#REF'!G3439</f>
        <v>#REF!</v>
      </c>
      <c r="H3439" s="31" t="e">
        <f>'[4]#REF'!I3439</f>
        <v>#REF!</v>
      </c>
      <c r="I3439" s="32" t="e">
        <f t="shared" si="84"/>
        <v>#REF!</v>
      </c>
    </row>
    <row r="3440" ht="15.75" spans="6:9">
      <c r="F3440" s="12" t="e">
        <f>'[4]#REF'!F3440</f>
        <v>#REF!</v>
      </c>
      <c r="G3440" s="12" t="e">
        <f>'[4]#REF'!G3440</f>
        <v>#REF!</v>
      </c>
      <c r="H3440" s="31" t="e">
        <f>'[4]#REF'!I3440</f>
        <v>#REF!</v>
      </c>
      <c r="I3440" s="32" t="e">
        <f t="shared" si="84"/>
        <v>#REF!</v>
      </c>
    </row>
    <row r="3441" ht="15.75" spans="6:9">
      <c r="F3441" s="12" t="e">
        <f>'[4]#REF'!F3441</f>
        <v>#REF!</v>
      </c>
      <c r="G3441" s="12" t="e">
        <f>'[4]#REF'!G3441</f>
        <v>#REF!</v>
      </c>
      <c r="H3441" s="31" t="e">
        <f>'[4]#REF'!I3441</f>
        <v>#REF!</v>
      </c>
      <c r="I3441" s="32" t="e">
        <f t="shared" si="84"/>
        <v>#REF!</v>
      </c>
    </row>
    <row r="3442" ht="15.75" spans="6:9">
      <c r="F3442" s="12" t="e">
        <f>'[4]#REF'!F3442</f>
        <v>#REF!</v>
      </c>
      <c r="G3442" s="12" t="e">
        <f>'[4]#REF'!G3442</f>
        <v>#REF!</v>
      </c>
      <c r="H3442" s="31" t="e">
        <f>'[4]#REF'!I3442</f>
        <v>#REF!</v>
      </c>
      <c r="I3442" s="32" t="e">
        <f t="shared" si="84"/>
        <v>#REF!</v>
      </c>
    </row>
    <row r="3443" ht="15.75" spans="6:9">
      <c r="F3443" s="12" t="e">
        <f>'[4]#REF'!F3443</f>
        <v>#REF!</v>
      </c>
      <c r="G3443" s="12" t="e">
        <f>'[4]#REF'!G3443</f>
        <v>#REF!</v>
      </c>
      <c r="H3443" s="31" t="e">
        <f>'[4]#REF'!I3443</f>
        <v>#REF!</v>
      </c>
      <c r="I3443" s="32" t="e">
        <f t="shared" si="84"/>
        <v>#REF!</v>
      </c>
    </row>
    <row r="3444" ht="15.75" spans="6:9">
      <c r="F3444" s="12" t="e">
        <f>'[4]#REF'!F3444</f>
        <v>#REF!</v>
      </c>
      <c r="G3444" s="12" t="e">
        <f>'[4]#REF'!G3444</f>
        <v>#REF!</v>
      </c>
      <c r="H3444" s="31" t="e">
        <f>'[4]#REF'!I3444</f>
        <v>#REF!</v>
      </c>
      <c r="I3444" s="32" t="e">
        <f t="shared" si="84"/>
        <v>#REF!</v>
      </c>
    </row>
    <row r="3445" ht="15.75" spans="6:9">
      <c r="F3445" s="12" t="e">
        <f>'[4]#REF'!F3445</f>
        <v>#REF!</v>
      </c>
      <c r="G3445" s="12" t="e">
        <f>'[4]#REF'!G3445</f>
        <v>#REF!</v>
      </c>
      <c r="H3445" s="31" t="e">
        <f>'[4]#REF'!I3445</f>
        <v>#REF!</v>
      </c>
      <c r="I3445" s="32" t="e">
        <f t="shared" si="84"/>
        <v>#REF!</v>
      </c>
    </row>
    <row r="3446" ht="15.75" spans="6:9">
      <c r="F3446" s="12" t="e">
        <f>'[4]#REF'!F3446</f>
        <v>#REF!</v>
      </c>
      <c r="G3446" s="12" t="e">
        <f>'[4]#REF'!G3446</f>
        <v>#REF!</v>
      </c>
      <c r="H3446" s="31" t="e">
        <f>'[4]#REF'!I3446</f>
        <v>#REF!</v>
      </c>
      <c r="I3446" s="32" t="e">
        <f t="shared" si="84"/>
        <v>#REF!</v>
      </c>
    </row>
    <row r="3447" ht="15.75" spans="6:9">
      <c r="F3447" s="12" t="e">
        <f>'[4]#REF'!F3447</f>
        <v>#REF!</v>
      </c>
      <c r="G3447" s="12" t="e">
        <f>'[4]#REF'!G3447</f>
        <v>#REF!</v>
      </c>
      <c r="H3447" s="31" t="e">
        <f>'[4]#REF'!I3447</f>
        <v>#REF!</v>
      </c>
      <c r="I3447" s="32" t="e">
        <f t="shared" si="84"/>
        <v>#REF!</v>
      </c>
    </row>
    <row r="3448" ht="15.75" spans="6:9">
      <c r="F3448" s="12" t="e">
        <f>'[4]#REF'!F3448</f>
        <v>#REF!</v>
      </c>
      <c r="G3448" s="12" t="e">
        <f>'[4]#REF'!G3448</f>
        <v>#REF!</v>
      </c>
      <c r="H3448" s="31" t="e">
        <f>'[4]#REF'!I3448</f>
        <v>#REF!</v>
      </c>
      <c r="I3448" s="32" t="e">
        <f t="shared" si="84"/>
        <v>#REF!</v>
      </c>
    </row>
    <row r="3449" ht="15.75" spans="6:9">
      <c r="F3449" s="12" t="e">
        <f>'[4]#REF'!F3449</f>
        <v>#REF!</v>
      </c>
      <c r="G3449" s="12" t="e">
        <f>'[4]#REF'!G3449</f>
        <v>#REF!</v>
      </c>
      <c r="H3449" s="31" t="e">
        <f>'[4]#REF'!I3449</f>
        <v>#REF!</v>
      </c>
      <c r="I3449" s="32" t="e">
        <f t="shared" si="84"/>
        <v>#REF!</v>
      </c>
    </row>
    <row r="3450" ht="15.75" spans="6:9">
      <c r="F3450" s="12" t="e">
        <f>'[4]#REF'!F3450</f>
        <v>#REF!</v>
      </c>
      <c r="G3450" s="12" t="e">
        <f>'[4]#REF'!G3450</f>
        <v>#REF!</v>
      </c>
      <c r="H3450" s="31" t="e">
        <f>'[4]#REF'!I3450</f>
        <v>#REF!</v>
      </c>
      <c r="I3450" s="32" t="e">
        <f t="shared" si="84"/>
        <v>#REF!</v>
      </c>
    </row>
    <row r="3451" ht="15.75" spans="6:9">
      <c r="F3451" s="12" t="e">
        <f>'[4]#REF'!F3451</f>
        <v>#REF!</v>
      </c>
      <c r="G3451" s="12" t="e">
        <f>'[4]#REF'!G3451</f>
        <v>#REF!</v>
      </c>
      <c r="H3451" s="31" t="e">
        <f>'[4]#REF'!I3451</f>
        <v>#REF!</v>
      </c>
      <c r="I3451" s="32" t="e">
        <f t="shared" si="84"/>
        <v>#REF!</v>
      </c>
    </row>
    <row r="3452" ht="15.75" spans="6:9">
      <c r="F3452" s="12" t="e">
        <f>'[4]#REF'!F3452</f>
        <v>#REF!</v>
      </c>
      <c r="G3452" s="12" t="e">
        <f>'[4]#REF'!G3452</f>
        <v>#REF!</v>
      </c>
      <c r="H3452" s="31" t="e">
        <f>'[4]#REF'!I3452</f>
        <v>#REF!</v>
      </c>
      <c r="I3452" s="32" t="e">
        <f t="shared" si="84"/>
        <v>#REF!</v>
      </c>
    </row>
    <row r="3453" ht="15.75" spans="6:9">
      <c r="F3453" s="12" t="e">
        <f>'[4]#REF'!F3453</f>
        <v>#REF!</v>
      </c>
      <c r="G3453" s="12" t="e">
        <f>'[4]#REF'!G3453</f>
        <v>#REF!</v>
      </c>
      <c r="H3453" s="31" t="e">
        <f>'[4]#REF'!I3453</f>
        <v>#REF!</v>
      </c>
      <c r="I3453" s="32" t="e">
        <f t="shared" si="84"/>
        <v>#REF!</v>
      </c>
    </row>
    <row r="3454" ht="15.75" spans="6:9">
      <c r="F3454" s="12" t="e">
        <f>'[4]#REF'!F3454</f>
        <v>#REF!</v>
      </c>
      <c r="G3454" s="12" t="e">
        <f>'[4]#REF'!G3454</f>
        <v>#REF!</v>
      </c>
      <c r="H3454" s="31" t="e">
        <f>'[4]#REF'!I3454</f>
        <v>#REF!</v>
      </c>
      <c r="I3454" s="32" t="e">
        <f t="shared" si="84"/>
        <v>#REF!</v>
      </c>
    </row>
    <row r="3455" ht="15.75" spans="6:9">
      <c r="F3455" s="12" t="e">
        <f>'[4]#REF'!F3455</f>
        <v>#REF!</v>
      </c>
      <c r="G3455" s="12" t="e">
        <f>'[4]#REF'!G3455</f>
        <v>#REF!</v>
      </c>
      <c r="H3455" s="31" t="e">
        <f>'[4]#REF'!I3455</f>
        <v>#REF!</v>
      </c>
      <c r="I3455" s="32" t="e">
        <f t="shared" si="84"/>
        <v>#REF!</v>
      </c>
    </row>
    <row r="3456" ht="15.75" spans="6:9">
      <c r="F3456" s="12" t="e">
        <f>'[4]#REF'!F3456</f>
        <v>#REF!</v>
      </c>
      <c r="G3456" s="12" t="e">
        <f>'[4]#REF'!G3456</f>
        <v>#REF!</v>
      </c>
      <c r="H3456" s="31" t="e">
        <f>'[4]#REF'!I3456</f>
        <v>#REF!</v>
      </c>
      <c r="I3456" s="32" t="e">
        <f t="shared" si="84"/>
        <v>#REF!</v>
      </c>
    </row>
    <row r="3457" ht="15.75" spans="6:9">
      <c r="F3457" s="12" t="e">
        <f>'[4]#REF'!F3457</f>
        <v>#REF!</v>
      </c>
      <c r="G3457" s="12" t="e">
        <f>'[4]#REF'!G3457</f>
        <v>#REF!</v>
      </c>
      <c r="H3457" s="31" t="e">
        <f>'[4]#REF'!I3457</f>
        <v>#REF!</v>
      </c>
      <c r="I3457" s="32" t="e">
        <f t="shared" si="84"/>
        <v>#REF!</v>
      </c>
    </row>
    <row r="3458" ht="15.75" spans="6:9">
      <c r="F3458" s="12" t="e">
        <f>'[4]#REF'!F3458</f>
        <v>#REF!</v>
      </c>
      <c r="G3458" s="12" t="e">
        <f>'[4]#REF'!G3458</f>
        <v>#REF!</v>
      </c>
      <c r="H3458" s="31" t="e">
        <f>'[4]#REF'!I3458</f>
        <v>#REF!</v>
      </c>
      <c r="I3458" s="32" t="e">
        <f t="shared" si="84"/>
        <v>#REF!</v>
      </c>
    </row>
    <row r="3459" ht="15.75" spans="6:9">
      <c r="F3459" s="12" t="e">
        <f>'[4]#REF'!F3459</f>
        <v>#REF!</v>
      </c>
      <c r="G3459" s="12" t="e">
        <f>'[4]#REF'!G3459</f>
        <v>#REF!</v>
      </c>
      <c r="H3459" s="31" t="e">
        <f>'[4]#REF'!I3459</f>
        <v>#REF!</v>
      </c>
      <c r="I3459" s="32" t="e">
        <f t="shared" si="84"/>
        <v>#REF!</v>
      </c>
    </row>
    <row r="3460" ht="15.75" spans="6:9">
      <c r="F3460" s="12" t="e">
        <f>'[4]#REF'!F3460</f>
        <v>#REF!</v>
      </c>
      <c r="G3460" s="12" t="e">
        <f>'[4]#REF'!G3460</f>
        <v>#REF!</v>
      </c>
      <c r="H3460" s="31" t="e">
        <f>'[4]#REF'!I3460</f>
        <v>#REF!</v>
      </c>
      <c r="I3460" s="32" t="e">
        <f t="shared" si="84"/>
        <v>#REF!</v>
      </c>
    </row>
    <row r="3461" ht="15.75" spans="6:9">
      <c r="F3461" s="12" t="e">
        <f>'[4]#REF'!F3461</f>
        <v>#REF!</v>
      </c>
      <c r="G3461" s="12" t="e">
        <f>'[4]#REF'!G3461</f>
        <v>#REF!</v>
      </c>
      <c r="H3461" s="31" t="e">
        <f>'[4]#REF'!I3461</f>
        <v>#REF!</v>
      </c>
      <c r="I3461" s="32" t="e">
        <f t="shared" si="84"/>
        <v>#REF!</v>
      </c>
    </row>
    <row r="3462" ht="15.75" spans="6:9">
      <c r="F3462" s="12" t="e">
        <f>'[4]#REF'!F3462</f>
        <v>#REF!</v>
      </c>
      <c r="G3462" s="12" t="e">
        <f>'[4]#REF'!G3462</f>
        <v>#REF!</v>
      </c>
      <c r="H3462" s="31" t="e">
        <f>'[4]#REF'!I3462</f>
        <v>#REF!</v>
      </c>
      <c r="I3462" s="32" t="e">
        <f t="shared" ref="I3462:I3525" si="85">ROUND(H3462/$I$4*100,2)</f>
        <v>#REF!</v>
      </c>
    </row>
    <row r="3463" ht="15.75" spans="6:9">
      <c r="F3463" s="12" t="e">
        <f>'[4]#REF'!F3463</f>
        <v>#REF!</v>
      </c>
      <c r="G3463" s="12" t="e">
        <f>'[4]#REF'!G3463</f>
        <v>#REF!</v>
      </c>
      <c r="H3463" s="31" t="e">
        <f>'[4]#REF'!I3463</f>
        <v>#REF!</v>
      </c>
      <c r="I3463" s="32" t="e">
        <f t="shared" si="85"/>
        <v>#REF!</v>
      </c>
    </row>
    <row r="3464" ht="15.75" spans="6:9">
      <c r="F3464" s="12" t="e">
        <f>'[4]#REF'!F3464</f>
        <v>#REF!</v>
      </c>
      <c r="G3464" s="12" t="e">
        <f>'[4]#REF'!G3464</f>
        <v>#REF!</v>
      </c>
      <c r="H3464" s="31" t="e">
        <f>'[4]#REF'!I3464</f>
        <v>#REF!</v>
      </c>
      <c r="I3464" s="32" t="e">
        <f t="shared" si="85"/>
        <v>#REF!</v>
      </c>
    </row>
    <row r="3465" ht="15.75" spans="6:9">
      <c r="F3465" s="12" t="e">
        <f>'[4]#REF'!F3465</f>
        <v>#REF!</v>
      </c>
      <c r="G3465" s="12" t="e">
        <f>'[4]#REF'!G3465</f>
        <v>#REF!</v>
      </c>
      <c r="H3465" s="31" t="e">
        <f>'[4]#REF'!I3465</f>
        <v>#REF!</v>
      </c>
      <c r="I3465" s="32" t="e">
        <f t="shared" si="85"/>
        <v>#REF!</v>
      </c>
    </row>
    <row r="3466" ht="15.75" spans="6:9">
      <c r="F3466" s="12" t="e">
        <f>'[4]#REF'!F3466</f>
        <v>#REF!</v>
      </c>
      <c r="G3466" s="12" t="e">
        <f>'[4]#REF'!G3466</f>
        <v>#REF!</v>
      </c>
      <c r="H3466" s="31" t="e">
        <f>'[4]#REF'!I3466</f>
        <v>#REF!</v>
      </c>
      <c r="I3466" s="32" t="e">
        <f t="shared" si="85"/>
        <v>#REF!</v>
      </c>
    </row>
    <row r="3467" ht="15.75" spans="6:9">
      <c r="F3467" s="12" t="e">
        <f>'[4]#REF'!F3467</f>
        <v>#REF!</v>
      </c>
      <c r="G3467" s="12" t="e">
        <f>'[4]#REF'!G3467</f>
        <v>#REF!</v>
      </c>
      <c r="H3467" s="31" t="e">
        <f>'[4]#REF'!I3467</f>
        <v>#REF!</v>
      </c>
      <c r="I3467" s="32" t="e">
        <f t="shared" si="85"/>
        <v>#REF!</v>
      </c>
    </row>
    <row r="3468" ht="15.75" spans="6:9">
      <c r="F3468" s="12" t="e">
        <f>'[4]#REF'!F3468</f>
        <v>#REF!</v>
      </c>
      <c r="G3468" s="12" t="e">
        <f>'[4]#REF'!G3468</f>
        <v>#REF!</v>
      </c>
      <c r="H3468" s="31" t="e">
        <f>'[4]#REF'!I3468</f>
        <v>#REF!</v>
      </c>
      <c r="I3468" s="32" t="e">
        <f t="shared" si="85"/>
        <v>#REF!</v>
      </c>
    </row>
    <row r="3469" ht="15.75" spans="6:9">
      <c r="F3469" s="12" t="e">
        <f>'[4]#REF'!F3469</f>
        <v>#REF!</v>
      </c>
      <c r="G3469" s="12" t="e">
        <f>'[4]#REF'!G3469</f>
        <v>#REF!</v>
      </c>
      <c r="H3469" s="31" t="e">
        <f>'[4]#REF'!I3469</f>
        <v>#REF!</v>
      </c>
      <c r="I3469" s="32" t="e">
        <f t="shared" si="85"/>
        <v>#REF!</v>
      </c>
    </row>
    <row r="3470" ht="15.75" spans="6:9">
      <c r="F3470" s="12" t="e">
        <f>'[4]#REF'!F3470</f>
        <v>#REF!</v>
      </c>
      <c r="G3470" s="12" t="e">
        <f>'[4]#REF'!G3470</f>
        <v>#REF!</v>
      </c>
      <c r="H3470" s="31" t="e">
        <f>'[4]#REF'!I3470</f>
        <v>#REF!</v>
      </c>
      <c r="I3470" s="32" t="e">
        <f t="shared" si="85"/>
        <v>#REF!</v>
      </c>
    </row>
    <row r="3471" ht="15.75" spans="6:9">
      <c r="F3471" s="12" t="e">
        <f>'[4]#REF'!F3471</f>
        <v>#REF!</v>
      </c>
      <c r="G3471" s="12" t="e">
        <f>'[4]#REF'!G3471</f>
        <v>#REF!</v>
      </c>
      <c r="H3471" s="31" t="e">
        <f>'[4]#REF'!I3471</f>
        <v>#REF!</v>
      </c>
      <c r="I3471" s="32" t="e">
        <f t="shared" si="85"/>
        <v>#REF!</v>
      </c>
    </row>
    <row r="3472" ht="15.75" spans="6:9">
      <c r="F3472" s="12" t="e">
        <f>'[4]#REF'!F3472</f>
        <v>#REF!</v>
      </c>
      <c r="G3472" s="12" t="e">
        <f>'[4]#REF'!G3472</f>
        <v>#REF!</v>
      </c>
      <c r="H3472" s="31" t="e">
        <f>'[4]#REF'!I3472</f>
        <v>#REF!</v>
      </c>
      <c r="I3472" s="32" t="e">
        <f t="shared" si="85"/>
        <v>#REF!</v>
      </c>
    </row>
    <row r="3473" ht="15.75" spans="6:9">
      <c r="F3473" s="12" t="e">
        <f>'[4]#REF'!F3473</f>
        <v>#REF!</v>
      </c>
      <c r="G3473" s="12" t="e">
        <f>'[4]#REF'!G3473</f>
        <v>#REF!</v>
      </c>
      <c r="H3473" s="31" t="e">
        <f>'[4]#REF'!I3473</f>
        <v>#REF!</v>
      </c>
      <c r="I3473" s="32" t="e">
        <f t="shared" si="85"/>
        <v>#REF!</v>
      </c>
    </row>
    <row r="3474" ht="15.75" spans="6:9">
      <c r="F3474" s="12" t="e">
        <f>'[4]#REF'!F3474</f>
        <v>#REF!</v>
      </c>
      <c r="G3474" s="12" t="e">
        <f>'[4]#REF'!G3474</f>
        <v>#REF!</v>
      </c>
      <c r="H3474" s="31" t="e">
        <f>'[4]#REF'!I3474</f>
        <v>#REF!</v>
      </c>
      <c r="I3474" s="32" t="e">
        <f t="shared" si="85"/>
        <v>#REF!</v>
      </c>
    </row>
    <row r="3475" ht="15.75" spans="6:9">
      <c r="F3475" s="12" t="e">
        <f>'[4]#REF'!F3475</f>
        <v>#REF!</v>
      </c>
      <c r="G3475" s="12" t="e">
        <f>'[4]#REF'!G3475</f>
        <v>#REF!</v>
      </c>
      <c r="H3475" s="31" t="e">
        <f>'[4]#REF'!I3475</f>
        <v>#REF!</v>
      </c>
      <c r="I3475" s="32" t="e">
        <f t="shared" si="85"/>
        <v>#REF!</v>
      </c>
    </row>
    <row r="3476" ht="15.75" spans="6:9">
      <c r="F3476" s="12" t="e">
        <f>'[4]#REF'!F3476</f>
        <v>#REF!</v>
      </c>
      <c r="G3476" s="12" t="e">
        <f>'[4]#REF'!G3476</f>
        <v>#REF!</v>
      </c>
      <c r="H3476" s="31" t="e">
        <f>'[4]#REF'!I3476</f>
        <v>#REF!</v>
      </c>
      <c r="I3476" s="32" t="e">
        <f t="shared" si="85"/>
        <v>#REF!</v>
      </c>
    </row>
    <row r="3477" ht="15.75" spans="6:9">
      <c r="F3477" s="12" t="e">
        <f>'[4]#REF'!F3477</f>
        <v>#REF!</v>
      </c>
      <c r="G3477" s="12" t="e">
        <f>'[4]#REF'!G3477</f>
        <v>#REF!</v>
      </c>
      <c r="H3477" s="31" t="e">
        <f>'[4]#REF'!I3477</f>
        <v>#REF!</v>
      </c>
      <c r="I3477" s="32" t="e">
        <f t="shared" si="85"/>
        <v>#REF!</v>
      </c>
    </row>
    <row r="3478" ht="15.75" spans="6:9">
      <c r="F3478" s="12" t="e">
        <f>'[4]#REF'!F3478</f>
        <v>#REF!</v>
      </c>
      <c r="G3478" s="12" t="e">
        <f>'[4]#REF'!G3478</f>
        <v>#REF!</v>
      </c>
      <c r="H3478" s="31" t="e">
        <f>'[4]#REF'!I3478</f>
        <v>#REF!</v>
      </c>
      <c r="I3478" s="32" t="e">
        <f t="shared" si="85"/>
        <v>#REF!</v>
      </c>
    </row>
    <row r="3479" ht="15.75" spans="6:9">
      <c r="F3479" s="12" t="e">
        <f>'[4]#REF'!F3479</f>
        <v>#REF!</v>
      </c>
      <c r="G3479" s="12" t="e">
        <f>'[4]#REF'!G3479</f>
        <v>#REF!</v>
      </c>
      <c r="H3479" s="31" t="e">
        <f>'[4]#REF'!I3479</f>
        <v>#REF!</v>
      </c>
      <c r="I3479" s="32" t="e">
        <f t="shared" si="85"/>
        <v>#REF!</v>
      </c>
    </row>
    <row r="3480" ht="15.75" spans="6:9">
      <c r="F3480" s="12" t="e">
        <f>'[4]#REF'!F3480</f>
        <v>#REF!</v>
      </c>
      <c r="G3480" s="12" t="e">
        <f>'[4]#REF'!G3480</f>
        <v>#REF!</v>
      </c>
      <c r="H3480" s="31" t="e">
        <f>'[4]#REF'!I3480</f>
        <v>#REF!</v>
      </c>
      <c r="I3480" s="32" t="e">
        <f t="shared" si="85"/>
        <v>#REF!</v>
      </c>
    </row>
    <row r="3481" ht="15.75" spans="6:9">
      <c r="F3481" s="12" t="e">
        <f>'[4]#REF'!F3481</f>
        <v>#REF!</v>
      </c>
      <c r="G3481" s="12" t="e">
        <f>'[4]#REF'!G3481</f>
        <v>#REF!</v>
      </c>
      <c r="H3481" s="31" t="e">
        <f>'[4]#REF'!I3481</f>
        <v>#REF!</v>
      </c>
      <c r="I3481" s="32" t="e">
        <f t="shared" si="85"/>
        <v>#REF!</v>
      </c>
    </row>
    <row r="3482" ht="15.75" spans="6:9">
      <c r="F3482" s="12" t="e">
        <f>'[4]#REF'!F3482</f>
        <v>#REF!</v>
      </c>
      <c r="G3482" s="12" t="e">
        <f>'[4]#REF'!G3482</f>
        <v>#REF!</v>
      </c>
      <c r="H3482" s="31" t="e">
        <f>'[4]#REF'!I3482</f>
        <v>#REF!</v>
      </c>
      <c r="I3482" s="32" t="e">
        <f t="shared" si="85"/>
        <v>#REF!</v>
      </c>
    </row>
    <row r="3483" ht="15.75" spans="6:9">
      <c r="F3483" s="12" t="e">
        <f>'[4]#REF'!F3483</f>
        <v>#REF!</v>
      </c>
      <c r="G3483" s="12" t="e">
        <f>'[4]#REF'!G3483</f>
        <v>#REF!</v>
      </c>
      <c r="H3483" s="31" t="e">
        <f>'[4]#REF'!I3483</f>
        <v>#REF!</v>
      </c>
      <c r="I3483" s="32" t="e">
        <f t="shared" si="85"/>
        <v>#REF!</v>
      </c>
    </row>
    <row r="3484" ht="15.75" spans="6:9">
      <c r="F3484" s="12" t="e">
        <f>'[4]#REF'!F3484</f>
        <v>#REF!</v>
      </c>
      <c r="G3484" s="12" t="e">
        <f>'[4]#REF'!G3484</f>
        <v>#REF!</v>
      </c>
      <c r="H3484" s="31" t="e">
        <f>'[4]#REF'!I3484</f>
        <v>#REF!</v>
      </c>
      <c r="I3484" s="32" t="e">
        <f t="shared" si="85"/>
        <v>#REF!</v>
      </c>
    </row>
    <row r="3485" ht="15.75" spans="6:9">
      <c r="F3485" s="12" t="e">
        <f>'[4]#REF'!F3485</f>
        <v>#REF!</v>
      </c>
      <c r="G3485" s="12" t="e">
        <f>'[4]#REF'!G3485</f>
        <v>#REF!</v>
      </c>
      <c r="H3485" s="31" t="e">
        <f>'[4]#REF'!I3485</f>
        <v>#REF!</v>
      </c>
      <c r="I3485" s="32" t="e">
        <f t="shared" si="85"/>
        <v>#REF!</v>
      </c>
    </row>
    <row r="3486" ht="15.75" spans="6:9">
      <c r="F3486" s="12" t="e">
        <f>'[4]#REF'!F3486</f>
        <v>#REF!</v>
      </c>
      <c r="G3486" s="12" t="e">
        <f>'[4]#REF'!G3486</f>
        <v>#REF!</v>
      </c>
      <c r="H3486" s="31" t="e">
        <f>'[4]#REF'!I3486</f>
        <v>#REF!</v>
      </c>
      <c r="I3486" s="32" t="e">
        <f t="shared" si="85"/>
        <v>#REF!</v>
      </c>
    </row>
    <row r="3487" ht="15.75" spans="6:9">
      <c r="F3487" s="12" t="e">
        <f>'[4]#REF'!F3487</f>
        <v>#REF!</v>
      </c>
      <c r="G3487" s="12" t="e">
        <f>'[4]#REF'!G3487</f>
        <v>#REF!</v>
      </c>
      <c r="H3487" s="31" t="e">
        <f>'[4]#REF'!I3487</f>
        <v>#REF!</v>
      </c>
      <c r="I3487" s="32" t="e">
        <f t="shared" si="85"/>
        <v>#REF!</v>
      </c>
    </row>
    <row r="3488" ht="15.75" spans="6:9">
      <c r="F3488" s="12" t="e">
        <f>'[4]#REF'!F3488</f>
        <v>#REF!</v>
      </c>
      <c r="G3488" s="12" t="e">
        <f>'[4]#REF'!G3488</f>
        <v>#REF!</v>
      </c>
      <c r="H3488" s="31" t="e">
        <f>'[4]#REF'!I3488</f>
        <v>#REF!</v>
      </c>
      <c r="I3488" s="32" t="e">
        <f t="shared" si="85"/>
        <v>#REF!</v>
      </c>
    </row>
    <row r="3489" ht="15.75" spans="6:9">
      <c r="F3489" s="12" t="e">
        <f>'[4]#REF'!F3489</f>
        <v>#REF!</v>
      </c>
      <c r="G3489" s="12" t="e">
        <f>'[4]#REF'!G3489</f>
        <v>#REF!</v>
      </c>
      <c r="H3489" s="31" t="e">
        <f>'[4]#REF'!I3489</f>
        <v>#REF!</v>
      </c>
      <c r="I3489" s="32" t="e">
        <f t="shared" si="85"/>
        <v>#REF!</v>
      </c>
    </row>
    <row r="3490" ht="15.75" spans="6:9">
      <c r="F3490" s="12" t="e">
        <f>'[4]#REF'!F3490</f>
        <v>#REF!</v>
      </c>
      <c r="G3490" s="12" t="e">
        <f>'[4]#REF'!G3490</f>
        <v>#REF!</v>
      </c>
      <c r="H3490" s="31" t="e">
        <f>'[4]#REF'!I3490</f>
        <v>#REF!</v>
      </c>
      <c r="I3490" s="32" t="e">
        <f t="shared" si="85"/>
        <v>#REF!</v>
      </c>
    </row>
    <row r="3491" ht="15.75" spans="6:9">
      <c r="F3491" s="12" t="e">
        <f>'[4]#REF'!F3491</f>
        <v>#REF!</v>
      </c>
      <c r="G3491" s="12" t="e">
        <f>'[4]#REF'!G3491</f>
        <v>#REF!</v>
      </c>
      <c r="H3491" s="31" t="e">
        <f>'[4]#REF'!I3491</f>
        <v>#REF!</v>
      </c>
      <c r="I3491" s="32" t="e">
        <f t="shared" si="85"/>
        <v>#REF!</v>
      </c>
    </row>
    <row r="3492" ht="15.75" spans="6:9">
      <c r="F3492" s="12" t="e">
        <f>'[4]#REF'!F3492</f>
        <v>#REF!</v>
      </c>
      <c r="G3492" s="12" t="e">
        <f>'[4]#REF'!G3492</f>
        <v>#REF!</v>
      </c>
      <c r="H3492" s="31" t="e">
        <f>'[4]#REF'!I3492</f>
        <v>#REF!</v>
      </c>
      <c r="I3492" s="32" t="e">
        <f t="shared" si="85"/>
        <v>#REF!</v>
      </c>
    </row>
    <row r="3493" ht="15.75" spans="6:9">
      <c r="F3493" s="12" t="e">
        <f>'[4]#REF'!F3493</f>
        <v>#REF!</v>
      </c>
      <c r="G3493" s="12" t="e">
        <f>'[4]#REF'!G3493</f>
        <v>#REF!</v>
      </c>
      <c r="H3493" s="31" t="e">
        <f>'[4]#REF'!I3493</f>
        <v>#REF!</v>
      </c>
      <c r="I3493" s="32" t="e">
        <f t="shared" si="85"/>
        <v>#REF!</v>
      </c>
    </row>
    <row r="3494" ht="15.75" spans="6:9">
      <c r="F3494" s="12" t="e">
        <f>'[4]#REF'!F3494</f>
        <v>#REF!</v>
      </c>
      <c r="G3494" s="12" t="e">
        <f>'[4]#REF'!G3494</f>
        <v>#REF!</v>
      </c>
      <c r="H3494" s="31" t="e">
        <f>'[4]#REF'!I3494</f>
        <v>#REF!</v>
      </c>
      <c r="I3494" s="32" t="e">
        <f t="shared" si="85"/>
        <v>#REF!</v>
      </c>
    </row>
    <row r="3495" ht="15.75" spans="6:9">
      <c r="F3495" s="12" t="e">
        <f>'[4]#REF'!F3495</f>
        <v>#REF!</v>
      </c>
      <c r="G3495" s="12" t="e">
        <f>'[4]#REF'!G3495</f>
        <v>#REF!</v>
      </c>
      <c r="H3495" s="31" t="e">
        <f>'[4]#REF'!I3495</f>
        <v>#REF!</v>
      </c>
      <c r="I3495" s="32" t="e">
        <f t="shared" si="85"/>
        <v>#REF!</v>
      </c>
    </row>
    <row r="3496" ht="15.75" spans="6:9">
      <c r="F3496" s="12" t="e">
        <f>'[4]#REF'!F3496</f>
        <v>#REF!</v>
      </c>
      <c r="G3496" s="12" t="e">
        <f>'[4]#REF'!G3496</f>
        <v>#REF!</v>
      </c>
      <c r="H3496" s="31" t="e">
        <f>'[4]#REF'!I3496</f>
        <v>#REF!</v>
      </c>
      <c r="I3496" s="32" t="e">
        <f t="shared" si="85"/>
        <v>#REF!</v>
      </c>
    </row>
    <row r="3497" ht="15.75" spans="6:9">
      <c r="F3497" s="12" t="e">
        <f>'[4]#REF'!F3497</f>
        <v>#REF!</v>
      </c>
      <c r="G3497" s="12" t="e">
        <f>'[4]#REF'!G3497</f>
        <v>#REF!</v>
      </c>
      <c r="H3497" s="31" t="e">
        <f>'[4]#REF'!I3497</f>
        <v>#REF!</v>
      </c>
      <c r="I3497" s="32" t="e">
        <f t="shared" si="85"/>
        <v>#REF!</v>
      </c>
    </row>
    <row r="3498" ht="15.75" spans="6:9">
      <c r="F3498" s="12" t="e">
        <f>'[4]#REF'!F3498</f>
        <v>#REF!</v>
      </c>
      <c r="G3498" s="12" t="e">
        <f>'[4]#REF'!G3498</f>
        <v>#REF!</v>
      </c>
      <c r="H3498" s="31" t="e">
        <f>'[4]#REF'!I3498</f>
        <v>#REF!</v>
      </c>
      <c r="I3498" s="32" t="e">
        <f t="shared" si="85"/>
        <v>#REF!</v>
      </c>
    </row>
    <row r="3499" ht="15.75" spans="6:9">
      <c r="F3499" s="12" t="e">
        <f>'[4]#REF'!F3499</f>
        <v>#REF!</v>
      </c>
      <c r="G3499" s="12" t="e">
        <f>'[4]#REF'!G3499</f>
        <v>#REF!</v>
      </c>
      <c r="H3499" s="31" t="e">
        <f>'[4]#REF'!I3499</f>
        <v>#REF!</v>
      </c>
      <c r="I3499" s="32" t="e">
        <f t="shared" si="85"/>
        <v>#REF!</v>
      </c>
    </row>
    <row r="3500" ht="15.75" spans="6:9">
      <c r="F3500" s="12" t="e">
        <f>'[4]#REF'!F3500</f>
        <v>#REF!</v>
      </c>
      <c r="G3500" s="12" t="e">
        <f>'[4]#REF'!G3500</f>
        <v>#REF!</v>
      </c>
      <c r="H3500" s="31" t="e">
        <f>'[4]#REF'!I3500</f>
        <v>#REF!</v>
      </c>
      <c r="I3500" s="32" t="e">
        <f t="shared" si="85"/>
        <v>#REF!</v>
      </c>
    </row>
    <row r="3501" ht="15.75" spans="6:9">
      <c r="F3501" s="12" t="e">
        <f>'[4]#REF'!F3501</f>
        <v>#REF!</v>
      </c>
      <c r="G3501" s="12" t="e">
        <f>'[4]#REF'!G3501</f>
        <v>#REF!</v>
      </c>
      <c r="H3501" s="31" t="e">
        <f>'[4]#REF'!I3501</f>
        <v>#REF!</v>
      </c>
      <c r="I3501" s="32" t="e">
        <f t="shared" si="85"/>
        <v>#REF!</v>
      </c>
    </row>
    <row r="3502" ht="15.75" spans="6:9">
      <c r="F3502" s="12" t="e">
        <f>'[4]#REF'!F3502</f>
        <v>#REF!</v>
      </c>
      <c r="G3502" s="12" t="e">
        <f>'[4]#REF'!G3502</f>
        <v>#REF!</v>
      </c>
      <c r="H3502" s="31" t="e">
        <f>'[4]#REF'!I3502</f>
        <v>#REF!</v>
      </c>
      <c r="I3502" s="32" t="e">
        <f t="shared" si="85"/>
        <v>#REF!</v>
      </c>
    </row>
    <row r="3503" ht="15.75" spans="6:9">
      <c r="F3503" s="12" t="e">
        <f>'[4]#REF'!F3503</f>
        <v>#REF!</v>
      </c>
      <c r="G3503" s="12" t="e">
        <f>'[4]#REF'!G3503</f>
        <v>#REF!</v>
      </c>
      <c r="H3503" s="31" t="e">
        <f>'[4]#REF'!I3503</f>
        <v>#REF!</v>
      </c>
      <c r="I3503" s="32" t="e">
        <f t="shared" si="85"/>
        <v>#REF!</v>
      </c>
    </row>
    <row r="3504" ht="15.75" spans="6:9">
      <c r="F3504" s="12" t="e">
        <f>'[4]#REF'!F3504</f>
        <v>#REF!</v>
      </c>
      <c r="G3504" s="12" t="e">
        <f>'[4]#REF'!G3504</f>
        <v>#REF!</v>
      </c>
      <c r="H3504" s="31" t="e">
        <f>'[4]#REF'!I3504</f>
        <v>#REF!</v>
      </c>
      <c r="I3504" s="32" t="e">
        <f t="shared" si="85"/>
        <v>#REF!</v>
      </c>
    </row>
    <row r="3505" ht="15.75" spans="6:9">
      <c r="F3505" s="12" t="e">
        <f>'[4]#REF'!F3505</f>
        <v>#REF!</v>
      </c>
      <c r="G3505" s="12" t="e">
        <f>'[4]#REF'!G3505</f>
        <v>#REF!</v>
      </c>
      <c r="H3505" s="31" t="e">
        <f>'[4]#REF'!I3505</f>
        <v>#REF!</v>
      </c>
      <c r="I3505" s="32" t="e">
        <f t="shared" si="85"/>
        <v>#REF!</v>
      </c>
    </row>
    <row r="3506" ht="15.75" spans="6:9">
      <c r="F3506" s="12" t="e">
        <f>'[4]#REF'!F3506</f>
        <v>#REF!</v>
      </c>
      <c r="G3506" s="12" t="e">
        <f>'[4]#REF'!G3506</f>
        <v>#REF!</v>
      </c>
      <c r="H3506" s="31" t="e">
        <f>'[4]#REF'!I3506</f>
        <v>#REF!</v>
      </c>
      <c r="I3506" s="32" t="e">
        <f t="shared" si="85"/>
        <v>#REF!</v>
      </c>
    </row>
    <row r="3507" ht="15.75" spans="6:9">
      <c r="F3507" s="12" t="e">
        <f>'[4]#REF'!F3507</f>
        <v>#REF!</v>
      </c>
      <c r="G3507" s="12" t="e">
        <f>'[4]#REF'!G3507</f>
        <v>#REF!</v>
      </c>
      <c r="H3507" s="31" t="e">
        <f>'[4]#REF'!I3507</f>
        <v>#REF!</v>
      </c>
      <c r="I3507" s="32" t="e">
        <f t="shared" si="85"/>
        <v>#REF!</v>
      </c>
    </row>
    <row r="3508" ht="15.75" spans="6:9">
      <c r="F3508" s="12" t="e">
        <f>'[4]#REF'!F3508</f>
        <v>#REF!</v>
      </c>
      <c r="G3508" s="12" t="e">
        <f>'[4]#REF'!G3508</f>
        <v>#REF!</v>
      </c>
      <c r="H3508" s="31" t="e">
        <f>'[4]#REF'!I3508</f>
        <v>#REF!</v>
      </c>
      <c r="I3508" s="32" t="e">
        <f t="shared" si="85"/>
        <v>#REF!</v>
      </c>
    </row>
    <row r="3509" ht="15.75" spans="6:9">
      <c r="F3509" s="12" t="e">
        <f>'[4]#REF'!F3509</f>
        <v>#REF!</v>
      </c>
      <c r="G3509" s="12" t="e">
        <f>'[4]#REF'!G3509</f>
        <v>#REF!</v>
      </c>
      <c r="H3509" s="31" t="e">
        <f>'[4]#REF'!I3509</f>
        <v>#REF!</v>
      </c>
      <c r="I3509" s="32" t="e">
        <f t="shared" si="85"/>
        <v>#REF!</v>
      </c>
    </row>
    <row r="3510" ht="15.75" spans="6:9">
      <c r="F3510" s="12" t="e">
        <f>'[4]#REF'!F3510</f>
        <v>#REF!</v>
      </c>
      <c r="G3510" s="12" t="e">
        <f>'[4]#REF'!G3510</f>
        <v>#REF!</v>
      </c>
      <c r="H3510" s="31" t="e">
        <f>'[4]#REF'!I3510</f>
        <v>#REF!</v>
      </c>
      <c r="I3510" s="32" t="e">
        <f t="shared" si="85"/>
        <v>#REF!</v>
      </c>
    </row>
    <row r="3511" ht="15.75" spans="6:9">
      <c r="F3511" s="12" t="e">
        <f>'[4]#REF'!F3511</f>
        <v>#REF!</v>
      </c>
      <c r="G3511" s="12" t="e">
        <f>'[4]#REF'!G3511</f>
        <v>#REF!</v>
      </c>
      <c r="H3511" s="31" t="e">
        <f>'[4]#REF'!I3511</f>
        <v>#REF!</v>
      </c>
      <c r="I3511" s="32" t="e">
        <f t="shared" si="85"/>
        <v>#REF!</v>
      </c>
    </row>
    <row r="3512" ht="15.75" spans="6:9">
      <c r="F3512" s="12" t="e">
        <f>'[4]#REF'!F3512</f>
        <v>#REF!</v>
      </c>
      <c r="G3512" s="12" t="e">
        <f>'[4]#REF'!G3512</f>
        <v>#REF!</v>
      </c>
      <c r="H3512" s="31" t="e">
        <f>'[4]#REF'!I3512</f>
        <v>#REF!</v>
      </c>
      <c r="I3512" s="32" t="e">
        <f t="shared" si="85"/>
        <v>#REF!</v>
      </c>
    </row>
    <row r="3513" ht="15.75" spans="6:9">
      <c r="F3513" s="12" t="e">
        <f>'[4]#REF'!F3513</f>
        <v>#REF!</v>
      </c>
      <c r="G3513" s="12" t="e">
        <f>'[4]#REF'!G3513</f>
        <v>#REF!</v>
      </c>
      <c r="H3513" s="31" t="e">
        <f>'[4]#REF'!I3513</f>
        <v>#REF!</v>
      </c>
      <c r="I3513" s="32" t="e">
        <f t="shared" si="85"/>
        <v>#REF!</v>
      </c>
    </row>
    <row r="3514" ht="15.75" spans="6:9">
      <c r="F3514" s="12" t="e">
        <f>'[4]#REF'!F3514</f>
        <v>#REF!</v>
      </c>
      <c r="G3514" s="12" t="e">
        <f>'[4]#REF'!G3514</f>
        <v>#REF!</v>
      </c>
      <c r="H3514" s="31" t="e">
        <f>'[4]#REF'!I3514</f>
        <v>#REF!</v>
      </c>
      <c r="I3514" s="32" t="e">
        <f t="shared" si="85"/>
        <v>#REF!</v>
      </c>
    </row>
    <row r="3515" ht="15.75" spans="6:9">
      <c r="F3515" s="12" t="e">
        <f>'[4]#REF'!F3515</f>
        <v>#REF!</v>
      </c>
      <c r="G3515" s="12" t="e">
        <f>'[4]#REF'!G3515</f>
        <v>#REF!</v>
      </c>
      <c r="H3515" s="31" t="e">
        <f>'[4]#REF'!I3515</f>
        <v>#REF!</v>
      </c>
      <c r="I3515" s="32" t="e">
        <f t="shared" si="85"/>
        <v>#REF!</v>
      </c>
    </row>
    <row r="3516" ht="15.75" spans="6:9">
      <c r="F3516" s="12" t="e">
        <f>'[4]#REF'!F3516</f>
        <v>#REF!</v>
      </c>
      <c r="G3516" s="12" t="e">
        <f>'[4]#REF'!G3516</f>
        <v>#REF!</v>
      </c>
      <c r="H3516" s="31" t="e">
        <f>'[4]#REF'!I3516</f>
        <v>#REF!</v>
      </c>
      <c r="I3516" s="32" t="e">
        <f t="shared" si="85"/>
        <v>#REF!</v>
      </c>
    </row>
    <row r="3517" ht="15.75" spans="6:9">
      <c r="F3517" s="12" t="e">
        <f>'[4]#REF'!F3517</f>
        <v>#REF!</v>
      </c>
      <c r="G3517" s="12" t="e">
        <f>'[4]#REF'!G3517</f>
        <v>#REF!</v>
      </c>
      <c r="H3517" s="31" t="e">
        <f>'[4]#REF'!I3517</f>
        <v>#REF!</v>
      </c>
      <c r="I3517" s="32" t="e">
        <f t="shared" si="85"/>
        <v>#REF!</v>
      </c>
    </row>
    <row r="3518" ht="15.75" spans="6:9">
      <c r="F3518" s="12" t="e">
        <f>'[4]#REF'!F3518</f>
        <v>#REF!</v>
      </c>
      <c r="G3518" s="12" t="e">
        <f>'[4]#REF'!G3518</f>
        <v>#REF!</v>
      </c>
      <c r="H3518" s="31" t="e">
        <f>'[4]#REF'!I3518</f>
        <v>#REF!</v>
      </c>
      <c r="I3518" s="32" t="e">
        <f t="shared" si="85"/>
        <v>#REF!</v>
      </c>
    </row>
    <row r="3519" ht="15.75" spans="6:9">
      <c r="F3519" s="12" t="e">
        <f>'[4]#REF'!F3519</f>
        <v>#REF!</v>
      </c>
      <c r="G3519" s="12" t="e">
        <f>'[4]#REF'!G3519</f>
        <v>#REF!</v>
      </c>
      <c r="H3519" s="31" t="e">
        <f>'[4]#REF'!I3519</f>
        <v>#REF!</v>
      </c>
      <c r="I3519" s="32" t="e">
        <f t="shared" si="85"/>
        <v>#REF!</v>
      </c>
    </row>
    <row r="3520" ht="15.75" spans="6:9">
      <c r="F3520" s="12" t="e">
        <f>'[4]#REF'!F3520</f>
        <v>#REF!</v>
      </c>
      <c r="G3520" s="12" t="e">
        <f>'[4]#REF'!G3520</f>
        <v>#REF!</v>
      </c>
      <c r="H3520" s="31" t="e">
        <f>'[4]#REF'!I3520</f>
        <v>#REF!</v>
      </c>
      <c r="I3520" s="32" t="e">
        <f t="shared" si="85"/>
        <v>#REF!</v>
      </c>
    </row>
    <row r="3521" ht="15.75" spans="6:9">
      <c r="F3521" s="12" t="e">
        <f>'[4]#REF'!F3521</f>
        <v>#REF!</v>
      </c>
      <c r="G3521" s="12" t="e">
        <f>'[4]#REF'!G3521</f>
        <v>#REF!</v>
      </c>
      <c r="H3521" s="31" t="e">
        <f>'[4]#REF'!I3521</f>
        <v>#REF!</v>
      </c>
      <c r="I3521" s="32" t="e">
        <f t="shared" si="85"/>
        <v>#REF!</v>
      </c>
    </row>
    <row r="3522" ht="15.75" spans="6:9">
      <c r="F3522" s="12" t="e">
        <f>'[4]#REF'!F3522</f>
        <v>#REF!</v>
      </c>
      <c r="G3522" s="12" t="e">
        <f>'[4]#REF'!G3522</f>
        <v>#REF!</v>
      </c>
      <c r="H3522" s="31" t="e">
        <f>'[4]#REF'!I3522</f>
        <v>#REF!</v>
      </c>
      <c r="I3522" s="32" t="e">
        <f t="shared" si="85"/>
        <v>#REF!</v>
      </c>
    </row>
    <row r="3523" ht="15.75" spans="6:9">
      <c r="F3523" s="12" t="e">
        <f>'[4]#REF'!F3523</f>
        <v>#REF!</v>
      </c>
      <c r="G3523" s="12" t="e">
        <f>'[4]#REF'!G3523</f>
        <v>#REF!</v>
      </c>
      <c r="H3523" s="31" t="e">
        <f>'[4]#REF'!I3523</f>
        <v>#REF!</v>
      </c>
      <c r="I3523" s="32" t="e">
        <f t="shared" si="85"/>
        <v>#REF!</v>
      </c>
    </row>
    <row r="3524" ht="15.75" spans="6:9">
      <c r="F3524" s="12" t="e">
        <f>'[4]#REF'!F3524</f>
        <v>#REF!</v>
      </c>
      <c r="G3524" s="12" t="e">
        <f>'[4]#REF'!G3524</f>
        <v>#REF!</v>
      </c>
      <c r="H3524" s="31" t="e">
        <f>'[4]#REF'!I3524</f>
        <v>#REF!</v>
      </c>
      <c r="I3524" s="32" t="e">
        <f t="shared" si="85"/>
        <v>#REF!</v>
      </c>
    </row>
    <row r="3525" ht="15.75" spans="6:9">
      <c r="F3525" s="12" t="e">
        <f>'[4]#REF'!F3525</f>
        <v>#REF!</v>
      </c>
      <c r="G3525" s="12" t="e">
        <f>'[4]#REF'!G3525</f>
        <v>#REF!</v>
      </c>
      <c r="H3525" s="31" t="e">
        <f>'[4]#REF'!I3525</f>
        <v>#REF!</v>
      </c>
      <c r="I3525" s="32" t="e">
        <f t="shared" si="85"/>
        <v>#REF!</v>
      </c>
    </row>
    <row r="3526" ht="15.75" spans="6:9">
      <c r="F3526" s="12" t="e">
        <f>'[4]#REF'!F3526</f>
        <v>#REF!</v>
      </c>
      <c r="G3526" s="12" t="e">
        <f>'[4]#REF'!G3526</f>
        <v>#REF!</v>
      </c>
      <c r="H3526" s="31" t="e">
        <f>'[4]#REF'!I3526</f>
        <v>#REF!</v>
      </c>
      <c r="I3526" s="32" t="e">
        <f t="shared" ref="I3526:I3589" si="86">ROUND(H3526/$I$4*100,2)</f>
        <v>#REF!</v>
      </c>
    </row>
    <row r="3527" ht="15.75" spans="6:9">
      <c r="F3527" s="12" t="e">
        <f>'[4]#REF'!F3527</f>
        <v>#REF!</v>
      </c>
      <c r="G3527" s="12" t="e">
        <f>'[4]#REF'!G3527</f>
        <v>#REF!</v>
      </c>
      <c r="H3527" s="31" t="e">
        <f>'[4]#REF'!I3527</f>
        <v>#REF!</v>
      </c>
      <c r="I3527" s="32" t="e">
        <f t="shared" si="86"/>
        <v>#REF!</v>
      </c>
    </row>
    <row r="3528" ht="15.75" spans="6:9">
      <c r="F3528" s="12" t="e">
        <f>'[4]#REF'!F3528</f>
        <v>#REF!</v>
      </c>
      <c r="G3528" s="12" t="e">
        <f>'[4]#REF'!G3528</f>
        <v>#REF!</v>
      </c>
      <c r="H3528" s="31" t="e">
        <f>'[4]#REF'!I3528</f>
        <v>#REF!</v>
      </c>
      <c r="I3528" s="32" t="e">
        <f t="shared" si="86"/>
        <v>#REF!</v>
      </c>
    </row>
    <row r="3529" ht="15.75" spans="6:9">
      <c r="F3529" s="12" t="e">
        <f>'[4]#REF'!F3529</f>
        <v>#REF!</v>
      </c>
      <c r="G3529" s="12" t="e">
        <f>'[4]#REF'!G3529</f>
        <v>#REF!</v>
      </c>
      <c r="H3529" s="31" t="e">
        <f>'[4]#REF'!I3529</f>
        <v>#REF!</v>
      </c>
      <c r="I3529" s="32" t="e">
        <f t="shared" si="86"/>
        <v>#REF!</v>
      </c>
    </row>
    <row r="3530" ht="15.75" spans="6:9">
      <c r="F3530" s="12" t="e">
        <f>'[4]#REF'!F3530</f>
        <v>#REF!</v>
      </c>
      <c r="G3530" s="12" t="e">
        <f>'[4]#REF'!G3530</f>
        <v>#REF!</v>
      </c>
      <c r="H3530" s="31" t="e">
        <f>'[4]#REF'!I3530</f>
        <v>#REF!</v>
      </c>
      <c r="I3530" s="32" t="e">
        <f t="shared" si="86"/>
        <v>#REF!</v>
      </c>
    </row>
    <row r="3531" ht="15.75" spans="6:9">
      <c r="F3531" s="12" t="e">
        <f>'[4]#REF'!F3531</f>
        <v>#REF!</v>
      </c>
      <c r="G3531" s="12" t="e">
        <f>'[4]#REF'!G3531</f>
        <v>#REF!</v>
      </c>
      <c r="H3531" s="31" t="e">
        <f>'[4]#REF'!I3531</f>
        <v>#REF!</v>
      </c>
      <c r="I3531" s="32" t="e">
        <f t="shared" si="86"/>
        <v>#REF!</v>
      </c>
    </row>
    <row r="3532" ht="15.75" spans="6:9">
      <c r="F3532" s="12" t="e">
        <f>'[4]#REF'!F3532</f>
        <v>#REF!</v>
      </c>
      <c r="G3532" s="12" t="e">
        <f>'[4]#REF'!G3532</f>
        <v>#REF!</v>
      </c>
      <c r="H3532" s="31" t="e">
        <f>'[4]#REF'!I3532</f>
        <v>#REF!</v>
      </c>
      <c r="I3532" s="32" t="e">
        <f t="shared" si="86"/>
        <v>#REF!</v>
      </c>
    </row>
    <row r="3533" ht="15.75" spans="6:9">
      <c r="F3533" s="12" t="e">
        <f>'[4]#REF'!F3533</f>
        <v>#REF!</v>
      </c>
      <c r="G3533" s="12" t="e">
        <f>'[4]#REF'!G3533</f>
        <v>#REF!</v>
      </c>
      <c r="H3533" s="31" t="e">
        <f>'[4]#REF'!I3533</f>
        <v>#REF!</v>
      </c>
      <c r="I3533" s="32" t="e">
        <f t="shared" si="86"/>
        <v>#REF!</v>
      </c>
    </row>
    <row r="3534" ht="15.75" spans="6:9">
      <c r="F3534" s="12" t="e">
        <f>'[4]#REF'!F3534</f>
        <v>#REF!</v>
      </c>
      <c r="G3534" s="12" t="e">
        <f>'[4]#REF'!G3534</f>
        <v>#REF!</v>
      </c>
      <c r="H3534" s="31" t="e">
        <f>'[4]#REF'!I3534</f>
        <v>#REF!</v>
      </c>
      <c r="I3534" s="32" t="e">
        <f t="shared" si="86"/>
        <v>#REF!</v>
      </c>
    </row>
    <row r="3535" ht="15.75" spans="6:9">
      <c r="F3535" s="12" t="e">
        <f>'[4]#REF'!F3535</f>
        <v>#REF!</v>
      </c>
      <c r="G3535" s="12" t="e">
        <f>'[4]#REF'!G3535</f>
        <v>#REF!</v>
      </c>
      <c r="H3535" s="31" t="e">
        <f>'[4]#REF'!I3535</f>
        <v>#REF!</v>
      </c>
      <c r="I3535" s="32" t="e">
        <f t="shared" si="86"/>
        <v>#REF!</v>
      </c>
    </row>
    <row r="3536" ht="15.75" spans="6:9">
      <c r="F3536" s="12" t="e">
        <f>'[4]#REF'!F3536</f>
        <v>#REF!</v>
      </c>
      <c r="G3536" s="12" t="e">
        <f>'[4]#REF'!G3536</f>
        <v>#REF!</v>
      </c>
      <c r="H3536" s="31" t="e">
        <f>'[4]#REF'!I3536</f>
        <v>#REF!</v>
      </c>
      <c r="I3536" s="32" t="e">
        <f t="shared" si="86"/>
        <v>#REF!</v>
      </c>
    </row>
    <row r="3537" ht="15.75" spans="6:9">
      <c r="F3537" s="12" t="e">
        <f>'[4]#REF'!F3537</f>
        <v>#REF!</v>
      </c>
      <c r="G3537" s="12" t="e">
        <f>'[4]#REF'!G3537</f>
        <v>#REF!</v>
      </c>
      <c r="H3537" s="31" t="e">
        <f>'[4]#REF'!I3537</f>
        <v>#REF!</v>
      </c>
      <c r="I3537" s="32" t="e">
        <f t="shared" si="86"/>
        <v>#REF!</v>
      </c>
    </row>
    <row r="3538" ht="15.75" spans="6:9">
      <c r="F3538" s="12" t="e">
        <f>'[4]#REF'!F3538</f>
        <v>#REF!</v>
      </c>
      <c r="G3538" s="12" t="e">
        <f>'[4]#REF'!G3538</f>
        <v>#REF!</v>
      </c>
      <c r="H3538" s="31" t="e">
        <f>'[4]#REF'!I3538</f>
        <v>#REF!</v>
      </c>
      <c r="I3538" s="32" t="e">
        <f t="shared" si="86"/>
        <v>#REF!</v>
      </c>
    </row>
    <row r="3539" ht="15.75" spans="6:9">
      <c r="F3539" s="12" t="e">
        <f>'[4]#REF'!F3539</f>
        <v>#REF!</v>
      </c>
      <c r="G3539" s="12" t="e">
        <f>'[4]#REF'!G3539</f>
        <v>#REF!</v>
      </c>
      <c r="H3539" s="31" t="e">
        <f>'[4]#REF'!I3539</f>
        <v>#REF!</v>
      </c>
      <c r="I3539" s="32" t="e">
        <f t="shared" si="86"/>
        <v>#REF!</v>
      </c>
    </row>
    <row r="3540" ht="15.75" spans="6:9">
      <c r="F3540" s="12" t="e">
        <f>'[4]#REF'!F3540</f>
        <v>#REF!</v>
      </c>
      <c r="G3540" s="12" t="e">
        <f>'[4]#REF'!G3540</f>
        <v>#REF!</v>
      </c>
      <c r="H3540" s="31" t="e">
        <f>'[4]#REF'!I3540</f>
        <v>#REF!</v>
      </c>
      <c r="I3540" s="32" t="e">
        <f t="shared" si="86"/>
        <v>#REF!</v>
      </c>
    </row>
    <row r="3541" ht="15.75" spans="6:9">
      <c r="F3541" s="12" t="e">
        <f>'[4]#REF'!F3541</f>
        <v>#REF!</v>
      </c>
      <c r="G3541" s="12" t="e">
        <f>'[4]#REF'!G3541</f>
        <v>#REF!</v>
      </c>
      <c r="H3541" s="31" t="e">
        <f>'[4]#REF'!I3541</f>
        <v>#REF!</v>
      </c>
      <c r="I3541" s="32" t="e">
        <f t="shared" si="86"/>
        <v>#REF!</v>
      </c>
    </row>
    <row r="3542" ht="15.75" spans="6:9">
      <c r="F3542" s="12" t="e">
        <f>'[4]#REF'!F3542</f>
        <v>#REF!</v>
      </c>
      <c r="G3542" s="12" t="e">
        <f>'[4]#REF'!G3542</f>
        <v>#REF!</v>
      </c>
      <c r="H3542" s="31" t="e">
        <f>'[4]#REF'!I3542</f>
        <v>#REF!</v>
      </c>
      <c r="I3542" s="32" t="e">
        <f t="shared" si="86"/>
        <v>#REF!</v>
      </c>
    </row>
    <row r="3543" ht="15.75" spans="6:9">
      <c r="F3543" s="12" t="e">
        <f>'[4]#REF'!F3543</f>
        <v>#REF!</v>
      </c>
      <c r="G3543" s="12" t="e">
        <f>'[4]#REF'!G3543</f>
        <v>#REF!</v>
      </c>
      <c r="H3543" s="31" t="e">
        <f>'[4]#REF'!I3543</f>
        <v>#REF!</v>
      </c>
      <c r="I3543" s="32" t="e">
        <f t="shared" si="86"/>
        <v>#REF!</v>
      </c>
    </row>
    <row r="3544" ht="15.75" spans="6:9">
      <c r="F3544" s="12" t="e">
        <f>'[4]#REF'!F3544</f>
        <v>#REF!</v>
      </c>
      <c r="G3544" s="12" t="e">
        <f>'[4]#REF'!G3544</f>
        <v>#REF!</v>
      </c>
      <c r="H3544" s="31" t="e">
        <f>'[4]#REF'!I3544</f>
        <v>#REF!</v>
      </c>
      <c r="I3544" s="32" t="e">
        <f t="shared" si="86"/>
        <v>#REF!</v>
      </c>
    </row>
    <row r="3545" ht="15.75" spans="6:9">
      <c r="F3545" s="12" t="e">
        <f>'[4]#REF'!F3545</f>
        <v>#REF!</v>
      </c>
      <c r="G3545" s="12" t="e">
        <f>'[4]#REF'!G3545</f>
        <v>#REF!</v>
      </c>
      <c r="H3545" s="31" t="e">
        <f>'[4]#REF'!I3545</f>
        <v>#REF!</v>
      </c>
      <c r="I3545" s="32" t="e">
        <f t="shared" si="86"/>
        <v>#REF!</v>
      </c>
    </row>
    <row r="3546" ht="15.75" spans="6:9">
      <c r="F3546" s="12" t="e">
        <f>'[4]#REF'!F3546</f>
        <v>#REF!</v>
      </c>
      <c r="G3546" s="12" t="e">
        <f>'[4]#REF'!G3546</f>
        <v>#REF!</v>
      </c>
      <c r="H3546" s="31" t="e">
        <f>'[4]#REF'!I3546</f>
        <v>#REF!</v>
      </c>
      <c r="I3546" s="32" t="e">
        <f t="shared" si="86"/>
        <v>#REF!</v>
      </c>
    </row>
    <row r="3547" ht="15.75" spans="6:9">
      <c r="F3547" s="12" t="e">
        <f>'[4]#REF'!F3547</f>
        <v>#REF!</v>
      </c>
      <c r="G3547" s="12" t="e">
        <f>'[4]#REF'!G3547</f>
        <v>#REF!</v>
      </c>
      <c r="H3547" s="31" t="e">
        <f>'[4]#REF'!I3547</f>
        <v>#REF!</v>
      </c>
      <c r="I3547" s="32" t="e">
        <f t="shared" si="86"/>
        <v>#REF!</v>
      </c>
    </row>
    <row r="3548" ht="15.75" spans="6:9">
      <c r="F3548" s="12" t="e">
        <f>'[4]#REF'!F3548</f>
        <v>#REF!</v>
      </c>
      <c r="G3548" s="12" t="e">
        <f>'[4]#REF'!G3548</f>
        <v>#REF!</v>
      </c>
      <c r="H3548" s="31" t="e">
        <f>'[4]#REF'!I3548</f>
        <v>#REF!</v>
      </c>
      <c r="I3548" s="32" t="e">
        <f t="shared" si="86"/>
        <v>#REF!</v>
      </c>
    </row>
    <row r="3549" ht="15.75" spans="6:9">
      <c r="F3549" s="12" t="e">
        <f>'[4]#REF'!F3549</f>
        <v>#REF!</v>
      </c>
      <c r="G3549" s="12" t="e">
        <f>'[4]#REF'!G3549</f>
        <v>#REF!</v>
      </c>
      <c r="H3549" s="31" t="e">
        <f>'[4]#REF'!I3549</f>
        <v>#REF!</v>
      </c>
      <c r="I3549" s="32" t="e">
        <f t="shared" si="86"/>
        <v>#REF!</v>
      </c>
    </row>
    <row r="3550" ht="15.75" spans="6:9">
      <c r="F3550" s="12" t="e">
        <f>'[4]#REF'!F3550</f>
        <v>#REF!</v>
      </c>
      <c r="G3550" s="12" t="e">
        <f>'[4]#REF'!G3550</f>
        <v>#REF!</v>
      </c>
      <c r="H3550" s="31" t="e">
        <f>'[4]#REF'!I3550</f>
        <v>#REF!</v>
      </c>
      <c r="I3550" s="32" t="e">
        <f t="shared" si="86"/>
        <v>#REF!</v>
      </c>
    </row>
    <row r="3551" ht="15.75" spans="6:9">
      <c r="F3551" s="12" t="e">
        <f>'[4]#REF'!F3551</f>
        <v>#REF!</v>
      </c>
      <c r="G3551" s="12" t="e">
        <f>'[4]#REF'!G3551</f>
        <v>#REF!</v>
      </c>
      <c r="H3551" s="31" t="e">
        <f>'[4]#REF'!I3551</f>
        <v>#REF!</v>
      </c>
      <c r="I3551" s="32" t="e">
        <f t="shared" si="86"/>
        <v>#REF!</v>
      </c>
    </row>
    <row r="3552" ht="15.75" spans="6:9">
      <c r="F3552" s="12" t="e">
        <f>'[4]#REF'!F3552</f>
        <v>#REF!</v>
      </c>
      <c r="G3552" s="12" t="e">
        <f>'[4]#REF'!G3552</f>
        <v>#REF!</v>
      </c>
      <c r="H3552" s="31" t="e">
        <f>'[4]#REF'!I3552</f>
        <v>#REF!</v>
      </c>
      <c r="I3552" s="32" t="e">
        <f t="shared" si="86"/>
        <v>#REF!</v>
      </c>
    </row>
    <row r="3553" ht="15.75" spans="6:9">
      <c r="F3553" s="12" t="e">
        <f>'[4]#REF'!F3553</f>
        <v>#REF!</v>
      </c>
      <c r="G3553" s="12" t="e">
        <f>'[4]#REF'!G3553</f>
        <v>#REF!</v>
      </c>
      <c r="H3553" s="31" t="e">
        <f>'[4]#REF'!I3553</f>
        <v>#REF!</v>
      </c>
      <c r="I3553" s="32" t="e">
        <f t="shared" si="86"/>
        <v>#REF!</v>
      </c>
    </row>
    <row r="3554" ht="15.75" spans="6:9">
      <c r="F3554" s="12" t="e">
        <f>'[4]#REF'!F3554</f>
        <v>#REF!</v>
      </c>
      <c r="G3554" s="12" t="e">
        <f>'[4]#REF'!G3554</f>
        <v>#REF!</v>
      </c>
      <c r="H3554" s="31" t="e">
        <f>'[4]#REF'!I3554</f>
        <v>#REF!</v>
      </c>
      <c r="I3554" s="32" t="e">
        <f t="shared" si="86"/>
        <v>#REF!</v>
      </c>
    </row>
    <row r="3555" ht="15.75" spans="6:9">
      <c r="F3555" s="12" t="e">
        <f>'[4]#REF'!F3555</f>
        <v>#REF!</v>
      </c>
      <c r="G3555" s="12" t="e">
        <f>'[4]#REF'!G3555</f>
        <v>#REF!</v>
      </c>
      <c r="H3555" s="31" t="e">
        <f>'[4]#REF'!I3555</f>
        <v>#REF!</v>
      </c>
      <c r="I3555" s="32" t="e">
        <f t="shared" si="86"/>
        <v>#REF!</v>
      </c>
    </row>
    <row r="3556" ht="15.75" spans="6:9">
      <c r="F3556" s="12" t="e">
        <f>'[4]#REF'!F3556</f>
        <v>#REF!</v>
      </c>
      <c r="G3556" s="12" t="e">
        <f>'[4]#REF'!G3556</f>
        <v>#REF!</v>
      </c>
      <c r="H3556" s="31" t="e">
        <f>'[4]#REF'!I3556</f>
        <v>#REF!</v>
      </c>
      <c r="I3556" s="32" t="e">
        <f t="shared" si="86"/>
        <v>#REF!</v>
      </c>
    </row>
    <row r="3557" ht="15.75" spans="6:9">
      <c r="F3557" s="12" t="e">
        <f>'[4]#REF'!F3557</f>
        <v>#REF!</v>
      </c>
      <c r="G3557" s="12" t="e">
        <f>'[4]#REF'!G3557</f>
        <v>#REF!</v>
      </c>
      <c r="H3557" s="31" t="e">
        <f>'[4]#REF'!I3557</f>
        <v>#REF!</v>
      </c>
      <c r="I3557" s="32" t="e">
        <f t="shared" si="86"/>
        <v>#REF!</v>
      </c>
    </row>
    <row r="3558" ht="15.75" spans="6:9">
      <c r="F3558" s="12" t="e">
        <f>'[4]#REF'!F3558</f>
        <v>#REF!</v>
      </c>
      <c r="G3558" s="12" t="e">
        <f>'[4]#REF'!G3558</f>
        <v>#REF!</v>
      </c>
      <c r="H3558" s="31" t="e">
        <f>'[4]#REF'!I3558</f>
        <v>#REF!</v>
      </c>
      <c r="I3558" s="32" t="e">
        <f t="shared" si="86"/>
        <v>#REF!</v>
      </c>
    </row>
    <row r="3559" ht="15.75" spans="6:9">
      <c r="F3559" s="12" t="e">
        <f>'[4]#REF'!F3559</f>
        <v>#REF!</v>
      </c>
      <c r="G3559" s="12" t="e">
        <f>'[4]#REF'!G3559</f>
        <v>#REF!</v>
      </c>
      <c r="H3559" s="31" t="e">
        <f>'[4]#REF'!I3559</f>
        <v>#REF!</v>
      </c>
      <c r="I3559" s="32" t="e">
        <f t="shared" si="86"/>
        <v>#REF!</v>
      </c>
    </row>
    <row r="3560" ht="15.75" spans="6:9">
      <c r="F3560" s="12" t="e">
        <f>'[4]#REF'!F3560</f>
        <v>#REF!</v>
      </c>
      <c r="G3560" s="12" t="e">
        <f>'[4]#REF'!G3560</f>
        <v>#REF!</v>
      </c>
      <c r="H3560" s="31" t="e">
        <f>'[4]#REF'!I3560</f>
        <v>#REF!</v>
      </c>
      <c r="I3560" s="32" t="e">
        <f t="shared" si="86"/>
        <v>#REF!</v>
      </c>
    </row>
    <row r="3561" ht="15.75" spans="6:9">
      <c r="F3561" s="12" t="e">
        <f>'[4]#REF'!F3561</f>
        <v>#REF!</v>
      </c>
      <c r="G3561" s="12" t="e">
        <f>'[4]#REF'!G3561</f>
        <v>#REF!</v>
      </c>
      <c r="H3561" s="31" t="e">
        <f>'[4]#REF'!I3561</f>
        <v>#REF!</v>
      </c>
      <c r="I3561" s="32" t="e">
        <f t="shared" si="86"/>
        <v>#REF!</v>
      </c>
    </row>
    <row r="3562" ht="15.75" spans="6:9">
      <c r="F3562" s="12" t="e">
        <f>'[4]#REF'!F3562</f>
        <v>#REF!</v>
      </c>
      <c r="G3562" s="12" t="e">
        <f>'[4]#REF'!G3562</f>
        <v>#REF!</v>
      </c>
      <c r="H3562" s="31" t="e">
        <f>'[4]#REF'!I3562</f>
        <v>#REF!</v>
      </c>
      <c r="I3562" s="32" t="e">
        <f t="shared" si="86"/>
        <v>#REF!</v>
      </c>
    </row>
    <row r="3563" ht="15.75" spans="6:9">
      <c r="F3563" s="12" t="e">
        <f>'[4]#REF'!F3563</f>
        <v>#REF!</v>
      </c>
      <c r="G3563" s="12" t="e">
        <f>'[4]#REF'!G3563</f>
        <v>#REF!</v>
      </c>
      <c r="H3563" s="31" t="e">
        <f>'[4]#REF'!I3563</f>
        <v>#REF!</v>
      </c>
      <c r="I3563" s="32" t="e">
        <f t="shared" si="86"/>
        <v>#REF!</v>
      </c>
    </row>
    <row r="3564" ht="15.75" spans="6:9">
      <c r="F3564" s="12" t="e">
        <f>'[4]#REF'!F3564</f>
        <v>#REF!</v>
      </c>
      <c r="G3564" s="12" t="e">
        <f>'[4]#REF'!G3564</f>
        <v>#REF!</v>
      </c>
      <c r="H3564" s="31" t="e">
        <f>'[4]#REF'!I3564</f>
        <v>#REF!</v>
      </c>
      <c r="I3564" s="32" t="e">
        <f t="shared" si="86"/>
        <v>#REF!</v>
      </c>
    </row>
    <row r="3565" ht="15.75" spans="6:9">
      <c r="F3565" s="12" t="e">
        <f>'[4]#REF'!F3565</f>
        <v>#REF!</v>
      </c>
      <c r="G3565" s="12" t="e">
        <f>'[4]#REF'!G3565</f>
        <v>#REF!</v>
      </c>
      <c r="H3565" s="31" t="e">
        <f>'[4]#REF'!I3565</f>
        <v>#REF!</v>
      </c>
      <c r="I3565" s="32" t="e">
        <f t="shared" si="86"/>
        <v>#REF!</v>
      </c>
    </row>
    <row r="3566" ht="15.75" spans="6:9">
      <c r="F3566" s="12" t="e">
        <f>'[4]#REF'!F3566</f>
        <v>#REF!</v>
      </c>
      <c r="G3566" s="12" t="e">
        <f>'[4]#REF'!G3566</f>
        <v>#REF!</v>
      </c>
      <c r="H3566" s="31" t="e">
        <f>'[4]#REF'!I3566</f>
        <v>#REF!</v>
      </c>
      <c r="I3566" s="32" t="e">
        <f t="shared" si="86"/>
        <v>#REF!</v>
      </c>
    </row>
    <row r="3567" ht="15.75" spans="6:9">
      <c r="F3567" s="12" t="e">
        <f>'[4]#REF'!F3567</f>
        <v>#REF!</v>
      </c>
      <c r="G3567" s="12" t="e">
        <f>'[4]#REF'!G3567</f>
        <v>#REF!</v>
      </c>
      <c r="H3567" s="31" t="e">
        <f>'[4]#REF'!I3567</f>
        <v>#REF!</v>
      </c>
      <c r="I3567" s="32" t="e">
        <f t="shared" si="86"/>
        <v>#REF!</v>
      </c>
    </row>
    <row r="3568" ht="15.75" spans="6:9">
      <c r="F3568" s="12" t="e">
        <f>'[4]#REF'!F3568</f>
        <v>#REF!</v>
      </c>
      <c r="G3568" s="12" t="e">
        <f>'[4]#REF'!G3568</f>
        <v>#REF!</v>
      </c>
      <c r="H3568" s="31" t="e">
        <f>'[4]#REF'!I3568</f>
        <v>#REF!</v>
      </c>
      <c r="I3568" s="32" t="e">
        <f t="shared" si="86"/>
        <v>#REF!</v>
      </c>
    </row>
    <row r="3569" ht="15.75" spans="6:9">
      <c r="F3569" s="12" t="e">
        <f>'[4]#REF'!F3569</f>
        <v>#REF!</v>
      </c>
      <c r="G3569" s="12" t="e">
        <f>'[4]#REF'!G3569</f>
        <v>#REF!</v>
      </c>
      <c r="H3569" s="31" t="e">
        <f>'[4]#REF'!I3569</f>
        <v>#REF!</v>
      </c>
      <c r="I3569" s="32" t="e">
        <f t="shared" si="86"/>
        <v>#REF!</v>
      </c>
    </row>
    <row r="3570" ht="15.75" spans="6:9">
      <c r="F3570" s="12" t="e">
        <f>'[4]#REF'!F3570</f>
        <v>#REF!</v>
      </c>
      <c r="G3570" s="12" t="e">
        <f>'[4]#REF'!G3570</f>
        <v>#REF!</v>
      </c>
      <c r="H3570" s="31" t="e">
        <f>'[4]#REF'!I3570</f>
        <v>#REF!</v>
      </c>
      <c r="I3570" s="32" t="e">
        <f t="shared" si="86"/>
        <v>#REF!</v>
      </c>
    </row>
    <row r="3571" ht="15.75" spans="6:9">
      <c r="F3571" s="12" t="e">
        <f>'[4]#REF'!F3571</f>
        <v>#REF!</v>
      </c>
      <c r="G3571" s="12" t="e">
        <f>'[4]#REF'!G3571</f>
        <v>#REF!</v>
      </c>
      <c r="H3571" s="31" t="e">
        <f>'[4]#REF'!I3571</f>
        <v>#REF!</v>
      </c>
      <c r="I3571" s="32" t="e">
        <f t="shared" si="86"/>
        <v>#REF!</v>
      </c>
    </row>
    <row r="3572" ht="15.75" spans="6:9">
      <c r="F3572" s="12" t="e">
        <f>'[4]#REF'!F3572</f>
        <v>#REF!</v>
      </c>
      <c r="G3572" s="12" t="e">
        <f>'[4]#REF'!G3572</f>
        <v>#REF!</v>
      </c>
      <c r="H3572" s="31" t="e">
        <f>'[4]#REF'!I3572</f>
        <v>#REF!</v>
      </c>
      <c r="I3572" s="32" t="e">
        <f t="shared" si="86"/>
        <v>#REF!</v>
      </c>
    </row>
    <row r="3573" ht="15.75" spans="6:9">
      <c r="F3573" s="12" t="e">
        <f>'[4]#REF'!F3573</f>
        <v>#REF!</v>
      </c>
      <c r="G3573" s="12" t="e">
        <f>'[4]#REF'!G3573</f>
        <v>#REF!</v>
      </c>
      <c r="H3573" s="31" t="e">
        <f>'[4]#REF'!I3573</f>
        <v>#REF!</v>
      </c>
      <c r="I3573" s="32" t="e">
        <f t="shared" si="86"/>
        <v>#REF!</v>
      </c>
    </row>
    <row r="3574" ht="15.75" spans="6:9">
      <c r="F3574" s="12" t="e">
        <f>'[4]#REF'!F3574</f>
        <v>#REF!</v>
      </c>
      <c r="G3574" s="12" t="e">
        <f>'[4]#REF'!G3574</f>
        <v>#REF!</v>
      </c>
      <c r="H3574" s="31" t="e">
        <f>'[4]#REF'!I3574</f>
        <v>#REF!</v>
      </c>
      <c r="I3574" s="32" t="e">
        <f t="shared" si="86"/>
        <v>#REF!</v>
      </c>
    </row>
    <row r="3575" ht="15.75" spans="6:9">
      <c r="F3575" s="12" t="e">
        <f>'[4]#REF'!F3575</f>
        <v>#REF!</v>
      </c>
      <c r="G3575" s="12" t="e">
        <f>'[4]#REF'!G3575</f>
        <v>#REF!</v>
      </c>
      <c r="H3575" s="31" t="e">
        <f>'[4]#REF'!I3575</f>
        <v>#REF!</v>
      </c>
      <c r="I3575" s="32" t="e">
        <f t="shared" si="86"/>
        <v>#REF!</v>
      </c>
    </row>
    <row r="3576" ht="15.75" spans="6:9">
      <c r="F3576" s="12" t="e">
        <f>'[4]#REF'!F3576</f>
        <v>#REF!</v>
      </c>
      <c r="G3576" s="12" t="e">
        <f>'[4]#REF'!G3576</f>
        <v>#REF!</v>
      </c>
      <c r="H3576" s="31" t="e">
        <f>'[4]#REF'!I3576</f>
        <v>#REF!</v>
      </c>
      <c r="I3576" s="32" t="e">
        <f t="shared" si="86"/>
        <v>#REF!</v>
      </c>
    </row>
    <row r="3577" ht="15.75" spans="6:9">
      <c r="F3577" s="12" t="e">
        <f>'[4]#REF'!F3577</f>
        <v>#REF!</v>
      </c>
      <c r="G3577" s="12" t="e">
        <f>'[4]#REF'!G3577</f>
        <v>#REF!</v>
      </c>
      <c r="H3577" s="31" t="e">
        <f>'[4]#REF'!I3577</f>
        <v>#REF!</v>
      </c>
      <c r="I3577" s="32" t="e">
        <f t="shared" si="86"/>
        <v>#REF!</v>
      </c>
    </row>
    <row r="3578" ht="15.75" spans="6:9">
      <c r="F3578" s="12" t="e">
        <f>'[4]#REF'!F3578</f>
        <v>#REF!</v>
      </c>
      <c r="G3578" s="12" t="e">
        <f>'[4]#REF'!G3578</f>
        <v>#REF!</v>
      </c>
      <c r="H3578" s="31" t="e">
        <f>'[4]#REF'!I3578</f>
        <v>#REF!</v>
      </c>
      <c r="I3578" s="32" t="e">
        <f t="shared" si="86"/>
        <v>#REF!</v>
      </c>
    </row>
    <row r="3579" ht="15.75" spans="6:9">
      <c r="F3579" s="12" t="e">
        <f>'[4]#REF'!F3579</f>
        <v>#REF!</v>
      </c>
      <c r="G3579" s="12" t="e">
        <f>'[4]#REF'!G3579</f>
        <v>#REF!</v>
      </c>
      <c r="H3579" s="31" t="e">
        <f>'[4]#REF'!I3579</f>
        <v>#REF!</v>
      </c>
      <c r="I3579" s="32" t="e">
        <f t="shared" si="86"/>
        <v>#REF!</v>
      </c>
    </row>
    <row r="3580" ht="15.75" spans="6:9">
      <c r="F3580" s="12" t="e">
        <f>'[4]#REF'!F3580</f>
        <v>#REF!</v>
      </c>
      <c r="G3580" s="12" t="e">
        <f>'[4]#REF'!G3580</f>
        <v>#REF!</v>
      </c>
      <c r="H3580" s="31" t="e">
        <f>'[4]#REF'!I3580</f>
        <v>#REF!</v>
      </c>
      <c r="I3580" s="32" t="e">
        <f t="shared" si="86"/>
        <v>#REF!</v>
      </c>
    </row>
    <row r="3581" ht="15.75" spans="6:9">
      <c r="F3581" s="12" t="e">
        <f>'[4]#REF'!F3581</f>
        <v>#REF!</v>
      </c>
      <c r="G3581" s="12" t="e">
        <f>'[4]#REF'!G3581</f>
        <v>#REF!</v>
      </c>
      <c r="H3581" s="31" t="e">
        <f>'[4]#REF'!I3581</f>
        <v>#REF!</v>
      </c>
      <c r="I3581" s="32" t="e">
        <f t="shared" si="86"/>
        <v>#REF!</v>
      </c>
    </row>
    <row r="3582" ht="15.75" spans="6:9">
      <c r="F3582" s="12" t="e">
        <f>'[4]#REF'!F3582</f>
        <v>#REF!</v>
      </c>
      <c r="G3582" s="12" t="e">
        <f>'[4]#REF'!G3582</f>
        <v>#REF!</v>
      </c>
      <c r="H3582" s="31" t="e">
        <f>'[4]#REF'!I3582</f>
        <v>#REF!</v>
      </c>
      <c r="I3582" s="32" t="e">
        <f t="shared" si="86"/>
        <v>#REF!</v>
      </c>
    </row>
    <row r="3583" ht="15.75" spans="6:9">
      <c r="F3583" s="12" t="e">
        <f>'[4]#REF'!F3583</f>
        <v>#REF!</v>
      </c>
      <c r="G3583" s="12" t="e">
        <f>'[4]#REF'!G3583</f>
        <v>#REF!</v>
      </c>
      <c r="H3583" s="31" t="e">
        <f>'[4]#REF'!I3583</f>
        <v>#REF!</v>
      </c>
      <c r="I3583" s="32" t="e">
        <f t="shared" si="86"/>
        <v>#REF!</v>
      </c>
    </row>
    <row r="3584" ht="15.75" spans="6:9">
      <c r="F3584" s="12" t="e">
        <f>'[4]#REF'!F3584</f>
        <v>#REF!</v>
      </c>
      <c r="G3584" s="12" t="e">
        <f>'[4]#REF'!G3584</f>
        <v>#REF!</v>
      </c>
      <c r="H3584" s="31" t="e">
        <f>'[4]#REF'!I3584</f>
        <v>#REF!</v>
      </c>
      <c r="I3584" s="32" t="e">
        <f t="shared" si="86"/>
        <v>#REF!</v>
      </c>
    </row>
    <row r="3585" ht="15.75" spans="6:9">
      <c r="F3585" s="12" t="e">
        <f>'[4]#REF'!F3585</f>
        <v>#REF!</v>
      </c>
      <c r="G3585" s="12" t="e">
        <f>'[4]#REF'!G3585</f>
        <v>#REF!</v>
      </c>
      <c r="H3585" s="31" t="e">
        <f>'[4]#REF'!I3585</f>
        <v>#REF!</v>
      </c>
      <c r="I3585" s="32" t="e">
        <f t="shared" si="86"/>
        <v>#REF!</v>
      </c>
    </row>
    <row r="3586" ht="15.75" spans="6:9">
      <c r="F3586" s="12" t="e">
        <f>'[4]#REF'!F3586</f>
        <v>#REF!</v>
      </c>
      <c r="G3586" s="12" t="e">
        <f>'[4]#REF'!G3586</f>
        <v>#REF!</v>
      </c>
      <c r="H3586" s="31" t="e">
        <f>'[4]#REF'!I3586</f>
        <v>#REF!</v>
      </c>
      <c r="I3586" s="32" t="e">
        <f t="shared" si="86"/>
        <v>#REF!</v>
      </c>
    </row>
    <row r="3587" ht="15.75" spans="6:9">
      <c r="F3587" s="12" t="e">
        <f>'[4]#REF'!F3587</f>
        <v>#REF!</v>
      </c>
      <c r="G3587" s="12" t="e">
        <f>'[4]#REF'!G3587</f>
        <v>#REF!</v>
      </c>
      <c r="H3587" s="31" t="e">
        <f>'[4]#REF'!I3587</f>
        <v>#REF!</v>
      </c>
      <c r="I3587" s="32" t="e">
        <f t="shared" si="86"/>
        <v>#REF!</v>
      </c>
    </row>
    <row r="3588" ht="15.75" spans="6:9">
      <c r="F3588" s="12" t="e">
        <f>'[4]#REF'!F3588</f>
        <v>#REF!</v>
      </c>
      <c r="G3588" s="12" t="e">
        <f>'[4]#REF'!G3588</f>
        <v>#REF!</v>
      </c>
      <c r="H3588" s="31" t="e">
        <f>'[4]#REF'!I3588</f>
        <v>#REF!</v>
      </c>
      <c r="I3588" s="32" t="e">
        <f t="shared" si="86"/>
        <v>#REF!</v>
      </c>
    </row>
    <row r="3589" ht="15.75" spans="6:9">
      <c r="F3589" s="12" t="e">
        <f>'[4]#REF'!F3589</f>
        <v>#REF!</v>
      </c>
      <c r="G3589" s="12" t="e">
        <f>'[4]#REF'!G3589</f>
        <v>#REF!</v>
      </c>
      <c r="H3589" s="31" t="e">
        <f>'[4]#REF'!I3589</f>
        <v>#REF!</v>
      </c>
      <c r="I3589" s="32" t="e">
        <f t="shared" si="86"/>
        <v>#REF!</v>
      </c>
    </row>
    <row r="3590" ht="15.75" spans="6:9">
      <c r="F3590" s="12" t="e">
        <f>'[4]#REF'!F3590</f>
        <v>#REF!</v>
      </c>
      <c r="G3590" s="12" t="e">
        <f>'[4]#REF'!G3590</f>
        <v>#REF!</v>
      </c>
      <c r="H3590" s="31" t="e">
        <f>'[4]#REF'!I3590</f>
        <v>#REF!</v>
      </c>
      <c r="I3590" s="32" t="e">
        <f t="shared" ref="I3590:I3653" si="87">ROUND(H3590/$I$4*100,2)</f>
        <v>#REF!</v>
      </c>
    </row>
    <row r="3591" ht="15.75" spans="6:9">
      <c r="F3591" s="12" t="e">
        <f>'[4]#REF'!F3591</f>
        <v>#REF!</v>
      </c>
      <c r="G3591" s="12" t="e">
        <f>'[4]#REF'!G3591</f>
        <v>#REF!</v>
      </c>
      <c r="H3591" s="31" t="e">
        <f>'[4]#REF'!I3591</f>
        <v>#REF!</v>
      </c>
      <c r="I3591" s="32" t="e">
        <f t="shared" si="87"/>
        <v>#REF!</v>
      </c>
    </row>
    <row r="3592" ht="15.75" spans="6:9">
      <c r="F3592" s="12" t="e">
        <f>'[4]#REF'!F3592</f>
        <v>#REF!</v>
      </c>
      <c r="G3592" s="12" t="e">
        <f>'[4]#REF'!G3592</f>
        <v>#REF!</v>
      </c>
      <c r="H3592" s="31" t="e">
        <f>'[4]#REF'!I3592</f>
        <v>#REF!</v>
      </c>
      <c r="I3592" s="32" t="e">
        <f t="shared" si="87"/>
        <v>#REF!</v>
      </c>
    </row>
    <row r="3593" ht="15.75" spans="6:9">
      <c r="F3593" s="12" t="e">
        <f>'[4]#REF'!F3593</f>
        <v>#REF!</v>
      </c>
      <c r="G3593" s="12" t="e">
        <f>'[4]#REF'!G3593</f>
        <v>#REF!</v>
      </c>
      <c r="H3593" s="31" t="e">
        <f>'[4]#REF'!I3593</f>
        <v>#REF!</v>
      </c>
      <c r="I3593" s="32" t="e">
        <f t="shared" si="87"/>
        <v>#REF!</v>
      </c>
    </row>
    <row r="3594" ht="15.75" spans="6:9">
      <c r="F3594" s="12" t="e">
        <f>'[4]#REF'!F3594</f>
        <v>#REF!</v>
      </c>
      <c r="G3594" s="12" t="e">
        <f>'[4]#REF'!G3594</f>
        <v>#REF!</v>
      </c>
      <c r="H3594" s="31" t="e">
        <f>'[4]#REF'!I3594</f>
        <v>#REF!</v>
      </c>
      <c r="I3594" s="32" t="e">
        <f t="shared" si="87"/>
        <v>#REF!</v>
      </c>
    </row>
    <row r="3595" ht="15.75" spans="6:9">
      <c r="F3595" s="12" t="e">
        <f>'[4]#REF'!F3595</f>
        <v>#REF!</v>
      </c>
      <c r="G3595" s="12" t="e">
        <f>'[4]#REF'!G3595</f>
        <v>#REF!</v>
      </c>
      <c r="H3595" s="31" t="e">
        <f>'[4]#REF'!I3595</f>
        <v>#REF!</v>
      </c>
      <c r="I3595" s="32" t="e">
        <f t="shared" si="87"/>
        <v>#REF!</v>
      </c>
    </row>
    <row r="3596" ht="15.75" spans="6:9">
      <c r="F3596" s="12" t="e">
        <f>'[4]#REF'!F3596</f>
        <v>#REF!</v>
      </c>
      <c r="G3596" s="12" t="e">
        <f>'[4]#REF'!G3596</f>
        <v>#REF!</v>
      </c>
      <c r="H3596" s="31" t="e">
        <f>'[4]#REF'!I3596</f>
        <v>#REF!</v>
      </c>
      <c r="I3596" s="32" t="e">
        <f t="shared" si="87"/>
        <v>#REF!</v>
      </c>
    </row>
    <row r="3597" ht="15.75" spans="6:9">
      <c r="F3597" s="12" t="e">
        <f>'[4]#REF'!F3597</f>
        <v>#REF!</v>
      </c>
      <c r="G3597" s="12" t="e">
        <f>'[4]#REF'!G3597</f>
        <v>#REF!</v>
      </c>
      <c r="H3597" s="31" t="e">
        <f>'[4]#REF'!I3597</f>
        <v>#REF!</v>
      </c>
      <c r="I3597" s="32" t="e">
        <f t="shared" si="87"/>
        <v>#REF!</v>
      </c>
    </row>
    <row r="3598" ht="15.75" spans="6:9">
      <c r="F3598" s="12" t="e">
        <f>'[4]#REF'!F3598</f>
        <v>#REF!</v>
      </c>
      <c r="G3598" s="12" t="e">
        <f>'[4]#REF'!G3598</f>
        <v>#REF!</v>
      </c>
      <c r="H3598" s="31" t="e">
        <f>'[4]#REF'!I3598</f>
        <v>#REF!</v>
      </c>
      <c r="I3598" s="32" t="e">
        <f t="shared" si="87"/>
        <v>#REF!</v>
      </c>
    </row>
    <row r="3599" ht="15.75" spans="6:9">
      <c r="F3599" s="12" t="e">
        <f>'[4]#REF'!F3599</f>
        <v>#REF!</v>
      </c>
      <c r="G3599" s="12" t="e">
        <f>'[4]#REF'!G3599</f>
        <v>#REF!</v>
      </c>
      <c r="H3599" s="31" t="e">
        <f>'[4]#REF'!I3599</f>
        <v>#REF!</v>
      </c>
      <c r="I3599" s="32" t="e">
        <f t="shared" si="87"/>
        <v>#REF!</v>
      </c>
    </row>
    <row r="3600" ht="15.75" spans="6:9">
      <c r="F3600" s="12" t="e">
        <f>'[4]#REF'!F3600</f>
        <v>#REF!</v>
      </c>
      <c r="G3600" s="12" t="e">
        <f>'[4]#REF'!G3600</f>
        <v>#REF!</v>
      </c>
      <c r="H3600" s="31" t="e">
        <f>'[4]#REF'!I3600</f>
        <v>#REF!</v>
      </c>
      <c r="I3600" s="32" t="e">
        <f t="shared" si="87"/>
        <v>#REF!</v>
      </c>
    </row>
    <row r="3601" ht="15.75" spans="6:9">
      <c r="F3601" s="12" t="e">
        <f>'[4]#REF'!F3601</f>
        <v>#REF!</v>
      </c>
      <c r="G3601" s="12" t="e">
        <f>'[4]#REF'!G3601</f>
        <v>#REF!</v>
      </c>
      <c r="H3601" s="31" t="e">
        <f>'[4]#REF'!I3601</f>
        <v>#REF!</v>
      </c>
      <c r="I3601" s="32" t="e">
        <f t="shared" si="87"/>
        <v>#REF!</v>
      </c>
    </row>
    <row r="3602" ht="15.75" spans="6:9">
      <c r="F3602" s="12" t="e">
        <f>'[4]#REF'!F3602</f>
        <v>#REF!</v>
      </c>
      <c r="G3602" s="12" t="e">
        <f>'[4]#REF'!G3602</f>
        <v>#REF!</v>
      </c>
      <c r="H3602" s="31" t="e">
        <f>'[4]#REF'!I3602</f>
        <v>#REF!</v>
      </c>
      <c r="I3602" s="32" t="e">
        <f t="shared" si="87"/>
        <v>#REF!</v>
      </c>
    </row>
    <row r="3603" ht="15.75" spans="6:9">
      <c r="F3603" s="12" t="e">
        <f>'[4]#REF'!F3603</f>
        <v>#REF!</v>
      </c>
      <c r="G3603" s="12" t="e">
        <f>'[4]#REF'!G3603</f>
        <v>#REF!</v>
      </c>
      <c r="H3603" s="31" t="e">
        <f>'[4]#REF'!I3603</f>
        <v>#REF!</v>
      </c>
      <c r="I3603" s="32" t="e">
        <f t="shared" si="87"/>
        <v>#REF!</v>
      </c>
    </row>
    <row r="3604" ht="15.75" spans="6:9">
      <c r="F3604" s="12" t="e">
        <f>'[4]#REF'!F3604</f>
        <v>#REF!</v>
      </c>
      <c r="G3604" s="12" t="e">
        <f>'[4]#REF'!G3604</f>
        <v>#REF!</v>
      </c>
      <c r="H3604" s="31" t="e">
        <f>'[4]#REF'!I3604</f>
        <v>#REF!</v>
      </c>
      <c r="I3604" s="32" t="e">
        <f t="shared" si="87"/>
        <v>#REF!</v>
      </c>
    </row>
    <row r="3605" ht="15.75" spans="6:9">
      <c r="F3605" s="12" t="e">
        <f>'[4]#REF'!F3605</f>
        <v>#REF!</v>
      </c>
      <c r="G3605" s="12" t="e">
        <f>'[4]#REF'!G3605</f>
        <v>#REF!</v>
      </c>
      <c r="H3605" s="31" t="e">
        <f>'[4]#REF'!I3605</f>
        <v>#REF!</v>
      </c>
      <c r="I3605" s="32" t="e">
        <f t="shared" si="87"/>
        <v>#REF!</v>
      </c>
    </row>
    <row r="3606" ht="15.75" spans="6:9">
      <c r="F3606" s="12" t="e">
        <f>'[4]#REF'!F3606</f>
        <v>#REF!</v>
      </c>
      <c r="G3606" s="12" t="e">
        <f>'[4]#REF'!G3606</f>
        <v>#REF!</v>
      </c>
      <c r="H3606" s="31" t="e">
        <f>'[4]#REF'!I3606</f>
        <v>#REF!</v>
      </c>
      <c r="I3606" s="32" t="e">
        <f t="shared" si="87"/>
        <v>#REF!</v>
      </c>
    </row>
    <row r="3607" ht="15.75" spans="6:9">
      <c r="F3607" s="12" t="e">
        <f>'[4]#REF'!F3607</f>
        <v>#REF!</v>
      </c>
      <c r="G3607" s="12" t="e">
        <f>'[4]#REF'!G3607</f>
        <v>#REF!</v>
      </c>
      <c r="H3607" s="31" t="e">
        <f>'[4]#REF'!I3607</f>
        <v>#REF!</v>
      </c>
      <c r="I3607" s="32" t="e">
        <f t="shared" si="87"/>
        <v>#REF!</v>
      </c>
    </row>
    <row r="3608" ht="15.75" spans="6:9">
      <c r="F3608" s="12" t="e">
        <f>'[4]#REF'!F3608</f>
        <v>#REF!</v>
      </c>
      <c r="G3608" s="12" t="e">
        <f>'[4]#REF'!G3608</f>
        <v>#REF!</v>
      </c>
      <c r="H3608" s="31" t="e">
        <f>'[4]#REF'!I3608</f>
        <v>#REF!</v>
      </c>
      <c r="I3608" s="32" t="e">
        <f t="shared" si="87"/>
        <v>#REF!</v>
      </c>
    </row>
    <row r="3609" ht="15.75" spans="6:9">
      <c r="F3609" s="12" t="e">
        <f>'[4]#REF'!F3609</f>
        <v>#REF!</v>
      </c>
      <c r="G3609" s="12" t="e">
        <f>'[4]#REF'!G3609</f>
        <v>#REF!</v>
      </c>
      <c r="H3609" s="31" t="e">
        <f>'[4]#REF'!I3609</f>
        <v>#REF!</v>
      </c>
      <c r="I3609" s="32" t="e">
        <f t="shared" si="87"/>
        <v>#REF!</v>
      </c>
    </row>
    <row r="3610" ht="15.75" spans="6:9">
      <c r="F3610" s="12" t="e">
        <f>'[4]#REF'!F3610</f>
        <v>#REF!</v>
      </c>
      <c r="G3610" s="12" t="e">
        <f>'[4]#REF'!G3610</f>
        <v>#REF!</v>
      </c>
      <c r="H3610" s="31" t="e">
        <f>'[4]#REF'!I3610</f>
        <v>#REF!</v>
      </c>
      <c r="I3610" s="32" t="e">
        <f t="shared" si="87"/>
        <v>#REF!</v>
      </c>
    </row>
    <row r="3611" ht="15.75" spans="6:9">
      <c r="F3611" s="12" t="e">
        <f>'[4]#REF'!F3611</f>
        <v>#REF!</v>
      </c>
      <c r="G3611" s="12" t="e">
        <f>'[4]#REF'!G3611</f>
        <v>#REF!</v>
      </c>
      <c r="H3611" s="31" t="e">
        <f>'[4]#REF'!I3611</f>
        <v>#REF!</v>
      </c>
      <c r="I3611" s="32" t="e">
        <f t="shared" si="87"/>
        <v>#REF!</v>
      </c>
    </row>
    <row r="3612" ht="15.75" spans="6:9">
      <c r="F3612" s="12" t="e">
        <f>'[4]#REF'!F3612</f>
        <v>#REF!</v>
      </c>
      <c r="G3612" s="12" t="e">
        <f>'[4]#REF'!G3612</f>
        <v>#REF!</v>
      </c>
      <c r="H3612" s="31" t="e">
        <f>'[4]#REF'!I3612</f>
        <v>#REF!</v>
      </c>
      <c r="I3612" s="32" t="e">
        <f t="shared" si="87"/>
        <v>#REF!</v>
      </c>
    </row>
    <row r="3613" ht="15.75" spans="6:9">
      <c r="F3613" s="12" t="e">
        <f>'[4]#REF'!F3613</f>
        <v>#REF!</v>
      </c>
      <c r="G3613" s="12" t="e">
        <f>'[4]#REF'!G3613</f>
        <v>#REF!</v>
      </c>
      <c r="H3613" s="31" t="e">
        <f>'[4]#REF'!I3613</f>
        <v>#REF!</v>
      </c>
      <c r="I3613" s="32" t="e">
        <f t="shared" si="87"/>
        <v>#REF!</v>
      </c>
    </row>
    <row r="3614" ht="15.75" spans="6:9">
      <c r="F3614" s="12" t="e">
        <f>'[4]#REF'!F3614</f>
        <v>#REF!</v>
      </c>
      <c r="G3614" s="12" t="e">
        <f>'[4]#REF'!G3614</f>
        <v>#REF!</v>
      </c>
      <c r="H3614" s="31" t="e">
        <f>'[4]#REF'!I3614</f>
        <v>#REF!</v>
      </c>
      <c r="I3614" s="32" t="e">
        <f t="shared" si="87"/>
        <v>#REF!</v>
      </c>
    </row>
    <row r="3615" ht="15.75" spans="6:9">
      <c r="F3615" s="12" t="e">
        <f>'[4]#REF'!F3615</f>
        <v>#REF!</v>
      </c>
      <c r="G3615" s="12" t="e">
        <f>'[4]#REF'!G3615</f>
        <v>#REF!</v>
      </c>
      <c r="H3615" s="31" t="e">
        <f>'[4]#REF'!I3615</f>
        <v>#REF!</v>
      </c>
      <c r="I3615" s="32" t="e">
        <f t="shared" si="87"/>
        <v>#REF!</v>
      </c>
    </row>
    <row r="3616" ht="15.75" spans="6:9">
      <c r="F3616" s="12" t="e">
        <f>'[4]#REF'!F3616</f>
        <v>#REF!</v>
      </c>
      <c r="G3616" s="12" t="e">
        <f>'[4]#REF'!G3616</f>
        <v>#REF!</v>
      </c>
      <c r="H3616" s="31" t="e">
        <f>'[4]#REF'!I3616</f>
        <v>#REF!</v>
      </c>
      <c r="I3616" s="32" t="e">
        <f t="shared" si="87"/>
        <v>#REF!</v>
      </c>
    </row>
    <row r="3617" ht="15.75" spans="6:9">
      <c r="F3617" s="12" t="e">
        <f>'[4]#REF'!F3617</f>
        <v>#REF!</v>
      </c>
      <c r="G3617" s="12" t="e">
        <f>'[4]#REF'!G3617</f>
        <v>#REF!</v>
      </c>
      <c r="H3617" s="31" t="e">
        <f>'[4]#REF'!I3617</f>
        <v>#REF!</v>
      </c>
      <c r="I3617" s="32" t="e">
        <f t="shared" si="87"/>
        <v>#REF!</v>
      </c>
    </row>
    <row r="3618" ht="15.75" spans="6:9">
      <c r="F3618" s="12" t="e">
        <f>'[4]#REF'!F3618</f>
        <v>#REF!</v>
      </c>
      <c r="G3618" s="12" t="e">
        <f>'[4]#REF'!G3618</f>
        <v>#REF!</v>
      </c>
      <c r="H3618" s="31" t="e">
        <f>'[4]#REF'!I3618</f>
        <v>#REF!</v>
      </c>
      <c r="I3618" s="32" t="e">
        <f t="shared" si="87"/>
        <v>#REF!</v>
      </c>
    </row>
    <row r="3619" ht="15.75" spans="6:9">
      <c r="F3619" s="12" t="e">
        <f>'[4]#REF'!F3619</f>
        <v>#REF!</v>
      </c>
      <c r="G3619" s="12" t="e">
        <f>'[4]#REF'!G3619</f>
        <v>#REF!</v>
      </c>
      <c r="H3619" s="31" t="e">
        <f>'[4]#REF'!I3619</f>
        <v>#REF!</v>
      </c>
      <c r="I3619" s="32" t="e">
        <f t="shared" si="87"/>
        <v>#REF!</v>
      </c>
    </row>
    <row r="3620" ht="15.75" spans="6:9">
      <c r="F3620" s="12" t="e">
        <f>'[4]#REF'!F3620</f>
        <v>#REF!</v>
      </c>
      <c r="G3620" s="12" t="e">
        <f>'[4]#REF'!G3620</f>
        <v>#REF!</v>
      </c>
      <c r="H3620" s="31" t="e">
        <f>'[4]#REF'!I3620</f>
        <v>#REF!</v>
      </c>
      <c r="I3620" s="32" t="e">
        <f t="shared" si="87"/>
        <v>#REF!</v>
      </c>
    </row>
    <row r="3621" ht="15.75" spans="6:9">
      <c r="F3621" s="12" t="e">
        <f>'[4]#REF'!F3621</f>
        <v>#REF!</v>
      </c>
      <c r="G3621" s="12" t="e">
        <f>'[4]#REF'!G3621</f>
        <v>#REF!</v>
      </c>
      <c r="H3621" s="31" t="e">
        <f>'[4]#REF'!I3621</f>
        <v>#REF!</v>
      </c>
      <c r="I3621" s="32" t="e">
        <f t="shared" si="87"/>
        <v>#REF!</v>
      </c>
    </row>
    <row r="3622" ht="15.75" spans="6:9">
      <c r="F3622" s="12" t="e">
        <f>'[4]#REF'!F3622</f>
        <v>#REF!</v>
      </c>
      <c r="G3622" s="12" t="e">
        <f>'[4]#REF'!G3622</f>
        <v>#REF!</v>
      </c>
      <c r="H3622" s="31" t="e">
        <f>'[4]#REF'!I3622</f>
        <v>#REF!</v>
      </c>
      <c r="I3622" s="32" t="e">
        <f t="shared" si="87"/>
        <v>#REF!</v>
      </c>
    </row>
    <row r="3623" ht="15.75" spans="6:9">
      <c r="F3623" s="12" t="e">
        <f>'[4]#REF'!F3623</f>
        <v>#REF!</v>
      </c>
      <c r="G3623" s="12" t="e">
        <f>'[4]#REF'!G3623</f>
        <v>#REF!</v>
      </c>
      <c r="H3623" s="31" t="e">
        <f>'[4]#REF'!I3623</f>
        <v>#REF!</v>
      </c>
      <c r="I3623" s="32" t="e">
        <f t="shared" si="87"/>
        <v>#REF!</v>
      </c>
    </row>
    <row r="3624" ht="15.75" spans="6:9">
      <c r="F3624" s="12" t="e">
        <f>'[4]#REF'!F3624</f>
        <v>#REF!</v>
      </c>
      <c r="G3624" s="12" t="e">
        <f>'[4]#REF'!G3624</f>
        <v>#REF!</v>
      </c>
      <c r="H3624" s="31" t="e">
        <f>'[4]#REF'!I3624</f>
        <v>#REF!</v>
      </c>
      <c r="I3624" s="32" t="e">
        <f t="shared" si="87"/>
        <v>#REF!</v>
      </c>
    </row>
    <row r="3625" ht="15.75" spans="6:9">
      <c r="F3625" s="12" t="e">
        <f>'[4]#REF'!F3625</f>
        <v>#REF!</v>
      </c>
      <c r="G3625" s="12" t="e">
        <f>'[4]#REF'!G3625</f>
        <v>#REF!</v>
      </c>
      <c r="H3625" s="31" t="e">
        <f>'[4]#REF'!I3625</f>
        <v>#REF!</v>
      </c>
      <c r="I3625" s="32" t="e">
        <f t="shared" si="87"/>
        <v>#REF!</v>
      </c>
    </row>
    <row r="3626" ht="15.75" spans="6:9">
      <c r="F3626" s="12" t="e">
        <f>'[4]#REF'!F3626</f>
        <v>#REF!</v>
      </c>
      <c r="G3626" s="12" t="e">
        <f>'[4]#REF'!G3626</f>
        <v>#REF!</v>
      </c>
      <c r="H3626" s="31" t="e">
        <f>'[4]#REF'!I3626</f>
        <v>#REF!</v>
      </c>
      <c r="I3626" s="32" t="e">
        <f t="shared" si="87"/>
        <v>#REF!</v>
      </c>
    </row>
    <row r="3627" ht="15.75" spans="6:9">
      <c r="F3627" s="12" t="e">
        <f>'[4]#REF'!F3627</f>
        <v>#REF!</v>
      </c>
      <c r="G3627" s="12" t="e">
        <f>'[4]#REF'!G3627</f>
        <v>#REF!</v>
      </c>
      <c r="H3627" s="31" t="e">
        <f>'[4]#REF'!I3627</f>
        <v>#REF!</v>
      </c>
      <c r="I3627" s="32" t="e">
        <f t="shared" si="87"/>
        <v>#REF!</v>
      </c>
    </row>
    <row r="3628" ht="15.75" spans="6:9">
      <c r="F3628" s="12" t="e">
        <f>'[4]#REF'!F3628</f>
        <v>#REF!</v>
      </c>
      <c r="G3628" s="12" t="e">
        <f>'[4]#REF'!G3628</f>
        <v>#REF!</v>
      </c>
      <c r="H3628" s="31" t="e">
        <f>'[4]#REF'!I3628</f>
        <v>#REF!</v>
      </c>
      <c r="I3628" s="32" t="e">
        <f t="shared" si="87"/>
        <v>#REF!</v>
      </c>
    </row>
    <row r="3629" ht="15.75" spans="6:9">
      <c r="F3629" s="12" t="e">
        <f>'[4]#REF'!F3629</f>
        <v>#REF!</v>
      </c>
      <c r="G3629" s="12" t="e">
        <f>'[4]#REF'!G3629</f>
        <v>#REF!</v>
      </c>
      <c r="H3629" s="31" t="e">
        <f>'[4]#REF'!I3629</f>
        <v>#REF!</v>
      </c>
      <c r="I3629" s="32" t="e">
        <f t="shared" si="87"/>
        <v>#REF!</v>
      </c>
    </row>
    <row r="3630" ht="15.75" spans="6:9">
      <c r="F3630" s="12" t="e">
        <f>'[4]#REF'!F3630</f>
        <v>#REF!</v>
      </c>
      <c r="G3630" s="12" t="e">
        <f>'[4]#REF'!G3630</f>
        <v>#REF!</v>
      </c>
      <c r="H3630" s="31" t="e">
        <f>'[4]#REF'!I3630</f>
        <v>#REF!</v>
      </c>
      <c r="I3630" s="32" t="e">
        <f t="shared" si="87"/>
        <v>#REF!</v>
      </c>
    </row>
    <row r="3631" ht="15.75" spans="6:9">
      <c r="F3631" s="12" t="e">
        <f>'[4]#REF'!F3631</f>
        <v>#REF!</v>
      </c>
      <c r="G3631" s="12" t="e">
        <f>'[4]#REF'!G3631</f>
        <v>#REF!</v>
      </c>
      <c r="H3631" s="31" t="e">
        <f>'[4]#REF'!I3631</f>
        <v>#REF!</v>
      </c>
      <c r="I3631" s="32" t="e">
        <f t="shared" si="87"/>
        <v>#REF!</v>
      </c>
    </row>
    <row r="3632" ht="15.75" spans="6:9">
      <c r="F3632" s="12" t="e">
        <f>'[4]#REF'!F3632</f>
        <v>#REF!</v>
      </c>
      <c r="G3632" s="12" t="e">
        <f>'[4]#REF'!G3632</f>
        <v>#REF!</v>
      </c>
      <c r="H3632" s="31" t="e">
        <f>'[4]#REF'!I3632</f>
        <v>#REF!</v>
      </c>
      <c r="I3632" s="32" t="e">
        <f t="shared" si="87"/>
        <v>#REF!</v>
      </c>
    </row>
    <row r="3633" ht="15.75" spans="6:9">
      <c r="F3633" s="12" t="e">
        <f>'[4]#REF'!F3633</f>
        <v>#REF!</v>
      </c>
      <c r="G3633" s="12" t="e">
        <f>'[4]#REF'!G3633</f>
        <v>#REF!</v>
      </c>
      <c r="H3633" s="31" t="e">
        <f>'[4]#REF'!I3633</f>
        <v>#REF!</v>
      </c>
      <c r="I3633" s="32" t="e">
        <f t="shared" si="87"/>
        <v>#REF!</v>
      </c>
    </row>
    <row r="3634" ht="15.75" spans="6:9">
      <c r="F3634" s="12" t="e">
        <f>'[4]#REF'!F3634</f>
        <v>#REF!</v>
      </c>
      <c r="G3634" s="12" t="e">
        <f>'[4]#REF'!G3634</f>
        <v>#REF!</v>
      </c>
      <c r="H3634" s="31" t="e">
        <f>'[4]#REF'!I3634</f>
        <v>#REF!</v>
      </c>
      <c r="I3634" s="32" t="e">
        <f t="shared" si="87"/>
        <v>#REF!</v>
      </c>
    </row>
    <row r="3635" ht="15.75" spans="6:9">
      <c r="F3635" s="12" t="e">
        <f>'[4]#REF'!F3635</f>
        <v>#REF!</v>
      </c>
      <c r="G3635" s="12" t="e">
        <f>'[4]#REF'!G3635</f>
        <v>#REF!</v>
      </c>
      <c r="H3635" s="31" t="e">
        <f>'[4]#REF'!I3635</f>
        <v>#REF!</v>
      </c>
      <c r="I3635" s="32" t="e">
        <f t="shared" si="87"/>
        <v>#REF!</v>
      </c>
    </row>
    <row r="3636" ht="15.75" spans="6:9">
      <c r="F3636" s="12" t="e">
        <f>'[4]#REF'!F3636</f>
        <v>#REF!</v>
      </c>
      <c r="G3636" s="12" t="e">
        <f>'[4]#REF'!G3636</f>
        <v>#REF!</v>
      </c>
      <c r="H3636" s="31" t="e">
        <f>'[4]#REF'!I3636</f>
        <v>#REF!</v>
      </c>
      <c r="I3636" s="32" t="e">
        <f t="shared" si="87"/>
        <v>#REF!</v>
      </c>
    </row>
    <row r="3637" ht="15.75" spans="6:9">
      <c r="F3637" s="12" t="e">
        <f>'[4]#REF'!F3637</f>
        <v>#REF!</v>
      </c>
      <c r="G3637" s="12" t="e">
        <f>'[4]#REF'!G3637</f>
        <v>#REF!</v>
      </c>
      <c r="H3637" s="31" t="e">
        <f>'[4]#REF'!I3637</f>
        <v>#REF!</v>
      </c>
      <c r="I3637" s="32" t="e">
        <f t="shared" si="87"/>
        <v>#REF!</v>
      </c>
    </row>
    <row r="3638" ht="15.75" spans="6:9">
      <c r="F3638" s="12" t="e">
        <f>'[4]#REF'!F3638</f>
        <v>#REF!</v>
      </c>
      <c r="G3638" s="12" t="e">
        <f>'[4]#REF'!G3638</f>
        <v>#REF!</v>
      </c>
      <c r="H3638" s="31" t="e">
        <f>'[4]#REF'!I3638</f>
        <v>#REF!</v>
      </c>
      <c r="I3638" s="32" t="e">
        <f t="shared" si="87"/>
        <v>#REF!</v>
      </c>
    </row>
    <row r="3639" ht="15.75" spans="6:9">
      <c r="F3639" s="12" t="e">
        <f>'[4]#REF'!F3639</f>
        <v>#REF!</v>
      </c>
      <c r="G3639" s="12" t="e">
        <f>'[4]#REF'!G3639</f>
        <v>#REF!</v>
      </c>
      <c r="H3639" s="31" t="e">
        <f>'[4]#REF'!I3639</f>
        <v>#REF!</v>
      </c>
      <c r="I3639" s="32" t="e">
        <f t="shared" si="87"/>
        <v>#REF!</v>
      </c>
    </row>
    <row r="3640" ht="15.75" spans="6:9">
      <c r="F3640" s="12" t="e">
        <f>'[4]#REF'!F3640</f>
        <v>#REF!</v>
      </c>
      <c r="G3640" s="12" t="e">
        <f>'[4]#REF'!G3640</f>
        <v>#REF!</v>
      </c>
      <c r="H3640" s="31" t="e">
        <f>'[4]#REF'!I3640</f>
        <v>#REF!</v>
      </c>
      <c r="I3640" s="32" t="e">
        <f t="shared" si="87"/>
        <v>#REF!</v>
      </c>
    </row>
    <row r="3641" ht="15.75" spans="6:9">
      <c r="F3641" s="12" t="e">
        <f>'[4]#REF'!F3641</f>
        <v>#REF!</v>
      </c>
      <c r="G3641" s="12" t="e">
        <f>'[4]#REF'!G3641</f>
        <v>#REF!</v>
      </c>
      <c r="H3641" s="31" t="e">
        <f>'[4]#REF'!I3641</f>
        <v>#REF!</v>
      </c>
      <c r="I3641" s="32" t="e">
        <f t="shared" si="87"/>
        <v>#REF!</v>
      </c>
    </row>
    <row r="3642" ht="15.75" spans="6:9">
      <c r="F3642" s="12" t="e">
        <f>'[4]#REF'!F3642</f>
        <v>#REF!</v>
      </c>
      <c r="G3642" s="12" t="e">
        <f>'[4]#REF'!G3642</f>
        <v>#REF!</v>
      </c>
      <c r="H3642" s="31" t="e">
        <f>'[4]#REF'!I3642</f>
        <v>#REF!</v>
      </c>
      <c r="I3642" s="32" t="e">
        <f t="shared" si="87"/>
        <v>#REF!</v>
      </c>
    </row>
    <row r="3643" ht="15.75" spans="6:9">
      <c r="F3643" s="12" t="e">
        <f>'[4]#REF'!F3643</f>
        <v>#REF!</v>
      </c>
      <c r="G3643" s="12" t="e">
        <f>'[4]#REF'!G3643</f>
        <v>#REF!</v>
      </c>
      <c r="H3643" s="31" t="e">
        <f>'[4]#REF'!I3643</f>
        <v>#REF!</v>
      </c>
      <c r="I3643" s="32" t="e">
        <f t="shared" si="87"/>
        <v>#REF!</v>
      </c>
    </row>
    <row r="3644" ht="15.75" spans="6:9">
      <c r="F3644" s="12" t="e">
        <f>'[4]#REF'!F3644</f>
        <v>#REF!</v>
      </c>
      <c r="G3644" s="12" t="e">
        <f>'[4]#REF'!G3644</f>
        <v>#REF!</v>
      </c>
      <c r="H3644" s="31" t="e">
        <f>'[4]#REF'!I3644</f>
        <v>#REF!</v>
      </c>
      <c r="I3644" s="32" t="e">
        <f t="shared" si="87"/>
        <v>#REF!</v>
      </c>
    </row>
    <row r="3645" ht="15.75" spans="6:9">
      <c r="F3645" s="12" t="e">
        <f>'[4]#REF'!F3645</f>
        <v>#REF!</v>
      </c>
      <c r="G3645" s="12" t="e">
        <f>'[4]#REF'!G3645</f>
        <v>#REF!</v>
      </c>
      <c r="H3645" s="31" t="e">
        <f>'[4]#REF'!I3645</f>
        <v>#REF!</v>
      </c>
      <c r="I3645" s="32" t="e">
        <f t="shared" si="87"/>
        <v>#REF!</v>
      </c>
    </row>
    <row r="3646" ht="15.75" spans="6:9">
      <c r="F3646" s="12" t="e">
        <f>'[4]#REF'!F3646</f>
        <v>#REF!</v>
      </c>
      <c r="G3646" s="12" t="e">
        <f>'[4]#REF'!G3646</f>
        <v>#REF!</v>
      </c>
      <c r="H3646" s="31" t="e">
        <f>'[4]#REF'!I3646</f>
        <v>#REF!</v>
      </c>
      <c r="I3646" s="32" t="e">
        <f t="shared" si="87"/>
        <v>#REF!</v>
      </c>
    </row>
    <row r="3647" ht="15.75" spans="6:9">
      <c r="F3647" s="12" t="e">
        <f>'[4]#REF'!F3647</f>
        <v>#REF!</v>
      </c>
      <c r="G3647" s="12" t="e">
        <f>'[4]#REF'!G3647</f>
        <v>#REF!</v>
      </c>
      <c r="H3647" s="31" t="e">
        <f>'[4]#REF'!I3647</f>
        <v>#REF!</v>
      </c>
      <c r="I3647" s="32" t="e">
        <f t="shared" si="87"/>
        <v>#REF!</v>
      </c>
    </row>
    <row r="3648" ht="15.75" spans="6:9">
      <c r="F3648" s="12" t="e">
        <f>'[4]#REF'!F3648</f>
        <v>#REF!</v>
      </c>
      <c r="G3648" s="12" t="e">
        <f>'[4]#REF'!G3648</f>
        <v>#REF!</v>
      </c>
      <c r="H3648" s="31" t="e">
        <f>'[4]#REF'!I3648</f>
        <v>#REF!</v>
      </c>
      <c r="I3648" s="32" t="e">
        <f t="shared" si="87"/>
        <v>#REF!</v>
      </c>
    </row>
    <row r="3649" ht="15.75" spans="6:9">
      <c r="F3649" s="12" t="e">
        <f>'[4]#REF'!F3649</f>
        <v>#REF!</v>
      </c>
      <c r="G3649" s="12" t="e">
        <f>'[4]#REF'!G3649</f>
        <v>#REF!</v>
      </c>
      <c r="H3649" s="31" t="e">
        <f>'[4]#REF'!I3649</f>
        <v>#REF!</v>
      </c>
      <c r="I3649" s="32" t="e">
        <f t="shared" si="87"/>
        <v>#REF!</v>
      </c>
    </row>
    <row r="3650" ht="15.75" spans="6:9">
      <c r="F3650" s="12" t="e">
        <f>'[4]#REF'!F3650</f>
        <v>#REF!</v>
      </c>
      <c r="G3650" s="12" t="e">
        <f>'[4]#REF'!G3650</f>
        <v>#REF!</v>
      </c>
      <c r="H3650" s="31" t="e">
        <f>'[4]#REF'!I3650</f>
        <v>#REF!</v>
      </c>
      <c r="I3650" s="32" t="e">
        <f t="shared" si="87"/>
        <v>#REF!</v>
      </c>
    </row>
    <row r="3651" ht="15.75" spans="6:9">
      <c r="F3651" s="12" t="e">
        <f>'[4]#REF'!F3651</f>
        <v>#REF!</v>
      </c>
      <c r="G3651" s="12" t="e">
        <f>'[4]#REF'!G3651</f>
        <v>#REF!</v>
      </c>
      <c r="H3651" s="31" t="e">
        <f>'[4]#REF'!I3651</f>
        <v>#REF!</v>
      </c>
      <c r="I3651" s="32" t="e">
        <f t="shared" si="87"/>
        <v>#REF!</v>
      </c>
    </row>
    <row r="3652" ht="15.75" spans="6:9">
      <c r="F3652" s="12" t="e">
        <f>'[4]#REF'!F3652</f>
        <v>#REF!</v>
      </c>
      <c r="G3652" s="12" t="e">
        <f>'[4]#REF'!G3652</f>
        <v>#REF!</v>
      </c>
      <c r="H3652" s="31" t="e">
        <f>'[4]#REF'!I3652</f>
        <v>#REF!</v>
      </c>
      <c r="I3652" s="32" t="e">
        <f t="shared" si="87"/>
        <v>#REF!</v>
      </c>
    </row>
    <row r="3653" ht="15.75" spans="6:9">
      <c r="F3653" s="12" t="e">
        <f>'[4]#REF'!F3653</f>
        <v>#REF!</v>
      </c>
      <c r="G3653" s="12" t="e">
        <f>'[4]#REF'!G3653</f>
        <v>#REF!</v>
      </c>
      <c r="H3653" s="31" t="e">
        <f>'[4]#REF'!I3653</f>
        <v>#REF!</v>
      </c>
      <c r="I3653" s="32" t="e">
        <f t="shared" si="87"/>
        <v>#REF!</v>
      </c>
    </row>
    <row r="3654" ht="15.75" spans="6:9">
      <c r="F3654" s="12" t="e">
        <f>'[4]#REF'!F3654</f>
        <v>#REF!</v>
      </c>
      <c r="G3654" s="12" t="e">
        <f>'[4]#REF'!G3654</f>
        <v>#REF!</v>
      </c>
      <c r="H3654" s="31" t="e">
        <f>'[4]#REF'!I3654</f>
        <v>#REF!</v>
      </c>
      <c r="I3654" s="32" t="e">
        <f t="shared" ref="I3654:I3717" si="88">ROUND(H3654/$I$4*100,2)</f>
        <v>#REF!</v>
      </c>
    </row>
    <row r="3655" ht="15.75" spans="6:9">
      <c r="F3655" s="12" t="e">
        <f>'[4]#REF'!F3655</f>
        <v>#REF!</v>
      </c>
      <c r="G3655" s="12" t="e">
        <f>'[4]#REF'!G3655</f>
        <v>#REF!</v>
      </c>
      <c r="H3655" s="31" t="e">
        <f>'[4]#REF'!I3655</f>
        <v>#REF!</v>
      </c>
      <c r="I3655" s="32" t="e">
        <f t="shared" si="88"/>
        <v>#REF!</v>
      </c>
    </row>
    <row r="3656" ht="15.75" spans="6:9">
      <c r="F3656" s="12" t="e">
        <f>'[4]#REF'!F3656</f>
        <v>#REF!</v>
      </c>
      <c r="G3656" s="12" t="e">
        <f>'[4]#REF'!G3656</f>
        <v>#REF!</v>
      </c>
      <c r="H3656" s="31" t="e">
        <f>'[4]#REF'!I3656</f>
        <v>#REF!</v>
      </c>
      <c r="I3656" s="32" t="e">
        <f t="shared" si="88"/>
        <v>#REF!</v>
      </c>
    </row>
    <row r="3657" ht="15.75" spans="6:9">
      <c r="F3657" s="12" t="e">
        <f>'[4]#REF'!F3657</f>
        <v>#REF!</v>
      </c>
      <c r="G3657" s="12" t="e">
        <f>'[4]#REF'!G3657</f>
        <v>#REF!</v>
      </c>
      <c r="H3657" s="31" t="e">
        <f>'[4]#REF'!I3657</f>
        <v>#REF!</v>
      </c>
      <c r="I3657" s="32" t="e">
        <f t="shared" si="88"/>
        <v>#REF!</v>
      </c>
    </row>
    <row r="3658" ht="15.75" spans="6:9">
      <c r="F3658" s="12" t="e">
        <f>'[4]#REF'!F3658</f>
        <v>#REF!</v>
      </c>
      <c r="G3658" s="12" t="e">
        <f>'[4]#REF'!G3658</f>
        <v>#REF!</v>
      </c>
      <c r="H3658" s="31" t="e">
        <f>'[4]#REF'!I3658</f>
        <v>#REF!</v>
      </c>
      <c r="I3658" s="32" t="e">
        <f t="shared" si="88"/>
        <v>#REF!</v>
      </c>
    </row>
    <row r="3659" ht="15.75" spans="6:9">
      <c r="F3659" s="12" t="e">
        <f>'[4]#REF'!F3659</f>
        <v>#REF!</v>
      </c>
      <c r="G3659" s="12" t="e">
        <f>'[4]#REF'!G3659</f>
        <v>#REF!</v>
      </c>
      <c r="H3659" s="31" t="e">
        <f>'[4]#REF'!I3659</f>
        <v>#REF!</v>
      </c>
      <c r="I3659" s="32" t="e">
        <f t="shared" si="88"/>
        <v>#REF!</v>
      </c>
    </row>
    <row r="3660" ht="15.75" spans="6:9">
      <c r="F3660" s="12" t="e">
        <f>'[4]#REF'!F3660</f>
        <v>#REF!</v>
      </c>
      <c r="G3660" s="12" t="e">
        <f>'[4]#REF'!G3660</f>
        <v>#REF!</v>
      </c>
      <c r="H3660" s="31" t="e">
        <f>'[4]#REF'!I3660</f>
        <v>#REF!</v>
      </c>
      <c r="I3660" s="32" t="e">
        <f t="shared" si="88"/>
        <v>#REF!</v>
      </c>
    </row>
    <row r="3661" ht="15.75" spans="6:9">
      <c r="F3661" s="12" t="e">
        <f>'[4]#REF'!F3661</f>
        <v>#REF!</v>
      </c>
      <c r="G3661" s="12" t="e">
        <f>'[4]#REF'!G3661</f>
        <v>#REF!</v>
      </c>
      <c r="H3661" s="31" t="e">
        <f>'[4]#REF'!I3661</f>
        <v>#REF!</v>
      </c>
      <c r="I3661" s="32" t="e">
        <f t="shared" si="88"/>
        <v>#REF!</v>
      </c>
    </row>
    <row r="3662" ht="15.75" spans="6:9">
      <c r="F3662" s="12" t="e">
        <f>'[4]#REF'!F3662</f>
        <v>#REF!</v>
      </c>
      <c r="G3662" s="12" t="e">
        <f>'[4]#REF'!G3662</f>
        <v>#REF!</v>
      </c>
      <c r="H3662" s="31" t="e">
        <f>'[4]#REF'!I3662</f>
        <v>#REF!</v>
      </c>
      <c r="I3662" s="32" t="e">
        <f t="shared" si="88"/>
        <v>#REF!</v>
      </c>
    </row>
    <row r="3663" ht="15.75" spans="6:9">
      <c r="F3663" s="12" t="e">
        <f>'[4]#REF'!F3663</f>
        <v>#REF!</v>
      </c>
      <c r="G3663" s="12" t="e">
        <f>'[4]#REF'!G3663</f>
        <v>#REF!</v>
      </c>
      <c r="H3663" s="31" t="e">
        <f>'[4]#REF'!I3663</f>
        <v>#REF!</v>
      </c>
      <c r="I3663" s="32" t="e">
        <f t="shared" si="88"/>
        <v>#REF!</v>
      </c>
    </row>
    <row r="3664" ht="15.75" spans="6:9">
      <c r="F3664" s="12" t="e">
        <f>'[4]#REF'!F3664</f>
        <v>#REF!</v>
      </c>
      <c r="G3664" s="12" t="e">
        <f>'[4]#REF'!G3664</f>
        <v>#REF!</v>
      </c>
      <c r="H3664" s="31" t="e">
        <f>'[4]#REF'!I3664</f>
        <v>#REF!</v>
      </c>
      <c r="I3664" s="32" t="e">
        <f t="shared" si="88"/>
        <v>#REF!</v>
      </c>
    </row>
    <row r="3665" ht="15.75" spans="6:9">
      <c r="F3665" s="12" t="e">
        <f>'[4]#REF'!F3665</f>
        <v>#REF!</v>
      </c>
      <c r="G3665" s="12" t="e">
        <f>'[4]#REF'!G3665</f>
        <v>#REF!</v>
      </c>
      <c r="H3665" s="31" t="e">
        <f>'[4]#REF'!I3665</f>
        <v>#REF!</v>
      </c>
      <c r="I3665" s="32" t="e">
        <f t="shared" si="88"/>
        <v>#REF!</v>
      </c>
    </row>
    <row r="3666" ht="15.75" spans="6:9">
      <c r="F3666" s="12" t="e">
        <f>'[4]#REF'!F3666</f>
        <v>#REF!</v>
      </c>
      <c r="G3666" s="12" t="e">
        <f>'[4]#REF'!G3666</f>
        <v>#REF!</v>
      </c>
      <c r="H3666" s="31" t="e">
        <f>'[4]#REF'!I3666</f>
        <v>#REF!</v>
      </c>
      <c r="I3666" s="32" t="e">
        <f t="shared" si="88"/>
        <v>#REF!</v>
      </c>
    </row>
    <row r="3667" ht="15.75" spans="6:9">
      <c r="F3667" s="12" t="e">
        <f>'[4]#REF'!F3667</f>
        <v>#REF!</v>
      </c>
      <c r="G3667" s="12" t="e">
        <f>'[4]#REF'!G3667</f>
        <v>#REF!</v>
      </c>
      <c r="H3667" s="31" t="e">
        <f>'[4]#REF'!I3667</f>
        <v>#REF!</v>
      </c>
      <c r="I3667" s="32" t="e">
        <f t="shared" si="88"/>
        <v>#REF!</v>
      </c>
    </row>
    <row r="3668" ht="15.75" spans="6:9">
      <c r="F3668" s="12" t="e">
        <f>'[4]#REF'!F3668</f>
        <v>#REF!</v>
      </c>
      <c r="G3668" s="12" t="e">
        <f>'[4]#REF'!G3668</f>
        <v>#REF!</v>
      </c>
      <c r="H3668" s="31" t="e">
        <f>'[4]#REF'!I3668</f>
        <v>#REF!</v>
      </c>
      <c r="I3668" s="32" t="e">
        <f t="shared" si="88"/>
        <v>#REF!</v>
      </c>
    </row>
    <row r="3669" ht="15.75" spans="6:9">
      <c r="F3669" s="12" t="e">
        <f>'[4]#REF'!F3669</f>
        <v>#REF!</v>
      </c>
      <c r="G3669" s="12" t="e">
        <f>'[4]#REF'!G3669</f>
        <v>#REF!</v>
      </c>
      <c r="H3669" s="31" t="e">
        <f>'[4]#REF'!I3669</f>
        <v>#REF!</v>
      </c>
      <c r="I3669" s="32" t="e">
        <f t="shared" si="88"/>
        <v>#REF!</v>
      </c>
    </row>
    <row r="3670" ht="15.75" spans="6:9">
      <c r="F3670" s="12" t="e">
        <f>'[4]#REF'!F3670</f>
        <v>#REF!</v>
      </c>
      <c r="G3670" s="12" t="e">
        <f>'[4]#REF'!G3670</f>
        <v>#REF!</v>
      </c>
      <c r="H3670" s="31" t="e">
        <f>'[4]#REF'!I3670</f>
        <v>#REF!</v>
      </c>
      <c r="I3670" s="32" t="e">
        <f t="shared" si="88"/>
        <v>#REF!</v>
      </c>
    </row>
    <row r="3671" ht="15.75" spans="6:9">
      <c r="F3671" s="12" t="e">
        <f>'[4]#REF'!F3671</f>
        <v>#REF!</v>
      </c>
      <c r="G3671" s="12" t="e">
        <f>'[4]#REF'!G3671</f>
        <v>#REF!</v>
      </c>
      <c r="H3671" s="31" t="e">
        <f>'[4]#REF'!I3671</f>
        <v>#REF!</v>
      </c>
      <c r="I3671" s="32" t="e">
        <f t="shared" si="88"/>
        <v>#REF!</v>
      </c>
    </row>
    <row r="3672" ht="15.75" spans="6:9">
      <c r="F3672" s="12" t="e">
        <f>'[4]#REF'!F3672</f>
        <v>#REF!</v>
      </c>
      <c r="G3672" s="12" t="e">
        <f>'[4]#REF'!G3672</f>
        <v>#REF!</v>
      </c>
      <c r="H3672" s="31" t="e">
        <f>'[4]#REF'!I3672</f>
        <v>#REF!</v>
      </c>
      <c r="I3672" s="32" t="e">
        <f t="shared" si="88"/>
        <v>#REF!</v>
      </c>
    </row>
    <row r="3673" ht="15.75" spans="6:9">
      <c r="F3673" s="12" t="e">
        <f>'[4]#REF'!F3673</f>
        <v>#REF!</v>
      </c>
      <c r="G3673" s="12" t="e">
        <f>'[4]#REF'!G3673</f>
        <v>#REF!</v>
      </c>
      <c r="H3673" s="31" t="e">
        <f>'[4]#REF'!I3673</f>
        <v>#REF!</v>
      </c>
      <c r="I3673" s="32" t="e">
        <f t="shared" si="88"/>
        <v>#REF!</v>
      </c>
    </row>
    <row r="3674" ht="15.75" spans="6:9">
      <c r="F3674" s="12" t="e">
        <f>'[4]#REF'!F3674</f>
        <v>#REF!</v>
      </c>
      <c r="G3674" s="12" t="e">
        <f>'[4]#REF'!G3674</f>
        <v>#REF!</v>
      </c>
      <c r="H3674" s="31" t="e">
        <f>'[4]#REF'!I3674</f>
        <v>#REF!</v>
      </c>
      <c r="I3674" s="32" t="e">
        <f t="shared" si="88"/>
        <v>#REF!</v>
      </c>
    </row>
    <row r="3675" ht="15.75" spans="6:9">
      <c r="F3675" s="12" t="e">
        <f>'[4]#REF'!F3675</f>
        <v>#REF!</v>
      </c>
      <c r="G3675" s="12" t="e">
        <f>'[4]#REF'!G3675</f>
        <v>#REF!</v>
      </c>
      <c r="H3675" s="31" t="e">
        <f>'[4]#REF'!I3675</f>
        <v>#REF!</v>
      </c>
      <c r="I3675" s="32" t="e">
        <f t="shared" si="88"/>
        <v>#REF!</v>
      </c>
    </row>
    <row r="3676" ht="15.75" spans="6:9">
      <c r="F3676" s="12" t="e">
        <f>'[4]#REF'!F3676</f>
        <v>#REF!</v>
      </c>
      <c r="G3676" s="12" t="e">
        <f>'[4]#REF'!G3676</f>
        <v>#REF!</v>
      </c>
      <c r="H3676" s="31" t="e">
        <f>'[4]#REF'!I3676</f>
        <v>#REF!</v>
      </c>
      <c r="I3676" s="32" t="e">
        <f t="shared" si="88"/>
        <v>#REF!</v>
      </c>
    </row>
    <row r="3677" ht="15.75" spans="6:9">
      <c r="F3677" s="12" t="e">
        <f>'[4]#REF'!F3677</f>
        <v>#REF!</v>
      </c>
      <c r="G3677" s="12" t="e">
        <f>'[4]#REF'!G3677</f>
        <v>#REF!</v>
      </c>
      <c r="H3677" s="31" t="e">
        <f>'[4]#REF'!I3677</f>
        <v>#REF!</v>
      </c>
      <c r="I3677" s="32" t="e">
        <f t="shared" si="88"/>
        <v>#REF!</v>
      </c>
    </row>
    <row r="3678" ht="15.75" spans="6:9">
      <c r="F3678" s="12" t="e">
        <f>'[4]#REF'!F3678</f>
        <v>#REF!</v>
      </c>
      <c r="G3678" s="12" t="e">
        <f>'[4]#REF'!G3678</f>
        <v>#REF!</v>
      </c>
      <c r="H3678" s="31" t="e">
        <f>'[4]#REF'!I3678</f>
        <v>#REF!</v>
      </c>
      <c r="I3678" s="32" t="e">
        <f t="shared" si="88"/>
        <v>#REF!</v>
      </c>
    </row>
    <row r="3679" ht="15.75" spans="6:9">
      <c r="F3679" s="12" t="e">
        <f>'[4]#REF'!F3679</f>
        <v>#REF!</v>
      </c>
      <c r="G3679" s="12" t="e">
        <f>'[4]#REF'!G3679</f>
        <v>#REF!</v>
      </c>
      <c r="H3679" s="31" t="e">
        <f>'[4]#REF'!I3679</f>
        <v>#REF!</v>
      </c>
      <c r="I3679" s="32" t="e">
        <f t="shared" si="88"/>
        <v>#REF!</v>
      </c>
    </row>
    <row r="3680" ht="15.75" spans="6:9">
      <c r="F3680" s="12" t="e">
        <f>'[4]#REF'!F3680</f>
        <v>#REF!</v>
      </c>
      <c r="G3680" s="12" t="e">
        <f>'[4]#REF'!G3680</f>
        <v>#REF!</v>
      </c>
      <c r="H3680" s="31" t="e">
        <f>'[4]#REF'!I3680</f>
        <v>#REF!</v>
      </c>
      <c r="I3680" s="32" t="e">
        <f t="shared" si="88"/>
        <v>#REF!</v>
      </c>
    </row>
    <row r="3681" ht="15.75" spans="6:9">
      <c r="F3681" s="12" t="e">
        <f>'[4]#REF'!F3681</f>
        <v>#REF!</v>
      </c>
      <c r="G3681" s="12" t="e">
        <f>'[4]#REF'!G3681</f>
        <v>#REF!</v>
      </c>
      <c r="H3681" s="31" t="e">
        <f>'[4]#REF'!I3681</f>
        <v>#REF!</v>
      </c>
      <c r="I3681" s="32" t="e">
        <f t="shared" si="88"/>
        <v>#REF!</v>
      </c>
    </row>
    <row r="3682" ht="15.75" spans="6:9">
      <c r="F3682" s="12" t="e">
        <f>'[4]#REF'!F3682</f>
        <v>#REF!</v>
      </c>
      <c r="G3682" s="12" t="e">
        <f>'[4]#REF'!G3682</f>
        <v>#REF!</v>
      </c>
      <c r="H3682" s="31" t="e">
        <f>'[4]#REF'!I3682</f>
        <v>#REF!</v>
      </c>
      <c r="I3682" s="32" t="e">
        <f t="shared" si="88"/>
        <v>#REF!</v>
      </c>
    </row>
    <row r="3683" ht="15.75" spans="6:9">
      <c r="F3683" s="12" t="e">
        <f>'[4]#REF'!F3683</f>
        <v>#REF!</v>
      </c>
      <c r="G3683" s="12" t="e">
        <f>'[4]#REF'!G3683</f>
        <v>#REF!</v>
      </c>
      <c r="H3683" s="31" t="e">
        <f>'[4]#REF'!I3683</f>
        <v>#REF!</v>
      </c>
      <c r="I3683" s="32" t="e">
        <f t="shared" si="88"/>
        <v>#REF!</v>
      </c>
    </row>
    <row r="3684" ht="15.75" spans="6:9">
      <c r="F3684" s="12" t="e">
        <f>'[4]#REF'!F3684</f>
        <v>#REF!</v>
      </c>
      <c r="G3684" s="12" t="e">
        <f>'[4]#REF'!G3684</f>
        <v>#REF!</v>
      </c>
      <c r="H3684" s="31" t="e">
        <f>'[4]#REF'!I3684</f>
        <v>#REF!</v>
      </c>
      <c r="I3684" s="32" t="e">
        <f t="shared" si="88"/>
        <v>#REF!</v>
      </c>
    </row>
    <row r="3685" ht="15.75" spans="6:9">
      <c r="F3685" s="12" t="e">
        <f>'[4]#REF'!F3685</f>
        <v>#REF!</v>
      </c>
      <c r="G3685" s="12" t="e">
        <f>'[4]#REF'!G3685</f>
        <v>#REF!</v>
      </c>
      <c r="H3685" s="31" t="e">
        <f>'[4]#REF'!I3685</f>
        <v>#REF!</v>
      </c>
      <c r="I3685" s="32" t="e">
        <f t="shared" si="88"/>
        <v>#REF!</v>
      </c>
    </row>
    <row r="3686" ht="15.75" spans="6:9">
      <c r="F3686" s="12" t="e">
        <f>'[4]#REF'!F3686</f>
        <v>#REF!</v>
      </c>
      <c r="G3686" s="12" t="e">
        <f>'[4]#REF'!G3686</f>
        <v>#REF!</v>
      </c>
      <c r="H3686" s="31" t="e">
        <f>'[4]#REF'!I3686</f>
        <v>#REF!</v>
      </c>
      <c r="I3686" s="32" t="e">
        <f t="shared" si="88"/>
        <v>#REF!</v>
      </c>
    </row>
    <row r="3687" ht="15.75" spans="6:9">
      <c r="F3687" s="12" t="e">
        <f>'[4]#REF'!F3687</f>
        <v>#REF!</v>
      </c>
      <c r="G3687" s="12" t="e">
        <f>'[4]#REF'!G3687</f>
        <v>#REF!</v>
      </c>
      <c r="H3687" s="31" t="e">
        <f>'[4]#REF'!I3687</f>
        <v>#REF!</v>
      </c>
      <c r="I3687" s="32" t="e">
        <f t="shared" si="88"/>
        <v>#REF!</v>
      </c>
    </row>
    <row r="3688" ht="15.75" spans="6:9">
      <c r="F3688" s="12" t="e">
        <f>'[4]#REF'!F3688</f>
        <v>#REF!</v>
      </c>
      <c r="G3688" s="12" t="e">
        <f>'[4]#REF'!G3688</f>
        <v>#REF!</v>
      </c>
      <c r="H3688" s="31" t="e">
        <f>'[4]#REF'!I3688</f>
        <v>#REF!</v>
      </c>
      <c r="I3688" s="32" t="e">
        <f t="shared" si="88"/>
        <v>#REF!</v>
      </c>
    </row>
    <row r="3689" ht="15.75" spans="6:9">
      <c r="F3689" s="12" t="e">
        <f>'[4]#REF'!F3689</f>
        <v>#REF!</v>
      </c>
      <c r="G3689" s="12" t="e">
        <f>'[4]#REF'!G3689</f>
        <v>#REF!</v>
      </c>
      <c r="H3689" s="31" t="e">
        <f>'[4]#REF'!I3689</f>
        <v>#REF!</v>
      </c>
      <c r="I3689" s="32" t="e">
        <f t="shared" si="88"/>
        <v>#REF!</v>
      </c>
    </row>
    <row r="3690" ht="15.75" spans="6:9">
      <c r="F3690" s="12" t="e">
        <f>'[4]#REF'!F3690</f>
        <v>#REF!</v>
      </c>
      <c r="G3690" s="12" t="e">
        <f>'[4]#REF'!G3690</f>
        <v>#REF!</v>
      </c>
      <c r="H3690" s="31" t="e">
        <f>'[4]#REF'!I3690</f>
        <v>#REF!</v>
      </c>
      <c r="I3690" s="32" t="e">
        <f t="shared" si="88"/>
        <v>#REF!</v>
      </c>
    </row>
    <row r="3691" ht="15.75" spans="6:9">
      <c r="F3691" s="12" t="e">
        <f>'[4]#REF'!F3691</f>
        <v>#REF!</v>
      </c>
      <c r="G3691" s="12" t="e">
        <f>'[4]#REF'!G3691</f>
        <v>#REF!</v>
      </c>
      <c r="H3691" s="31" t="e">
        <f>'[4]#REF'!I3691</f>
        <v>#REF!</v>
      </c>
      <c r="I3691" s="32" t="e">
        <f t="shared" si="88"/>
        <v>#REF!</v>
      </c>
    </row>
    <row r="3692" ht="15.75" spans="6:9">
      <c r="F3692" s="12" t="e">
        <f>'[4]#REF'!F3692</f>
        <v>#REF!</v>
      </c>
      <c r="G3692" s="12" t="e">
        <f>'[4]#REF'!G3692</f>
        <v>#REF!</v>
      </c>
      <c r="H3692" s="31" t="e">
        <f>'[4]#REF'!I3692</f>
        <v>#REF!</v>
      </c>
      <c r="I3692" s="32" t="e">
        <f t="shared" si="88"/>
        <v>#REF!</v>
      </c>
    </row>
    <row r="3693" ht="15.75" spans="6:9">
      <c r="F3693" s="12" t="e">
        <f>'[4]#REF'!F3693</f>
        <v>#REF!</v>
      </c>
      <c r="G3693" s="12" t="e">
        <f>'[4]#REF'!G3693</f>
        <v>#REF!</v>
      </c>
      <c r="H3693" s="31" t="e">
        <f>'[4]#REF'!I3693</f>
        <v>#REF!</v>
      </c>
      <c r="I3693" s="32" t="e">
        <f t="shared" si="88"/>
        <v>#REF!</v>
      </c>
    </row>
    <row r="3694" ht="15.75" spans="6:9">
      <c r="F3694" s="12" t="e">
        <f>'[4]#REF'!F3694</f>
        <v>#REF!</v>
      </c>
      <c r="G3694" s="12" t="e">
        <f>'[4]#REF'!G3694</f>
        <v>#REF!</v>
      </c>
      <c r="H3694" s="31" t="e">
        <f>'[4]#REF'!I3694</f>
        <v>#REF!</v>
      </c>
      <c r="I3694" s="32" t="e">
        <f t="shared" si="88"/>
        <v>#REF!</v>
      </c>
    </row>
    <row r="3695" ht="15.75" spans="6:9">
      <c r="F3695" s="12" t="e">
        <f>'[4]#REF'!F3695</f>
        <v>#REF!</v>
      </c>
      <c r="G3695" s="12" t="e">
        <f>'[4]#REF'!G3695</f>
        <v>#REF!</v>
      </c>
      <c r="H3695" s="31" t="e">
        <f>'[4]#REF'!I3695</f>
        <v>#REF!</v>
      </c>
      <c r="I3695" s="32" t="e">
        <f t="shared" si="88"/>
        <v>#REF!</v>
      </c>
    </row>
    <row r="3696" ht="15.75" spans="6:9">
      <c r="F3696" s="12" t="e">
        <f>'[4]#REF'!F3696</f>
        <v>#REF!</v>
      </c>
      <c r="G3696" s="12" t="e">
        <f>'[4]#REF'!G3696</f>
        <v>#REF!</v>
      </c>
      <c r="H3696" s="31" t="e">
        <f>'[4]#REF'!I3696</f>
        <v>#REF!</v>
      </c>
      <c r="I3696" s="32" t="e">
        <f t="shared" si="88"/>
        <v>#REF!</v>
      </c>
    </row>
    <row r="3697" ht="15.75" spans="6:9">
      <c r="F3697" s="12" t="e">
        <f>'[4]#REF'!F3697</f>
        <v>#REF!</v>
      </c>
      <c r="G3697" s="12" t="e">
        <f>'[4]#REF'!G3697</f>
        <v>#REF!</v>
      </c>
      <c r="H3697" s="31" t="e">
        <f>'[4]#REF'!I3697</f>
        <v>#REF!</v>
      </c>
      <c r="I3697" s="32" t="e">
        <f t="shared" si="88"/>
        <v>#REF!</v>
      </c>
    </row>
    <row r="3698" ht="15.75" spans="6:9">
      <c r="F3698" s="12" t="e">
        <f>'[4]#REF'!F3698</f>
        <v>#REF!</v>
      </c>
      <c r="G3698" s="12" t="e">
        <f>'[4]#REF'!G3698</f>
        <v>#REF!</v>
      </c>
      <c r="H3698" s="31" t="e">
        <f>'[4]#REF'!I3698</f>
        <v>#REF!</v>
      </c>
      <c r="I3698" s="32" t="e">
        <f t="shared" si="88"/>
        <v>#REF!</v>
      </c>
    </row>
    <row r="3699" ht="15.75" spans="6:9">
      <c r="F3699" s="12" t="e">
        <f>'[4]#REF'!F3699</f>
        <v>#REF!</v>
      </c>
      <c r="G3699" s="12" t="e">
        <f>'[4]#REF'!G3699</f>
        <v>#REF!</v>
      </c>
      <c r="H3699" s="31" t="e">
        <f>'[4]#REF'!I3699</f>
        <v>#REF!</v>
      </c>
      <c r="I3699" s="32" t="e">
        <f t="shared" si="88"/>
        <v>#REF!</v>
      </c>
    </row>
    <row r="3700" ht="15.75" spans="6:9">
      <c r="F3700" s="12" t="e">
        <f>'[4]#REF'!F3700</f>
        <v>#REF!</v>
      </c>
      <c r="G3700" s="12" t="e">
        <f>'[4]#REF'!G3700</f>
        <v>#REF!</v>
      </c>
      <c r="H3700" s="31" t="e">
        <f>'[4]#REF'!I3700</f>
        <v>#REF!</v>
      </c>
      <c r="I3700" s="32" t="e">
        <f t="shared" si="88"/>
        <v>#REF!</v>
      </c>
    </row>
    <row r="3701" ht="15.75" spans="6:9">
      <c r="F3701" s="12" t="e">
        <f>'[4]#REF'!F3701</f>
        <v>#REF!</v>
      </c>
      <c r="G3701" s="12" t="e">
        <f>'[4]#REF'!G3701</f>
        <v>#REF!</v>
      </c>
      <c r="H3701" s="31" t="e">
        <f>'[4]#REF'!I3701</f>
        <v>#REF!</v>
      </c>
      <c r="I3701" s="32" t="e">
        <f t="shared" si="88"/>
        <v>#REF!</v>
      </c>
    </row>
    <row r="3702" ht="15.75" spans="6:9">
      <c r="F3702" s="12" t="e">
        <f>'[4]#REF'!F3702</f>
        <v>#REF!</v>
      </c>
      <c r="G3702" s="12" t="e">
        <f>'[4]#REF'!G3702</f>
        <v>#REF!</v>
      </c>
      <c r="H3702" s="31" t="e">
        <f>'[4]#REF'!I3702</f>
        <v>#REF!</v>
      </c>
      <c r="I3702" s="32" t="e">
        <f t="shared" si="88"/>
        <v>#REF!</v>
      </c>
    </row>
    <row r="3703" ht="15.75" spans="6:9">
      <c r="F3703" s="12" t="e">
        <f>'[4]#REF'!F3703</f>
        <v>#REF!</v>
      </c>
      <c r="G3703" s="12" t="e">
        <f>'[4]#REF'!G3703</f>
        <v>#REF!</v>
      </c>
      <c r="H3703" s="31" t="e">
        <f>'[4]#REF'!I3703</f>
        <v>#REF!</v>
      </c>
      <c r="I3703" s="32" t="e">
        <f t="shared" si="88"/>
        <v>#REF!</v>
      </c>
    </row>
    <row r="3704" ht="15.75" spans="6:9">
      <c r="F3704" s="12" t="e">
        <f>'[4]#REF'!F3704</f>
        <v>#REF!</v>
      </c>
      <c r="G3704" s="12" t="e">
        <f>'[4]#REF'!G3704</f>
        <v>#REF!</v>
      </c>
      <c r="H3704" s="31" t="e">
        <f>'[4]#REF'!I3704</f>
        <v>#REF!</v>
      </c>
      <c r="I3704" s="32" t="e">
        <f t="shared" si="88"/>
        <v>#REF!</v>
      </c>
    </row>
    <row r="3705" ht="15.75" spans="6:9">
      <c r="F3705" s="12" t="e">
        <f>'[4]#REF'!F3705</f>
        <v>#REF!</v>
      </c>
      <c r="G3705" s="12" t="e">
        <f>'[4]#REF'!G3705</f>
        <v>#REF!</v>
      </c>
      <c r="H3705" s="31" t="e">
        <f>'[4]#REF'!I3705</f>
        <v>#REF!</v>
      </c>
      <c r="I3705" s="32" t="e">
        <f t="shared" si="88"/>
        <v>#REF!</v>
      </c>
    </row>
    <row r="3706" ht="15.75" spans="6:9">
      <c r="F3706" s="12" t="e">
        <f>'[4]#REF'!F3706</f>
        <v>#REF!</v>
      </c>
      <c r="G3706" s="12" t="e">
        <f>'[4]#REF'!G3706</f>
        <v>#REF!</v>
      </c>
      <c r="H3706" s="31" t="e">
        <f>'[4]#REF'!I3706</f>
        <v>#REF!</v>
      </c>
      <c r="I3706" s="32" t="e">
        <f t="shared" si="88"/>
        <v>#REF!</v>
      </c>
    </row>
    <row r="3707" ht="15.75" spans="6:9">
      <c r="F3707" s="12" t="e">
        <f>'[4]#REF'!F3707</f>
        <v>#REF!</v>
      </c>
      <c r="G3707" s="12" t="e">
        <f>'[4]#REF'!G3707</f>
        <v>#REF!</v>
      </c>
      <c r="H3707" s="31" t="e">
        <f>'[4]#REF'!I3707</f>
        <v>#REF!</v>
      </c>
      <c r="I3707" s="32" t="e">
        <f t="shared" si="88"/>
        <v>#REF!</v>
      </c>
    </row>
    <row r="3708" ht="15.75" spans="6:9">
      <c r="F3708" s="12" t="e">
        <f>'[4]#REF'!F3708</f>
        <v>#REF!</v>
      </c>
      <c r="G3708" s="12" t="e">
        <f>'[4]#REF'!G3708</f>
        <v>#REF!</v>
      </c>
      <c r="H3708" s="31" t="e">
        <f>'[4]#REF'!I3708</f>
        <v>#REF!</v>
      </c>
      <c r="I3708" s="32" t="e">
        <f t="shared" si="88"/>
        <v>#REF!</v>
      </c>
    </row>
    <row r="3709" ht="15.75" spans="6:9">
      <c r="F3709" s="12" t="e">
        <f>'[4]#REF'!F3709</f>
        <v>#REF!</v>
      </c>
      <c r="G3709" s="12" t="e">
        <f>'[4]#REF'!G3709</f>
        <v>#REF!</v>
      </c>
      <c r="H3709" s="31" t="e">
        <f>'[4]#REF'!I3709</f>
        <v>#REF!</v>
      </c>
      <c r="I3709" s="32" t="e">
        <f t="shared" si="88"/>
        <v>#REF!</v>
      </c>
    </row>
    <row r="3710" ht="15.75" spans="6:9">
      <c r="F3710" s="12" t="e">
        <f>'[4]#REF'!F3710</f>
        <v>#REF!</v>
      </c>
      <c r="G3710" s="12" t="e">
        <f>'[4]#REF'!G3710</f>
        <v>#REF!</v>
      </c>
      <c r="H3710" s="31" t="e">
        <f>'[4]#REF'!I3710</f>
        <v>#REF!</v>
      </c>
      <c r="I3710" s="32" t="e">
        <f t="shared" si="88"/>
        <v>#REF!</v>
      </c>
    </row>
    <row r="3711" ht="15.75" spans="6:9">
      <c r="F3711" s="12" t="e">
        <f>'[4]#REF'!F3711</f>
        <v>#REF!</v>
      </c>
      <c r="G3711" s="12" t="e">
        <f>'[4]#REF'!G3711</f>
        <v>#REF!</v>
      </c>
      <c r="H3711" s="31" t="e">
        <f>'[4]#REF'!I3711</f>
        <v>#REF!</v>
      </c>
      <c r="I3711" s="32" t="e">
        <f t="shared" si="88"/>
        <v>#REF!</v>
      </c>
    </row>
    <row r="3712" ht="15.75" spans="6:9">
      <c r="F3712" s="12" t="e">
        <f>'[4]#REF'!F3712</f>
        <v>#REF!</v>
      </c>
      <c r="G3712" s="12" t="e">
        <f>'[4]#REF'!G3712</f>
        <v>#REF!</v>
      </c>
      <c r="H3712" s="31" t="e">
        <f>'[4]#REF'!I3712</f>
        <v>#REF!</v>
      </c>
      <c r="I3712" s="32" t="e">
        <f t="shared" si="88"/>
        <v>#REF!</v>
      </c>
    </row>
    <row r="3713" ht="15.75" spans="6:9">
      <c r="F3713" s="12" t="e">
        <f>'[4]#REF'!F3713</f>
        <v>#REF!</v>
      </c>
      <c r="G3713" s="12" t="e">
        <f>'[4]#REF'!G3713</f>
        <v>#REF!</v>
      </c>
      <c r="H3713" s="31" t="e">
        <f>'[4]#REF'!I3713</f>
        <v>#REF!</v>
      </c>
      <c r="I3713" s="32" t="e">
        <f t="shared" si="88"/>
        <v>#REF!</v>
      </c>
    </row>
    <row r="3714" ht="15.75" spans="6:9">
      <c r="F3714" s="12" t="e">
        <f>'[4]#REF'!F3714</f>
        <v>#REF!</v>
      </c>
      <c r="G3714" s="12" t="e">
        <f>'[4]#REF'!G3714</f>
        <v>#REF!</v>
      </c>
      <c r="H3714" s="31" t="e">
        <f>'[4]#REF'!I3714</f>
        <v>#REF!</v>
      </c>
      <c r="I3714" s="32" t="e">
        <f t="shared" si="88"/>
        <v>#REF!</v>
      </c>
    </row>
    <row r="3715" ht="15.75" spans="6:9">
      <c r="F3715" s="12" t="e">
        <f>'[4]#REF'!F3715</f>
        <v>#REF!</v>
      </c>
      <c r="G3715" s="12" t="e">
        <f>'[4]#REF'!G3715</f>
        <v>#REF!</v>
      </c>
      <c r="H3715" s="31" t="e">
        <f>'[4]#REF'!I3715</f>
        <v>#REF!</v>
      </c>
      <c r="I3715" s="32" t="e">
        <f t="shared" si="88"/>
        <v>#REF!</v>
      </c>
    </row>
    <row r="3716" ht="15.75" spans="6:9">
      <c r="F3716" s="12" t="e">
        <f>'[4]#REF'!F3716</f>
        <v>#REF!</v>
      </c>
      <c r="G3716" s="12" t="e">
        <f>'[4]#REF'!G3716</f>
        <v>#REF!</v>
      </c>
      <c r="H3716" s="31" t="e">
        <f>'[4]#REF'!I3716</f>
        <v>#REF!</v>
      </c>
      <c r="I3716" s="32" t="e">
        <f t="shared" si="88"/>
        <v>#REF!</v>
      </c>
    </row>
    <row r="3717" ht="15.75" spans="6:9">
      <c r="F3717" s="12" t="e">
        <f>'[4]#REF'!F3717</f>
        <v>#REF!</v>
      </c>
      <c r="G3717" s="12" t="e">
        <f>'[4]#REF'!G3717</f>
        <v>#REF!</v>
      </c>
      <c r="H3717" s="31" t="e">
        <f>'[4]#REF'!I3717</f>
        <v>#REF!</v>
      </c>
      <c r="I3717" s="32" t="e">
        <f t="shared" si="88"/>
        <v>#REF!</v>
      </c>
    </row>
    <row r="3718" ht="15.75" spans="6:9">
      <c r="F3718" s="12" t="e">
        <f>'[4]#REF'!F3718</f>
        <v>#REF!</v>
      </c>
      <c r="G3718" s="12" t="e">
        <f>'[4]#REF'!G3718</f>
        <v>#REF!</v>
      </c>
      <c r="H3718" s="31" t="e">
        <f>'[4]#REF'!I3718</f>
        <v>#REF!</v>
      </c>
      <c r="I3718" s="32" t="e">
        <f t="shared" ref="I3718:I3781" si="89">ROUND(H3718/$I$4*100,2)</f>
        <v>#REF!</v>
      </c>
    </row>
    <row r="3719" ht="15.75" spans="6:9">
      <c r="F3719" s="12" t="e">
        <f>'[4]#REF'!F3719</f>
        <v>#REF!</v>
      </c>
      <c r="G3719" s="12" t="e">
        <f>'[4]#REF'!G3719</f>
        <v>#REF!</v>
      </c>
      <c r="H3719" s="31" t="e">
        <f>'[4]#REF'!I3719</f>
        <v>#REF!</v>
      </c>
      <c r="I3719" s="32" t="e">
        <f t="shared" si="89"/>
        <v>#REF!</v>
      </c>
    </row>
    <row r="3720" ht="15.75" spans="6:9">
      <c r="F3720" s="12" t="e">
        <f>'[4]#REF'!F3720</f>
        <v>#REF!</v>
      </c>
      <c r="G3720" s="12" t="e">
        <f>'[4]#REF'!G3720</f>
        <v>#REF!</v>
      </c>
      <c r="H3720" s="31" t="e">
        <f>'[4]#REF'!I3720</f>
        <v>#REF!</v>
      </c>
      <c r="I3720" s="32" t="e">
        <f t="shared" si="89"/>
        <v>#REF!</v>
      </c>
    </row>
    <row r="3721" ht="15.75" spans="6:9">
      <c r="F3721" s="12" t="e">
        <f>'[4]#REF'!F3721</f>
        <v>#REF!</v>
      </c>
      <c r="G3721" s="12" t="e">
        <f>'[4]#REF'!G3721</f>
        <v>#REF!</v>
      </c>
      <c r="H3721" s="31" t="e">
        <f>'[4]#REF'!I3721</f>
        <v>#REF!</v>
      </c>
      <c r="I3721" s="32" t="e">
        <f t="shared" si="89"/>
        <v>#REF!</v>
      </c>
    </row>
    <row r="3722" ht="15.75" spans="6:9">
      <c r="F3722" s="12" t="e">
        <f>'[4]#REF'!F3722</f>
        <v>#REF!</v>
      </c>
      <c r="G3722" s="12" t="e">
        <f>'[4]#REF'!G3722</f>
        <v>#REF!</v>
      </c>
      <c r="H3722" s="31" t="e">
        <f>'[4]#REF'!I3722</f>
        <v>#REF!</v>
      </c>
      <c r="I3722" s="32" t="e">
        <f t="shared" si="89"/>
        <v>#REF!</v>
      </c>
    </row>
    <row r="3723" ht="15.75" spans="6:9">
      <c r="F3723" s="12" t="e">
        <f>'[4]#REF'!F3723</f>
        <v>#REF!</v>
      </c>
      <c r="G3723" s="12" t="e">
        <f>'[4]#REF'!G3723</f>
        <v>#REF!</v>
      </c>
      <c r="H3723" s="31" t="e">
        <f>'[4]#REF'!I3723</f>
        <v>#REF!</v>
      </c>
      <c r="I3723" s="32" t="e">
        <f t="shared" si="89"/>
        <v>#REF!</v>
      </c>
    </row>
    <row r="3724" ht="15.75" spans="6:9">
      <c r="F3724" s="12" t="e">
        <f>'[4]#REF'!F3724</f>
        <v>#REF!</v>
      </c>
      <c r="G3724" s="12" t="e">
        <f>'[4]#REF'!G3724</f>
        <v>#REF!</v>
      </c>
      <c r="H3724" s="31" t="e">
        <f>'[4]#REF'!I3724</f>
        <v>#REF!</v>
      </c>
      <c r="I3724" s="32" t="e">
        <f t="shared" si="89"/>
        <v>#REF!</v>
      </c>
    </row>
    <row r="3725" ht="15.75" spans="6:9">
      <c r="F3725" s="12" t="e">
        <f>'[4]#REF'!F3725</f>
        <v>#REF!</v>
      </c>
      <c r="G3725" s="12" t="e">
        <f>'[4]#REF'!G3725</f>
        <v>#REF!</v>
      </c>
      <c r="H3725" s="31" t="e">
        <f>'[4]#REF'!I3725</f>
        <v>#REF!</v>
      </c>
      <c r="I3725" s="32" t="e">
        <f t="shared" si="89"/>
        <v>#REF!</v>
      </c>
    </row>
    <row r="3726" ht="15.75" spans="6:9">
      <c r="F3726" s="12" t="e">
        <f>'[4]#REF'!F3726</f>
        <v>#REF!</v>
      </c>
      <c r="G3726" s="12" t="e">
        <f>'[4]#REF'!G3726</f>
        <v>#REF!</v>
      </c>
      <c r="H3726" s="31" t="e">
        <f>'[4]#REF'!I3726</f>
        <v>#REF!</v>
      </c>
      <c r="I3726" s="32" t="e">
        <f t="shared" si="89"/>
        <v>#REF!</v>
      </c>
    </row>
    <row r="3727" ht="15.75" spans="6:9">
      <c r="F3727" s="12" t="e">
        <f>'[4]#REF'!F3727</f>
        <v>#REF!</v>
      </c>
      <c r="G3727" s="12" t="e">
        <f>'[4]#REF'!G3727</f>
        <v>#REF!</v>
      </c>
      <c r="H3727" s="31" t="e">
        <f>'[4]#REF'!I3727</f>
        <v>#REF!</v>
      </c>
      <c r="I3727" s="32" t="e">
        <f t="shared" si="89"/>
        <v>#REF!</v>
      </c>
    </row>
    <row r="3728" ht="15.75" spans="6:9">
      <c r="F3728" s="12" t="e">
        <f>'[4]#REF'!F3728</f>
        <v>#REF!</v>
      </c>
      <c r="G3728" s="12" t="e">
        <f>'[4]#REF'!G3728</f>
        <v>#REF!</v>
      </c>
      <c r="H3728" s="31" t="e">
        <f>'[4]#REF'!I3728</f>
        <v>#REF!</v>
      </c>
      <c r="I3728" s="32" t="e">
        <f t="shared" si="89"/>
        <v>#REF!</v>
      </c>
    </row>
    <row r="3729" ht="15.75" spans="6:9">
      <c r="F3729" s="12" t="e">
        <f>'[4]#REF'!F3729</f>
        <v>#REF!</v>
      </c>
      <c r="G3729" s="12" t="e">
        <f>'[4]#REF'!G3729</f>
        <v>#REF!</v>
      </c>
      <c r="H3729" s="31" t="e">
        <f>'[4]#REF'!I3729</f>
        <v>#REF!</v>
      </c>
      <c r="I3729" s="32" t="e">
        <f t="shared" si="89"/>
        <v>#REF!</v>
      </c>
    </row>
    <row r="3730" ht="15.75" spans="6:9">
      <c r="F3730" s="12" t="e">
        <f>'[4]#REF'!F3730</f>
        <v>#REF!</v>
      </c>
      <c r="G3730" s="12" t="e">
        <f>'[4]#REF'!G3730</f>
        <v>#REF!</v>
      </c>
      <c r="H3730" s="31" t="e">
        <f>'[4]#REF'!I3730</f>
        <v>#REF!</v>
      </c>
      <c r="I3730" s="32" t="e">
        <f t="shared" si="89"/>
        <v>#REF!</v>
      </c>
    </row>
    <row r="3731" ht="15.75" spans="6:9">
      <c r="F3731" s="12" t="e">
        <f>'[4]#REF'!F3731</f>
        <v>#REF!</v>
      </c>
      <c r="G3731" s="12" t="e">
        <f>'[4]#REF'!G3731</f>
        <v>#REF!</v>
      </c>
      <c r="H3731" s="31" t="e">
        <f>'[4]#REF'!I3731</f>
        <v>#REF!</v>
      </c>
      <c r="I3731" s="32" t="e">
        <f t="shared" si="89"/>
        <v>#REF!</v>
      </c>
    </row>
    <row r="3732" ht="15.75" spans="6:9">
      <c r="F3732" s="12" t="e">
        <f>'[4]#REF'!F3732</f>
        <v>#REF!</v>
      </c>
      <c r="G3732" s="12" t="e">
        <f>'[4]#REF'!G3732</f>
        <v>#REF!</v>
      </c>
      <c r="H3732" s="31" t="e">
        <f>'[4]#REF'!I3732</f>
        <v>#REF!</v>
      </c>
      <c r="I3732" s="32" t="e">
        <f t="shared" si="89"/>
        <v>#REF!</v>
      </c>
    </row>
    <row r="3733" ht="15.75" spans="6:9">
      <c r="F3733" s="12" t="e">
        <f>'[4]#REF'!F3733</f>
        <v>#REF!</v>
      </c>
      <c r="G3733" s="12" t="e">
        <f>'[4]#REF'!G3733</f>
        <v>#REF!</v>
      </c>
      <c r="H3733" s="31" t="e">
        <f>'[4]#REF'!I3733</f>
        <v>#REF!</v>
      </c>
      <c r="I3733" s="32" t="e">
        <f t="shared" si="89"/>
        <v>#REF!</v>
      </c>
    </row>
    <row r="3734" ht="15.75" spans="6:9">
      <c r="F3734" s="12" t="e">
        <f>'[4]#REF'!F3734</f>
        <v>#REF!</v>
      </c>
      <c r="G3734" s="12" t="e">
        <f>'[4]#REF'!G3734</f>
        <v>#REF!</v>
      </c>
      <c r="H3734" s="31" t="e">
        <f>'[4]#REF'!I3734</f>
        <v>#REF!</v>
      </c>
      <c r="I3734" s="32" t="e">
        <f t="shared" si="89"/>
        <v>#REF!</v>
      </c>
    </row>
    <row r="3735" ht="15.75" spans="6:9">
      <c r="F3735" s="12" t="e">
        <f>'[4]#REF'!F3735</f>
        <v>#REF!</v>
      </c>
      <c r="G3735" s="12" t="e">
        <f>'[4]#REF'!G3735</f>
        <v>#REF!</v>
      </c>
      <c r="H3735" s="31" t="e">
        <f>'[4]#REF'!I3735</f>
        <v>#REF!</v>
      </c>
      <c r="I3735" s="32" t="e">
        <f t="shared" si="89"/>
        <v>#REF!</v>
      </c>
    </row>
    <row r="3736" ht="15.75" spans="6:9">
      <c r="F3736" s="12" t="e">
        <f>'[4]#REF'!F3736</f>
        <v>#REF!</v>
      </c>
      <c r="G3736" s="12" t="e">
        <f>'[4]#REF'!G3736</f>
        <v>#REF!</v>
      </c>
      <c r="H3736" s="31" t="e">
        <f>'[4]#REF'!I3736</f>
        <v>#REF!</v>
      </c>
      <c r="I3736" s="32" t="e">
        <f t="shared" si="89"/>
        <v>#REF!</v>
      </c>
    </row>
    <row r="3737" ht="15.75" spans="6:9">
      <c r="F3737" s="12" t="e">
        <f>'[4]#REF'!F3737</f>
        <v>#REF!</v>
      </c>
      <c r="G3737" s="12" t="e">
        <f>'[4]#REF'!G3737</f>
        <v>#REF!</v>
      </c>
      <c r="H3737" s="31" t="e">
        <f>'[4]#REF'!I3737</f>
        <v>#REF!</v>
      </c>
      <c r="I3737" s="32" t="e">
        <f t="shared" si="89"/>
        <v>#REF!</v>
      </c>
    </row>
    <row r="3738" ht="15.75" spans="6:9">
      <c r="F3738" s="12" t="e">
        <f>'[4]#REF'!F3738</f>
        <v>#REF!</v>
      </c>
      <c r="G3738" s="12" t="e">
        <f>'[4]#REF'!G3738</f>
        <v>#REF!</v>
      </c>
      <c r="H3738" s="31" t="e">
        <f>'[4]#REF'!I3738</f>
        <v>#REF!</v>
      </c>
      <c r="I3738" s="32" t="e">
        <f t="shared" si="89"/>
        <v>#REF!</v>
      </c>
    </row>
    <row r="3739" ht="15.75" spans="6:9">
      <c r="F3739" s="12" t="e">
        <f>'[4]#REF'!F3739</f>
        <v>#REF!</v>
      </c>
      <c r="G3739" s="12" t="e">
        <f>'[4]#REF'!G3739</f>
        <v>#REF!</v>
      </c>
      <c r="H3739" s="31" t="e">
        <f>'[4]#REF'!I3739</f>
        <v>#REF!</v>
      </c>
      <c r="I3739" s="32" t="e">
        <f t="shared" si="89"/>
        <v>#REF!</v>
      </c>
    </row>
    <row r="3740" ht="15.75" spans="6:9">
      <c r="F3740" s="12" t="e">
        <f>'[4]#REF'!F3740</f>
        <v>#REF!</v>
      </c>
      <c r="G3740" s="12" t="e">
        <f>'[4]#REF'!G3740</f>
        <v>#REF!</v>
      </c>
      <c r="H3740" s="31" t="e">
        <f>'[4]#REF'!I3740</f>
        <v>#REF!</v>
      </c>
      <c r="I3740" s="32" t="e">
        <f t="shared" si="89"/>
        <v>#REF!</v>
      </c>
    </row>
    <row r="3741" ht="15.75" spans="6:9">
      <c r="F3741" s="12" t="e">
        <f>'[4]#REF'!F3741</f>
        <v>#REF!</v>
      </c>
      <c r="G3741" s="12" t="e">
        <f>'[4]#REF'!G3741</f>
        <v>#REF!</v>
      </c>
      <c r="H3741" s="31" t="e">
        <f>'[4]#REF'!I3741</f>
        <v>#REF!</v>
      </c>
      <c r="I3741" s="32" t="e">
        <f t="shared" si="89"/>
        <v>#REF!</v>
      </c>
    </row>
    <row r="3742" ht="15.75" spans="6:9">
      <c r="F3742" s="12" t="e">
        <f>'[4]#REF'!F3742</f>
        <v>#REF!</v>
      </c>
      <c r="G3742" s="12" t="e">
        <f>'[4]#REF'!G3742</f>
        <v>#REF!</v>
      </c>
      <c r="H3742" s="31" t="e">
        <f>'[4]#REF'!I3742</f>
        <v>#REF!</v>
      </c>
      <c r="I3742" s="32" t="e">
        <f t="shared" si="89"/>
        <v>#REF!</v>
      </c>
    </row>
    <row r="3743" ht="15.75" spans="6:9">
      <c r="F3743" s="12" t="e">
        <f>'[4]#REF'!F3743</f>
        <v>#REF!</v>
      </c>
      <c r="G3743" s="12" t="e">
        <f>'[4]#REF'!G3743</f>
        <v>#REF!</v>
      </c>
      <c r="H3743" s="31" t="e">
        <f>'[4]#REF'!I3743</f>
        <v>#REF!</v>
      </c>
      <c r="I3743" s="32" t="e">
        <f t="shared" si="89"/>
        <v>#REF!</v>
      </c>
    </row>
    <row r="3744" ht="15.75" spans="6:9">
      <c r="F3744" s="12" t="e">
        <f>'[4]#REF'!F3744</f>
        <v>#REF!</v>
      </c>
      <c r="G3744" s="12" t="e">
        <f>'[4]#REF'!G3744</f>
        <v>#REF!</v>
      </c>
      <c r="H3744" s="31" t="e">
        <f>'[4]#REF'!I3744</f>
        <v>#REF!</v>
      </c>
      <c r="I3744" s="32" t="e">
        <f t="shared" si="89"/>
        <v>#REF!</v>
      </c>
    </row>
    <row r="3745" ht="15.75" spans="6:9">
      <c r="F3745" s="12" t="e">
        <f>'[4]#REF'!F3745</f>
        <v>#REF!</v>
      </c>
      <c r="G3745" s="12" t="e">
        <f>'[4]#REF'!G3745</f>
        <v>#REF!</v>
      </c>
      <c r="H3745" s="31" t="e">
        <f>'[4]#REF'!I3745</f>
        <v>#REF!</v>
      </c>
      <c r="I3745" s="32" t="e">
        <f t="shared" si="89"/>
        <v>#REF!</v>
      </c>
    </row>
    <row r="3746" ht="15.75" spans="6:9">
      <c r="F3746" s="12" t="e">
        <f>'[4]#REF'!F3746</f>
        <v>#REF!</v>
      </c>
      <c r="G3746" s="12" t="e">
        <f>'[4]#REF'!G3746</f>
        <v>#REF!</v>
      </c>
      <c r="H3746" s="31" t="e">
        <f>'[4]#REF'!I3746</f>
        <v>#REF!</v>
      </c>
      <c r="I3746" s="32" t="e">
        <f t="shared" si="89"/>
        <v>#REF!</v>
      </c>
    </row>
    <row r="3747" ht="15.75" spans="6:9">
      <c r="F3747" s="12" t="e">
        <f>'[4]#REF'!F3747</f>
        <v>#REF!</v>
      </c>
      <c r="G3747" s="12" t="e">
        <f>'[4]#REF'!G3747</f>
        <v>#REF!</v>
      </c>
      <c r="H3747" s="31" t="e">
        <f>'[4]#REF'!I3747</f>
        <v>#REF!</v>
      </c>
      <c r="I3747" s="32" t="e">
        <f t="shared" si="89"/>
        <v>#REF!</v>
      </c>
    </row>
    <row r="3748" ht="15.75" spans="6:9">
      <c r="F3748" s="12" t="e">
        <f>'[4]#REF'!F3748</f>
        <v>#REF!</v>
      </c>
      <c r="G3748" s="12" t="e">
        <f>'[4]#REF'!G3748</f>
        <v>#REF!</v>
      </c>
      <c r="H3748" s="31" t="e">
        <f>'[4]#REF'!I3748</f>
        <v>#REF!</v>
      </c>
      <c r="I3748" s="32" t="e">
        <f t="shared" si="89"/>
        <v>#REF!</v>
      </c>
    </row>
    <row r="3749" ht="15.75" spans="6:9">
      <c r="F3749" s="12" t="e">
        <f>'[4]#REF'!F3749</f>
        <v>#REF!</v>
      </c>
      <c r="G3749" s="12" t="e">
        <f>'[4]#REF'!G3749</f>
        <v>#REF!</v>
      </c>
      <c r="H3749" s="31" t="e">
        <f>'[4]#REF'!I3749</f>
        <v>#REF!</v>
      </c>
      <c r="I3749" s="32" t="e">
        <f t="shared" si="89"/>
        <v>#REF!</v>
      </c>
    </row>
    <row r="3750" ht="15.75" spans="6:9">
      <c r="F3750" s="12" t="e">
        <f>'[4]#REF'!F3750</f>
        <v>#REF!</v>
      </c>
      <c r="G3750" s="12" t="e">
        <f>'[4]#REF'!G3750</f>
        <v>#REF!</v>
      </c>
      <c r="H3750" s="31" t="e">
        <f>'[4]#REF'!I3750</f>
        <v>#REF!</v>
      </c>
      <c r="I3750" s="32" t="e">
        <f t="shared" si="89"/>
        <v>#REF!</v>
      </c>
    </row>
    <row r="3751" ht="15.75" spans="6:9">
      <c r="F3751" s="12" t="e">
        <f>'[4]#REF'!F3751</f>
        <v>#REF!</v>
      </c>
      <c r="G3751" s="12" t="e">
        <f>'[4]#REF'!G3751</f>
        <v>#REF!</v>
      </c>
      <c r="H3751" s="31" t="e">
        <f>'[4]#REF'!I3751</f>
        <v>#REF!</v>
      </c>
      <c r="I3751" s="32" t="e">
        <f t="shared" si="89"/>
        <v>#REF!</v>
      </c>
    </row>
    <row r="3752" ht="15.75" spans="6:9">
      <c r="F3752" s="12" t="e">
        <f>'[4]#REF'!F3752</f>
        <v>#REF!</v>
      </c>
      <c r="G3752" s="12" t="e">
        <f>'[4]#REF'!G3752</f>
        <v>#REF!</v>
      </c>
      <c r="H3752" s="31" t="e">
        <f>'[4]#REF'!I3752</f>
        <v>#REF!</v>
      </c>
      <c r="I3752" s="32" t="e">
        <f t="shared" si="89"/>
        <v>#REF!</v>
      </c>
    </row>
    <row r="3753" ht="15.75" spans="6:9">
      <c r="F3753" s="12" t="e">
        <f>'[4]#REF'!F3753</f>
        <v>#REF!</v>
      </c>
      <c r="G3753" s="12" t="e">
        <f>'[4]#REF'!G3753</f>
        <v>#REF!</v>
      </c>
      <c r="H3753" s="31" t="e">
        <f>'[4]#REF'!I3753</f>
        <v>#REF!</v>
      </c>
      <c r="I3753" s="32" t="e">
        <f t="shared" si="89"/>
        <v>#REF!</v>
      </c>
    </row>
    <row r="3754" ht="15.75" spans="6:9">
      <c r="F3754" s="12" t="e">
        <f>'[4]#REF'!F3754</f>
        <v>#REF!</v>
      </c>
      <c r="G3754" s="12" t="e">
        <f>'[4]#REF'!G3754</f>
        <v>#REF!</v>
      </c>
      <c r="H3754" s="31" t="e">
        <f>'[4]#REF'!I3754</f>
        <v>#REF!</v>
      </c>
      <c r="I3754" s="32" t="e">
        <f t="shared" si="89"/>
        <v>#REF!</v>
      </c>
    </row>
    <row r="3755" ht="15.75" spans="6:9">
      <c r="F3755" s="12" t="e">
        <f>'[4]#REF'!F3755</f>
        <v>#REF!</v>
      </c>
      <c r="G3755" s="12" t="e">
        <f>'[4]#REF'!G3755</f>
        <v>#REF!</v>
      </c>
      <c r="H3755" s="31" t="e">
        <f>'[4]#REF'!I3755</f>
        <v>#REF!</v>
      </c>
      <c r="I3755" s="32" t="e">
        <f t="shared" si="89"/>
        <v>#REF!</v>
      </c>
    </row>
    <row r="3756" ht="15.75" spans="6:9">
      <c r="F3756" s="12" t="e">
        <f>'[4]#REF'!F3756</f>
        <v>#REF!</v>
      </c>
      <c r="G3756" s="12" t="e">
        <f>'[4]#REF'!G3756</f>
        <v>#REF!</v>
      </c>
      <c r="H3756" s="31" t="e">
        <f>'[4]#REF'!I3756</f>
        <v>#REF!</v>
      </c>
      <c r="I3756" s="32" t="e">
        <f t="shared" si="89"/>
        <v>#REF!</v>
      </c>
    </row>
    <row r="3757" ht="15.75" spans="6:9">
      <c r="F3757" s="12" t="e">
        <f>'[4]#REF'!F3757</f>
        <v>#REF!</v>
      </c>
      <c r="G3757" s="12" t="e">
        <f>'[4]#REF'!G3757</f>
        <v>#REF!</v>
      </c>
      <c r="H3757" s="31" t="e">
        <f>'[4]#REF'!I3757</f>
        <v>#REF!</v>
      </c>
      <c r="I3757" s="32" t="e">
        <f t="shared" si="89"/>
        <v>#REF!</v>
      </c>
    </row>
    <row r="3758" ht="15.75" spans="6:9">
      <c r="F3758" s="12" t="e">
        <f>'[4]#REF'!F3758</f>
        <v>#REF!</v>
      </c>
      <c r="G3758" s="12" t="e">
        <f>'[4]#REF'!G3758</f>
        <v>#REF!</v>
      </c>
      <c r="H3758" s="31" t="e">
        <f>'[4]#REF'!I3758</f>
        <v>#REF!</v>
      </c>
      <c r="I3758" s="32" t="e">
        <f t="shared" si="89"/>
        <v>#REF!</v>
      </c>
    </row>
    <row r="3759" ht="15.75" spans="6:9">
      <c r="F3759" s="12" t="e">
        <f>'[4]#REF'!F3759</f>
        <v>#REF!</v>
      </c>
      <c r="G3759" s="12" t="e">
        <f>'[4]#REF'!G3759</f>
        <v>#REF!</v>
      </c>
      <c r="H3759" s="31" t="e">
        <f>'[4]#REF'!I3759</f>
        <v>#REF!</v>
      </c>
      <c r="I3759" s="32" t="e">
        <f t="shared" si="89"/>
        <v>#REF!</v>
      </c>
    </row>
    <row r="3760" ht="15.75" spans="6:9">
      <c r="F3760" s="12" t="e">
        <f>'[4]#REF'!F3760</f>
        <v>#REF!</v>
      </c>
      <c r="G3760" s="12" t="e">
        <f>'[4]#REF'!G3760</f>
        <v>#REF!</v>
      </c>
      <c r="H3760" s="31" t="e">
        <f>'[4]#REF'!I3760</f>
        <v>#REF!</v>
      </c>
      <c r="I3760" s="32" t="e">
        <f t="shared" si="89"/>
        <v>#REF!</v>
      </c>
    </row>
    <row r="3761" ht="15.75" spans="6:9">
      <c r="F3761" s="12" t="e">
        <f>'[4]#REF'!F3761</f>
        <v>#REF!</v>
      </c>
      <c r="G3761" s="12" t="e">
        <f>'[4]#REF'!G3761</f>
        <v>#REF!</v>
      </c>
      <c r="H3761" s="31" t="e">
        <f>'[4]#REF'!I3761</f>
        <v>#REF!</v>
      </c>
      <c r="I3761" s="32" t="e">
        <f t="shared" si="89"/>
        <v>#REF!</v>
      </c>
    </row>
    <row r="3762" ht="15.75" spans="6:9">
      <c r="F3762" s="12" t="e">
        <f>'[4]#REF'!F3762</f>
        <v>#REF!</v>
      </c>
      <c r="G3762" s="12" t="e">
        <f>'[4]#REF'!G3762</f>
        <v>#REF!</v>
      </c>
      <c r="H3762" s="31" t="e">
        <f>'[4]#REF'!I3762</f>
        <v>#REF!</v>
      </c>
      <c r="I3762" s="32" t="e">
        <f t="shared" si="89"/>
        <v>#REF!</v>
      </c>
    </row>
    <row r="3763" ht="15.75" spans="6:9">
      <c r="F3763" s="12" t="e">
        <f>'[4]#REF'!F3763</f>
        <v>#REF!</v>
      </c>
      <c r="G3763" s="12" t="e">
        <f>'[4]#REF'!G3763</f>
        <v>#REF!</v>
      </c>
      <c r="H3763" s="31" t="e">
        <f>'[4]#REF'!I3763</f>
        <v>#REF!</v>
      </c>
      <c r="I3763" s="32" t="e">
        <f t="shared" si="89"/>
        <v>#REF!</v>
      </c>
    </row>
    <row r="3764" ht="15.75" spans="6:9">
      <c r="F3764" s="12" t="e">
        <f>'[4]#REF'!F3764</f>
        <v>#REF!</v>
      </c>
      <c r="G3764" s="12" t="e">
        <f>'[4]#REF'!G3764</f>
        <v>#REF!</v>
      </c>
      <c r="H3764" s="31" t="e">
        <f>'[4]#REF'!I3764</f>
        <v>#REF!</v>
      </c>
      <c r="I3764" s="32" t="e">
        <f t="shared" si="89"/>
        <v>#REF!</v>
      </c>
    </row>
    <row r="3765" ht="15.75" spans="6:9">
      <c r="F3765" s="12" t="e">
        <f>'[4]#REF'!F3765</f>
        <v>#REF!</v>
      </c>
      <c r="G3765" s="12" t="e">
        <f>'[4]#REF'!G3765</f>
        <v>#REF!</v>
      </c>
      <c r="H3765" s="31" t="e">
        <f>'[4]#REF'!I3765</f>
        <v>#REF!</v>
      </c>
      <c r="I3765" s="32" t="e">
        <f t="shared" si="89"/>
        <v>#REF!</v>
      </c>
    </row>
    <row r="3766" ht="15.75" spans="6:9">
      <c r="F3766" s="12" t="e">
        <f>'[4]#REF'!F3766</f>
        <v>#REF!</v>
      </c>
      <c r="G3766" s="12" t="e">
        <f>'[4]#REF'!G3766</f>
        <v>#REF!</v>
      </c>
      <c r="H3766" s="31" t="e">
        <f>'[4]#REF'!I3766</f>
        <v>#REF!</v>
      </c>
      <c r="I3766" s="32" t="e">
        <f t="shared" si="89"/>
        <v>#REF!</v>
      </c>
    </row>
    <row r="3767" ht="15.75" spans="6:9">
      <c r="F3767" s="12" t="e">
        <f>'[4]#REF'!F3767</f>
        <v>#REF!</v>
      </c>
      <c r="G3767" s="12" t="e">
        <f>'[4]#REF'!G3767</f>
        <v>#REF!</v>
      </c>
      <c r="H3767" s="31" t="e">
        <f>'[4]#REF'!I3767</f>
        <v>#REF!</v>
      </c>
      <c r="I3767" s="32" t="e">
        <f t="shared" si="89"/>
        <v>#REF!</v>
      </c>
    </row>
    <row r="3768" ht="15.75" spans="6:9">
      <c r="F3768" s="12" t="e">
        <f>'[4]#REF'!F3768</f>
        <v>#REF!</v>
      </c>
      <c r="G3768" s="12" t="e">
        <f>'[4]#REF'!G3768</f>
        <v>#REF!</v>
      </c>
      <c r="H3768" s="31" t="e">
        <f>'[4]#REF'!I3768</f>
        <v>#REF!</v>
      </c>
      <c r="I3768" s="32" t="e">
        <f t="shared" si="89"/>
        <v>#REF!</v>
      </c>
    </row>
    <row r="3769" ht="15.75" spans="6:9">
      <c r="F3769" s="12" t="e">
        <f>'[4]#REF'!F3769</f>
        <v>#REF!</v>
      </c>
      <c r="G3769" s="12" t="e">
        <f>'[4]#REF'!G3769</f>
        <v>#REF!</v>
      </c>
      <c r="H3769" s="31" t="e">
        <f>'[4]#REF'!I3769</f>
        <v>#REF!</v>
      </c>
      <c r="I3769" s="32" t="e">
        <f t="shared" si="89"/>
        <v>#REF!</v>
      </c>
    </row>
    <row r="3770" ht="15.75" spans="6:9">
      <c r="F3770" s="12" t="e">
        <f>'[4]#REF'!F3770</f>
        <v>#REF!</v>
      </c>
      <c r="G3770" s="12" t="e">
        <f>'[4]#REF'!G3770</f>
        <v>#REF!</v>
      </c>
      <c r="H3770" s="31" t="e">
        <f>'[4]#REF'!I3770</f>
        <v>#REF!</v>
      </c>
      <c r="I3770" s="32" t="e">
        <f t="shared" si="89"/>
        <v>#REF!</v>
      </c>
    </row>
    <row r="3771" ht="15.75" spans="6:9">
      <c r="F3771" s="12" t="e">
        <f>'[4]#REF'!F3771</f>
        <v>#REF!</v>
      </c>
      <c r="G3771" s="12" t="e">
        <f>'[4]#REF'!G3771</f>
        <v>#REF!</v>
      </c>
      <c r="H3771" s="31" t="e">
        <f>'[4]#REF'!I3771</f>
        <v>#REF!</v>
      </c>
      <c r="I3771" s="32" t="e">
        <f t="shared" si="89"/>
        <v>#REF!</v>
      </c>
    </row>
    <row r="3772" ht="15.75" spans="6:9">
      <c r="F3772" s="12" t="e">
        <f>'[4]#REF'!F3772</f>
        <v>#REF!</v>
      </c>
      <c r="G3772" s="12" t="e">
        <f>'[4]#REF'!G3772</f>
        <v>#REF!</v>
      </c>
      <c r="H3772" s="31" t="e">
        <f>'[4]#REF'!I3772</f>
        <v>#REF!</v>
      </c>
      <c r="I3772" s="32" t="e">
        <f t="shared" si="89"/>
        <v>#REF!</v>
      </c>
    </row>
    <row r="3773" ht="15.75" spans="6:9">
      <c r="F3773" s="12" t="e">
        <f>'[4]#REF'!F3773</f>
        <v>#REF!</v>
      </c>
      <c r="G3773" s="12" t="e">
        <f>'[4]#REF'!G3773</f>
        <v>#REF!</v>
      </c>
      <c r="H3773" s="31" t="e">
        <f>'[4]#REF'!I3773</f>
        <v>#REF!</v>
      </c>
      <c r="I3773" s="32" t="e">
        <f t="shared" si="89"/>
        <v>#REF!</v>
      </c>
    </row>
    <row r="3774" ht="15.75" spans="6:9">
      <c r="F3774" s="12" t="e">
        <f>'[4]#REF'!F3774</f>
        <v>#REF!</v>
      </c>
      <c r="G3774" s="12" t="e">
        <f>'[4]#REF'!G3774</f>
        <v>#REF!</v>
      </c>
      <c r="H3774" s="31" t="e">
        <f>'[4]#REF'!I3774</f>
        <v>#REF!</v>
      </c>
      <c r="I3774" s="32" t="e">
        <f t="shared" si="89"/>
        <v>#REF!</v>
      </c>
    </row>
    <row r="3775" ht="15.75" spans="6:9">
      <c r="F3775" s="12" t="e">
        <f>'[4]#REF'!F3775</f>
        <v>#REF!</v>
      </c>
      <c r="G3775" s="12" t="e">
        <f>'[4]#REF'!G3775</f>
        <v>#REF!</v>
      </c>
      <c r="H3775" s="31" t="e">
        <f>'[4]#REF'!I3775</f>
        <v>#REF!</v>
      </c>
      <c r="I3775" s="32" t="e">
        <f t="shared" si="89"/>
        <v>#REF!</v>
      </c>
    </row>
    <row r="3776" ht="15.75" spans="6:9">
      <c r="F3776" s="12" t="e">
        <f>'[4]#REF'!F3776</f>
        <v>#REF!</v>
      </c>
      <c r="G3776" s="12" t="e">
        <f>'[4]#REF'!G3776</f>
        <v>#REF!</v>
      </c>
      <c r="H3776" s="31" t="e">
        <f>'[4]#REF'!I3776</f>
        <v>#REF!</v>
      </c>
      <c r="I3776" s="32" t="e">
        <f t="shared" si="89"/>
        <v>#REF!</v>
      </c>
    </row>
    <row r="3777" ht="15.75" spans="6:9">
      <c r="F3777" s="12" t="e">
        <f>'[4]#REF'!F3777</f>
        <v>#REF!</v>
      </c>
      <c r="G3777" s="12" t="e">
        <f>'[4]#REF'!G3777</f>
        <v>#REF!</v>
      </c>
      <c r="H3777" s="31" t="e">
        <f>'[4]#REF'!I3777</f>
        <v>#REF!</v>
      </c>
      <c r="I3777" s="32" t="e">
        <f t="shared" si="89"/>
        <v>#REF!</v>
      </c>
    </row>
    <row r="3778" ht="15.75" spans="6:9">
      <c r="F3778" s="12" t="e">
        <f>'[4]#REF'!F3778</f>
        <v>#REF!</v>
      </c>
      <c r="G3778" s="12" t="e">
        <f>'[4]#REF'!G3778</f>
        <v>#REF!</v>
      </c>
      <c r="H3778" s="31" t="e">
        <f>'[4]#REF'!I3778</f>
        <v>#REF!</v>
      </c>
      <c r="I3778" s="32" t="e">
        <f t="shared" si="89"/>
        <v>#REF!</v>
      </c>
    </row>
    <row r="3779" ht="15.75" spans="6:9">
      <c r="F3779" s="12" t="e">
        <f>'[4]#REF'!F3779</f>
        <v>#REF!</v>
      </c>
      <c r="G3779" s="12" t="e">
        <f>'[4]#REF'!G3779</f>
        <v>#REF!</v>
      </c>
      <c r="H3779" s="31" t="e">
        <f>'[4]#REF'!I3779</f>
        <v>#REF!</v>
      </c>
      <c r="I3779" s="32" t="e">
        <f t="shared" si="89"/>
        <v>#REF!</v>
      </c>
    </row>
    <row r="3780" ht="15.75" spans="6:9">
      <c r="F3780" s="12" t="e">
        <f>'[4]#REF'!F3780</f>
        <v>#REF!</v>
      </c>
      <c r="G3780" s="12" t="e">
        <f>'[4]#REF'!G3780</f>
        <v>#REF!</v>
      </c>
      <c r="H3780" s="31" t="e">
        <f>'[4]#REF'!I3780</f>
        <v>#REF!</v>
      </c>
      <c r="I3780" s="32" t="e">
        <f t="shared" si="89"/>
        <v>#REF!</v>
      </c>
    </row>
    <row r="3781" ht="15.75" spans="6:9">
      <c r="F3781" s="12" t="e">
        <f>'[4]#REF'!F3781</f>
        <v>#REF!</v>
      </c>
      <c r="G3781" s="12" t="e">
        <f>'[4]#REF'!G3781</f>
        <v>#REF!</v>
      </c>
      <c r="H3781" s="31" t="e">
        <f>'[4]#REF'!I3781</f>
        <v>#REF!</v>
      </c>
      <c r="I3781" s="32" t="e">
        <f t="shared" si="89"/>
        <v>#REF!</v>
      </c>
    </row>
    <row r="3782" ht="15.75" spans="6:9">
      <c r="F3782" s="12" t="e">
        <f>'[4]#REF'!F3782</f>
        <v>#REF!</v>
      </c>
      <c r="G3782" s="12" t="e">
        <f>'[4]#REF'!G3782</f>
        <v>#REF!</v>
      </c>
      <c r="H3782" s="31" t="e">
        <f>'[4]#REF'!I3782</f>
        <v>#REF!</v>
      </c>
      <c r="I3782" s="32" t="e">
        <f t="shared" ref="I3782:I3845" si="90">ROUND(H3782/$I$4*100,2)</f>
        <v>#REF!</v>
      </c>
    </row>
    <row r="3783" ht="15.75" spans="6:9">
      <c r="F3783" s="12" t="e">
        <f>'[4]#REF'!F3783</f>
        <v>#REF!</v>
      </c>
      <c r="G3783" s="12" t="e">
        <f>'[4]#REF'!G3783</f>
        <v>#REF!</v>
      </c>
      <c r="H3783" s="31" t="e">
        <f>'[4]#REF'!I3783</f>
        <v>#REF!</v>
      </c>
      <c r="I3783" s="32" t="e">
        <f t="shared" si="90"/>
        <v>#REF!</v>
      </c>
    </row>
    <row r="3784" ht="15.75" spans="6:9">
      <c r="F3784" s="12" t="e">
        <f>'[4]#REF'!F3784</f>
        <v>#REF!</v>
      </c>
      <c r="G3784" s="12" t="e">
        <f>'[4]#REF'!G3784</f>
        <v>#REF!</v>
      </c>
      <c r="H3784" s="31" t="e">
        <f>'[4]#REF'!I3784</f>
        <v>#REF!</v>
      </c>
      <c r="I3784" s="32" t="e">
        <f t="shared" si="90"/>
        <v>#REF!</v>
      </c>
    </row>
    <row r="3785" ht="15.75" spans="6:9">
      <c r="F3785" s="12" t="e">
        <f>'[4]#REF'!F3785</f>
        <v>#REF!</v>
      </c>
      <c r="G3785" s="12" t="e">
        <f>'[4]#REF'!G3785</f>
        <v>#REF!</v>
      </c>
      <c r="H3785" s="31" t="e">
        <f>'[4]#REF'!I3785</f>
        <v>#REF!</v>
      </c>
      <c r="I3785" s="32" t="e">
        <f t="shared" si="90"/>
        <v>#REF!</v>
      </c>
    </row>
    <row r="3786" ht="15.75" spans="6:9">
      <c r="F3786" s="12" t="e">
        <f>'[4]#REF'!F3786</f>
        <v>#REF!</v>
      </c>
      <c r="G3786" s="12" t="e">
        <f>'[4]#REF'!G3786</f>
        <v>#REF!</v>
      </c>
      <c r="H3786" s="31" t="e">
        <f>'[4]#REF'!I3786</f>
        <v>#REF!</v>
      </c>
      <c r="I3786" s="32" t="e">
        <f t="shared" si="90"/>
        <v>#REF!</v>
      </c>
    </row>
    <row r="3787" ht="15.75" spans="6:9">
      <c r="F3787" s="12" t="e">
        <f>'[4]#REF'!F3787</f>
        <v>#REF!</v>
      </c>
      <c r="G3787" s="12" t="e">
        <f>'[4]#REF'!G3787</f>
        <v>#REF!</v>
      </c>
      <c r="H3787" s="31" t="e">
        <f>'[4]#REF'!I3787</f>
        <v>#REF!</v>
      </c>
      <c r="I3787" s="32" t="e">
        <f t="shared" si="90"/>
        <v>#REF!</v>
      </c>
    </row>
    <row r="3788" ht="15.75" spans="6:9">
      <c r="F3788" s="12" t="e">
        <f>'[4]#REF'!F3788</f>
        <v>#REF!</v>
      </c>
      <c r="G3788" s="12" t="e">
        <f>'[4]#REF'!G3788</f>
        <v>#REF!</v>
      </c>
      <c r="H3788" s="31" t="e">
        <f>'[4]#REF'!I3788</f>
        <v>#REF!</v>
      </c>
      <c r="I3788" s="32" t="e">
        <f t="shared" si="90"/>
        <v>#REF!</v>
      </c>
    </row>
    <row r="3789" ht="15.75" spans="6:9">
      <c r="F3789" s="12" t="e">
        <f>'[4]#REF'!F3789</f>
        <v>#REF!</v>
      </c>
      <c r="G3789" s="12" t="e">
        <f>'[4]#REF'!G3789</f>
        <v>#REF!</v>
      </c>
      <c r="H3789" s="31" t="e">
        <f>'[4]#REF'!I3789</f>
        <v>#REF!</v>
      </c>
      <c r="I3789" s="32" t="e">
        <f t="shared" si="90"/>
        <v>#REF!</v>
      </c>
    </row>
    <row r="3790" ht="15.75" spans="6:9">
      <c r="F3790" s="12" t="e">
        <f>'[4]#REF'!F3790</f>
        <v>#REF!</v>
      </c>
      <c r="G3790" s="12" t="e">
        <f>'[4]#REF'!G3790</f>
        <v>#REF!</v>
      </c>
      <c r="H3790" s="31" t="e">
        <f>'[4]#REF'!I3790</f>
        <v>#REF!</v>
      </c>
      <c r="I3790" s="32" t="e">
        <f t="shared" si="90"/>
        <v>#REF!</v>
      </c>
    </row>
    <row r="3791" ht="15.75" spans="6:9">
      <c r="F3791" s="12" t="e">
        <f>'[4]#REF'!F3791</f>
        <v>#REF!</v>
      </c>
      <c r="G3791" s="12" t="e">
        <f>'[4]#REF'!G3791</f>
        <v>#REF!</v>
      </c>
      <c r="H3791" s="31" t="e">
        <f>'[4]#REF'!I3791</f>
        <v>#REF!</v>
      </c>
      <c r="I3791" s="32" t="e">
        <f t="shared" si="90"/>
        <v>#REF!</v>
      </c>
    </row>
    <row r="3792" ht="15.75" spans="6:9">
      <c r="F3792" s="12" t="e">
        <f>'[4]#REF'!F3792</f>
        <v>#REF!</v>
      </c>
      <c r="G3792" s="12" t="e">
        <f>'[4]#REF'!G3792</f>
        <v>#REF!</v>
      </c>
      <c r="H3792" s="31" t="e">
        <f>'[4]#REF'!I3792</f>
        <v>#REF!</v>
      </c>
      <c r="I3792" s="32" t="e">
        <f t="shared" si="90"/>
        <v>#REF!</v>
      </c>
    </row>
    <row r="3793" ht="15.75" spans="6:9">
      <c r="F3793" s="12" t="e">
        <f>'[4]#REF'!F3793</f>
        <v>#REF!</v>
      </c>
      <c r="G3793" s="12" t="e">
        <f>'[4]#REF'!G3793</f>
        <v>#REF!</v>
      </c>
      <c r="H3793" s="31" t="e">
        <f>'[4]#REF'!I3793</f>
        <v>#REF!</v>
      </c>
      <c r="I3793" s="32" t="e">
        <f t="shared" si="90"/>
        <v>#REF!</v>
      </c>
    </row>
    <row r="3794" ht="15.75" spans="6:9">
      <c r="F3794" s="12" t="e">
        <f>'[4]#REF'!F3794</f>
        <v>#REF!</v>
      </c>
      <c r="G3794" s="12" t="e">
        <f>'[4]#REF'!G3794</f>
        <v>#REF!</v>
      </c>
      <c r="H3794" s="31" t="e">
        <f>'[4]#REF'!I3794</f>
        <v>#REF!</v>
      </c>
      <c r="I3794" s="32" t="e">
        <f t="shared" si="90"/>
        <v>#REF!</v>
      </c>
    </row>
    <row r="3795" ht="15.75" spans="6:9">
      <c r="F3795" s="12" t="e">
        <f>'[4]#REF'!F3795</f>
        <v>#REF!</v>
      </c>
      <c r="G3795" s="12" t="e">
        <f>'[4]#REF'!G3795</f>
        <v>#REF!</v>
      </c>
      <c r="H3795" s="31" t="e">
        <f>'[4]#REF'!I3795</f>
        <v>#REF!</v>
      </c>
      <c r="I3795" s="32" t="e">
        <f t="shared" si="90"/>
        <v>#REF!</v>
      </c>
    </row>
    <row r="3796" ht="15.75" spans="6:9">
      <c r="F3796" s="12" t="e">
        <f>'[4]#REF'!F3796</f>
        <v>#REF!</v>
      </c>
      <c r="G3796" s="12" t="e">
        <f>'[4]#REF'!G3796</f>
        <v>#REF!</v>
      </c>
      <c r="H3796" s="31" t="e">
        <f>'[4]#REF'!I3796</f>
        <v>#REF!</v>
      </c>
      <c r="I3796" s="32" t="e">
        <f t="shared" si="90"/>
        <v>#REF!</v>
      </c>
    </row>
    <row r="3797" ht="15.75" spans="6:9">
      <c r="F3797" s="12" t="e">
        <f>'[4]#REF'!F3797</f>
        <v>#REF!</v>
      </c>
      <c r="G3797" s="12" t="e">
        <f>'[4]#REF'!G3797</f>
        <v>#REF!</v>
      </c>
      <c r="H3797" s="31" t="e">
        <f>'[4]#REF'!I3797</f>
        <v>#REF!</v>
      </c>
      <c r="I3797" s="32" t="e">
        <f t="shared" si="90"/>
        <v>#REF!</v>
      </c>
    </row>
    <row r="3798" ht="15.75" spans="6:9">
      <c r="F3798" s="12" t="e">
        <f>'[4]#REF'!F3798</f>
        <v>#REF!</v>
      </c>
      <c r="G3798" s="12" t="e">
        <f>'[4]#REF'!G3798</f>
        <v>#REF!</v>
      </c>
      <c r="H3798" s="31" t="e">
        <f>'[4]#REF'!I3798</f>
        <v>#REF!</v>
      </c>
      <c r="I3798" s="32" t="e">
        <f t="shared" si="90"/>
        <v>#REF!</v>
      </c>
    </row>
    <row r="3799" ht="15.75" spans="6:9">
      <c r="F3799" s="12" t="e">
        <f>'[4]#REF'!F3799</f>
        <v>#REF!</v>
      </c>
      <c r="G3799" s="12" t="e">
        <f>'[4]#REF'!G3799</f>
        <v>#REF!</v>
      </c>
      <c r="H3799" s="31" t="e">
        <f>'[4]#REF'!I3799</f>
        <v>#REF!</v>
      </c>
      <c r="I3799" s="32" t="e">
        <f t="shared" si="90"/>
        <v>#REF!</v>
      </c>
    </row>
    <row r="3800" ht="15.75" spans="6:9">
      <c r="F3800" s="12" t="e">
        <f>'[4]#REF'!F3800</f>
        <v>#REF!</v>
      </c>
      <c r="G3800" s="12" t="e">
        <f>'[4]#REF'!G3800</f>
        <v>#REF!</v>
      </c>
      <c r="H3800" s="31" t="e">
        <f>'[4]#REF'!I3800</f>
        <v>#REF!</v>
      </c>
      <c r="I3800" s="32" t="e">
        <f t="shared" si="90"/>
        <v>#REF!</v>
      </c>
    </row>
    <row r="3801" ht="15.75" spans="6:9">
      <c r="F3801" s="12" t="e">
        <f>'[4]#REF'!F3801</f>
        <v>#REF!</v>
      </c>
      <c r="G3801" s="12" t="e">
        <f>'[4]#REF'!G3801</f>
        <v>#REF!</v>
      </c>
      <c r="H3801" s="31" t="e">
        <f>'[4]#REF'!I3801</f>
        <v>#REF!</v>
      </c>
      <c r="I3801" s="32" t="e">
        <f t="shared" si="90"/>
        <v>#REF!</v>
      </c>
    </row>
    <row r="3802" ht="15.75" spans="6:9">
      <c r="F3802" s="12" t="e">
        <f>'[4]#REF'!F3802</f>
        <v>#REF!</v>
      </c>
      <c r="G3802" s="12" t="e">
        <f>'[4]#REF'!G3802</f>
        <v>#REF!</v>
      </c>
      <c r="H3802" s="31" t="e">
        <f>'[4]#REF'!I3802</f>
        <v>#REF!</v>
      </c>
      <c r="I3802" s="32" t="e">
        <f t="shared" si="90"/>
        <v>#REF!</v>
      </c>
    </row>
    <row r="3803" ht="15.75" spans="6:9">
      <c r="F3803" s="12" t="e">
        <f>'[4]#REF'!F3803</f>
        <v>#REF!</v>
      </c>
      <c r="G3803" s="12" t="e">
        <f>'[4]#REF'!G3803</f>
        <v>#REF!</v>
      </c>
      <c r="H3803" s="31" t="e">
        <f>'[4]#REF'!I3803</f>
        <v>#REF!</v>
      </c>
      <c r="I3803" s="32" t="e">
        <f t="shared" si="90"/>
        <v>#REF!</v>
      </c>
    </row>
    <row r="3804" ht="15.75" spans="6:9">
      <c r="F3804" s="12" t="e">
        <f>'[4]#REF'!F3804</f>
        <v>#REF!</v>
      </c>
      <c r="G3804" s="12" t="e">
        <f>'[4]#REF'!G3804</f>
        <v>#REF!</v>
      </c>
      <c r="H3804" s="31" t="e">
        <f>'[4]#REF'!I3804</f>
        <v>#REF!</v>
      </c>
      <c r="I3804" s="32" t="e">
        <f t="shared" si="90"/>
        <v>#REF!</v>
      </c>
    </row>
    <row r="3805" ht="15.75" spans="6:9">
      <c r="F3805" s="12" t="e">
        <f>'[4]#REF'!F3805</f>
        <v>#REF!</v>
      </c>
      <c r="G3805" s="12" t="e">
        <f>'[4]#REF'!G3805</f>
        <v>#REF!</v>
      </c>
      <c r="H3805" s="31" t="e">
        <f>'[4]#REF'!I3805</f>
        <v>#REF!</v>
      </c>
      <c r="I3805" s="32" t="e">
        <f t="shared" si="90"/>
        <v>#REF!</v>
      </c>
    </row>
    <row r="3806" ht="15.75" spans="6:9">
      <c r="F3806" s="12" t="e">
        <f>'[4]#REF'!F3806</f>
        <v>#REF!</v>
      </c>
      <c r="G3806" s="12" t="e">
        <f>'[4]#REF'!G3806</f>
        <v>#REF!</v>
      </c>
      <c r="H3806" s="31" t="e">
        <f>'[4]#REF'!I3806</f>
        <v>#REF!</v>
      </c>
      <c r="I3806" s="32" t="e">
        <f t="shared" si="90"/>
        <v>#REF!</v>
      </c>
    </row>
    <row r="3807" ht="15.75" spans="6:9">
      <c r="F3807" s="12" t="e">
        <f>'[4]#REF'!F3807</f>
        <v>#REF!</v>
      </c>
      <c r="G3807" s="12" t="e">
        <f>'[4]#REF'!G3807</f>
        <v>#REF!</v>
      </c>
      <c r="H3807" s="31" t="e">
        <f>'[4]#REF'!I3807</f>
        <v>#REF!</v>
      </c>
      <c r="I3807" s="32" t="e">
        <f t="shared" si="90"/>
        <v>#REF!</v>
      </c>
    </row>
    <row r="3808" ht="15.75" spans="6:9">
      <c r="F3808" s="12" t="e">
        <f>'[4]#REF'!F3808</f>
        <v>#REF!</v>
      </c>
      <c r="G3808" s="12" t="e">
        <f>'[4]#REF'!G3808</f>
        <v>#REF!</v>
      </c>
      <c r="H3808" s="31" t="e">
        <f>'[4]#REF'!I3808</f>
        <v>#REF!</v>
      </c>
      <c r="I3808" s="32" t="e">
        <f t="shared" si="90"/>
        <v>#REF!</v>
      </c>
    </row>
    <row r="3809" ht="15.75" spans="6:9">
      <c r="F3809" s="12" t="e">
        <f>'[4]#REF'!F3809</f>
        <v>#REF!</v>
      </c>
      <c r="G3809" s="12" t="e">
        <f>'[4]#REF'!G3809</f>
        <v>#REF!</v>
      </c>
      <c r="H3809" s="31" t="e">
        <f>'[4]#REF'!I3809</f>
        <v>#REF!</v>
      </c>
      <c r="I3809" s="32" t="e">
        <f t="shared" si="90"/>
        <v>#REF!</v>
      </c>
    </row>
    <row r="3810" ht="15.75" spans="6:9">
      <c r="F3810" s="12" t="e">
        <f>'[4]#REF'!F3810</f>
        <v>#REF!</v>
      </c>
      <c r="G3810" s="12" t="e">
        <f>'[4]#REF'!G3810</f>
        <v>#REF!</v>
      </c>
      <c r="H3810" s="31" t="e">
        <f>'[4]#REF'!I3810</f>
        <v>#REF!</v>
      </c>
      <c r="I3810" s="32" t="e">
        <f t="shared" si="90"/>
        <v>#REF!</v>
      </c>
    </row>
    <row r="3811" ht="15.75" spans="6:9">
      <c r="F3811" s="12" t="e">
        <f>'[4]#REF'!F3811</f>
        <v>#REF!</v>
      </c>
      <c r="G3811" s="12" t="e">
        <f>'[4]#REF'!G3811</f>
        <v>#REF!</v>
      </c>
      <c r="H3811" s="31" t="e">
        <f>'[4]#REF'!I3811</f>
        <v>#REF!</v>
      </c>
      <c r="I3811" s="32" t="e">
        <f t="shared" si="90"/>
        <v>#REF!</v>
      </c>
    </row>
    <row r="3812" ht="15.75" spans="6:9">
      <c r="F3812" s="12" t="e">
        <f>'[4]#REF'!F3812</f>
        <v>#REF!</v>
      </c>
      <c r="G3812" s="12" t="e">
        <f>'[4]#REF'!G3812</f>
        <v>#REF!</v>
      </c>
      <c r="H3812" s="31" t="e">
        <f>'[4]#REF'!I3812</f>
        <v>#REF!</v>
      </c>
      <c r="I3812" s="32" t="e">
        <f t="shared" si="90"/>
        <v>#REF!</v>
      </c>
    </row>
    <row r="3813" ht="15.75" spans="6:9">
      <c r="F3813" s="12" t="e">
        <f>'[4]#REF'!F3813</f>
        <v>#REF!</v>
      </c>
      <c r="G3813" s="12" t="e">
        <f>'[4]#REF'!G3813</f>
        <v>#REF!</v>
      </c>
      <c r="H3813" s="31" t="e">
        <f>'[4]#REF'!I3813</f>
        <v>#REF!</v>
      </c>
      <c r="I3813" s="32" t="e">
        <f t="shared" si="90"/>
        <v>#REF!</v>
      </c>
    </row>
    <row r="3814" ht="15.75" spans="6:9">
      <c r="F3814" s="12" t="e">
        <f>'[4]#REF'!F3814</f>
        <v>#REF!</v>
      </c>
      <c r="G3814" s="12" t="e">
        <f>'[4]#REF'!G3814</f>
        <v>#REF!</v>
      </c>
      <c r="H3814" s="31" t="e">
        <f>'[4]#REF'!I3814</f>
        <v>#REF!</v>
      </c>
      <c r="I3814" s="32" t="e">
        <f t="shared" si="90"/>
        <v>#REF!</v>
      </c>
    </row>
    <row r="3815" ht="15.75" spans="6:9">
      <c r="F3815" s="12" t="e">
        <f>'[4]#REF'!F3815</f>
        <v>#REF!</v>
      </c>
      <c r="G3815" s="12" t="e">
        <f>'[4]#REF'!G3815</f>
        <v>#REF!</v>
      </c>
      <c r="H3815" s="31" t="e">
        <f>'[4]#REF'!I3815</f>
        <v>#REF!</v>
      </c>
      <c r="I3815" s="32" t="e">
        <f t="shared" si="90"/>
        <v>#REF!</v>
      </c>
    </row>
    <row r="3816" ht="15.75" spans="6:9">
      <c r="F3816" s="12" t="e">
        <f>'[4]#REF'!F3816</f>
        <v>#REF!</v>
      </c>
      <c r="G3816" s="12" t="e">
        <f>'[4]#REF'!G3816</f>
        <v>#REF!</v>
      </c>
      <c r="H3816" s="31" t="e">
        <f>'[4]#REF'!I3816</f>
        <v>#REF!</v>
      </c>
      <c r="I3816" s="32" t="e">
        <f t="shared" si="90"/>
        <v>#REF!</v>
      </c>
    </row>
    <row r="3817" ht="15.75" spans="6:9">
      <c r="F3817" s="12" t="e">
        <f>'[4]#REF'!F3817</f>
        <v>#REF!</v>
      </c>
      <c r="G3817" s="12" t="e">
        <f>'[4]#REF'!G3817</f>
        <v>#REF!</v>
      </c>
      <c r="H3817" s="31" t="e">
        <f>'[4]#REF'!I3817</f>
        <v>#REF!</v>
      </c>
      <c r="I3817" s="32" t="e">
        <f t="shared" si="90"/>
        <v>#REF!</v>
      </c>
    </row>
    <row r="3818" ht="15.75" spans="6:9">
      <c r="F3818" s="12" t="e">
        <f>'[4]#REF'!F3818</f>
        <v>#REF!</v>
      </c>
      <c r="G3818" s="12" t="e">
        <f>'[4]#REF'!G3818</f>
        <v>#REF!</v>
      </c>
      <c r="H3818" s="31" t="e">
        <f>'[4]#REF'!I3818</f>
        <v>#REF!</v>
      </c>
      <c r="I3818" s="32" t="e">
        <f t="shared" si="90"/>
        <v>#REF!</v>
      </c>
    </row>
    <row r="3819" ht="15.75" spans="6:9">
      <c r="F3819" s="12" t="e">
        <f>'[4]#REF'!F3819</f>
        <v>#REF!</v>
      </c>
      <c r="G3819" s="12" t="e">
        <f>'[4]#REF'!G3819</f>
        <v>#REF!</v>
      </c>
      <c r="H3819" s="31" t="e">
        <f>'[4]#REF'!I3819</f>
        <v>#REF!</v>
      </c>
      <c r="I3819" s="32" t="e">
        <f t="shared" si="90"/>
        <v>#REF!</v>
      </c>
    </row>
    <row r="3820" ht="15.75" spans="6:9">
      <c r="F3820" s="12" t="e">
        <f>'[4]#REF'!F3820</f>
        <v>#REF!</v>
      </c>
      <c r="G3820" s="12" t="e">
        <f>'[4]#REF'!G3820</f>
        <v>#REF!</v>
      </c>
      <c r="H3820" s="31" t="e">
        <f>'[4]#REF'!I3820</f>
        <v>#REF!</v>
      </c>
      <c r="I3820" s="32" t="e">
        <f t="shared" si="90"/>
        <v>#REF!</v>
      </c>
    </row>
    <row r="3821" ht="15.75" spans="6:9">
      <c r="F3821" s="12" t="e">
        <f>'[4]#REF'!F3821</f>
        <v>#REF!</v>
      </c>
      <c r="G3821" s="12" t="e">
        <f>'[4]#REF'!G3821</f>
        <v>#REF!</v>
      </c>
      <c r="H3821" s="31" t="e">
        <f>'[4]#REF'!I3821</f>
        <v>#REF!</v>
      </c>
      <c r="I3821" s="32" t="e">
        <f t="shared" si="90"/>
        <v>#REF!</v>
      </c>
    </row>
    <row r="3822" ht="15.75" spans="6:9">
      <c r="F3822" s="12" t="e">
        <f>'[4]#REF'!F3822</f>
        <v>#REF!</v>
      </c>
      <c r="G3822" s="12" t="e">
        <f>'[4]#REF'!G3822</f>
        <v>#REF!</v>
      </c>
      <c r="H3822" s="31" t="e">
        <f>'[4]#REF'!I3822</f>
        <v>#REF!</v>
      </c>
      <c r="I3822" s="32" t="e">
        <f t="shared" si="90"/>
        <v>#REF!</v>
      </c>
    </row>
    <row r="3823" ht="15.75" spans="6:9">
      <c r="F3823" s="12" t="e">
        <f>'[4]#REF'!F3823</f>
        <v>#REF!</v>
      </c>
      <c r="G3823" s="12" t="e">
        <f>'[4]#REF'!G3823</f>
        <v>#REF!</v>
      </c>
      <c r="H3823" s="31" t="e">
        <f>'[4]#REF'!I3823</f>
        <v>#REF!</v>
      </c>
      <c r="I3823" s="32" t="e">
        <f t="shared" si="90"/>
        <v>#REF!</v>
      </c>
    </row>
    <row r="3824" ht="15.75" spans="6:9">
      <c r="F3824" s="12" t="e">
        <f>'[4]#REF'!F3824</f>
        <v>#REF!</v>
      </c>
      <c r="G3824" s="12" t="e">
        <f>'[4]#REF'!G3824</f>
        <v>#REF!</v>
      </c>
      <c r="H3824" s="31" t="e">
        <f>'[4]#REF'!I3824</f>
        <v>#REF!</v>
      </c>
      <c r="I3824" s="32" t="e">
        <f t="shared" si="90"/>
        <v>#REF!</v>
      </c>
    </row>
    <row r="3825" ht="15.75" spans="6:9">
      <c r="F3825" s="12" t="e">
        <f>'[4]#REF'!F3825</f>
        <v>#REF!</v>
      </c>
      <c r="G3825" s="12" t="e">
        <f>'[4]#REF'!G3825</f>
        <v>#REF!</v>
      </c>
      <c r="H3825" s="31" t="e">
        <f>'[4]#REF'!I3825</f>
        <v>#REF!</v>
      </c>
      <c r="I3825" s="32" t="e">
        <f t="shared" si="90"/>
        <v>#REF!</v>
      </c>
    </row>
    <row r="3826" ht="15.75" spans="6:9">
      <c r="F3826" s="12" t="e">
        <f>'[4]#REF'!F3826</f>
        <v>#REF!</v>
      </c>
      <c r="G3826" s="12" t="e">
        <f>'[4]#REF'!G3826</f>
        <v>#REF!</v>
      </c>
      <c r="H3826" s="31" t="e">
        <f>'[4]#REF'!I3826</f>
        <v>#REF!</v>
      </c>
      <c r="I3826" s="32" t="e">
        <f t="shared" si="90"/>
        <v>#REF!</v>
      </c>
    </row>
    <row r="3827" ht="15.75" spans="6:9">
      <c r="F3827" s="12" t="e">
        <f>'[4]#REF'!F3827</f>
        <v>#REF!</v>
      </c>
      <c r="G3827" s="12" t="e">
        <f>'[4]#REF'!G3827</f>
        <v>#REF!</v>
      </c>
      <c r="H3827" s="31" t="e">
        <f>'[4]#REF'!I3827</f>
        <v>#REF!</v>
      </c>
      <c r="I3827" s="32" t="e">
        <f t="shared" si="90"/>
        <v>#REF!</v>
      </c>
    </row>
    <row r="3828" ht="15.75" spans="6:9">
      <c r="F3828" s="12" t="e">
        <f>'[4]#REF'!F3828</f>
        <v>#REF!</v>
      </c>
      <c r="G3828" s="12" t="e">
        <f>'[4]#REF'!G3828</f>
        <v>#REF!</v>
      </c>
      <c r="H3828" s="31" t="e">
        <f>'[4]#REF'!I3828</f>
        <v>#REF!</v>
      </c>
      <c r="I3828" s="32" t="e">
        <f t="shared" si="90"/>
        <v>#REF!</v>
      </c>
    </row>
    <row r="3829" ht="15.75" spans="6:9">
      <c r="F3829" s="12" t="e">
        <f>'[4]#REF'!F3829</f>
        <v>#REF!</v>
      </c>
      <c r="G3829" s="12" t="e">
        <f>'[4]#REF'!G3829</f>
        <v>#REF!</v>
      </c>
      <c r="H3829" s="31" t="e">
        <f>'[4]#REF'!I3829</f>
        <v>#REF!</v>
      </c>
      <c r="I3829" s="32" t="e">
        <f t="shared" si="90"/>
        <v>#REF!</v>
      </c>
    </row>
    <row r="3830" ht="15.75" spans="6:9">
      <c r="F3830" s="12" t="e">
        <f>'[4]#REF'!F3830</f>
        <v>#REF!</v>
      </c>
      <c r="G3830" s="12" t="e">
        <f>'[4]#REF'!G3830</f>
        <v>#REF!</v>
      </c>
      <c r="H3830" s="31" t="e">
        <f>'[4]#REF'!I3830</f>
        <v>#REF!</v>
      </c>
      <c r="I3830" s="32" t="e">
        <f t="shared" si="90"/>
        <v>#REF!</v>
      </c>
    </row>
    <row r="3831" ht="15.75" spans="6:9">
      <c r="F3831" s="12" t="e">
        <f>'[4]#REF'!F3831</f>
        <v>#REF!</v>
      </c>
      <c r="G3831" s="12" t="e">
        <f>'[4]#REF'!G3831</f>
        <v>#REF!</v>
      </c>
      <c r="H3831" s="31" t="e">
        <f>'[4]#REF'!I3831</f>
        <v>#REF!</v>
      </c>
      <c r="I3831" s="32" t="e">
        <f t="shared" si="90"/>
        <v>#REF!</v>
      </c>
    </row>
    <row r="3832" ht="15.75" spans="6:9">
      <c r="F3832" s="12" t="e">
        <f>'[4]#REF'!F3832</f>
        <v>#REF!</v>
      </c>
      <c r="G3832" s="12" t="e">
        <f>'[4]#REF'!G3832</f>
        <v>#REF!</v>
      </c>
      <c r="H3832" s="31" t="e">
        <f>'[4]#REF'!I3832</f>
        <v>#REF!</v>
      </c>
      <c r="I3832" s="32" t="e">
        <f t="shared" si="90"/>
        <v>#REF!</v>
      </c>
    </row>
    <row r="3833" ht="15.75" spans="6:9">
      <c r="F3833" s="12" t="e">
        <f>'[4]#REF'!F3833</f>
        <v>#REF!</v>
      </c>
      <c r="G3833" s="12" t="e">
        <f>'[4]#REF'!G3833</f>
        <v>#REF!</v>
      </c>
      <c r="H3833" s="31" t="e">
        <f>'[4]#REF'!I3833</f>
        <v>#REF!</v>
      </c>
      <c r="I3833" s="32" t="e">
        <f t="shared" si="90"/>
        <v>#REF!</v>
      </c>
    </row>
    <row r="3834" ht="15.75" spans="6:9">
      <c r="F3834" s="12" t="e">
        <f>'[4]#REF'!F3834</f>
        <v>#REF!</v>
      </c>
      <c r="G3834" s="12" t="e">
        <f>'[4]#REF'!G3834</f>
        <v>#REF!</v>
      </c>
      <c r="H3834" s="31" t="e">
        <f>'[4]#REF'!I3834</f>
        <v>#REF!</v>
      </c>
      <c r="I3834" s="32" t="e">
        <f t="shared" si="90"/>
        <v>#REF!</v>
      </c>
    </row>
    <row r="3835" ht="15.75" spans="6:9">
      <c r="F3835" s="12" t="e">
        <f>'[4]#REF'!F3835</f>
        <v>#REF!</v>
      </c>
      <c r="G3835" s="12" t="e">
        <f>'[4]#REF'!G3835</f>
        <v>#REF!</v>
      </c>
      <c r="H3835" s="31" t="e">
        <f>'[4]#REF'!I3835</f>
        <v>#REF!</v>
      </c>
      <c r="I3835" s="32" t="e">
        <f t="shared" si="90"/>
        <v>#REF!</v>
      </c>
    </row>
    <row r="3836" ht="15.75" spans="6:9">
      <c r="F3836" s="12" t="e">
        <f>'[4]#REF'!F3836</f>
        <v>#REF!</v>
      </c>
      <c r="G3836" s="12" t="e">
        <f>'[4]#REF'!G3836</f>
        <v>#REF!</v>
      </c>
      <c r="H3836" s="31" t="e">
        <f>'[4]#REF'!I3836</f>
        <v>#REF!</v>
      </c>
      <c r="I3836" s="32" t="e">
        <f t="shared" si="90"/>
        <v>#REF!</v>
      </c>
    </row>
    <row r="3837" ht="15.75" spans="6:9">
      <c r="F3837" s="12" t="e">
        <f>'[4]#REF'!F3837</f>
        <v>#REF!</v>
      </c>
      <c r="G3837" s="12" t="e">
        <f>'[4]#REF'!G3837</f>
        <v>#REF!</v>
      </c>
      <c r="H3837" s="31" t="e">
        <f>'[4]#REF'!I3837</f>
        <v>#REF!</v>
      </c>
      <c r="I3837" s="32" t="e">
        <f t="shared" si="90"/>
        <v>#REF!</v>
      </c>
    </row>
    <row r="3838" ht="15.75" spans="6:9">
      <c r="F3838" s="12" t="e">
        <f>'[4]#REF'!F3838</f>
        <v>#REF!</v>
      </c>
      <c r="G3838" s="12" t="e">
        <f>'[4]#REF'!G3838</f>
        <v>#REF!</v>
      </c>
      <c r="H3838" s="31" t="e">
        <f>'[4]#REF'!I3838</f>
        <v>#REF!</v>
      </c>
      <c r="I3838" s="32" t="e">
        <f t="shared" si="90"/>
        <v>#REF!</v>
      </c>
    </row>
    <row r="3839" ht="15.75" spans="6:9">
      <c r="F3839" s="12" t="e">
        <f>'[4]#REF'!F3839</f>
        <v>#REF!</v>
      </c>
      <c r="G3839" s="12" t="e">
        <f>'[4]#REF'!G3839</f>
        <v>#REF!</v>
      </c>
      <c r="H3839" s="31" t="e">
        <f>'[4]#REF'!I3839</f>
        <v>#REF!</v>
      </c>
      <c r="I3839" s="32" t="e">
        <f t="shared" si="90"/>
        <v>#REF!</v>
      </c>
    </row>
    <row r="3840" ht="15.75" spans="6:9">
      <c r="F3840" s="12" t="e">
        <f>'[4]#REF'!F3840</f>
        <v>#REF!</v>
      </c>
      <c r="G3840" s="12" t="e">
        <f>'[4]#REF'!G3840</f>
        <v>#REF!</v>
      </c>
      <c r="H3840" s="31" t="e">
        <f>'[4]#REF'!I3840</f>
        <v>#REF!</v>
      </c>
      <c r="I3840" s="32" t="e">
        <f t="shared" si="90"/>
        <v>#REF!</v>
      </c>
    </row>
    <row r="3841" ht="15.75" spans="6:9">
      <c r="F3841" s="12" t="e">
        <f>'[4]#REF'!F3841</f>
        <v>#REF!</v>
      </c>
      <c r="G3841" s="12" t="e">
        <f>'[4]#REF'!G3841</f>
        <v>#REF!</v>
      </c>
      <c r="H3841" s="31" t="e">
        <f>'[4]#REF'!I3841</f>
        <v>#REF!</v>
      </c>
      <c r="I3841" s="32" t="e">
        <f t="shared" si="90"/>
        <v>#REF!</v>
      </c>
    </row>
    <row r="3842" ht="15.75" spans="6:9">
      <c r="F3842" s="12" t="e">
        <f>'[4]#REF'!F3842</f>
        <v>#REF!</v>
      </c>
      <c r="G3842" s="12" t="e">
        <f>'[4]#REF'!G3842</f>
        <v>#REF!</v>
      </c>
      <c r="H3842" s="31" t="e">
        <f>'[4]#REF'!I3842</f>
        <v>#REF!</v>
      </c>
      <c r="I3842" s="32" t="e">
        <f t="shared" si="90"/>
        <v>#REF!</v>
      </c>
    </row>
    <row r="3843" ht="15.75" spans="6:9">
      <c r="F3843" s="12" t="e">
        <f>'[4]#REF'!F3843</f>
        <v>#REF!</v>
      </c>
      <c r="G3843" s="12" t="e">
        <f>'[4]#REF'!G3843</f>
        <v>#REF!</v>
      </c>
      <c r="H3843" s="31" t="e">
        <f>'[4]#REF'!I3843</f>
        <v>#REF!</v>
      </c>
      <c r="I3843" s="32" t="e">
        <f t="shared" si="90"/>
        <v>#REF!</v>
      </c>
    </row>
    <row r="3844" ht="15.75" spans="6:9">
      <c r="F3844" s="12" t="e">
        <f>'[4]#REF'!F3844</f>
        <v>#REF!</v>
      </c>
      <c r="G3844" s="12" t="e">
        <f>'[4]#REF'!G3844</f>
        <v>#REF!</v>
      </c>
      <c r="H3844" s="31" t="e">
        <f>'[4]#REF'!I3844</f>
        <v>#REF!</v>
      </c>
      <c r="I3844" s="32" t="e">
        <f t="shared" si="90"/>
        <v>#REF!</v>
      </c>
    </row>
    <row r="3845" ht="15.75" spans="6:9">
      <c r="F3845" s="12" t="e">
        <f>'[4]#REF'!F3845</f>
        <v>#REF!</v>
      </c>
      <c r="G3845" s="12" t="e">
        <f>'[4]#REF'!G3845</f>
        <v>#REF!</v>
      </c>
      <c r="H3845" s="31" t="e">
        <f>'[4]#REF'!I3845</f>
        <v>#REF!</v>
      </c>
      <c r="I3845" s="32" t="e">
        <f t="shared" si="90"/>
        <v>#REF!</v>
      </c>
    </row>
    <row r="3846" ht="15.75" spans="6:9">
      <c r="F3846" s="12" t="e">
        <f>'[4]#REF'!F3846</f>
        <v>#REF!</v>
      </c>
      <c r="G3846" s="12" t="e">
        <f>'[4]#REF'!G3846</f>
        <v>#REF!</v>
      </c>
      <c r="H3846" s="31" t="e">
        <f>'[4]#REF'!I3846</f>
        <v>#REF!</v>
      </c>
      <c r="I3846" s="32" t="e">
        <f t="shared" ref="I3846:I3909" si="91">ROUND(H3846/$I$4*100,2)</f>
        <v>#REF!</v>
      </c>
    </row>
    <row r="3847" ht="15.75" spans="6:9">
      <c r="F3847" s="12" t="e">
        <f>'[4]#REF'!F3847</f>
        <v>#REF!</v>
      </c>
      <c r="G3847" s="12" t="e">
        <f>'[4]#REF'!G3847</f>
        <v>#REF!</v>
      </c>
      <c r="H3847" s="31" t="e">
        <f>'[4]#REF'!I3847</f>
        <v>#REF!</v>
      </c>
      <c r="I3847" s="32" t="e">
        <f t="shared" si="91"/>
        <v>#REF!</v>
      </c>
    </row>
    <row r="3848" ht="15.75" spans="6:9">
      <c r="F3848" s="12" t="e">
        <f>'[4]#REF'!F3848</f>
        <v>#REF!</v>
      </c>
      <c r="G3848" s="12" t="e">
        <f>'[4]#REF'!G3848</f>
        <v>#REF!</v>
      </c>
      <c r="H3848" s="31" t="e">
        <f>'[4]#REF'!I3848</f>
        <v>#REF!</v>
      </c>
      <c r="I3848" s="32" t="e">
        <f t="shared" si="91"/>
        <v>#REF!</v>
      </c>
    </row>
    <row r="3849" ht="15.75" spans="6:9">
      <c r="F3849" s="12" t="e">
        <f>'[4]#REF'!F3849</f>
        <v>#REF!</v>
      </c>
      <c r="G3849" s="12" t="e">
        <f>'[4]#REF'!G3849</f>
        <v>#REF!</v>
      </c>
      <c r="H3849" s="31" t="e">
        <f>'[4]#REF'!I3849</f>
        <v>#REF!</v>
      </c>
      <c r="I3849" s="32" t="e">
        <f t="shared" si="91"/>
        <v>#REF!</v>
      </c>
    </row>
    <row r="3850" ht="15.75" spans="6:9">
      <c r="F3850" s="12" t="e">
        <f>'[4]#REF'!F3850</f>
        <v>#REF!</v>
      </c>
      <c r="G3850" s="12" t="e">
        <f>'[4]#REF'!G3850</f>
        <v>#REF!</v>
      </c>
      <c r="H3850" s="31" t="e">
        <f>'[4]#REF'!I3850</f>
        <v>#REF!</v>
      </c>
      <c r="I3850" s="32" t="e">
        <f t="shared" si="91"/>
        <v>#REF!</v>
      </c>
    </row>
    <row r="3851" ht="15.75" spans="6:9">
      <c r="F3851" s="12" t="e">
        <f>'[4]#REF'!F3851</f>
        <v>#REF!</v>
      </c>
      <c r="G3851" s="12" t="e">
        <f>'[4]#REF'!G3851</f>
        <v>#REF!</v>
      </c>
      <c r="H3851" s="31" t="e">
        <f>'[4]#REF'!I3851</f>
        <v>#REF!</v>
      </c>
      <c r="I3851" s="32" t="e">
        <f t="shared" si="91"/>
        <v>#REF!</v>
      </c>
    </row>
    <row r="3852" ht="15.75" spans="6:9">
      <c r="F3852" s="12" t="e">
        <f>'[4]#REF'!F3852</f>
        <v>#REF!</v>
      </c>
      <c r="G3852" s="12" t="e">
        <f>'[4]#REF'!G3852</f>
        <v>#REF!</v>
      </c>
      <c r="H3852" s="31" t="e">
        <f>'[4]#REF'!I3852</f>
        <v>#REF!</v>
      </c>
      <c r="I3852" s="32" t="e">
        <f t="shared" si="91"/>
        <v>#REF!</v>
      </c>
    </row>
    <row r="3853" ht="15.75" spans="6:9">
      <c r="F3853" s="12" t="e">
        <f>'[4]#REF'!F3853</f>
        <v>#REF!</v>
      </c>
      <c r="G3853" s="12" t="e">
        <f>'[4]#REF'!G3853</f>
        <v>#REF!</v>
      </c>
      <c r="H3853" s="31" t="e">
        <f>'[4]#REF'!I3853</f>
        <v>#REF!</v>
      </c>
      <c r="I3853" s="32" t="e">
        <f t="shared" si="91"/>
        <v>#REF!</v>
      </c>
    </row>
    <row r="3854" ht="15.75" spans="6:9">
      <c r="F3854" s="12" t="e">
        <f>'[4]#REF'!F3854</f>
        <v>#REF!</v>
      </c>
      <c r="G3854" s="12" t="e">
        <f>'[4]#REF'!G3854</f>
        <v>#REF!</v>
      </c>
      <c r="H3854" s="31" t="e">
        <f>'[4]#REF'!I3854</f>
        <v>#REF!</v>
      </c>
      <c r="I3854" s="32" t="e">
        <f t="shared" si="91"/>
        <v>#REF!</v>
      </c>
    </row>
    <row r="3855" ht="15.75" spans="6:9">
      <c r="F3855" s="12" t="e">
        <f>'[4]#REF'!F3855</f>
        <v>#REF!</v>
      </c>
      <c r="G3855" s="12" t="e">
        <f>'[4]#REF'!G3855</f>
        <v>#REF!</v>
      </c>
      <c r="H3855" s="31" t="e">
        <f>'[4]#REF'!I3855</f>
        <v>#REF!</v>
      </c>
      <c r="I3855" s="32" t="e">
        <f t="shared" si="91"/>
        <v>#REF!</v>
      </c>
    </row>
    <row r="3856" ht="15.75" spans="6:9">
      <c r="F3856" s="12" t="e">
        <f>'[4]#REF'!F3856</f>
        <v>#REF!</v>
      </c>
      <c r="G3856" s="12" t="e">
        <f>'[4]#REF'!G3856</f>
        <v>#REF!</v>
      </c>
      <c r="H3856" s="31" t="e">
        <f>'[4]#REF'!I3856</f>
        <v>#REF!</v>
      </c>
      <c r="I3856" s="32" t="e">
        <f t="shared" si="91"/>
        <v>#REF!</v>
      </c>
    </row>
    <row r="3857" ht="15.75" spans="6:9">
      <c r="F3857" s="12" t="e">
        <f>'[4]#REF'!F3857</f>
        <v>#REF!</v>
      </c>
      <c r="G3857" s="12" t="e">
        <f>'[4]#REF'!G3857</f>
        <v>#REF!</v>
      </c>
      <c r="H3857" s="31" t="e">
        <f>'[4]#REF'!I3857</f>
        <v>#REF!</v>
      </c>
      <c r="I3857" s="32" t="e">
        <f t="shared" si="91"/>
        <v>#REF!</v>
      </c>
    </row>
    <row r="3858" ht="15.75" spans="6:9">
      <c r="F3858" s="12" t="e">
        <f>'[4]#REF'!F3858</f>
        <v>#REF!</v>
      </c>
      <c r="G3858" s="12" t="e">
        <f>'[4]#REF'!G3858</f>
        <v>#REF!</v>
      </c>
      <c r="H3858" s="31" t="e">
        <f>'[4]#REF'!I3858</f>
        <v>#REF!</v>
      </c>
      <c r="I3858" s="32" t="e">
        <f t="shared" si="91"/>
        <v>#REF!</v>
      </c>
    </row>
    <row r="3859" ht="15.75" spans="6:9">
      <c r="F3859" s="12" t="e">
        <f>'[4]#REF'!F3859</f>
        <v>#REF!</v>
      </c>
      <c r="G3859" s="12" t="e">
        <f>'[4]#REF'!G3859</f>
        <v>#REF!</v>
      </c>
      <c r="H3859" s="31" t="e">
        <f>'[4]#REF'!I3859</f>
        <v>#REF!</v>
      </c>
      <c r="I3859" s="32" t="e">
        <f t="shared" si="91"/>
        <v>#REF!</v>
      </c>
    </row>
    <row r="3860" ht="15.75" spans="6:9">
      <c r="F3860" s="12" t="e">
        <f>'[4]#REF'!F3860</f>
        <v>#REF!</v>
      </c>
      <c r="G3860" s="12" t="e">
        <f>'[4]#REF'!G3860</f>
        <v>#REF!</v>
      </c>
      <c r="H3860" s="31" t="e">
        <f>'[4]#REF'!I3860</f>
        <v>#REF!</v>
      </c>
      <c r="I3860" s="32" t="e">
        <f t="shared" si="91"/>
        <v>#REF!</v>
      </c>
    </row>
    <row r="3861" ht="15.75" spans="6:9">
      <c r="F3861" s="12" t="e">
        <f>'[4]#REF'!F3861</f>
        <v>#REF!</v>
      </c>
      <c r="G3861" s="12" t="e">
        <f>'[4]#REF'!G3861</f>
        <v>#REF!</v>
      </c>
      <c r="H3861" s="31" t="e">
        <f>'[4]#REF'!I3861</f>
        <v>#REF!</v>
      </c>
      <c r="I3861" s="32" t="e">
        <f t="shared" si="91"/>
        <v>#REF!</v>
      </c>
    </row>
    <row r="3862" ht="15.75" spans="6:9">
      <c r="F3862" s="12" t="e">
        <f>'[4]#REF'!F3862</f>
        <v>#REF!</v>
      </c>
      <c r="G3862" s="12" t="e">
        <f>'[4]#REF'!G3862</f>
        <v>#REF!</v>
      </c>
      <c r="H3862" s="31" t="e">
        <f>'[4]#REF'!I3862</f>
        <v>#REF!</v>
      </c>
      <c r="I3862" s="32" t="e">
        <f t="shared" si="91"/>
        <v>#REF!</v>
      </c>
    </row>
    <row r="3863" ht="15.75" spans="6:9">
      <c r="F3863" s="12" t="e">
        <f>'[4]#REF'!F3863</f>
        <v>#REF!</v>
      </c>
      <c r="G3863" s="12" t="e">
        <f>'[4]#REF'!G3863</f>
        <v>#REF!</v>
      </c>
      <c r="H3863" s="31" t="e">
        <f>'[4]#REF'!I3863</f>
        <v>#REF!</v>
      </c>
      <c r="I3863" s="32" t="e">
        <f t="shared" si="91"/>
        <v>#REF!</v>
      </c>
    </row>
    <row r="3864" ht="15.75" spans="6:9">
      <c r="F3864" s="12" t="e">
        <f>'[4]#REF'!F3864</f>
        <v>#REF!</v>
      </c>
      <c r="G3864" s="12" t="e">
        <f>'[4]#REF'!G3864</f>
        <v>#REF!</v>
      </c>
      <c r="H3864" s="31" t="e">
        <f>'[4]#REF'!I3864</f>
        <v>#REF!</v>
      </c>
      <c r="I3864" s="32" t="e">
        <f t="shared" si="91"/>
        <v>#REF!</v>
      </c>
    </row>
    <row r="3865" ht="15.75" spans="6:9">
      <c r="F3865" s="12" t="e">
        <f>'[4]#REF'!F3865</f>
        <v>#REF!</v>
      </c>
      <c r="G3865" s="12" t="e">
        <f>'[4]#REF'!G3865</f>
        <v>#REF!</v>
      </c>
      <c r="H3865" s="31" t="e">
        <f>'[4]#REF'!I3865</f>
        <v>#REF!</v>
      </c>
      <c r="I3865" s="32" t="e">
        <f t="shared" si="91"/>
        <v>#REF!</v>
      </c>
    </row>
    <row r="3866" ht="15.75" spans="6:9">
      <c r="F3866" s="12" t="e">
        <f>'[4]#REF'!F3866</f>
        <v>#REF!</v>
      </c>
      <c r="G3866" s="12" t="e">
        <f>'[4]#REF'!G3866</f>
        <v>#REF!</v>
      </c>
      <c r="H3866" s="31" t="e">
        <f>'[4]#REF'!I3866</f>
        <v>#REF!</v>
      </c>
      <c r="I3866" s="32" t="e">
        <f t="shared" si="91"/>
        <v>#REF!</v>
      </c>
    </row>
    <row r="3867" ht="15.75" spans="6:9">
      <c r="F3867" s="12" t="e">
        <f>'[4]#REF'!F3867</f>
        <v>#REF!</v>
      </c>
      <c r="G3867" s="12" t="e">
        <f>'[4]#REF'!G3867</f>
        <v>#REF!</v>
      </c>
      <c r="H3867" s="31" t="e">
        <f>'[4]#REF'!I3867</f>
        <v>#REF!</v>
      </c>
      <c r="I3867" s="32" t="e">
        <f t="shared" si="91"/>
        <v>#REF!</v>
      </c>
    </row>
    <row r="3868" ht="15.75" spans="6:9">
      <c r="F3868" s="12" t="e">
        <f>'[4]#REF'!F3868</f>
        <v>#REF!</v>
      </c>
      <c r="G3868" s="12" t="e">
        <f>'[4]#REF'!G3868</f>
        <v>#REF!</v>
      </c>
      <c r="H3868" s="31" t="e">
        <f>'[4]#REF'!I3868</f>
        <v>#REF!</v>
      </c>
      <c r="I3868" s="32" t="e">
        <f t="shared" si="91"/>
        <v>#REF!</v>
      </c>
    </row>
    <row r="3869" ht="15.75" spans="6:9">
      <c r="F3869" s="12" t="e">
        <f>'[4]#REF'!F3869</f>
        <v>#REF!</v>
      </c>
      <c r="G3869" s="12" t="e">
        <f>'[4]#REF'!G3869</f>
        <v>#REF!</v>
      </c>
      <c r="H3869" s="31" t="e">
        <f>'[4]#REF'!I3869</f>
        <v>#REF!</v>
      </c>
      <c r="I3869" s="32" t="e">
        <f t="shared" si="91"/>
        <v>#REF!</v>
      </c>
    </row>
    <row r="3870" ht="15.75" spans="6:9">
      <c r="F3870" s="12" t="e">
        <f>'[4]#REF'!F3870</f>
        <v>#REF!</v>
      </c>
      <c r="G3870" s="12" t="e">
        <f>'[4]#REF'!G3870</f>
        <v>#REF!</v>
      </c>
      <c r="H3870" s="31" t="e">
        <f>'[4]#REF'!I3870</f>
        <v>#REF!</v>
      </c>
      <c r="I3870" s="32" t="e">
        <f t="shared" si="91"/>
        <v>#REF!</v>
      </c>
    </row>
    <row r="3871" ht="15.75" spans="6:9">
      <c r="F3871" s="12" t="e">
        <f>'[4]#REF'!F3871</f>
        <v>#REF!</v>
      </c>
      <c r="G3871" s="12" t="e">
        <f>'[4]#REF'!G3871</f>
        <v>#REF!</v>
      </c>
      <c r="H3871" s="31" t="e">
        <f>'[4]#REF'!I3871</f>
        <v>#REF!</v>
      </c>
      <c r="I3871" s="32" t="e">
        <f t="shared" si="91"/>
        <v>#REF!</v>
      </c>
    </row>
    <row r="3872" ht="15.75" spans="6:9">
      <c r="F3872" s="12" t="e">
        <f>'[4]#REF'!F3872</f>
        <v>#REF!</v>
      </c>
      <c r="G3872" s="12" t="e">
        <f>'[4]#REF'!G3872</f>
        <v>#REF!</v>
      </c>
      <c r="H3872" s="31" t="e">
        <f>'[4]#REF'!I3872</f>
        <v>#REF!</v>
      </c>
      <c r="I3872" s="32" t="e">
        <f t="shared" si="91"/>
        <v>#REF!</v>
      </c>
    </row>
    <row r="3873" ht="15.75" spans="6:9">
      <c r="F3873" s="12" t="e">
        <f>'[4]#REF'!F3873</f>
        <v>#REF!</v>
      </c>
      <c r="G3873" s="12" t="e">
        <f>'[4]#REF'!G3873</f>
        <v>#REF!</v>
      </c>
      <c r="H3873" s="31" t="e">
        <f>'[4]#REF'!I3873</f>
        <v>#REF!</v>
      </c>
      <c r="I3873" s="32" t="e">
        <f t="shared" si="91"/>
        <v>#REF!</v>
      </c>
    </row>
    <row r="3874" ht="15.75" spans="6:9">
      <c r="F3874" s="12" t="e">
        <f>'[4]#REF'!F3874</f>
        <v>#REF!</v>
      </c>
      <c r="G3874" s="12" t="e">
        <f>'[4]#REF'!G3874</f>
        <v>#REF!</v>
      </c>
      <c r="H3874" s="31" t="e">
        <f>'[4]#REF'!I3874</f>
        <v>#REF!</v>
      </c>
      <c r="I3874" s="32" t="e">
        <f t="shared" si="91"/>
        <v>#REF!</v>
      </c>
    </row>
    <row r="3875" ht="15.75" spans="6:9">
      <c r="F3875" s="12" t="e">
        <f>'[4]#REF'!F3875</f>
        <v>#REF!</v>
      </c>
      <c r="G3875" s="12" t="e">
        <f>'[4]#REF'!G3875</f>
        <v>#REF!</v>
      </c>
      <c r="H3875" s="31" t="e">
        <f>'[4]#REF'!I3875</f>
        <v>#REF!</v>
      </c>
      <c r="I3875" s="32" t="e">
        <f t="shared" si="91"/>
        <v>#REF!</v>
      </c>
    </row>
    <row r="3876" ht="15.75" spans="6:9">
      <c r="F3876" s="12" t="e">
        <f>'[4]#REF'!F3876</f>
        <v>#REF!</v>
      </c>
      <c r="G3876" s="12" t="e">
        <f>'[4]#REF'!G3876</f>
        <v>#REF!</v>
      </c>
      <c r="H3876" s="31" t="e">
        <f>'[4]#REF'!I3876</f>
        <v>#REF!</v>
      </c>
      <c r="I3876" s="32" t="e">
        <f t="shared" si="91"/>
        <v>#REF!</v>
      </c>
    </row>
    <row r="3877" ht="15.75" spans="6:9">
      <c r="F3877" s="12" t="e">
        <f>'[4]#REF'!F3877</f>
        <v>#REF!</v>
      </c>
      <c r="G3877" s="12" t="e">
        <f>'[4]#REF'!G3877</f>
        <v>#REF!</v>
      </c>
      <c r="H3877" s="31" t="e">
        <f>'[4]#REF'!I3877</f>
        <v>#REF!</v>
      </c>
      <c r="I3877" s="32" t="e">
        <f t="shared" si="91"/>
        <v>#REF!</v>
      </c>
    </row>
    <row r="3878" ht="15.75" spans="6:9">
      <c r="F3878" s="12" t="e">
        <f>'[4]#REF'!F3878</f>
        <v>#REF!</v>
      </c>
      <c r="G3878" s="12" t="e">
        <f>'[4]#REF'!G3878</f>
        <v>#REF!</v>
      </c>
      <c r="H3878" s="31" t="e">
        <f>'[4]#REF'!I3878</f>
        <v>#REF!</v>
      </c>
      <c r="I3878" s="32" t="e">
        <f t="shared" si="91"/>
        <v>#REF!</v>
      </c>
    </row>
    <row r="3879" ht="15.75" spans="6:9">
      <c r="F3879" s="12" t="e">
        <f>'[4]#REF'!F3879</f>
        <v>#REF!</v>
      </c>
      <c r="G3879" s="12" t="e">
        <f>'[4]#REF'!G3879</f>
        <v>#REF!</v>
      </c>
      <c r="H3879" s="31" t="e">
        <f>'[4]#REF'!I3879</f>
        <v>#REF!</v>
      </c>
      <c r="I3879" s="32" t="e">
        <f t="shared" si="91"/>
        <v>#REF!</v>
      </c>
    </row>
    <row r="3880" ht="15.75" spans="6:9">
      <c r="F3880" s="12" t="e">
        <f>'[4]#REF'!F3880</f>
        <v>#REF!</v>
      </c>
      <c r="G3880" s="12" t="e">
        <f>'[4]#REF'!G3880</f>
        <v>#REF!</v>
      </c>
      <c r="H3880" s="31" t="e">
        <f>'[4]#REF'!I3880</f>
        <v>#REF!</v>
      </c>
      <c r="I3880" s="32" t="e">
        <f t="shared" si="91"/>
        <v>#REF!</v>
      </c>
    </row>
    <row r="3881" ht="15.75" spans="6:9">
      <c r="F3881" s="12" t="e">
        <f>'[4]#REF'!F3881</f>
        <v>#REF!</v>
      </c>
      <c r="G3881" s="12" t="e">
        <f>'[4]#REF'!G3881</f>
        <v>#REF!</v>
      </c>
      <c r="H3881" s="31" t="e">
        <f>'[4]#REF'!I3881</f>
        <v>#REF!</v>
      </c>
      <c r="I3881" s="32" t="e">
        <f t="shared" si="91"/>
        <v>#REF!</v>
      </c>
    </row>
    <row r="3882" ht="15.75" spans="6:9">
      <c r="F3882" s="12" t="e">
        <f>'[4]#REF'!F3882</f>
        <v>#REF!</v>
      </c>
      <c r="G3882" s="12" t="e">
        <f>'[4]#REF'!G3882</f>
        <v>#REF!</v>
      </c>
      <c r="H3882" s="31" t="e">
        <f>'[4]#REF'!I3882</f>
        <v>#REF!</v>
      </c>
      <c r="I3882" s="32" t="e">
        <f t="shared" si="91"/>
        <v>#REF!</v>
      </c>
    </row>
    <row r="3883" ht="15.75" spans="6:9">
      <c r="F3883" s="12" t="e">
        <f>'[4]#REF'!F3883</f>
        <v>#REF!</v>
      </c>
      <c r="G3883" s="12" t="e">
        <f>'[4]#REF'!G3883</f>
        <v>#REF!</v>
      </c>
      <c r="H3883" s="31" t="e">
        <f>'[4]#REF'!I3883</f>
        <v>#REF!</v>
      </c>
      <c r="I3883" s="32" t="e">
        <f t="shared" si="91"/>
        <v>#REF!</v>
      </c>
    </row>
    <row r="3884" ht="15.75" spans="6:9">
      <c r="F3884" s="12" t="e">
        <f>'[4]#REF'!F3884</f>
        <v>#REF!</v>
      </c>
      <c r="G3884" s="12" t="e">
        <f>'[4]#REF'!G3884</f>
        <v>#REF!</v>
      </c>
      <c r="H3884" s="31" t="e">
        <f>'[4]#REF'!I3884</f>
        <v>#REF!</v>
      </c>
      <c r="I3884" s="32" t="e">
        <f t="shared" si="91"/>
        <v>#REF!</v>
      </c>
    </row>
    <row r="3885" ht="15.75" spans="6:9">
      <c r="F3885" s="12" t="e">
        <f>'[4]#REF'!F3885</f>
        <v>#REF!</v>
      </c>
      <c r="G3885" s="12" t="e">
        <f>'[4]#REF'!G3885</f>
        <v>#REF!</v>
      </c>
      <c r="H3885" s="31" t="e">
        <f>'[4]#REF'!I3885</f>
        <v>#REF!</v>
      </c>
      <c r="I3885" s="32" t="e">
        <f t="shared" si="91"/>
        <v>#REF!</v>
      </c>
    </row>
    <row r="3886" ht="15.75" spans="6:9">
      <c r="F3886" s="12" t="e">
        <f>'[4]#REF'!F3886</f>
        <v>#REF!</v>
      </c>
      <c r="G3886" s="12" t="e">
        <f>'[4]#REF'!G3886</f>
        <v>#REF!</v>
      </c>
      <c r="H3886" s="31" t="e">
        <f>'[4]#REF'!I3886</f>
        <v>#REF!</v>
      </c>
      <c r="I3886" s="32" t="e">
        <f t="shared" si="91"/>
        <v>#REF!</v>
      </c>
    </row>
    <row r="3887" ht="15.75" spans="6:9">
      <c r="F3887" s="12" t="e">
        <f>'[4]#REF'!F3887</f>
        <v>#REF!</v>
      </c>
      <c r="G3887" s="12" t="e">
        <f>'[4]#REF'!G3887</f>
        <v>#REF!</v>
      </c>
      <c r="H3887" s="31" t="e">
        <f>'[4]#REF'!I3887</f>
        <v>#REF!</v>
      </c>
      <c r="I3887" s="32" t="e">
        <f t="shared" si="91"/>
        <v>#REF!</v>
      </c>
    </row>
    <row r="3888" ht="15.75" spans="6:9">
      <c r="F3888" s="12" t="e">
        <f>'[4]#REF'!F3888</f>
        <v>#REF!</v>
      </c>
      <c r="G3888" s="12" t="e">
        <f>'[4]#REF'!G3888</f>
        <v>#REF!</v>
      </c>
      <c r="H3888" s="31" t="e">
        <f>'[4]#REF'!I3888</f>
        <v>#REF!</v>
      </c>
      <c r="I3888" s="32" t="e">
        <f t="shared" si="91"/>
        <v>#REF!</v>
      </c>
    </row>
    <row r="3889" ht="15.75" spans="6:9">
      <c r="F3889" s="12" t="e">
        <f>'[4]#REF'!F3889</f>
        <v>#REF!</v>
      </c>
      <c r="G3889" s="12" t="e">
        <f>'[4]#REF'!G3889</f>
        <v>#REF!</v>
      </c>
      <c r="H3889" s="31" t="e">
        <f>'[4]#REF'!I3889</f>
        <v>#REF!</v>
      </c>
      <c r="I3889" s="32" t="e">
        <f t="shared" si="91"/>
        <v>#REF!</v>
      </c>
    </row>
    <row r="3890" ht="15.75" spans="6:9">
      <c r="F3890" s="12" t="e">
        <f>'[4]#REF'!F3890</f>
        <v>#REF!</v>
      </c>
      <c r="G3890" s="12" t="e">
        <f>'[4]#REF'!G3890</f>
        <v>#REF!</v>
      </c>
      <c r="H3890" s="31" t="e">
        <f>'[4]#REF'!I3890</f>
        <v>#REF!</v>
      </c>
      <c r="I3890" s="32" t="e">
        <f t="shared" si="91"/>
        <v>#REF!</v>
      </c>
    </row>
    <row r="3891" ht="15.75" spans="6:9">
      <c r="F3891" s="12" t="e">
        <f>'[4]#REF'!F3891</f>
        <v>#REF!</v>
      </c>
      <c r="G3891" s="12" t="e">
        <f>'[4]#REF'!G3891</f>
        <v>#REF!</v>
      </c>
      <c r="H3891" s="31" t="e">
        <f>'[4]#REF'!I3891</f>
        <v>#REF!</v>
      </c>
      <c r="I3891" s="32" t="e">
        <f t="shared" si="91"/>
        <v>#REF!</v>
      </c>
    </row>
    <row r="3892" ht="15.75" spans="6:9">
      <c r="F3892" s="12" t="e">
        <f>'[4]#REF'!F3892</f>
        <v>#REF!</v>
      </c>
      <c r="G3892" s="12" t="e">
        <f>'[4]#REF'!G3892</f>
        <v>#REF!</v>
      </c>
      <c r="H3892" s="31" t="e">
        <f>'[4]#REF'!I3892</f>
        <v>#REF!</v>
      </c>
      <c r="I3892" s="32" t="e">
        <f t="shared" si="91"/>
        <v>#REF!</v>
      </c>
    </row>
    <row r="3893" ht="15.75" spans="6:9">
      <c r="F3893" s="12" t="e">
        <f>'[4]#REF'!F3893</f>
        <v>#REF!</v>
      </c>
      <c r="G3893" s="12" t="e">
        <f>'[4]#REF'!G3893</f>
        <v>#REF!</v>
      </c>
      <c r="H3893" s="31" t="e">
        <f>'[4]#REF'!I3893</f>
        <v>#REF!</v>
      </c>
      <c r="I3893" s="32" t="e">
        <f t="shared" si="91"/>
        <v>#REF!</v>
      </c>
    </row>
    <row r="3894" ht="15.75" spans="6:9">
      <c r="F3894" s="12" t="e">
        <f>'[4]#REF'!F3894</f>
        <v>#REF!</v>
      </c>
      <c r="G3894" s="12" t="e">
        <f>'[4]#REF'!G3894</f>
        <v>#REF!</v>
      </c>
      <c r="H3894" s="31" t="e">
        <f>'[4]#REF'!I3894</f>
        <v>#REF!</v>
      </c>
      <c r="I3894" s="32" t="e">
        <f t="shared" si="91"/>
        <v>#REF!</v>
      </c>
    </row>
    <row r="3895" ht="15.75" spans="6:9">
      <c r="F3895" s="12" t="e">
        <f>'[4]#REF'!F3895</f>
        <v>#REF!</v>
      </c>
      <c r="G3895" s="12" t="e">
        <f>'[4]#REF'!G3895</f>
        <v>#REF!</v>
      </c>
      <c r="H3895" s="31" t="e">
        <f>'[4]#REF'!I3895</f>
        <v>#REF!</v>
      </c>
      <c r="I3895" s="32" t="e">
        <f t="shared" si="91"/>
        <v>#REF!</v>
      </c>
    </row>
    <row r="3896" ht="15.75" spans="6:9">
      <c r="F3896" s="12" t="e">
        <f>'[4]#REF'!F3896</f>
        <v>#REF!</v>
      </c>
      <c r="G3896" s="12" t="e">
        <f>'[4]#REF'!G3896</f>
        <v>#REF!</v>
      </c>
      <c r="H3896" s="31" t="e">
        <f>'[4]#REF'!I3896</f>
        <v>#REF!</v>
      </c>
      <c r="I3896" s="32" t="e">
        <f t="shared" si="91"/>
        <v>#REF!</v>
      </c>
    </row>
    <row r="3897" ht="15.75" spans="6:9">
      <c r="F3897" s="12" t="e">
        <f>'[4]#REF'!F3897</f>
        <v>#REF!</v>
      </c>
      <c r="G3897" s="12" t="e">
        <f>'[4]#REF'!G3897</f>
        <v>#REF!</v>
      </c>
      <c r="H3897" s="31" t="e">
        <f>'[4]#REF'!I3897</f>
        <v>#REF!</v>
      </c>
      <c r="I3897" s="32" t="e">
        <f t="shared" si="91"/>
        <v>#REF!</v>
      </c>
    </row>
    <row r="3898" ht="15.75" spans="6:9">
      <c r="F3898" s="12" t="e">
        <f>'[4]#REF'!F3898</f>
        <v>#REF!</v>
      </c>
      <c r="G3898" s="12" t="e">
        <f>'[4]#REF'!G3898</f>
        <v>#REF!</v>
      </c>
      <c r="H3898" s="31" t="e">
        <f>'[4]#REF'!I3898</f>
        <v>#REF!</v>
      </c>
      <c r="I3898" s="32" t="e">
        <f t="shared" si="91"/>
        <v>#REF!</v>
      </c>
    </row>
    <row r="3899" ht="15.75" spans="6:9">
      <c r="F3899" s="12" t="e">
        <f>'[4]#REF'!F3899</f>
        <v>#REF!</v>
      </c>
      <c r="G3899" s="12" t="e">
        <f>'[4]#REF'!G3899</f>
        <v>#REF!</v>
      </c>
      <c r="H3899" s="31" t="e">
        <f>'[4]#REF'!I3899</f>
        <v>#REF!</v>
      </c>
      <c r="I3899" s="32" t="e">
        <f t="shared" si="91"/>
        <v>#REF!</v>
      </c>
    </row>
    <row r="3900" ht="15.75" spans="6:9">
      <c r="F3900" s="12" t="e">
        <f>'[4]#REF'!F3900</f>
        <v>#REF!</v>
      </c>
      <c r="G3900" s="12" t="e">
        <f>'[4]#REF'!G3900</f>
        <v>#REF!</v>
      </c>
      <c r="H3900" s="31" t="e">
        <f>'[4]#REF'!I3900</f>
        <v>#REF!</v>
      </c>
      <c r="I3900" s="32" t="e">
        <f t="shared" si="91"/>
        <v>#REF!</v>
      </c>
    </row>
    <row r="3901" ht="15.75" spans="6:9">
      <c r="F3901" s="12" t="e">
        <f>'[4]#REF'!F3901</f>
        <v>#REF!</v>
      </c>
      <c r="G3901" s="12" t="e">
        <f>'[4]#REF'!G3901</f>
        <v>#REF!</v>
      </c>
      <c r="H3901" s="31" t="e">
        <f>'[4]#REF'!I3901</f>
        <v>#REF!</v>
      </c>
      <c r="I3901" s="32" t="e">
        <f t="shared" si="91"/>
        <v>#REF!</v>
      </c>
    </row>
    <row r="3902" ht="15.75" spans="6:9">
      <c r="F3902" s="12" t="e">
        <f>'[4]#REF'!F3902</f>
        <v>#REF!</v>
      </c>
      <c r="G3902" s="12" t="e">
        <f>'[4]#REF'!G3902</f>
        <v>#REF!</v>
      </c>
      <c r="H3902" s="31" t="e">
        <f>'[4]#REF'!I3902</f>
        <v>#REF!</v>
      </c>
      <c r="I3902" s="32" t="e">
        <f t="shared" si="91"/>
        <v>#REF!</v>
      </c>
    </row>
    <row r="3903" ht="15.75" spans="6:9">
      <c r="F3903" s="12" t="e">
        <f>'[4]#REF'!F3903</f>
        <v>#REF!</v>
      </c>
      <c r="G3903" s="12" t="e">
        <f>'[4]#REF'!G3903</f>
        <v>#REF!</v>
      </c>
      <c r="H3903" s="31" t="e">
        <f>'[4]#REF'!I3903</f>
        <v>#REF!</v>
      </c>
      <c r="I3903" s="32" t="e">
        <f t="shared" si="91"/>
        <v>#REF!</v>
      </c>
    </row>
    <row r="3904" ht="15.75" spans="6:9">
      <c r="F3904" s="12" t="e">
        <f>'[4]#REF'!F3904</f>
        <v>#REF!</v>
      </c>
      <c r="G3904" s="12" t="e">
        <f>'[4]#REF'!G3904</f>
        <v>#REF!</v>
      </c>
      <c r="H3904" s="31" t="e">
        <f>'[4]#REF'!I3904</f>
        <v>#REF!</v>
      </c>
      <c r="I3904" s="32" t="e">
        <f t="shared" si="91"/>
        <v>#REF!</v>
      </c>
    </row>
    <row r="3905" ht="15.75" spans="6:9">
      <c r="F3905" s="12" t="e">
        <f>'[4]#REF'!F3905</f>
        <v>#REF!</v>
      </c>
      <c r="G3905" s="12" t="e">
        <f>'[4]#REF'!G3905</f>
        <v>#REF!</v>
      </c>
      <c r="H3905" s="31" t="e">
        <f>'[4]#REF'!I3905</f>
        <v>#REF!</v>
      </c>
      <c r="I3905" s="32" t="e">
        <f t="shared" si="91"/>
        <v>#REF!</v>
      </c>
    </row>
    <row r="3906" ht="15.75" spans="6:9">
      <c r="F3906" s="12" t="e">
        <f>'[4]#REF'!F3906</f>
        <v>#REF!</v>
      </c>
      <c r="G3906" s="12" t="e">
        <f>'[4]#REF'!G3906</f>
        <v>#REF!</v>
      </c>
      <c r="H3906" s="31" t="e">
        <f>'[4]#REF'!I3906</f>
        <v>#REF!</v>
      </c>
      <c r="I3906" s="32" t="e">
        <f t="shared" si="91"/>
        <v>#REF!</v>
      </c>
    </row>
    <row r="3907" ht="15.75" spans="6:9">
      <c r="F3907" s="12" t="e">
        <f>'[4]#REF'!F3907</f>
        <v>#REF!</v>
      </c>
      <c r="G3907" s="12" t="e">
        <f>'[4]#REF'!G3907</f>
        <v>#REF!</v>
      </c>
      <c r="H3907" s="31" t="e">
        <f>'[4]#REF'!I3907</f>
        <v>#REF!</v>
      </c>
      <c r="I3907" s="32" t="e">
        <f t="shared" si="91"/>
        <v>#REF!</v>
      </c>
    </row>
    <row r="3908" ht="15.75" spans="6:9">
      <c r="F3908" s="12" t="e">
        <f>'[4]#REF'!F3908</f>
        <v>#REF!</v>
      </c>
      <c r="G3908" s="12" t="e">
        <f>'[4]#REF'!G3908</f>
        <v>#REF!</v>
      </c>
      <c r="H3908" s="31" t="e">
        <f>'[4]#REF'!I3908</f>
        <v>#REF!</v>
      </c>
      <c r="I3908" s="32" t="e">
        <f t="shared" si="91"/>
        <v>#REF!</v>
      </c>
    </row>
    <row r="3909" ht="15.75" spans="6:9">
      <c r="F3909" s="12" t="e">
        <f>'[4]#REF'!F3909</f>
        <v>#REF!</v>
      </c>
      <c r="G3909" s="12" t="e">
        <f>'[4]#REF'!G3909</f>
        <v>#REF!</v>
      </c>
      <c r="H3909" s="31" t="e">
        <f>'[4]#REF'!I3909</f>
        <v>#REF!</v>
      </c>
      <c r="I3909" s="32" t="e">
        <f t="shared" si="91"/>
        <v>#REF!</v>
      </c>
    </row>
    <row r="3910" ht="15.75" spans="6:9">
      <c r="F3910" s="12" t="e">
        <f>'[4]#REF'!F3910</f>
        <v>#REF!</v>
      </c>
      <c r="G3910" s="12" t="e">
        <f>'[4]#REF'!G3910</f>
        <v>#REF!</v>
      </c>
      <c r="H3910" s="31" t="e">
        <f>'[4]#REF'!I3910</f>
        <v>#REF!</v>
      </c>
      <c r="I3910" s="32" t="e">
        <f t="shared" ref="I3910:I3973" si="92">ROUND(H3910/$I$4*100,2)</f>
        <v>#REF!</v>
      </c>
    </row>
    <row r="3911" ht="15.75" spans="6:9">
      <c r="F3911" s="12" t="e">
        <f>'[4]#REF'!F3911</f>
        <v>#REF!</v>
      </c>
      <c r="G3911" s="12" t="e">
        <f>'[4]#REF'!G3911</f>
        <v>#REF!</v>
      </c>
      <c r="H3911" s="31" t="e">
        <f>'[4]#REF'!I3911</f>
        <v>#REF!</v>
      </c>
      <c r="I3911" s="32" t="e">
        <f t="shared" si="92"/>
        <v>#REF!</v>
      </c>
    </row>
    <row r="3912" ht="15.75" spans="6:9">
      <c r="F3912" s="12" t="e">
        <f>'[4]#REF'!F3912</f>
        <v>#REF!</v>
      </c>
      <c r="G3912" s="12" t="e">
        <f>'[4]#REF'!G3912</f>
        <v>#REF!</v>
      </c>
      <c r="H3912" s="31" t="e">
        <f>'[4]#REF'!I3912</f>
        <v>#REF!</v>
      </c>
      <c r="I3912" s="32" t="e">
        <f t="shared" si="92"/>
        <v>#REF!</v>
      </c>
    </row>
    <row r="3913" ht="15.75" spans="6:9">
      <c r="F3913" s="12" t="e">
        <f>'[4]#REF'!F3913</f>
        <v>#REF!</v>
      </c>
      <c r="G3913" s="12" t="e">
        <f>'[4]#REF'!G3913</f>
        <v>#REF!</v>
      </c>
      <c r="H3913" s="31" t="e">
        <f>'[4]#REF'!I3913</f>
        <v>#REF!</v>
      </c>
      <c r="I3913" s="32" t="e">
        <f t="shared" si="92"/>
        <v>#REF!</v>
      </c>
    </row>
    <row r="3914" ht="15.75" spans="6:9">
      <c r="F3914" s="12" t="e">
        <f>'[4]#REF'!F3914</f>
        <v>#REF!</v>
      </c>
      <c r="G3914" s="12" t="e">
        <f>'[4]#REF'!G3914</f>
        <v>#REF!</v>
      </c>
      <c r="H3914" s="31" t="e">
        <f>'[4]#REF'!I3914</f>
        <v>#REF!</v>
      </c>
      <c r="I3914" s="32" t="e">
        <f t="shared" si="92"/>
        <v>#REF!</v>
      </c>
    </row>
    <row r="3915" ht="15.75" spans="6:9">
      <c r="F3915" s="12" t="e">
        <f>'[4]#REF'!F3915</f>
        <v>#REF!</v>
      </c>
      <c r="G3915" s="12" t="e">
        <f>'[4]#REF'!G3915</f>
        <v>#REF!</v>
      </c>
      <c r="H3915" s="31" t="e">
        <f>'[4]#REF'!I3915</f>
        <v>#REF!</v>
      </c>
      <c r="I3915" s="32" t="e">
        <f t="shared" si="92"/>
        <v>#REF!</v>
      </c>
    </row>
    <row r="3916" ht="15.75" spans="6:9">
      <c r="F3916" s="12" t="e">
        <f>'[4]#REF'!F3916</f>
        <v>#REF!</v>
      </c>
      <c r="G3916" s="12" t="e">
        <f>'[4]#REF'!G3916</f>
        <v>#REF!</v>
      </c>
      <c r="H3916" s="31" t="e">
        <f>'[4]#REF'!I3916</f>
        <v>#REF!</v>
      </c>
      <c r="I3916" s="32" t="e">
        <f t="shared" si="92"/>
        <v>#REF!</v>
      </c>
    </row>
    <row r="3917" ht="15.75" spans="6:9">
      <c r="F3917" s="12" t="e">
        <f>'[4]#REF'!F3917</f>
        <v>#REF!</v>
      </c>
      <c r="G3917" s="12" t="e">
        <f>'[4]#REF'!G3917</f>
        <v>#REF!</v>
      </c>
      <c r="H3917" s="31" t="e">
        <f>'[4]#REF'!I3917</f>
        <v>#REF!</v>
      </c>
      <c r="I3917" s="32" t="e">
        <f t="shared" si="92"/>
        <v>#REF!</v>
      </c>
    </row>
    <row r="3918" ht="15.75" spans="6:9">
      <c r="F3918" s="12" t="e">
        <f>'[4]#REF'!F3918</f>
        <v>#REF!</v>
      </c>
      <c r="G3918" s="12" t="e">
        <f>'[4]#REF'!G3918</f>
        <v>#REF!</v>
      </c>
      <c r="H3918" s="31" t="e">
        <f>'[4]#REF'!I3918</f>
        <v>#REF!</v>
      </c>
      <c r="I3918" s="32" t="e">
        <f t="shared" si="92"/>
        <v>#REF!</v>
      </c>
    </row>
    <row r="3919" ht="15.75" spans="6:9">
      <c r="F3919" s="12" t="e">
        <f>'[4]#REF'!F3919</f>
        <v>#REF!</v>
      </c>
      <c r="G3919" s="12" t="e">
        <f>'[4]#REF'!G3919</f>
        <v>#REF!</v>
      </c>
      <c r="H3919" s="31" t="e">
        <f>'[4]#REF'!I3919</f>
        <v>#REF!</v>
      </c>
      <c r="I3919" s="32" t="e">
        <f t="shared" si="92"/>
        <v>#REF!</v>
      </c>
    </row>
    <row r="3920" ht="15.75" spans="6:9">
      <c r="F3920" s="12" t="e">
        <f>'[4]#REF'!F3920</f>
        <v>#REF!</v>
      </c>
      <c r="G3920" s="12" t="e">
        <f>'[4]#REF'!G3920</f>
        <v>#REF!</v>
      </c>
      <c r="H3920" s="31" t="e">
        <f>'[4]#REF'!I3920</f>
        <v>#REF!</v>
      </c>
      <c r="I3920" s="32" t="e">
        <f t="shared" si="92"/>
        <v>#REF!</v>
      </c>
    </row>
    <row r="3921" ht="15.75" spans="6:9">
      <c r="F3921" s="12" t="e">
        <f>'[4]#REF'!F3921</f>
        <v>#REF!</v>
      </c>
      <c r="G3921" s="12" t="e">
        <f>'[4]#REF'!G3921</f>
        <v>#REF!</v>
      </c>
      <c r="H3921" s="31" t="e">
        <f>'[4]#REF'!I3921</f>
        <v>#REF!</v>
      </c>
      <c r="I3921" s="32" t="e">
        <f t="shared" si="92"/>
        <v>#REF!</v>
      </c>
    </row>
    <row r="3922" ht="15.75" spans="6:9">
      <c r="F3922" s="12" t="e">
        <f>'[4]#REF'!F3922</f>
        <v>#REF!</v>
      </c>
      <c r="G3922" s="12" t="e">
        <f>'[4]#REF'!G3922</f>
        <v>#REF!</v>
      </c>
      <c r="H3922" s="31" t="e">
        <f>'[4]#REF'!I3922</f>
        <v>#REF!</v>
      </c>
      <c r="I3922" s="32" t="e">
        <f t="shared" si="92"/>
        <v>#REF!</v>
      </c>
    </row>
    <row r="3923" ht="15.75" spans="6:9">
      <c r="F3923" s="12" t="e">
        <f>'[4]#REF'!F3923</f>
        <v>#REF!</v>
      </c>
      <c r="G3923" s="12" t="e">
        <f>'[4]#REF'!G3923</f>
        <v>#REF!</v>
      </c>
      <c r="H3923" s="31" t="e">
        <f>'[4]#REF'!I3923</f>
        <v>#REF!</v>
      </c>
      <c r="I3923" s="32" t="e">
        <f t="shared" si="92"/>
        <v>#REF!</v>
      </c>
    </row>
    <row r="3924" ht="15.75" spans="6:9">
      <c r="F3924" s="12" t="e">
        <f>'[4]#REF'!F3924</f>
        <v>#REF!</v>
      </c>
      <c r="G3924" s="12" t="e">
        <f>'[4]#REF'!G3924</f>
        <v>#REF!</v>
      </c>
      <c r="H3924" s="31" t="e">
        <f>'[4]#REF'!I3924</f>
        <v>#REF!</v>
      </c>
      <c r="I3924" s="32" t="e">
        <f t="shared" si="92"/>
        <v>#REF!</v>
      </c>
    </row>
    <row r="3925" ht="15.75" spans="6:9">
      <c r="F3925" s="12" t="e">
        <f>'[4]#REF'!F3925</f>
        <v>#REF!</v>
      </c>
      <c r="G3925" s="12" t="e">
        <f>'[4]#REF'!G3925</f>
        <v>#REF!</v>
      </c>
      <c r="H3925" s="31" t="e">
        <f>'[4]#REF'!I3925</f>
        <v>#REF!</v>
      </c>
      <c r="I3925" s="32" t="e">
        <f t="shared" si="92"/>
        <v>#REF!</v>
      </c>
    </row>
    <row r="3926" ht="15.75" spans="6:9">
      <c r="F3926" s="12" t="e">
        <f>'[4]#REF'!F3926</f>
        <v>#REF!</v>
      </c>
      <c r="G3926" s="12" t="e">
        <f>'[4]#REF'!G3926</f>
        <v>#REF!</v>
      </c>
      <c r="H3926" s="31" t="e">
        <f>'[4]#REF'!I3926</f>
        <v>#REF!</v>
      </c>
      <c r="I3926" s="32" t="e">
        <f t="shared" si="92"/>
        <v>#REF!</v>
      </c>
    </row>
    <row r="3927" ht="15.75" spans="6:9">
      <c r="F3927" s="12" t="e">
        <f>'[4]#REF'!F3927</f>
        <v>#REF!</v>
      </c>
      <c r="G3927" s="12" t="e">
        <f>'[4]#REF'!G3927</f>
        <v>#REF!</v>
      </c>
      <c r="H3927" s="31" t="e">
        <f>'[4]#REF'!I3927</f>
        <v>#REF!</v>
      </c>
      <c r="I3927" s="32" t="e">
        <f t="shared" si="92"/>
        <v>#REF!</v>
      </c>
    </row>
    <row r="3928" ht="15.75" spans="6:9">
      <c r="F3928" s="12" t="e">
        <f>'[4]#REF'!F3928</f>
        <v>#REF!</v>
      </c>
      <c r="G3928" s="12" t="e">
        <f>'[4]#REF'!G3928</f>
        <v>#REF!</v>
      </c>
      <c r="H3928" s="31" t="e">
        <f>'[4]#REF'!I3928</f>
        <v>#REF!</v>
      </c>
      <c r="I3928" s="32" t="e">
        <f t="shared" si="92"/>
        <v>#REF!</v>
      </c>
    </row>
    <row r="3929" ht="15.75" spans="6:9">
      <c r="F3929" s="12" t="e">
        <f>'[4]#REF'!F3929</f>
        <v>#REF!</v>
      </c>
      <c r="G3929" s="12" t="e">
        <f>'[4]#REF'!G3929</f>
        <v>#REF!</v>
      </c>
      <c r="H3929" s="31" t="e">
        <f>'[4]#REF'!I3929</f>
        <v>#REF!</v>
      </c>
      <c r="I3929" s="32" t="e">
        <f t="shared" si="92"/>
        <v>#REF!</v>
      </c>
    </row>
    <row r="3930" ht="15.75" spans="6:9">
      <c r="F3930" s="12" t="e">
        <f>'[4]#REF'!F3930</f>
        <v>#REF!</v>
      </c>
      <c r="G3930" s="12" t="e">
        <f>'[4]#REF'!G3930</f>
        <v>#REF!</v>
      </c>
      <c r="H3930" s="31" t="e">
        <f>'[4]#REF'!I3930</f>
        <v>#REF!</v>
      </c>
      <c r="I3930" s="32" t="e">
        <f t="shared" si="92"/>
        <v>#REF!</v>
      </c>
    </row>
    <row r="3931" ht="15.75" spans="6:9">
      <c r="F3931" s="12" t="e">
        <f>'[4]#REF'!F3931</f>
        <v>#REF!</v>
      </c>
      <c r="G3931" s="12" t="e">
        <f>'[4]#REF'!G3931</f>
        <v>#REF!</v>
      </c>
      <c r="H3931" s="31" t="e">
        <f>'[4]#REF'!I3931</f>
        <v>#REF!</v>
      </c>
      <c r="I3931" s="32" t="e">
        <f t="shared" si="92"/>
        <v>#REF!</v>
      </c>
    </row>
    <row r="3932" ht="15.75" spans="6:9">
      <c r="F3932" s="12" t="e">
        <f>'[4]#REF'!F3932</f>
        <v>#REF!</v>
      </c>
      <c r="G3932" s="12" t="e">
        <f>'[4]#REF'!G3932</f>
        <v>#REF!</v>
      </c>
      <c r="H3932" s="31" t="e">
        <f>'[4]#REF'!I3932</f>
        <v>#REF!</v>
      </c>
      <c r="I3932" s="32" t="e">
        <f t="shared" si="92"/>
        <v>#REF!</v>
      </c>
    </row>
    <row r="3933" ht="15.75" spans="6:9">
      <c r="F3933" s="12" t="e">
        <f>'[4]#REF'!F3933</f>
        <v>#REF!</v>
      </c>
      <c r="G3933" s="12" t="e">
        <f>'[4]#REF'!G3933</f>
        <v>#REF!</v>
      </c>
      <c r="H3933" s="31" t="e">
        <f>'[4]#REF'!I3933</f>
        <v>#REF!</v>
      </c>
      <c r="I3933" s="32" t="e">
        <f t="shared" si="92"/>
        <v>#REF!</v>
      </c>
    </row>
    <row r="3934" ht="15.75" spans="6:9">
      <c r="F3934" s="12" t="e">
        <f>'[4]#REF'!F3934</f>
        <v>#REF!</v>
      </c>
      <c r="G3934" s="12" t="e">
        <f>'[4]#REF'!G3934</f>
        <v>#REF!</v>
      </c>
      <c r="H3934" s="31" t="e">
        <f>'[4]#REF'!I3934</f>
        <v>#REF!</v>
      </c>
      <c r="I3934" s="32" t="e">
        <f t="shared" si="92"/>
        <v>#REF!</v>
      </c>
    </row>
    <row r="3935" ht="15.75" spans="6:9">
      <c r="F3935" s="12" t="e">
        <f>'[4]#REF'!F3935</f>
        <v>#REF!</v>
      </c>
      <c r="G3935" s="12" t="e">
        <f>'[4]#REF'!G3935</f>
        <v>#REF!</v>
      </c>
      <c r="H3935" s="31" t="e">
        <f>'[4]#REF'!I3935</f>
        <v>#REF!</v>
      </c>
      <c r="I3935" s="32" t="e">
        <f t="shared" si="92"/>
        <v>#REF!</v>
      </c>
    </row>
    <row r="3936" ht="15.75" spans="6:9">
      <c r="F3936" s="12" t="e">
        <f>'[4]#REF'!F3936</f>
        <v>#REF!</v>
      </c>
      <c r="G3936" s="12" t="e">
        <f>'[4]#REF'!G3936</f>
        <v>#REF!</v>
      </c>
      <c r="H3936" s="31" t="e">
        <f>'[4]#REF'!I3936</f>
        <v>#REF!</v>
      </c>
      <c r="I3936" s="32" t="e">
        <f t="shared" si="92"/>
        <v>#REF!</v>
      </c>
    </row>
    <row r="3937" ht="15.75" spans="6:9">
      <c r="F3937" s="12" t="e">
        <f>'[4]#REF'!F3937</f>
        <v>#REF!</v>
      </c>
      <c r="G3937" s="12" t="e">
        <f>'[4]#REF'!G3937</f>
        <v>#REF!</v>
      </c>
      <c r="H3937" s="31" t="e">
        <f>'[4]#REF'!I3937</f>
        <v>#REF!</v>
      </c>
      <c r="I3937" s="32" t="e">
        <f t="shared" si="92"/>
        <v>#REF!</v>
      </c>
    </row>
    <row r="3938" ht="15.75" spans="6:9">
      <c r="F3938" s="12" t="e">
        <f>'[4]#REF'!F3938</f>
        <v>#REF!</v>
      </c>
      <c r="G3938" s="12" t="e">
        <f>'[4]#REF'!G3938</f>
        <v>#REF!</v>
      </c>
      <c r="H3938" s="31" t="e">
        <f>'[4]#REF'!I3938</f>
        <v>#REF!</v>
      </c>
      <c r="I3938" s="32" t="e">
        <f t="shared" si="92"/>
        <v>#REF!</v>
      </c>
    </row>
    <row r="3939" ht="15.75" spans="6:9">
      <c r="F3939" s="12" t="e">
        <f>'[4]#REF'!F3939</f>
        <v>#REF!</v>
      </c>
      <c r="G3939" s="12" t="e">
        <f>'[4]#REF'!G3939</f>
        <v>#REF!</v>
      </c>
      <c r="H3939" s="31" t="e">
        <f>'[4]#REF'!I3939</f>
        <v>#REF!</v>
      </c>
      <c r="I3939" s="32" t="e">
        <f t="shared" si="92"/>
        <v>#REF!</v>
      </c>
    </row>
    <row r="3940" ht="15.75" spans="6:9">
      <c r="F3940" s="12" t="e">
        <f>'[4]#REF'!F3940</f>
        <v>#REF!</v>
      </c>
      <c r="G3940" s="12" t="e">
        <f>'[4]#REF'!G3940</f>
        <v>#REF!</v>
      </c>
      <c r="H3940" s="31" t="e">
        <f>'[4]#REF'!I3940</f>
        <v>#REF!</v>
      </c>
      <c r="I3940" s="32" t="e">
        <f t="shared" si="92"/>
        <v>#REF!</v>
      </c>
    </row>
    <row r="3941" ht="15.75" spans="6:9">
      <c r="F3941" s="12" t="e">
        <f>'[4]#REF'!F3941</f>
        <v>#REF!</v>
      </c>
      <c r="G3941" s="12" t="e">
        <f>'[4]#REF'!G3941</f>
        <v>#REF!</v>
      </c>
      <c r="H3941" s="31" t="e">
        <f>'[4]#REF'!I3941</f>
        <v>#REF!</v>
      </c>
      <c r="I3941" s="32" t="e">
        <f t="shared" si="92"/>
        <v>#REF!</v>
      </c>
    </row>
    <row r="3942" ht="15.75" spans="6:9">
      <c r="F3942" s="12" t="e">
        <f>'[4]#REF'!F3942</f>
        <v>#REF!</v>
      </c>
      <c r="G3942" s="12" t="e">
        <f>'[4]#REF'!G3942</f>
        <v>#REF!</v>
      </c>
      <c r="H3942" s="31" t="e">
        <f>'[4]#REF'!I3942</f>
        <v>#REF!</v>
      </c>
      <c r="I3942" s="32" t="e">
        <f t="shared" si="92"/>
        <v>#REF!</v>
      </c>
    </row>
    <row r="3943" ht="15.75" spans="6:9">
      <c r="F3943" s="12" t="e">
        <f>'[4]#REF'!F3943</f>
        <v>#REF!</v>
      </c>
      <c r="G3943" s="12" t="e">
        <f>'[4]#REF'!G3943</f>
        <v>#REF!</v>
      </c>
      <c r="H3943" s="31" t="e">
        <f>'[4]#REF'!I3943</f>
        <v>#REF!</v>
      </c>
      <c r="I3943" s="32" t="e">
        <f t="shared" si="92"/>
        <v>#REF!</v>
      </c>
    </row>
    <row r="3944" ht="15.75" spans="6:9">
      <c r="F3944" s="12" t="e">
        <f>'[4]#REF'!F3944</f>
        <v>#REF!</v>
      </c>
      <c r="G3944" s="12" t="e">
        <f>'[4]#REF'!G3944</f>
        <v>#REF!</v>
      </c>
      <c r="H3944" s="31" t="e">
        <f>'[4]#REF'!I3944</f>
        <v>#REF!</v>
      </c>
      <c r="I3944" s="32" t="e">
        <f t="shared" si="92"/>
        <v>#REF!</v>
      </c>
    </row>
    <row r="3945" ht="15.75" spans="6:9">
      <c r="F3945" s="12" t="e">
        <f>'[4]#REF'!F3945</f>
        <v>#REF!</v>
      </c>
      <c r="G3945" s="12" t="e">
        <f>'[4]#REF'!G3945</f>
        <v>#REF!</v>
      </c>
      <c r="H3945" s="31" t="e">
        <f>'[4]#REF'!I3945</f>
        <v>#REF!</v>
      </c>
      <c r="I3945" s="32" t="e">
        <f t="shared" si="92"/>
        <v>#REF!</v>
      </c>
    </row>
    <row r="3946" ht="15.75" spans="6:9">
      <c r="F3946" s="12" t="e">
        <f>'[4]#REF'!F3946</f>
        <v>#REF!</v>
      </c>
      <c r="G3946" s="12" t="e">
        <f>'[4]#REF'!G3946</f>
        <v>#REF!</v>
      </c>
      <c r="H3946" s="31" t="e">
        <f>'[4]#REF'!I3946</f>
        <v>#REF!</v>
      </c>
      <c r="I3946" s="32" t="e">
        <f t="shared" si="92"/>
        <v>#REF!</v>
      </c>
    </row>
    <row r="3947" ht="15.75" spans="6:9">
      <c r="F3947" s="12" t="e">
        <f>'[4]#REF'!F3947</f>
        <v>#REF!</v>
      </c>
      <c r="G3947" s="12" t="e">
        <f>'[4]#REF'!G3947</f>
        <v>#REF!</v>
      </c>
      <c r="H3947" s="31" t="e">
        <f>'[4]#REF'!I3947</f>
        <v>#REF!</v>
      </c>
      <c r="I3947" s="32" t="e">
        <f t="shared" si="92"/>
        <v>#REF!</v>
      </c>
    </row>
    <row r="3948" ht="15.75" spans="6:9">
      <c r="F3948" s="12" t="e">
        <f>'[4]#REF'!F3948</f>
        <v>#REF!</v>
      </c>
      <c r="G3948" s="12" t="e">
        <f>'[4]#REF'!G3948</f>
        <v>#REF!</v>
      </c>
      <c r="H3948" s="31" t="e">
        <f>'[4]#REF'!I3948</f>
        <v>#REF!</v>
      </c>
      <c r="I3948" s="32" t="e">
        <f t="shared" si="92"/>
        <v>#REF!</v>
      </c>
    </row>
    <row r="3949" ht="15.75" spans="6:9">
      <c r="F3949" s="12" t="e">
        <f>'[4]#REF'!F3949</f>
        <v>#REF!</v>
      </c>
      <c r="G3949" s="12" t="e">
        <f>'[4]#REF'!G3949</f>
        <v>#REF!</v>
      </c>
      <c r="H3949" s="31" t="e">
        <f>'[4]#REF'!I3949</f>
        <v>#REF!</v>
      </c>
      <c r="I3949" s="32" t="e">
        <f t="shared" si="92"/>
        <v>#REF!</v>
      </c>
    </row>
    <row r="3950" ht="15.75" spans="6:9">
      <c r="F3950" s="12" t="e">
        <f>'[4]#REF'!F3950</f>
        <v>#REF!</v>
      </c>
      <c r="G3950" s="12" t="e">
        <f>'[4]#REF'!G3950</f>
        <v>#REF!</v>
      </c>
      <c r="H3950" s="31" t="e">
        <f>'[4]#REF'!I3950</f>
        <v>#REF!</v>
      </c>
      <c r="I3950" s="32" t="e">
        <f t="shared" si="92"/>
        <v>#REF!</v>
      </c>
    </row>
    <row r="3951" ht="15.75" spans="6:9">
      <c r="F3951" s="12" t="e">
        <f>'[4]#REF'!F3951</f>
        <v>#REF!</v>
      </c>
      <c r="G3951" s="12" t="e">
        <f>'[4]#REF'!G3951</f>
        <v>#REF!</v>
      </c>
      <c r="H3951" s="31" t="e">
        <f>'[4]#REF'!I3951</f>
        <v>#REF!</v>
      </c>
      <c r="I3951" s="32" t="e">
        <f t="shared" si="92"/>
        <v>#REF!</v>
      </c>
    </row>
    <row r="3952" ht="15.75" spans="6:9">
      <c r="F3952" s="12" t="e">
        <f>'[4]#REF'!F3952</f>
        <v>#REF!</v>
      </c>
      <c r="G3952" s="12" t="e">
        <f>'[4]#REF'!G3952</f>
        <v>#REF!</v>
      </c>
      <c r="H3952" s="31" t="e">
        <f>'[4]#REF'!I3952</f>
        <v>#REF!</v>
      </c>
      <c r="I3952" s="32" t="e">
        <f t="shared" si="92"/>
        <v>#REF!</v>
      </c>
    </row>
    <row r="3953" ht="15.75" spans="6:9">
      <c r="F3953" s="12" t="e">
        <f>'[4]#REF'!F3953</f>
        <v>#REF!</v>
      </c>
      <c r="G3953" s="12" t="e">
        <f>'[4]#REF'!G3953</f>
        <v>#REF!</v>
      </c>
      <c r="H3953" s="31" t="e">
        <f>'[4]#REF'!I3953</f>
        <v>#REF!</v>
      </c>
      <c r="I3953" s="32" t="e">
        <f t="shared" si="92"/>
        <v>#REF!</v>
      </c>
    </row>
    <row r="3954" ht="15.75" spans="6:9">
      <c r="F3954" s="12" t="e">
        <f>'[4]#REF'!F3954</f>
        <v>#REF!</v>
      </c>
      <c r="G3954" s="12" t="e">
        <f>'[4]#REF'!G3954</f>
        <v>#REF!</v>
      </c>
      <c r="H3954" s="31" t="e">
        <f>'[4]#REF'!I3954</f>
        <v>#REF!</v>
      </c>
      <c r="I3954" s="32" t="e">
        <f t="shared" si="92"/>
        <v>#REF!</v>
      </c>
    </row>
    <row r="3955" ht="15.75" spans="6:9">
      <c r="F3955" s="12" t="e">
        <f>'[4]#REF'!F3955</f>
        <v>#REF!</v>
      </c>
      <c r="G3955" s="12" t="e">
        <f>'[4]#REF'!G3955</f>
        <v>#REF!</v>
      </c>
      <c r="H3955" s="31" t="e">
        <f>'[4]#REF'!I3955</f>
        <v>#REF!</v>
      </c>
      <c r="I3955" s="32" t="e">
        <f t="shared" si="92"/>
        <v>#REF!</v>
      </c>
    </row>
    <row r="3956" ht="15.75" spans="6:9">
      <c r="F3956" s="12" t="e">
        <f>'[4]#REF'!F3956</f>
        <v>#REF!</v>
      </c>
      <c r="G3956" s="12" t="e">
        <f>'[4]#REF'!G3956</f>
        <v>#REF!</v>
      </c>
      <c r="H3956" s="31" t="e">
        <f>'[4]#REF'!I3956</f>
        <v>#REF!</v>
      </c>
      <c r="I3956" s="32" t="e">
        <f t="shared" si="92"/>
        <v>#REF!</v>
      </c>
    </row>
    <row r="3957" ht="15.75" spans="6:9">
      <c r="F3957" s="12" t="e">
        <f>'[4]#REF'!F3957</f>
        <v>#REF!</v>
      </c>
      <c r="G3957" s="12" t="e">
        <f>'[4]#REF'!G3957</f>
        <v>#REF!</v>
      </c>
      <c r="H3957" s="31" t="e">
        <f>'[4]#REF'!I3957</f>
        <v>#REF!</v>
      </c>
      <c r="I3957" s="32" t="e">
        <f t="shared" si="92"/>
        <v>#REF!</v>
      </c>
    </row>
    <row r="3958" ht="15.75" spans="6:9">
      <c r="F3958" s="12" t="e">
        <f>'[4]#REF'!F3958</f>
        <v>#REF!</v>
      </c>
      <c r="G3958" s="12" t="e">
        <f>'[4]#REF'!G3958</f>
        <v>#REF!</v>
      </c>
      <c r="H3958" s="31" t="e">
        <f>'[4]#REF'!I3958</f>
        <v>#REF!</v>
      </c>
      <c r="I3958" s="32" t="e">
        <f t="shared" si="92"/>
        <v>#REF!</v>
      </c>
    </row>
    <row r="3959" ht="15.75" spans="6:9">
      <c r="F3959" s="12" t="e">
        <f>'[4]#REF'!F3959</f>
        <v>#REF!</v>
      </c>
      <c r="G3959" s="12" t="e">
        <f>'[4]#REF'!G3959</f>
        <v>#REF!</v>
      </c>
      <c r="H3959" s="31" t="e">
        <f>'[4]#REF'!I3959</f>
        <v>#REF!</v>
      </c>
      <c r="I3959" s="32" t="e">
        <f t="shared" si="92"/>
        <v>#REF!</v>
      </c>
    </row>
    <row r="3960" ht="15.75" spans="6:9">
      <c r="F3960" s="12" t="e">
        <f>'[4]#REF'!F3960</f>
        <v>#REF!</v>
      </c>
      <c r="G3960" s="12" t="e">
        <f>'[4]#REF'!G3960</f>
        <v>#REF!</v>
      </c>
      <c r="H3960" s="31" t="e">
        <f>'[4]#REF'!I3960</f>
        <v>#REF!</v>
      </c>
      <c r="I3960" s="32" t="e">
        <f t="shared" si="92"/>
        <v>#REF!</v>
      </c>
    </row>
    <row r="3961" ht="15.75" spans="6:9">
      <c r="F3961" s="12" t="e">
        <f>'[4]#REF'!F3961</f>
        <v>#REF!</v>
      </c>
      <c r="G3961" s="12" t="e">
        <f>'[4]#REF'!G3961</f>
        <v>#REF!</v>
      </c>
      <c r="H3961" s="31" t="e">
        <f>'[4]#REF'!I3961</f>
        <v>#REF!</v>
      </c>
      <c r="I3961" s="32" t="e">
        <f t="shared" si="92"/>
        <v>#REF!</v>
      </c>
    </row>
    <row r="3962" ht="15.75" spans="6:9">
      <c r="F3962" s="12" t="e">
        <f>'[4]#REF'!F3962</f>
        <v>#REF!</v>
      </c>
      <c r="G3962" s="12" t="e">
        <f>'[4]#REF'!G3962</f>
        <v>#REF!</v>
      </c>
      <c r="H3962" s="31" t="e">
        <f>'[4]#REF'!I3962</f>
        <v>#REF!</v>
      </c>
      <c r="I3962" s="32" t="e">
        <f t="shared" si="92"/>
        <v>#REF!</v>
      </c>
    </row>
    <row r="3963" ht="15.75" spans="6:9">
      <c r="F3963" s="12" t="e">
        <f>'[4]#REF'!F3963</f>
        <v>#REF!</v>
      </c>
      <c r="G3963" s="12" t="e">
        <f>'[4]#REF'!G3963</f>
        <v>#REF!</v>
      </c>
      <c r="H3963" s="31" t="e">
        <f>'[4]#REF'!I3963</f>
        <v>#REF!</v>
      </c>
      <c r="I3963" s="32" t="e">
        <f t="shared" si="92"/>
        <v>#REF!</v>
      </c>
    </row>
    <row r="3964" ht="15.75" spans="6:9">
      <c r="F3964" s="12" t="e">
        <f>'[4]#REF'!F3964</f>
        <v>#REF!</v>
      </c>
      <c r="G3964" s="12" t="e">
        <f>'[4]#REF'!G3964</f>
        <v>#REF!</v>
      </c>
      <c r="H3964" s="31" t="e">
        <f>'[4]#REF'!I3964</f>
        <v>#REF!</v>
      </c>
      <c r="I3964" s="32" t="e">
        <f t="shared" si="92"/>
        <v>#REF!</v>
      </c>
    </row>
    <row r="3965" ht="15.75" spans="6:9">
      <c r="F3965" s="12" t="e">
        <f>'[4]#REF'!F3965</f>
        <v>#REF!</v>
      </c>
      <c r="G3965" s="12" t="e">
        <f>'[4]#REF'!G3965</f>
        <v>#REF!</v>
      </c>
      <c r="H3965" s="31" t="e">
        <f>'[4]#REF'!I3965</f>
        <v>#REF!</v>
      </c>
      <c r="I3965" s="32" t="e">
        <f t="shared" si="92"/>
        <v>#REF!</v>
      </c>
    </row>
    <row r="3966" ht="15.75" spans="6:9">
      <c r="F3966" s="12" t="e">
        <f>'[4]#REF'!F3966</f>
        <v>#REF!</v>
      </c>
      <c r="G3966" s="12" t="e">
        <f>'[4]#REF'!G3966</f>
        <v>#REF!</v>
      </c>
      <c r="H3966" s="31" t="e">
        <f>'[4]#REF'!I3966</f>
        <v>#REF!</v>
      </c>
      <c r="I3966" s="32" t="e">
        <f t="shared" si="92"/>
        <v>#REF!</v>
      </c>
    </row>
    <row r="3967" ht="15.75" spans="6:9">
      <c r="F3967" s="12" t="e">
        <f>'[4]#REF'!F3967</f>
        <v>#REF!</v>
      </c>
      <c r="G3967" s="12" t="e">
        <f>'[4]#REF'!G3967</f>
        <v>#REF!</v>
      </c>
      <c r="H3967" s="31" t="e">
        <f>'[4]#REF'!I3967</f>
        <v>#REF!</v>
      </c>
      <c r="I3967" s="32" t="e">
        <f t="shared" si="92"/>
        <v>#REF!</v>
      </c>
    </row>
    <row r="3968" ht="15.75" spans="6:9">
      <c r="F3968" s="12" t="e">
        <f>'[4]#REF'!F3968</f>
        <v>#REF!</v>
      </c>
      <c r="G3968" s="12" t="e">
        <f>'[4]#REF'!G3968</f>
        <v>#REF!</v>
      </c>
      <c r="H3968" s="31" t="e">
        <f>'[4]#REF'!I3968</f>
        <v>#REF!</v>
      </c>
      <c r="I3968" s="32" t="e">
        <f t="shared" si="92"/>
        <v>#REF!</v>
      </c>
    </row>
    <row r="3969" ht="15.75" spans="6:9">
      <c r="F3969" s="12" t="e">
        <f>'[4]#REF'!F3969</f>
        <v>#REF!</v>
      </c>
      <c r="G3969" s="12" t="e">
        <f>'[4]#REF'!G3969</f>
        <v>#REF!</v>
      </c>
      <c r="H3969" s="31" t="e">
        <f>'[4]#REF'!I3969</f>
        <v>#REF!</v>
      </c>
      <c r="I3969" s="32" t="e">
        <f t="shared" si="92"/>
        <v>#REF!</v>
      </c>
    </row>
    <row r="3970" ht="15.75" spans="6:9">
      <c r="F3970" s="12" t="e">
        <f>'[4]#REF'!F3970</f>
        <v>#REF!</v>
      </c>
      <c r="G3970" s="12" t="e">
        <f>'[4]#REF'!G3970</f>
        <v>#REF!</v>
      </c>
      <c r="H3970" s="31" t="e">
        <f>'[4]#REF'!I3970</f>
        <v>#REF!</v>
      </c>
      <c r="I3970" s="32" t="e">
        <f t="shared" si="92"/>
        <v>#REF!</v>
      </c>
    </row>
    <row r="3971" ht="15.75" spans="6:9">
      <c r="F3971" s="12" t="e">
        <f>'[4]#REF'!F3971</f>
        <v>#REF!</v>
      </c>
      <c r="G3971" s="12" t="e">
        <f>'[4]#REF'!G3971</f>
        <v>#REF!</v>
      </c>
      <c r="H3971" s="31" t="e">
        <f>'[4]#REF'!I3971</f>
        <v>#REF!</v>
      </c>
      <c r="I3971" s="32" t="e">
        <f t="shared" si="92"/>
        <v>#REF!</v>
      </c>
    </row>
    <row r="3972" ht="15.75" spans="6:9">
      <c r="F3972" s="12" t="e">
        <f>'[4]#REF'!F3972</f>
        <v>#REF!</v>
      </c>
      <c r="G3972" s="12" t="e">
        <f>'[4]#REF'!G3972</f>
        <v>#REF!</v>
      </c>
      <c r="H3972" s="31" t="e">
        <f>'[4]#REF'!I3972</f>
        <v>#REF!</v>
      </c>
      <c r="I3972" s="32" t="e">
        <f t="shared" si="92"/>
        <v>#REF!</v>
      </c>
    </row>
    <row r="3973" ht="15.75" spans="6:9">
      <c r="F3973" s="12" t="e">
        <f>'[4]#REF'!F3973</f>
        <v>#REF!</v>
      </c>
      <c r="G3973" s="12" t="e">
        <f>'[4]#REF'!G3973</f>
        <v>#REF!</v>
      </c>
      <c r="H3973" s="31" t="e">
        <f>'[4]#REF'!I3973</f>
        <v>#REF!</v>
      </c>
      <c r="I3973" s="32" t="e">
        <f t="shared" si="92"/>
        <v>#REF!</v>
      </c>
    </row>
    <row r="3974" ht="15.75" spans="6:9">
      <c r="F3974" s="12" t="e">
        <f>'[4]#REF'!F3974</f>
        <v>#REF!</v>
      </c>
      <c r="G3974" s="12" t="e">
        <f>'[4]#REF'!G3974</f>
        <v>#REF!</v>
      </c>
      <c r="H3974" s="31" t="e">
        <f>'[4]#REF'!I3974</f>
        <v>#REF!</v>
      </c>
      <c r="I3974" s="32" t="e">
        <f t="shared" ref="I3974:I4037" si="93">ROUND(H3974/$I$4*100,2)</f>
        <v>#REF!</v>
      </c>
    </row>
    <row r="3975" ht="15.75" spans="6:9">
      <c r="F3975" s="12" t="e">
        <f>'[4]#REF'!F3975</f>
        <v>#REF!</v>
      </c>
      <c r="G3975" s="12" t="e">
        <f>'[4]#REF'!G3975</f>
        <v>#REF!</v>
      </c>
      <c r="H3975" s="31" t="e">
        <f>'[4]#REF'!I3975</f>
        <v>#REF!</v>
      </c>
      <c r="I3975" s="32" t="e">
        <f t="shared" si="93"/>
        <v>#REF!</v>
      </c>
    </row>
    <row r="3976" ht="15.75" spans="6:9">
      <c r="F3976" s="12" t="e">
        <f>'[4]#REF'!F3976</f>
        <v>#REF!</v>
      </c>
      <c r="G3976" s="12" t="e">
        <f>'[4]#REF'!G3976</f>
        <v>#REF!</v>
      </c>
      <c r="H3976" s="31" t="e">
        <f>'[4]#REF'!I3976</f>
        <v>#REF!</v>
      </c>
      <c r="I3976" s="32" t="e">
        <f t="shared" si="93"/>
        <v>#REF!</v>
      </c>
    </row>
    <row r="3977" ht="15.75" spans="6:9">
      <c r="F3977" s="12" t="e">
        <f>'[4]#REF'!F3977</f>
        <v>#REF!</v>
      </c>
      <c r="G3977" s="12" t="e">
        <f>'[4]#REF'!G3977</f>
        <v>#REF!</v>
      </c>
      <c r="H3977" s="31" t="e">
        <f>'[4]#REF'!I3977</f>
        <v>#REF!</v>
      </c>
      <c r="I3977" s="32" t="e">
        <f t="shared" si="93"/>
        <v>#REF!</v>
      </c>
    </row>
    <row r="3978" ht="15.75" spans="6:9">
      <c r="F3978" s="12" t="e">
        <f>'[4]#REF'!F3978</f>
        <v>#REF!</v>
      </c>
      <c r="G3978" s="12" t="e">
        <f>'[4]#REF'!G3978</f>
        <v>#REF!</v>
      </c>
      <c r="H3978" s="31" t="e">
        <f>'[4]#REF'!I3978</f>
        <v>#REF!</v>
      </c>
      <c r="I3978" s="32" t="e">
        <f t="shared" si="93"/>
        <v>#REF!</v>
      </c>
    </row>
    <row r="3979" ht="15.75" spans="6:9">
      <c r="F3979" s="12" t="e">
        <f>'[4]#REF'!F3979</f>
        <v>#REF!</v>
      </c>
      <c r="G3979" s="12" t="e">
        <f>'[4]#REF'!G3979</f>
        <v>#REF!</v>
      </c>
      <c r="H3979" s="31" t="e">
        <f>'[4]#REF'!I3979</f>
        <v>#REF!</v>
      </c>
      <c r="I3979" s="32" t="e">
        <f t="shared" si="93"/>
        <v>#REF!</v>
      </c>
    </row>
    <row r="3980" ht="15.75" spans="6:9">
      <c r="F3980" s="12" t="e">
        <f>'[4]#REF'!F3980</f>
        <v>#REF!</v>
      </c>
      <c r="G3980" s="12" t="e">
        <f>'[4]#REF'!G3980</f>
        <v>#REF!</v>
      </c>
      <c r="H3980" s="31" t="e">
        <f>'[4]#REF'!I3980</f>
        <v>#REF!</v>
      </c>
      <c r="I3980" s="32" t="e">
        <f t="shared" si="93"/>
        <v>#REF!</v>
      </c>
    </row>
    <row r="3981" ht="15.75" spans="6:9">
      <c r="F3981" s="12" t="e">
        <f>'[4]#REF'!F3981</f>
        <v>#REF!</v>
      </c>
      <c r="G3981" s="12" t="e">
        <f>'[4]#REF'!G3981</f>
        <v>#REF!</v>
      </c>
      <c r="H3981" s="31" t="e">
        <f>'[4]#REF'!I3981</f>
        <v>#REF!</v>
      </c>
      <c r="I3981" s="32" t="e">
        <f t="shared" si="93"/>
        <v>#REF!</v>
      </c>
    </row>
    <row r="3982" ht="15.75" spans="6:9">
      <c r="F3982" s="12" t="e">
        <f>'[4]#REF'!F3982</f>
        <v>#REF!</v>
      </c>
      <c r="G3982" s="12" t="e">
        <f>'[4]#REF'!G3982</f>
        <v>#REF!</v>
      </c>
      <c r="H3982" s="31" t="e">
        <f>'[4]#REF'!I3982</f>
        <v>#REF!</v>
      </c>
      <c r="I3982" s="32" t="e">
        <f t="shared" si="93"/>
        <v>#REF!</v>
      </c>
    </row>
    <row r="3983" ht="15.75" spans="6:9">
      <c r="F3983" s="12" t="e">
        <f>'[4]#REF'!F3983</f>
        <v>#REF!</v>
      </c>
      <c r="G3983" s="12" t="e">
        <f>'[4]#REF'!G3983</f>
        <v>#REF!</v>
      </c>
      <c r="H3983" s="31" t="e">
        <f>'[4]#REF'!I3983</f>
        <v>#REF!</v>
      </c>
      <c r="I3983" s="32" t="e">
        <f t="shared" si="93"/>
        <v>#REF!</v>
      </c>
    </row>
    <row r="3984" ht="15.75" spans="6:9">
      <c r="F3984" s="12" t="e">
        <f>'[4]#REF'!F3984</f>
        <v>#REF!</v>
      </c>
      <c r="G3984" s="12" t="e">
        <f>'[4]#REF'!G3984</f>
        <v>#REF!</v>
      </c>
      <c r="H3984" s="31" t="e">
        <f>'[4]#REF'!I3984</f>
        <v>#REF!</v>
      </c>
      <c r="I3984" s="32" t="e">
        <f t="shared" si="93"/>
        <v>#REF!</v>
      </c>
    </row>
    <row r="3985" ht="15.75" spans="6:9">
      <c r="F3985" s="12" t="e">
        <f>'[4]#REF'!F3985</f>
        <v>#REF!</v>
      </c>
      <c r="G3985" s="12" t="e">
        <f>'[4]#REF'!G3985</f>
        <v>#REF!</v>
      </c>
      <c r="H3985" s="31" t="e">
        <f>'[4]#REF'!I3985</f>
        <v>#REF!</v>
      </c>
      <c r="I3985" s="32" t="e">
        <f t="shared" si="93"/>
        <v>#REF!</v>
      </c>
    </row>
    <row r="3986" ht="15.75" spans="6:9">
      <c r="F3986" s="12" t="e">
        <f>'[4]#REF'!F3986</f>
        <v>#REF!</v>
      </c>
      <c r="G3986" s="12" t="e">
        <f>'[4]#REF'!G3986</f>
        <v>#REF!</v>
      </c>
      <c r="H3986" s="31" t="e">
        <f>'[4]#REF'!I3986</f>
        <v>#REF!</v>
      </c>
      <c r="I3986" s="32" t="e">
        <f t="shared" si="93"/>
        <v>#REF!</v>
      </c>
    </row>
    <row r="3987" ht="15.75" spans="6:9">
      <c r="F3987" s="12" t="e">
        <f>'[4]#REF'!F3987</f>
        <v>#REF!</v>
      </c>
      <c r="G3987" s="12" t="e">
        <f>'[4]#REF'!G3987</f>
        <v>#REF!</v>
      </c>
      <c r="H3987" s="31" t="e">
        <f>'[4]#REF'!I3987</f>
        <v>#REF!</v>
      </c>
      <c r="I3987" s="32" t="e">
        <f t="shared" si="93"/>
        <v>#REF!</v>
      </c>
    </row>
    <row r="3988" ht="15.75" spans="6:9">
      <c r="F3988" s="12" t="e">
        <f>'[4]#REF'!F3988</f>
        <v>#REF!</v>
      </c>
      <c r="G3988" s="12" t="e">
        <f>'[4]#REF'!G3988</f>
        <v>#REF!</v>
      </c>
      <c r="H3988" s="31" t="e">
        <f>'[4]#REF'!I3988</f>
        <v>#REF!</v>
      </c>
      <c r="I3988" s="32" t="e">
        <f t="shared" si="93"/>
        <v>#REF!</v>
      </c>
    </row>
    <row r="3989" ht="15.75" spans="6:9">
      <c r="F3989" s="12" t="e">
        <f>'[4]#REF'!F3989</f>
        <v>#REF!</v>
      </c>
      <c r="G3989" s="12" t="e">
        <f>'[4]#REF'!G3989</f>
        <v>#REF!</v>
      </c>
      <c r="H3989" s="31" t="e">
        <f>'[4]#REF'!I3989</f>
        <v>#REF!</v>
      </c>
      <c r="I3989" s="32" t="e">
        <f t="shared" si="93"/>
        <v>#REF!</v>
      </c>
    </row>
    <row r="3990" ht="15.75" spans="6:9">
      <c r="F3990" s="12" t="e">
        <f>'[4]#REF'!F3990</f>
        <v>#REF!</v>
      </c>
      <c r="G3990" s="12" t="e">
        <f>'[4]#REF'!G3990</f>
        <v>#REF!</v>
      </c>
      <c r="H3990" s="31" t="e">
        <f>'[4]#REF'!I3990</f>
        <v>#REF!</v>
      </c>
      <c r="I3990" s="32" t="e">
        <f t="shared" si="93"/>
        <v>#REF!</v>
      </c>
    </row>
    <row r="3991" ht="15.75" spans="6:9">
      <c r="F3991" s="12" t="e">
        <f>'[4]#REF'!F3991</f>
        <v>#REF!</v>
      </c>
      <c r="G3991" s="12" t="e">
        <f>'[4]#REF'!G3991</f>
        <v>#REF!</v>
      </c>
      <c r="H3991" s="31" t="e">
        <f>'[4]#REF'!I3991</f>
        <v>#REF!</v>
      </c>
      <c r="I3991" s="32" t="e">
        <f t="shared" si="93"/>
        <v>#REF!</v>
      </c>
    </row>
    <row r="3992" ht="15.75" spans="6:9">
      <c r="F3992" s="12" t="e">
        <f>'[4]#REF'!F3992</f>
        <v>#REF!</v>
      </c>
      <c r="G3992" s="12" t="e">
        <f>'[4]#REF'!G3992</f>
        <v>#REF!</v>
      </c>
      <c r="H3992" s="31" t="e">
        <f>'[4]#REF'!I3992</f>
        <v>#REF!</v>
      </c>
      <c r="I3992" s="32" t="e">
        <f t="shared" si="93"/>
        <v>#REF!</v>
      </c>
    </row>
    <row r="3993" ht="15.75" spans="6:9">
      <c r="F3993" s="12" t="e">
        <f>'[4]#REF'!F3993</f>
        <v>#REF!</v>
      </c>
      <c r="G3993" s="12" t="e">
        <f>'[4]#REF'!G3993</f>
        <v>#REF!</v>
      </c>
      <c r="H3993" s="31" t="e">
        <f>'[4]#REF'!I3993</f>
        <v>#REF!</v>
      </c>
      <c r="I3993" s="32" t="e">
        <f t="shared" si="93"/>
        <v>#REF!</v>
      </c>
    </row>
    <row r="3994" ht="15.75" spans="6:9">
      <c r="F3994" s="12" t="e">
        <f>'[4]#REF'!F3994</f>
        <v>#REF!</v>
      </c>
      <c r="G3994" s="12" t="e">
        <f>'[4]#REF'!G3994</f>
        <v>#REF!</v>
      </c>
      <c r="H3994" s="31" t="e">
        <f>'[4]#REF'!I3994</f>
        <v>#REF!</v>
      </c>
      <c r="I3994" s="32" t="e">
        <f t="shared" si="93"/>
        <v>#REF!</v>
      </c>
    </row>
    <row r="3995" ht="15.75" spans="6:9">
      <c r="F3995" s="12" t="e">
        <f>'[4]#REF'!F3995</f>
        <v>#REF!</v>
      </c>
      <c r="G3995" s="12" t="e">
        <f>'[4]#REF'!G3995</f>
        <v>#REF!</v>
      </c>
      <c r="H3995" s="31" t="e">
        <f>'[4]#REF'!I3995</f>
        <v>#REF!</v>
      </c>
      <c r="I3995" s="32" t="e">
        <f t="shared" si="93"/>
        <v>#REF!</v>
      </c>
    </row>
    <row r="3996" ht="15.75" spans="6:9">
      <c r="F3996" s="12" t="e">
        <f>'[4]#REF'!F3996</f>
        <v>#REF!</v>
      </c>
      <c r="G3996" s="12" t="e">
        <f>'[4]#REF'!G3996</f>
        <v>#REF!</v>
      </c>
      <c r="H3996" s="31" t="e">
        <f>'[4]#REF'!I3996</f>
        <v>#REF!</v>
      </c>
      <c r="I3996" s="32" t="e">
        <f t="shared" si="93"/>
        <v>#REF!</v>
      </c>
    </row>
    <row r="3997" ht="15.75" spans="6:9">
      <c r="F3997" s="12" t="e">
        <f>'[4]#REF'!F3997</f>
        <v>#REF!</v>
      </c>
      <c r="G3997" s="12" t="e">
        <f>'[4]#REF'!G3997</f>
        <v>#REF!</v>
      </c>
      <c r="H3997" s="31" t="e">
        <f>'[4]#REF'!I3997</f>
        <v>#REF!</v>
      </c>
      <c r="I3997" s="32" t="e">
        <f t="shared" si="93"/>
        <v>#REF!</v>
      </c>
    </row>
    <row r="3998" ht="15.75" spans="6:9">
      <c r="F3998" s="12" t="e">
        <f>'[4]#REF'!F3998</f>
        <v>#REF!</v>
      </c>
      <c r="G3998" s="12" t="e">
        <f>'[4]#REF'!G3998</f>
        <v>#REF!</v>
      </c>
      <c r="H3998" s="31" t="e">
        <f>'[4]#REF'!I3998</f>
        <v>#REF!</v>
      </c>
      <c r="I3998" s="32" t="e">
        <f t="shared" si="93"/>
        <v>#REF!</v>
      </c>
    </row>
    <row r="3999" ht="15.75" spans="6:9">
      <c r="F3999" s="12" t="e">
        <f>'[4]#REF'!F3999</f>
        <v>#REF!</v>
      </c>
      <c r="G3999" s="12" t="e">
        <f>'[4]#REF'!G3999</f>
        <v>#REF!</v>
      </c>
      <c r="H3999" s="31" t="e">
        <f>'[4]#REF'!I3999</f>
        <v>#REF!</v>
      </c>
      <c r="I3999" s="32" t="e">
        <f t="shared" si="93"/>
        <v>#REF!</v>
      </c>
    </row>
    <row r="4000" ht="15.75" spans="6:9">
      <c r="F4000" s="12" t="e">
        <f>'[4]#REF'!F4000</f>
        <v>#REF!</v>
      </c>
      <c r="G4000" s="12" t="e">
        <f>'[4]#REF'!G4000</f>
        <v>#REF!</v>
      </c>
      <c r="H4000" s="31" t="e">
        <f>'[4]#REF'!I4000</f>
        <v>#REF!</v>
      </c>
      <c r="I4000" s="32" t="e">
        <f t="shared" si="93"/>
        <v>#REF!</v>
      </c>
    </row>
    <row r="4001" ht="15.75" spans="6:9">
      <c r="F4001" s="12" t="e">
        <f>'[4]#REF'!F4001</f>
        <v>#REF!</v>
      </c>
      <c r="G4001" s="12" t="e">
        <f>'[4]#REF'!G4001</f>
        <v>#REF!</v>
      </c>
      <c r="H4001" s="31" t="e">
        <f>'[4]#REF'!I4001</f>
        <v>#REF!</v>
      </c>
      <c r="I4001" s="32" t="e">
        <f t="shared" si="93"/>
        <v>#REF!</v>
      </c>
    </row>
    <row r="4002" ht="15.75" spans="6:9">
      <c r="F4002" s="12" t="e">
        <f>'[4]#REF'!F4002</f>
        <v>#REF!</v>
      </c>
      <c r="G4002" s="12" t="e">
        <f>'[4]#REF'!G4002</f>
        <v>#REF!</v>
      </c>
      <c r="H4002" s="31" t="e">
        <f>'[4]#REF'!I4002</f>
        <v>#REF!</v>
      </c>
      <c r="I4002" s="32" t="e">
        <f t="shared" si="93"/>
        <v>#REF!</v>
      </c>
    </row>
    <row r="4003" ht="15.75" spans="6:9">
      <c r="F4003" s="12" t="e">
        <f>'[4]#REF'!F4003</f>
        <v>#REF!</v>
      </c>
      <c r="G4003" s="12" t="e">
        <f>'[4]#REF'!G4003</f>
        <v>#REF!</v>
      </c>
      <c r="H4003" s="31" t="e">
        <f>'[4]#REF'!I4003</f>
        <v>#REF!</v>
      </c>
      <c r="I4003" s="32" t="e">
        <f t="shared" si="93"/>
        <v>#REF!</v>
      </c>
    </row>
    <row r="4004" ht="15.75" spans="6:9">
      <c r="F4004" s="12" t="e">
        <f>'[4]#REF'!F4004</f>
        <v>#REF!</v>
      </c>
      <c r="G4004" s="12" t="e">
        <f>'[4]#REF'!G4004</f>
        <v>#REF!</v>
      </c>
      <c r="H4004" s="31" t="e">
        <f>'[4]#REF'!I4004</f>
        <v>#REF!</v>
      </c>
      <c r="I4004" s="32" t="e">
        <f t="shared" si="93"/>
        <v>#REF!</v>
      </c>
    </row>
    <row r="4005" ht="15.75" spans="6:9">
      <c r="F4005" s="12" t="e">
        <f>'[4]#REF'!F4005</f>
        <v>#REF!</v>
      </c>
      <c r="G4005" s="12" t="e">
        <f>'[4]#REF'!G4005</f>
        <v>#REF!</v>
      </c>
      <c r="H4005" s="31" t="e">
        <f>'[4]#REF'!I4005</f>
        <v>#REF!</v>
      </c>
      <c r="I4005" s="32" t="e">
        <f t="shared" si="93"/>
        <v>#REF!</v>
      </c>
    </row>
    <row r="4006" ht="15.75" spans="6:9">
      <c r="F4006" s="12" t="e">
        <f>'[4]#REF'!F4006</f>
        <v>#REF!</v>
      </c>
      <c r="G4006" s="12" t="e">
        <f>'[4]#REF'!G4006</f>
        <v>#REF!</v>
      </c>
      <c r="H4006" s="31" t="e">
        <f>'[4]#REF'!I4006</f>
        <v>#REF!</v>
      </c>
      <c r="I4006" s="32" t="e">
        <f t="shared" si="93"/>
        <v>#REF!</v>
      </c>
    </row>
    <row r="4007" ht="15.75" spans="6:9">
      <c r="F4007" s="12" t="e">
        <f>'[4]#REF'!F4007</f>
        <v>#REF!</v>
      </c>
      <c r="G4007" s="12" t="e">
        <f>'[4]#REF'!G4007</f>
        <v>#REF!</v>
      </c>
      <c r="H4007" s="31" t="e">
        <f>'[4]#REF'!I4007</f>
        <v>#REF!</v>
      </c>
      <c r="I4007" s="32" t="e">
        <f t="shared" si="93"/>
        <v>#REF!</v>
      </c>
    </row>
    <row r="4008" ht="15.75" spans="6:9">
      <c r="F4008" s="12" t="e">
        <f>'[4]#REF'!F4008</f>
        <v>#REF!</v>
      </c>
      <c r="G4008" s="12" t="e">
        <f>'[4]#REF'!G4008</f>
        <v>#REF!</v>
      </c>
      <c r="H4008" s="31" t="e">
        <f>'[4]#REF'!I4008</f>
        <v>#REF!</v>
      </c>
      <c r="I4008" s="32" t="e">
        <f t="shared" si="93"/>
        <v>#REF!</v>
      </c>
    </row>
    <row r="4009" ht="15.75" spans="6:9">
      <c r="F4009" s="12" t="e">
        <f>'[4]#REF'!F4009</f>
        <v>#REF!</v>
      </c>
      <c r="G4009" s="12" t="e">
        <f>'[4]#REF'!G4009</f>
        <v>#REF!</v>
      </c>
      <c r="H4009" s="31" t="e">
        <f>'[4]#REF'!I4009</f>
        <v>#REF!</v>
      </c>
      <c r="I4009" s="32" t="e">
        <f t="shared" si="93"/>
        <v>#REF!</v>
      </c>
    </row>
    <row r="4010" ht="15.75" spans="6:9">
      <c r="F4010" s="12" t="e">
        <f>'[4]#REF'!F4010</f>
        <v>#REF!</v>
      </c>
      <c r="G4010" s="12" t="e">
        <f>'[4]#REF'!G4010</f>
        <v>#REF!</v>
      </c>
      <c r="H4010" s="31" t="e">
        <f>'[4]#REF'!I4010</f>
        <v>#REF!</v>
      </c>
      <c r="I4010" s="32" t="e">
        <f t="shared" si="93"/>
        <v>#REF!</v>
      </c>
    </row>
    <row r="4011" ht="15.75" spans="6:9">
      <c r="F4011" s="12" t="e">
        <f>'[4]#REF'!F4011</f>
        <v>#REF!</v>
      </c>
      <c r="G4011" s="12" t="e">
        <f>'[4]#REF'!G4011</f>
        <v>#REF!</v>
      </c>
      <c r="H4011" s="31" t="e">
        <f>'[4]#REF'!I4011</f>
        <v>#REF!</v>
      </c>
      <c r="I4011" s="32" t="e">
        <f t="shared" si="93"/>
        <v>#REF!</v>
      </c>
    </row>
    <row r="4012" ht="15.75" spans="6:9">
      <c r="F4012" s="12" t="e">
        <f>'[4]#REF'!F4012</f>
        <v>#REF!</v>
      </c>
      <c r="G4012" s="12" t="e">
        <f>'[4]#REF'!G4012</f>
        <v>#REF!</v>
      </c>
      <c r="H4012" s="31" t="e">
        <f>'[4]#REF'!I4012</f>
        <v>#REF!</v>
      </c>
      <c r="I4012" s="32" t="e">
        <f t="shared" si="93"/>
        <v>#REF!</v>
      </c>
    </row>
    <row r="4013" ht="15.75" spans="6:9">
      <c r="F4013" s="12" t="e">
        <f>'[4]#REF'!F4013</f>
        <v>#REF!</v>
      </c>
      <c r="G4013" s="12" t="e">
        <f>'[4]#REF'!G4013</f>
        <v>#REF!</v>
      </c>
      <c r="H4013" s="31" t="e">
        <f>'[4]#REF'!I4013</f>
        <v>#REF!</v>
      </c>
      <c r="I4013" s="32" t="e">
        <f t="shared" si="93"/>
        <v>#REF!</v>
      </c>
    </row>
    <row r="4014" ht="15.75" spans="6:9">
      <c r="F4014" s="12" t="e">
        <f>'[4]#REF'!F4014</f>
        <v>#REF!</v>
      </c>
      <c r="G4014" s="12" t="e">
        <f>'[4]#REF'!G4014</f>
        <v>#REF!</v>
      </c>
      <c r="H4014" s="31" t="e">
        <f>'[4]#REF'!I4014</f>
        <v>#REF!</v>
      </c>
      <c r="I4014" s="32" t="e">
        <f t="shared" si="93"/>
        <v>#REF!</v>
      </c>
    </row>
    <row r="4015" ht="15.75" spans="6:9">
      <c r="F4015" s="12" t="e">
        <f>'[4]#REF'!F4015</f>
        <v>#REF!</v>
      </c>
      <c r="G4015" s="12" t="e">
        <f>'[4]#REF'!G4015</f>
        <v>#REF!</v>
      </c>
      <c r="H4015" s="31" t="e">
        <f>'[4]#REF'!I4015</f>
        <v>#REF!</v>
      </c>
      <c r="I4015" s="32" t="e">
        <f t="shared" si="93"/>
        <v>#REF!</v>
      </c>
    </row>
    <row r="4016" ht="15.75" spans="6:9">
      <c r="F4016" s="12" t="e">
        <f>'[4]#REF'!F4016</f>
        <v>#REF!</v>
      </c>
      <c r="G4016" s="12" t="e">
        <f>'[4]#REF'!G4016</f>
        <v>#REF!</v>
      </c>
      <c r="H4016" s="31" t="e">
        <f>'[4]#REF'!I4016</f>
        <v>#REF!</v>
      </c>
      <c r="I4016" s="32" t="e">
        <f t="shared" si="93"/>
        <v>#REF!</v>
      </c>
    </row>
    <row r="4017" ht="15.75" spans="6:9">
      <c r="F4017" s="12" t="e">
        <f>'[4]#REF'!F4017</f>
        <v>#REF!</v>
      </c>
      <c r="G4017" s="12" t="e">
        <f>'[4]#REF'!G4017</f>
        <v>#REF!</v>
      </c>
      <c r="H4017" s="31" t="e">
        <f>'[4]#REF'!I4017</f>
        <v>#REF!</v>
      </c>
      <c r="I4017" s="32" t="e">
        <f t="shared" si="93"/>
        <v>#REF!</v>
      </c>
    </row>
    <row r="4018" ht="15.75" spans="6:9">
      <c r="F4018" s="12" t="e">
        <f>'[4]#REF'!F4018</f>
        <v>#REF!</v>
      </c>
      <c r="G4018" s="12" t="e">
        <f>'[4]#REF'!G4018</f>
        <v>#REF!</v>
      </c>
      <c r="H4018" s="31" t="e">
        <f>'[4]#REF'!I4018</f>
        <v>#REF!</v>
      </c>
      <c r="I4018" s="32" t="e">
        <f t="shared" si="93"/>
        <v>#REF!</v>
      </c>
    </row>
    <row r="4019" ht="15.75" spans="6:9">
      <c r="F4019" s="12" t="e">
        <f>'[4]#REF'!F4019</f>
        <v>#REF!</v>
      </c>
      <c r="G4019" s="12" t="e">
        <f>'[4]#REF'!G4019</f>
        <v>#REF!</v>
      </c>
      <c r="H4019" s="31" t="e">
        <f>'[4]#REF'!I4019</f>
        <v>#REF!</v>
      </c>
      <c r="I4019" s="32" t="e">
        <f t="shared" si="93"/>
        <v>#REF!</v>
      </c>
    </row>
    <row r="4020" ht="15.75" spans="6:9">
      <c r="F4020" s="12" t="e">
        <f>'[4]#REF'!F4020</f>
        <v>#REF!</v>
      </c>
      <c r="G4020" s="12" t="e">
        <f>'[4]#REF'!G4020</f>
        <v>#REF!</v>
      </c>
      <c r="H4020" s="31" t="e">
        <f>'[4]#REF'!I4020</f>
        <v>#REF!</v>
      </c>
      <c r="I4020" s="32" t="e">
        <f t="shared" si="93"/>
        <v>#REF!</v>
      </c>
    </row>
    <row r="4021" ht="15.75" spans="6:9">
      <c r="F4021" s="12" t="e">
        <f>'[4]#REF'!F4021</f>
        <v>#REF!</v>
      </c>
      <c r="G4021" s="12" t="e">
        <f>'[4]#REF'!G4021</f>
        <v>#REF!</v>
      </c>
      <c r="H4021" s="31" t="e">
        <f>'[4]#REF'!I4021</f>
        <v>#REF!</v>
      </c>
      <c r="I4021" s="32" t="e">
        <f t="shared" si="93"/>
        <v>#REF!</v>
      </c>
    </row>
    <row r="4022" ht="15.75" spans="6:9">
      <c r="F4022" s="12" t="e">
        <f>'[4]#REF'!F4022</f>
        <v>#REF!</v>
      </c>
      <c r="G4022" s="12" t="e">
        <f>'[4]#REF'!G4022</f>
        <v>#REF!</v>
      </c>
      <c r="H4022" s="31" t="e">
        <f>'[4]#REF'!I4022</f>
        <v>#REF!</v>
      </c>
      <c r="I4022" s="32" t="e">
        <f t="shared" si="93"/>
        <v>#REF!</v>
      </c>
    </row>
    <row r="4023" ht="15.75" spans="6:9">
      <c r="F4023" s="12" t="e">
        <f>'[4]#REF'!F4023</f>
        <v>#REF!</v>
      </c>
      <c r="G4023" s="12" t="e">
        <f>'[4]#REF'!G4023</f>
        <v>#REF!</v>
      </c>
      <c r="H4023" s="31" t="e">
        <f>'[4]#REF'!I4023</f>
        <v>#REF!</v>
      </c>
      <c r="I4023" s="32" t="e">
        <f t="shared" si="93"/>
        <v>#REF!</v>
      </c>
    </row>
    <row r="4024" ht="15.75" spans="6:9">
      <c r="F4024" s="12" t="e">
        <f>'[4]#REF'!F4024</f>
        <v>#REF!</v>
      </c>
      <c r="G4024" s="12" t="e">
        <f>'[4]#REF'!G4024</f>
        <v>#REF!</v>
      </c>
      <c r="H4024" s="31" t="e">
        <f>'[4]#REF'!I4024</f>
        <v>#REF!</v>
      </c>
      <c r="I4024" s="32" t="e">
        <f t="shared" si="93"/>
        <v>#REF!</v>
      </c>
    </row>
    <row r="4025" ht="15.75" spans="6:9">
      <c r="F4025" s="12" t="e">
        <f>'[4]#REF'!F4025</f>
        <v>#REF!</v>
      </c>
      <c r="G4025" s="12" t="e">
        <f>'[4]#REF'!G4025</f>
        <v>#REF!</v>
      </c>
      <c r="H4025" s="31" t="e">
        <f>'[4]#REF'!I4025</f>
        <v>#REF!</v>
      </c>
      <c r="I4025" s="32" t="e">
        <f t="shared" si="93"/>
        <v>#REF!</v>
      </c>
    </row>
    <row r="4026" ht="15.75" spans="6:9">
      <c r="F4026" s="12" t="e">
        <f>'[4]#REF'!F4026</f>
        <v>#REF!</v>
      </c>
      <c r="G4026" s="12" t="e">
        <f>'[4]#REF'!G4026</f>
        <v>#REF!</v>
      </c>
      <c r="H4026" s="31" t="e">
        <f>'[4]#REF'!I4026</f>
        <v>#REF!</v>
      </c>
      <c r="I4026" s="32" t="e">
        <f t="shared" si="93"/>
        <v>#REF!</v>
      </c>
    </row>
    <row r="4027" ht="15.75" spans="6:9">
      <c r="F4027" s="12" t="e">
        <f>'[4]#REF'!F4027</f>
        <v>#REF!</v>
      </c>
      <c r="G4027" s="12" t="e">
        <f>'[4]#REF'!G4027</f>
        <v>#REF!</v>
      </c>
      <c r="H4027" s="31" t="e">
        <f>'[4]#REF'!I4027</f>
        <v>#REF!</v>
      </c>
      <c r="I4027" s="32" t="e">
        <f t="shared" si="93"/>
        <v>#REF!</v>
      </c>
    </row>
    <row r="4028" ht="15.75" spans="6:9">
      <c r="F4028" s="12" t="e">
        <f>'[4]#REF'!F4028</f>
        <v>#REF!</v>
      </c>
      <c r="G4028" s="12" t="e">
        <f>'[4]#REF'!G4028</f>
        <v>#REF!</v>
      </c>
      <c r="H4028" s="31" t="e">
        <f>'[4]#REF'!I4028</f>
        <v>#REF!</v>
      </c>
      <c r="I4028" s="32" t="e">
        <f t="shared" si="93"/>
        <v>#REF!</v>
      </c>
    </row>
    <row r="4029" ht="15.75" spans="6:9">
      <c r="F4029" s="12" t="e">
        <f>'[4]#REF'!F4029</f>
        <v>#REF!</v>
      </c>
      <c r="G4029" s="12" t="e">
        <f>'[4]#REF'!G4029</f>
        <v>#REF!</v>
      </c>
      <c r="H4029" s="31" t="e">
        <f>'[4]#REF'!I4029</f>
        <v>#REF!</v>
      </c>
      <c r="I4029" s="32" t="e">
        <f t="shared" si="93"/>
        <v>#REF!</v>
      </c>
    </row>
    <row r="4030" ht="15.75" spans="6:9">
      <c r="F4030" s="12" t="e">
        <f>'[4]#REF'!F4030</f>
        <v>#REF!</v>
      </c>
      <c r="G4030" s="12" t="e">
        <f>'[4]#REF'!G4030</f>
        <v>#REF!</v>
      </c>
      <c r="H4030" s="31" t="e">
        <f>'[4]#REF'!I4030</f>
        <v>#REF!</v>
      </c>
      <c r="I4030" s="32" t="e">
        <f t="shared" si="93"/>
        <v>#REF!</v>
      </c>
    </row>
    <row r="4031" ht="15.75" spans="6:9">
      <c r="F4031" s="12" t="e">
        <f>'[4]#REF'!F4031</f>
        <v>#REF!</v>
      </c>
      <c r="G4031" s="12" t="e">
        <f>'[4]#REF'!G4031</f>
        <v>#REF!</v>
      </c>
      <c r="H4031" s="31" t="e">
        <f>'[4]#REF'!I4031</f>
        <v>#REF!</v>
      </c>
      <c r="I4031" s="32" t="e">
        <f t="shared" si="93"/>
        <v>#REF!</v>
      </c>
    </row>
    <row r="4032" ht="15.75" spans="6:9">
      <c r="F4032" s="12" t="e">
        <f>'[4]#REF'!F4032</f>
        <v>#REF!</v>
      </c>
      <c r="G4032" s="12" t="e">
        <f>'[4]#REF'!G4032</f>
        <v>#REF!</v>
      </c>
      <c r="H4032" s="31" t="e">
        <f>'[4]#REF'!I4032</f>
        <v>#REF!</v>
      </c>
      <c r="I4032" s="32" t="e">
        <f t="shared" si="93"/>
        <v>#REF!</v>
      </c>
    </row>
    <row r="4033" ht="15.75" spans="6:9">
      <c r="F4033" s="12" t="e">
        <f>'[4]#REF'!F4033</f>
        <v>#REF!</v>
      </c>
      <c r="G4033" s="12" t="e">
        <f>'[4]#REF'!G4033</f>
        <v>#REF!</v>
      </c>
      <c r="H4033" s="31" t="e">
        <f>'[4]#REF'!I4033</f>
        <v>#REF!</v>
      </c>
      <c r="I4033" s="32" t="e">
        <f t="shared" si="93"/>
        <v>#REF!</v>
      </c>
    </row>
    <row r="4034" ht="15.75" spans="6:9">
      <c r="F4034" s="12" t="e">
        <f>'[4]#REF'!F4034</f>
        <v>#REF!</v>
      </c>
      <c r="G4034" s="12" t="e">
        <f>'[4]#REF'!G4034</f>
        <v>#REF!</v>
      </c>
      <c r="H4034" s="31" t="e">
        <f>'[4]#REF'!I4034</f>
        <v>#REF!</v>
      </c>
      <c r="I4034" s="32" t="e">
        <f t="shared" si="93"/>
        <v>#REF!</v>
      </c>
    </row>
    <row r="4035" ht="15.75" spans="6:9">
      <c r="F4035" s="12" t="e">
        <f>'[4]#REF'!F4035</f>
        <v>#REF!</v>
      </c>
      <c r="G4035" s="12" t="e">
        <f>'[4]#REF'!G4035</f>
        <v>#REF!</v>
      </c>
      <c r="H4035" s="31" t="e">
        <f>'[4]#REF'!I4035</f>
        <v>#REF!</v>
      </c>
      <c r="I4035" s="32" t="e">
        <f t="shared" si="93"/>
        <v>#REF!</v>
      </c>
    </row>
    <row r="4036" ht="15.75" spans="6:9">
      <c r="F4036" s="12" t="e">
        <f>'[4]#REF'!F4036</f>
        <v>#REF!</v>
      </c>
      <c r="G4036" s="12" t="e">
        <f>'[4]#REF'!G4036</f>
        <v>#REF!</v>
      </c>
      <c r="H4036" s="31" t="e">
        <f>'[4]#REF'!I4036</f>
        <v>#REF!</v>
      </c>
      <c r="I4036" s="32" t="e">
        <f t="shared" si="93"/>
        <v>#REF!</v>
      </c>
    </row>
    <row r="4037" ht="15.75" spans="6:9">
      <c r="F4037" s="12" t="e">
        <f>'[4]#REF'!F4037</f>
        <v>#REF!</v>
      </c>
      <c r="G4037" s="12" t="e">
        <f>'[4]#REF'!G4037</f>
        <v>#REF!</v>
      </c>
      <c r="H4037" s="31" t="e">
        <f>'[4]#REF'!I4037</f>
        <v>#REF!</v>
      </c>
      <c r="I4037" s="32" t="e">
        <f t="shared" si="93"/>
        <v>#REF!</v>
      </c>
    </row>
    <row r="4038" ht="15.75" spans="6:9">
      <c r="F4038" s="12" t="e">
        <f>'[4]#REF'!F4038</f>
        <v>#REF!</v>
      </c>
      <c r="G4038" s="12" t="e">
        <f>'[4]#REF'!G4038</f>
        <v>#REF!</v>
      </c>
      <c r="H4038" s="31" t="e">
        <f>'[4]#REF'!I4038</f>
        <v>#REF!</v>
      </c>
      <c r="I4038" s="32" t="e">
        <f t="shared" ref="I4038:I4101" si="94">ROUND(H4038/$I$4*100,2)</f>
        <v>#REF!</v>
      </c>
    </row>
    <row r="4039" ht="15.75" spans="6:9">
      <c r="F4039" s="12" t="e">
        <f>'[4]#REF'!F4039</f>
        <v>#REF!</v>
      </c>
      <c r="G4039" s="12" t="e">
        <f>'[4]#REF'!G4039</f>
        <v>#REF!</v>
      </c>
      <c r="H4039" s="31" t="e">
        <f>'[4]#REF'!I4039</f>
        <v>#REF!</v>
      </c>
      <c r="I4039" s="32" t="e">
        <f t="shared" si="94"/>
        <v>#REF!</v>
      </c>
    </row>
    <row r="4040" ht="15.75" spans="6:9">
      <c r="F4040" s="12" t="e">
        <f>'[4]#REF'!F4040</f>
        <v>#REF!</v>
      </c>
      <c r="G4040" s="12" t="e">
        <f>'[4]#REF'!G4040</f>
        <v>#REF!</v>
      </c>
      <c r="H4040" s="31" t="e">
        <f>'[4]#REF'!I4040</f>
        <v>#REF!</v>
      </c>
      <c r="I4040" s="32" t="e">
        <f t="shared" si="94"/>
        <v>#REF!</v>
      </c>
    </row>
    <row r="4041" ht="15.75" spans="6:9">
      <c r="F4041" s="12" t="e">
        <f>'[4]#REF'!F4041</f>
        <v>#REF!</v>
      </c>
      <c r="G4041" s="12" t="e">
        <f>'[4]#REF'!G4041</f>
        <v>#REF!</v>
      </c>
      <c r="H4041" s="31" t="e">
        <f>'[4]#REF'!I4041</f>
        <v>#REF!</v>
      </c>
      <c r="I4041" s="32" t="e">
        <f t="shared" si="94"/>
        <v>#REF!</v>
      </c>
    </row>
    <row r="4042" ht="15.75" spans="6:9">
      <c r="F4042" s="12" t="e">
        <f>'[4]#REF'!F4042</f>
        <v>#REF!</v>
      </c>
      <c r="G4042" s="12" t="e">
        <f>'[4]#REF'!G4042</f>
        <v>#REF!</v>
      </c>
      <c r="H4042" s="31" t="e">
        <f>'[4]#REF'!I4042</f>
        <v>#REF!</v>
      </c>
      <c r="I4042" s="32" t="e">
        <f t="shared" si="94"/>
        <v>#REF!</v>
      </c>
    </row>
    <row r="4043" ht="15.75" spans="6:9">
      <c r="F4043" s="12" t="e">
        <f>'[4]#REF'!F4043</f>
        <v>#REF!</v>
      </c>
      <c r="G4043" s="12" t="e">
        <f>'[4]#REF'!G4043</f>
        <v>#REF!</v>
      </c>
      <c r="H4043" s="31" t="e">
        <f>'[4]#REF'!I4043</f>
        <v>#REF!</v>
      </c>
      <c r="I4043" s="32" t="e">
        <f t="shared" si="94"/>
        <v>#REF!</v>
      </c>
    </row>
    <row r="4044" ht="15.75" spans="6:9">
      <c r="F4044" s="12" t="e">
        <f>'[4]#REF'!F4044</f>
        <v>#REF!</v>
      </c>
      <c r="G4044" s="12" t="e">
        <f>'[4]#REF'!G4044</f>
        <v>#REF!</v>
      </c>
      <c r="H4044" s="31" t="e">
        <f>'[4]#REF'!I4044</f>
        <v>#REF!</v>
      </c>
      <c r="I4044" s="32" t="e">
        <f t="shared" si="94"/>
        <v>#REF!</v>
      </c>
    </row>
    <row r="4045" ht="15.75" spans="6:9">
      <c r="F4045" s="12" t="e">
        <f>'[4]#REF'!F4045</f>
        <v>#REF!</v>
      </c>
      <c r="G4045" s="12" t="e">
        <f>'[4]#REF'!G4045</f>
        <v>#REF!</v>
      </c>
      <c r="H4045" s="31" t="e">
        <f>'[4]#REF'!I4045</f>
        <v>#REF!</v>
      </c>
      <c r="I4045" s="32" t="e">
        <f t="shared" si="94"/>
        <v>#REF!</v>
      </c>
    </row>
    <row r="4046" ht="15.75" spans="6:9">
      <c r="F4046" s="12" t="e">
        <f>'[4]#REF'!F4046</f>
        <v>#REF!</v>
      </c>
      <c r="G4046" s="12" t="e">
        <f>'[4]#REF'!G4046</f>
        <v>#REF!</v>
      </c>
      <c r="H4046" s="31" t="e">
        <f>'[4]#REF'!I4046</f>
        <v>#REF!</v>
      </c>
      <c r="I4046" s="32" t="e">
        <f t="shared" si="94"/>
        <v>#REF!</v>
      </c>
    </row>
    <row r="4047" ht="15.75" spans="6:9">
      <c r="F4047" s="12" t="e">
        <f>'[4]#REF'!F4047</f>
        <v>#REF!</v>
      </c>
      <c r="G4047" s="12" t="e">
        <f>'[4]#REF'!G4047</f>
        <v>#REF!</v>
      </c>
      <c r="H4047" s="31" t="e">
        <f>'[4]#REF'!I4047</f>
        <v>#REF!</v>
      </c>
      <c r="I4047" s="32" t="e">
        <f t="shared" si="94"/>
        <v>#REF!</v>
      </c>
    </row>
    <row r="4048" ht="15.75" spans="6:9">
      <c r="F4048" s="12" t="e">
        <f>'[4]#REF'!F4048</f>
        <v>#REF!</v>
      </c>
      <c r="G4048" s="12" t="e">
        <f>'[4]#REF'!G4048</f>
        <v>#REF!</v>
      </c>
      <c r="H4048" s="31" t="e">
        <f>'[4]#REF'!I4048</f>
        <v>#REF!</v>
      </c>
      <c r="I4048" s="32" t="e">
        <f t="shared" si="94"/>
        <v>#REF!</v>
      </c>
    </row>
    <row r="4049" ht="15.75" spans="6:9">
      <c r="F4049" s="12" t="e">
        <f>'[4]#REF'!F4049</f>
        <v>#REF!</v>
      </c>
      <c r="G4049" s="12" t="e">
        <f>'[4]#REF'!G4049</f>
        <v>#REF!</v>
      </c>
      <c r="H4049" s="31" t="e">
        <f>'[4]#REF'!I4049</f>
        <v>#REF!</v>
      </c>
      <c r="I4049" s="32" t="e">
        <f t="shared" si="94"/>
        <v>#REF!</v>
      </c>
    </row>
    <row r="4050" ht="15.75" spans="6:9">
      <c r="F4050" s="12" t="e">
        <f>'[4]#REF'!F4050</f>
        <v>#REF!</v>
      </c>
      <c r="G4050" s="12" t="e">
        <f>'[4]#REF'!G4050</f>
        <v>#REF!</v>
      </c>
      <c r="H4050" s="31" t="e">
        <f>'[4]#REF'!I4050</f>
        <v>#REF!</v>
      </c>
      <c r="I4050" s="32" t="e">
        <f t="shared" si="94"/>
        <v>#REF!</v>
      </c>
    </row>
    <row r="4051" ht="15.75" spans="6:9">
      <c r="F4051" s="12" t="e">
        <f>'[4]#REF'!F4051</f>
        <v>#REF!</v>
      </c>
      <c r="G4051" s="12" t="e">
        <f>'[4]#REF'!G4051</f>
        <v>#REF!</v>
      </c>
      <c r="H4051" s="31" t="e">
        <f>'[4]#REF'!I4051</f>
        <v>#REF!</v>
      </c>
      <c r="I4051" s="32" t="e">
        <f t="shared" si="94"/>
        <v>#REF!</v>
      </c>
    </row>
    <row r="4052" ht="15.75" spans="6:9">
      <c r="F4052" s="12" t="e">
        <f>'[4]#REF'!F4052</f>
        <v>#REF!</v>
      </c>
      <c r="G4052" s="12" t="e">
        <f>'[4]#REF'!G4052</f>
        <v>#REF!</v>
      </c>
      <c r="H4052" s="31" t="e">
        <f>'[4]#REF'!I4052</f>
        <v>#REF!</v>
      </c>
      <c r="I4052" s="32" t="e">
        <f t="shared" si="94"/>
        <v>#REF!</v>
      </c>
    </row>
    <row r="4053" ht="15.75" spans="6:9">
      <c r="F4053" s="12" t="e">
        <f>'[4]#REF'!F4053</f>
        <v>#REF!</v>
      </c>
      <c r="G4053" s="12" t="e">
        <f>'[4]#REF'!G4053</f>
        <v>#REF!</v>
      </c>
      <c r="H4053" s="31" t="e">
        <f>'[4]#REF'!I4053</f>
        <v>#REF!</v>
      </c>
      <c r="I4053" s="32" t="e">
        <f t="shared" si="94"/>
        <v>#REF!</v>
      </c>
    </row>
    <row r="4054" ht="15.75" spans="6:9">
      <c r="F4054" s="12" t="e">
        <f>'[4]#REF'!F4054</f>
        <v>#REF!</v>
      </c>
      <c r="G4054" s="12" t="e">
        <f>'[4]#REF'!G4054</f>
        <v>#REF!</v>
      </c>
      <c r="H4054" s="31" t="e">
        <f>'[4]#REF'!I4054</f>
        <v>#REF!</v>
      </c>
      <c r="I4054" s="32" t="e">
        <f t="shared" si="94"/>
        <v>#REF!</v>
      </c>
    </row>
    <row r="4055" ht="15.75" spans="6:9">
      <c r="F4055" s="12" t="e">
        <f>'[4]#REF'!F4055</f>
        <v>#REF!</v>
      </c>
      <c r="G4055" s="12" t="e">
        <f>'[4]#REF'!G4055</f>
        <v>#REF!</v>
      </c>
      <c r="H4055" s="31" t="e">
        <f>'[4]#REF'!I4055</f>
        <v>#REF!</v>
      </c>
      <c r="I4055" s="32" t="e">
        <f t="shared" si="94"/>
        <v>#REF!</v>
      </c>
    </row>
    <row r="4056" ht="15.75" spans="6:9">
      <c r="F4056" s="12" t="e">
        <f>'[4]#REF'!F4056</f>
        <v>#REF!</v>
      </c>
      <c r="G4056" s="12" t="e">
        <f>'[4]#REF'!G4056</f>
        <v>#REF!</v>
      </c>
      <c r="H4056" s="31" t="e">
        <f>'[4]#REF'!I4056</f>
        <v>#REF!</v>
      </c>
      <c r="I4056" s="32" t="e">
        <f t="shared" si="94"/>
        <v>#REF!</v>
      </c>
    </row>
    <row r="4057" ht="15.75" spans="6:9">
      <c r="F4057" s="12" t="e">
        <f>'[4]#REF'!F4057</f>
        <v>#REF!</v>
      </c>
      <c r="G4057" s="12" t="e">
        <f>'[4]#REF'!G4057</f>
        <v>#REF!</v>
      </c>
      <c r="H4057" s="31" t="e">
        <f>'[4]#REF'!I4057</f>
        <v>#REF!</v>
      </c>
      <c r="I4057" s="32" t="e">
        <f t="shared" si="94"/>
        <v>#REF!</v>
      </c>
    </row>
    <row r="4058" ht="15.75" spans="6:9">
      <c r="F4058" s="12" t="e">
        <f>'[4]#REF'!F4058</f>
        <v>#REF!</v>
      </c>
      <c r="G4058" s="12" t="e">
        <f>'[4]#REF'!G4058</f>
        <v>#REF!</v>
      </c>
      <c r="H4058" s="31" t="e">
        <f>'[4]#REF'!I4058</f>
        <v>#REF!</v>
      </c>
      <c r="I4058" s="32" t="e">
        <f t="shared" si="94"/>
        <v>#REF!</v>
      </c>
    </row>
    <row r="4059" ht="15.75" spans="6:9">
      <c r="F4059" s="12" t="e">
        <f>'[4]#REF'!F4059</f>
        <v>#REF!</v>
      </c>
      <c r="G4059" s="12" t="e">
        <f>'[4]#REF'!G4059</f>
        <v>#REF!</v>
      </c>
      <c r="H4059" s="31" t="e">
        <f>'[4]#REF'!I4059</f>
        <v>#REF!</v>
      </c>
      <c r="I4059" s="32" t="e">
        <f t="shared" si="94"/>
        <v>#REF!</v>
      </c>
    </row>
    <row r="4060" ht="15.75" spans="6:9">
      <c r="F4060" s="12" t="e">
        <f>'[4]#REF'!F4060</f>
        <v>#REF!</v>
      </c>
      <c r="G4060" s="12" t="e">
        <f>'[4]#REF'!G4060</f>
        <v>#REF!</v>
      </c>
      <c r="H4060" s="31" t="e">
        <f>'[4]#REF'!I4060</f>
        <v>#REF!</v>
      </c>
      <c r="I4060" s="32" t="e">
        <f t="shared" si="94"/>
        <v>#REF!</v>
      </c>
    </row>
    <row r="4061" ht="15.75" spans="6:9">
      <c r="F4061" s="12" t="e">
        <f>'[4]#REF'!F4061</f>
        <v>#REF!</v>
      </c>
      <c r="G4061" s="12" t="e">
        <f>'[4]#REF'!G4061</f>
        <v>#REF!</v>
      </c>
      <c r="H4061" s="31" t="e">
        <f>'[4]#REF'!I4061</f>
        <v>#REF!</v>
      </c>
      <c r="I4061" s="32" t="e">
        <f t="shared" si="94"/>
        <v>#REF!</v>
      </c>
    </row>
    <row r="4062" ht="15.75" spans="6:9">
      <c r="F4062" s="12" t="e">
        <f>'[4]#REF'!F4062</f>
        <v>#REF!</v>
      </c>
      <c r="G4062" s="12" t="e">
        <f>'[4]#REF'!G4062</f>
        <v>#REF!</v>
      </c>
      <c r="H4062" s="31" t="e">
        <f>'[4]#REF'!I4062</f>
        <v>#REF!</v>
      </c>
      <c r="I4062" s="32" t="e">
        <f t="shared" si="94"/>
        <v>#REF!</v>
      </c>
    </row>
    <row r="4063" ht="15.75" spans="6:9">
      <c r="F4063" s="12" t="e">
        <f>'[4]#REF'!F4063</f>
        <v>#REF!</v>
      </c>
      <c r="G4063" s="12" t="e">
        <f>'[4]#REF'!G4063</f>
        <v>#REF!</v>
      </c>
      <c r="H4063" s="31" t="e">
        <f>'[4]#REF'!I4063</f>
        <v>#REF!</v>
      </c>
      <c r="I4063" s="32" t="e">
        <f t="shared" si="94"/>
        <v>#REF!</v>
      </c>
    </row>
    <row r="4064" ht="15.75" spans="6:9">
      <c r="F4064" s="12" t="e">
        <f>'[4]#REF'!F4064</f>
        <v>#REF!</v>
      </c>
      <c r="G4064" s="12" t="e">
        <f>'[4]#REF'!G4064</f>
        <v>#REF!</v>
      </c>
      <c r="H4064" s="31" t="e">
        <f>'[4]#REF'!I4064</f>
        <v>#REF!</v>
      </c>
      <c r="I4064" s="32" t="e">
        <f t="shared" si="94"/>
        <v>#REF!</v>
      </c>
    </row>
    <row r="4065" ht="15.75" spans="6:9">
      <c r="F4065" s="12" t="e">
        <f>'[4]#REF'!F4065</f>
        <v>#REF!</v>
      </c>
      <c r="G4065" s="12" t="e">
        <f>'[4]#REF'!G4065</f>
        <v>#REF!</v>
      </c>
      <c r="H4065" s="31" t="e">
        <f>'[4]#REF'!I4065</f>
        <v>#REF!</v>
      </c>
      <c r="I4065" s="32" t="e">
        <f t="shared" si="94"/>
        <v>#REF!</v>
      </c>
    </row>
    <row r="4066" ht="15.75" spans="6:9">
      <c r="F4066" s="12" t="e">
        <f>'[4]#REF'!F4066</f>
        <v>#REF!</v>
      </c>
      <c r="G4066" s="12" t="e">
        <f>'[4]#REF'!G4066</f>
        <v>#REF!</v>
      </c>
      <c r="H4066" s="31" t="e">
        <f>'[4]#REF'!I4066</f>
        <v>#REF!</v>
      </c>
      <c r="I4066" s="32" t="e">
        <f t="shared" si="94"/>
        <v>#REF!</v>
      </c>
    </row>
    <row r="4067" ht="15.75" spans="6:9">
      <c r="F4067" s="12" t="e">
        <f>'[4]#REF'!F4067</f>
        <v>#REF!</v>
      </c>
      <c r="G4067" s="12" t="e">
        <f>'[4]#REF'!G4067</f>
        <v>#REF!</v>
      </c>
      <c r="H4067" s="31" t="e">
        <f>'[4]#REF'!I4067</f>
        <v>#REF!</v>
      </c>
      <c r="I4067" s="32" t="e">
        <f t="shared" si="94"/>
        <v>#REF!</v>
      </c>
    </row>
    <row r="4068" ht="15.75" spans="6:9">
      <c r="F4068" s="12" t="e">
        <f>'[4]#REF'!F4068</f>
        <v>#REF!</v>
      </c>
      <c r="G4068" s="12" t="e">
        <f>'[4]#REF'!G4068</f>
        <v>#REF!</v>
      </c>
      <c r="H4068" s="31" t="e">
        <f>'[4]#REF'!I4068</f>
        <v>#REF!</v>
      </c>
      <c r="I4068" s="32" t="e">
        <f t="shared" si="94"/>
        <v>#REF!</v>
      </c>
    </row>
    <row r="4069" ht="15.75" spans="6:9">
      <c r="F4069" s="12" t="e">
        <f>'[4]#REF'!F4069</f>
        <v>#REF!</v>
      </c>
      <c r="G4069" s="12" t="e">
        <f>'[4]#REF'!G4069</f>
        <v>#REF!</v>
      </c>
      <c r="H4069" s="31" t="e">
        <f>'[4]#REF'!I4069</f>
        <v>#REF!</v>
      </c>
      <c r="I4069" s="32" t="e">
        <f t="shared" si="94"/>
        <v>#REF!</v>
      </c>
    </row>
    <row r="4070" ht="15.75" spans="6:9">
      <c r="F4070" s="12" t="e">
        <f>'[4]#REF'!F4070</f>
        <v>#REF!</v>
      </c>
      <c r="G4070" s="12" t="e">
        <f>'[4]#REF'!G4070</f>
        <v>#REF!</v>
      </c>
      <c r="H4070" s="31" t="e">
        <f>'[4]#REF'!I4070</f>
        <v>#REF!</v>
      </c>
      <c r="I4070" s="32" t="e">
        <f t="shared" si="94"/>
        <v>#REF!</v>
      </c>
    </row>
    <row r="4071" ht="15.75" spans="6:9">
      <c r="F4071" s="12" t="e">
        <f>'[4]#REF'!F4071</f>
        <v>#REF!</v>
      </c>
      <c r="G4071" s="12" t="e">
        <f>'[4]#REF'!G4071</f>
        <v>#REF!</v>
      </c>
      <c r="H4071" s="31" t="e">
        <f>'[4]#REF'!I4071</f>
        <v>#REF!</v>
      </c>
      <c r="I4071" s="32" t="e">
        <f t="shared" si="94"/>
        <v>#REF!</v>
      </c>
    </row>
    <row r="4072" ht="15.75" spans="6:9">
      <c r="F4072" s="12" t="e">
        <f>'[4]#REF'!F4072</f>
        <v>#REF!</v>
      </c>
      <c r="G4072" s="12" t="e">
        <f>'[4]#REF'!G4072</f>
        <v>#REF!</v>
      </c>
      <c r="H4072" s="31" t="e">
        <f>'[4]#REF'!I4072</f>
        <v>#REF!</v>
      </c>
      <c r="I4072" s="32" t="e">
        <f t="shared" si="94"/>
        <v>#REF!</v>
      </c>
    </row>
    <row r="4073" ht="15.75" spans="6:9">
      <c r="F4073" s="12" t="e">
        <f>'[4]#REF'!F4073</f>
        <v>#REF!</v>
      </c>
      <c r="G4073" s="12" t="e">
        <f>'[4]#REF'!G4073</f>
        <v>#REF!</v>
      </c>
      <c r="H4073" s="31" t="e">
        <f>'[4]#REF'!I4073</f>
        <v>#REF!</v>
      </c>
      <c r="I4073" s="32" t="e">
        <f t="shared" si="94"/>
        <v>#REF!</v>
      </c>
    </row>
    <row r="4074" ht="15.75" spans="6:9">
      <c r="F4074" s="12" t="e">
        <f>'[4]#REF'!F4074</f>
        <v>#REF!</v>
      </c>
      <c r="G4074" s="12" t="e">
        <f>'[4]#REF'!G4074</f>
        <v>#REF!</v>
      </c>
      <c r="H4074" s="31" t="e">
        <f>'[4]#REF'!I4074</f>
        <v>#REF!</v>
      </c>
      <c r="I4074" s="32" t="e">
        <f t="shared" si="94"/>
        <v>#REF!</v>
      </c>
    </row>
    <row r="4075" ht="15.75" spans="6:9">
      <c r="F4075" s="12" t="e">
        <f>'[4]#REF'!F4075</f>
        <v>#REF!</v>
      </c>
      <c r="G4075" s="12" t="e">
        <f>'[4]#REF'!G4075</f>
        <v>#REF!</v>
      </c>
      <c r="H4075" s="31" t="e">
        <f>'[4]#REF'!I4075</f>
        <v>#REF!</v>
      </c>
      <c r="I4075" s="32" t="e">
        <f t="shared" si="94"/>
        <v>#REF!</v>
      </c>
    </row>
    <row r="4076" ht="15.75" spans="6:9">
      <c r="F4076" s="12" t="e">
        <f>'[4]#REF'!F4076</f>
        <v>#REF!</v>
      </c>
      <c r="G4076" s="12" t="e">
        <f>'[4]#REF'!G4076</f>
        <v>#REF!</v>
      </c>
      <c r="H4076" s="31" t="e">
        <f>'[4]#REF'!I4076</f>
        <v>#REF!</v>
      </c>
      <c r="I4076" s="32" t="e">
        <f t="shared" si="94"/>
        <v>#REF!</v>
      </c>
    </row>
    <row r="4077" ht="15.75" spans="6:9">
      <c r="F4077" s="12" t="e">
        <f>'[4]#REF'!F4077</f>
        <v>#REF!</v>
      </c>
      <c r="G4077" s="12" t="e">
        <f>'[4]#REF'!G4077</f>
        <v>#REF!</v>
      </c>
      <c r="H4077" s="31" t="e">
        <f>'[4]#REF'!I4077</f>
        <v>#REF!</v>
      </c>
      <c r="I4077" s="32" t="e">
        <f t="shared" si="94"/>
        <v>#REF!</v>
      </c>
    </row>
    <row r="4078" ht="15.75" spans="6:9">
      <c r="F4078" s="12" t="e">
        <f>'[4]#REF'!F4078</f>
        <v>#REF!</v>
      </c>
      <c r="G4078" s="12" t="e">
        <f>'[4]#REF'!G4078</f>
        <v>#REF!</v>
      </c>
      <c r="H4078" s="31" t="e">
        <f>'[4]#REF'!I4078</f>
        <v>#REF!</v>
      </c>
      <c r="I4078" s="32" t="e">
        <f t="shared" si="94"/>
        <v>#REF!</v>
      </c>
    </row>
    <row r="4079" ht="15.75" spans="6:9">
      <c r="F4079" s="12" t="e">
        <f>'[4]#REF'!F4079</f>
        <v>#REF!</v>
      </c>
      <c r="G4079" s="12" t="e">
        <f>'[4]#REF'!G4079</f>
        <v>#REF!</v>
      </c>
      <c r="H4079" s="31" t="e">
        <f>'[4]#REF'!I4079</f>
        <v>#REF!</v>
      </c>
      <c r="I4079" s="32" t="e">
        <f t="shared" si="94"/>
        <v>#REF!</v>
      </c>
    </row>
    <row r="4080" ht="15.75" spans="6:9">
      <c r="F4080" s="12" t="e">
        <f>'[4]#REF'!F4080</f>
        <v>#REF!</v>
      </c>
      <c r="G4080" s="12" t="e">
        <f>'[4]#REF'!G4080</f>
        <v>#REF!</v>
      </c>
      <c r="H4080" s="31" t="e">
        <f>'[4]#REF'!I4080</f>
        <v>#REF!</v>
      </c>
      <c r="I4080" s="32" t="e">
        <f t="shared" si="94"/>
        <v>#REF!</v>
      </c>
    </row>
    <row r="4081" ht="15.75" spans="6:9">
      <c r="F4081" s="12" t="e">
        <f>'[4]#REF'!F4081</f>
        <v>#REF!</v>
      </c>
      <c r="G4081" s="12" t="e">
        <f>'[4]#REF'!G4081</f>
        <v>#REF!</v>
      </c>
      <c r="H4081" s="31" t="e">
        <f>'[4]#REF'!I4081</f>
        <v>#REF!</v>
      </c>
      <c r="I4081" s="32" t="e">
        <f t="shared" si="94"/>
        <v>#REF!</v>
      </c>
    </row>
    <row r="4082" ht="15.75" spans="6:9">
      <c r="F4082" s="12" t="e">
        <f>'[4]#REF'!F4082</f>
        <v>#REF!</v>
      </c>
      <c r="G4082" s="12" t="e">
        <f>'[4]#REF'!G4082</f>
        <v>#REF!</v>
      </c>
      <c r="H4082" s="31" t="e">
        <f>'[4]#REF'!I4082</f>
        <v>#REF!</v>
      </c>
      <c r="I4082" s="32" t="e">
        <f t="shared" si="94"/>
        <v>#REF!</v>
      </c>
    </row>
    <row r="4083" ht="15.75" spans="6:9">
      <c r="F4083" s="12" t="e">
        <f>'[4]#REF'!F4083</f>
        <v>#REF!</v>
      </c>
      <c r="G4083" s="12" t="e">
        <f>'[4]#REF'!G4083</f>
        <v>#REF!</v>
      </c>
      <c r="H4083" s="31" t="e">
        <f>'[4]#REF'!I4083</f>
        <v>#REF!</v>
      </c>
      <c r="I4083" s="32" t="e">
        <f t="shared" si="94"/>
        <v>#REF!</v>
      </c>
    </row>
    <row r="4084" ht="15.75" spans="6:9">
      <c r="F4084" s="12" t="e">
        <f>'[4]#REF'!F4084</f>
        <v>#REF!</v>
      </c>
      <c r="G4084" s="12" t="e">
        <f>'[4]#REF'!G4084</f>
        <v>#REF!</v>
      </c>
      <c r="H4084" s="31" t="e">
        <f>'[4]#REF'!I4084</f>
        <v>#REF!</v>
      </c>
      <c r="I4084" s="32" t="e">
        <f t="shared" si="94"/>
        <v>#REF!</v>
      </c>
    </row>
    <row r="4085" ht="15.75" spans="6:9">
      <c r="F4085" s="12" t="e">
        <f>'[4]#REF'!F4085</f>
        <v>#REF!</v>
      </c>
      <c r="G4085" s="12" t="e">
        <f>'[4]#REF'!G4085</f>
        <v>#REF!</v>
      </c>
      <c r="H4085" s="31" t="e">
        <f>'[4]#REF'!I4085</f>
        <v>#REF!</v>
      </c>
      <c r="I4085" s="32" t="e">
        <f t="shared" si="94"/>
        <v>#REF!</v>
      </c>
    </row>
    <row r="4086" ht="15.75" spans="6:9">
      <c r="F4086" s="12" t="e">
        <f>'[4]#REF'!F4086</f>
        <v>#REF!</v>
      </c>
      <c r="G4086" s="12" t="e">
        <f>'[4]#REF'!G4086</f>
        <v>#REF!</v>
      </c>
      <c r="H4086" s="31" t="e">
        <f>'[4]#REF'!I4086</f>
        <v>#REF!</v>
      </c>
      <c r="I4086" s="32" t="e">
        <f t="shared" si="94"/>
        <v>#REF!</v>
      </c>
    </row>
    <row r="4087" ht="15.75" spans="6:9">
      <c r="F4087" s="12" t="e">
        <f>'[4]#REF'!F4087</f>
        <v>#REF!</v>
      </c>
      <c r="G4087" s="12" t="e">
        <f>'[4]#REF'!G4087</f>
        <v>#REF!</v>
      </c>
      <c r="H4087" s="31" t="e">
        <f>'[4]#REF'!I4087</f>
        <v>#REF!</v>
      </c>
      <c r="I4087" s="32" t="e">
        <f t="shared" si="94"/>
        <v>#REF!</v>
      </c>
    </row>
    <row r="4088" ht="15.75" spans="6:9">
      <c r="F4088" s="12" t="e">
        <f>'[4]#REF'!F4088</f>
        <v>#REF!</v>
      </c>
      <c r="G4088" s="12" t="e">
        <f>'[4]#REF'!G4088</f>
        <v>#REF!</v>
      </c>
      <c r="H4088" s="31" t="e">
        <f>'[4]#REF'!I4088</f>
        <v>#REF!</v>
      </c>
      <c r="I4088" s="32" t="e">
        <f t="shared" si="94"/>
        <v>#REF!</v>
      </c>
    </row>
    <row r="4089" ht="15.75" spans="6:9">
      <c r="F4089" s="12" t="e">
        <f>'[4]#REF'!F4089</f>
        <v>#REF!</v>
      </c>
      <c r="G4089" s="12" t="e">
        <f>'[4]#REF'!G4089</f>
        <v>#REF!</v>
      </c>
      <c r="H4089" s="31" t="e">
        <f>'[4]#REF'!I4089</f>
        <v>#REF!</v>
      </c>
      <c r="I4089" s="32" t="e">
        <f t="shared" si="94"/>
        <v>#REF!</v>
      </c>
    </row>
    <row r="4090" ht="15.75" spans="6:9">
      <c r="F4090" s="12" t="e">
        <f>'[4]#REF'!F4090</f>
        <v>#REF!</v>
      </c>
      <c r="G4090" s="12" t="e">
        <f>'[4]#REF'!G4090</f>
        <v>#REF!</v>
      </c>
      <c r="H4090" s="31" t="e">
        <f>'[4]#REF'!I4090</f>
        <v>#REF!</v>
      </c>
      <c r="I4090" s="32" t="e">
        <f t="shared" si="94"/>
        <v>#REF!</v>
      </c>
    </row>
    <row r="4091" ht="15.75" spans="6:9">
      <c r="F4091" s="12" t="e">
        <f>'[4]#REF'!F4091</f>
        <v>#REF!</v>
      </c>
      <c r="G4091" s="12" t="e">
        <f>'[4]#REF'!G4091</f>
        <v>#REF!</v>
      </c>
      <c r="H4091" s="31" t="e">
        <f>'[4]#REF'!I4091</f>
        <v>#REF!</v>
      </c>
      <c r="I4091" s="32" t="e">
        <f t="shared" si="94"/>
        <v>#REF!</v>
      </c>
    </row>
    <row r="4092" ht="15.75" spans="6:9">
      <c r="F4092" s="12" t="e">
        <f>'[4]#REF'!F4092</f>
        <v>#REF!</v>
      </c>
      <c r="G4092" s="12" t="e">
        <f>'[4]#REF'!G4092</f>
        <v>#REF!</v>
      </c>
      <c r="H4092" s="31" t="e">
        <f>'[4]#REF'!I4092</f>
        <v>#REF!</v>
      </c>
      <c r="I4092" s="32" t="e">
        <f t="shared" si="94"/>
        <v>#REF!</v>
      </c>
    </row>
    <row r="4093" ht="15.75" spans="6:9">
      <c r="F4093" s="12" t="e">
        <f>'[4]#REF'!F4093</f>
        <v>#REF!</v>
      </c>
      <c r="G4093" s="12" t="e">
        <f>'[4]#REF'!G4093</f>
        <v>#REF!</v>
      </c>
      <c r="H4093" s="31" t="e">
        <f>'[4]#REF'!I4093</f>
        <v>#REF!</v>
      </c>
      <c r="I4093" s="32" t="e">
        <f t="shared" si="94"/>
        <v>#REF!</v>
      </c>
    </row>
    <row r="4094" ht="15.75" spans="6:9">
      <c r="F4094" s="12" t="e">
        <f>'[4]#REF'!F4094</f>
        <v>#REF!</v>
      </c>
      <c r="G4094" s="12" t="e">
        <f>'[4]#REF'!G4094</f>
        <v>#REF!</v>
      </c>
      <c r="H4094" s="31" t="e">
        <f>'[4]#REF'!I4094</f>
        <v>#REF!</v>
      </c>
      <c r="I4094" s="32" t="e">
        <f t="shared" si="94"/>
        <v>#REF!</v>
      </c>
    </row>
    <row r="4095" ht="15.75" spans="6:9">
      <c r="F4095" s="12" t="e">
        <f>'[4]#REF'!F4095</f>
        <v>#REF!</v>
      </c>
      <c r="G4095" s="12" t="e">
        <f>'[4]#REF'!G4095</f>
        <v>#REF!</v>
      </c>
      <c r="H4095" s="31" t="e">
        <f>'[4]#REF'!I4095</f>
        <v>#REF!</v>
      </c>
      <c r="I4095" s="32" t="e">
        <f t="shared" si="94"/>
        <v>#REF!</v>
      </c>
    </row>
    <row r="4096" ht="15.75" spans="6:9">
      <c r="F4096" s="12" t="e">
        <f>'[4]#REF'!F4096</f>
        <v>#REF!</v>
      </c>
      <c r="G4096" s="12" t="e">
        <f>'[4]#REF'!G4096</f>
        <v>#REF!</v>
      </c>
      <c r="H4096" s="31" t="e">
        <f>'[4]#REF'!I4096</f>
        <v>#REF!</v>
      </c>
      <c r="I4096" s="32" t="e">
        <f t="shared" si="94"/>
        <v>#REF!</v>
      </c>
    </row>
    <row r="4097" ht="15.75" spans="6:9">
      <c r="F4097" s="12" t="e">
        <f>'[4]#REF'!F4097</f>
        <v>#REF!</v>
      </c>
      <c r="G4097" s="12" t="e">
        <f>'[4]#REF'!G4097</f>
        <v>#REF!</v>
      </c>
      <c r="H4097" s="31" t="e">
        <f>'[4]#REF'!I4097</f>
        <v>#REF!</v>
      </c>
      <c r="I4097" s="32" t="e">
        <f t="shared" si="94"/>
        <v>#REF!</v>
      </c>
    </row>
    <row r="4098" ht="15.75" spans="6:9">
      <c r="F4098" s="12" t="e">
        <f>'[4]#REF'!F4098</f>
        <v>#REF!</v>
      </c>
      <c r="G4098" s="12" t="e">
        <f>'[4]#REF'!G4098</f>
        <v>#REF!</v>
      </c>
      <c r="H4098" s="31" t="e">
        <f>'[4]#REF'!I4098</f>
        <v>#REF!</v>
      </c>
      <c r="I4098" s="32" t="e">
        <f t="shared" si="94"/>
        <v>#REF!</v>
      </c>
    </row>
    <row r="4099" ht="15.75" spans="6:9">
      <c r="F4099" s="12" t="e">
        <f>'[4]#REF'!F4099</f>
        <v>#REF!</v>
      </c>
      <c r="G4099" s="12" t="e">
        <f>'[4]#REF'!G4099</f>
        <v>#REF!</v>
      </c>
      <c r="H4099" s="31" t="e">
        <f>'[4]#REF'!I4099</f>
        <v>#REF!</v>
      </c>
      <c r="I4099" s="32" t="e">
        <f t="shared" si="94"/>
        <v>#REF!</v>
      </c>
    </row>
    <row r="4100" ht="15.75" spans="6:9">
      <c r="F4100" s="12" t="e">
        <f>'[4]#REF'!F4100</f>
        <v>#REF!</v>
      </c>
      <c r="G4100" s="12" t="e">
        <f>'[4]#REF'!G4100</f>
        <v>#REF!</v>
      </c>
      <c r="H4100" s="31" t="e">
        <f>'[4]#REF'!I4100</f>
        <v>#REF!</v>
      </c>
      <c r="I4100" s="32" t="e">
        <f t="shared" si="94"/>
        <v>#REF!</v>
      </c>
    </row>
    <row r="4101" ht="15.75" spans="6:9">
      <c r="F4101" s="12" t="e">
        <f>'[4]#REF'!F4101</f>
        <v>#REF!</v>
      </c>
      <c r="G4101" s="12" t="e">
        <f>'[4]#REF'!G4101</f>
        <v>#REF!</v>
      </c>
      <c r="H4101" s="31" t="e">
        <f>'[4]#REF'!I4101</f>
        <v>#REF!</v>
      </c>
      <c r="I4101" s="32" t="e">
        <f t="shared" si="94"/>
        <v>#REF!</v>
      </c>
    </row>
    <row r="4102" ht="15.75" spans="6:9">
      <c r="F4102" s="12" t="e">
        <f>'[4]#REF'!F4102</f>
        <v>#REF!</v>
      </c>
      <c r="G4102" s="12" t="e">
        <f>'[4]#REF'!G4102</f>
        <v>#REF!</v>
      </c>
      <c r="H4102" s="31" t="e">
        <f>'[4]#REF'!I4102</f>
        <v>#REF!</v>
      </c>
      <c r="I4102" s="32" t="e">
        <f t="shared" ref="I4102:I4165" si="95">ROUND(H4102/$I$4*100,2)</f>
        <v>#REF!</v>
      </c>
    </row>
    <row r="4103" ht="15.75" spans="6:9">
      <c r="F4103" s="12" t="e">
        <f>'[4]#REF'!F4103</f>
        <v>#REF!</v>
      </c>
      <c r="G4103" s="12" t="e">
        <f>'[4]#REF'!G4103</f>
        <v>#REF!</v>
      </c>
      <c r="H4103" s="31" t="e">
        <f>'[4]#REF'!I4103</f>
        <v>#REF!</v>
      </c>
      <c r="I4103" s="32" t="e">
        <f t="shared" si="95"/>
        <v>#REF!</v>
      </c>
    </row>
    <row r="4104" ht="15.75" spans="6:9">
      <c r="F4104" s="12" t="e">
        <f>'[4]#REF'!F4104</f>
        <v>#REF!</v>
      </c>
      <c r="G4104" s="12" t="e">
        <f>'[4]#REF'!G4104</f>
        <v>#REF!</v>
      </c>
      <c r="H4104" s="31" t="e">
        <f>'[4]#REF'!I4104</f>
        <v>#REF!</v>
      </c>
      <c r="I4104" s="32" t="e">
        <f t="shared" si="95"/>
        <v>#REF!</v>
      </c>
    </row>
    <row r="4105" ht="15.75" spans="6:9">
      <c r="F4105" s="12" t="e">
        <f>'[4]#REF'!F4105</f>
        <v>#REF!</v>
      </c>
      <c r="G4105" s="12" t="e">
        <f>'[4]#REF'!G4105</f>
        <v>#REF!</v>
      </c>
      <c r="H4105" s="31" t="e">
        <f>'[4]#REF'!I4105</f>
        <v>#REF!</v>
      </c>
      <c r="I4105" s="32" t="e">
        <f t="shared" si="95"/>
        <v>#REF!</v>
      </c>
    </row>
    <row r="4106" ht="15.75" spans="6:9">
      <c r="F4106" s="12" t="e">
        <f>'[4]#REF'!F4106</f>
        <v>#REF!</v>
      </c>
      <c r="G4106" s="12" t="e">
        <f>'[4]#REF'!G4106</f>
        <v>#REF!</v>
      </c>
      <c r="H4106" s="31" t="e">
        <f>'[4]#REF'!I4106</f>
        <v>#REF!</v>
      </c>
      <c r="I4106" s="32" t="e">
        <f t="shared" si="95"/>
        <v>#REF!</v>
      </c>
    </row>
    <row r="4107" ht="15.75" spans="6:9">
      <c r="F4107" s="12" t="e">
        <f>'[4]#REF'!F4107</f>
        <v>#REF!</v>
      </c>
      <c r="G4107" s="12" t="e">
        <f>'[4]#REF'!G4107</f>
        <v>#REF!</v>
      </c>
      <c r="H4107" s="31" t="e">
        <f>'[4]#REF'!I4107</f>
        <v>#REF!</v>
      </c>
      <c r="I4107" s="32" t="e">
        <f t="shared" si="95"/>
        <v>#REF!</v>
      </c>
    </row>
    <row r="4108" ht="15.75" spans="6:9">
      <c r="F4108" s="12" t="e">
        <f>'[4]#REF'!F4108</f>
        <v>#REF!</v>
      </c>
      <c r="G4108" s="12" t="e">
        <f>'[4]#REF'!G4108</f>
        <v>#REF!</v>
      </c>
      <c r="H4108" s="31" t="e">
        <f>'[4]#REF'!I4108</f>
        <v>#REF!</v>
      </c>
      <c r="I4108" s="32" t="e">
        <f t="shared" si="95"/>
        <v>#REF!</v>
      </c>
    </row>
    <row r="4109" ht="15.75" spans="6:9">
      <c r="F4109" s="12" t="e">
        <f>'[4]#REF'!F4109</f>
        <v>#REF!</v>
      </c>
      <c r="G4109" s="12" t="e">
        <f>'[4]#REF'!G4109</f>
        <v>#REF!</v>
      </c>
      <c r="H4109" s="31" t="e">
        <f>'[4]#REF'!I4109</f>
        <v>#REF!</v>
      </c>
      <c r="I4109" s="32" t="e">
        <f t="shared" si="95"/>
        <v>#REF!</v>
      </c>
    </row>
    <row r="4110" ht="15.75" spans="6:9">
      <c r="F4110" s="12" t="e">
        <f>'[4]#REF'!F4110</f>
        <v>#REF!</v>
      </c>
      <c r="G4110" s="12" t="e">
        <f>'[4]#REF'!G4110</f>
        <v>#REF!</v>
      </c>
      <c r="H4110" s="31" t="e">
        <f>'[4]#REF'!I4110</f>
        <v>#REF!</v>
      </c>
      <c r="I4110" s="32" t="e">
        <f t="shared" si="95"/>
        <v>#REF!</v>
      </c>
    </row>
    <row r="4111" ht="15.75" spans="6:9">
      <c r="F4111" s="12" t="e">
        <f>'[4]#REF'!F4111</f>
        <v>#REF!</v>
      </c>
      <c r="G4111" s="12" t="e">
        <f>'[4]#REF'!G4111</f>
        <v>#REF!</v>
      </c>
      <c r="H4111" s="31" t="e">
        <f>'[4]#REF'!I4111</f>
        <v>#REF!</v>
      </c>
      <c r="I4111" s="32" t="e">
        <f t="shared" si="95"/>
        <v>#REF!</v>
      </c>
    </row>
    <row r="4112" ht="15.75" spans="6:9">
      <c r="F4112" s="12" t="e">
        <f>'[4]#REF'!F4112</f>
        <v>#REF!</v>
      </c>
      <c r="G4112" s="12" t="e">
        <f>'[4]#REF'!G4112</f>
        <v>#REF!</v>
      </c>
      <c r="H4112" s="31" t="e">
        <f>'[4]#REF'!I4112</f>
        <v>#REF!</v>
      </c>
      <c r="I4112" s="32" t="e">
        <f t="shared" si="95"/>
        <v>#REF!</v>
      </c>
    </row>
    <row r="4113" ht="15.75" spans="6:9">
      <c r="F4113" s="12" t="e">
        <f>'[4]#REF'!F4113</f>
        <v>#REF!</v>
      </c>
      <c r="G4113" s="12" t="e">
        <f>'[4]#REF'!G4113</f>
        <v>#REF!</v>
      </c>
      <c r="H4113" s="31" t="e">
        <f>'[4]#REF'!I4113</f>
        <v>#REF!</v>
      </c>
      <c r="I4113" s="32" t="e">
        <f t="shared" si="95"/>
        <v>#REF!</v>
      </c>
    </row>
    <row r="4114" ht="15.75" spans="6:9">
      <c r="F4114" s="12" t="e">
        <f>'[4]#REF'!F4114</f>
        <v>#REF!</v>
      </c>
      <c r="G4114" s="12" t="e">
        <f>'[4]#REF'!G4114</f>
        <v>#REF!</v>
      </c>
      <c r="H4114" s="31" t="e">
        <f>'[4]#REF'!I4114</f>
        <v>#REF!</v>
      </c>
      <c r="I4114" s="32" t="e">
        <f t="shared" si="95"/>
        <v>#REF!</v>
      </c>
    </row>
    <row r="4115" ht="15.75" spans="6:9">
      <c r="F4115" s="12" t="e">
        <f>'[4]#REF'!F4115</f>
        <v>#REF!</v>
      </c>
      <c r="G4115" s="12" t="e">
        <f>'[4]#REF'!G4115</f>
        <v>#REF!</v>
      </c>
      <c r="H4115" s="31" t="e">
        <f>'[4]#REF'!I4115</f>
        <v>#REF!</v>
      </c>
      <c r="I4115" s="32" t="e">
        <f t="shared" si="95"/>
        <v>#REF!</v>
      </c>
    </row>
    <row r="4116" ht="15.75" spans="6:9">
      <c r="F4116" s="12" t="e">
        <f>'[4]#REF'!F4116</f>
        <v>#REF!</v>
      </c>
      <c r="G4116" s="12" t="e">
        <f>'[4]#REF'!G4116</f>
        <v>#REF!</v>
      </c>
      <c r="H4116" s="31" t="e">
        <f>'[4]#REF'!I4116</f>
        <v>#REF!</v>
      </c>
      <c r="I4116" s="32" t="e">
        <f t="shared" si="95"/>
        <v>#REF!</v>
      </c>
    </row>
    <row r="4117" ht="15.75" spans="6:9">
      <c r="F4117" s="12" t="e">
        <f>'[4]#REF'!F4117</f>
        <v>#REF!</v>
      </c>
      <c r="G4117" s="12" t="e">
        <f>'[4]#REF'!G4117</f>
        <v>#REF!</v>
      </c>
      <c r="H4117" s="31" t="e">
        <f>'[4]#REF'!I4117</f>
        <v>#REF!</v>
      </c>
      <c r="I4117" s="32" t="e">
        <f t="shared" si="95"/>
        <v>#REF!</v>
      </c>
    </row>
    <row r="4118" ht="15.75" spans="6:9">
      <c r="F4118" s="12" t="e">
        <f>'[4]#REF'!F4118</f>
        <v>#REF!</v>
      </c>
      <c r="G4118" s="12" t="e">
        <f>'[4]#REF'!G4118</f>
        <v>#REF!</v>
      </c>
      <c r="H4118" s="31" t="e">
        <f>'[4]#REF'!I4118</f>
        <v>#REF!</v>
      </c>
      <c r="I4118" s="32" t="e">
        <f t="shared" si="95"/>
        <v>#REF!</v>
      </c>
    </row>
    <row r="4119" ht="15.75" spans="6:9">
      <c r="F4119" s="12" t="e">
        <f>'[4]#REF'!F4119</f>
        <v>#REF!</v>
      </c>
      <c r="G4119" s="12" t="e">
        <f>'[4]#REF'!G4119</f>
        <v>#REF!</v>
      </c>
      <c r="H4119" s="31" t="e">
        <f>'[4]#REF'!I4119</f>
        <v>#REF!</v>
      </c>
      <c r="I4119" s="32" t="e">
        <f t="shared" si="95"/>
        <v>#REF!</v>
      </c>
    </row>
    <row r="4120" ht="15.75" spans="6:9">
      <c r="F4120" s="12" t="e">
        <f>'[4]#REF'!F4120</f>
        <v>#REF!</v>
      </c>
      <c r="G4120" s="12" t="e">
        <f>'[4]#REF'!G4120</f>
        <v>#REF!</v>
      </c>
      <c r="H4120" s="31" t="e">
        <f>'[4]#REF'!I4120</f>
        <v>#REF!</v>
      </c>
      <c r="I4120" s="32" t="e">
        <f t="shared" si="95"/>
        <v>#REF!</v>
      </c>
    </row>
    <row r="4121" ht="15.75" spans="6:9">
      <c r="F4121" s="12" t="e">
        <f>'[4]#REF'!F4121</f>
        <v>#REF!</v>
      </c>
      <c r="G4121" s="12" t="e">
        <f>'[4]#REF'!G4121</f>
        <v>#REF!</v>
      </c>
      <c r="H4121" s="31" t="e">
        <f>'[4]#REF'!I4121</f>
        <v>#REF!</v>
      </c>
      <c r="I4121" s="32" t="e">
        <f t="shared" si="95"/>
        <v>#REF!</v>
      </c>
    </row>
    <row r="4122" ht="15.75" spans="6:9">
      <c r="F4122" s="12" t="e">
        <f>'[4]#REF'!F4122</f>
        <v>#REF!</v>
      </c>
      <c r="G4122" s="12" t="e">
        <f>'[4]#REF'!G4122</f>
        <v>#REF!</v>
      </c>
      <c r="H4122" s="31" t="e">
        <f>'[4]#REF'!I4122</f>
        <v>#REF!</v>
      </c>
      <c r="I4122" s="32" t="e">
        <f t="shared" si="95"/>
        <v>#REF!</v>
      </c>
    </row>
    <row r="4123" ht="15.75" spans="6:9">
      <c r="F4123" s="12" t="e">
        <f>'[4]#REF'!F4123</f>
        <v>#REF!</v>
      </c>
      <c r="G4123" s="12" t="e">
        <f>'[4]#REF'!G4123</f>
        <v>#REF!</v>
      </c>
      <c r="H4123" s="31" t="e">
        <f>'[4]#REF'!I4123</f>
        <v>#REF!</v>
      </c>
      <c r="I4123" s="32" t="e">
        <f t="shared" si="95"/>
        <v>#REF!</v>
      </c>
    </row>
    <row r="4124" ht="15.75" spans="6:9">
      <c r="F4124" s="12" t="e">
        <f>'[4]#REF'!F4124</f>
        <v>#REF!</v>
      </c>
      <c r="G4124" s="12" t="e">
        <f>'[4]#REF'!G4124</f>
        <v>#REF!</v>
      </c>
      <c r="H4124" s="31" t="e">
        <f>'[4]#REF'!I4124</f>
        <v>#REF!</v>
      </c>
      <c r="I4124" s="32" t="e">
        <f t="shared" si="95"/>
        <v>#REF!</v>
      </c>
    </row>
    <row r="4125" ht="15.75" spans="6:9">
      <c r="F4125" s="12" t="e">
        <f>'[4]#REF'!F4125</f>
        <v>#REF!</v>
      </c>
      <c r="G4125" s="12" t="e">
        <f>'[4]#REF'!G4125</f>
        <v>#REF!</v>
      </c>
      <c r="H4125" s="31" t="e">
        <f>'[4]#REF'!I4125</f>
        <v>#REF!</v>
      </c>
      <c r="I4125" s="32" t="e">
        <f t="shared" si="95"/>
        <v>#REF!</v>
      </c>
    </row>
    <row r="4126" ht="15.75" spans="6:9">
      <c r="F4126" s="12" t="e">
        <f>'[4]#REF'!F4126</f>
        <v>#REF!</v>
      </c>
      <c r="G4126" s="12" t="e">
        <f>'[4]#REF'!G4126</f>
        <v>#REF!</v>
      </c>
      <c r="H4126" s="31" t="e">
        <f>'[4]#REF'!I4126</f>
        <v>#REF!</v>
      </c>
      <c r="I4126" s="32" t="e">
        <f t="shared" si="95"/>
        <v>#REF!</v>
      </c>
    </row>
    <row r="4127" ht="15.75" spans="6:9">
      <c r="F4127" s="12" t="e">
        <f>'[4]#REF'!F4127</f>
        <v>#REF!</v>
      </c>
      <c r="G4127" s="12" t="e">
        <f>'[4]#REF'!G4127</f>
        <v>#REF!</v>
      </c>
      <c r="H4127" s="31" t="e">
        <f>'[4]#REF'!I4127</f>
        <v>#REF!</v>
      </c>
      <c r="I4127" s="32" t="e">
        <f t="shared" si="95"/>
        <v>#REF!</v>
      </c>
    </row>
    <row r="4128" ht="15.75" spans="6:9">
      <c r="F4128" s="12" t="e">
        <f>'[4]#REF'!F4128</f>
        <v>#REF!</v>
      </c>
      <c r="G4128" s="12" t="e">
        <f>'[4]#REF'!G4128</f>
        <v>#REF!</v>
      </c>
      <c r="H4128" s="31" t="e">
        <f>'[4]#REF'!I4128</f>
        <v>#REF!</v>
      </c>
      <c r="I4128" s="32" t="e">
        <f t="shared" si="95"/>
        <v>#REF!</v>
      </c>
    </row>
    <row r="4129" ht="15.75" spans="6:9">
      <c r="F4129" s="12" t="e">
        <f>'[4]#REF'!F4129</f>
        <v>#REF!</v>
      </c>
      <c r="G4129" s="12" t="e">
        <f>'[4]#REF'!G4129</f>
        <v>#REF!</v>
      </c>
      <c r="H4129" s="31" t="e">
        <f>'[4]#REF'!I4129</f>
        <v>#REF!</v>
      </c>
      <c r="I4129" s="32" t="e">
        <f t="shared" si="95"/>
        <v>#REF!</v>
      </c>
    </row>
    <row r="4130" ht="15.75" spans="6:9">
      <c r="F4130" s="12" t="e">
        <f>'[4]#REF'!F4130</f>
        <v>#REF!</v>
      </c>
      <c r="G4130" s="12" t="e">
        <f>'[4]#REF'!G4130</f>
        <v>#REF!</v>
      </c>
      <c r="H4130" s="31" t="e">
        <f>'[4]#REF'!I4130</f>
        <v>#REF!</v>
      </c>
      <c r="I4130" s="32" t="e">
        <f t="shared" si="95"/>
        <v>#REF!</v>
      </c>
    </row>
    <row r="4131" ht="15.75" spans="6:9">
      <c r="F4131" s="12" t="e">
        <f>'[4]#REF'!F4131</f>
        <v>#REF!</v>
      </c>
      <c r="G4131" s="12" t="e">
        <f>'[4]#REF'!G4131</f>
        <v>#REF!</v>
      </c>
      <c r="H4131" s="31" t="e">
        <f>'[4]#REF'!I4131</f>
        <v>#REF!</v>
      </c>
      <c r="I4131" s="32" t="e">
        <f t="shared" si="95"/>
        <v>#REF!</v>
      </c>
    </row>
    <row r="4132" ht="15.75" spans="6:9">
      <c r="F4132" s="12" t="e">
        <f>'[4]#REF'!F4132</f>
        <v>#REF!</v>
      </c>
      <c r="G4132" s="12" t="e">
        <f>'[4]#REF'!G4132</f>
        <v>#REF!</v>
      </c>
      <c r="H4132" s="31" t="e">
        <f>'[4]#REF'!I4132</f>
        <v>#REF!</v>
      </c>
      <c r="I4132" s="32" t="e">
        <f t="shared" si="95"/>
        <v>#REF!</v>
      </c>
    </row>
    <row r="4133" ht="15.75" spans="6:9">
      <c r="F4133" s="12" t="e">
        <f>'[4]#REF'!F4133</f>
        <v>#REF!</v>
      </c>
      <c r="G4133" s="12" t="e">
        <f>'[4]#REF'!G4133</f>
        <v>#REF!</v>
      </c>
      <c r="H4133" s="31" t="e">
        <f>'[4]#REF'!I4133</f>
        <v>#REF!</v>
      </c>
      <c r="I4133" s="32" t="e">
        <f t="shared" si="95"/>
        <v>#REF!</v>
      </c>
    </row>
    <row r="4134" ht="15.75" spans="6:9">
      <c r="F4134" s="12" t="e">
        <f>'[4]#REF'!F4134</f>
        <v>#REF!</v>
      </c>
      <c r="G4134" s="12" t="e">
        <f>'[4]#REF'!G4134</f>
        <v>#REF!</v>
      </c>
      <c r="H4134" s="31" t="e">
        <f>'[4]#REF'!I4134</f>
        <v>#REF!</v>
      </c>
      <c r="I4134" s="32" t="e">
        <f t="shared" si="95"/>
        <v>#REF!</v>
      </c>
    </row>
    <row r="4135" ht="15.75" spans="6:9">
      <c r="F4135" s="12" t="e">
        <f>'[4]#REF'!F4135</f>
        <v>#REF!</v>
      </c>
      <c r="G4135" s="12" t="e">
        <f>'[4]#REF'!G4135</f>
        <v>#REF!</v>
      </c>
      <c r="H4135" s="31" t="e">
        <f>'[4]#REF'!I4135</f>
        <v>#REF!</v>
      </c>
      <c r="I4135" s="32" t="e">
        <f t="shared" si="95"/>
        <v>#REF!</v>
      </c>
    </row>
    <row r="4136" ht="15.75" spans="6:9">
      <c r="F4136" s="12" t="e">
        <f>'[4]#REF'!F4136</f>
        <v>#REF!</v>
      </c>
      <c r="G4136" s="12" t="e">
        <f>'[4]#REF'!G4136</f>
        <v>#REF!</v>
      </c>
      <c r="H4136" s="31" t="e">
        <f>'[4]#REF'!I4136</f>
        <v>#REF!</v>
      </c>
      <c r="I4136" s="32" t="e">
        <f t="shared" si="95"/>
        <v>#REF!</v>
      </c>
    </row>
    <row r="4137" ht="15.75" spans="6:9">
      <c r="F4137" s="12" t="e">
        <f>'[4]#REF'!F4137</f>
        <v>#REF!</v>
      </c>
      <c r="G4137" s="12" t="e">
        <f>'[4]#REF'!G4137</f>
        <v>#REF!</v>
      </c>
      <c r="H4137" s="31" t="e">
        <f>'[4]#REF'!I4137</f>
        <v>#REF!</v>
      </c>
      <c r="I4137" s="32" t="e">
        <f t="shared" si="95"/>
        <v>#REF!</v>
      </c>
    </row>
    <row r="4138" ht="15.75" spans="6:9">
      <c r="F4138" s="12" t="e">
        <f>'[4]#REF'!F4138</f>
        <v>#REF!</v>
      </c>
      <c r="G4138" s="12" t="e">
        <f>'[4]#REF'!G4138</f>
        <v>#REF!</v>
      </c>
      <c r="H4138" s="31" t="e">
        <f>'[4]#REF'!I4138</f>
        <v>#REF!</v>
      </c>
      <c r="I4138" s="32" t="e">
        <f t="shared" si="95"/>
        <v>#REF!</v>
      </c>
    </row>
    <row r="4139" ht="15.75" spans="6:9">
      <c r="F4139" s="12" t="e">
        <f>'[4]#REF'!F4139</f>
        <v>#REF!</v>
      </c>
      <c r="G4139" s="12" t="e">
        <f>'[4]#REF'!G4139</f>
        <v>#REF!</v>
      </c>
      <c r="H4139" s="31" t="e">
        <f>'[4]#REF'!I4139</f>
        <v>#REF!</v>
      </c>
      <c r="I4139" s="32" t="e">
        <f t="shared" si="95"/>
        <v>#REF!</v>
      </c>
    </row>
    <row r="4140" ht="15.75" spans="6:9">
      <c r="F4140" s="12" t="e">
        <f>'[4]#REF'!F4140</f>
        <v>#REF!</v>
      </c>
      <c r="G4140" s="12" t="e">
        <f>'[4]#REF'!G4140</f>
        <v>#REF!</v>
      </c>
      <c r="H4140" s="31" t="e">
        <f>'[4]#REF'!I4140</f>
        <v>#REF!</v>
      </c>
      <c r="I4140" s="32" t="e">
        <f t="shared" si="95"/>
        <v>#REF!</v>
      </c>
    </row>
    <row r="4141" ht="15.75" spans="6:9">
      <c r="F4141" s="12" t="e">
        <f>'[4]#REF'!F4141</f>
        <v>#REF!</v>
      </c>
      <c r="G4141" s="12" t="e">
        <f>'[4]#REF'!G4141</f>
        <v>#REF!</v>
      </c>
      <c r="H4141" s="31" t="e">
        <f>'[4]#REF'!I4141</f>
        <v>#REF!</v>
      </c>
      <c r="I4141" s="32" t="e">
        <f t="shared" si="95"/>
        <v>#REF!</v>
      </c>
    </row>
    <row r="4142" ht="15.75" spans="6:9">
      <c r="F4142" s="12" t="e">
        <f>'[4]#REF'!F4142</f>
        <v>#REF!</v>
      </c>
      <c r="G4142" s="12" t="e">
        <f>'[4]#REF'!G4142</f>
        <v>#REF!</v>
      </c>
      <c r="H4142" s="31" t="e">
        <f>'[4]#REF'!I4142</f>
        <v>#REF!</v>
      </c>
      <c r="I4142" s="32" t="e">
        <f t="shared" si="95"/>
        <v>#REF!</v>
      </c>
    </row>
    <row r="4143" ht="15.75" spans="6:9">
      <c r="F4143" s="12" t="e">
        <f>'[4]#REF'!F4143</f>
        <v>#REF!</v>
      </c>
      <c r="G4143" s="12" t="e">
        <f>'[4]#REF'!G4143</f>
        <v>#REF!</v>
      </c>
      <c r="H4143" s="31" t="e">
        <f>'[4]#REF'!I4143</f>
        <v>#REF!</v>
      </c>
      <c r="I4143" s="32" t="e">
        <f t="shared" si="95"/>
        <v>#REF!</v>
      </c>
    </row>
    <row r="4144" ht="15.75" spans="6:9">
      <c r="F4144" s="12" t="e">
        <f>'[4]#REF'!F4144</f>
        <v>#REF!</v>
      </c>
      <c r="G4144" s="12" t="e">
        <f>'[4]#REF'!G4144</f>
        <v>#REF!</v>
      </c>
      <c r="H4144" s="31" t="e">
        <f>'[4]#REF'!I4144</f>
        <v>#REF!</v>
      </c>
      <c r="I4144" s="32" t="e">
        <f t="shared" si="95"/>
        <v>#REF!</v>
      </c>
    </row>
    <row r="4145" ht="15.75" spans="6:9">
      <c r="F4145" s="12" t="e">
        <f>'[4]#REF'!F4145</f>
        <v>#REF!</v>
      </c>
      <c r="G4145" s="12" t="e">
        <f>'[4]#REF'!G4145</f>
        <v>#REF!</v>
      </c>
      <c r="H4145" s="31" t="e">
        <f>'[4]#REF'!I4145</f>
        <v>#REF!</v>
      </c>
      <c r="I4145" s="32" t="e">
        <f t="shared" si="95"/>
        <v>#REF!</v>
      </c>
    </row>
    <row r="4146" ht="15.75" spans="6:9">
      <c r="F4146" s="12" t="e">
        <f>'[4]#REF'!F4146</f>
        <v>#REF!</v>
      </c>
      <c r="G4146" s="12" t="e">
        <f>'[4]#REF'!G4146</f>
        <v>#REF!</v>
      </c>
      <c r="H4146" s="31" t="e">
        <f>'[4]#REF'!I4146</f>
        <v>#REF!</v>
      </c>
      <c r="I4146" s="32" t="e">
        <f t="shared" si="95"/>
        <v>#REF!</v>
      </c>
    </row>
    <row r="4147" ht="15.75" spans="6:9">
      <c r="F4147" s="12" t="e">
        <f>'[4]#REF'!F4147</f>
        <v>#REF!</v>
      </c>
      <c r="G4147" s="12" t="e">
        <f>'[4]#REF'!G4147</f>
        <v>#REF!</v>
      </c>
      <c r="H4147" s="31" t="e">
        <f>'[4]#REF'!I4147</f>
        <v>#REF!</v>
      </c>
      <c r="I4147" s="32" t="e">
        <f t="shared" si="95"/>
        <v>#REF!</v>
      </c>
    </row>
    <row r="4148" ht="15.75" spans="6:9">
      <c r="F4148" s="12" t="e">
        <f>'[4]#REF'!F4148</f>
        <v>#REF!</v>
      </c>
      <c r="G4148" s="12" t="e">
        <f>'[4]#REF'!G4148</f>
        <v>#REF!</v>
      </c>
      <c r="H4148" s="31" t="e">
        <f>'[4]#REF'!I4148</f>
        <v>#REF!</v>
      </c>
      <c r="I4148" s="32" t="e">
        <f t="shared" si="95"/>
        <v>#REF!</v>
      </c>
    </row>
    <row r="4149" ht="15.75" spans="6:9">
      <c r="F4149" s="12" t="e">
        <f>'[4]#REF'!F4149</f>
        <v>#REF!</v>
      </c>
      <c r="G4149" s="12" t="e">
        <f>'[4]#REF'!G4149</f>
        <v>#REF!</v>
      </c>
      <c r="H4149" s="31" t="e">
        <f>'[4]#REF'!I4149</f>
        <v>#REF!</v>
      </c>
      <c r="I4149" s="32" t="e">
        <f t="shared" si="95"/>
        <v>#REF!</v>
      </c>
    </row>
    <row r="4150" ht="15.75" spans="6:9">
      <c r="F4150" s="12" t="e">
        <f>'[4]#REF'!F4150</f>
        <v>#REF!</v>
      </c>
      <c r="G4150" s="12" t="e">
        <f>'[4]#REF'!G4150</f>
        <v>#REF!</v>
      </c>
      <c r="H4150" s="31" t="e">
        <f>'[4]#REF'!I4150</f>
        <v>#REF!</v>
      </c>
      <c r="I4150" s="32" t="e">
        <f t="shared" si="95"/>
        <v>#REF!</v>
      </c>
    </row>
    <row r="4151" ht="15.75" spans="6:9">
      <c r="F4151" s="12" t="e">
        <f>'[4]#REF'!F4151</f>
        <v>#REF!</v>
      </c>
      <c r="G4151" s="12" t="e">
        <f>'[4]#REF'!G4151</f>
        <v>#REF!</v>
      </c>
      <c r="H4151" s="31" t="e">
        <f>'[4]#REF'!I4151</f>
        <v>#REF!</v>
      </c>
      <c r="I4151" s="32" t="e">
        <f t="shared" si="95"/>
        <v>#REF!</v>
      </c>
    </row>
    <row r="4152" ht="15.75" spans="6:9">
      <c r="F4152" s="12" t="e">
        <f>'[4]#REF'!F4152</f>
        <v>#REF!</v>
      </c>
      <c r="G4152" s="12" t="e">
        <f>'[4]#REF'!G4152</f>
        <v>#REF!</v>
      </c>
      <c r="H4152" s="31" t="e">
        <f>'[4]#REF'!I4152</f>
        <v>#REF!</v>
      </c>
      <c r="I4152" s="32" t="e">
        <f t="shared" si="95"/>
        <v>#REF!</v>
      </c>
    </row>
    <row r="4153" ht="15.75" spans="6:9">
      <c r="F4153" s="12" t="e">
        <f>'[4]#REF'!F4153</f>
        <v>#REF!</v>
      </c>
      <c r="G4153" s="12" t="e">
        <f>'[4]#REF'!G4153</f>
        <v>#REF!</v>
      </c>
      <c r="H4153" s="31" t="e">
        <f>'[4]#REF'!I4153</f>
        <v>#REF!</v>
      </c>
      <c r="I4153" s="32" t="e">
        <f t="shared" si="95"/>
        <v>#REF!</v>
      </c>
    </row>
    <row r="4154" ht="15.75" spans="6:9">
      <c r="F4154" s="12" t="e">
        <f>'[4]#REF'!F4154</f>
        <v>#REF!</v>
      </c>
      <c r="G4154" s="12" t="e">
        <f>'[4]#REF'!G4154</f>
        <v>#REF!</v>
      </c>
      <c r="H4154" s="31" t="e">
        <f>'[4]#REF'!I4154</f>
        <v>#REF!</v>
      </c>
      <c r="I4154" s="32" t="e">
        <f t="shared" si="95"/>
        <v>#REF!</v>
      </c>
    </row>
    <row r="4155" ht="15.75" spans="6:9">
      <c r="F4155" s="12" t="e">
        <f>'[4]#REF'!F4155</f>
        <v>#REF!</v>
      </c>
      <c r="G4155" s="12" t="e">
        <f>'[4]#REF'!G4155</f>
        <v>#REF!</v>
      </c>
      <c r="H4155" s="31" t="e">
        <f>'[4]#REF'!I4155</f>
        <v>#REF!</v>
      </c>
      <c r="I4155" s="32" t="e">
        <f t="shared" si="95"/>
        <v>#REF!</v>
      </c>
    </row>
    <row r="4156" ht="15.75" spans="6:9">
      <c r="F4156" s="12" t="e">
        <f>'[4]#REF'!F4156</f>
        <v>#REF!</v>
      </c>
      <c r="G4156" s="12" t="e">
        <f>'[4]#REF'!G4156</f>
        <v>#REF!</v>
      </c>
      <c r="H4156" s="31" t="e">
        <f>'[4]#REF'!I4156</f>
        <v>#REF!</v>
      </c>
      <c r="I4156" s="32" t="e">
        <f t="shared" si="95"/>
        <v>#REF!</v>
      </c>
    </row>
    <row r="4157" ht="15.75" spans="6:9">
      <c r="F4157" s="12" t="e">
        <f>'[4]#REF'!F4157</f>
        <v>#REF!</v>
      </c>
      <c r="G4157" s="12" t="e">
        <f>'[4]#REF'!G4157</f>
        <v>#REF!</v>
      </c>
      <c r="H4157" s="31" t="e">
        <f>'[4]#REF'!I4157</f>
        <v>#REF!</v>
      </c>
      <c r="I4157" s="32" t="e">
        <f t="shared" si="95"/>
        <v>#REF!</v>
      </c>
    </row>
    <row r="4158" ht="15.75" spans="6:9">
      <c r="F4158" s="12" t="e">
        <f>'[4]#REF'!F4158</f>
        <v>#REF!</v>
      </c>
      <c r="G4158" s="12" t="e">
        <f>'[4]#REF'!G4158</f>
        <v>#REF!</v>
      </c>
      <c r="H4158" s="31" t="e">
        <f>'[4]#REF'!I4158</f>
        <v>#REF!</v>
      </c>
      <c r="I4158" s="32" t="e">
        <f t="shared" si="95"/>
        <v>#REF!</v>
      </c>
    </row>
    <row r="4159" ht="15.75" spans="6:9">
      <c r="F4159" s="12" t="e">
        <f>'[4]#REF'!F4159</f>
        <v>#REF!</v>
      </c>
      <c r="G4159" s="12" t="e">
        <f>'[4]#REF'!G4159</f>
        <v>#REF!</v>
      </c>
      <c r="H4159" s="31" t="e">
        <f>'[4]#REF'!I4159</f>
        <v>#REF!</v>
      </c>
      <c r="I4159" s="32" t="e">
        <f t="shared" si="95"/>
        <v>#REF!</v>
      </c>
    </row>
    <row r="4160" ht="15.75" spans="6:9">
      <c r="F4160" s="12" t="e">
        <f>'[4]#REF'!F4160</f>
        <v>#REF!</v>
      </c>
      <c r="G4160" s="12" t="e">
        <f>'[4]#REF'!G4160</f>
        <v>#REF!</v>
      </c>
      <c r="H4160" s="31" t="e">
        <f>'[4]#REF'!I4160</f>
        <v>#REF!</v>
      </c>
      <c r="I4160" s="32" t="e">
        <f t="shared" si="95"/>
        <v>#REF!</v>
      </c>
    </row>
    <row r="4161" ht="15.75" spans="6:9">
      <c r="F4161" s="12" t="e">
        <f>'[4]#REF'!F4161</f>
        <v>#REF!</v>
      </c>
      <c r="G4161" s="12" t="e">
        <f>'[4]#REF'!G4161</f>
        <v>#REF!</v>
      </c>
      <c r="H4161" s="31" t="e">
        <f>'[4]#REF'!I4161</f>
        <v>#REF!</v>
      </c>
      <c r="I4161" s="32" t="e">
        <f t="shared" si="95"/>
        <v>#REF!</v>
      </c>
    </row>
    <row r="4162" ht="15.75" spans="6:9">
      <c r="F4162" s="12" t="e">
        <f>'[4]#REF'!F4162</f>
        <v>#REF!</v>
      </c>
      <c r="G4162" s="12" t="e">
        <f>'[4]#REF'!G4162</f>
        <v>#REF!</v>
      </c>
      <c r="H4162" s="31" t="e">
        <f>'[4]#REF'!I4162</f>
        <v>#REF!</v>
      </c>
      <c r="I4162" s="32" t="e">
        <f t="shared" si="95"/>
        <v>#REF!</v>
      </c>
    </row>
    <row r="4163" ht="15.75" spans="6:9">
      <c r="F4163" s="12" t="e">
        <f>'[4]#REF'!F4163</f>
        <v>#REF!</v>
      </c>
      <c r="G4163" s="12" t="e">
        <f>'[4]#REF'!G4163</f>
        <v>#REF!</v>
      </c>
      <c r="H4163" s="31" t="e">
        <f>'[4]#REF'!I4163</f>
        <v>#REF!</v>
      </c>
      <c r="I4163" s="32" t="e">
        <f t="shared" si="95"/>
        <v>#REF!</v>
      </c>
    </row>
    <row r="4164" ht="15.75" spans="6:9">
      <c r="F4164" s="12" t="e">
        <f>'[4]#REF'!F4164</f>
        <v>#REF!</v>
      </c>
      <c r="G4164" s="12" t="e">
        <f>'[4]#REF'!G4164</f>
        <v>#REF!</v>
      </c>
      <c r="H4164" s="31" t="e">
        <f>'[4]#REF'!I4164</f>
        <v>#REF!</v>
      </c>
      <c r="I4164" s="32" t="e">
        <f t="shared" si="95"/>
        <v>#REF!</v>
      </c>
    </row>
    <row r="4165" ht="15.75" spans="6:9">
      <c r="F4165" s="12" t="e">
        <f>'[4]#REF'!F4165</f>
        <v>#REF!</v>
      </c>
      <c r="G4165" s="12" t="e">
        <f>'[4]#REF'!G4165</f>
        <v>#REF!</v>
      </c>
      <c r="H4165" s="31" t="e">
        <f>'[4]#REF'!I4165</f>
        <v>#REF!</v>
      </c>
      <c r="I4165" s="32" t="e">
        <f t="shared" si="95"/>
        <v>#REF!</v>
      </c>
    </row>
    <row r="4166" ht="15.75" spans="6:9">
      <c r="F4166" s="12" t="e">
        <f>'[4]#REF'!F4166</f>
        <v>#REF!</v>
      </c>
      <c r="G4166" s="12" t="e">
        <f>'[4]#REF'!G4166</f>
        <v>#REF!</v>
      </c>
      <c r="H4166" s="31" t="e">
        <f>'[4]#REF'!I4166</f>
        <v>#REF!</v>
      </c>
      <c r="I4166" s="32" t="e">
        <f t="shared" ref="I4166:I4229" si="96">ROUND(H4166/$I$4*100,2)</f>
        <v>#REF!</v>
      </c>
    </row>
    <row r="4167" ht="15.75" spans="6:9">
      <c r="F4167" s="12" t="e">
        <f>'[4]#REF'!F4167</f>
        <v>#REF!</v>
      </c>
      <c r="G4167" s="12" t="e">
        <f>'[4]#REF'!G4167</f>
        <v>#REF!</v>
      </c>
      <c r="H4167" s="31" t="e">
        <f>'[4]#REF'!I4167</f>
        <v>#REF!</v>
      </c>
      <c r="I4167" s="32" t="e">
        <f t="shared" si="96"/>
        <v>#REF!</v>
      </c>
    </row>
    <row r="4168" ht="15.75" spans="6:9">
      <c r="F4168" s="12" t="e">
        <f>'[4]#REF'!F4168</f>
        <v>#REF!</v>
      </c>
      <c r="G4168" s="12" t="e">
        <f>'[4]#REF'!G4168</f>
        <v>#REF!</v>
      </c>
      <c r="H4168" s="31" t="e">
        <f>'[4]#REF'!I4168</f>
        <v>#REF!</v>
      </c>
      <c r="I4168" s="32" t="e">
        <f t="shared" si="96"/>
        <v>#REF!</v>
      </c>
    </row>
    <row r="4169" ht="15.75" spans="6:9">
      <c r="F4169" s="12" t="e">
        <f>'[4]#REF'!F4169</f>
        <v>#REF!</v>
      </c>
      <c r="G4169" s="12" t="e">
        <f>'[4]#REF'!G4169</f>
        <v>#REF!</v>
      </c>
      <c r="H4169" s="31" t="e">
        <f>'[4]#REF'!I4169</f>
        <v>#REF!</v>
      </c>
      <c r="I4169" s="32" t="e">
        <f t="shared" si="96"/>
        <v>#REF!</v>
      </c>
    </row>
    <row r="4170" ht="15.75" spans="6:9">
      <c r="F4170" s="12" t="e">
        <f>'[4]#REF'!F4170</f>
        <v>#REF!</v>
      </c>
      <c r="G4170" s="12" t="e">
        <f>'[4]#REF'!G4170</f>
        <v>#REF!</v>
      </c>
      <c r="H4170" s="31" t="e">
        <f>'[4]#REF'!I4170</f>
        <v>#REF!</v>
      </c>
      <c r="I4170" s="32" t="e">
        <f t="shared" si="96"/>
        <v>#REF!</v>
      </c>
    </row>
    <row r="4171" ht="15.75" spans="6:9">
      <c r="F4171" s="12" t="e">
        <f>'[4]#REF'!F4171</f>
        <v>#REF!</v>
      </c>
      <c r="G4171" s="12" t="e">
        <f>'[4]#REF'!G4171</f>
        <v>#REF!</v>
      </c>
      <c r="H4171" s="31" t="e">
        <f>'[4]#REF'!I4171</f>
        <v>#REF!</v>
      </c>
      <c r="I4171" s="32" t="e">
        <f t="shared" si="96"/>
        <v>#REF!</v>
      </c>
    </row>
    <row r="4172" ht="15.75" spans="6:9">
      <c r="F4172" s="12" t="e">
        <f>'[4]#REF'!F4172</f>
        <v>#REF!</v>
      </c>
      <c r="G4172" s="12" t="e">
        <f>'[4]#REF'!G4172</f>
        <v>#REF!</v>
      </c>
      <c r="H4172" s="31" t="e">
        <f>'[4]#REF'!I4172</f>
        <v>#REF!</v>
      </c>
      <c r="I4172" s="32" t="e">
        <f t="shared" si="96"/>
        <v>#REF!</v>
      </c>
    </row>
    <row r="4173" ht="15.75" spans="6:9">
      <c r="F4173" s="12" t="e">
        <f>'[4]#REF'!F4173</f>
        <v>#REF!</v>
      </c>
      <c r="G4173" s="12" t="e">
        <f>'[4]#REF'!G4173</f>
        <v>#REF!</v>
      </c>
      <c r="H4173" s="31" t="e">
        <f>'[4]#REF'!I4173</f>
        <v>#REF!</v>
      </c>
      <c r="I4173" s="32" t="e">
        <f t="shared" si="96"/>
        <v>#REF!</v>
      </c>
    </row>
    <row r="4174" ht="15.75" spans="6:9">
      <c r="F4174" s="12" t="e">
        <f>'[4]#REF'!F4174</f>
        <v>#REF!</v>
      </c>
      <c r="G4174" s="12" t="e">
        <f>'[4]#REF'!G4174</f>
        <v>#REF!</v>
      </c>
      <c r="H4174" s="31" t="e">
        <f>'[4]#REF'!I4174</f>
        <v>#REF!</v>
      </c>
      <c r="I4174" s="32" t="e">
        <f t="shared" si="96"/>
        <v>#REF!</v>
      </c>
    </row>
    <row r="4175" ht="15.75" spans="6:9">
      <c r="F4175" s="12" t="e">
        <f>'[4]#REF'!F4175</f>
        <v>#REF!</v>
      </c>
      <c r="G4175" s="12" t="e">
        <f>'[4]#REF'!G4175</f>
        <v>#REF!</v>
      </c>
      <c r="H4175" s="31" t="e">
        <f>'[4]#REF'!I4175</f>
        <v>#REF!</v>
      </c>
      <c r="I4175" s="32" t="e">
        <f t="shared" si="96"/>
        <v>#REF!</v>
      </c>
    </row>
    <row r="4176" ht="15.75" spans="6:9">
      <c r="F4176" s="12" t="e">
        <f>'[4]#REF'!F4176</f>
        <v>#REF!</v>
      </c>
      <c r="G4176" s="12" t="e">
        <f>'[4]#REF'!G4176</f>
        <v>#REF!</v>
      </c>
      <c r="H4176" s="31" t="e">
        <f>'[4]#REF'!I4176</f>
        <v>#REF!</v>
      </c>
      <c r="I4176" s="32" t="e">
        <f t="shared" si="96"/>
        <v>#REF!</v>
      </c>
    </row>
    <row r="4177" ht="15.75" spans="6:9">
      <c r="F4177" s="12" t="e">
        <f>'[4]#REF'!F4177</f>
        <v>#REF!</v>
      </c>
      <c r="G4177" s="12" t="e">
        <f>'[4]#REF'!G4177</f>
        <v>#REF!</v>
      </c>
      <c r="H4177" s="31" t="e">
        <f>'[4]#REF'!I4177</f>
        <v>#REF!</v>
      </c>
      <c r="I4177" s="32" t="e">
        <f t="shared" si="96"/>
        <v>#REF!</v>
      </c>
    </row>
    <row r="4178" ht="15.75" spans="6:9">
      <c r="F4178" s="12" t="e">
        <f>'[4]#REF'!F4178</f>
        <v>#REF!</v>
      </c>
      <c r="G4178" s="12" t="e">
        <f>'[4]#REF'!G4178</f>
        <v>#REF!</v>
      </c>
      <c r="H4178" s="31" t="e">
        <f>'[4]#REF'!I4178</f>
        <v>#REF!</v>
      </c>
      <c r="I4178" s="32" t="e">
        <f t="shared" si="96"/>
        <v>#REF!</v>
      </c>
    </row>
    <row r="4179" ht="15.75" spans="6:9">
      <c r="F4179" s="12" t="e">
        <f>'[4]#REF'!F4179</f>
        <v>#REF!</v>
      </c>
      <c r="G4179" s="12" t="e">
        <f>'[4]#REF'!G4179</f>
        <v>#REF!</v>
      </c>
      <c r="H4179" s="31" t="e">
        <f>'[4]#REF'!I4179</f>
        <v>#REF!</v>
      </c>
      <c r="I4179" s="32" t="e">
        <f t="shared" si="96"/>
        <v>#REF!</v>
      </c>
    </row>
    <row r="4180" ht="15.75" spans="6:9">
      <c r="F4180" s="12" t="e">
        <f>'[4]#REF'!F4180</f>
        <v>#REF!</v>
      </c>
      <c r="G4180" s="12" t="e">
        <f>'[4]#REF'!G4180</f>
        <v>#REF!</v>
      </c>
      <c r="H4180" s="31" t="e">
        <f>'[4]#REF'!I4180</f>
        <v>#REF!</v>
      </c>
      <c r="I4180" s="32" t="e">
        <f t="shared" si="96"/>
        <v>#REF!</v>
      </c>
    </row>
    <row r="4181" ht="15.75" spans="6:9">
      <c r="F4181" s="12" t="e">
        <f>'[4]#REF'!F4181</f>
        <v>#REF!</v>
      </c>
      <c r="G4181" s="12" t="e">
        <f>'[4]#REF'!G4181</f>
        <v>#REF!</v>
      </c>
      <c r="H4181" s="31" t="e">
        <f>'[4]#REF'!I4181</f>
        <v>#REF!</v>
      </c>
      <c r="I4181" s="32" t="e">
        <f t="shared" si="96"/>
        <v>#REF!</v>
      </c>
    </row>
    <row r="4182" ht="15.75" spans="6:9">
      <c r="F4182" s="12" t="e">
        <f>'[4]#REF'!F4182</f>
        <v>#REF!</v>
      </c>
      <c r="G4182" s="12" t="e">
        <f>'[4]#REF'!G4182</f>
        <v>#REF!</v>
      </c>
      <c r="H4182" s="31" t="e">
        <f>'[4]#REF'!I4182</f>
        <v>#REF!</v>
      </c>
      <c r="I4182" s="32" t="e">
        <f t="shared" si="96"/>
        <v>#REF!</v>
      </c>
    </row>
    <row r="4183" ht="15.75" spans="6:9">
      <c r="F4183" s="12" t="e">
        <f>'[4]#REF'!F4183</f>
        <v>#REF!</v>
      </c>
      <c r="G4183" s="12" t="e">
        <f>'[4]#REF'!G4183</f>
        <v>#REF!</v>
      </c>
      <c r="H4183" s="31" t="e">
        <f>'[4]#REF'!I4183</f>
        <v>#REF!</v>
      </c>
      <c r="I4183" s="32" t="e">
        <f t="shared" si="96"/>
        <v>#REF!</v>
      </c>
    </row>
    <row r="4184" ht="15.75" spans="6:9">
      <c r="F4184" s="12" t="e">
        <f>'[4]#REF'!F4184</f>
        <v>#REF!</v>
      </c>
      <c r="G4184" s="12" t="e">
        <f>'[4]#REF'!G4184</f>
        <v>#REF!</v>
      </c>
      <c r="H4184" s="31" t="e">
        <f>'[4]#REF'!I4184</f>
        <v>#REF!</v>
      </c>
      <c r="I4184" s="32" t="e">
        <f t="shared" si="96"/>
        <v>#REF!</v>
      </c>
    </row>
    <row r="4185" ht="15.75" spans="6:9">
      <c r="F4185" s="12" t="e">
        <f>'[4]#REF'!F4185</f>
        <v>#REF!</v>
      </c>
      <c r="G4185" s="12" t="e">
        <f>'[4]#REF'!G4185</f>
        <v>#REF!</v>
      </c>
      <c r="H4185" s="31" t="e">
        <f>'[4]#REF'!I4185</f>
        <v>#REF!</v>
      </c>
      <c r="I4185" s="32" t="e">
        <f t="shared" si="96"/>
        <v>#REF!</v>
      </c>
    </row>
    <row r="4186" ht="15.75" spans="6:9">
      <c r="F4186" s="12" t="e">
        <f>'[4]#REF'!F4186</f>
        <v>#REF!</v>
      </c>
      <c r="G4186" s="12" t="e">
        <f>'[4]#REF'!G4186</f>
        <v>#REF!</v>
      </c>
      <c r="H4186" s="31" t="e">
        <f>'[4]#REF'!I4186</f>
        <v>#REF!</v>
      </c>
      <c r="I4186" s="32" t="e">
        <f t="shared" si="96"/>
        <v>#REF!</v>
      </c>
    </row>
    <row r="4187" ht="15.75" spans="6:9">
      <c r="F4187" s="12" t="e">
        <f>'[4]#REF'!F4187</f>
        <v>#REF!</v>
      </c>
      <c r="G4187" s="12" t="e">
        <f>'[4]#REF'!G4187</f>
        <v>#REF!</v>
      </c>
      <c r="H4187" s="31" t="e">
        <f>'[4]#REF'!I4187</f>
        <v>#REF!</v>
      </c>
      <c r="I4187" s="32" t="e">
        <f t="shared" si="96"/>
        <v>#REF!</v>
      </c>
    </row>
    <row r="4188" ht="15.75" spans="6:9">
      <c r="F4188" s="12" t="e">
        <f>'[4]#REF'!F4188</f>
        <v>#REF!</v>
      </c>
      <c r="G4188" s="12" t="e">
        <f>'[4]#REF'!G4188</f>
        <v>#REF!</v>
      </c>
      <c r="H4188" s="31" t="e">
        <f>'[4]#REF'!I4188</f>
        <v>#REF!</v>
      </c>
      <c r="I4188" s="32" t="e">
        <f t="shared" si="96"/>
        <v>#REF!</v>
      </c>
    </row>
    <row r="4189" ht="15.75" spans="6:9">
      <c r="F4189" s="12" t="e">
        <f>'[4]#REF'!F4189</f>
        <v>#REF!</v>
      </c>
      <c r="G4189" s="12" t="e">
        <f>'[4]#REF'!G4189</f>
        <v>#REF!</v>
      </c>
      <c r="H4189" s="31" t="e">
        <f>'[4]#REF'!I4189</f>
        <v>#REF!</v>
      </c>
      <c r="I4189" s="32" t="e">
        <f t="shared" si="96"/>
        <v>#REF!</v>
      </c>
    </row>
    <row r="4190" ht="15.75" spans="6:9">
      <c r="F4190" s="12" t="e">
        <f>'[4]#REF'!F4190</f>
        <v>#REF!</v>
      </c>
      <c r="G4190" s="12" t="e">
        <f>'[4]#REF'!G4190</f>
        <v>#REF!</v>
      </c>
      <c r="H4190" s="31" t="e">
        <f>'[4]#REF'!I4190</f>
        <v>#REF!</v>
      </c>
      <c r="I4190" s="32" t="e">
        <f t="shared" si="96"/>
        <v>#REF!</v>
      </c>
    </row>
    <row r="4191" ht="15.75" spans="6:9">
      <c r="F4191" s="12" t="e">
        <f>'[4]#REF'!F4191</f>
        <v>#REF!</v>
      </c>
      <c r="G4191" s="12" t="e">
        <f>'[4]#REF'!G4191</f>
        <v>#REF!</v>
      </c>
      <c r="H4191" s="31" t="e">
        <f>'[4]#REF'!I4191</f>
        <v>#REF!</v>
      </c>
      <c r="I4191" s="32" t="e">
        <f t="shared" si="96"/>
        <v>#REF!</v>
      </c>
    </row>
    <row r="4192" ht="15.75" spans="6:9">
      <c r="F4192" s="12" t="e">
        <f>'[4]#REF'!F4192</f>
        <v>#REF!</v>
      </c>
      <c r="G4192" s="12" t="e">
        <f>'[4]#REF'!G4192</f>
        <v>#REF!</v>
      </c>
      <c r="H4192" s="31" t="e">
        <f>'[4]#REF'!I4192</f>
        <v>#REF!</v>
      </c>
      <c r="I4192" s="32" t="e">
        <f t="shared" si="96"/>
        <v>#REF!</v>
      </c>
    </row>
    <row r="4193" ht="15.75" spans="6:9">
      <c r="F4193" s="12" t="e">
        <f>'[4]#REF'!F4193</f>
        <v>#REF!</v>
      </c>
      <c r="G4193" s="12" t="e">
        <f>'[4]#REF'!G4193</f>
        <v>#REF!</v>
      </c>
      <c r="H4193" s="31" t="e">
        <f>'[4]#REF'!I4193</f>
        <v>#REF!</v>
      </c>
      <c r="I4193" s="32" t="e">
        <f t="shared" si="96"/>
        <v>#REF!</v>
      </c>
    </row>
    <row r="4194" ht="15.75" spans="6:9">
      <c r="F4194" s="12" t="e">
        <f>'[4]#REF'!F4194</f>
        <v>#REF!</v>
      </c>
      <c r="G4194" s="12" t="e">
        <f>'[4]#REF'!G4194</f>
        <v>#REF!</v>
      </c>
      <c r="H4194" s="31" t="e">
        <f>'[4]#REF'!I4194</f>
        <v>#REF!</v>
      </c>
      <c r="I4194" s="32" t="e">
        <f t="shared" si="96"/>
        <v>#REF!</v>
      </c>
    </row>
    <row r="4195" ht="15.75" spans="6:9">
      <c r="F4195" s="12" t="e">
        <f>'[4]#REF'!F4195</f>
        <v>#REF!</v>
      </c>
      <c r="G4195" s="12" t="e">
        <f>'[4]#REF'!G4195</f>
        <v>#REF!</v>
      </c>
      <c r="H4195" s="31" t="e">
        <f>'[4]#REF'!I4195</f>
        <v>#REF!</v>
      </c>
      <c r="I4195" s="32" t="e">
        <f t="shared" si="96"/>
        <v>#REF!</v>
      </c>
    </row>
    <row r="4196" ht="15.75" spans="6:9">
      <c r="F4196" s="12" t="e">
        <f>'[4]#REF'!F4196</f>
        <v>#REF!</v>
      </c>
      <c r="G4196" s="12" t="e">
        <f>'[4]#REF'!G4196</f>
        <v>#REF!</v>
      </c>
      <c r="H4196" s="31" t="e">
        <f>'[4]#REF'!I4196</f>
        <v>#REF!</v>
      </c>
      <c r="I4196" s="32" t="e">
        <f t="shared" si="96"/>
        <v>#REF!</v>
      </c>
    </row>
    <row r="4197" ht="15.75" spans="6:9">
      <c r="F4197" s="12" t="e">
        <f>'[4]#REF'!F4197</f>
        <v>#REF!</v>
      </c>
      <c r="G4197" s="12" t="e">
        <f>'[4]#REF'!G4197</f>
        <v>#REF!</v>
      </c>
      <c r="H4197" s="31" t="e">
        <f>'[4]#REF'!I4197</f>
        <v>#REF!</v>
      </c>
      <c r="I4197" s="32" t="e">
        <f t="shared" si="96"/>
        <v>#REF!</v>
      </c>
    </row>
    <row r="4198" ht="15.75" spans="6:9">
      <c r="F4198" s="12" t="e">
        <f>'[4]#REF'!F4198</f>
        <v>#REF!</v>
      </c>
      <c r="G4198" s="12" t="e">
        <f>'[4]#REF'!G4198</f>
        <v>#REF!</v>
      </c>
      <c r="H4198" s="31" t="e">
        <f>'[4]#REF'!I4198</f>
        <v>#REF!</v>
      </c>
      <c r="I4198" s="32" t="e">
        <f t="shared" si="96"/>
        <v>#REF!</v>
      </c>
    </row>
    <row r="4199" ht="15.75" spans="6:9">
      <c r="F4199" s="12" t="e">
        <f>'[4]#REF'!F4199</f>
        <v>#REF!</v>
      </c>
      <c r="G4199" s="12" t="e">
        <f>'[4]#REF'!G4199</f>
        <v>#REF!</v>
      </c>
      <c r="H4199" s="31" t="e">
        <f>'[4]#REF'!I4199</f>
        <v>#REF!</v>
      </c>
      <c r="I4199" s="32" t="e">
        <f t="shared" si="96"/>
        <v>#REF!</v>
      </c>
    </row>
    <row r="4200" ht="15.75" spans="6:9">
      <c r="F4200" s="12" t="e">
        <f>'[4]#REF'!F4200</f>
        <v>#REF!</v>
      </c>
      <c r="G4200" s="12" t="e">
        <f>'[4]#REF'!G4200</f>
        <v>#REF!</v>
      </c>
      <c r="H4200" s="31" t="e">
        <f>'[4]#REF'!I4200</f>
        <v>#REF!</v>
      </c>
      <c r="I4200" s="32" t="e">
        <f t="shared" si="96"/>
        <v>#REF!</v>
      </c>
    </row>
    <row r="4201" ht="15.75" spans="6:9">
      <c r="F4201" s="12" t="e">
        <f>'[4]#REF'!F4201</f>
        <v>#REF!</v>
      </c>
      <c r="G4201" s="12" t="e">
        <f>'[4]#REF'!G4201</f>
        <v>#REF!</v>
      </c>
      <c r="H4201" s="31" t="e">
        <f>'[4]#REF'!I4201</f>
        <v>#REF!</v>
      </c>
      <c r="I4201" s="32" t="e">
        <f t="shared" si="96"/>
        <v>#REF!</v>
      </c>
    </row>
    <row r="4202" ht="15.75" spans="6:9">
      <c r="F4202" s="12" t="e">
        <f>'[4]#REF'!F4202</f>
        <v>#REF!</v>
      </c>
      <c r="G4202" s="12" t="e">
        <f>'[4]#REF'!G4202</f>
        <v>#REF!</v>
      </c>
      <c r="H4202" s="31" t="e">
        <f>'[4]#REF'!I4202</f>
        <v>#REF!</v>
      </c>
      <c r="I4202" s="32" t="e">
        <f t="shared" si="96"/>
        <v>#REF!</v>
      </c>
    </row>
    <row r="4203" ht="15.75" spans="6:9">
      <c r="F4203" s="12" t="e">
        <f>'[4]#REF'!F4203</f>
        <v>#REF!</v>
      </c>
      <c r="G4203" s="12" t="e">
        <f>'[4]#REF'!G4203</f>
        <v>#REF!</v>
      </c>
      <c r="H4203" s="31" t="e">
        <f>'[4]#REF'!I4203</f>
        <v>#REF!</v>
      </c>
      <c r="I4203" s="32" t="e">
        <f t="shared" si="96"/>
        <v>#REF!</v>
      </c>
    </row>
    <row r="4204" ht="15.75" spans="6:9">
      <c r="F4204" s="12" t="e">
        <f>'[4]#REF'!F4204</f>
        <v>#REF!</v>
      </c>
      <c r="G4204" s="12" t="e">
        <f>'[4]#REF'!G4204</f>
        <v>#REF!</v>
      </c>
      <c r="H4204" s="31" t="e">
        <f>'[4]#REF'!I4204</f>
        <v>#REF!</v>
      </c>
      <c r="I4204" s="32" t="e">
        <f t="shared" si="96"/>
        <v>#REF!</v>
      </c>
    </row>
    <row r="4205" ht="15.75" spans="6:9">
      <c r="F4205" s="12" t="e">
        <f>'[4]#REF'!F4205</f>
        <v>#REF!</v>
      </c>
      <c r="G4205" s="12" t="e">
        <f>'[4]#REF'!G4205</f>
        <v>#REF!</v>
      </c>
      <c r="H4205" s="31" t="e">
        <f>'[4]#REF'!I4205</f>
        <v>#REF!</v>
      </c>
      <c r="I4205" s="32" t="e">
        <f t="shared" si="96"/>
        <v>#REF!</v>
      </c>
    </row>
    <row r="4206" ht="15.75" spans="6:9">
      <c r="F4206" s="12" t="e">
        <f>'[4]#REF'!F4206</f>
        <v>#REF!</v>
      </c>
      <c r="G4206" s="12" t="e">
        <f>'[4]#REF'!G4206</f>
        <v>#REF!</v>
      </c>
      <c r="H4206" s="31" t="e">
        <f>'[4]#REF'!I4206</f>
        <v>#REF!</v>
      </c>
      <c r="I4206" s="32" t="e">
        <f t="shared" si="96"/>
        <v>#REF!</v>
      </c>
    </row>
    <row r="4207" ht="15.75" spans="6:9">
      <c r="F4207" s="12" t="e">
        <f>'[4]#REF'!F4207</f>
        <v>#REF!</v>
      </c>
      <c r="G4207" s="12" t="e">
        <f>'[4]#REF'!G4207</f>
        <v>#REF!</v>
      </c>
      <c r="H4207" s="31" t="e">
        <f>'[4]#REF'!I4207</f>
        <v>#REF!</v>
      </c>
      <c r="I4207" s="32" t="e">
        <f t="shared" si="96"/>
        <v>#REF!</v>
      </c>
    </row>
    <row r="4208" ht="15.75" spans="6:9">
      <c r="F4208" s="12" t="e">
        <f>'[4]#REF'!F4208</f>
        <v>#REF!</v>
      </c>
      <c r="G4208" s="12" t="e">
        <f>'[4]#REF'!G4208</f>
        <v>#REF!</v>
      </c>
      <c r="H4208" s="31" t="e">
        <f>'[4]#REF'!I4208</f>
        <v>#REF!</v>
      </c>
      <c r="I4208" s="32" t="e">
        <f t="shared" si="96"/>
        <v>#REF!</v>
      </c>
    </row>
    <row r="4209" ht="15.75" spans="6:9">
      <c r="F4209" s="12" t="e">
        <f>'[4]#REF'!F4209</f>
        <v>#REF!</v>
      </c>
      <c r="G4209" s="12" t="e">
        <f>'[4]#REF'!G4209</f>
        <v>#REF!</v>
      </c>
      <c r="H4209" s="31" t="e">
        <f>'[4]#REF'!I4209</f>
        <v>#REF!</v>
      </c>
      <c r="I4209" s="32" t="e">
        <f t="shared" si="96"/>
        <v>#REF!</v>
      </c>
    </row>
    <row r="4210" ht="15.75" spans="6:9">
      <c r="F4210" s="12" t="e">
        <f>'[4]#REF'!F4210</f>
        <v>#REF!</v>
      </c>
      <c r="G4210" s="12" t="e">
        <f>'[4]#REF'!G4210</f>
        <v>#REF!</v>
      </c>
      <c r="H4210" s="31" t="e">
        <f>'[4]#REF'!I4210</f>
        <v>#REF!</v>
      </c>
      <c r="I4210" s="32" t="e">
        <f t="shared" si="96"/>
        <v>#REF!</v>
      </c>
    </row>
    <row r="4211" ht="15.75" spans="6:9">
      <c r="F4211" s="12" t="e">
        <f>'[4]#REF'!F4211</f>
        <v>#REF!</v>
      </c>
      <c r="G4211" s="12" t="e">
        <f>'[4]#REF'!G4211</f>
        <v>#REF!</v>
      </c>
      <c r="H4211" s="31" t="e">
        <f>'[4]#REF'!I4211</f>
        <v>#REF!</v>
      </c>
      <c r="I4211" s="32" t="e">
        <f t="shared" si="96"/>
        <v>#REF!</v>
      </c>
    </row>
    <row r="4212" ht="15.75" spans="6:9">
      <c r="F4212" s="12" t="e">
        <f>'[4]#REF'!F4212</f>
        <v>#REF!</v>
      </c>
      <c r="G4212" s="12" t="e">
        <f>'[4]#REF'!G4212</f>
        <v>#REF!</v>
      </c>
      <c r="H4212" s="31" t="e">
        <f>'[4]#REF'!I4212</f>
        <v>#REF!</v>
      </c>
      <c r="I4212" s="32" t="e">
        <f t="shared" si="96"/>
        <v>#REF!</v>
      </c>
    </row>
    <row r="4213" ht="15.75" spans="6:9">
      <c r="F4213" s="12" t="e">
        <f>'[4]#REF'!F4213</f>
        <v>#REF!</v>
      </c>
      <c r="G4213" s="12" t="e">
        <f>'[4]#REF'!G4213</f>
        <v>#REF!</v>
      </c>
      <c r="H4213" s="31" t="e">
        <f>'[4]#REF'!I4213</f>
        <v>#REF!</v>
      </c>
      <c r="I4213" s="32" t="e">
        <f t="shared" si="96"/>
        <v>#REF!</v>
      </c>
    </row>
    <row r="4214" ht="15.75" spans="6:9">
      <c r="F4214" s="12" t="e">
        <f>'[4]#REF'!F4214</f>
        <v>#REF!</v>
      </c>
      <c r="G4214" s="12" t="e">
        <f>'[4]#REF'!G4214</f>
        <v>#REF!</v>
      </c>
      <c r="H4214" s="31" t="e">
        <f>'[4]#REF'!I4214</f>
        <v>#REF!</v>
      </c>
      <c r="I4214" s="32" t="e">
        <f t="shared" si="96"/>
        <v>#REF!</v>
      </c>
    </row>
    <row r="4215" ht="15.75" spans="6:9">
      <c r="F4215" s="12" t="e">
        <f>'[4]#REF'!F4215</f>
        <v>#REF!</v>
      </c>
      <c r="G4215" s="12" t="e">
        <f>'[4]#REF'!G4215</f>
        <v>#REF!</v>
      </c>
      <c r="H4215" s="31" t="e">
        <f>'[4]#REF'!I4215</f>
        <v>#REF!</v>
      </c>
      <c r="I4215" s="32" t="e">
        <f t="shared" si="96"/>
        <v>#REF!</v>
      </c>
    </row>
    <row r="4216" ht="15.75" spans="6:9">
      <c r="F4216" s="12" t="e">
        <f>'[4]#REF'!F4216</f>
        <v>#REF!</v>
      </c>
      <c r="G4216" s="12" t="e">
        <f>'[4]#REF'!G4216</f>
        <v>#REF!</v>
      </c>
      <c r="H4216" s="31" t="e">
        <f>'[4]#REF'!I4216</f>
        <v>#REF!</v>
      </c>
      <c r="I4216" s="32" t="e">
        <f t="shared" si="96"/>
        <v>#REF!</v>
      </c>
    </row>
    <row r="4217" ht="15.75" spans="6:9">
      <c r="F4217" s="12" t="e">
        <f>'[4]#REF'!F4217</f>
        <v>#REF!</v>
      </c>
      <c r="G4217" s="12" t="e">
        <f>'[4]#REF'!G4217</f>
        <v>#REF!</v>
      </c>
      <c r="H4217" s="31" t="e">
        <f>'[4]#REF'!I4217</f>
        <v>#REF!</v>
      </c>
      <c r="I4217" s="32" t="e">
        <f t="shared" si="96"/>
        <v>#REF!</v>
      </c>
    </row>
    <row r="4218" ht="15.75" spans="6:9">
      <c r="F4218" s="12" t="e">
        <f>'[4]#REF'!F4218</f>
        <v>#REF!</v>
      </c>
      <c r="G4218" s="12" t="e">
        <f>'[4]#REF'!G4218</f>
        <v>#REF!</v>
      </c>
      <c r="H4218" s="31" t="e">
        <f>'[4]#REF'!I4218</f>
        <v>#REF!</v>
      </c>
      <c r="I4218" s="32" t="e">
        <f t="shared" si="96"/>
        <v>#REF!</v>
      </c>
    </row>
    <row r="4219" ht="15.75" spans="6:9">
      <c r="F4219" s="12" t="e">
        <f>'[4]#REF'!F4219</f>
        <v>#REF!</v>
      </c>
      <c r="G4219" s="12" t="e">
        <f>'[4]#REF'!G4219</f>
        <v>#REF!</v>
      </c>
      <c r="H4219" s="31" t="e">
        <f>'[4]#REF'!I4219</f>
        <v>#REF!</v>
      </c>
      <c r="I4219" s="32" t="e">
        <f t="shared" si="96"/>
        <v>#REF!</v>
      </c>
    </row>
    <row r="4220" ht="15.75" spans="6:9">
      <c r="F4220" s="12" t="e">
        <f>'[4]#REF'!F4220</f>
        <v>#REF!</v>
      </c>
      <c r="G4220" s="12" t="e">
        <f>'[4]#REF'!G4220</f>
        <v>#REF!</v>
      </c>
      <c r="H4220" s="31" t="e">
        <f>'[4]#REF'!I4220</f>
        <v>#REF!</v>
      </c>
      <c r="I4220" s="32" t="e">
        <f t="shared" si="96"/>
        <v>#REF!</v>
      </c>
    </row>
    <row r="4221" ht="15.75" spans="6:9">
      <c r="F4221" s="12" t="e">
        <f>'[4]#REF'!F4221</f>
        <v>#REF!</v>
      </c>
      <c r="G4221" s="12" t="e">
        <f>'[4]#REF'!G4221</f>
        <v>#REF!</v>
      </c>
      <c r="H4221" s="31" t="e">
        <f>'[4]#REF'!I4221</f>
        <v>#REF!</v>
      </c>
      <c r="I4221" s="32" t="e">
        <f t="shared" si="96"/>
        <v>#REF!</v>
      </c>
    </row>
    <row r="4222" ht="15.75" spans="6:9">
      <c r="F4222" s="12" t="e">
        <f>'[4]#REF'!F4222</f>
        <v>#REF!</v>
      </c>
      <c r="G4222" s="12" t="e">
        <f>'[4]#REF'!G4222</f>
        <v>#REF!</v>
      </c>
      <c r="H4222" s="31" t="e">
        <f>'[4]#REF'!I4222</f>
        <v>#REF!</v>
      </c>
      <c r="I4222" s="32" t="e">
        <f t="shared" si="96"/>
        <v>#REF!</v>
      </c>
    </row>
    <row r="4223" ht="15.75" spans="6:9">
      <c r="F4223" s="12" t="e">
        <f>'[4]#REF'!F4223</f>
        <v>#REF!</v>
      </c>
      <c r="G4223" s="12" t="e">
        <f>'[4]#REF'!G4223</f>
        <v>#REF!</v>
      </c>
      <c r="H4223" s="31" t="e">
        <f>'[4]#REF'!I4223</f>
        <v>#REF!</v>
      </c>
      <c r="I4223" s="32" t="e">
        <f t="shared" si="96"/>
        <v>#REF!</v>
      </c>
    </row>
    <row r="4224" ht="15.75" spans="6:9">
      <c r="F4224" s="12" t="e">
        <f>'[4]#REF'!F4224</f>
        <v>#REF!</v>
      </c>
      <c r="G4224" s="12" t="e">
        <f>'[4]#REF'!G4224</f>
        <v>#REF!</v>
      </c>
      <c r="H4224" s="31" t="e">
        <f>'[4]#REF'!I4224</f>
        <v>#REF!</v>
      </c>
      <c r="I4224" s="32" t="e">
        <f t="shared" si="96"/>
        <v>#REF!</v>
      </c>
    </row>
    <row r="4225" ht="15.75" spans="6:9">
      <c r="F4225" s="12" t="e">
        <f>'[4]#REF'!F4225</f>
        <v>#REF!</v>
      </c>
      <c r="G4225" s="12" t="e">
        <f>'[4]#REF'!G4225</f>
        <v>#REF!</v>
      </c>
      <c r="H4225" s="31" t="e">
        <f>'[4]#REF'!I4225</f>
        <v>#REF!</v>
      </c>
      <c r="I4225" s="32" t="e">
        <f t="shared" si="96"/>
        <v>#REF!</v>
      </c>
    </row>
    <row r="4226" ht="15.75" spans="6:9">
      <c r="F4226" s="12" t="e">
        <f>'[4]#REF'!F4226</f>
        <v>#REF!</v>
      </c>
      <c r="G4226" s="12" t="e">
        <f>'[4]#REF'!G4226</f>
        <v>#REF!</v>
      </c>
      <c r="H4226" s="31" t="e">
        <f>'[4]#REF'!I4226</f>
        <v>#REF!</v>
      </c>
      <c r="I4226" s="32" t="e">
        <f t="shared" si="96"/>
        <v>#REF!</v>
      </c>
    </row>
    <row r="4227" ht="15.75" spans="6:9">
      <c r="F4227" s="12" t="e">
        <f>'[4]#REF'!F4227</f>
        <v>#REF!</v>
      </c>
      <c r="G4227" s="12" t="e">
        <f>'[4]#REF'!G4227</f>
        <v>#REF!</v>
      </c>
      <c r="H4227" s="31" t="e">
        <f>'[4]#REF'!I4227</f>
        <v>#REF!</v>
      </c>
      <c r="I4227" s="32" t="e">
        <f t="shared" si="96"/>
        <v>#REF!</v>
      </c>
    </row>
    <row r="4228" ht="15.75" spans="6:9">
      <c r="F4228" s="12" t="e">
        <f>'[4]#REF'!F4228</f>
        <v>#REF!</v>
      </c>
      <c r="G4228" s="12" t="e">
        <f>'[4]#REF'!G4228</f>
        <v>#REF!</v>
      </c>
      <c r="H4228" s="31" t="e">
        <f>'[4]#REF'!I4228</f>
        <v>#REF!</v>
      </c>
      <c r="I4228" s="32" t="e">
        <f t="shared" si="96"/>
        <v>#REF!</v>
      </c>
    </row>
    <row r="4229" ht="15.75" spans="6:9">
      <c r="F4229" s="12" t="e">
        <f>'[4]#REF'!F4229</f>
        <v>#REF!</v>
      </c>
      <c r="G4229" s="12" t="e">
        <f>'[4]#REF'!G4229</f>
        <v>#REF!</v>
      </c>
      <c r="H4229" s="31" t="e">
        <f>'[4]#REF'!I4229</f>
        <v>#REF!</v>
      </c>
      <c r="I4229" s="32" t="e">
        <f t="shared" si="96"/>
        <v>#REF!</v>
      </c>
    </row>
    <row r="4230" ht="15.75" spans="6:9">
      <c r="F4230" s="12" t="e">
        <f>'[4]#REF'!F4230</f>
        <v>#REF!</v>
      </c>
      <c r="G4230" s="12" t="e">
        <f>'[4]#REF'!G4230</f>
        <v>#REF!</v>
      </c>
      <c r="H4230" s="31" t="e">
        <f>'[4]#REF'!I4230</f>
        <v>#REF!</v>
      </c>
      <c r="I4230" s="32" t="e">
        <f t="shared" ref="I4230:I4293" si="97">ROUND(H4230/$I$4*100,2)</f>
        <v>#REF!</v>
      </c>
    </row>
    <row r="4231" ht="15.75" spans="6:9">
      <c r="F4231" s="12" t="e">
        <f>'[4]#REF'!F4231</f>
        <v>#REF!</v>
      </c>
      <c r="G4231" s="12" t="e">
        <f>'[4]#REF'!G4231</f>
        <v>#REF!</v>
      </c>
      <c r="H4231" s="31" t="e">
        <f>'[4]#REF'!I4231</f>
        <v>#REF!</v>
      </c>
      <c r="I4231" s="32" t="e">
        <f t="shared" si="97"/>
        <v>#REF!</v>
      </c>
    </row>
    <row r="4232" ht="15.75" spans="6:9">
      <c r="F4232" s="12" t="e">
        <f>'[4]#REF'!F4232</f>
        <v>#REF!</v>
      </c>
      <c r="G4232" s="12" t="e">
        <f>'[4]#REF'!G4232</f>
        <v>#REF!</v>
      </c>
      <c r="H4232" s="31" t="e">
        <f>'[4]#REF'!I4232</f>
        <v>#REF!</v>
      </c>
      <c r="I4232" s="32" t="e">
        <f t="shared" si="97"/>
        <v>#REF!</v>
      </c>
    </row>
    <row r="4233" ht="15.75" spans="6:9">
      <c r="F4233" s="12" t="e">
        <f>'[4]#REF'!F4233</f>
        <v>#REF!</v>
      </c>
      <c r="G4233" s="12" t="e">
        <f>'[4]#REF'!G4233</f>
        <v>#REF!</v>
      </c>
      <c r="H4233" s="31" t="e">
        <f>'[4]#REF'!I4233</f>
        <v>#REF!</v>
      </c>
      <c r="I4233" s="32" t="e">
        <f t="shared" si="97"/>
        <v>#REF!</v>
      </c>
    </row>
    <row r="4234" ht="15.75" spans="6:9">
      <c r="F4234" s="12" t="e">
        <f>'[4]#REF'!F4234</f>
        <v>#REF!</v>
      </c>
      <c r="G4234" s="12" t="e">
        <f>'[4]#REF'!G4234</f>
        <v>#REF!</v>
      </c>
      <c r="H4234" s="31" t="e">
        <f>'[4]#REF'!I4234</f>
        <v>#REF!</v>
      </c>
      <c r="I4234" s="32" t="e">
        <f t="shared" si="97"/>
        <v>#REF!</v>
      </c>
    </row>
    <row r="4235" ht="15.75" spans="6:9">
      <c r="F4235" s="12" t="e">
        <f>'[4]#REF'!F4235</f>
        <v>#REF!</v>
      </c>
      <c r="G4235" s="12" t="e">
        <f>'[4]#REF'!G4235</f>
        <v>#REF!</v>
      </c>
      <c r="H4235" s="31" t="e">
        <f>'[4]#REF'!I4235</f>
        <v>#REF!</v>
      </c>
      <c r="I4235" s="32" t="e">
        <f t="shared" si="97"/>
        <v>#REF!</v>
      </c>
    </row>
    <row r="4236" ht="15.75" spans="6:9">
      <c r="F4236" s="12" t="e">
        <f>'[4]#REF'!F4236</f>
        <v>#REF!</v>
      </c>
      <c r="G4236" s="12" t="e">
        <f>'[4]#REF'!G4236</f>
        <v>#REF!</v>
      </c>
      <c r="H4236" s="31" t="e">
        <f>'[4]#REF'!I4236</f>
        <v>#REF!</v>
      </c>
      <c r="I4236" s="32" t="e">
        <f t="shared" si="97"/>
        <v>#REF!</v>
      </c>
    </row>
    <row r="4237" ht="15.75" spans="6:9">
      <c r="F4237" s="12" t="e">
        <f>'[4]#REF'!F4237</f>
        <v>#REF!</v>
      </c>
      <c r="G4237" s="12" t="e">
        <f>'[4]#REF'!G4237</f>
        <v>#REF!</v>
      </c>
      <c r="H4237" s="31" t="e">
        <f>'[4]#REF'!I4237</f>
        <v>#REF!</v>
      </c>
      <c r="I4237" s="32" t="e">
        <f t="shared" si="97"/>
        <v>#REF!</v>
      </c>
    </row>
    <row r="4238" ht="15.75" spans="6:9">
      <c r="F4238" s="12" t="e">
        <f>'[4]#REF'!F4238</f>
        <v>#REF!</v>
      </c>
      <c r="G4238" s="12" t="e">
        <f>'[4]#REF'!G4238</f>
        <v>#REF!</v>
      </c>
      <c r="H4238" s="31" t="e">
        <f>'[4]#REF'!I4238</f>
        <v>#REF!</v>
      </c>
      <c r="I4238" s="32" t="e">
        <f t="shared" si="97"/>
        <v>#REF!</v>
      </c>
    </row>
    <row r="4239" ht="15.75" spans="6:9">
      <c r="F4239" s="12" t="e">
        <f>'[4]#REF'!F4239</f>
        <v>#REF!</v>
      </c>
      <c r="G4239" s="12" t="e">
        <f>'[4]#REF'!G4239</f>
        <v>#REF!</v>
      </c>
      <c r="H4239" s="31" t="e">
        <f>'[4]#REF'!I4239</f>
        <v>#REF!</v>
      </c>
      <c r="I4239" s="32" t="e">
        <f t="shared" si="97"/>
        <v>#REF!</v>
      </c>
    </row>
    <row r="4240" ht="15.75" spans="6:9">
      <c r="F4240" s="12" t="e">
        <f>'[4]#REF'!F4240</f>
        <v>#REF!</v>
      </c>
      <c r="G4240" s="12" t="e">
        <f>'[4]#REF'!G4240</f>
        <v>#REF!</v>
      </c>
      <c r="H4240" s="31" t="e">
        <f>'[4]#REF'!I4240</f>
        <v>#REF!</v>
      </c>
      <c r="I4240" s="32" t="e">
        <f t="shared" si="97"/>
        <v>#REF!</v>
      </c>
    </row>
    <row r="4241" ht="15.75" spans="6:9">
      <c r="F4241" s="12" t="e">
        <f>'[4]#REF'!F4241</f>
        <v>#REF!</v>
      </c>
      <c r="G4241" s="12" t="e">
        <f>'[4]#REF'!G4241</f>
        <v>#REF!</v>
      </c>
      <c r="H4241" s="31" t="e">
        <f>'[4]#REF'!I4241</f>
        <v>#REF!</v>
      </c>
      <c r="I4241" s="32" t="e">
        <f t="shared" si="97"/>
        <v>#REF!</v>
      </c>
    </row>
    <row r="4242" ht="15.75" spans="6:9">
      <c r="F4242" s="12" t="e">
        <f>'[4]#REF'!F4242</f>
        <v>#REF!</v>
      </c>
      <c r="G4242" s="12" t="e">
        <f>'[4]#REF'!G4242</f>
        <v>#REF!</v>
      </c>
      <c r="H4242" s="31" t="e">
        <f>'[4]#REF'!I4242</f>
        <v>#REF!</v>
      </c>
      <c r="I4242" s="32" t="e">
        <f t="shared" si="97"/>
        <v>#REF!</v>
      </c>
    </row>
    <row r="4243" ht="15.75" spans="6:9">
      <c r="F4243" s="12" t="e">
        <f>'[4]#REF'!F4243</f>
        <v>#REF!</v>
      </c>
      <c r="G4243" s="12" t="e">
        <f>'[4]#REF'!G4243</f>
        <v>#REF!</v>
      </c>
      <c r="H4243" s="31" t="e">
        <f>'[4]#REF'!I4243</f>
        <v>#REF!</v>
      </c>
      <c r="I4243" s="32" t="e">
        <f t="shared" si="97"/>
        <v>#REF!</v>
      </c>
    </row>
    <row r="4244" ht="15.75" spans="6:9">
      <c r="F4244" s="12" t="e">
        <f>'[4]#REF'!F4244</f>
        <v>#REF!</v>
      </c>
      <c r="G4244" s="12" t="e">
        <f>'[4]#REF'!G4244</f>
        <v>#REF!</v>
      </c>
      <c r="H4244" s="31" t="e">
        <f>'[4]#REF'!I4244</f>
        <v>#REF!</v>
      </c>
      <c r="I4244" s="32" t="e">
        <f t="shared" si="97"/>
        <v>#REF!</v>
      </c>
    </row>
    <row r="4245" ht="15.75" spans="6:9">
      <c r="F4245" s="12" t="e">
        <f>'[4]#REF'!F4245</f>
        <v>#REF!</v>
      </c>
      <c r="G4245" s="12" t="e">
        <f>'[4]#REF'!G4245</f>
        <v>#REF!</v>
      </c>
      <c r="H4245" s="31" t="e">
        <f>'[4]#REF'!I4245</f>
        <v>#REF!</v>
      </c>
      <c r="I4245" s="32" t="e">
        <f t="shared" si="97"/>
        <v>#REF!</v>
      </c>
    </row>
    <row r="4246" ht="15.75" spans="6:9">
      <c r="F4246" s="12" t="e">
        <f>'[4]#REF'!F4246</f>
        <v>#REF!</v>
      </c>
      <c r="G4246" s="12" t="e">
        <f>'[4]#REF'!G4246</f>
        <v>#REF!</v>
      </c>
      <c r="H4246" s="31" t="e">
        <f>'[4]#REF'!I4246</f>
        <v>#REF!</v>
      </c>
      <c r="I4246" s="32" t="e">
        <f t="shared" si="97"/>
        <v>#REF!</v>
      </c>
    </row>
    <row r="4247" ht="15.75" spans="6:9">
      <c r="F4247" s="12" t="e">
        <f>'[4]#REF'!F4247</f>
        <v>#REF!</v>
      </c>
      <c r="G4247" s="12" t="e">
        <f>'[4]#REF'!G4247</f>
        <v>#REF!</v>
      </c>
      <c r="H4247" s="31" t="e">
        <f>'[4]#REF'!I4247</f>
        <v>#REF!</v>
      </c>
      <c r="I4247" s="32" t="e">
        <f t="shared" si="97"/>
        <v>#REF!</v>
      </c>
    </row>
    <row r="4248" ht="15.75" spans="6:9">
      <c r="F4248" s="12" t="e">
        <f>'[4]#REF'!F4248</f>
        <v>#REF!</v>
      </c>
      <c r="G4248" s="12" t="e">
        <f>'[4]#REF'!G4248</f>
        <v>#REF!</v>
      </c>
      <c r="H4248" s="31" t="e">
        <f>'[4]#REF'!I4248</f>
        <v>#REF!</v>
      </c>
      <c r="I4248" s="32" t="e">
        <f t="shared" si="97"/>
        <v>#REF!</v>
      </c>
    </row>
    <row r="4249" ht="15.75" spans="6:9">
      <c r="F4249" s="12" t="e">
        <f>'[4]#REF'!F4249</f>
        <v>#REF!</v>
      </c>
      <c r="G4249" s="12" t="e">
        <f>'[4]#REF'!G4249</f>
        <v>#REF!</v>
      </c>
      <c r="H4249" s="31" t="e">
        <f>'[4]#REF'!I4249</f>
        <v>#REF!</v>
      </c>
      <c r="I4249" s="32" t="e">
        <f t="shared" si="97"/>
        <v>#REF!</v>
      </c>
    </row>
    <row r="4250" ht="15.75" spans="6:9">
      <c r="F4250" s="12" t="e">
        <f>'[4]#REF'!F4250</f>
        <v>#REF!</v>
      </c>
      <c r="G4250" s="12" t="e">
        <f>'[4]#REF'!G4250</f>
        <v>#REF!</v>
      </c>
      <c r="H4250" s="31" t="e">
        <f>'[4]#REF'!I4250</f>
        <v>#REF!</v>
      </c>
      <c r="I4250" s="32" t="e">
        <f t="shared" si="97"/>
        <v>#REF!</v>
      </c>
    </row>
    <row r="4251" ht="15.75" spans="6:9">
      <c r="F4251" s="12" t="e">
        <f>'[4]#REF'!F4251</f>
        <v>#REF!</v>
      </c>
      <c r="G4251" s="12" t="e">
        <f>'[4]#REF'!G4251</f>
        <v>#REF!</v>
      </c>
      <c r="H4251" s="31" t="e">
        <f>'[4]#REF'!I4251</f>
        <v>#REF!</v>
      </c>
      <c r="I4251" s="32" t="e">
        <f t="shared" si="97"/>
        <v>#REF!</v>
      </c>
    </row>
    <row r="4252" ht="15.75" spans="6:9">
      <c r="F4252" s="12" t="e">
        <f>'[4]#REF'!F4252</f>
        <v>#REF!</v>
      </c>
      <c r="G4252" s="12" t="e">
        <f>'[4]#REF'!G4252</f>
        <v>#REF!</v>
      </c>
      <c r="H4252" s="31" t="e">
        <f>'[4]#REF'!I4252</f>
        <v>#REF!</v>
      </c>
      <c r="I4252" s="32" t="e">
        <f t="shared" si="97"/>
        <v>#REF!</v>
      </c>
    </row>
    <row r="4253" ht="15.75" spans="6:9">
      <c r="F4253" s="12" t="e">
        <f>'[4]#REF'!F4253</f>
        <v>#REF!</v>
      </c>
      <c r="G4253" s="12" t="e">
        <f>'[4]#REF'!G4253</f>
        <v>#REF!</v>
      </c>
      <c r="H4253" s="31" t="e">
        <f>'[4]#REF'!I4253</f>
        <v>#REF!</v>
      </c>
      <c r="I4253" s="32" t="e">
        <f t="shared" si="97"/>
        <v>#REF!</v>
      </c>
    </row>
    <row r="4254" ht="15.75" spans="6:9">
      <c r="F4254" s="12" t="e">
        <f>'[4]#REF'!F4254</f>
        <v>#REF!</v>
      </c>
      <c r="G4254" s="12" t="e">
        <f>'[4]#REF'!G4254</f>
        <v>#REF!</v>
      </c>
      <c r="H4254" s="31" t="e">
        <f>'[4]#REF'!I4254</f>
        <v>#REF!</v>
      </c>
      <c r="I4254" s="32" t="e">
        <f t="shared" si="97"/>
        <v>#REF!</v>
      </c>
    </row>
    <row r="4255" ht="15.75" spans="6:9">
      <c r="F4255" s="12" t="e">
        <f>'[4]#REF'!F4255</f>
        <v>#REF!</v>
      </c>
      <c r="G4255" s="12" t="e">
        <f>'[4]#REF'!G4255</f>
        <v>#REF!</v>
      </c>
      <c r="H4255" s="31" t="e">
        <f>'[4]#REF'!I4255</f>
        <v>#REF!</v>
      </c>
      <c r="I4255" s="32" t="e">
        <f t="shared" si="97"/>
        <v>#REF!</v>
      </c>
    </row>
    <row r="4256" ht="15.75" spans="6:9">
      <c r="F4256" s="12" t="e">
        <f>'[4]#REF'!F4256</f>
        <v>#REF!</v>
      </c>
      <c r="G4256" s="12" t="e">
        <f>'[4]#REF'!G4256</f>
        <v>#REF!</v>
      </c>
      <c r="H4256" s="31" t="e">
        <f>'[4]#REF'!I4256</f>
        <v>#REF!</v>
      </c>
      <c r="I4256" s="32" t="e">
        <f t="shared" si="97"/>
        <v>#REF!</v>
      </c>
    </row>
    <row r="4257" ht="15.75" spans="6:9">
      <c r="F4257" s="12" t="e">
        <f>'[4]#REF'!F4257</f>
        <v>#REF!</v>
      </c>
      <c r="G4257" s="12" t="e">
        <f>'[4]#REF'!G4257</f>
        <v>#REF!</v>
      </c>
      <c r="H4257" s="31" t="e">
        <f>'[4]#REF'!I4257</f>
        <v>#REF!</v>
      </c>
      <c r="I4257" s="32" t="e">
        <f t="shared" si="97"/>
        <v>#REF!</v>
      </c>
    </row>
    <row r="4258" ht="15.75" spans="6:9">
      <c r="F4258" s="12" t="e">
        <f>'[4]#REF'!F4258</f>
        <v>#REF!</v>
      </c>
      <c r="G4258" s="12" t="e">
        <f>'[4]#REF'!G4258</f>
        <v>#REF!</v>
      </c>
      <c r="H4258" s="31" t="e">
        <f>'[4]#REF'!I4258</f>
        <v>#REF!</v>
      </c>
      <c r="I4258" s="32" t="e">
        <f t="shared" si="97"/>
        <v>#REF!</v>
      </c>
    </row>
    <row r="4259" ht="15.75" spans="6:9">
      <c r="F4259" s="12" t="e">
        <f>'[4]#REF'!F4259</f>
        <v>#REF!</v>
      </c>
      <c r="G4259" s="12" t="e">
        <f>'[4]#REF'!G4259</f>
        <v>#REF!</v>
      </c>
      <c r="H4259" s="31" t="e">
        <f>'[4]#REF'!I4259</f>
        <v>#REF!</v>
      </c>
      <c r="I4259" s="32" t="e">
        <f t="shared" si="97"/>
        <v>#REF!</v>
      </c>
    </row>
    <row r="4260" ht="15.75" spans="6:9">
      <c r="F4260" s="12" t="e">
        <f>'[4]#REF'!F4260</f>
        <v>#REF!</v>
      </c>
      <c r="G4260" s="12" t="e">
        <f>'[4]#REF'!G4260</f>
        <v>#REF!</v>
      </c>
      <c r="H4260" s="31" t="e">
        <f>'[4]#REF'!I4260</f>
        <v>#REF!</v>
      </c>
      <c r="I4260" s="32" t="e">
        <f t="shared" si="97"/>
        <v>#REF!</v>
      </c>
    </row>
    <row r="4261" ht="15.75" spans="6:9">
      <c r="F4261" s="12" t="e">
        <f>'[4]#REF'!F4261</f>
        <v>#REF!</v>
      </c>
      <c r="G4261" s="12" t="e">
        <f>'[4]#REF'!G4261</f>
        <v>#REF!</v>
      </c>
      <c r="H4261" s="31" t="e">
        <f>'[4]#REF'!I4261</f>
        <v>#REF!</v>
      </c>
      <c r="I4261" s="32" t="e">
        <f t="shared" si="97"/>
        <v>#REF!</v>
      </c>
    </row>
    <row r="4262" ht="15.75" spans="6:9">
      <c r="F4262" s="12" t="e">
        <f>'[4]#REF'!F4262</f>
        <v>#REF!</v>
      </c>
      <c r="G4262" s="12" t="e">
        <f>'[4]#REF'!G4262</f>
        <v>#REF!</v>
      </c>
      <c r="H4262" s="31" t="e">
        <f>'[4]#REF'!I4262</f>
        <v>#REF!</v>
      </c>
      <c r="I4262" s="32" t="e">
        <f t="shared" si="97"/>
        <v>#REF!</v>
      </c>
    </row>
    <row r="4263" ht="15.75" spans="6:9">
      <c r="F4263" s="12" t="e">
        <f>'[4]#REF'!F4263</f>
        <v>#REF!</v>
      </c>
      <c r="G4263" s="12" t="e">
        <f>'[4]#REF'!G4263</f>
        <v>#REF!</v>
      </c>
      <c r="H4263" s="31" t="e">
        <f>'[4]#REF'!I4263</f>
        <v>#REF!</v>
      </c>
      <c r="I4263" s="32" t="e">
        <f t="shared" si="97"/>
        <v>#REF!</v>
      </c>
    </row>
    <row r="4264" ht="15.75" spans="6:9">
      <c r="F4264" s="12" t="e">
        <f>'[4]#REF'!F4264</f>
        <v>#REF!</v>
      </c>
      <c r="G4264" s="12" t="e">
        <f>'[4]#REF'!G4264</f>
        <v>#REF!</v>
      </c>
      <c r="H4264" s="31" t="e">
        <f>'[4]#REF'!I4264</f>
        <v>#REF!</v>
      </c>
      <c r="I4264" s="32" t="e">
        <f t="shared" si="97"/>
        <v>#REF!</v>
      </c>
    </row>
    <row r="4265" ht="15.75" spans="6:9">
      <c r="F4265" s="12" t="e">
        <f>'[4]#REF'!F4265</f>
        <v>#REF!</v>
      </c>
      <c r="G4265" s="12" t="e">
        <f>'[4]#REF'!G4265</f>
        <v>#REF!</v>
      </c>
      <c r="H4265" s="31" t="e">
        <f>'[4]#REF'!I4265</f>
        <v>#REF!</v>
      </c>
      <c r="I4265" s="32" t="e">
        <f t="shared" si="97"/>
        <v>#REF!</v>
      </c>
    </row>
    <row r="4266" ht="15.75" spans="6:9">
      <c r="F4266" s="12" t="e">
        <f>'[4]#REF'!F4266</f>
        <v>#REF!</v>
      </c>
      <c r="G4266" s="12" t="e">
        <f>'[4]#REF'!G4266</f>
        <v>#REF!</v>
      </c>
      <c r="H4266" s="31" t="e">
        <f>'[4]#REF'!I4266</f>
        <v>#REF!</v>
      </c>
      <c r="I4266" s="32" t="e">
        <f t="shared" si="97"/>
        <v>#REF!</v>
      </c>
    </row>
    <row r="4267" ht="15.75" spans="6:9">
      <c r="F4267" s="12" t="e">
        <f>'[4]#REF'!F4267</f>
        <v>#REF!</v>
      </c>
      <c r="G4267" s="12" t="e">
        <f>'[4]#REF'!G4267</f>
        <v>#REF!</v>
      </c>
      <c r="H4267" s="31" t="e">
        <f>'[4]#REF'!I4267</f>
        <v>#REF!</v>
      </c>
      <c r="I4267" s="32" t="e">
        <f t="shared" si="97"/>
        <v>#REF!</v>
      </c>
    </row>
    <row r="4268" ht="15.75" spans="6:9">
      <c r="F4268" s="12" t="e">
        <f>'[4]#REF'!F4268</f>
        <v>#REF!</v>
      </c>
      <c r="G4268" s="12" t="e">
        <f>'[4]#REF'!G4268</f>
        <v>#REF!</v>
      </c>
      <c r="H4268" s="31" t="e">
        <f>'[4]#REF'!I4268</f>
        <v>#REF!</v>
      </c>
      <c r="I4268" s="32" t="e">
        <f t="shared" si="97"/>
        <v>#REF!</v>
      </c>
    </row>
    <row r="4269" ht="15.75" spans="6:9">
      <c r="F4269" s="12" t="e">
        <f>'[4]#REF'!F4269</f>
        <v>#REF!</v>
      </c>
      <c r="G4269" s="12" t="e">
        <f>'[4]#REF'!G4269</f>
        <v>#REF!</v>
      </c>
      <c r="H4269" s="31" t="e">
        <f>'[4]#REF'!I4269</f>
        <v>#REF!</v>
      </c>
      <c r="I4269" s="32" t="e">
        <f t="shared" si="97"/>
        <v>#REF!</v>
      </c>
    </row>
    <row r="4270" ht="15.75" spans="6:9">
      <c r="F4270" s="12" t="e">
        <f>'[4]#REF'!F4270</f>
        <v>#REF!</v>
      </c>
      <c r="G4270" s="12" t="e">
        <f>'[4]#REF'!G4270</f>
        <v>#REF!</v>
      </c>
      <c r="H4270" s="31" t="e">
        <f>'[4]#REF'!I4270</f>
        <v>#REF!</v>
      </c>
      <c r="I4270" s="32" t="e">
        <f t="shared" si="97"/>
        <v>#REF!</v>
      </c>
    </row>
    <row r="4271" ht="15.75" spans="6:9">
      <c r="F4271" s="12" t="e">
        <f>'[4]#REF'!F4271</f>
        <v>#REF!</v>
      </c>
      <c r="G4271" s="12" t="e">
        <f>'[4]#REF'!G4271</f>
        <v>#REF!</v>
      </c>
      <c r="H4271" s="31" t="e">
        <f>'[4]#REF'!I4271</f>
        <v>#REF!</v>
      </c>
      <c r="I4271" s="32" t="e">
        <f t="shared" si="97"/>
        <v>#REF!</v>
      </c>
    </row>
    <row r="4272" ht="15.75" spans="6:9">
      <c r="F4272" s="12" t="e">
        <f>'[4]#REF'!F4272</f>
        <v>#REF!</v>
      </c>
      <c r="G4272" s="12" t="e">
        <f>'[4]#REF'!G4272</f>
        <v>#REF!</v>
      </c>
      <c r="H4272" s="31" t="e">
        <f>'[4]#REF'!I4272</f>
        <v>#REF!</v>
      </c>
      <c r="I4272" s="32" t="e">
        <f t="shared" si="97"/>
        <v>#REF!</v>
      </c>
    </row>
    <row r="4273" ht="15.75" spans="6:9">
      <c r="F4273" s="12" t="e">
        <f>'[4]#REF'!F4273</f>
        <v>#REF!</v>
      </c>
      <c r="G4273" s="12" t="e">
        <f>'[4]#REF'!G4273</f>
        <v>#REF!</v>
      </c>
      <c r="H4273" s="31" t="e">
        <f>'[4]#REF'!I4273</f>
        <v>#REF!</v>
      </c>
      <c r="I4273" s="32" t="e">
        <f t="shared" si="97"/>
        <v>#REF!</v>
      </c>
    </row>
    <row r="4274" ht="15.75" spans="6:9">
      <c r="F4274" s="12" t="e">
        <f>'[4]#REF'!F4274</f>
        <v>#REF!</v>
      </c>
      <c r="G4274" s="12" t="e">
        <f>'[4]#REF'!G4274</f>
        <v>#REF!</v>
      </c>
      <c r="H4274" s="31" t="e">
        <f>'[4]#REF'!I4274</f>
        <v>#REF!</v>
      </c>
      <c r="I4274" s="32" t="e">
        <f t="shared" si="97"/>
        <v>#REF!</v>
      </c>
    </row>
    <row r="4275" ht="15.75" spans="6:9">
      <c r="F4275" s="12" t="e">
        <f>'[4]#REF'!F4275</f>
        <v>#REF!</v>
      </c>
      <c r="G4275" s="12" t="e">
        <f>'[4]#REF'!G4275</f>
        <v>#REF!</v>
      </c>
      <c r="H4275" s="31" t="e">
        <f>'[4]#REF'!I4275</f>
        <v>#REF!</v>
      </c>
      <c r="I4275" s="32" t="e">
        <f t="shared" si="97"/>
        <v>#REF!</v>
      </c>
    </row>
    <row r="4276" ht="15.75" spans="6:9">
      <c r="F4276" s="12" t="e">
        <f>'[4]#REF'!F4276</f>
        <v>#REF!</v>
      </c>
      <c r="G4276" s="12" t="e">
        <f>'[4]#REF'!G4276</f>
        <v>#REF!</v>
      </c>
      <c r="H4276" s="31" t="e">
        <f>'[4]#REF'!I4276</f>
        <v>#REF!</v>
      </c>
      <c r="I4276" s="32" t="e">
        <f t="shared" si="97"/>
        <v>#REF!</v>
      </c>
    </row>
    <row r="4277" ht="15.75" spans="6:9">
      <c r="F4277" s="12" t="e">
        <f>'[4]#REF'!F4277</f>
        <v>#REF!</v>
      </c>
      <c r="G4277" s="12" t="e">
        <f>'[4]#REF'!G4277</f>
        <v>#REF!</v>
      </c>
      <c r="H4277" s="31" t="e">
        <f>'[4]#REF'!I4277</f>
        <v>#REF!</v>
      </c>
      <c r="I4277" s="32" t="e">
        <f t="shared" si="97"/>
        <v>#REF!</v>
      </c>
    </row>
    <row r="4278" ht="15.75" spans="6:9">
      <c r="F4278" s="12" t="e">
        <f>'[4]#REF'!F4278</f>
        <v>#REF!</v>
      </c>
      <c r="G4278" s="12" t="e">
        <f>'[4]#REF'!G4278</f>
        <v>#REF!</v>
      </c>
      <c r="H4278" s="31" t="e">
        <f>'[4]#REF'!I4278</f>
        <v>#REF!</v>
      </c>
      <c r="I4278" s="32" t="e">
        <f t="shared" si="97"/>
        <v>#REF!</v>
      </c>
    </row>
    <row r="4279" ht="15.75" spans="6:9">
      <c r="F4279" s="12" t="e">
        <f>'[4]#REF'!F4279</f>
        <v>#REF!</v>
      </c>
      <c r="G4279" s="12" t="e">
        <f>'[4]#REF'!G4279</f>
        <v>#REF!</v>
      </c>
      <c r="H4279" s="31" t="e">
        <f>'[4]#REF'!I4279</f>
        <v>#REF!</v>
      </c>
      <c r="I4279" s="32" t="e">
        <f t="shared" si="97"/>
        <v>#REF!</v>
      </c>
    </row>
    <row r="4280" ht="15.75" spans="6:9">
      <c r="F4280" s="12" t="e">
        <f>'[4]#REF'!F4280</f>
        <v>#REF!</v>
      </c>
      <c r="G4280" s="12" t="e">
        <f>'[4]#REF'!G4280</f>
        <v>#REF!</v>
      </c>
      <c r="H4280" s="31" t="e">
        <f>'[4]#REF'!I4280</f>
        <v>#REF!</v>
      </c>
      <c r="I4280" s="32" t="e">
        <f t="shared" si="97"/>
        <v>#REF!</v>
      </c>
    </row>
    <row r="4281" ht="15.75" spans="6:9">
      <c r="F4281" s="12" t="e">
        <f>'[4]#REF'!F4281</f>
        <v>#REF!</v>
      </c>
      <c r="G4281" s="12" t="e">
        <f>'[4]#REF'!G4281</f>
        <v>#REF!</v>
      </c>
      <c r="H4281" s="31" t="e">
        <f>'[4]#REF'!I4281</f>
        <v>#REF!</v>
      </c>
      <c r="I4281" s="32" t="e">
        <f t="shared" si="97"/>
        <v>#REF!</v>
      </c>
    </row>
    <row r="4282" ht="15.75" spans="6:9">
      <c r="F4282" s="12" t="e">
        <f>'[4]#REF'!F4282</f>
        <v>#REF!</v>
      </c>
      <c r="G4282" s="12" t="e">
        <f>'[4]#REF'!G4282</f>
        <v>#REF!</v>
      </c>
      <c r="H4282" s="31" t="e">
        <f>'[4]#REF'!I4282</f>
        <v>#REF!</v>
      </c>
      <c r="I4282" s="32" t="e">
        <f t="shared" si="97"/>
        <v>#REF!</v>
      </c>
    </row>
    <row r="4283" ht="15.75" spans="6:9">
      <c r="F4283" s="12" t="e">
        <f>'[4]#REF'!F4283</f>
        <v>#REF!</v>
      </c>
      <c r="G4283" s="12" t="e">
        <f>'[4]#REF'!G4283</f>
        <v>#REF!</v>
      </c>
      <c r="H4283" s="31" t="e">
        <f>'[4]#REF'!I4283</f>
        <v>#REF!</v>
      </c>
      <c r="I4283" s="32" t="e">
        <f t="shared" si="97"/>
        <v>#REF!</v>
      </c>
    </row>
    <row r="4284" ht="15.75" spans="6:9">
      <c r="F4284" s="12" t="e">
        <f>'[4]#REF'!F4284</f>
        <v>#REF!</v>
      </c>
      <c r="G4284" s="12" t="e">
        <f>'[4]#REF'!G4284</f>
        <v>#REF!</v>
      </c>
      <c r="H4284" s="31" t="e">
        <f>'[4]#REF'!I4284</f>
        <v>#REF!</v>
      </c>
      <c r="I4284" s="32" t="e">
        <f t="shared" si="97"/>
        <v>#REF!</v>
      </c>
    </row>
    <row r="4285" ht="15.75" spans="6:9">
      <c r="F4285" s="12" t="e">
        <f>'[4]#REF'!F4285</f>
        <v>#REF!</v>
      </c>
      <c r="G4285" s="12" t="e">
        <f>'[4]#REF'!G4285</f>
        <v>#REF!</v>
      </c>
      <c r="H4285" s="31" t="e">
        <f>'[4]#REF'!I4285</f>
        <v>#REF!</v>
      </c>
      <c r="I4285" s="32" t="e">
        <f t="shared" si="97"/>
        <v>#REF!</v>
      </c>
    </row>
    <row r="4286" ht="15.75" spans="6:9">
      <c r="F4286" s="12" t="e">
        <f>'[4]#REF'!F4286</f>
        <v>#REF!</v>
      </c>
      <c r="G4286" s="12" t="e">
        <f>'[4]#REF'!G4286</f>
        <v>#REF!</v>
      </c>
      <c r="H4286" s="31" t="e">
        <f>'[4]#REF'!I4286</f>
        <v>#REF!</v>
      </c>
      <c r="I4286" s="32" t="e">
        <f t="shared" si="97"/>
        <v>#REF!</v>
      </c>
    </row>
    <row r="4287" ht="15.75" spans="6:9">
      <c r="F4287" s="12" t="e">
        <f>'[4]#REF'!F4287</f>
        <v>#REF!</v>
      </c>
      <c r="G4287" s="12" t="e">
        <f>'[4]#REF'!G4287</f>
        <v>#REF!</v>
      </c>
      <c r="H4287" s="31" t="e">
        <f>'[4]#REF'!I4287</f>
        <v>#REF!</v>
      </c>
      <c r="I4287" s="32" t="e">
        <f t="shared" si="97"/>
        <v>#REF!</v>
      </c>
    </row>
    <row r="4288" ht="15.75" spans="6:9">
      <c r="F4288" s="12" t="e">
        <f>'[4]#REF'!F4288</f>
        <v>#REF!</v>
      </c>
      <c r="G4288" s="12" t="e">
        <f>'[4]#REF'!G4288</f>
        <v>#REF!</v>
      </c>
      <c r="H4288" s="31" t="e">
        <f>'[4]#REF'!I4288</f>
        <v>#REF!</v>
      </c>
      <c r="I4288" s="32" t="e">
        <f t="shared" si="97"/>
        <v>#REF!</v>
      </c>
    </row>
    <row r="4289" ht="15.75" spans="6:9">
      <c r="F4289" s="12" t="e">
        <f>'[4]#REF'!F4289</f>
        <v>#REF!</v>
      </c>
      <c r="G4289" s="12" t="e">
        <f>'[4]#REF'!G4289</f>
        <v>#REF!</v>
      </c>
      <c r="H4289" s="31" t="e">
        <f>'[4]#REF'!I4289</f>
        <v>#REF!</v>
      </c>
      <c r="I4289" s="32" t="e">
        <f t="shared" si="97"/>
        <v>#REF!</v>
      </c>
    </row>
    <row r="4290" ht="15.75" spans="6:9">
      <c r="F4290" s="12" t="e">
        <f>'[4]#REF'!F4290</f>
        <v>#REF!</v>
      </c>
      <c r="G4290" s="12" t="e">
        <f>'[4]#REF'!G4290</f>
        <v>#REF!</v>
      </c>
      <c r="H4290" s="31" t="e">
        <f>'[4]#REF'!I4290</f>
        <v>#REF!</v>
      </c>
      <c r="I4290" s="32" t="e">
        <f t="shared" si="97"/>
        <v>#REF!</v>
      </c>
    </row>
    <row r="4291" ht="15.75" spans="6:9">
      <c r="F4291" s="12" t="e">
        <f>'[4]#REF'!F4291</f>
        <v>#REF!</v>
      </c>
      <c r="G4291" s="12" t="e">
        <f>'[4]#REF'!G4291</f>
        <v>#REF!</v>
      </c>
      <c r="H4291" s="31" t="e">
        <f>'[4]#REF'!I4291</f>
        <v>#REF!</v>
      </c>
      <c r="I4291" s="32" t="e">
        <f t="shared" si="97"/>
        <v>#REF!</v>
      </c>
    </row>
    <row r="4292" ht="15.75" spans="6:9">
      <c r="F4292" s="12" t="e">
        <f>'[4]#REF'!F4292</f>
        <v>#REF!</v>
      </c>
      <c r="G4292" s="12" t="e">
        <f>'[4]#REF'!G4292</f>
        <v>#REF!</v>
      </c>
      <c r="H4292" s="31" t="e">
        <f>'[4]#REF'!I4292</f>
        <v>#REF!</v>
      </c>
      <c r="I4292" s="32" t="e">
        <f t="shared" si="97"/>
        <v>#REF!</v>
      </c>
    </row>
    <row r="4293" ht="15.75" spans="6:9">
      <c r="F4293" s="12" t="e">
        <f>'[4]#REF'!F4293</f>
        <v>#REF!</v>
      </c>
      <c r="G4293" s="12" t="e">
        <f>'[4]#REF'!G4293</f>
        <v>#REF!</v>
      </c>
      <c r="H4293" s="31" t="e">
        <f>'[4]#REF'!I4293</f>
        <v>#REF!</v>
      </c>
      <c r="I4293" s="32" t="e">
        <f t="shared" si="97"/>
        <v>#REF!</v>
      </c>
    </row>
    <row r="4294" ht="15.75" spans="6:9">
      <c r="F4294" s="12" t="e">
        <f>'[4]#REF'!F4294</f>
        <v>#REF!</v>
      </c>
      <c r="G4294" s="12" t="e">
        <f>'[4]#REF'!G4294</f>
        <v>#REF!</v>
      </c>
      <c r="H4294" s="31" t="e">
        <f>'[4]#REF'!I4294</f>
        <v>#REF!</v>
      </c>
      <c r="I4294" s="32" t="e">
        <f t="shared" ref="I4294:I4357" si="98">ROUND(H4294/$I$4*100,2)</f>
        <v>#REF!</v>
      </c>
    </row>
    <row r="4295" ht="15.75" spans="6:9">
      <c r="F4295" s="12" t="e">
        <f>'[4]#REF'!F4295</f>
        <v>#REF!</v>
      </c>
      <c r="G4295" s="12" t="e">
        <f>'[4]#REF'!G4295</f>
        <v>#REF!</v>
      </c>
      <c r="H4295" s="31" t="e">
        <f>'[4]#REF'!I4295</f>
        <v>#REF!</v>
      </c>
      <c r="I4295" s="32" t="e">
        <f t="shared" si="98"/>
        <v>#REF!</v>
      </c>
    </row>
    <row r="4296" ht="15.75" spans="6:9">
      <c r="F4296" s="12" t="e">
        <f>'[4]#REF'!F4296</f>
        <v>#REF!</v>
      </c>
      <c r="G4296" s="12" t="e">
        <f>'[4]#REF'!G4296</f>
        <v>#REF!</v>
      </c>
      <c r="H4296" s="31" t="e">
        <f>'[4]#REF'!I4296</f>
        <v>#REF!</v>
      </c>
      <c r="I4296" s="32" t="e">
        <f t="shared" si="98"/>
        <v>#REF!</v>
      </c>
    </row>
    <row r="4297" ht="15.75" spans="6:9">
      <c r="F4297" s="12" t="e">
        <f>'[4]#REF'!F4297</f>
        <v>#REF!</v>
      </c>
      <c r="G4297" s="12" t="e">
        <f>'[4]#REF'!G4297</f>
        <v>#REF!</v>
      </c>
      <c r="H4297" s="31" t="e">
        <f>'[4]#REF'!I4297</f>
        <v>#REF!</v>
      </c>
      <c r="I4297" s="32" t="e">
        <f t="shared" si="98"/>
        <v>#REF!</v>
      </c>
    </row>
    <row r="4298" ht="15.75" spans="6:9">
      <c r="F4298" s="12" t="e">
        <f>'[4]#REF'!F4298</f>
        <v>#REF!</v>
      </c>
      <c r="G4298" s="12" t="e">
        <f>'[4]#REF'!G4298</f>
        <v>#REF!</v>
      </c>
      <c r="H4298" s="31" t="e">
        <f>'[4]#REF'!I4298</f>
        <v>#REF!</v>
      </c>
      <c r="I4298" s="32" t="e">
        <f t="shared" si="98"/>
        <v>#REF!</v>
      </c>
    </row>
    <row r="4299" ht="15.75" spans="6:9">
      <c r="F4299" s="12" t="e">
        <f>'[4]#REF'!F4299</f>
        <v>#REF!</v>
      </c>
      <c r="G4299" s="12" t="e">
        <f>'[4]#REF'!G4299</f>
        <v>#REF!</v>
      </c>
      <c r="H4299" s="31" t="e">
        <f>'[4]#REF'!I4299</f>
        <v>#REF!</v>
      </c>
      <c r="I4299" s="32" t="e">
        <f t="shared" si="98"/>
        <v>#REF!</v>
      </c>
    </row>
    <row r="4300" ht="15.75" spans="6:9">
      <c r="F4300" s="12" t="e">
        <f>'[4]#REF'!F4300</f>
        <v>#REF!</v>
      </c>
      <c r="G4300" s="12" t="e">
        <f>'[4]#REF'!G4300</f>
        <v>#REF!</v>
      </c>
      <c r="H4300" s="31" t="e">
        <f>'[4]#REF'!I4300</f>
        <v>#REF!</v>
      </c>
      <c r="I4300" s="32" t="e">
        <f t="shared" si="98"/>
        <v>#REF!</v>
      </c>
    </row>
    <row r="4301" ht="15.75" spans="6:9">
      <c r="F4301" s="12" t="e">
        <f>'[4]#REF'!F4301</f>
        <v>#REF!</v>
      </c>
      <c r="G4301" s="12" t="e">
        <f>'[4]#REF'!G4301</f>
        <v>#REF!</v>
      </c>
      <c r="H4301" s="31" t="e">
        <f>'[4]#REF'!I4301</f>
        <v>#REF!</v>
      </c>
      <c r="I4301" s="32" t="e">
        <f t="shared" si="98"/>
        <v>#REF!</v>
      </c>
    </row>
    <row r="4302" ht="15.75" spans="6:9">
      <c r="F4302" s="12" t="e">
        <f>'[4]#REF'!F4302</f>
        <v>#REF!</v>
      </c>
      <c r="G4302" s="12" t="e">
        <f>'[4]#REF'!G4302</f>
        <v>#REF!</v>
      </c>
      <c r="H4302" s="31" t="e">
        <f>'[4]#REF'!I4302</f>
        <v>#REF!</v>
      </c>
      <c r="I4302" s="32" t="e">
        <f t="shared" si="98"/>
        <v>#REF!</v>
      </c>
    </row>
    <row r="4303" ht="15.75" spans="6:9">
      <c r="F4303" s="12" t="e">
        <f>'[4]#REF'!F4303</f>
        <v>#REF!</v>
      </c>
      <c r="G4303" s="12" t="e">
        <f>'[4]#REF'!G4303</f>
        <v>#REF!</v>
      </c>
      <c r="H4303" s="31" t="e">
        <f>'[4]#REF'!I4303</f>
        <v>#REF!</v>
      </c>
      <c r="I4303" s="32" t="e">
        <f t="shared" si="98"/>
        <v>#REF!</v>
      </c>
    </row>
    <row r="4304" ht="15.75" spans="6:9">
      <c r="F4304" s="12" t="e">
        <f>'[4]#REF'!F4304</f>
        <v>#REF!</v>
      </c>
      <c r="G4304" s="12" t="e">
        <f>'[4]#REF'!G4304</f>
        <v>#REF!</v>
      </c>
      <c r="H4304" s="31" t="e">
        <f>'[4]#REF'!I4304</f>
        <v>#REF!</v>
      </c>
      <c r="I4304" s="32" t="e">
        <f t="shared" si="98"/>
        <v>#REF!</v>
      </c>
    </row>
    <row r="4305" ht="15.75" spans="6:9">
      <c r="F4305" s="12" t="e">
        <f>'[4]#REF'!F4305</f>
        <v>#REF!</v>
      </c>
      <c r="G4305" s="12" t="e">
        <f>'[4]#REF'!G4305</f>
        <v>#REF!</v>
      </c>
      <c r="H4305" s="31" t="e">
        <f>'[4]#REF'!I4305</f>
        <v>#REF!</v>
      </c>
      <c r="I4305" s="32" t="e">
        <f t="shared" si="98"/>
        <v>#REF!</v>
      </c>
    </row>
    <row r="4306" ht="15.75" spans="6:9">
      <c r="F4306" s="12" t="e">
        <f>'[4]#REF'!F4306</f>
        <v>#REF!</v>
      </c>
      <c r="G4306" s="12" t="e">
        <f>'[4]#REF'!G4306</f>
        <v>#REF!</v>
      </c>
      <c r="H4306" s="31" t="e">
        <f>'[4]#REF'!I4306</f>
        <v>#REF!</v>
      </c>
      <c r="I4306" s="32" t="e">
        <f t="shared" si="98"/>
        <v>#REF!</v>
      </c>
    </row>
    <row r="4307" ht="15.75" spans="6:9">
      <c r="F4307" s="12" t="e">
        <f>'[4]#REF'!F4307</f>
        <v>#REF!</v>
      </c>
      <c r="G4307" s="12" t="e">
        <f>'[4]#REF'!G4307</f>
        <v>#REF!</v>
      </c>
      <c r="H4307" s="31" t="e">
        <f>'[4]#REF'!I4307</f>
        <v>#REF!</v>
      </c>
      <c r="I4307" s="32" t="e">
        <f t="shared" si="98"/>
        <v>#REF!</v>
      </c>
    </row>
    <row r="4308" ht="15.75" spans="6:9">
      <c r="F4308" s="12" t="e">
        <f>'[4]#REF'!F4308</f>
        <v>#REF!</v>
      </c>
      <c r="G4308" s="12" t="e">
        <f>'[4]#REF'!G4308</f>
        <v>#REF!</v>
      </c>
      <c r="H4308" s="31" t="e">
        <f>'[4]#REF'!I4308</f>
        <v>#REF!</v>
      </c>
      <c r="I4308" s="32" t="e">
        <f t="shared" si="98"/>
        <v>#REF!</v>
      </c>
    </row>
    <row r="4309" ht="15.75" spans="6:9">
      <c r="F4309" s="12" t="e">
        <f>'[4]#REF'!F4309</f>
        <v>#REF!</v>
      </c>
      <c r="G4309" s="12" t="e">
        <f>'[4]#REF'!G4309</f>
        <v>#REF!</v>
      </c>
      <c r="H4309" s="31" t="e">
        <f>'[4]#REF'!I4309</f>
        <v>#REF!</v>
      </c>
      <c r="I4309" s="32" t="e">
        <f t="shared" si="98"/>
        <v>#REF!</v>
      </c>
    </row>
    <row r="4310" ht="15.75" spans="6:9">
      <c r="F4310" s="12" t="e">
        <f>'[4]#REF'!F4310</f>
        <v>#REF!</v>
      </c>
      <c r="G4310" s="12" t="e">
        <f>'[4]#REF'!G4310</f>
        <v>#REF!</v>
      </c>
      <c r="H4310" s="31" t="e">
        <f>'[4]#REF'!I4310</f>
        <v>#REF!</v>
      </c>
      <c r="I4310" s="32" t="e">
        <f t="shared" si="98"/>
        <v>#REF!</v>
      </c>
    </row>
    <row r="4311" ht="15.75" spans="6:9">
      <c r="F4311" s="12" t="e">
        <f>'[4]#REF'!F4311</f>
        <v>#REF!</v>
      </c>
      <c r="G4311" s="12" t="e">
        <f>'[4]#REF'!G4311</f>
        <v>#REF!</v>
      </c>
      <c r="H4311" s="31" t="e">
        <f>'[4]#REF'!I4311</f>
        <v>#REF!</v>
      </c>
      <c r="I4311" s="32" t="e">
        <f t="shared" si="98"/>
        <v>#REF!</v>
      </c>
    </row>
    <row r="4312" ht="15.75" spans="6:9">
      <c r="F4312" s="12" t="e">
        <f>'[4]#REF'!F4312</f>
        <v>#REF!</v>
      </c>
      <c r="G4312" s="12" t="e">
        <f>'[4]#REF'!G4312</f>
        <v>#REF!</v>
      </c>
      <c r="H4312" s="31" t="e">
        <f>'[4]#REF'!I4312</f>
        <v>#REF!</v>
      </c>
      <c r="I4312" s="32" t="e">
        <f t="shared" si="98"/>
        <v>#REF!</v>
      </c>
    </row>
    <row r="4313" ht="15.75" spans="6:9">
      <c r="F4313" s="12" t="e">
        <f>'[4]#REF'!F4313</f>
        <v>#REF!</v>
      </c>
      <c r="G4313" s="12" t="e">
        <f>'[4]#REF'!G4313</f>
        <v>#REF!</v>
      </c>
      <c r="H4313" s="31" t="e">
        <f>'[4]#REF'!I4313</f>
        <v>#REF!</v>
      </c>
      <c r="I4313" s="32" t="e">
        <f t="shared" si="98"/>
        <v>#REF!</v>
      </c>
    </row>
    <row r="4314" ht="15.75" spans="6:9">
      <c r="F4314" s="12" t="e">
        <f>'[4]#REF'!F4314</f>
        <v>#REF!</v>
      </c>
      <c r="G4314" s="12" t="e">
        <f>'[4]#REF'!G4314</f>
        <v>#REF!</v>
      </c>
      <c r="H4314" s="31" t="e">
        <f>'[4]#REF'!I4314</f>
        <v>#REF!</v>
      </c>
      <c r="I4314" s="32" t="e">
        <f t="shared" si="98"/>
        <v>#REF!</v>
      </c>
    </row>
    <row r="4315" ht="15.75" spans="6:9">
      <c r="F4315" s="12" t="e">
        <f>'[4]#REF'!F4315</f>
        <v>#REF!</v>
      </c>
      <c r="G4315" s="12" t="e">
        <f>'[4]#REF'!G4315</f>
        <v>#REF!</v>
      </c>
      <c r="H4315" s="31" t="e">
        <f>'[4]#REF'!I4315</f>
        <v>#REF!</v>
      </c>
      <c r="I4315" s="32" t="e">
        <f t="shared" si="98"/>
        <v>#REF!</v>
      </c>
    </row>
    <row r="4316" ht="15.75" spans="6:9">
      <c r="F4316" s="12" t="e">
        <f>'[4]#REF'!F4316</f>
        <v>#REF!</v>
      </c>
      <c r="G4316" s="12" t="e">
        <f>'[4]#REF'!G4316</f>
        <v>#REF!</v>
      </c>
      <c r="H4316" s="31" t="e">
        <f>'[4]#REF'!I4316</f>
        <v>#REF!</v>
      </c>
      <c r="I4316" s="32" t="e">
        <f t="shared" si="98"/>
        <v>#REF!</v>
      </c>
    </row>
    <row r="4317" ht="15.75" spans="6:9">
      <c r="F4317" s="12" t="e">
        <f>'[4]#REF'!F4317</f>
        <v>#REF!</v>
      </c>
      <c r="G4317" s="12" t="e">
        <f>'[4]#REF'!G4317</f>
        <v>#REF!</v>
      </c>
      <c r="H4317" s="31" t="e">
        <f>'[4]#REF'!I4317</f>
        <v>#REF!</v>
      </c>
      <c r="I4317" s="32" t="e">
        <f t="shared" si="98"/>
        <v>#REF!</v>
      </c>
    </row>
    <row r="4318" ht="15.75" spans="6:9">
      <c r="F4318" s="12" t="e">
        <f>'[4]#REF'!F4318</f>
        <v>#REF!</v>
      </c>
      <c r="G4318" s="12" t="e">
        <f>'[4]#REF'!G4318</f>
        <v>#REF!</v>
      </c>
      <c r="H4318" s="31" t="e">
        <f>'[4]#REF'!I4318</f>
        <v>#REF!</v>
      </c>
      <c r="I4318" s="32" t="e">
        <f t="shared" si="98"/>
        <v>#REF!</v>
      </c>
    </row>
    <row r="4319" ht="15.75" spans="6:9">
      <c r="F4319" s="12" t="e">
        <f>'[4]#REF'!F4319</f>
        <v>#REF!</v>
      </c>
      <c r="G4319" s="12" t="e">
        <f>'[4]#REF'!G4319</f>
        <v>#REF!</v>
      </c>
      <c r="H4319" s="31" t="e">
        <f>'[4]#REF'!I4319</f>
        <v>#REF!</v>
      </c>
      <c r="I4319" s="32" t="e">
        <f t="shared" si="98"/>
        <v>#REF!</v>
      </c>
    </row>
    <row r="4320" ht="15.75" spans="6:9">
      <c r="F4320" s="12" t="e">
        <f>'[4]#REF'!F4320</f>
        <v>#REF!</v>
      </c>
      <c r="G4320" s="12" t="e">
        <f>'[4]#REF'!G4320</f>
        <v>#REF!</v>
      </c>
      <c r="H4320" s="31" t="e">
        <f>'[4]#REF'!I4320</f>
        <v>#REF!</v>
      </c>
      <c r="I4320" s="32" t="e">
        <f t="shared" si="98"/>
        <v>#REF!</v>
      </c>
    </row>
    <row r="4321" ht="15.75" spans="6:9">
      <c r="F4321" s="12" t="e">
        <f>'[4]#REF'!F4321</f>
        <v>#REF!</v>
      </c>
      <c r="G4321" s="12" t="e">
        <f>'[4]#REF'!G4321</f>
        <v>#REF!</v>
      </c>
      <c r="H4321" s="31" t="e">
        <f>'[4]#REF'!I4321</f>
        <v>#REF!</v>
      </c>
      <c r="I4321" s="32" t="e">
        <f t="shared" si="98"/>
        <v>#REF!</v>
      </c>
    </row>
    <row r="4322" ht="15.75" spans="6:9">
      <c r="F4322" s="12" t="e">
        <f>'[4]#REF'!F4322</f>
        <v>#REF!</v>
      </c>
      <c r="G4322" s="12" t="e">
        <f>'[4]#REF'!G4322</f>
        <v>#REF!</v>
      </c>
      <c r="H4322" s="31" t="e">
        <f>'[4]#REF'!I4322</f>
        <v>#REF!</v>
      </c>
      <c r="I4322" s="32" t="e">
        <f t="shared" si="98"/>
        <v>#REF!</v>
      </c>
    </row>
    <row r="4323" ht="15.75" spans="6:9">
      <c r="F4323" s="12" t="e">
        <f>'[4]#REF'!F4323</f>
        <v>#REF!</v>
      </c>
      <c r="G4323" s="12" t="e">
        <f>'[4]#REF'!G4323</f>
        <v>#REF!</v>
      </c>
      <c r="H4323" s="31" t="e">
        <f>'[4]#REF'!I4323</f>
        <v>#REF!</v>
      </c>
      <c r="I4323" s="32" t="e">
        <f t="shared" si="98"/>
        <v>#REF!</v>
      </c>
    </row>
    <row r="4324" ht="15.75" spans="6:9">
      <c r="F4324" s="12" t="e">
        <f>'[4]#REF'!F4324</f>
        <v>#REF!</v>
      </c>
      <c r="G4324" s="12" t="e">
        <f>'[4]#REF'!G4324</f>
        <v>#REF!</v>
      </c>
      <c r="H4324" s="31" t="e">
        <f>'[4]#REF'!I4324</f>
        <v>#REF!</v>
      </c>
      <c r="I4324" s="32" t="e">
        <f t="shared" si="98"/>
        <v>#REF!</v>
      </c>
    </row>
    <row r="4325" ht="15.75" spans="6:9">
      <c r="F4325" s="12" t="e">
        <f>'[4]#REF'!F4325</f>
        <v>#REF!</v>
      </c>
      <c r="G4325" s="12" t="e">
        <f>'[4]#REF'!G4325</f>
        <v>#REF!</v>
      </c>
      <c r="H4325" s="31" t="e">
        <f>'[4]#REF'!I4325</f>
        <v>#REF!</v>
      </c>
      <c r="I4325" s="32" t="e">
        <f t="shared" si="98"/>
        <v>#REF!</v>
      </c>
    </row>
    <row r="4326" ht="15.75" spans="6:9">
      <c r="F4326" s="12" t="e">
        <f>'[4]#REF'!F4326</f>
        <v>#REF!</v>
      </c>
      <c r="G4326" s="12" t="e">
        <f>'[4]#REF'!G4326</f>
        <v>#REF!</v>
      </c>
      <c r="H4326" s="31" t="e">
        <f>'[4]#REF'!I4326</f>
        <v>#REF!</v>
      </c>
      <c r="I4326" s="32" t="e">
        <f t="shared" si="98"/>
        <v>#REF!</v>
      </c>
    </row>
    <row r="4327" ht="15.75" spans="6:9">
      <c r="F4327" s="12" t="e">
        <f>'[4]#REF'!F4327</f>
        <v>#REF!</v>
      </c>
      <c r="G4327" s="12" t="e">
        <f>'[4]#REF'!G4327</f>
        <v>#REF!</v>
      </c>
      <c r="H4327" s="31" t="e">
        <f>'[4]#REF'!I4327</f>
        <v>#REF!</v>
      </c>
      <c r="I4327" s="32" t="e">
        <f t="shared" si="98"/>
        <v>#REF!</v>
      </c>
    </row>
    <row r="4328" ht="15.75" spans="6:9">
      <c r="F4328" s="12" t="e">
        <f>'[4]#REF'!F4328</f>
        <v>#REF!</v>
      </c>
      <c r="G4328" s="12" t="e">
        <f>'[4]#REF'!G4328</f>
        <v>#REF!</v>
      </c>
      <c r="H4328" s="31" t="e">
        <f>'[4]#REF'!I4328</f>
        <v>#REF!</v>
      </c>
      <c r="I4328" s="32" t="e">
        <f t="shared" si="98"/>
        <v>#REF!</v>
      </c>
    </row>
    <row r="4329" ht="15.75" spans="6:9">
      <c r="F4329" s="12" t="e">
        <f>'[4]#REF'!F4329</f>
        <v>#REF!</v>
      </c>
      <c r="G4329" s="12" t="e">
        <f>'[4]#REF'!G4329</f>
        <v>#REF!</v>
      </c>
      <c r="H4329" s="31" t="e">
        <f>'[4]#REF'!I4329</f>
        <v>#REF!</v>
      </c>
      <c r="I4329" s="32" t="e">
        <f t="shared" si="98"/>
        <v>#REF!</v>
      </c>
    </row>
    <row r="4330" ht="15.75" spans="6:9">
      <c r="F4330" s="12" t="e">
        <f>'[4]#REF'!F4330</f>
        <v>#REF!</v>
      </c>
      <c r="G4330" s="12" t="e">
        <f>'[4]#REF'!G4330</f>
        <v>#REF!</v>
      </c>
      <c r="H4330" s="31" t="e">
        <f>'[4]#REF'!I4330</f>
        <v>#REF!</v>
      </c>
      <c r="I4330" s="32" t="e">
        <f t="shared" si="98"/>
        <v>#REF!</v>
      </c>
    </row>
    <row r="4331" ht="15.75" spans="6:9">
      <c r="F4331" s="12" t="e">
        <f>'[4]#REF'!F4331</f>
        <v>#REF!</v>
      </c>
      <c r="G4331" s="12" t="e">
        <f>'[4]#REF'!G4331</f>
        <v>#REF!</v>
      </c>
      <c r="H4331" s="31" t="e">
        <f>'[4]#REF'!I4331</f>
        <v>#REF!</v>
      </c>
      <c r="I4331" s="32" t="e">
        <f t="shared" si="98"/>
        <v>#REF!</v>
      </c>
    </row>
    <row r="4332" ht="15.75" spans="6:9">
      <c r="F4332" s="12" t="e">
        <f>'[4]#REF'!F4332</f>
        <v>#REF!</v>
      </c>
      <c r="G4332" s="12" t="e">
        <f>'[4]#REF'!G4332</f>
        <v>#REF!</v>
      </c>
      <c r="H4332" s="31" t="e">
        <f>'[4]#REF'!I4332</f>
        <v>#REF!</v>
      </c>
      <c r="I4332" s="32" t="e">
        <f t="shared" si="98"/>
        <v>#REF!</v>
      </c>
    </row>
    <row r="4333" ht="15.75" spans="6:9">
      <c r="F4333" s="12" t="e">
        <f>'[4]#REF'!F4333</f>
        <v>#REF!</v>
      </c>
      <c r="G4333" s="12" t="e">
        <f>'[4]#REF'!G4333</f>
        <v>#REF!</v>
      </c>
      <c r="H4333" s="31" t="e">
        <f>'[4]#REF'!I4333</f>
        <v>#REF!</v>
      </c>
      <c r="I4333" s="32" t="e">
        <f t="shared" si="98"/>
        <v>#REF!</v>
      </c>
    </row>
    <row r="4334" ht="15.75" spans="6:9">
      <c r="F4334" s="12" t="e">
        <f>'[4]#REF'!F4334</f>
        <v>#REF!</v>
      </c>
      <c r="G4334" s="12" t="e">
        <f>'[4]#REF'!G4334</f>
        <v>#REF!</v>
      </c>
      <c r="H4334" s="31" t="e">
        <f>'[4]#REF'!I4334</f>
        <v>#REF!</v>
      </c>
      <c r="I4334" s="32" t="e">
        <f t="shared" si="98"/>
        <v>#REF!</v>
      </c>
    </row>
    <row r="4335" ht="15.75" spans="6:9">
      <c r="F4335" s="12" t="e">
        <f>'[4]#REF'!F4335</f>
        <v>#REF!</v>
      </c>
      <c r="G4335" s="12" t="e">
        <f>'[4]#REF'!G4335</f>
        <v>#REF!</v>
      </c>
      <c r="H4335" s="31" t="e">
        <f>'[4]#REF'!I4335</f>
        <v>#REF!</v>
      </c>
      <c r="I4335" s="32" t="e">
        <f t="shared" si="98"/>
        <v>#REF!</v>
      </c>
    </row>
    <row r="4336" ht="15.75" spans="6:9">
      <c r="F4336" s="12" t="e">
        <f>'[4]#REF'!F4336</f>
        <v>#REF!</v>
      </c>
      <c r="G4336" s="12" t="e">
        <f>'[4]#REF'!G4336</f>
        <v>#REF!</v>
      </c>
      <c r="H4336" s="31" t="e">
        <f>'[4]#REF'!I4336</f>
        <v>#REF!</v>
      </c>
      <c r="I4336" s="32" t="e">
        <f t="shared" si="98"/>
        <v>#REF!</v>
      </c>
    </row>
    <row r="4337" ht="15.75" spans="6:9">
      <c r="F4337" s="12" t="e">
        <f>'[4]#REF'!F4337</f>
        <v>#REF!</v>
      </c>
      <c r="G4337" s="12" t="e">
        <f>'[4]#REF'!G4337</f>
        <v>#REF!</v>
      </c>
      <c r="H4337" s="31" t="e">
        <f>'[4]#REF'!I4337</f>
        <v>#REF!</v>
      </c>
      <c r="I4337" s="32" t="e">
        <f t="shared" si="98"/>
        <v>#REF!</v>
      </c>
    </row>
    <row r="4338" ht="15.75" spans="6:9">
      <c r="F4338" s="12" t="e">
        <f>'[4]#REF'!F4338</f>
        <v>#REF!</v>
      </c>
      <c r="G4338" s="12" t="e">
        <f>'[4]#REF'!G4338</f>
        <v>#REF!</v>
      </c>
      <c r="H4338" s="31" t="e">
        <f>'[4]#REF'!I4338</f>
        <v>#REF!</v>
      </c>
      <c r="I4338" s="32" t="e">
        <f t="shared" si="98"/>
        <v>#REF!</v>
      </c>
    </row>
    <row r="4339" ht="15.75" spans="6:9">
      <c r="F4339" s="12" t="e">
        <f>'[4]#REF'!F4339</f>
        <v>#REF!</v>
      </c>
      <c r="G4339" s="12" t="e">
        <f>'[4]#REF'!G4339</f>
        <v>#REF!</v>
      </c>
      <c r="H4339" s="31" t="e">
        <f>'[4]#REF'!I4339</f>
        <v>#REF!</v>
      </c>
      <c r="I4339" s="32" t="e">
        <f t="shared" si="98"/>
        <v>#REF!</v>
      </c>
    </row>
    <row r="4340" ht="15.75" spans="6:9">
      <c r="F4340" s="12" t="e">
        <f>'[4]#REF'!F4340</f>
        <v>#REF!</v>
      </c>
      <c r="G4340" s="12" t="e">
        <f>'[4]#REF'!G4340</f>
        <v>#REF!</v>
      </c>
      <c r="H4340" s="31" t="e">
        <f>'[4]#REF'!I4340</f>
        <v>#REF!</v>
      </c>
      <c r="I4340" s="32" t="e">
        <f t="shared" si="98"/>
        <v>#REF!</v>
      </c>
    </row>
    <row r="4341" ht="15.75" spans="6:9">
      <c r="F4341" s="12" t="e">
        <f>'[4]#REF'!F4341</f>
        <v>#REF!</v>
      </c>
      <c r="G4341" s="12" t="e">
        <f>'[4]#REF'!G4341</f>
        <v>#REF!</v>
      </c>
      <c r="H4341" s="31" t="e">
        <f>'[4]#REF'!I4341</f>
        <v>#REF!</v>
      </c>
      <c r="I4341" s="32" t="e">
        <f t="shared" si="98"/>
        <v>#REF!</v>
      </c>
    </row>
    <row r="4342" ht="15.75" spans="6:9">
      <c r="F4342" s="12" t="e">
        <f>'[4]#REF'!F4342</f>
        <v>#REF!</v>
      </c>
      <c r="G4342" s="12" t="e">
        <f>'[4]#REF'!G4342</f>
        <v>#REF!</v>
      </c>
      <c r="H4342" s="31" t="e">
        <f>'[4]#REF'!I4342</f>
        <v>#REF!</v>
      </c>
      <c r="I4342" s="32" t="e">
        <f t="shared" si="98"/>
        <v>#REF!</v>
      </c>
    </row>
    <row r="4343" ht="15.75" spans="6:9">
      <c r="F4343" s="12" t="e">
        <f>'[4]#REF'!F4343</f>
        <v>#REF!</v>
      </c>
      <c r="G4343" s="12" t="e">
        <f>'[4]#REF'!G4343</f>
        <v>#REF!</v>
      </c>
      <c r="H4343" s="31" t="e">
        <f>'[4]#REF'!I4343</f>
        <v>#REF!</v>
      </c>
      <c r="I4343" s="32" t="e">
        <f t="shared" si="98"/>
        <v>#REF!</v>
      </c>
    </row>
    <row r="4344" ht="15.75" spans="6:9">
      <c r="F4344" s="12" t="e">
        <f>'[4]#REF'!F4344</f>
        <v>#REF!</v>
      </c>
      <c r="G4344" s="12" t="e">
        <f>'[4]#REF'!G4344</f>
        <v>#REF!</v>
      </c>
      <c r="H4344" s="31" t="e">
        <f>'[4]#REF'!I4344</f>
        <v>#REF!</v>
      </c>
      <c r="I4344" s="32" t="e">
        <f t="shared" si="98"/>
        <v>#REF!</v>
      </c>
    </row>
    <row r="4345" ht="15.75" spans="6:9">
      <c r="F4345" s="12" t="e">
        <f>'[4]#REF'!F4345</f>
        <v>#REF!</v>
      </c>
      <c r="G4345" s="12" t="e">
        <f>'[4]#REF'!G4345</f>
        <v>#REF!</v>
      </c>
      <c r="H4345" s="31" t="e">
        <f>'[4]#REF'!I4345</f>
        <v>#REF!</v>
      </c>
      <c r="I4345" s="32" t="e">
        <f t="shared" si="98"/>
        <v>#REF!</v>
      </c>
    </row>
    <row r="4346" ht="15.75" spans="6:9">
      <c r="F4346" s="12" t="e">
        <f>'[4]#REF'!F4346</f>
        <v>#REF!</v>
      </c>
      <c r="G4346" s="12" t="e">
        <f>'[4]#REF'!G4346</f>
        <v>#REF!</v>
      </c>
      <c r="H4346" s="31" t="e">
        <f>'[4]#REF'!I4346</f>
        <v>#REF!</v>
      </c>
      <c r="I4346" s="32" t="e">
        <f t="shared" si="98"/>
        <v>#REF!</v>
      </c>
    </row>
    <row r="4347" ht="15.75" spans="6:9">
      <c r="F4347" s="12" t="e">
        <f>'[4]#REF'!F4347</f>
        <v>#REF!</v>
      </c>
      <c r="G4347" s="12" t="e">
        <f>'[4]#REF'!G4347</f>
        <v>#REF!</v>
      </c>
      <c r="H4347" s="31" t="e">
        <f>'[4]#REF'!I4347</f>
        <v>#REF!</v>
      </c>
      <c r="I4347" s="32" t="e">
        <f t="shared" si="98"/>
        <v>#REF!</v>
      </c>
    </row>
    <row r="4348" ht="15.75" spans="6:9">
      <c r="F4348" s="12" t="e">
        <f>'[4]#REF'!F4348</f>
        <v>#REF!</v>
      </c>
      <c r="G4348" s="12" t="e">
        <f>'[4]#REF'!G4348</f>
        <v>#REF!</v>
      </c>
      <c r="H4348" s="31" t="e">
        <f>'[4]#REF'!I4348</f>
        <v>#REF!</v>
      </c>
      <c r="I4348" s="32" t="e">
        <f t="shared" si="98"/>
        <v>#REF!</v>
      </c>
    </row>
    <row r="4349" ht="15.75" spans="6:9">
      <c r="F4349" s="12" t="e">
        <f>'[4]#REF'!F4349</f>
        <v>#REF!</v>
      </c>
      <c r="G4349" s="12" t="e">
        <f>'[4]#REF'!G4349</f>
        <v>#REF!</v>
      </c>
      <c r="H4349" s="31" t="e">
        <f>'[4]#REF'!I4349</f>
        <v>#REF!</v>
      </c>
      <c r="I4349" s="32" t="e">
        <f t="shared" si="98"/>
        <v>#REF!</v>
      </c>
    </row>
    <row r="4350" ht="15.75" spans="6:9">
      <c r="F4350" s="12" t="e">
        <f>'[4]#REF'!F4350</f>
        <v>#REF!</v>
      </c>
      <c r="G4350" s="12" t="e">
        <f>'[4]#REF'!G4350</f>
        <v>#REF!</v>
      </c>
      <c r="H4350" s="31" t="e">
        <f>'[4]#REF'!I4350</f>
        <v>#REF!</v>
      </c>
      <c r="I4350" s="32" t="e">
        <f t="shared" si="98"/>
        <v>#REF!</v>
      </c>
    </row>
    <row r="4351" ht="15.75" spans="6:9">
      <c r="F4351" s="12" t="e">
        <f>'[4]#REF'!F4351</f>
        <v>#REF!</v>
      </c>
      <c r="G4351" s="12" t="e">
        <f>'[4]#REF'!G4351</f>
        <v>#REF!</v>
      </c>
      <c r="H4351" s="31" t="e">
        <f>'[4]#REF'!I4351</f>
        <v>#REF!</v>
      </c>
      <c r="I4351" s="32" t="e">
        <f t="shared" si="98"/>
        <v>#REF!</v>
      </c>
    </row>
    <row r="4352" ht="15.75" spans="6:9">
      <c r="F4352" s="12" t="e">
        <f>'[4]#REF'!F4352</f>
        <v>#REF!</v>
      </c>
      <c r="G4352" s="12" t="e">
        <f>'[4]#REF'!G4352</f>
        <v>#REF!</v>
      </c>
      <c r="H4352" s="31" t="e">
        <f>'[4]#REF'!I4352</f>
        <v>#REF!</v>
      </c>
      <c r="I4352" s="32" t="e">
        <f t="shared" si="98"/>
        <v>#REF!</v>
      </c>
    </row>
    <row r="4353" ht="15.75" spans="6:9">
      <c r="F4353" s="12" t="e">
        <f>'[4]#REF'!F4353</f>
        <v>#REF!</v>
      </c>
      <c r="G4353" s="12" t="e">
        <f>'[4]#REF'!G4353</f>
        <v>#REF!</v>
      </c>
      <c r="H4353" s="31" t="e">
        <f>'[4]#REF'!I4353</f>
        <v>#REF!</v>
      </c>
      <c r="I4353" s="32" t="e">
        <f t="shared" si="98"/>
        <v>#REF!</v>
      </c>
    </row>
    <row r="4354" ht="15.75" spans="6:9">
      <c r="F4354" s="12" t="e">
        <f>'[4]#REF'!F4354</f>
        <v>#REF!</v>
      </c>
      <c r="G4354" s="12" t="e">
        <f>'[4]#REF'!G4354</f>
        <v>#REF!</v>
      </c>
      <c r="H4354" s="31" t="e">
        <f>'[4]#REF'!I4354</f>
        <v>#REF!</v>
      </c>
      <c r="I4354" s="32" t="e">
        <f t="shared" si="98"/>
        <v>#REF!</v>
      </c>
    </row>
    <row r="4355" ht="15.75" spans="6:9">
      <c r="F4355" s="12" t="e">
        <f>'[4]#REF'!F4355</f>
        <v>#REF!</v>
      </c>
      <c r="G4355" s="12" t="e">
        <f>'[4]#REF'!G4355</f>
        <v>#REF!</v>
      </c>
      <c r="H4355" s="31" t="e">
        <f>'[4]#REF'!I4355</f>
        <v>#REF!</v>
      </c>
      <c r="I4355" s="32" t="e">
        <f t="shared" si="98"/>
        <v>#REF!</v>
      </c>
    </row>
    <row r="4356" ht="15.75" spans="6:9">
      <c r="F4356" s="12" t="e">
        <f>'[4]#REF'!F4356</f>
        <v>#REF!</v>
      </c>
      <c r="G4356" s="12" t="e">
        <f>'[4]#REF'!G4356</f>
        <v>#REF!</v>
      </c>
      <c r="H4356" s="31" t="e">
        <f>'[4]#REF'!I4356</f>
        <v>#REF!</v>
      </c>
      <c r="I4356" s="32" t="e">
        <f t="shared" si="98"/>
        <v>#REF!</v>
      </c>
    </row>
    <row r="4357" ht="15.75" spans="6:9">
      <c r="F4357" s="12" t="e">
        <f>'[4]#REF'!F4357</f>
        <v>#REF!</v>
      </c>
      <c r="G4357" s="12" t="e">
        <f>'[4]#REF'!G4357</f>
        <v>#REF!</v>
      </c>
      <c r="H4357" s="31" t="e">
        <f>'[4]#REF'!I4357</f>
        <v>#REF!</v>
      </c>
      <c r="I4357" s="32" t="e">
        <f t="shared" si="98"/>
        <v>#REF!</v>
      </c>
    </row>
    <row r="4358" ht="15.75" spans="6:9">
      <c r="F4358" s="12" t="e">
        <f>'[4]#REF'!F4358</f>
        <v>#REF!</v>
      </c>
      <c r="G4358" s="12" t="e">
        <f>'[4]#REF'!G4358</f>
        <v>#REF!</v>
      </c>
      <c r="H4358" s="31" t="e">
        <f>'[4]#REF'!I4358</f>
        <v>#REF!</v>
      </c>
      <c r="I4358" s="32" t="e">
        <f t="shared" ref="I4358:I4421" si="99">ROUND(H4358/$I$4*100,2)</f>
        <v>#REF!</v>
      </c>
    </row>
    <row r="4359" ht="15.75" spans="6:9">
      <c r="F4359" s="12" t="e">
        <f>'[4]#REF'!F4359</f>
        <v>#REF!</v>
      </c>
      <c r="G4359" s="12" t="e">
        <f>'[4]#REF'!G4359</f>
        <v>#REF!</v>
      </c>
      <c r="H4359" s="31" t="e">
        <f>'[4]#REF'!I4359</f>
        <v>#REF!</v>
      </c>
      <c r="I4359" s="32" t="e">
        <f t="shared" si="99"/>
        <v>#REF!</v>
      </c>
    </row>
    <row r="4360" ht="15.75" spans="6:9">
      <c r="F4360" s="12" t="e">
        <f>'[4]#REF'!F4360</f>
        <v>#REF!</v>
      </c>
      <c r="G4360" s="12" t="e">
        <f>'[4]#REF'!G4360</f>
        <v>#REF!</v>
      </c>
      <c r="H4360" s="31" t="e">
        <f>'[4]#REF'!I4360</f>
        <v>#REF!</v>
      </c>
      <c r="I4360" s="32" t="e">
        <f t="shared" si="99"/>
        <v>#REF!</v>
      </c>
    </row>
    <row r="4361" ht="15.75" spans="6:9">
      <c r="F4361" s="12" t="e">
        <f>'[4]#REF'!F4361</f>
        <v>#REF!</v>
      </c>
      <c r="G4361" s="12" t="e">
        <f>'[4]#REF'!G4361</f>
        <v>#REF!</v>
      </c>
      <c r="H4361" s="31" t="e">
        <f>'[4]#REF'!I4361</f>
        <v>#REF!</v>
      </c>
      <c r="I4361" s="32" t="e">
        <f t="shared" si="99"/>
        <v>#REF!</v>
      </c>
    </row>
    <row r="4362" ht="15.75" spans="6:9">
      <c r="F4362" s="12" t="e">
        <f>'[4]#REF'!F4362</f>
        <v>#REF!</v>
      </c>
      <c r="G4362" s="12" t="e">
        <f>'[4]#REF'!G4362</f>
        <v>#REF!</v>
      </c>
      <c r="H4362" s="31" t="e">
        <f>'[4]#REF'!I4362</f>
        <v>#REF!</v>
      </c>
      <c r="I4362" s="32" t="e">
        <f t="shared" si="99"/>
        <v>#REF!</v>
      </c>
    </row>
    <row r="4363" ht="15.75" spans="6:9">
      <c r="F4363" s="12" t="e">
        <f>'[4]#REF'!F4363</f>
        <v>#REF!</v>
      </c>
      <c r="G4363" s="12" t="e">
        <f>'[4]#REF'!G4363</f>
        <v>#REF!</v>
      </c>
      <c r="H4363" s="31" t="e">
        <f>'[4]#REF'!I4363</f>
        <v>#REF!</v>
      </c>
      <c r="I4363" s="32" t="e">
        <f t="shared" si="99"/>
        <v>#REF!</v>
      </c>
    </row>
    <row r="4364" ht="15.75" spans="6:9">
      <c r="F4364" s="12" t="e">
        <f>'[4]#REF'!F4364</f>
        <v>#REF!</v>
      </c>
      <c r="G4364" s="12" t="e">
        <f>'[4]#REF'!G4364</f>
        <v>#REF!</v>
      </c>
      <c r="H4364" s="31" t="e">
        <f>'[4]#REF'!I4364</f>
        <v>#REF!</v>
      </c>
      <c r="I4364" s="32" t="e">
        <f t="shared" si="99"/>
        <v>#REF!</v>
      </c>
    </row>
    <row r="4365" ht="15.75" spans="6:9">
      <c r="F4365" s="12" t="e">
        <f>'[4]#REF'!F4365</f>
        <v>#REF!</v>
      </c>
      <c r="G4365" s="12" t="e">
        <f>'[4]#REF'!G4365</f>
        <v>#REF!</v>
      </c>
      <c r="H4365" s="31" t="e">
        <f>'[4]#REF'!I4365</f>
        <v>#REF!</v>
      </c>
      <c r="I4365" s="32" t="e">
        <f t="shared" si="99"/>
        <v>#REF!</v>
      </c>
    </row>
    <row r="4366" ht="15.75" spans="6:9">
      <c r="F4366" s="12" t="e">
        <f>'[4]#REF'!F4366</f>
        <v>#REF!</v>
      </c>
      <c r="G4366" s="12" t="e">
        <f>'[4]#REF'!G4366</f>
        <v>#REF!</v>
      </c>
      <c r="H4366" s="31" t="e">
        <f>'[4]#REF'!I4366</f>
        <v>#REF!</v>
      </c>
      <c r="I4366" s="32" t="e">
        <f t="shared" si="99"/>
        <v>#REF!</v>
      </c>
    </row>
    <row r="4367" ht="15.75" spans="6:9">
      <c r="F4367" s="12" t="e">
        <f>'[4]#REF'!F4367</f>
        <v>#REF!</v>
      </c>
      <c r="G4367" s="12" t="e">
        <f>'[4]#REF'!G4367</f>
        <v>#REF!</v>
      </c>
      <c r="H4367" s="31" t="e">
        <f>'[4]#REF'!I4367</f>
        <v>#REF!</v>
      </c>
      <c r="I4367" s="32" t="e">
        <f t="shared" si="99"/>
        <v>#REF!</v>
      </c>
    </row>
    <row r="4368" ht="15.75" spans="6:9">
      <c r="F4368" s="12" t="e">
        <f>'[4]#REF'!F4368</f>
        <v>#REF!</v>
      </c>
      <c r="G4368" s="12" t="e">
        <f>'[4]#REF'!G4368</f>
        <v>#REF!</v>
      </c>
      <c r="H4368" s="31" t="e">
        <f>'[4]#REF'!I4368</f>
        <v>#REF!</v>
      </c>
      <c r="I4368" s="32" t="e">
        <f t="shared" si="99"/>
        <v>#REF!</v>
      </c>
    </row>
    <row r="4369" ht="15.75" spans="6:9">
      <c r="F4369" s="12" t="e">
        <f>'[4]#REF'!F4369</f>
        <v>#REF!</v>
      </c>
      <c r="G4369" s="12" t="e">
        <f>'[4]#REF'!G4369</f>
        <v>#REF!</v>
      </c>
      <c r="H4369" s="31" t="e">
        <f>'[4]#REF'!I4369</f>
        <v>#REF!</v>
      </c>
      <c r="I4369" s="32" t="e">
        <f t="shared" si="99"/>
        <v>#REF!</v>
      </c>
    </row>
    <row r="4370" ht="15.75" spans="6:9">
      <c r="F4370" s="12" t="e">
        <f>'[4]#REF'!F4370</f>
        <v>#REF!</v>
      </c>
      <c r="G4370" s="12" t="e">
        <f>'[4]#REF'!G4370</f>
        <v>#REF!</v>
      </c>
      <c r="H4370" s="31" t="e">
        <f>'[4]#REF'!I4370</f>
        <v>#REF!</v>
      </c>
      <c r="I4370" s="32" t="e">
        <f t="shared" si="99"/>
        <v>#REF!</v>
      </c>
    </row>
    <row r="4371" ht="15.75" spans="6:9">
      <c r="F4371" s="12" t="e">
        <f>'[4]#REF'!F4371</f>
        <v>#REF!</v>
      </c>
      <c r="G4371" s="12" t="e">
        <f>'[4]#REF'!G4371</f>
        <v>#REF!</v>
      </c>
      <c r="H4371" s="31" t="e">
        <f>'[4]#REF'!I4371</f>
        <v>#REF!</v>
      </c>
      <c r="I4371" s="32" t="e">
        <f t="shared" si="99"/>
        <v>#REF!</v>
      </c>
    </row>
    <row r="4372" ht="15.75" spans="6:9">
      <c r="F4372" s="12" t="e">
        <f>'[4]#REF'!F4372</f>
        <v>#REF!</v>
      </c>
      <c r="G4372" s="12" t="e">
        <f>'[4]#REF'!G4372</f>
        <v>#REF!</v>
      </c>
      <c r="H4372" s="31" t="e">
        <f>'[4]#REF'!I4372</f>
        <v>#REF!</v>
      </c>
      <c r="I4372" s="32" t="e">
        <f t="shared" si="99"/>
        <v>#REF!</v>
      </c>
    </row>
    <row r="4373" ht="15.75" spans="6:9">
      <c r="F4373" s="12" t="e">
        <f>'[4]#REF'!F4373</f>
        <v>#REF!</v>
      </c>
      <c r="G4373" s="12" t="e">
        <f>'[4]#REF'!G4373</f>
        <v>#REF!</v>
      </c>
      <c r="H4373" s="31" t="e">
        <f>'[4]#REF'!I4373</f>
        <v>#REF!</v>
      </c>
      <c r="I4373" s="32" t="e">
        <f t="shared" si="99"/>
        <v>#REF!</v>
      </c>
    </row>
    <row r="4374" ht="15.75" spans="6:9">
      <c r="F4374" s="12" t="e">
        <f>'[4]#REF'!F4374</f>
        <v>#REF!</v>
      </c>
      <c r="G4374" s="12" t="e">
        <f>'[4]#REF'!G4374</f>
        <v>#REF!</v>
      </c>
      <c r="H4374" s="31" t="e">
        <f>'[4]#REF'!I4374</f>
        <v>#REF!</v>
      </c>
      <c r="I4374" s="32" t="e">
        <f t="shared" si="99"/>
        <v>#REF!</v>
      </c>
    </row>
    <row r="4375" ht="15.75" spans="6:9">
      <c r="F4375" s="12" t="e">
        <f>'[4]#REF'!F4375</f>
        <v>#REF!</v>
      </c>
      <c r="G4375" s="12" t="e">
        <f>'[4]#REF'!G4375</f>
        <v>#REF!</v>
      </c>
      <c r="H4375" s="31" t="e">
        <f>'[4]#REF'!I4375</f>
        <v>#REF!</v>
      </c>
      <c r="I4375" s="32" t="e">
        <f t="shared" si="99"/>
        <v>#REF!</v>
      </c>
    </row>
    <row r="4376" ht="15.75" spans="6:9">
      <c r="F4376" s="12" t="e">
        <f>'[4]#REF'!F4376</f>
        <v>#REF!</v>
      </c>
      <c r="G4376" s="12" t="e">
        <f>'[4]#REF'!G4376</f>
        <v>#REF!</v>
      </c>
      <c r="H4376" s="31" t="e">
        <f>'[4]#REF'!I4376</f>
        <v>#REF!</v>
      </c>
      <c r="I4376" s="32" t="e">
        <f t="shared" si="99"/>
        <v>#REF!</v>
      </c>
    </row>
    <row r="4377" ht="15.75" spans="6:9">
      <c r="F4377" s="12" t="e">
        <f>'[4]#REF'!F4377</f>
        <v>#REF!</v>
      </c>
      <c r="G4377" s="12" t="e">
        <f>'[4]#REF'!G4377</f>
        <v>#REF!</v>
      </c>
      <c r="H4377" s="31" t="e">
        <f>'[4]#REF'!I4377</f>
        <v>#REF!</v>
      </c>
      <c r="I4377" s="32" t="e">
        <f t="shared" si="99"/>
        <v>#REF!</v>
      </c>
    </row>
    <row r="4378" ht="15.75" spans="6:9">
      <c r="F4378" s="12" t="e">
        <f>'[4]#REF'!F4378</f>
        <v>#REF!</v>
      </c>
      <c r="G4378" s="12" t="e">
        <f>'[4]#REF'!G4378</f>
        <v>#REF!</v>
      </c>
      <c r="H4378" s="31" t="e">
        <f>'[4]#REF'!I4378</f>
        <v>#REF!</v>
      </c>
      <c r="I4378" s="32" t="e">
        <f t="shared" si="99"/>
        <v>#REF!</v>
      </c>
    </row>
    <row r="4379" ht="15.75" spans="6:9">
      <c r="F4379" s="12" t="e">
        <f>'[4]#REF'!F4379</f>
        <v>#REF!</v>
      </c>
      <c r="G4379" s="12" t="e">
        <f>'[4]#REF'!G4379</f>
        <v>#REF!</v>
      </c>
      <c r="H4379" s="31" t="e">
        <f>'[4]#REF'!I4379</f>
        <v>#REF!</v>
      </c>
      <c r="I4379" s="32" t="e">
        <f t="shared" si="99"/>
        <v>#REF!</v>
      </c>
    </row>
    <row r="4380" ht="15.75" spans="6:9">
      <c r="F4380" s="12" t="e">
        <f>'[4]#REF'!F4380</f>
        <v>#REF!</v>
      </c>
      <c r="G4380" s="12" t="e">
        <f>'[4]#REF'!G4380</f>
        <v>#REF!</v>
      </c>
      <c r="H4380" s="31" t="e">
        <f>'[4]#REF'!I4380</f>
        <v>#REF!</v>
      </c>
      <c r="I4380" s="32" t="e">
        <f t="shared" si="99"/>
        <v>#REF!</v>
      </c>
    </row>
    <row r="4381" ht="15.75" spans="6:9">
      <c r="F4381" s="12" t="e">
        <f>'[4]#REF'!F4381</f>
        <v>#REF!</v>
      </c>
      <c r="G4381" s="12" t="e">
        <f>'[4]#REF'!G4381</f>
        <v>#REF!</v>
      </c>
      <c r="H4381" s="31" t="e">
        <f>'[4]#REF'!I4381</f>
        <v>#REF!</v>
      </c>
      <c r="I4381" s="32" t="e">
        <f t="shared" si="99"/>
        <v>#REF!</v>
      </c>
    </row>
    <row r="4382" ht="15.75" spans="6:9">
      <c r="F4382" s="12" t="e">
        <f>'[4]#REF'!F4382</f>
        <v>#REF!</v>
      </c>
      <c r="G4382" s="12" t="e">
        <f>'[4]#REF'!G4382</f>
        <v>#REF!</v>
      </c>
      <c r="H4382" s="31" t="e">
        <f>'[4]#REF'!I4382</f>
        <v>#REF!</v>
      </c>
      <c r="I4382" s="32" t="e">
        <f t="shared" si="99"/>
        <v>#REF!</v>
      </c>
    </row>
    <row r="4383" ht="15.75" spans="6:9">
      <c r="F4383" s="12" t="e">
        <f>'[4]#REF'!F4383</f>
        <v>#REF!</v>
      </c>
      <c r="G4383" s="12" t="e">
        <f>'[4]#REF'!G4383</f>
        <v>#REF!</v>
      </c>
      <c r="H4383" s="31" t="e">
        <f>'[4]#REF'!I4383</f>
        <v>#REF!</v>
      </c>
      <c r="I4383" s="32" t="e">
        <f t="shared" si="99"/>
        <v>#REF!</v>
      </c>
    </row>
    <row r="4384" ht="15.75" spans="6:9">
      <c r="F4384" s="12" t="e">
        <f>'[4]#REF'!F4384</f>
        <v>#REF!</v>
      </c>
      <c r="G4384" s="12" t="e">
        <f>'[4]#REF'!G4384</f>
        <v>#REF!</v>
      </c>
      <c r="H4384" s="31" t="e">
        <f>'[4]#REF'!I4384</f>
        <v>#REF!</v>
      </c>
      <c r="I4384" s="32" t="e">
        <f t="shared" si="99"/>
        <v>#REF!</v>
      </c>
    </row>
    <row r="4385" ht="15.75" spans="6:9">
      <c r="F4385" s="12" t="e">
        <f>'[4]#REF'!F4385</f>
        <v>#REF!</v>
      </c>
      <c r="G4385" s="12" t="e">
        <f>'[4]#REF'!G4385</f>
        <v>#REF!</v>
      </c>
      <c r="H4385" s="31" t="e">
        <f>'[4]#REF'!I4385</f>
        <v>#REF!</v>
      </c>
      <c r="I4385" s="32" t="e">
        <f t="shared" si="99"/>
        <v>#REF!</v>
      </c>
    </row>
    <row r="4386" ht="15.75" spans="6:9">
      <c r="F4386" s="12" t="e">
        <f>'[4]#REF'!F4386</f>
        <v>#REF!</v>
      </c>
      <c r="G4386" s="12" t="e">
        <f>'[4]#REF'!G4386</f>
        <v>#REF!</v>
      </c>
      <c r="H4386" s="31" t="e">
        <f>'[4]#REF'!I4386</f>
        <v>#REF!</v>
      </c>
      <c r="I4386" s="32" t="e">
        <f t="shared" si="99"/>
        <v>#REF!</v>
      </c>
    </row>
    <row r="4387" ht="15.75" spans="6:9">
      <c r="F4387" s="12" t="e">
        <f>'[4]#REF'!F4387</f>
        <v>#REF!</v>
      </c>
      <c r="G4387" s="12" t="e">
        <f>'[4]#REF'!G4387</f>
        <v>#REF!</v>
      </c>
      <c r="H4387" s="31" t="e">
        <f>'[4]#REF'!I4387</f>
        <v>#REF!</v>
      </c>
      <c r="I4387" s="32" t="e">
        <f t="shared" si="99"/>
        <v>#REF!</v>
      </c>
    </row>
    <row r="4388" ht="15.75" spans="6:9">
      <c r="F4388" s="12" t="e">
        <f>'[4]#REF'!F4388</f>
        <v>#REF!</v>
      </c>
      <c r="G4388" s="12" t="e">
        <f>'[4]#REF'!G4388</f>
        <v>#REF!</v>
      </c>
      <c r="H4388" s="31" t="e">
        <f>'[4]#REF'!I4388</f>
        <v>#REF!</v>
      </c>
      <c r="I4388" s="32" t="e">
        <f t="shared" si="99"/>
        <v>#REF!</v>
      </c>
    </row>
    <row r="4389" ht="15.75" spans="6:9">
      <c r="F4389" s="12" t="e">
        <f>'[4]#REF'!F4389</f>
        <v>#REF!</v>
      </c>
      <c r="G4389" s="12" t="e">
        <f>'[4]#REF'!G4389</f>
        <v>#REF!</v>
      </c>
      <c r="H4389" s="31" t="e">
        <f>'[4]#REF'!I4389</f>
        <v>#REF!</v>
      </c>
      <c r="I4389" s="32" t="e">
        <f t="shared" si="99"/>
        <v>#REF!</v>
      </c>
    </row>
    <row r="4390" ht="15.75" spans="6:9">
      <c r="F4390" s="12" t="e">
        <f>'[4]#REF'!F4390</f>
        <v>#REF!</v>
      </c>
      <c r="G4390" s="12" t="e">
        <f>'[4]#REF'!G4390</f>
        <v>#REF!</v>
      </c>
      <c r="H4390" s="31" t="e">
        <f>'[4]#REF'!I4390</f>
        <v>#REF!</v>
      </c>
      <c r="I4390" s="32" t="e">
        <f t="shared" si="99"/>
        <v>#REF!</v>
      </c>
    </row>
    <row r="4391" ht="15.75" spans="6:9">
      <c r="F4391" s="12" t="e">
        <f>'[4]#REF'!F4391</f>
        <v>#REF!</v>
      </c>
      <c r="G4391" s="12" t="e">
        <f>'[4]#REF'!G4391</f>
        <v>#REF!</v>
      </c>
      <c r="H4391" s="31" t="e">
        <f>'[4]#REF'!I4391</f>
        <v>#REF!</v>
      </c>
      <c r="I4391" s="32" t="e">
        <f t="shared" si="99"/>
        <v>#REF!</v>
      </c>
    </row>
    <row r="4392" ht="15.75" spans="6:9">
      <c r="F4392" s="12" t="e">
        <f>'[4]#REF'!F4392</f>
        <v>#REF!</v>
      </c>
      <c r="G4392" s="12" t="e">
        <f>'[4]#REF'!G4392</f>
        <v>#REF!</v>
      </c>
      <c r="H4392" s="31" t="e">
        <f>'[4]#REF'!I4392</f>
        <v>#REF!</v>
      </c>
      <c r="I4392" s="32" t="e">
        <f t="shared" si="99"/>
        <v>#REF!</v>
      </c>
    </row>
    <row r="4393" ht="15.75" spans="6:9">
      <c r="F4393" s="12" t="e">
        <f>'[4]#REF'!F4393</f>
        <v>#REF!</v>
      </c>
      <c r="G4393" s="12" t="e">
        <f>'[4]#REF'!G4393</f>
        <v>#REF!</v>
      </c>
      <c r="H4393" s="31" t="e">
        <f>'[4]#REF'!I4393</f>
        <v>#REF!</v>
      </c>
      <c r="I4393" s="32" t="e">
        <f t="shared" si="99"/>
        <v>#REF!</v>
      </c>
    </row>
    <row r="4394" ht="15.75" spans="6:9">
      <c r="F4394" s="12" t="e">
        <f>'[4]#REF'!F4394</f>
        <v>#REF!</v>
      </c>
      <c r="G4394" s="12" t="e">
        <f>'[4]#REF'!G4394</f>
        <v>#REF!</v>
      </c>
      <c r="H4394" s="31" t="e">
        <f>'[4]#REF'!I4394</f>
        <v>#REF!</v>
      </c>
      <c r="I4394" s="32" t="e">
        <f t="shared" si="99"/>
        <v>#REF!</v>
      </c>
    </row>
    <row r="4395" ht="15.75" spans="6:9">
      <c r="F4395" s="12" t="e">
        <f>'[4]#REF'!F4395</f>
        <v>#REF!</v>
      </c>
      <c r="G4395" s="12" t="e">
        <f>'[4]#REF'!G4395</f>
        <v>#REF!</v>
      </c>
      <c r="H4395" s="31" t="e">
        <f>'[4]#REF'!I4395</f>
        <v>#REF!</v>
      </c>
      <c r="I4395" s="32" t="e">
        <f t="shared" si="99"/>
        <v>#REF!</v>
      </c>
    </row>
    <row r="4396" ht="15.75" spans="6:9">
      <c r="F4396" s="12" t="e">
        <f>'[4]#REF'!F4396</f>
        <v>#REF!</v>
      </c>
      <c r="G4396" s="12" t="e">
        <f>'[4]#REF'!G4396</f>
        <v>#REF!</v>
      </c>
      <c r="H4396" s="31" t="e">
        <f>'[4]#REF'!I4396</f>
        <v>#REF!</v>
      </c>
      <c r="I4396" s="32" t="e">
        <f t="shared" si="99"/>
        <v>#REF!</v>
      </c>
    </row>
    <row r="4397" ht="15.75" spans="6:9">
      <c r="F4397" s="12" t="e">
        <f>'[4]#REF'!F4397</f>
        <v>#REF!</v>
      </c>
      <c r="G4397" s="12" t="e">
        <f>'[4]#REF'!G4397</f>
        <v>#REF!</v>
      </c>
      <c r="H4397" s="31" t="e">
        <f>'[4]#REF'!I4397</f>
        <v>#REF!</v>
      </c>
      <c r="I4397" s="32" t="e">
        <f t="shared" si="99"/>
        <v>#REF!</v>
      </c>
    </row>
    <row r="4398" ht="15.75" spans="6:9">
      <c r="F4398" s="12" t="e">
        <f>'[4]#REF'!F4398</f>
        <v>#REF!</v>
      </c>
      <c r="G4398" s="12" t="e">
        <f>'[4]#REF'!G4398</f>
        <v>#REF!</v>
      </c>
      <c r="H4398" s="31" t="e">
        <f>'[4]#REF'!I4398</f>
        <v>#REF!</v>
      </c>
      <c r="I4398" s="32" t="e">
        <f t="shared" si="99"/>
        <v>#REF!</v>
      </c>
    </row>
    <row r="4399" ht="15.75" spans="6:9">
      <c r="F4399" s="12" t="e">
        <f>'[4]#REF'!F4399</f>
        <v>#REF!</v>
      </c>
      <c r="G4399" s="12" t="e">
        <f>'[4]#REF'!G4399</f>
        <v>#REF!</v>
      </c>
      <c r="H4399" s="31" t="e">
        <f>'[4]#REF'!I4399</f>
        <v>#REF!</v>
      </c>
      <c r="I4399" s="32" t="e">
        <f t="shared" si="99"/>
        <v>#REF!</v>
      </c>
    </row>
    <row r="4400" ht="15.75" spans="6:9">
      <c r="F4400" s="12" t="e">
        <f>'[4]#REF'!F4400</f>
        <v>#REF!</v>
      </c>
      <c r="G4400" s="12" t="e">
        <f>'[4]#REF'!G4400</f>
        <v>#REF!</v>
      </c>
      <c r="H4400" s="31" t="e">
        <f>'[4]#REF'!I4400</f>
        <v>#REF!</v>
      </c>
      <c r="I4400" s="32" t="e">
        <f t="shared" si="99"/>
        <v>#REF!</v>
      </c>
    </row>
    <row r="4401" ht="15.75" spans="6:9">
      <c r="F4401" s="12" t="e">
        <f>'[4]#REF'!F4401</f>
        <v>#REF!</v>
      </c>
      <c r="G4401" s="12" t="e">
        <f>'[4]#REF'!G4401</f>
        <v>#REF!</v>
      </c>
      <c r="H4401" s="31" t="e">
        <f>'[4]#REF'!I4401</f>
        <v>#REF!</v>
      </c>
      <c r="I4401" s="32" t="e">
        <f t="shared" si="99"/>
        <v>#REF!</v>
      </c>
    </row>
    <row r="4402" ht="15.75" spans="6:9">
      <c r="F4402" s="12" t="e">
        <f>'[4]#REF'!F4402</f>
        <v>#REF!</v>
      </c>
      <c r="G4402" s="12" t="e">
        <f>'[4]#REF'!G4402</f>
        <v>#REF!</v>
      </c>
      <c r="H4402" s="31" t="e">
        <f>'[4]#REF'!I4402</f>
        <v>#REF!</v>
      </c>
      <c r="I4402" s="32" t="e">
        <f t="shared" si="99"/>
        <v>#REF!</v>
      </c>
    </row>
    <row r="4403" ht="15.75" spans="6:9">
      <c r="F4403" s="12" t="e">
        <f>'[4]#REF'!F4403</f>
        <v>#REF!</v>
      </c>
      <c r="G4403" s="12" t="e">
        <f>'[4]#REF'!G4403</f>
        <v>#REF!</v>
      </c>
      <c r="H4403" s="31" t="e">
        <f>'[4]#REF'!I4403</f>
        <v>#REF!</v>
      </c>
      <c r="I4403" s="32" t="e">
        <f t="shared" si="99"/>
        <v>#REF!</v>
      </c>
    </row>
    <row r="4404" ht="15.75" spans="6:9">
      <c r="F4404" s="12" t="e">
        <f>'[4]#REF'!F4404</f>
        <v>#REF!</v>
      </c>
      <c r="G4404" s="12" t="e">
        <f>'[4]#REF'!G4404</f>
        <v>#REF!</v>
      </c>
      <c r="H4404" s="31" t="e">
        <f>'[4]#REF'!I4404</f>
        <v>#REF!</v>
      </c>
      <c r="I4404" s="32" t="e">
        <f t="shared" si="99"/>
        <v>#REF!</v>
      </c>
    </row>
    <row r="4405" ht="15.75" spans="6:9">
      <c r="F4405" s="12" t="e">
        <f>'[4]#REF'!F4405</f>
        <v>#REF!</v>
      </c>
      <c r="G4405" s="12" t="e">
        <f>'[4]#REF'!G4405</f>
        <v>#REF!</v>
      </c>
      <c r="H4405" s="31" t="e">
        <f>'[4]#REF'!I4405</f>
        <v>#REF!</v>
      </c>
      <c r="I4405" s="32" t="e">
        <f t="shared" si="99"/>
        <v>#REF!</v>
      </c>
    </row>
    <row r="4406" ht="15.75" spans="6:9">
      <c r="F4406" s="12" t="e">
        <f>'[4]#REF'!F4406</f>
        <v>#REF!</v>
      </c>
      <c r="G4406" s="12" t="e">
        <f>'[4]#REF'!G4406</f>
        <v>#REF!</v>
      </c>
      <c r="H4406" s="31" t="e">
        <f>'[4]#REF'!I4406</f>
        <v>#REF!</v>
      </c>
      <c r="I4406" s="32" t="e">
        <f t="shared" si="99"/>
        <v>#REF!</v>
      </c>
    </row>
    <row r="4407" ht="15.75" spans="6:9">
      <c r="F4407" s="12" t="e">
        <f>'[4]#REF'!F4407</f>
        <v>#REF!</v>
      </c>
      <c r="G4407" s="12" t="e">
        <f>'[4]#REF'!G4407</f>
        <v>#REF!</v>
      </c>
      <c r="H4407" s="31" t="e">
        <f>'[4]#REF'!I4407</f>
        <v>#REF!</v>
      </c>
      <c r="I4407" s="32" t="e">
        <f t="shared" si="99"/>
        <v>#REF!</v>
      </c>
    </row>
    <row r="4408" ht="15.75" spans="6:9">
      <c r="F4408" s="12" t="e">
        <f>'[4]#REF'!F4408</f>
        <v>#REF!</v>
      </c>
      <c r="G4408" s="12" t="e">
        <f>'[4]#REF'!G4408</f>
        <v>#REF!</v>
      </c>
      <c r="H4408" s="31" t="e">
        <f>'[4]#REF'!I4408</f>
        <v>#REF!</v>
      </c>
      <c r="I4408" s="32" t="e">
        <f t="shared" si="99"/>
        <v>#REF!</v>
      </c>
    </row>
    <row r="4409" ht="15.75" spans="6:9">
      <c r="F4409" s="12" t="e">
        <f>'[4]#REF'!F4409</f>
        <v>#REF!</v>
      </c>
      <c r="G4409" s="12" t="e">
        <f>'[4]#REF'!G4409</f>
        <v>#REF!</v>
      </c>
      <c r="H4409" s="31" t="e">
        <f>'[4]#REF'!I4409</f>
        <v>#REF!</v>
      </c>
      <c r="I4409" s="32" t="e">
        <f t="shared" si="99"/>
        <v>#REF!</v>
      </c>
    </row>
    <row r="4410" ht="15.75" spans="6:9">
      <c r="F4410" s="12" t="e">
        <f>'[4]#REF'!F4410</f>
        <v>#REF!</v>
      </c>
      <c r="G4410" s="12" t="e">
        <f>'[4]#REF'!G4410</f>
        <v>#REF!</v>
      </c>
      <c r="H4410" s="31" t="e">
        <f>'[4]#REF'!I4410</f>
        <v>#REF!</v>
      </c>
      <c r="I4410" s="32" t="e">
        <f t="shared" si="99"/>
        <v>#REF!</v>
      </c>
    </row>
    <row r="4411" ht="15.75" spans="6:9">
      <c r="F4411" s="12" t="e">
        <f>'[4]#REF'!F4411</f>
        <v>#REF!</v>
      </c>
      <c r="G4411" s="12" t="e">
        <f>'[4]#REF'!G4411</f>
        <v>#REF!</v>
      </c>
      <c r="H4411" s="31" t="e">
        <f>'[4]#REF'!I4411</f>
        <v>#REF!</v>
      </c>
      <c r="I4411" s="32" t="e">
        <f t="shared" si="99"/>
        <v>#REF!</v>
      </c>
    </row>
    <row r="4412" ht="15.75" spans="6:9">
      <c r="F4412" s="12" t="e">
        <f>'[4]#REF'!F4412</f>
        <v>#REF!</v>
      </c>
      <c r="G4412" s="12" t="e">
        <f>'[4]#REF'!G4412</f>
        <v>#REF!</v>
      </c>
      <c r="H4412" s="31" t="e">
        <f>'[4]#REF'!I4412</f>
        <v>#REF!</v>
      </c>
      <c r="I4412" s="32" t="e">
        <f t="shared" si="99"/>
        <v>#REF!</v>
      </c>
    </row>
    <row r="4413" ht="15.75" spans="6:9">
      <c r="F4413" s="12" t="e">
        <f>'[4]#REF'!F4413</f>
        <v>#REF!</v>
      </c>
      <c r="G4413" s="12" t="e">
        <f>'[4]#REF'!G4413</f>
        <v>#REF!</v>
      </c>
      <c r="H4413" s="31" t="e">
        <f>'[4]#REF'!I4413</f>
        <v>#REF!</v>
      </c>
      <c r="I4413" s="32" t="e">
        <f t="shared" si="99"/>
        <v>#REF!</v>
      </c>
    </row>
    <row r="4414" ht="15.75" spans="6:9">
      <c r="F4414" s="12" t="e">
        <f>'[4]#REF'!F4414</f>
        <v>#REF!</v>
      </c>
      <c r="G4414" s="12" t="e">
        <f>'[4]#REF'!G4414</f>
        <v>#REF!</v>
      </c>
      <c r="H4414" s="31" t="e">
        <f>'[4]#REF'!I4414</f>
        <v>#REF!</v>
      </c>
      <c r="I4414" s="32" t="e">
        <f t="shared" si="99"/>
        <v>#REF!</v>
      </c>
    </row>
    <row r="4415" ht="15.75" spans="6:9">
      <c r="F4415" s="12" t="e">
        <f>'[4]#REF'!F4415</f>
        <v>#REF!</v>
      </c>
      <c r="G4415" s="12" t="e">
        <f>'[4]#REF'!G4415</f>
        <v>#REF!</v>
      </c>
      <c r="H4415" s="31" t="e">
        <f>'[4]#REF'!I4415</f>
        <v>#REF!</v>
      </c>
      <c r="I4415" s="32" t="e">
        <f t="shared" si="99"/>
        <v>#REF!</v>
      </c>
    </row>
    <row r="4416" ht="15.75" spans="6:9">
      <c r="F4416" s="12" t="e">
        <f>'[4]#REF'!F4416</f>
        <v>#REF!</v>
      </c>
      <c r="G4416" s="12" t="e">
        <f>'[4]#REF'!G4416</f>
        <v>#REF!</v>
      </c>
      <c r="H4416" s="31" t="e">
        <f>'[4]#REF'!I4416</f>
        <v>#REF!</v>
      </c>
      <c r="I4416" s="32" t="e">
        <f t="shared" si="99"/>
        <v>#REF!</v>
      </c>
    </row>
    <row r="4417" ht="15.75" spans="6:9">
      <c r="F4417" s="12" t="e">
        <f>'[4]#REF'!F4417</f>
        <v>#REF!</v>
      </c>
      <c r="G4417" s="12" t="e">
        <f>'[4]#REF'!G4417</f>
        <v>#REF!</v>
      </c>
      <c r="H4417" s="31" t="e">
        <f>'[4]#REF'!I4417</f>
        <v>#REF!</v>
      </c>
      <c r="I4417" s="32" t="e">
        <f t="shared" si="99"/>
        <v>#REF!</v>
      </c>
    </row>
    <row r="4418" ht="15.75" spans="6:9">
      <c r="F4418" s="12" t="e">
        <f>'[4]#REF'!F4418</f>
        <v>#REF!</v>
      </c>
      <c r="G4418" s="12" t="e">
        <f>'[4]#REF'!G4418</f>
        <v>#REF!</v>
      </c>
      <c r="H4418" s="31" t="e">
        <f>'[4]#REF'!I4418</f>
        <v>#REF!</v>
      </c>
      <c r="I4418" s="32" t="e">
        <f t="shared" si="99"/>
        <v>#REF!</v>
      </c>
    </row>
    <row r="4419" ht="15.75" spans="6:9">
      <c r="F4419" s="12" t="e">
        <f>'[4]#REF'!F4419</f>
        <v>#REF!</v>
      </c>
      <c r="G4419" s="12" t="e">
        <f>'[4]#REF'!G4419</f>
        <v>#REF!</v>
      </c>
      <c r="H4419" s="31" t="e">
        <f>'[4]#REF'!I4419</f>
        <v>#REF!</v>
      </c>
      <c r="I4419" s="32" t="e">
        <f t="shared" si="99"/>
        <v>#REF!</v>
      </c>
    </row>
    <row r="4420" ht="15.75" spans="6:9">
      <c r="F4420" s="12" t="e">
        <f>'[4]#REF'!F4420</f>
        <v>#REF!</v>
      </c>
      <c r="G4420" s="12" t="e">
        <f>'[4]#REF'!G4420</f>
        <v>#REF!</v>
      </c>
      <c r="H4420" s="31" t="e">
        <f>'[4]#REF'!I4420</f>
        <v>#REF!</v>
      </c>
      <c r="I4420" s="32" t="e">
        <f t="shared" si="99"/>
        <v>#REF!</v>
      </c>
    </row>
    <row r="4421" ht="15.75" spans="6:9">
      <c r="F4421" s="12" t="e">
        <f>'[4]#REF'!F4421</f>
        <v>#REF!</v>
      </c>
      <c r="G4421" s="12" t="e">
        <f>'[4]#REF'!G4421</f>
        <v>#REF!</v>
      </c>
      <c r="H4421" s="31" t="e">
        <f>'[4]#REF'!I4421</f>
        <v>#REF!</v>
      </c>
      <c r="I4421" s="32" t="e">
        <f t="shared" si="99"/>
        <v>#REF!</v>
      </c>
    </row>
    <row r="4422" ht="15.75" spans="6:9">
      <c r="F4422" s="12" t="e">
        <f>'[4]#REF'!F4422</f>
        <v>#REF!</v>
      </c>
      <c r="G4422" s="12" t="e">
        <f>'[4]#REF'!G4422</f>
        <v>#REF!</v>
      </c>
      <c r="H4422" s="31" t="e">
        <f>'[4]#REF'!I4422</f>
        <v>#REF!</v>
      </c>
      <c r="I4422" s="32" t="e">
        <f t="shared" ref="I4422:I4485" si="100">ROUND(H4422/$I$4*100,2)</f>
        <v>#REF!</v>
      </c>
    </row>
    <row r="4423" ht="15.75" spans="6:9">
      <c r="F4423" s="12" t="e">
        <f>'[4]#REF'!F4423</f>
        <v>#REF!</v>
      </c>
      <c r="G4423" s="12" t="e">
        <f>'[4]#REF'!G4423</f>
        <v>#REF!</v>
      </c>
      <c r="H4423" s="31" t="e">
        <f>'[4]#REF'!I4423</f>
        <v>#REF!</v>
      </c>
      <c r="I4423" s="32" t="e">
        <f t="shared" si="100"/>
        <v>#REF!</v>
      </c>
    </row>
    <row r="4424" ht="15.75" spans="6:9">
      <c r="F4424" s="12" t="e">
        <f>'[4]#REF'!F4424</f>
        <v>#REF!</v>
      </c>
      <c r="G4424" s="12" t="e">
        <f>'[4]#REF'!G4424</f>
        <v>#REF!</v>
      </c>
      <c r="H4424" s="31" t="e">
        <f>'[4]#REF'!I4424</f>
        <v>#REF!</v>
      </c>
      <c r="I4424" s="32" t="e">
        <f t="shared" si="100"/>
        <v>#REF!</v>
      </c>
    </row>
    <row r="4425" ht="15.75" spans="6:9">
      <c r="F4425" s="12" t="e">
        <f>'[4]#REF'!F4425</f>
        <v>#REF!</v>
      </c>
      <c r="G4425" s="12" t="e">
        <f>'[4]#REF'!G4425</f>
        <v>#REF!</v>
      </c>
      <c r="H4425" s="31" t="e">
        <f>'[4]#REF'!I4425</f>
        <v>#REF!</v>
      </c>
      <c r="I4425" s="32" t="e">
        <f t="shared" si="100"/>
        <v>#REF!</v>
      </c>
    </row>
    <row r="4426" ht="15.75" spans="6:9">
      <c r="F4426" s="12" t="e">
        <f>'[4]#REF'!F4426</f>
        <v>#REF!</v>
      </c>
      <c r="G4426" s="12" t="e">
        <f>'[4]#REF'!G4426</f>
        <v>#REF!</v>
      </c>
      <c r="H4426" s="31" t="e">
        <f>'[4]#REF'!I4426</f>
        <v>#REF!</v>
      </c>
      <c r="I4426" s="32" t="e">
        <f t="shared" si="100"/>
        <v>#REF!</v>
      </c>
    </row>
    <row r="4427" ht="15.75" spans="6:9">
      <c r="F4427" s="12" t="e">
        <f>'[4]#REF'!F4427</f>
        <v>#REF!</v>
      </c>
      <c r="G4427" s="12" t="e">
        <f>'[4]#REF'!G4427</f>
        <v>#REF!</v>
      </c>
      <c r="H4427" s="31" t="e">
        <f>'[4]#REF'!I4427</f>
        <v>#REF!</v>
      </c>
      <c r="I4427" s="32" t="e">
        <f t="shared" si="100"/>
        <v>#REF!</v>
      </c>
    </row>
    <row r="4428" ht="15.75" spans="6:9">
      <c r="F4428" s="12" t="e">
        <f>'[4]#REF'!F4428</f>
        <v>#REF!</v>
      </c>
      <c r="G4428" s="12" t="e">
        <f>'[4]#REF'!G4428</f>
        <v>#REF!</v>
      </c>
      <c r="H4428" s="31" t="e">
        <f>'[4]#REF'!I4428</f>
        <v>#REF!</v>
      </c>
      <c r="I4428" s="32" t="e">
        <f t="shared" si="100"/>
        <v>#REF!</v>
      </c>
    </row>
    <row r="4429" ht="15.75" spans="6:9">
      <c r="F4429" s="12" t="e">
        <f>'[4]#REF'!F4429</f>
        <v>#REF!</v>
      </c>
      <c r="G4429" s="12" t="e">
        <f>'[4]#REF'!G4429</f>
        <v>#REF!</v>
      </c>
      <c r="H4429" s="31" t="e">
        <f>'[4]#REF'!I4429</f>
        <v>#REF!</v>
      </c>
      <c r="I4429" s="32" t="e">
        <f t="shared" si="100"/>
        <v>#REF!</v>
      </c>
    </row>
    <row r="4430" ht="15.75" spans="6:9">
      <c r="F4430" s="12" t="e">
        <f>'[4]#REF'!F4430</f>
        <v>#REF!</v>
      </c>
      <c r="G4430" s="12" t="e">
        <f>'[4]#REF'!G4430</f>
        <v>#REF!</v>
      </c>
      <c r="H4430" s="31" t="e">
        <f>'[4]#REF'!I4430</f>
        <v>#REF!</v>
      </c>
      <c r="I4430" s="32" t="e">
        <f t="shared" si="100"/>
        <v>#REF!</v>
      </c>
    </row>
    <row r="4431" ht="15.75" spans="6:9">
      <c r="F4431" s="12" t="e">
        <f>'[4]#REF'!F4431</f>
        <v>#REF!</v>
      </c>
      <c r="G4431" s="12" t="e">
        <f>'[4]#REF'!G4431</f>
        <v>#REF!</v>
      </c>
      <c r="H4431" s="31" t="e">
        <f>'[4]#REF'!I4431</f>
        <v>#REF!</v>
      </c>
      <c r="I4431" s="32" t="e">
        <f t="shared" si="100"/>
        <v>#REF!</v>
      </c>
    </row>
    <row r="4432" ht="15.75" spans="6:9">
      <c r="F4432" s="12" t="e">
        <f>'[4]#REF'!F4432</f>
        <v>#REF!</v>
      </c>
      <c r="G4432" s="12" t="e">
        <f>'[4]#REF'!G4432</f>
        <v>#REF!</v>
      </c>
      <c r="H4432" s="31" t="e">
        <f>'[4]#REF'!I4432</f>
        <v>#REF!</v>
      </c>
      <c r="I4432" s="32" t="e">
        <f t="shared" si="100"/>
        <v>#REF!</v>
      </c>
    </row>
    <row r="4433" ht="15.75" spans="6:9">
      <c r="F4433" s="12" t="e">
        <f>'[4]#REF'!F4433</f>
        <v>#REF!</v>
      </c>
      <c r="G4433" s="12" t="e">
        <f>'[4]#REF'!G4433</f>
        <v>#REF!</v>
      </c>
      <c r="H4433" s="31" t="e">
        <f>'[4]#REF'!I4433</f>
        <v>#REF!</v>
      </c>
      <c r="I4433" s="32" t="e">
        <f t="shared" si="100"/>
        <v>#REF!</v>
      </c>
    </row>
    <row r="4434" ht="15.75" spans="6:9">
      <c r="F4434" s="12" t="e">
        <f>'[4]#REF'!F4434</f>
        <v>#REF!</v>
      </c>
      <c r="G4434" s="12" t="e">
        <f>'[4]#REF'!G4434</f>
        <v>#REF!</v>
      </c>
      <c r="H4434" s="31" t="e">
        <f>'[4]#REF'!I4434</f>
        <v>#REF!</v>
      </c>
      <c r="I4434" s="32" t="e">
        <f t="shared" si="100"/>
        <v>#REF!</v>
      </c>
    </row>
    <row r="4435" ht="15.75" spans="6:9">
      <c r="F4435" s="12" t="e">
        <f>'[4]#REF'!F4435</f>
        <v>#REF!</v>
      </c>
      <c r="G4435" s="12" t="e">
        <f>'[4]#REF'!G4435</f>
        <v>#REF!</v>
      </c>
      <c r="H4435" s="31" t="e">
        <f>'[4]#REF'!I4435</f>
        <v>#REF!</v>
      </c>
      <c r="I4435" s="32" t="e">
        <f t="shared" si="100"/>
        <v>#REF!</v>
      </c>
    </row>
    <row r="4436" ht="15.75" spans="6:9">
      <c r="F4436" s="12" t="e">
        <f>'[4]#REF'!F4436</f>
        <v>#REF!</v>
      </c>
      <c r="G4436" s="12" t="e">
        <f>'[4]#REF'!G4436</f>
        <v>#REF!</v>
      </c>
      <c r="H4436" s="31" t="e">
        <f>'[4]#REF'!I4436</f>
        <v>#REF!</v>
      </c>
      <c r="I4436" s="32" t="e">
        <f t="shared" si="100"/>
        <v>#REF!</v>
      </c>
    </row>
    <row r="4437" ht="15.75" spans="6:9">
      <c r="F4437" s="12" t="e">
        <f>'[4]#REF'!F4437</f>
        <v>#REF!</v>
      </c>
      <c r="G4437" s="12" t="e">
        <f>'[4]#REF'!G4437</f>
        <v>#REF!</v>
      </c>
      <c r="H4437" s="31" t="e">
        <f>'[4]#REF'!I4437</f>
        <v>#REF!</v>
      </c>
      <c r="I4437" s="32" t="e">
        <f t="shared" si="100"/>
        <v>#REF!</v>
      </c>
    </row>
    <row r="4438" ht="15.75" spans="6:9">
      <c r="F4438" s="12" t="e">
        <f>'[4]#REF'!F4438</f>
        <v>#REF!</v>
      </c>
      <c r="G4438" s="12" t="e">
        <f>'[4]#REF'!G4438</f>
        <v>#REF!</v>
      </c>
      <c r="H4438" s="31" t="e">
        <f>'[4]#REF'!I4438</f>
        <v>#REF!</v>
      </c>
      <c r="I4438" s="32" t="e">
        <f t="shared" si="100"/>
        <v>#REF!</v>
      </c>
    </row>
    <row r="4439" ht="15.75" spans="6:9">
      <c r="F4439" s="12" t="e">
        <f>'[4]#REF'!F4439</f>
        <v>#REF!</v>
      </c>
      <c r="G4439" s="12" t="e">
        <f>'[4]#REF'!G4439</f>
        <v>#REF!</v>
      </c>
      <c r="H4439" s="31" t="e">
        <f>'[4]#REF'!I4439</f>
        <v>#REF!</v>
      </c>
      <c r="I4439" s="32" t="e">
        <f t="shared" si="100"/>
        <v>#REF!</v>
      </c>
    </row>
    <row r="4440" ht="15.75" spans="6:9">
      <c r="F4440" s="12" t="e">
        <f>'[4]#REF'!F4440</f>
        <v>#REF!</v>
      </c>
      <c r="G4440" s="12" t="e">
        <f>'[4]#REF'!G4440</f>
        <v>#REF!</v>
      </c>
      <c r="H4440" s="31" t="e">
        <f>'[4]#REF'!I4440</f>
        <v>#REF!</v>
      </c>
      <c r="I4440" s="32" t="e">
        <f t="shared" si="100"/>
        <v>#REF!</v>
      </c>
    </row>
    <row r="4441" ht="15.75" spans="6:9">
      <c r="F4441" s="12" t="e">
        <f>'[4]#REF'!F4441</f>
        <v>#REF!</v>
      </c>
      <c r="G4441" s="12" t="e">
        <f>'[4]#REF'!G4441</f>
        <v>#REF!</v>
      </c>
      <c r="H4441" s="31" t="e">
        <f>'[4]#REF'!I4441</f>
        <v>#REF!</v>
      </c>
      <c r="I4441" s="32" t="e">
        <f t="shared" si="100"/>
        <v>#REF!</v>
      </c>
    </row>
    <row r="4442" ht="15.75" spans="6:9">
      <c r="F4442" s="12" t="e">
        <f>'[4]#REF'!F4442</f>
        <v>#REF!</v>
      </c>
      <c r="G4442" s="12" t="e">
        <f>'[4]#REF'!G4442</f>
        <v>#REF!</v>
      </c>
      <c r="H4442" s="31" t="e">
        <f>'[4]#REF'!I4442</f>
        <v>#REF!</v>
      </c>
      <c r="I4442" s="32" t="e">
        <f t="shared" si="100"/>
        <v>#REF!</v>
      </c>
    </row>
    <row r="4443" ht="15.75" spans="6:9">
      <c r="F4443" s="12" t="e">
        <f>'[4]#REF'!F4443</f>
        <v>#REF!</v>
      </c>
      <c r="G4443" s="12" t="e">
        <f>'[4]#REF'!G4443</f>
        <v>#REF!</v>
      </c>
      <c r="H4443" s="31" t="e">
        <f>'[4]#REF'!I4443</f>
        <v>#REF!</v>
      </c>
      <c r="I4443" s="32" t="e">
        <f t="shared" si="100"/>
        <v>#REF!</v>
      </c>
    </row>
    <row r="4444" ht="15.75" spans="6:9">
      <c r="F4444" s="12" t="e">
        <f>'[4]#REF'!F4444</f>
        <v>#REF!</v>
      </c>
      <c r="G4444" s="12" t="e">
        <f>'[4]#REF'!G4444</f>
        <v>#REF!</v>
      </c>
      <c r="H4444" s="31" t="e">
        <f>'[4]#REF'!I4444</f>
        <v>#REF!</v>
      </c>
      <c r="I4444" s="32" t="e">
        <f t="shared" si="100"/>
        <v>#REF!</v>
      </c>
    </row>
    <row r="4445" ht="15.75" spans="6:9">
      <c r="F4445" s="12" t="e">
        <f>'[4]#REF'!F4445</f>
        <v>#REF!</v>
      </c>
      <c r="G4445" s="12" t="e">
        <f>'[4]#REF'!G4445</f>
        <v>#REF!</v>
      </c>
      <c r="H4445" s="31" t="e">
        <f>'[4]#REF'!I4445</f>
        <v>#REF!</v>
      </c>
      <c r="I4445" s="32" t="e">
        <f t="shared" si="100"/>
        <v>#REF!</v>
      </c>
    </row>
    <row r="4446" ht="15.75" spans="6:9">
      <c r="F4446" s="12" t="e">
        <f>'[4]#REF'!F4446</f>
        <v>#REF!</v>
      </c>
      <c r="G4446" s="12" t="e">
        <f>'[4]#REF'!G4446</f>
        <v>#REF!</v>
      </c>
      <c r="H4446" s="31" t="e">
        <f>'[4]#REF'!I4446</f>
        <v>#REF!</v>
      </c>
      <c r="I4446" s="32" t="e">
        <f t="shared" si="100"/>
        <v>#REF!</v>
      </c>
    </row>
    <row r="4447" ht="15.75" spans="6:9">
      <c r="F4447" s="12" t="e">
        <f>'[4]#REF'!F4447</f>
        <v>#REF!</v>
      </c>
      <c r="G4447" s="12" t="e">
        <f>'[4]#REF'!G4447</f>
        <v>#REF!</v>
      </c>
      <c r="H4447" s="31" t="e">
        <f>'[4]#REF'!I4447</f>
        <v>#REF!</v>
      </c>
      <c r="I4447" s="32" t="e">
        <f t="shared" si="100"/>
        <v>#REF!</v>
      </c>
    </row>
    <row r="4448" ht="15.75" spans="6:9">
      <c r="F4448" s="12" t="e">
        <f>'[4]#REF'!F4448</f>
        <v>#REF!</v>
      </c>
      <c r="G4448" s="12" t="e">
        <f>'[4]#REF'!G4448</f>
        <v>#REF!</v>
      </c>
      <c r="H4448" s="31" t="e">
        <f>'[4]#REF'!I4448</f>
        <v>#REF!</v>
      </c>
      <c r="I4448" s="32" t="e">
        <f t="shared" si="100"/>
        <v>#REF!</v>
      </c>
    </row>
    <row r="4449" ht="15.75" spans="6:9">
      <c r="F4449" s="12" t="e">
        <f>'[4]#REF'!F4449</f>
        <v>#REF!</v>
      </c>
      <c r="G4449" s="12" t="e">
        <f>'[4]#REF'!G4449</f>
        <v>#REF!</v>
      </c>
      <c r="H4449" s="31" t="e">
        <f>'[4]#REF'!I4449</f>
        <v>#REF!</v>
      </c>
      <c r="I4449" s="32" t="e">
        <f t="shared" si="100"/>
        <v>#REF!</v>
      </c>
    </row>
    <row r="4450" ht="15.75" spans="6:9">
      <c r="F4450" s="12" t="e">
        <f>'[4]#REF'!F4450</f>
        <v>#REF!</v>
      </c>
      <c r="G4450" s="12" t="e">
        <f>'[4]#REF'!G4450</f>
        <v>#REF!</v>
      </c>
      <c r="H4450" s="31" t="e">
        <f>'[4]#REF'!I4450</f>
        <v>#REF!</v>
      </c>
      <c r="I4450" s="32" t="e">
        <f t="shared" si="100"/>
        <v>#REF!</v>
      </c>
    </row>
    <row r="4451" ht="15.75" spans="6:9">
      <c r="F4451" s="12" t="e">
        <f>'[4]#REF'!F4451</f>
        <v>#REF!</v>
      </c>
      <c r="G4451" s="12" t="e">
        <f>'[4]#REF'!G4451</f>
        <v>#REF!</v>
      </c>
      <c r="H4451" s="31" t="e">
        <f>'[4]#REF'!I4451</f>
        <v>#REF!</v>
      </c>
      <c r="I4451" s="32" t="e">
        <f t="shared" si="100"/>
        <v>#REF!</v>
      </c>
    </row>
    <row r="4452" ht="15.75" spans="6:9">
      <c r="F4452" s="12" t="e">
        <f>'[4]#REF'!F4452</f>
        <v>#REF!</v>
      </c>
      <c r="G4452" s="12" t="e">
        <f>'[4]#REF'!G4452</f>
        <v>#REF!</v>
      </c>
      <c r="H4452" s="31" t="e">
        <f>'[4]#REF'!I4452</f>
        <v>#REF!</v>
      </c>
      <c r="I4452" s="32" t="e">
        <f t="shared" si="100"/>
        <v>#REF!</v>
      </c>
    </row>
    <row r="4453" ht="15.75" spans="6:9">
      <c r="F4453" s="12" t="e">
        <f>'[4]#REF'!F4453</f>
        <v>#REF!</v>
      </c>
      <c r="G4453" s="12" t="e">
        <f>'[4]#REF'!G4453</f>
        <v>#REF!</v>
      </c>
      <c r="H4453" s="31" t="e">
        <f>'[4]#REF'!I4453</f>
        <v>#REF!</v>
      </c>
      <c r="I4453" s="32" t="e">
        <f t="shared" si="100"/>
        <v>#REF!</v>
      </c>
    </row>
    <row r="4454" ht="15.75" spans="6:9">
      <c r="F4454" s="12" t="e">
        <f>'[4]#REF'!F4454</f>
        <v>#REF!</v>
      </c>
      <c r="G4454" s="12" t="e">
        <f>'[4]#REF'!G4454</f>
        <v>#REF!</v>
      </c>
      <c r="H4454" s="31" t="e">
        <f>'[4]#REF'!I4454</f>
        <v>#REF!</v>
      </c>
      <c r="I4454" s="32" t="e">
        <f t="shared" si="100"/>
        <v>#REF!</v>
      </c>
    </row>
    <row r="4455" ht="15.75" spans="6:9">
      <c r="F4455" s="12" t="e">
        <f>'[4]#REF'!F4455</f>
        <v>#REF!</v>
      </c>
      <c r="G4455" s="12" t="e">
        <f>'[4]#REF'!G4455</f>
        <v>#REF!</v>
      </c>
      <c r="H4455" s="31" t="e">
        <f>'[4]#REF'!I4455</f>
        <v>#REF!</v>
      </c>
      <c r="I4455" s="32" t="e">
        <f t="shared" si="100"/>
        <v>#REF!</v>
      </c>
    </row>
    <row r="4456" ht="15.75" spans="6:9">
      <c r="F4456" s="12" t="e">
        <f>'[4]#REF'!F4456</f>
        <v>#REF!</v>
      </c>
      <c r="G4456" s="12" t="e">
        <f>'[4]#REF'!G4456</f>
        <v>#REF!</v>
      </c>
      <c r="H4456" s="31" t="e">
        <f>'[4]#REF'!I4456</f>
        <v>#REF!</v>
      </c>
      <c r="I4456" s="32" t="e">
        <f t="shared" si="100"/>
        <v>#REF!</v>
      </c>
    </row>
    <row r="4457" ht="15.75" spans="6:9">
      <c r="F4457" s="12" t="e">
        <f>'[4]#REF'!F4457</f>
        <v>#REF!</v>
      </c>
      <c r="G4457" s="12" t="e">
        <f>'[4]#REF'!G4457</f>
        <v>#REF!</v>
      </c>
      <c r="H4457" s="31" t="e">
        <f>'[4]#REF'!I4457</f>
        <v>#REF!</v>
      </c>
      <c r="I4457" s="32" t="e">
        <f t="shared" si="100"/>
        <v>#REF!</v>
      </c>
    </row>
    <row r="4458" ht="15.75" spans="6:9">
      <c r="F4458" s="12" t="e">
        <f>'[4]#REF'!F4458</f>
        <v>#REF!</v>
      </c>
      <c r="G4458" s="12" t="e">
        <f>'[4]#REF'!G4458</f>
        <v>#REF!</v>
      </c>
      <c r="H4458" s="31" t="e">
        <f>'[4]#REF'!I4458</f>
        <v>#REF!</v>
      </c>
      <c r="I4458" s="32" t="e">
        <f t="shared" si="100"/>
        <v>#REF!</v>
      </c>
    </row>
    <row r="4459" ht="15.75" spans="6:9">
      <c r="F4459" s="12" t="e">
        <f>'[4]#REF'!F4459</f>
        <v>#REF!</v>
      </c>
      <c r="G4459" s="12" t="e">
        <f>'[4]#REF'!G4459</f>
        <v>#REF!</v>
      </c>
      <c r="H4459" s="31" t="e">
        <f>'[4]#REF'!I4459</f>
        <v>#REF!</v>
      </c>
      <c r="I4459" s="32" t="e">
        <f t="shared" si="100"/>
        <v>#REF!</v>
      </c>
    </row>
    <row r="4460" ht="15.75" spans="6:9">
      <c r="F4460" s="12" t="e">
        <f>'[4]#REF'!F4460</f>
        <v>#REF!</v>
      </c>
      <c r="G4460" s="12" t="e">
        <f>'[4]#REF'!G4460</f>
        <v>#REF!</v>
      </c>
      <c r="H4460" s="31" t="e">
        <f>'[4]#REF'!I4460</f>
        <v>#REF!</v>
      </c>
      <c r="I4460" s="32" t="e">
        <f t="shared" si="100"/>
        <v>#REF!</v>
      </c>
    </row>
    <row r="4461" ht="15.75" spans="6:9">
      <c r="F4461" s="12" t="e">
        <f>'[4]#REF'!F4461</f>
        <v>#REF!</v>
      </c>
      <c r="G4461" s="12" t="e">
        <f>'[4]#REF'!G4461</f>
        <v>#REF!</v>
      </c>
      <c r="H4461" s="31" t="e">
        <f>'[4]#REF'!I4461</f>
        <v>#REF!</v>
      </c>
      <c r="I4461" s="32" t="e">
        <f t="shared" si="100"/>
        <v>#REF!</v>
      </c>
    </row>
    <row r="4462" ht="15.75" spans="6:9">
      <c r="F4462" s="12" t="e">
        <f>'[4]#REF'!F4462</f>
        <v>#REF!</v>
      </c>
      <c r="G4462" s="12" t="e">
        <f>'[4]#REF'!G4462</f>
        <v>#REF!</v>
      </c>
      <c r="H4462" s="31" t="e">
        <f>'[4]#REF'!I4462</f>
        <v>#REF!</v>
      </c>
      <c r="I4462" s="32" t="e">
        <f t="shared" si="100"/>
        <v>#REF!</v>
      </c>
    </row>
    <row r="4463" ht="15.75" spans="6:9">
      <c r="F4463" s="12" t="e">
        <f>'[4]#REF'!F4463</f>
        <v>#REF!</v>
      </c>
      <c r="G4463" s="12" t="e">
        <f>'[4]#REF'!G4463</f>
        <v>#REF!</v>
      </c>
      <c r="H4463" s="31" t="e">
        <f>'[4]#REF'!I4463</f>
        <v>#REF!</v>
      </c>
      <c r="I4463" s="32" t="e">
        <f t="shared" si="100"/>
        <v>#REF!</v>
      </c>
    </row>
    <row r="4464" ht="15.75" spans="6:9">
      <c r="F4464" s="12" t="e">
        <f>'[4]#REF'!F4464</f>
        <v>#REF!</v>
      </c>
      <c r="G4464" s="12" t="e">
        <f>'[4]#REF'!G4464</f>
        <v>#REF!</v>
      </c>
      <c r="H4464" s="31" t="e">
        <f>'[4]#REF'!I4464</f>
        <v>#REF!</v>
      </c>
      <c r="I4464" s="32" t="e">
        <f t="shared" si="100"/>
        <v>#REF!</v>
      </c>
    </row>
    <row r="4465" ht="15.75" spans="6:9">
      <c r="F4465" s="12" t="e">
        <f>'[4]#REF'!F4465</f>
        <v>#REF!</v>
      </c>
      <c r="G4465" s="12" t="e">
        <f>'[4]#REF'!G4465</f>
        <v>#REF!</v>
      </c>
      <c r="H4465" s="31" t="e">
        <f>'[4]#REF'!I4465</f>
        <v>#REF!</v>
      </c>
      <c r="I4465" s="32" t="e">
        <f t="shared" si="100"/>
        <v>#REF!</v>
      </c>
    </row>
    <row r="4466" ht="15.75" spans="6:9">
      <c r="F4466" s="12" t="e">
        <f>'[4]#REF'!F4466</f>
        <v>#REF!</v>
      </c>
      <c r="G4466" s="12" t="e">
        <f>'[4]#REF'!G4466</f>
        <v>#REF!</v>
      </c>
      <c r="H4466" s="31" t="e">
        <f>'[4]#REF'!I4466</f>
        <v>#REF!</v>
      </c>
      <c r="I4466" s="32" t="e">
        <f t="shared" si="100"/>
        <v>#REF!</v>
      </c>
    </row>
    <row r="4467" ht="15.75" spans="6:9">
      <c r="F4467" s="12" t="e">
        <f>'[4]#REF'!F4467</f>
        <v>#REF!</v>
      </c>
      <c r="G4467" s="12" t="e">
        <f>'[4]#REF'!G4467</f>
        <v>#REF!</v>
      </c>
      <c r="H4467" s="31" t="e">
        <f>'[4]#REF'!I4467</f>
        <v>#REF!</v>
      </c>
      <c r="I4467" s="32" t="e">
        <f t="shared" si="100"/>
        <v>#REF!</v>
      </c>
    </row>
    <row r="4468" ht="15.75" spans="6:9">
      <c r="F4468" s="12" t="e">
        <f>'[4]#REF'!F4468</f>
        <v>#REF!</v>
      </c>
      <c r="G4468" s="12" t="e">
        <f>'[4]#REF'!G4468</f>
        <v>#REF!</v>
      </c>
      <c r="H4468" s="31" t="e">
        <f>'[4]#REF'!I4468</f>
        <v>#REF!</v>
      </c>
      <c r="I4468" s="32" t="e">
        <f t="shared" si="100"/>
        <v>#REF!</v>
      </c>
    </row>
    <row r="4469" ht="15.75" spans="6:9">
      <c r="F4469" s="12" t="e">
        <f>'[4]#REF'!F4469</f>
        <v>#REF!</v>
      </c>
      <c r="G4469" s="12" t="e">
        <f>'[4]#REF'!G4469</f>
        <v>#REF!</v>
      </c>
      <c r="H4469" s="31" t="e">
        <f>'[4]#REF'!I4469</f>
        <v>#REF!</v>
      </c>
      <c r="I4469" s="32" t="e">
        <f t="shared" si="100"/>
        <v>#REF!</v>
      </c>
    </row>
    <row r="4470" ht="15.75" spans="6:9">
      <c r="F4470" s="12" t="e">
        <f>'[4]#REF'!F4470</f>
        <v>#REF!</v>
      </c>
      <c r="G4470" s="12" t="e">
        <f>'[4]#REF'!G4470</f>
        <v>#REF!</v>
      </c>
      <c r="H4470" s="31" t="e">
        <f>'[4]#REF'!I4470</f>
        <v>#REF!</v>
      </c>
      <c r="I4470" s="32" t="e">
        <f t="shared" si="100"/>
        <v>#REF!</v>
      </c>
    </row>
    <row r="4471" ht="15.75" spans="6:9">
      <c r="F4471" s="12" t="e">
        <f>'[4]#REF'!F4471</f>
        <v>#REF!</v>
      </c>
      <c r="G4471" s="12" t="e">
        <f>'[4]#REF'!G4471</f>
        <v>#REF!</v>
      </c>
      <c r="H4471" s="31" t="e">
        <f>'[4]#REF'!I4471</f>
        <v>#REF!</v>
      </c>
      <c r="I4471" s="32" t="e">
        <f t="shared" si="100"/>
        <v>#REF!</v>
      </c>
    </row>
    <row r="4472" ht="15.75" spans="6:9">
      <c r="F4472" s="12" t="e">
        <f>'[4]#REF'!F4472</f>
        <v>#REF!</v>
      </c>
      <c r="G4472" s="12" t="e">
        <f>'[4]#REF'!G4472</f>
        <v>#REF!</v>
      </c>
      <c r="H4472" s="31" t="e">
        <f>'[4]#REF'!I4472</f>
        <v>#REF!</v>
      </c>
      <c r="I4472" s="32" t="e">
        <f t="shared" si="100"/>
        <v>#REF!</v>
      </c>
    </row>
    <row r="4473" ht="15.75" spans="6:9">
      <c r="F4473" s="12" t="e">
        <f>'[4]#REF'!F4473</f>
        <v>#REF!</v>
      </c>
      <c r="G4473" s="12" t="e">
        <f>'[4]#REF'!G4473</f>
        <v>#REF!</v>
      </c>
      <c r="H4473" s="31" t="e">
        <f>'[4]#REF'!I4473</f>
        <v>#REF!</v>
      </c>
      <c r="I4473" s="32" t="e">
        <f t="shared" si="100"/>
        <v>#REF!</v>
      </c>
    </row>
    <row r="4474" ht="15.75" spans="6:9">
      <c r="F4474" s="12" t="e">
        <f>'[4]#REF'!F4474</f>
        <v>#REF!</v>
      </c>
      <c r="G4474" s="12" t="e">
        <f>'[4]#REF'!G4474</f>
        <v>#REF!</v>
      </c>
      <c r="H4474" s="31" t="e">
        <f>'[4]#REF'!I4474</f>
        <v>#REF!</v>
      </c>
      <c r="I4474" s="32" t="e">
        <f t="shared" si="100"/>
        <v>#REF!</v>
      </c>
    </row>
    <row r="4475" ht="15.75" spans="6:9">
      <c r="F4475" s="12" t="e">
        <f>'[4]#REF'!F4475</f>
        <v>#REF!</v>
      </c>
      <c r="G4475" s="12" t="e">
        <f>'[4]#REF'!G4475</f>
        <v>#REF!</v>
      </c>
      <c r="H4475" s="31" t="e">
        <f>'[4]#REF'!I4475</f>
        <v>#REF!</v>
      </c>
      <c r="I4475" s="32" t="e">
        <f t="shared" si="100"/>
        <v>#REF!</v>
      </c>
    </row>
    <row r="4476" ht="15.75" spans="6:9">
      <c r="F4476" s="12" t="e">
        <f>'[4]#REF'!F4476</f>
        <v>#REF!</v>
      </c>
      <c r="G4476" s="12" t="e">
        <f>'[4]#REF'!G4476</f>
        <v>#REF!</v>
      </c>
      <c r="H4476" s="31" t="e">
        <f>'[4]#REF'!I4476</f>
        <v>#REF!</v>
      </c>
      <c r="I4476" s="32" t="e">
        <f t="shared" si="100"/>
        <v>#REF!</v>
      </c>
    </row>
    <row r="4477" ht="15.75" spans="6:9">
      <c r="F4477" s="12" t="e">
        <f>'[4]#REF'!F4477</f>
        <v>#REF!</v>
      </c>
      <c r="G4477" s="12" t="e">
        <f>'[4]#REF'!G4477</f>
        <v>#REF!</v>
      </c>
      <c r="H4477" s="31" t="e">
        <f>'[4]#REF'!I4477</f>
        <v>#REF!</v>
      </c>
      <c r="I4477" s="32" t="e">
        <f t="shared" si="100"/>
        <v>#REF!</v>
      </c>
    </row>
    <row r="4478" ht="15.75" spans="6:9">
      <c r="F4478" s="12" t="e">
        <f>'[4]#REF'!F4478</f>
        <v>#REF!</v>
      </c>
      <c r="G4478" s="12" t="e">
        <f>'[4]#REF'!G4478</f>
        <v>#REF!</v>
      </c>
      <c r="H4478" s="31" t="e">
        <f>'[4]#REF'!I4478</f>
        <v>#REF!</v>
      </c>
      <c r="I4478" s="32" t="e">
        <f t="shared" si="100"/>
        <v>#REF!</v>
      </c>
    </row>
    <row r="4479" ht="15.75" spans="6:9">
      <c r="F4479" s="12" t="e">
        <f>'[4]#REF'!F4479</f>
        <v>#REF!</v>
      </c>
      <c r="G4479" s="12" t="e">
        <f>'[4]#REF'!G4479</f>
        <v>#REF!</v>
      </c>
      <c r="H4479" s="31" t="e">
        <f>'[4]#REF'!I4479</f>
        <v>#REF!</v>
      </c>
      <c r="I4479" s="32" t="e">
        <f t="shared" si="100"/>
        <v>#REF!</v>
      </c>
    </row>
    <row r="4480" ht="15.75" spans="6:9">
      <c r="F4480" s="12" t="e">
        <f>'[4]#REF'!F4480</f>
        <v>#REF!</v>
      </c>
      <c r="G4480" s="12" t="e">
        <f>'[4]#REF'!G4480</f>
        <v>#REF!</v>
      </c>
      <c r="H4480" s="31" t="e">
        <f>'[4]#REF'!I4480</f>
        <v>#REF!</v>
      </c>
      <c r="I4480" s="32" t="e">
        <f t="shared" si="100"/>
        <v>#REF!</v>
      </c>
    </row>
    <row r="4481" ht="15.75" spans="6:9">
      <c r="F4481" s="12" t="e">
        <f>'[4]#REF'!F4481</f>
        <v>#REF!</v>
      </c>
      <c r="G4481" s="12" t="e">
        <f>'[4]#REF'!G4481</f>
        <v>#REF!</v>
      </c>
      <c r="H4481" s="31" t="e">
        <f>'[4]#REF'!I4481</f>
        <v>#REF!</v>
      </c>
      <c r="I4481" s="32" t="e">
        <f t="shared" si="100"/>
        <v>#REF!</v>
      </c>
    </row>
    <row r="4482" ht="15.75" spans="6:9">
      <c r="F4482" s="12" t="e">
        <f>'[4]#REF'!F4482</f>
        <v>#REF!</v>
      </c>
      <c r="G4482" s="12" t="e">
        <f>'[4]#REF'!G4482</f>
        <v>#REF!</v>
      </c>
      <c r="H4482" s="31" t="e">
        <f>'[4]#REF'!I4482</f>
        <v>#REF!</v>
      </c>
      <c r="I4482" s="32" t="e">
        <f t="shared" si="100"/>
        <v>#REF!</v>
      </c>
    </row>
    <row r="4483" ht="15.75" spans="6:9">
      <c r="F4483" s="12" t="e">
        <f>'[4]#REF'!F4483</f>
        <v>#REF!</v>
      </c>
      <c r="G4483" s="12" t="e">
        <f>'[4]#REF'!G4483</f>
        <v>#REF!</v>
      </c>
      <c r="H4483" s="31" t="e">
        <f>'[4]#REF'!I4483</f>
        <v>#REF!</v>
      </c>
      <c r="I4483" s="32" t="e">
        <f t="shared" si="100"/>
        <v>#REF!</v>
      </c>
    </row>
    <row r="4484" ht="15.75" spans="6:9">
      <c r="F4484" s="12" t="e">
        <f>'[4]#REF'!F4484</f>
        <v>#REF!</v>
      </c>
      <c r="G4484" s="12" t="e">
        <f>'[4]#REF'!G4484</f>
        <v>#REF!</v>
      </c>
      <c r="H4484" s="31" t="e">
        <f>'[4]#REF'!I4484</f>
        <v>#REF!</v>
      </c>
      <c r="I4484" s="32" t="e">
        <f t="shared" si="100"/>
        <v>#REF!</v>
      </c>
    </row>
    <row r="4485" ht="15.75" spans="6:9">
      <c r="F4485" s="12" t="e">
        <f>'[4]#REF'!F4485</f>
        <v>#REF!</v>
      </c>
      <c r="G4485" s="12" t="e">
        <f>'[4]#REF'!G4485</f>
        <v>#REF!</v>
      </c>
      <c r="H4485" s="31" t="e">
        <f>'[4]#REF'!I4485</f>
        <v>#REF!</v>
      </c>
      <c r="I4485" s="32" t="e">
        <f t="shared" si="100"/>
        <v>#REF!</v>
      </c>
    </row>
    <row r="4486" ht="15.75" spans="6:9">
      <c r="F4486" s="12" t="e">
        <f>'[4]#REF'!F4486</f>
        <v>#REF!</v>
      </c>
      <c r="G4486" s="12" t="e">
        <f>'[4]#REF'!G4486</f>
        <v>#REF!</v>
      </c>
      <c r="H4486" s="31" t="e">
        <f>'[4]#REF'!I4486</f>
        <v>#REF!</v>
      </c>
      <c r="I4486" s="32" t="e">
        <f t="shared" ref="I4486:I4549" si="101">ROUND(H4486/$I$4*100,2)</f>
        <v>#REF!</v>
      </c>
    </row>
    <row r="4487" ht="15.75" spans="6:9">
      <c r="F4487" s="12" t="e">
        <f>'[4]#REF'!F4487</f>
        <v>#REF!</v>
      </c>
      <c r="G4487" s="12" t="e">
        <f>'[4]#REF'!G4487</f>
        <v>#REF!</v>
      </c>
      <c r="H4487" s="31" t="e">
        <f>'[4]#REF'!I4487</f>
        <v>#REF!</v>
      </c>
      <c r="I4487" s="32" t="e">
        <f t="shared" si="101"/>
        <v>#REF!</v>
      </c>
    </row>
    <row r="4488" ht="15.75" spans="6:9">
      <c r="F4488" s="12" t="e">
        <f>'[4]#REF'!F4488</f>
        <v>#REF!</v>
      </c>
      <c r="G4488" s="12" t="e">
        <f>'[4]#REF'!G4488</f>
        <v>#REF!</v>
      </c>
      <c r="H4488" s="31" t="e">
        <f>'[4]#REF'!I4488</f>
        <v>#REF!</v>
      </c>
      <c r="I4488" s="32" t="e">
        <f t="shared" si="101"/>
        <v>#REF!</v>
      </c>
    </row>
    <row r="4489" ht="15.75" spans="6:9">
      <c r="F4489" s="12" t="e">
        <f>'[4]#REF'!F4489</f>
        <v>#REF!</v>
      </c>
      <c r="G4489" s="12" t="e">
        <f>'[4]#REF'!G4489</f>
        <v>#REF!</v>
      </c>
      <c r="H4489" s="31" t="e">
        <f>'[4]#REF'!I4489</f>
        <v>#REF!</v>
      </c>
      <c r="I4489" s="32" t="e">
        <f t="shared" si="101"/>
        <v>#REF!</v>
      </c>
    </row>
    <row r="4490" ht="15.75" spans="6:9">
      <c r="F4490" s="12" t="e">
        <f>'[4]#REF'!F4490</f>
        <v>#REF!</v>
      </c>
      <c r="G4490" s="12" t="e">
        <f>'[4]#REF'!G4490</f>
        <v>#REF!</v>
      </c>
      <c r="H4490" s="31" t="e">
        <f>'[4]#REF'!I4490</f>
        <v>#REF!</v>
      </c>
      <c r="I4490" s="32" t="e">
        <f t="shared" si="101"/>
        <v>#REF!</v>
      </c>
    </row>
    <row r="4491" ht="15.75" spans="6:9">
      <c r="F4491" s="12" t="e">
        <f>'[4]#REF'!F4491</f>
        <v>#REF!</v>
      </c>
      <c r="G4491" s="12" t="e">
        <f>'[4]#REF'!G4491</f>
        <v>#REF!</v>
      </c>
      <c r="H4491" s="31" t="e">
        <f>'[4]#REF'!I4491</f>
        <v>#REF!</v>
      </c>
      <c r="I4491" s="32" t="e">
        <f t="shared" si="101"/>
        <v>#REF!</v>
      </c>
    </row>
    <row r="4492" ht="15.75" spans="6:9">
      <c r="F4492" s="12" t="e">
        <f>'[4]#REF'!F4492</f>
        <v>#REF!</v>
      </c>
      <c r="G4492" s="12" t="e">
        <f>'[4]#REF'!G4492</f>
        <v>#REF!</v>
      </c>
      <c r="H4492" s="31" t="e">
        <f>'[4]#REF'!I4492</f>
        <v>#REF!</v>
      </c>
      <c r="I4492" s="32" t="e">
        <f t="shared" si="101"/>
        <v>#REF!</v>
      </c>
    </row>
    <row r="4493" ht="15.75" spans="6:9">
      <c r="F4493" s="12" t="e">
        <f>'[4]#REF'!F4493</f>
        <v>#REF!</v>
      </c>
      <c r="G4493" s="12" t="e">
        <f>'[4]#REF'!G4493</f>
        <v>#REF!</v>
      </c>
      <c r="H4493" s="31" t="e">
        <f>'[4]#REF'!I4493</f>
        <v>#REF!</v>
      </c>
      <c r="I4493" s="32" t="e">
        <f t="shared" si="101"/>
        <v>#REF!</v>
      </c>
    </row>
    <row r="4494" ht="15.75" spans="6:9">
      <c r="F4494" s="12" t="e">
        <f>'[4]#REF'!F4494</f>
        <v>#REF!</v>
      </c>
      <c r="G4494" s="12" t="e">
        <f>'[4]#REF'!G4494</f>
        <v>#REF!</v>
      </c>
      <c r="H4494" s="31" t="e">
        <f>'[4]#REF'!I4494</f>
        <v>#REF!</v>
      </c>
      <c r="I4494" s="32" t="e">
        <f t="shared" si="101"/>
        <v>#REF!</v>
      </c>
    </row>
    <row r="4495" ht="15.75" spans="6:9">
      <c r="F4495" s="12" t="e">
        <f>'[4]#REF'!F4495</f>
        <v>#REF!</v>
      </c>
      <c r="G4495" s="12" t="e">
        <f>'[4]#REF'!G4495</f>
        <v>#REF!</v>
      </c>
      <c r="H4495" s="31" t="e">
        <f>'[4]#REF'!I4495</f>
        <v>#REF!</v>
      </c>
      <c r="I4495" s="32" t="e">
        <f t="shared" si="101"/>
        <v>#REF!</v>
      </c>
    </row>
    <row r="4496" ht="15.75" spans="6:9">
      <c r="F4496" s="12" t="e">
        <f>'[4]#REF'!F4496</f>
        <v>#REF!</v>
      </c>
      <c r="G4496" s="12" t="e">
        <f>'[4]#REF'!G4496</f>
        <v>#REF!</v>
      </c>
      <c r="H4496" s="31" t="e">
        <f>'[4]#REF'!I4496</f>
        <v>#REF!</v>
      </c>
      <c r="I4496" s="32" t="e">
        <f t="shared" si="101"/>
        <v>#REF!</v>
      </c>
    </row>
    <row r="4497" ht="15.75" spans="6:9">
      <c r="F4497" s="12" t="e">
        <f>'[4]#REF'!F4497</f>
        <v>#REF!</v>
      </c>
      <c r="G4497" s="12" t="e">
        <f>'[4]#REF'!G4497</f>
        <v>#REF!</v>
      </c>
      <c r="H4497" s="31" t="e">
        <f>'[4]#REF'!I4497</f>
        <v>#REF!</v>
      </c>
      <c r="I4497" s="32" t="e">
        <f t="shared" si="101"/>
        <v>#REF!</v>
      </c>
    </row>
    <row r="4498" ht="15.75" spans="6:9">
      <c r="F4498" s="12" t="e">
        <f>'[4]#REF'!F4498</f>
        <v>#REF!</v>
      </c>
      <c r="G4498" s="12" t="e">
        <f>'[4]#REF'!G4498</f>
        <v>#REF!</v>
      </c>
      <c r="H4498" s="31" t="e">
        <f>'[4]#REF'!I4498</f>
        <v>#REF!</v>
      </c>
      <c r="I4498" s="32" t="e">
        <f t="shared" si="101"/>
        <v>#REF!</v>
      </c>
    </row>
    <row r="4499" ht="15.75" spans="6:9">
      <c r="F4499" s="12" t="e">
        <f>'[4]#REF'!F4499</f>
        <v>#REF!</v>
      </c>
      <c r="G4499" s="12" t="e">
        <f>'[4]#REF'!G4499</f>
        <v>#REF!</v>
      </c>
      <c r="H4499" s="31" t="e">
        <f>'[4]#REF'!I4499</f>
        <v>#REF!</v>
      </c>
      <c r="I4499" s="32" t="e">
        <f t="shared" si="101"/>
        <v>#REF!</v>
      </c>
    </row>
    <row r="4500" ht="15.75" spans="6:9">
      <c r="F4500" s="12" t="e">
        <f>'[4]#REF'!F4500</f>
        <v>#REF!</v>
      </c>
      <c r="G4500" s="12" t="e">
        <f>'[4]#REF'!G4500</f>
        <v>#REF!</v>
      </c>
      <c r="H4500" s="31" t="e">
        <f>'[4]#REF'!I4500</f>
        <v>#REF!</v>
      </c>
      <c r="I4500" s="32" t="e">
        <f t="shared" si="101"/>
        <v>#REF!</v>
      </c>
    </row>
    <row r="4501" ht="15.75" spans="6:9">
      <c r="F4501" s="12" t="e">
        <f>'[4]#REF'!F4501</f>
        <v>#REF!</v>
      </c>
      <c r="G4501" s="12" t="e">
        <f>'[4]#REF'!G4501</f>
        <v>#REF!</v>
      </c>
      <c r="H4501" s="31" t="e">
        <f>'[4]#REF'!I4501</f>
        <v>#REF!</v>
      </c>
      <c r="I4501" s="32" t="e">
        <f t="shared" si="101"/>
        <v>#REF!</v>
      </c>
    </row>
    <row r="4502" ht="15.75" spans="6:9">
      <c r="F4502" s="12" t="e">
        <f>'[4]#REF'!F4502</f>
        <v>#REF!</v>
      </c>
      <c r="G4502" s="12" t="e">
        <f>'[4]#REF'!G4502</f>
        <v>#REF!</v>
      </c>
      <c r="H4502" s="31" t="e">
        <f>'[4]#REF'!I4502</f>
        <v>#REF!</v>
      </c>
      <c r="I4502" s="32" t="e">
        <f t="shared" si="101"/>
        <v>#REF!</v>
      </c>
    </row>
    <row r="4503" ht="15.75" spans="6:9">
      <c r="F4503" s="12" t="e">
        <f>'[4]#REF'!F4503</f>
        <v>#REF!</v>
      </c>
      <c r="G4503" s="12" t="e">
        <f>'[4]#REF'!G4503</f>
        <v>#REF!</v>
      </c>
      <c r="H4503" s="31" t="e">
        <f>'[4]#REF'!I4503</f>
        <v>#REF!</v>
      </c>
      <c r="I4503" s="32" t="e">
        <f t="shared" si="101"/>
        <v>#REF!</v>
      </c>
    </row>
    <row r="4504" ht="15.75" spans="6:9">
      <c r="F4504" s="12" t="e">
        <f>'[4]#REF'!F4504</f>
        <v>#REF!</v>
      </c>
      <c r="G4504" s="12" t="e">
        <f>'[4]#REF'!G4504</f>
        <v>#REF!</v>
      </c>
      <c r="H4504" s="31" t="e">
        <f>'[4]#REF'!I4504</f>
        <v>#REF!</v>
      </c>
      <c r="I4504" s="32" t="e">
        <f t="shared" si="101"/>
        <v>#REF!</v>
      </c>
    </row>
    <row r="4505" ht="15.75" spans="6:9">
      <c r="F4505" s="12" t="e">
        <f>'[4]#REF'!F4505</f>
        <v>#REF!</v>
      </c>
      <c r="G4505" s="12" t="e">
        <f>'[4]#REF'!G4505</f>
        <v>#REF!</v>
      </c>
      <c r="H4505" s="31" t="e">
        <f>'[4]#REF'!I4505</f>
        <v>#REF!</v>
      </c>
      <c r="I4505" s="32" t="e">
        <f t="shared" si="101"/>
        <v>#REF!</v>
      </c>
    </row>
    <row r="4506" ht="15.75" spans="6:9">
      <c r="F4506" s="12" t="e">
        <f>'[4]#REF'!F4506</f>
        <v>#REF!</v>
      </c>
      <c r="G4506" s="12" t="e">
        <f>'[4]#REF'!G4506</f>
        <v>#REF!</v>
      </c>
      <c r="H4506" s="31" t="e">
        <f>'[4]#REF'!I4506</f>
        <v>#REF!</v>
      </c>
      <c r="I4506" s="32" t="e">
        <f t="shared" si="101"/>
        <v>#REF!</v>
      </c>
    </row>
    <row r="4507" ht="15.75" spans="6:9">
      <c r="F4507" s="12" t="e">
        <f>'[4]#REF'!F4507</f>
        <v>#REF!</v>
      </c>
      <c r="G4507" s="12" t="e">
        <f>'[4]#REF'!G4507</f>
        <v>#REF!</v>
      </c>
      <c r="H4507" s="31" t="e">
        <f>'[4]#REF'!I4507</f>
        <v>#REF!</v>
      </c>
      <c r="I4507" s="32" t="e">
        <f t="shared" si="101"/>
        <v>#REF!</v>
      </c>
    </row>
    <row r="4508" ht="15.75" spans="6:9">
      <c r="F4508" s="12" t="e">
        <f>'[4]#REF'!F4508</f>
        <v>#REF!</v>
      </c>
      <c r="G4508" s="12" t="e">
        <f>'[4]#REF'!G4508</f>
        <v>#REF!</v>
      </c>
      <c r="H4508" s="31" t="e">
        <f>'[4]#REF'!I4508</f>
        <v>#REF!</v>
      </c>
      <c r="I4508" s="32" t="e">
        <f t="shared" si="101"/>
        <v>#REF!</v>
      </c>
    </row>
    <row r="4509" ht="15.75" spans="6:9">
      <c r="F4509" s="12" t="e">
        <f>'[4]#REF'!F4509</f>
        <v>#REF!</v>
      </c>
      <c r="G4509" s="12" t="e">
        <f>'[4]#REF'!G4509</f>
        <v>#REF!</v>
      </c>
      <c r="H4509" s="31" t="e">
        <f>'[4]#REF'!I4509</f>
        <v>#REF!</v>
      </c>
      <c r="I4509" s="32" t="e">
        <f t="shared" si="101"/>
        <v>#REF!</v>
      </c>
    </row>
    <row r="4510" ht="15.75" spans="6:9">
      <c r="F4510" s="12" t="e">
        <f>'[4]#REF'!F4510</f>
        <v>#REF!</v>
      </c>
      <c r="G4510" s="12" t="e">
        <f>'[4]#REF'!G4510</f>
        <v>#REF!</v>
      </c>
      <c r="H4510" s="31" t="e">
        <f>'[4]#REF'!I4510</f>
        <v>#REF!</v>
      </c>
      <c r="I4510" s="32" t="e">
        <f t="shared" si="101"/>
        <v>#REF!</v>
      </c>
    </row>
    <row r="4511" ht="15.75" spans="6:9">
      <c r="F4511" s="12" t="e">
        <f>'[4]#REF'!F4511</f>
        <v>#REF!</v>
      </c>
      <c r="G4511" s="12" t="e">
        <f>'[4]#REF'!G4511</f>
        <v>#REF!</v>
      </c>
      <c r="H4511" s="31" t="e">
        <f>'[4]#REF'!I4511</f>
        <v>#REF!</v>
      </c>
      <c r="I4511" s="32" t="e">
        <f t="shared" si="101"/>
        <v>#REF!</v>
      </c>
    </row>
    <row r="4512" ht="15.75" spans="6:9">
      <c r="F4512" s="12" t="e">
        <f>'[4]#REF'!F4512</f>
        <v>#REF!</v>
      </c>
      <c r="G4512" s="12" t="e">
        <f>'[4]#REF'!G4512</f>
        <v>#REF!</v>
      </c>
      <c r="H4512" s="31" t="e">
        <f>'[4]#REF'!I4512</f>
        <v>#REF!</v>
      </c>
      <c r="I4512" s="32" t="e">
        <f t="shared" si="101"/>
        <v>#REF!</v>
      </c>
    </row>
    <row r="4513" ht="15.75" spans="6:9">
      <c r="F4513" s="12" t="e">
        <f>'[4]#REF'!F4513</f>
        <v>#REF!</v>
      </c>
      <c r="G4513" s="12" t="e">
        <f>'[4]#REF'!G4513</f>
        <v>#REF!</v>
      </c>
      <c r="H4513" s="31" t="e">
        <f>'[4]#REF'!I4513</f>
        <v>#REF!</v>
      </c>
      <c r="I4513" s="32" t="e">
        <f t="shared" si="101"/>
        <v>#REF!</v>
      </c>
    </row>
    <row r="4514" ht="15.75" spans="6:9">
      <c r="F4514" s="12" t="e">
        <f>'[4]#REF'!F4514</f>
        <v>#REF!</v>
      </c>
      <c r="G4514" s="12" t="e">
        <f>'[4]#REF'!G4514</f>
        <v>#REF!</v>
      </c>
      <c r="H4514" s="31" t="e">
        <f>'[4]#REF'!I4514</f>
        <v>#REF!</v>
      </c>
      <c r="I4514" s="32" t="e">
        <f t="shared" si="101"/>
        <v>#REF!</v>
      </c>
    </row>
    <row r="4515" ht="15.75" spans="6:9">
      <c r="F4515" s="12" t="e">
        <f>'[4]#REF'!F4515</f>
        <v>#REF!</v>
      </c>
      <c r="G4515" s="12" t="e">
        <f>'[4]#REF'!G4515</f>
        <v>#REF!</v>
      </c>
      <c r="H4515" s="31" t="e">
        <f>'[4]#REF'!I4515</f>
        <v>#REF!</v>
      </c>
      <c r="I4515" s="32" t="e">
        <f t="shared" si="101"/>
        <v>#REF!</v>
      </c>
    </row>
    <row r="4516" ht="15.75" spans="6:9">
      <c r="F4516" s="12" t="e">
        <f>'[4]#REF'!F4516</f>
        <v>#REF!</v>
      </c>
      <c r="G4516" s="12" t="e">
        <f>'[4]#REF'!G4516</f>
        <v>#REF!</v>
      </c>
      <c r="H4516" s="31" t="e">
        <f>'[4]#REF'!I4516</f>
        <v>#REF!</v>
      </c>
      <c r="I4516" s="32" t="e">
        <f t="shared" si="101"/>
        <v>#REF!</v>
      </c>
    </row>
    <row r="4517" ht="15.75" spans="6:9">
      <c r="F4517" s="12" t="e">
        <f>'[4]#REF'!F4517</f>
        <v>#REF!</v>
      </c>
      <c r="G4517" s="12" t="e">
        <f>'[4]#REF'!G4517</f>
        <v>#REF!</v>
      </c>
      <c r="H4517" s="31" t="e">
        <f>'[4]#REF'!I4517</f>
        <v>#REF!</v>
      </c>
      <c r="I4517" s="32" t="e">
        <f t="shared" si="101"/>
        <v>#REF!</v>
      </c>
    </row>
    <row r="4518" ht="15.75" spans="6:9">
      <c r="F4518" s="12" t="e">
        <f>'[4]#REF'!F4518</f>
        <v>#REF!</v>
      </c>
      <c r="G4518" s="12" t="e">
        <f>'[4]#REF'!G4518</f>
        <v>#REF!</v>
      </c>
      <c r="H4518" s="31" t="e">
        <f>'[4]#REF'!I4518</f>
        <v>#REF!</v>
      </c>
      <c r="I4518" s="32" t="e">
        <f t="shared" si="101"/>
        <v>#REF!</v>
      </c>
    </row>
    <row r="4519" ht="15.75" spans="6:9">
      <c r="F4519" s="12" t="e">
        <f>'[4]#REF'!F4519</f>
        <v>#REF!</v>
      </c>
      <c r="G4519" s="12" t="e">
        <f>'[4]#REF'!G4519</f>
        <v>#REF!</v>
      </c>
      <c r="H4519" s="31" t="e">
        <f>'[4]#REF'!I4519</f>
        <v>#REF!</v>
      </c>
      <c r="I4519" s="32" t="e">
        <f t="shared" si="101"/>
        <v>#REF!</v>
      </c>
    </row>
    <row r="4520" ht="15.75" spans="6:9">
      <c r="F4520" s="12" t="e">
        <f>'[4]#REF'!F4520</f>
        <v>#REF!</v>
      </c>
      <c r="G4520" s="12" t="e">
        <f>'[4]#REF'!G4520</f>
        <v>#REF!</v>
      </c>
      <c r="H4520" s="31" t="e">
        <f>'[4]#REF'!I4520</f>
        <v>#REF!</v>
      </c>
      <c r="I4520" s="32" t="e">
        <f t="shared" si="101"/>
        <v>#REF!</v>
      </c>
    </row>
    <row r="4521" ht="15.75" spans="6:9">
      <c r="F4521" s="12" t="e">
        <f>'[4]#REF'!F4521</f>
        <v>#REF!</v>
      </c>
      <c r="G4521" s="12" t="e">
        <f>'[4]#REF'!G4521</f>
        <v>#REF!</v>
      </c>
      <c r="H4521" s="31" t="e">
        <f>'[4]#REF'!I4521</f>
        <v>#REF!</v>
      </c>
      <c r="I4521" s="32" t="e">
        <f t="shared" si="101"/>
        <v>#REF!</v>
      </c>
    </row>
    <row r="4522" ht="15.75" spans="6:9">
      <c r="F4522" s="12" t="e">
        <f>'[4]#REF'!F4522</f>
        <v>#REF!</v>
      </c>
      <c r="G4522" s="12" t="e">
        <f>'[4]#REF'!G4522</f>
        <v>#REF!</v>
      </c>
      <c r="H4522" s="31" t="e">
        <f>'[4]#REF'!I4522</f>
        <v>#REF!</v>
      </c>
      <c r="I4522" s="32" t="e">
        <f t="shared" si="101"/>
        <v>#REF!</v>
      </c>
    </row>
    <row r="4523" ht="15.75" spans="6:9">
      <c r="F4523" s="12" t="e">
        <f>'[4]#REF'!F4523</f>
        <v>#REF!</v>
      </c>
      <c r="G4523" s="12" t="e">
        <f>'[4]#REF'!G4523</f>
        <v>#REF!</v>
      </c>
      <c r="H4523" s="31" t="e">
        <f>'[4]#REF'!I4523</f>
        <v>#REF!</v>
      </c>
      <c r="I4523" s="32" t="e">
        <f t="shared" si="101"/>
        <v>#REF!</v>
      </c>
    </row>
    <row r="4524" ht="15.75" spans="6:9">
      <c r="F4524" s="12" t="e">
        <f>'[4]#REF'!F4524</f>
        <v>#REF!</v>
      </c>
      <c r="G4524" s="12" t="e">
        <f>'[4]#REF'!G4524</f>
        <v>#REF!</v>
      </c>
      <c r="H4524" s="31" t="e">
        <f>'[4]#REF'!I4524</f>
        <v>#REF!</v>
      </c>
      <c r="I4524" s="32" t="e">
        <f t="shared" si="101"/>
        <v>#REF!</v>
      </c>
    </row>
    <row r="4525" ht="15.75" spans="6:9">
      <c r="F4525" s="12" t="e">
        <f>'[4]#REF'!F4525</f>
        <v>#REF!</v>
      </c>
      <c r="G4525" s="12" t="e">
        <f>'[4]#REF'!G4525</f>
        <v>#REF!</v>
      </c>
      <c r="H4525" s="31" t="e">
        <f>'[4]#REF'!I4525</f>
        <v>#REF!</v>
      </c>
      <c r="I4525" s="32" t="e">
        <f t="shared" si="101"/>
        <v>#REF!</v>
      </c>
    </row>
    <row r="4526" ht="15.75" spans="6:9">
      <c r="F4526" s="12" t="e">
        <f>'[4]#REF'!F4526</f>
        <v>#REF!</v>
      </c>
      <c r="G4526" s="12" t="e">
        <f>'[4]#REF'!G4526</f>
        <v>#REF!</v>
      </c>
      <c r="H4526" s="31" t="e">
        <f>'[4]#REF'!I4526</f>
        <v>#REF!</v>
      </c>
      <c r="I4526" s="32" t="e">
        <f t="shared" si="101"/>
        <v>#REF!</v>
      </c>
    </row>
    <row r="4527" ht="15.75" spans="6:9">
      <c r="F4527" s="12" t="e">
        <f>'[4]#REF'!F4527</f>
        <v>#REF!</v>
      </c>
      <c r="G4527" s="12" t="e">
        <f>'[4]#REF'!G4527</f>
        <v>#REF!</v>
      </c>
      <c r="H4527" s="31" t="e">
        <f>'[4]#REF'!I4527</f>
        <v>#REF!</v>
      </c>
      <c r="I4527" s="32" t="e">
        <f t="shared" si="101"/>
        <v>#REF!</v>
      </c>
    </row>
    <row r="4528" ht="15.75" spans="6:9">
      <c r="F4528" s="12" t="e">
        <f>'[4]#REF'!F4528</f>
        <v>#REF!</v>
      </c>
      <c r="G4528" s="12" t="e">
        <f>'[4]#REF'!G4528</f>
        <v>#REF!</v>
      </c>
      <c r="H4528" s="31" t="e">
        <f>'[4]#REF'!I4528</f>
        <v>#REF!</v>
      </c>
      <c r="I4528" s="32" t="e">
        <f t="shared" si="101"/>
        <v>#REF!</v>
      </c>
    </row>
    <row r="4529" ht="15.75" spans="6:9">
      <c r="F4529" s="12" t="e">
        <f>'[4]#REF'!F4529</f>
        <v>#REF!</v>
      </c>
      <c r="G4529" s="12" t="e">
        <f>'[4]#REF'!G4529</f>
        <v>#REF!</v>
      </c>
      <c r="H4529" s="31" t="e">
        <f>'[4]#REF'!I4529</f>
        <v>#REF!</v>
      </c>
      <c r="I4529" s="32" t="e">
        <f t="shared" si="101"/>
        <v>#REF!</v>
      </c>
    </row>
    <row r="4530" ht="15.75" spans="6:9">
      <c r="F4530" s="12" t="e">
        <f>'[4]#REF'!F4530</f>
        <v>#REF!</v>
      </c>
      <c r="G4530" s="12" t="e">
        <f>'[4]#REF'!G4530</f>
        <v>#REF!</v>
      </c>
      <c r="H4530" s="31" t="e">
        <f>'[4]#REF'!I4530</f>
        <v>#REF!</v>
      </c>
      <c r="I4530" s="32" t="e">
        <f t="shared" si="101"/>
        <v>#REF!</v>
      </c>
    </row>
    <row r="4531" ht="15.75" spans="6:9">
      <c r="F4531" s="12" t="e">
        <f>'[4]#REF'!F4531</f>
        <v>#REF!</v>
      </c>
      <c r="G4531" s="12" t="e">
        <f>'[4]#REF'!G4531</f>
        <v>#REF!</v>
      </c>
      <c r="H4531" s="31" t="e">
        <f>'[4]#REF'!I4531</f>
        <v>#REF!</v>
      </c>
      <c r="I4531" s="32" t="e">
        <f t="shared" si="101"/>
        <v>#REF!</v>
      </c>
    </row>
    <row r="4532" ht="15.75" spans="6:9">
      <c r="F4532" s="12" t="e">
        <f>'[4]#REF'!F4532</f>
        <v>#REF!</v>
      </c>
      <c r="G4532" s="12" t="e">
        <f>'[4]#REF'!G4532</f>
        <v>#REF!</v>
      </c>
      <c r="H4532" s="31" t="e">
        <f>'[4]#REF'!I4532</f>
        <v>#REF!</v>
      </c>
      <c r="I4532" s="32" t="e">
        <f t="shared" si="101"/>
        <v>#REF!</v>
      </c>
    </row>
    <row r="4533" ht="15.75" spans="6:9">
      <c r="F4533" s="12" t="e">
        <f>'[4]#REF'!F4533</f>
        <v>#REF!</v>
      </c>
      <c r="G4533" s="12" t="e">
        <f>'[4]#REF'!G4533</f>
        <v>#REF!</v>
      </c>
      <c r="H4533" s="31" t="e">
        <f>'[4]#REF'!I4533</f>
        <v>#REF!</v>
      </c>
      <c r="I4533" s="32" t="e">
        <f t="shared" si="101"/>
        <v>#REF!</v>
      </c>
    </row>
    <row r="4534" ht="15.75" spans="6:9">
      <c r="F4534" s="12" t="e">
        <f>'[4]#REF'!F4534</f>
        <v>#REF!</v>
      </c>
      <c r="G4534" s="12" t="e">
        <f>'[4]#REF'!G4534</f>
        <v>#REF!</v>
      </c>
      <c r="H4534" s="31" t="e">
        <f>'[4]#REF'!I4534</f>
        <v>#REF!</v>
      </c>
      <c r="I4534" s="32" t="e">
        <f t="shared" si="101"/>
        <v>#REF!</v>
      </c>
    </row>
    <row r="4535" ht="15.75" spans="6:9">
      <c r="F4535" s="12" t="e">
        <f>'[4]#REF'!F4535</f>
        <v>#REF!</v>
      </c>
      <c r="G4535" s="12" t="e">
        <f>'[4]#REF'!G4535</f>
        <v>#REF!</v>
      </c>
      <c r="H4535" s="31" t="e">
        <f>'[4]#REF'!I4535</f>
        <v>#REF!</v>
      </c>
      <c r="I4535" s="32" t="e">
        <f t="shared" si="101"/>
        <v>#REF!</v>
      </c>
    </row>
    <row r="4536" ht="15.75" spans="6:9">
      <c r="F4536" s="12" t="e">
        <f>'[4]#REF'!F4536</f>
        <v>#REF!</v>
      </c>
      <c r="G4536" s="12" t="e">
        <f>'[4]#REF'!G4536</f>
        <v>#REF!</v>
      </c>
      <c r="H4536" s="31" t="e">
        <f>'[4]#REF'!I4536</f>
        <v>#REF!</v>
      </c>
      <c r="I4536" s="32" t="e">
        <f t="shared" si="101"/>
        <v>#REF!</v>
      </c>
    </row>
    <row r="4537" ht="15.75" spans="6:9">
      <c r="F4537" s="12" t="e">
        <f>'[4]#REF'!F4537</f>
        <v>#REF!</v>
      </c>
      <c r="G4537" s="12" t="e">
        <f>'[4]#REF'!G4537</f>
        <v>#REF!</v>
      </c>
      <c r="H4537" s="31" t="e">
        <f>'[4]#REF'!I4537</f>
        <v>#REF!</v>
      </c>
      <c r="I4537" s="32" t="e">
        <f t="shared" si="101"/>
        <v>#REF!</v>
      </c>
    </row>
    <row r="4538" ht="15.75" spans="6:9">
      <c r="F4538" s="12" t="e">
        <f>'[4]#REF'!F4538</f>
        <v>#REF!</v>
      </c>
      <c r="G4538" s="12" t="e">
        <f>'[4]#REF'!G4538</f>
        <v>#REF!</v>
      </c>
      <c r="H4538" s="31" t="e">
        <f>'[4]#REF'!I4538</f>
        <v>#REF!</v>
      </c>
      <c r="I4538" s="32" t="e">
        <f t="shared" si="101"/>
        <v>#REF!</v>
      </c>
    </row>
    <row r="4539" ht="15.75" spans="6:9">
      <c r="F4539" s="12" t="e">
        <f>'[4]#REF'!F4539</f>
        <v>#REF!</v>
      </c>
      <c r="G4539" s="12" t="e">
        <f>'[4]#REF'!G4539</f>
        <v>#REF!</v>
      </c>
      <c r="H4539" s="31" t="e">
        <f>'[4]#REF'!I4539</f>
        <v>#REF!</v>
      </c>
      <c r="I4539" s="32" t="e">
        <f t="shared" si="101"/>
        <v>#REF!</v>
      </c>
    </row>
    <row r="4540" ht="15.75" spans="6:9">
      <c r="F4540" s="12" t="e">
        <f>'[4]#REF'!F4540</f>
        <v>#REF!</v>
      </c>
      <c r="G4540" s="12" t="e">
        <f>'[4]#REF'!G4540</f>
        <v>#REF!</v>
      </c>
      <c r="H4540" s="31" t="e">
        <f>'[4]#REF'!I4540</f>
        <v>#REF!</v>
      </c>
      <c r="I4540" s="32" t="e">
        <f t="shared" si="101"/>
        <v>#REF!</v>
      </c>
    </row>
    <row r="4541" ht="15.75" spans="6:9">
      <c r="F4541" s="12" t="e">
        <f>'[4]#REF'!F4541</f>
        <v>#REF!</v>
      </c>
      <c r="G4541" s="12" t="e">
        <f>'[4]#REF'!G4541</f>
        <v>#REF!</v>
      </c>
      <c r="H4541" s="31" t="e">
        <f>'[4]#REF'!I4541</f>
        <v>#REF!</v>
      </c>
      <c r="I4541" s="32" t="e">
        <f t="shared" si="101"/>
        <v>#REF!</v>
      </c>
    </row>
    <row r="4542" ht="15.75" spans="6:9">
      <c r="F4542" s="12" t="e">
        <f>'[4]#REF'!F4542</f>
        <v>#REF!</v>
      </c>
      <c r="G4542" s="12" t="e">
        <f>'[4]#REF'!G4542</f>
        <v>#REF!</v>
      </c>
      <c r="H4542" s="31" t="e">
        <f>'[4]#REF'!I4542</f>
        <v>#REF!</v>
      </c>
      <c r="I4542" s="32" t="e">
        <f t="shared" si="101"/>
        <v>#REF!</v>
      </c>
    </row>
    <row r="4543" ht="15.75" spans="6:9">
      <c r="F4543" s="12" t="e">
        <f>'[4]#REF'!F4543</f>
        <v>#REF!</v>
      </c>
      <c r="G4543" s="12" t="e">
        <f>'[4]#REF'!G4543</f>
        <v>#REF!</v>
      </c>
      <c r="H4543" s="31" t="e">
        <f>'[4]#REF'!I4543</f>
        <v>#REF!</v>
      </c>
      <c r="I4543" s="32" t="e">
        <f t="shared" si="101"/>
        <v>#REF!</v>
      </c>
    </row>
    <row r="4544" ht="15.75" spans="6:9">
      <c r="F4544" s="12" t="e">
        <f>'[4]#REF'!F4544</f>
        <v>#REF!</v>
      </c>
      <c r="G4544" s="12" t="e">
        <f>'[4]#REF'!G4544</f>
        <v>#REF!</v>
      </c>
      <c r="H4544" s="31" t="e">
        <f>'[4]#REF'!I4544</f>
        <v>#REF!</v>
      </c>
      <c r="I4544" s="32" t="e">
        <f t="shared" si="101"/>
        <v>#REF!</v>
      </c>
    </row>
    <row r="4545" ht="15.75" spans="6:9">
      <c r="F4545" s="12" t="e">
        <f>'[4]#REF'!F4545</f>
        <v>#REF!</v>
      </c>
      <c r="G4545" s="12" t="e">
        <f>'[4]#REF'!G4545</f>
        <v>#REF!</v>
      </c>
      <c r="H4545" s="31" t="e">
        <f>'[4]#REF'!I4545</f>
        <v>#REF!</v>
      </c>
      <c r="I4545" s="32" t="e">
        <f t="shared" si="101"/>
        <v>#REF!</v>
      </c>
    </row>
    <row r="4546" ht="15.75" spans="6:9">
      <c r="F4546" s="12" t="e">
        <f>'[4]#REF'!F4546</f>
        <v>#REF!</v>
      </c>
      <c r="G4546" s="12" t="e">
        <f>'[4]#REF'!G4546</f>
        <v>#REF!</v>
      </c>
      <c r="H4546" s="31" t="e">
        <f>'[4]#REF'!I4546</f>
        <v>#REF!</v>
      </c>
      <c r="I4546" s="32" t="e">
        <f t="shared" si="101"/>
        <v>#REF!</v>
      </c>
    </row>
    <row r="4547" ht="15.75" spans="6:9">
      <c r="F4547" s="12" t="e">
        <f>'[4]#REF'!F4547</f>
        <v>#REF!</v>
      </c>
      <c r="G4547" s="12" t="e">
        <f>'[4]#REF'!G4547</f>
        <v>#REF!</v>
      </c>
      <c r="H4547" s="31" t="e">
        <f>'[4]#REF'!I4547</f>
        <v>#REF!</v>
      </c>
      <c r="I4547" s="32" t="e">
        <f t="shared" si="101"/>
        <v>#REF!</v>
      </c>
    </row>
    <row r="4548" ht="15.75" spans="6:9">
      <c r="F4548" s="12" t="e">
        <f>'[4]#REF'!F4548</f>
        <v>#REF!</v>
      </c>
      <c r="G4548" s="12" t="e">
        <f>'[4]#REF'!G4548</f>
        <v>#REF!</v>
      </c>
      <c r="H4548" s="31" t="e">
        <f>'[4]#REF'!I4548</f>
        <v>#REF!</v>
      </c>
      <c r="I4548" s="32" t="e">
        <f t="shared" si="101"/>
        <v>#REF!</v>
      </c>
    </row>
    <row r="4549" ht="15.75" spans="6:9">
      <c r="F4549" s="12" t="e">
        <f>'[4]#REF'!F4549</f>
        <v>#REF!</v>
      </c>
      <c r="G4549" s="12" t="e">
        <f>'[4]#REF'!G4549</f>
        <v>#REF!</v>
      </c>
      <c r="H4549" s="31" t="e">
        <f>'[4]#REF'!I4549</f>
        <v>#REF!</v>
      </c>
      <c r="I4549" s="32" t="e">
        <f t="shared" si="101"/>
        <v>#REF!</v>
      </c>
    </row>
    <row r="4550" ht="15.75" spans="6:9">
      <c r="F4550" s="12" t="e">
        <f>'[4]#REF'!F4550</f>
        <v>#REF!</v>
      </c>
      <c r="G4550" s="12" t="e">
        <f>'[4]#REF'!G4550</f>
        <v>#REF!</v>
      </c>
      <c r="H4550" s="31" t="e">
        <f>'[4]#REF'!I4550</f>
        <v>#REF!</v>
      </c>
      <c r="I4550" s="32" t="e">
        <f t="shared" ref="I4550:I4613" si="102">ROUND(H4550/$I$4*100,2)</f>
        <v>#REF!</v>
      </c>
    </row>
    <row r="4551" ht="15.75" spans="6:9">
      <c r="F4551" s="12" t="e">
        <f>'[4]#REF'!F4551</f>
        <v>#REF!</v>
      </c>
      <c r="G4551" s="12" t="e">
        <f>'[4]#REF'!G4551</f>
        <v>#REF!</v>
      </c>
      <c r="H4551" s="31" t="e">
        <f>'[4]#REF'!I4551</f>
        <v>#REF!</v>
      </c>
      <c r="I4551" s="32" t="e">
        <f t="shared" si="102"/>
        <v>#REF!</v>
      </c>
    </row>
    <row r="4552" ht="15.75" spans="6:9">
      <c r="F4552" s="12" t="e">
        <f>'[4]#REF'!F4552</f>
        <v>#REF!</v>
      </c>
      <c r="G4552" s="12" t="e">
        <f>'[4]#REF'!G4552</f>
        <v>#REF!</v>
      </c>
      <c r="H4552" s="31" t="e">
        <f>'[4]#REF'!I4552</f>
        <v>#REF!</v>
      </c>
      <c r="I4552" s="32" t="e">
        <f t="shared" si="102"/>
        <v>#REF!</v>
      </c>
    </row>
    <row r="4553" ht="15.75" spans="6:9">
      <c r="F4553" s="12" t="e">
        <f>'[4]#REF'!F4553</f>
        <v>#REF!</v>
      </c>
      <c r="G4553" s="12" t="e">
        <f>'[4]#REF'!G4553</f>
        <v>#REF!</v>
      </c>
      <c r="H4553" s="31" t="e">
        <f>'[4]#REF'!I4553</f>
        <v>#REF!</v>
      </c>
      <c r="I4553" s="32" t="e">
        <f t="shared" si="102"/>
        <v>#REF!</v>
      </c>
    </row>
    <row r="4554" ht="15.75" spans="6:9">
      <c r="F4554" s="12" t="e">
        <f>'[4]#REF'!F4554</f>
        <v>#REF!</v>
      </c>
      <c r="G4554" s="12" t="e">
        <f>'[4]#REF'!G4554</f>
        <v>#REF!</v>
      </c>
      <c r="H4554" s="31" t="e">
        <f>'[4]#REF'!I4554</f>
        <v>#REF!</v>
      </c>
      <c r="I4554" s="32" t="e">
        <f t="shared" si="102"/>
        <v>#REF!</v>
      </c>
    </row>
    <row r="4555" ht="15.75" spans="6:9">
      <c r="F4555" s="12" t="e">
        <f>'[4]#REF'!F4555</f>
        <v>#REF!</v>
      </c>
      <c r="G4555" s="12" t="e">
        <f>'[4]#REF'!G4555</f>
        <v>#REF!</v>
      </c>
      <c r="H4555" s="31" t="e">
        <f>'[4]#REF'!I4555</f>
        <v>#REF!</v>
      </c>
      <c r="I4555" s="32" t="e">
        <f t="shared" si="102"/>
        <v>#REF!</v>
      </c>
    </row>
    <row r="4556" ht="15.75" spans="6:9">
      <c r="F4556" s="12" t="e">
        <f>'[4]#REF'!F4556</f>
        <v>#REF!</v>
      </c>
      <c r="G4556" s="12" t="e">
        <f>'[4]#REF'!G4556</f>
        <v>#REF!</v>
      </c>
      <c r="H4556" s="31" t="e">
        <f>'[4]#REF'!I4556</f>
        <v>#REF!</v>
      </c>
      <c r="I4556" s="32" t="e">
        <f t="shared" si="102"/>
        <v>#REF!</v>
      </c>
    </row>
    <row r="4557" ht="15.75" spans="6:9">
      <c r="F4557" s="12" t="e">
        <f>'[4]#REF'!F4557</f>
        <v>#REF!</v>
      </c>
      <c r="G4557" s="12" t="e">
        <f>'[4]#REF'!G4557</f>
        <v>#REF!</v>
      </c>
      <c r="H4557" s="31" t="e">
        <f>'[4]#REF'!I4557</f>
        <v>#REF!</v>
      </c>
      <c r="I4557" s="32" t="e">
        <f t="shared" si="102"/>
        <v>#REF!</v>
      </c>
    </row>
    <row r="4558" ht="15.75" spans="6:9">
      <c r="F4558" s="12" t="e">
        <f>'[4]#REF'!F4558</f>
        <v>#REF!</v>
      </c>
      <c r="G4558" s="12" t="e">
        <f>'[4]#REF'!G4558</f>
        <v>#REF!</v>
      </c>
      <c r="H4558" s="31" t="e">
        <f>'[4]#REF'!I4558</f>
        <v>#REF!</v>
      </c>
      <c r="I4558" s="32" t="e">
        <f t="shared" si="102"/>
        <v>#REF!</v>
      </c>
    </row>
    <row r="4559" ht="15.75" spans="6:9">
      <c r="F4559" s="12" t="e">
        <f>'[4]#REF'!F4559</f>
        <v>#REF!</v>
      </c>
      <c r="G4559" s="12" t="e">
        <f>'[4]#REF'!G4559</f>
        <v>#REF!</v>
      </c>
      <c r="H4559" s="31" t="e">
        <f>'[4]#REF'!I4559</f>
        <v>#REF!</v>
      </c>
      <c r="I4559" s="32" t="e">
        <f t="shared" si="102"/>
        <v>#REF!</v>
      </c>
    </row>
    <row r="4560" ht="15.75" spans="6:9">
      <c r="F4560" s="12" t="e">
        <f>'[4]#REF'!F4560</f>
        <v>#REF!</v>
      </c>
      <c r="G4560" s="12" t="e">
        <f>'[4]#REF'!G4560</f>
        <v>#REF!</v>
      </c>
      <c r="H4560" s="31" t="e">
        <f>'[4]#REF'!I4560</f>
        <v>#REF!</v>
      </c>
      <c r="I4560" s="32" t="e">
        <f t="shared" si="102"/>
        <v>#REF!</v>
      </c>
    </row>
    <row r="4561" ht="15.75" spans="6:9">
      <c r="F4561" s="12" t="e">
        <f>'[4]#REF'!F4561</f>
        <v>#REF!</v>
      </c>
      <c r="G4561" s="12" t="e">
        <f>'[4]#REF'!G4561</f>
        <v>#REF!</v>
      </c>
      <c r="H4561" s="31" t="e">
        <f>'[4]#REF'!I4561</f>
        <v>#REF!</v>
      </c>
      <c r="I4561" s="32" t="e">
        <f t="shared" si="102"/>
        <v>#REF!</v>
      </c>
    </row>
    <row r="4562" ht="15.75" spans="6:9">
      <c r="F4562" s="12" t="e">
        <f>'[4]#REF'!F4562</f>
        <v>#REF!</v>
      </c>
      <c r="G4562" s="12" t="e">
        <f>'[4]#REF'!G4562</f>
        <v>#REF!</v>
      </c>
      <c r="H4562" s="31" t="e">
        <f>'[4]#REF'!I4562</f>
        <v>#REF!</v>
      </c>
      <c r="I4562" s="32" t="e">
        <f t="shared" si="102"/>
        <v>#REF!</v>
      </c>
    </row>
    <row r="4563" ht="15.75" spans="6:9">
      <c r="F4563" s="12" t="e">
        <f>'[4]#REF'!F4563</f>
        <v>#REF!</v>
      </c>
      <c r="G4563" s="12" t="e">
        <f>'[4]#REF'!G4563</f>
        <v>#REF!</v>
      </c>
      <c r="H4563" s="31" t="e">
        <f>'[4]#REF'!I4563</f>
        <v>#REF!</v>
      </c>
      <c r="I4563" s="32" t="e">
        <f t="shared" si="102"/>
        <v>#REF!</v>
      </c>
    </row>
    <row r="4564" ht="15.75" spans="6:9">
      <c r="F4564" s="12" t="e">
        <f>'[4]#REF'!F4564</f>
        <v>#REF!</v>
      </c>
      <c r="G4564" s="12" t="e">
        <f>'[4]#REF'!G4564</f>
        <v>#REF!</v>
      </c>
      <c r="H4564" s="31" t="e">
        <f>'[4]#REF'!I4564</f>
        <v>#REF!</v>
      </c>
      <c r="I4564" s="32" t="e">
        <f t="shared" si="102"/>
        <v>#REF!</v>
      </c>
    </row>
    <row r="4565" ht="15.75" spans="6:9">
      <c r="F4565" s="12" t="e">
        <f>'[4]#REF'!F4565</f>
        <v>#REF!</v>
      </c>
      <c r="G4565" s="12" t="e">
        <f>'[4]#REF'!G4565</f>
        <v>#REF!</v>
      </c>
      <c r="H4565" s="31" t="e">
        <f>'[4]#REF'!I4565</f>
        <v>#REF!</v>
      </c>
      <c r="I4565" s="32" t="e">
        <f t="shared" si="102"/>
        <v>#REF!</v>
      </c>
    </row>
    <row r="4566" ht="15.75" spans="6:9">
      <c r="F4566" s="12" t="e">
        <f>'[4]#REF'!F4566</f>
        <v>#REF!</v>
      </c>
      <c r="G4566" s="12" t="e">
        <f>'[4]#REF'!G4566</f>
        <v>#REF!</v>
      </c>
      <c r="H4566" s="31" t="e">
        <f>'[4]#REF'!I4566</f>
        <v>#REF!</v>
      </c>
      <c r="I4566" s="32" t="e">
        <f t="shared" si="102"/>
        <v>#REF!</v>
      </c>
    </row>
    <row r="4567" ht="15.75" spans="6:9">
      <c r="F4567" s="12" t="e">
        <f>'[4]#REF'!F4567</f>
        <v>#REF!</v>
      </c>
      <c r="G4567" s="12" t="e">
        <f>'[4]#REF'!G4567</f>
        <v>#REF!</v>
      </c>
      <c r="H4567" s="31" t="e">
        <f>'[4]#REF'!I4567</f>
        <v>#REF!</v>
      </c>
      <c r="I4567" s="32" t="e">
        <f t="shared" si="102"/>
        <v>#REF!</v>
      </c>
    </row>
    <row r="4568" ht="15.75" spans="6:9">
      <c r="F4568" s="12" t="e">
        <f>'[4]#REF'!F4568</f>
        <v>#REF!</v>
      </c>
      <c r="G4568" s="12" t="e">
        <f>'[4]#REF'!G4568</f>
        <v>#REF!</v>
      </c>
      <c r="H4568" s="31" t="e">
        <f>'[4]#REF'!I4568</f>
        <v>#REF!</v>
      </c>
      <c r="I4568" s="32" t="e">
        <f t="shared" si="102"/>
        <v>#REF!</v>
      </c>
    </row>
    <row r="4569" ht="15.75" spans="6:9">
      <c r="F4569" s="12" t="e">
        <f>'[4]#REF'!F4569</f>
        <v>#REF!</v>
      </c>
      <c r="G4569" s="12" t="e">
        <f>'[4]#REF'!G4569</f>
        <v>#REF!</v>
      </c>
      <c r="H4569" s="31" t="e">
        <f>'[4]#REF'!I4569</f>
        <v>#REF!</v>
      </c>
      <c r="I4569" s="32" t="e">
        <f t="shared" si="102"/>
        <v>#REF!</v>
      </c>
    </row>
    <row r="4570" ht="15.75" spans="6:9">
      <c r="F4570" s="12" t="e">
        <f>'[4]#REF'!F4570</f>
        <v>#REF!</v>
      </c>
      <c r="G4570" s="12" t="e">
        <f>'[4]#REF'!G4570</f>
        <v>#REF!</v>
      </c>
      <c r="H4570" s="31" t="e">
        <f>'[4]#REF'!I4570</f>
        <v>#REF!</v>
      </c>
      <c r="I4570" s="32" t="e">
        <f t="shared" si="102"/>
        <v>#REF!</v>
      </c>
    </row>
    <row r="4571" ht="15.75" spans="6:9">
      <c r="F4571" s="12" t="e">
        <f>'[4]#REF'!F4571</f>
        <v>#REF!</v>
      </c>
      <c r="G4571" s="12" t="e">
        <f>'[4]#REF'!G4571</f>
        <v>#REF!</v>
      </c>
      <c r="H4571" s="31" t="e">
        <f>'[4]#REF'!I4571</f>
        <v>#REF!</v>
      </c>
      <c r="I4571" s="32" t="e">
        <f t="shared" si="102"/>
        <v>#REF!</v>
      </c>
    </row>
    <row r="4572" ht="15.75" spans="6:9">
      <c r="F4572" s="12" t="e">
        <f>'[4]#REF'!F4572</f>
        <v>#REF!</v>
      </c>
      <c r="G4572" s="12" t="e">
        <f>'[4]#REF'!G4572</f>
        <v>#REF!</v>
      </c>
      <c r="H4572" s="31" t="e">
        <f>'[4]#REF'!I4572</f>
        <v>#REF!</v>
      </c>
      <c r="I4572" s="32" t="e">
        <f t="shared" si="102"/>
        <v>#REF!</v>
      </c>
    </row>
    <row r="4573" ht="15.75" spans="6:9">
      <c r="F4573" s="12" t="e">
        <f>'[4]#REF'!F4573</f>
        <v>#REF!</v>
      </c>
      <c r="G4573" s="12" t="e">
        <f>'[4]#REF'!G4573</f>
        <v>#REF!</v>
      </c>
      <c r="H4573" s="31" t="e">
        <f>'[4]#REF'!I4573</f>
        <v>#REF!</v>
      </c>
      <c r="I4573" s="32" t="e">
        <f t="shared" si="102"/>
        <v>#REF!</v>
      </c>
    </row>
    <row r="4574" ht="15.75" spans="6:9">
      <c r="F4574" s="12" t="e">
        <f>'[4]#REF'!F4574</f>
        <v>#REF!</v>
      </c>
      <c r="G4574" s="12" t="e">
        <f>'[4]#REF'!G4574</f>
        <v>#REF!</v>
      </c>
      <c r="H4574" s="31" t="e">
        <f>'[4]#REF'!I4574</f>
        <v>#REF!</v>
      </c>
      <c r="I4574" s="32" t="e">
        <f t="shared" si="102"/>
        <v>#REF!</v>
      </c>
    </row>
    <row r="4575" ht="15.75" spans="6:9">
      <c r="F4575" s="12" t="e">
        <f>'[4]#REF'!F4575</f>
        <v>#REF!</v>
      </c>
      <c r="G4575" s="12" t="e">
        <f>'[4]#REF'!G4575</f>
        <v>#REF!</v>
      </c>
      <c r="H4575" s="31" t="e">
        <f>'[4]#REF'!I4575</f>
        <v>#REF!</v>
      </c>
      <c r="I4575" s="32" t="e">
        <f t="shared" si="102"/>
        <v>#REF!</v>
      </c>
    </row>
    <row r="4576" ht="15.75" spans="6:9">
      <c r="F4576" s="12" t="e">
        <f>'[4]#REF'!F4576</f>
        <v>#REF!</v>
      </c>
      <c r="G4576" s="12" t="e">
        <f>'[4]#REF'!G4576</f>
        <v>#REF!</v>
      </c>
      <c r="H4576" s="31" t="e">
        <f>'[4]#REF'!I4576</f>
        <v>#REF!</v>
      </c>
      <c r="I4576" s="32" t="e">
        <f t="shared" si="102"/>
        <v>#REF!</v>
      </c>
    </row>
    <row r="4577" ht="15.75" spans="6:9">
      <c r="F4577" s="12" t="e">
        <f>'[4]#REF'!F4577</f>
        <v>#REF!</v>
      </c>
      <c r="G4577" s="12" t="e">
        <f>'[4]#REF'!G4577</f>
        <v>#REF!</v>
      </c>
      <c r="H4577" s="31" t="e">
        <f>'[4]#REF'!I4577</f>
        <v>#REF!</v>
      </c>
      <c r="I4577" s="32" t="e">
        <f t="shared" si="102"/>
        <v>#REF!</v>
      </c>
    </row>
    <row r="4578" ht="15.75" spans="6:9">
      <c r="F4578" s="12" t="e">
        <f>'[4]#REF'!F4578</f>
        <v>#REF!</v>
      </c>
      <c r="G4578" s="12" t="e">
        <f>'[4]#REF'!G4578</f>
        <v>#REF!</v>
      </c>
      <c r="H4578" s="31" t="e">
        <f>'[4]#REF'!I4578</f>
        <v>#REF!</v>
      </c>
      <c r="I4578" s="32" t="e">
        <f t="shared" si="102"/>
        <v>#REF!</v>
      </c>
    </row>
    <row r="4579" ht="15.75" spans="6:9">
      <c r="F4579" s="12" t="e">
        <f>'[4]#REF'!F4579</f>
        <v>#REF!</v>
      </c>
      <c r="G4579" s="12" t="e">
        <f>'[4]#REF'!G4579</f>
        <v>#REF!</v>
      </c>
      <c r="H4579" s="31" t="e">
        <f>'[4]#REF'!I4579</f>
        <v>#REF!</v>
      </c>
      <c r="I4579" s="32" t="e">
        <f t="shared" si="102"/>
        <v>#REF!</v>
      </c>
    </row>
    <row r="4580" ht="15.75" spans="6:9">
      <c r="F4580" s="12" t="e">
        <f>'[4]#REF'!F4580</f>
        <v>#REF!</v>
      </c>
      <c r="G4580" s="12" t="e">
        <f>'[4]#REF'!G4580</f>
        <v>#REF!</v>
      </c>
      <c r="H4580" s="31" t="e">
        <f>'[4]#REF'!I4580</f>
        <v>#REF!</v>
      </c>
      <c r="I4580" s="32" t="e">
        <f t="shared" si="102"/>
        <v>#REF!</v>
      </c>
    </row>
    <row r="4581" ht="15.75" spans="6:9">
      <c r="F4581" s="12" t="e">
        <f>'[4]#REF'!F4581</f>
        <v>#REF!</v>
      </c>
      <c r="G4581" s="12" t="e">
        <f>'[4]#REF'!G4581</f>
        <v>#REF!</v>
      </c>
      <c r="H4581" s="31" t="e">
        <f>'[4]#REF'!I4581</f>
        <v>#REF!</v>
      </c>
      <c r="I4581" s="32" t="e">
        <f t="shared" si="102"/>
        <v>#REF!</v>
      </c>
    </row>
    <row r="4582" ht="15.75" spans="6:9">
      <c r="F4582" s="12" t="e">
        <f>'[4]#REF'!F4582</f>
        <v>#REF!</v>
      </c>
      <c r="G4582" s="12" t="e">
        <f>'[4]#REF'!G4582</f>
        <v>#REF!</v>
      </c>
      <c r="H4582" s="31" t="e">
        <f>'[4]#REF'!I4582</f>
        <v>#REF!</v>
      </c>
      <c r="I4582" s="32" t="e">
        <f t="shared" si="102"/>
        <v>#REF!</v>
      </c>
    </row>
    <row r="4583" ht="15.75" spans="6:9">
      <c r="F4583" s="12" t="e">
        <f>'[4]#REF'!F4583</f>
        <v>#REF!</v>
      </c>
      <c r="G4583" s="12" t="e">
        <f>'[4]#REF'!G4583</f>
        <v>#REF!</v>
      </c>
      <c r="H4583" s="31" t="e">
        <f>'[4]#REF'!I4583</f>
        <v>#REF!</v>
      </c>
      <c r="I4583" s="32" t="e">
        <f t="shared" si="102"/>
        <v>#REF!</v>
      </c>
    </row>
    <row r="4584" ht="15.75" spans="6:9">
      <c r="F4584" s="12" t="e">
        <f>'[4]#REF'!F4584</f>
        <v>#REF!</v>
      </c>
      <c r="G4584" s="12" t="e">
        <f>'[4]#REF'!G4584</f>
        <v>#REF!</v>
      </c>
      <c r="H4584" s="31" t="e">
        <f>'[4]#REF'!I4584</f>
        <v>#REF!</v>
      </c>
      <c r="I4584" s="32" t="e">
        <f t="shared" si="102"/>
        <v>#REF!</v>
      </c>
    </row>
    <row r="4585" ht="15.75" spans="6:9">
      <c r="F4585" s="12" t="e">
        <f>'[4]#REF'!F4585</f>
        <v>#REF!</v>
      </c>
      <c r="G4585" s="12" t="e">
        <f>'[4]#REF'!G4585</f>
        <v>#REF!</v>
      </c>
      <c r="H4585" s="31" t="e">
        <f>'[4]#REF'!I4585</f>
        <v>#REF!</v>
      </c>
      <c r="I4585" s="32" t="e">
        <f t="shared" si="102"/>
        <v>#REF!</v>
      </c>
    </row>
    <row r="4586" ht="15.75" spans="6:9">
      <c r="F4586" s="12" t="e">
        <f>'[4]#REF'!F4586</f>
        <v>#REF!</v>
      </c>
      <c r="G4586" s="12" t="e">
        <f>'[4]#REF'!G4586</f>
        <v>#REF!</v>
      </c>
      <c r="H4586" s="31" t="e">
        <f>'[4]#REF'!I4586</f>
        <v>#REF!</v>
      </c>
      <c r="I4586" s="32" t="e">
        <f t="shared" si="102"/>
        <v>#REF!</v>
      </c>
    </row>
    <row r="4587" ht="15.75" spans="6:9">
      <c r="F4587" s="12" t="e">
        <f>'[4]#REF'!F4587</f>
        <v>#REF!</v>
      </c>
      <c r="G4587" s="12" t="e">
        <f>'[4]#REF'!G4587</f>
        <v>#REF!</v>
      </c>
      <c r="H4587" s="31" t="e">
        <f>'[4]#REF'!I4587</f>
        <v>#REF!</v>
      </c>
      <c r="I4587" s="32" t="e">
        <f t="shared" si="102"/>
        <v>#REF!</v>
      </c>
    </row>
    <row r="4588" ht="15.75" spans="6:9">
      <c r="F4588" s="12" t="e">
        <f>'[4]#REF'!F4588</f>
        <v>#REF!</v>
      </c>
      <c r="G4588" s="12" t="e">
        <f>'[4]#REF'!G4588</f>
        <v>#REF!</v>
      </c>
      <c r="H4588" s="31" t="e">
        <f>'[4]#REF'!I4588</f>
        <v>#REF!</v>
      </c>
      <c r="I4588" s="32" t="e">
        <f t="shared" si="102"/>
        <v>#REF!</v>
      </c>
    </row>
    <row r="4589" ht="15.75" spans="6:9">
      <c r="F4589" s="12" t="e">
        <f>'[4]#REF'!F4589</f>
        <v>#REF!</v>
      </c>
      <c r="G4589" s="12" t="e">
        <f>'[4]#REF'!G4589</f>
        <v>#REF!</v>
      </c>
      <c r="H4589" s="31" t="e">
        <f>'[4]#REF'!I4589</f>
        <v>#REF!</v>
      </c>
      <c r="I4589" s="32" t="e">
        <f t="shared" si="102"/>
        <v>#REF!</v>
      </c>
    </row>
    <row r="4590" ht="15.75" spans="6:9">
      <c r="F4590" s="12" t="e">
        <f>'[4]#REF'!F4590</f>
        <v>#REF!</v>
      </c>
      <c r="G4590" s="12" t="e">
        <f>'[4]#REF'!G4590</f>
        <v>#REF!</v>
      </c>
      <c r="H4590" s="31" t="e">
        <f>'[4]#REF'!I4590</f>
        <v>#REF!</v>
      </c>
      <c r="I4590" s="32" t="e">
        <f t="shared" si="102"/>
        <v>#REF!</v>
      </c>
    </row>
    <row r="4591" ht="15.75" spans="6:9">
      <c r="F4591" s="12" t="e">
        <f>'[4]#REF'!F4591</f>
        <v>#REF!</v>
      </c>
      <c r="G4591" s="12" t="e">
        <f>'[4]#REF'!G4591</f>
        <v>#REF!</v>
      </c>
      <c r="H4591" s="31" t="e">
        <f>'[4]#REF'!I4591</f>
        <v>#REF!</v>
      </c>
      <c r="I4591" s="32" t="e">
        <f t="shared" si="102"/>
        <v>#REF!</v>
      </c>
    </row>
    <row r="4592" ht="15.75" spans="6:9">
      <c r="F4592" s="12" t="e">
        <f>'[4]#REF'!F4592</f>
        <v>#REF!</v>
      </c>
      <c r="G4592" s="12" t="e">
        <f>'[4]#REF'!G4592</f>
        <v>#REF!</v>
      </c>
      <c r="H4592" s="31" t="e">
        <f>'[4]#REF'!I4592</f>
        <v>#REF!</v>
      </c>
      <c r="I4592" s="32" t="e">
        <f t="shared" si="102"/>
        <v>#REF!</v>
      </c>
    </row>
    <row r="4593" ht="15.75" spans="6:9">
      <c r="F4593" s="12" t="e">
        <f>'[4]#REF'!F4593</f>
        <v>#REF!</v>
      </c>
      <c r="G4593" s="12" t="e">
        <f>'[4]#REF'!G4593</f>
        <v>#REF!</v>
      </c>
      <c r="H4593" s="31" t="e">
        <f>'[4]#REF'!I4593</f>
        <v>#REF!</v>
      </c>
      <c r="I4593" s="32" t="e">
        <f t="shared" si="102"/>
        <v>#REF!</v>
      </c>
    </row>
    <row r="4594" ht="15.75" spans="6:9">
      <c r="F4594" s="12" t="e">
        <f>'[4]#REF'!F4594</f>
        <v>#REF!</v>
      </c>
      <c r="G4594" s="12" t="e">
        <f>'[4]#REF'!G4594</f>
        <v>#REF!</v>
      </c>
      <c r="H4594" s="31" t="e">
        <f>'[4]#REF'!I4594</f>
        <v>#REF!</v>
      </c>
      <c r="I4594" s="32" t="e">
        <f t="shared" si="102"/>
        <v>#REF!</v>
      </c>
    </row>
    <row r="4595" ht="15.75" spans="6:9">
      <c r="F4595" s="12" t="e">
        <f>'[4]#REF'!F4595</f>
        <v>#REF!</v>
      </c>
      <c r="G4595" s="12" t="e">
        <f>'[4]#REF'!G4595</f>
        <v>#REF!</v>
      </c>
      <c r="H4595" s="31" t="e">
        <f>'[4]#REF'!I4595</f>
        <v>#REF!</v>
      </c>
      <c r="I4595" s="32" t="e">
        <f t="shared" si="102"/>
        <v>#REF!</v>
      </c>
    </row>
    <row r="4596" ht="15.75" spans="6:9">
      <c r="F4596" s="12" t="e">
        <f>'[4]#REF'!F4596</f>
        <v>#REF!</v>
      </c>
      <c r="G4596" s="12" t="e">
        <f>'[4]#REF'!G4596</f>
        <v>#REF!</v>
      </c>
      <c r="H4596" s="31" t="e">
        <f>'[4]#REF'!I4596</f>
        <v>#REF!</v>
      </c>
      <c r="I4596" s="32" t="e">
        <f t="shared" si="102"/>
        <v>#REF!</v>
      </c>
    </row>
    <row r="4597" ht="15.75" spans="6:9">
      <c r="F4597" s="12" t="e">
        <f>'[4]#REF'!F4597</f>
        <v>#REF!</v>
      </c>
      <c r="G4597" s="12" t="e">
        <f>'[4]#REF'!G4597</f>
        <v>#REF!</v>
      </c>
      <c r="H4597" s="31" t="e">
        <f>'[4]#REF'!I4597</f>
        <v>#REF!</v>
      </c>
      <c r="I4597" s="32" t="e">
        <f t="shared" si="102"/>
        <v>#REF!</v>
      </c>
    </row>
    <row r="4598" ht="15.75" spans="6:9">
      <c r="F4598" s="12" t="e">
        <f>'[4]#REF'!F4598</f>
        <v>#REF!</v>
      </c>
      <c r="G4598" s="12" t="e">
        <f>'[4]#REF'!G4598</f>
        <v>#REF!</v>
      </c>
      <c r="H4598" s="31" t="e">
        <f>'[4]#REF'!I4598</f>
        <v>#REF!</v>
      </c>
      <c r="I4598" s="32" t="e">
        <f t="shared" si="102"/>
        <v>#REF!</v>
      </c>
    </row>
    <row r="4599" ht="15.75" spans="6:9">
      <c r="F4599" s="12" t="e">
        <f>'[4]#REF'!F4599</f>
        <v>#REF!</v>
      </c>
      <c r="G4599" s="12" t="e">
        <f>'[4]#REF'!G4599</f>
        <v>#REF!</v>
      </c>
      <c r="H4599" s="31" t="e">
        <f>'[4]#REF'!I4599</f>
        <v>#REF!</v>
      </c>
      <c r="I4599" s="32" t="e">
        <f t="shared" si="102"/>
        <v>#REF!</v>
      </c>
    </row>
    <row r="4600" ht="15.75" spans="6:9">
      <c r="F4600" s="12" t="e">
        <f>'[4]#REF'!F4600</f>
        <v>#REF!</v>
      </c>
      <c r="G4600" s="12" t="e">
        <f>'[4]#REF'!G4600</f>
        <v>#REF!</v>
      </c>
      <c r="H4600" s="31" t="e">
        <f>'[4]#REF'!I4600</f>
        <v>#REF!</v>
      </c>
      <c r="I4600" s="32" t="e">
        <f t="shared" si="102"/>
        <v>#REF!</v>
      </c>
    </row>
    <row r="4601" ht="15.75" spans="6:9">
      <c r="F4601" s="12" t="e">
        <f>'[4]#REF'!F4601</f>
        <v>#REF!</v>
      </c>
      <c r="G4601" s="12" t="e">
        <f>'[4]#REF'!G4601</f>
        <v>#REF!</v>
      </c>
      <c r="H4601" s="31" t="e">
        <f>'[4]#REF'!I4601</f>
        <v>#REF!</v>
      </c>
      <c r="I4601" s="32" t="e">
        <f t="shared" si="102"/>
        <v>#REF!</v>
      </c>
    </row>
    <row r="4602" ht="15.75" spans="6:9">
      <c r="F4602" s="12" t="e">
        <f>'[4]#REF'!F4602</f>
        <v>#REF!</v>
      </c>
      <c r="G4602" s="12" t="e">
        <f>'[4]#REF'!G4602</f>
        <v>#REF!</v>
      </c>
      <c r="H4602" s="31" t="e">
        <f>'[4]#REF'!I4602</f>
        <v>#REF!</v>
      </c>
      <c r="I4602" s="32" t="e">
        <f t="shared" si="102"/>
        <v>#REF!</v>
      </c>
    </row>
    <row r="4603" ht="15.75" spans="6:9">
      <c r="F4603" s="12" t="e">
        <f>'[4]#REF'!F4603</f>
        <v>#REF!</v>
      </c>
      <c r="G4603" s="12" t="e">
        <f>'[4]#REF'!G4603</f>
        <v>#REF!</v>
      </c>
      <c r="H4603" s="31" t="e">
        <f>'[4]#REF'!I4603</f>
        <v>#REF!</v>
      </c>
      <c r="I4603" s="32" t="e">
        <f t="shared" si="102"/>
        <v>#REF!</v>
      </c>
    </row>
    <row r="4604" ht="15.75" spans="6:9">
      <c r="F4604" s="12" t="e">
        <f>'[4]#REF'!F4604</f>
        <v>#REF!</v>
      </c>
      <c r="G4604" s="12" t="e">
        <f>'[4]#REF'!G4604</f>
        <v>#REF!</v>
      </c>
      <c r="H4604" s="31" t="e">
        <f>'[4]#REF'!I4604</f>
        <v>#REF!</v>
      </c>
      <c r="I4604" s="32" t="e">
        <f t="shared" si="102"/>
        <v>#REF!</v>
      </c>
    </row>
    <row r="4605" ht="15.75" spans="6:9">
      <c r="F4605" s="12" t="e">
        <f>'[4]#REF'!F4605</f>
        <v>#REF!</v>
      </c>
      <c r="G4605" s="12" t="e">
        <f>'[4]#REF'!G4605</f>
        <v>#REF!</v>
      </c>
      <c r="H4605" s="31" t="e">
        <f>'[4]#REF'!I4605</f>
        <v>#REF!</v>
      </c>
      <c r="I4605" s="32" t="e">
        <f t="shared" si="102"/>
        <v>#REF!</v>
      </c>
    </row>
    <row r="4606" ht="15.75" spans="6:9">
      <c r="F4606" s="12" t="e">
        <f>'[4]#REF'!F4606</f>
        <v>#REF!</v>
      </c>
      <c r="G4606" s="12" t="e">
        <f>'[4]#REF'!G4606</f>
        <v>#REF!</v>
      </c>
      <c r="H4606" s="31" t="e">
        <f>'[4]#REF'!I4606</f>
        <v>#REF!</v>
      </c>
      <c r="I4606" s="32" t="e">
        <f t="shared" si="102"/>
        <v>#REF!</v>
      </c>
    </row>
    <row r="4607" ht="15.75" spans="6:9">
      <c r="F4607" s="12" t="e">
        <f>'[4]#REF'!F4607</f>
        <v>#REF!</v>
      </c>
      <c r="G4607" s="12" t="e">
        <f>'[4]#REF'!G4607</f>
        <v>#REF!</v>
      </c>
      <c r="H4607" s="31" t="e">
        <f>'[4]#REF'!I4607</f>
        <v>#REF!</v>
      </c>
      <c r="I4607" s="32" t="e">
        <f t="shared" si="102"/>
        <v>#REF!</v>
      </c>
    </row>
    <row r="4608" ht="15.75" spans="6:9">
      <c r="F4608" s="12" t="e">
        <f>'[4]#REF'!F4608</f>
        <v>#REF!</v>
      </c>
      <c r="G4608" s="12" t="e">
        <f>'[4]#REF'!G4608</f>
        <v>#REF!</v>
      </c>
      <c r="H4608" s="31" t="e">
        <f>'[4]#REF'!I4608</f>
        <v>#REF!</v>
      </c>
      <c r="I4608" s="32" t="e">
        <f t="shared" si="102"/>
        <v>#REF!</v>
      </c>
    </row>
    <row r="4609" ht="15.75" spans="6:9">
      <c r="F4609" s="12" t="e">
        <f>'[4]#REF'!F4609</f>
        <v>#REF!</v>
      </c>
      <c r="G4609" s="12" t="e">
        <f>'[4]#REF'!G4609</f>
        <v>#REF!</v>
      </c>
      <c r="H4609" s="31" t="e">
        <f>'[4]#REF'!I4609</f>
        <v>#REF!</v>
      </c>
      <c r="I4609" s="32" t="e">
        <f t="shared" si="102"/>
        <v>#REF!</v>
      </c>
    </row>
    <row r="4610" ht="15.75" spans="6:9">
      <c r="F4610" s="12" t="e">
        <f>'[4]#REF'!F4610</f>
        <v>#REF!</v>
      </c>
      <c r="G4610" s="12" t="e">
        <f>'[4]#REF'!G4610</f>
        <v>#REF!</v>
      </c>
      <c r="H4610" s="31" t="e">
        <f>'[4]#REF'!I4610</f>
        <v>#REF!</v>
      </c>
      <c r="I4610" s="32" t="e">
        <f t="shared" si="102"/>
        <v>#REF!</v>
      </c>
    </row>
    <row r="4611" ht="15.75" spans="6:9">
      <c r="F4611" s="12" t="e">
        <f>'[4]#REF'!F4611</f>
        <v>#REF!</v>
      </c>
      <c r="G4611" s="12" t="e">
        <f>'[4]#REF'!G4611</f>
        <v>#REF!</v>
      </c>
      <c r="H4611" s="31" t="e">
        <f>'[4]#REF'!I4611</f>
        <v>#REF!</v>
      </c>
      <c r="I4611" s="32" t="e">
        <f t="shared" si="102"/>
        <v>#REF!</v>
      </c>
    </row>
    <row r="4612" ht="15.75" spans="6:9">
      <c r="F4612" s="12" t="e">
        <f>'[4]#REF'!F4612</f>
        <v>#REF!</v>
      </c>
      <c r="G4612" s="12" t="e">
        <f>'[4]#REF'!G4612</f>
        <v>#REF!</v>
      </c>
      <c r="H4612" s="31" t="e">
        <f>'[4]#REF'!I4612</f>
        <v>#REF!</v>
      </c>
      <c r="I4612" s="32" t="e">
        <f t="shared" si="102"/>
        <v>#REF!</v>
      </c>
    </row>
    <row r="4613" ht="15.75" spans="6:9">
      <c r="F4613" s="12" t="e">
        <f>'[4]#REF'!F4613</f>
        <v>#REF!</v>
      </c>
      <c r="G4613" s="12" t="e">
        <f>'[4]#REF'!G4613</f>
        <v>#REF!</v>
      </c>
      <c r="H4613" s="31" t="e">
        <f>'[4]#REF'!I4613</f>
        <v>#REF!</v>
      </c>
      <c r="I4613" s="32" t="e">
        <f t="shared" si="102"/>
        <v>#REF!</v>
      </c>
    </row>
    <row r="4614" ht="15.75" spans="6:9">
      <c r="F4614" s="12" t="e">
        <f>'[4]#REF'!F4614</f>
        <v>#REF!</v>
      </c>
      <c r="G4614" s="12" t="e">
        <f>'[4]#REF'!G4614</f>
        <v>#REF!</v>
      </c>
      <c r="H4614" s="31" t="e">
        <f>'[4]#REF'!I4614</f>
        <v>#REF!</v>
      </c>
      <c r="I4614" s="32" t="e">
        <f t="shared" ref="I4614:I4677" si="103">ROUND(H4614/$I$4*100,2)</f>
        <v>#REF!</v>
      </c>
    </row>
    <row r="4615" ht="15.75" spans="6:9">
      <c r="F4615" s="12" t="e">
        <f>'[4]#REF'!F4615</f>
        <v>#REF!</v>
      </c>
      <c r="G4615" s="12" t="e">
        <f>'[4]#REF'!G4615</f>
        <v>#REF!</v>
      </c>
      <c r="H4615" s="31" t="e">
        <f>'[4]#REF'!I4615</f>
        <v>#REF!</v>
      </c>
      <c r="I4615" s="32" t="e">
        <f t="shared" si="103"/>
        <v>#REF!</v>
      </c>
    </row>
    <row r="4616" ht="15.75" spans="6:9">
      <c r="F4616" s="12" t="e">
        <f>'[4]#REF'!F4616</f>
        <v>#REF!</v>
      </c>
      <c r="G4616" s="12" t="e">
        <f>'[4]#REF'!G4616</f>
        <v>#REF!</v>
      </c>
      <c r="H4616" s="31" t="e">
        <f>'[4]#REF'!I4616</f>
        <v>#REF!</v>
      </c>
      <c r="I4616" s="32" t="e">
        <f t="shared" si="103"/>
        <v>#REF!</v>
      </c>
    </row>
    <row r="4617" ht="15.75" spans="6:9">
      <c r="F4617" s="12" t="e">
        <f>'[4]#REF'!F4617</f>
        <v>#REF!</v>
      </c>
      <c r="G4617" s="12" t="e">
        <f>'[4]#REF'!G4617</f>
        <v>#REF!</v>
      </c>
      <c r="H4617" s="31" t="e">
        <f>'[4]#REF'!I4617</f>
        <v>#REF!</v>
      </c>
      <c r="I4617" s="32" t="e">
        <f t="shared" si="103"/>
        <v>#REF!</v>
      </c>
    </row>
    <row r="4618" ht="15.75" spans="6:9">
      <c r="F4618" s="12" t="e">
        <f>'[4]#REF'!F4618</f>
        <v>#REF!</v>
      </c>
      <c r="G4618" s="12" t="e">
        <f>'[4]#REF'!G4618</f>
        <v>#REF!</v>
      </c>
      <c r="H4618" s="31" t="e">
        <f>'[4]#REF'!I4618</f>
        <v>#REF!</v>
      </c>
      <c r="I4618" s="32" t="e">
        <f t="shared" si="103"/>
        <v>#REF!</v>
      </c>
    </row>
    <row r="4619" ht="15.75" spans="6:9">
      <c r="F4619" s="12" t="e">
        <f>'[4]#REF'!F4619</f>
        <v>#REF!</v>
      </c>
      <c r="G4619" s="12" t="e">
        <f>'[4]#REF'!G4619</f>
        <v>#REF!</v>
      </c>
      <c r="H4619" s="31" t="e">
        <f>'[4]#REF'!I4619</f>
        <v>#REF!</v>
      </c>
      <c r="I4619" s="32" t="e">
        <f t="shared" si="103"/>
        <v>#REF!</v>
      </c>
    </row>
    <row r="4620" ht="15.75" spans="6:9">
      <c r="F4620" s="12" t="e">
        <f>'[4]#REF'!F4620</f>
        <v>#REF!</v>
      </c>
      <c r="G4620" s="12" t="e">
        <f>'[4]#REF'!G4620</f>
        <v>#REF!</v>
      </c>
      <c r="H4620" s="31" t="e">
        <f>'[4]#REF'!I4620</f>
        <v>#REF!</v>
      </c>
      <c r="I4620" s="32" t="e">
        <f t="shared" si="103"/>
        <v>#REF!</v>
      </c>
    </row>
    <row r="4621" ht="15.75" spans="6:9">
      <c r="F4621" s="12" t="e">
        <f>'[4]#REF'!F4621</f>
        <v>#REF!</v>
      </c>
      <c r="G4621" s="12" t="e">
        <f>'[4]#REF'!G4621</f>
        <v>#REF!</v>
      </c>
      <c r="H4621" s="31" t="e">
        <f>'[4]#REF'!I4621</f>
        <v>#REF!</v>
      </c>
      <c r="I4621" s="32" t="e">
        <f t="shared" si="103"/>
        <v>#REF!</v>
      </c>
    </row>
    <row r="4622" ht="15.75" spans="6:9">
      <c r="F4622" s="12" t="e">
        <f>'[4]#REF'!F4622</f>
        <v>#REF!</v>
      </c>
      <c r="G4622" s="12" t="e">
        <f>'[4]#REF'!G4622</f>
        <v>#REF!</v>
      </c>
      <c r="H4622" s="31" t="e">
        <f>'[4]#REF'!I4622</f>
        <v>#REF!</v>
      </c>
      <c r="I4622" s="32" t="e">
        <f t="shared" si="103"/>
        <v>#REF!</v>
      </c>
    </row>
    <row r="4623" ht="15.75" spans="6:9">
      <c r="F4623" s="12" t="e">
        <f>'[4]#REF'!F4623</f>
        <v>#REF!</v>
      </c>
      <c r="G4623" s="12" t="e">
        <f>'[4]#REF'!G4623</f>
        <v>#REF!</v>
      </c>
      <c r="H4623" s="31" t="e">
        <f>'[4]#REF'!I4623</f>
        <v>#REF!</v>
      </c>
      <c r="I4623" s="32" t="e">
        <f t="shared" si="103"/>
        <v>#REF!</v>
      </c>
    </row>
    <row r="4624" ht="15.75" spans="6:9">
      <c r="F4624" s="12" t="e">
        <f>'[4]#REF'!F4624</f>
        <v>#REF!</v>
      </c>
      <c r="G4624" s="12" t="e">
        <f>'[4]#REF'!G4624</f>
        <v>#REF!</v>
      </c>
      <c r="H4624" s="31" t="e">
        <f>'[4]#REF'!I4624</f>
        <v>#REF!</v>
      </c>
      <c r="I4624" s="32" t="e">
        <f t="shared" si="103"/>
        <v>#REF!</v>
      </c>
    </row>
    <row r="4625" ht="15.75" spans="6:9">
      <c r="F4625" s="12" t="e">
        <f>'[4]#REF'!F4625</f>
        <v>#REF!</v>
      </c>
      <c r="G4625" s="12" t="e">
        <f>'[4]#REF'!G4625</f>
        <v>#REF!</v>
      </c>
      <c r="H4625" s="31" t="e">
        <f>'[4]#REF'!I4625</f>
        <v>#REF!</v>
      </c>
      <c r="I4625" s="32" t="e">
        <f t="shared" si="103"/>
        <v>#REF!</v>
      </c>
    </row>
    <row r="4626" ht="15.75" spans="6:9">
      <c r="F4626" s="12" t="e">
        <f>'[4]#REF'!F4626</f>
        <v>#REF!</v>
      </c>
      <c r="G4626" s="12" t="e">
        <f>'[4]#REF'!G4626</f>
        <v>#REF!</v>
      </c>
      <c r="H4626" s="31" t="e">
        <f>'[4]#REF'!I4626</f>
        <v>#REF!</v>
      </c>
      <c r="I4626" s="32" t="e">
        <f t="shared" si="103"/>
        <v>#REF!</v>
      </c>
    </row>
    <row r="4627" ht="15.75" spans="6:9">
      <c r="F4627" s="12" t="e">
        <f>'[4]#REF'!F4627</f>
        <v>#REF!</v>
      </c>
      <c r="G4627" s="12" t="e">
        <f>'[4]#REF'!G4627</f>
        <v>#REF!</v>
      </c>
      <c r="H4627" s="31" t="e">
        <f>'[4]#REF'!I4627</f>
        <v>#REF!</v>
      </c>
      <c r="I4627" s="32" t="e">
        <f t="shared" si="103"/>
        <v>#REF!</v>
      </c>
    </row>
    <row r="4628" ht="15.75" spans="6:9">
      <c r="F4628" s="12" t="e">
        <f>'[4]#REF'!F4628</f>
        <v>#REF!</v>
      </c>
      <c r="G4628" s="12" t="e">
        <f>'[4]#REF'!G4628</f>
        <v>#REF!</v>
      </c>
      <c r="H4628" s="31" t="e">
        <f>'[4]#REF'!I4628</f>
        <v>#REF!</v>
      </c>
      <c r="I4628" s="32" t="e">
        <f t="shared" si="103"/>
        <v>#REF!</v>
      </c>
    </row>
    <row r="4629" ht="15.75" spans="6:9">
      <c r="F4629" s="12" t="e">
        <f>'[4]#REF'!F4629</f>
        <v>#REF!</v>
      </c>
      <c r="G4629" s="12" t="e">
        <f>'[4]#REF'!G4629</f>
        <v>#REF!</v>
      </c>
      <c r="H4629" s="31" t="e">
        <f>'[4]#REF'!I4629</f>
        <v>#REF!</v>
      </c>
      <c r="I4629" s="32" t="e">
        <f t="shared" si="103"/>
        <v>#REF!</v>
      </c>
    </row>
    <row r="4630" ht="15.75" spans="6:9">
      <c r="F4630" s="12" t="e">
        <f>'[4]#REF'!F4630</f>
        <v>#REF!</v>
      </c>
      <c r="G4630" s="12" t="e">
        <f>'[4]#REF'!G4630</f>
        <v>#REF!</v>
      </c>
      <c r="H4630" s="31" t="e">
        <f>'[4]#REF'!I4630</f>
        <v>#REF!</v>
      </c>
      <c r="I4630" s="32" t="e">
        <f t="shared" si="103"/>
        <v>#REF!</v>
      </c>
    </row>
    <row r="4631" ht="15.75" spans="6:9">
      <c r="F4631" s="12" t="e">
        <f>'[4]#REF'!F4631</f>
        <v>#REF!</v>
      </c>
      <c r="G4631" s="12" t="e">
        <f>'[4]#REF'!G4631</f>
        <v>#REF!</v>
      </c>
      <c r="H4631" s="31" t="e">
        <f>'[4]#REF'!I4631</f>
        <v>#REF!</v>
      </c>
      <c r="I4631" s="32" t="e">
        <f t="shared" si="103"/>
        <v>#REF!</v>
      </c>
    </row>
    <row r="4632" ht="15.75" spans="6:9">
      <c r="F4632" s="12" t="e">
        <f>'[4]#REF'!F4632</f>
        <v>#REF!</v>
      </c>
      <c r="G4632" s="12" t="e">
        <f>'[4]#REF'!G4632</f>
        <v>#REF!</v>
      </c>
      <c r="H4632" s="31" t="e">
        <f>'[4]#REF'!I4632</f>
        <v>#REF!</v>
      </c>
      <c r="I4632" s="32" t="e">
        <f t="shared" si="103"/>
        <v>#REF!</v>
      </c>
    </row>
    <row r="4633" ht="15.75" spans="6:9">
      <c r="F4633" s="12" t="e">
        <f>'[4]#REF'!F4633</f>
        <v>#REF!</v>
      </c>
      <c r="G4633" s="12" t="e">
        <f>'[4]#REF'!G4633</f>
        <v>#REF!</v>
      </c>
      <c r="H4633" s="31" t="e">
        <f>'[4]#REF'!I4633</f>
        <v>#REF!</v>
      </c>
      <c r="I4633" s="32" t="e">
        <f t="shared" si="103"/>
        <v>#REF!</v>
      </c>
    </row>
    <row r="4634" ht="15.75" spans="6:9">
      <c r="F4634" s="12" t="e">
        <f>'[4]#REF'!F4634</f>
        <v>#REF!</v>
      </c>
      <c r="G4634" s="12" t="e">
        <f>'[4]#REF'!G4634</f>
        <v>#REF!</v>
      </c>
      <c r="H4634" s="31" t="e">
        <f>'[4]#REF'!I4634</f>
        <v>#REF!</v>
      </c>
      <c r="I4634" s="32" t="e">
        <f t="shared" si="103"/>
        <v>#REF!</v>
      </c>
    </row>
    <row r="4635" ht="15.75" spans="6:9">
      <c r="F4635" s="12" t="e">
        <f>'[4]#REF'!F4635</f>
        <v>#REF!</v>
      </c>
      <c r="G4635" s="12" t="e">
        <f>'[4]#REF'!G4635</f>
        <v>#REF!</v>
      </c>
      <c r="H4635" s="31" t="e">
        <f>'[4]#REF'!I4635</f>
        <v>#REF!</v>
      </c>
      <c r="I4635" s="32" t="e">
        <f t="shared" si="103"/>
        <v>#REF!</v>
      </c>
    </row>
    <row r="4636" ht="15.75" spans="6:9">
      <c r="F4636" s="12" t="e">
        <f>'[4]#REF'!F4636</f>
        <v>#REF!</v>
      </c>
      <c r="G4636" s="12" t="e">
        <f>'[4]#REF'!G4636</f>
        <v>#REF!</v>
      </c>
      <c r="H4636" s="31" t="e">
        <f>'[4]#REF'!I4636</f>
        <v>#REF!</v>
      </c>
      <c r="I4636" s="32" t="e">
        <f t="shared" si="103"/>
        <v>#REF!</v>
      </c>
    </row>
    <row r="4637" ht="15.75" spans="6:9">
      <c r="F4637" s="12" t="e">
        <f>'[4]#REF'!F4637</f>
        <v>#REF!</v>
      </c>
      <c r="G4637" s="12" t="e">
        <f>'[4]#REF'!G4637</f>
        <v>#REF!</v>
      </c>
      <c r="H4637" s="31" t="e">
        <f>'[4]#REF'!I4637</f>
        <v>#REF!</v>
      </c>
      <c r="I4637" s="32" t="e">
        <f t="shared" si="103"/>
        <v>#REF!</v>
      </c>
    </row>
    <row r="4638" ht="15.75" spans="6:9">
      <c r="F4638" s="12" t="e">
        <f>'[4]#REF'!F4638</f>
        <v>#REF!</v>
      </c>
      <c r="G4638" s="12" t="e">
        <f>'[4]#REF'!G4638</f>
        <v>#REF!</v>
      </c>
      <c r="H4638" s="31" t="e">
        <f>'[4]#REF'!I4638</f>
        <v>#REF!</v>
      </c>
      <c r="I4638" s="32" t="e">
        <f t="shared" si="103"/>
        <v>#REF!</v>
      </c>
    </row>
    <row r="4639" ht="15.75" spans="6:9">
      <c r="F4639" s="12" t="e">
        <f>'[4]#REF'!F4639</f>
        <v>#REF!</v>
      </c>
      <c r="G4639" s="12" t="e">
        <f>'[4]#REF'!G4639</f>
        <v>#REF!</v>
      </c>
      <c r="H4639" s="31" t="e">
        <f>'[4]#REF'!I4639</f>
        <v>#REF!</v>
      </c>
      <c r="I4639" s="32" t="e">
        <f t="shared" si="103"/>
        <v>#REF!</v>
      </c>
    </row>
    <row r="4640" ht="15.75" spans="6:9">
      <c r="F4640" s="12" t="e">
        <f>'[4]#REF'!F4640</f>
        <v>#REF!</v>
      </c>
      <c r="G4640" s="12" t="e">
        <f>'[4]#REF'!G4640</f>
        <v>#REF!</v>
      </c>
      <c r="H4640" s="31" t="e">
        <f>'[4]#REF'!I4640</f>
        <v>#REF!</v>
      </c>
      <c r="I4640" s="32" t="e">
        <f t="shared" si="103"/>
        <v>#REF!</v>
      </c>
    </row>
    <row r="4641" ht="15.75" spans="6:9">
      <c r="F4641" s="12" t="e">
        <f>'[4]#REF'!F4641</f>
        <v>#REF!</v>
      </c>
      <c r="G4641" s="12" t="e">
        <f>'[4]#REF'!G4641</f>
        <v>#REF!</v>
      </c>
      <c r="H4641" s="31" t="e">
        <f>'[4]#REF'!I4641</f>
        <v>#REF!</v>
      </c>
      <c r="I4641" s="32" t="e">
        <f t="shared" si="103"/>
        <v>#REF!</v>
      </c>
    </row>
    <row r="4642" ht="15.75" spans="6:9">
      <c r="F4642" s="12" t="e">
        <f>'[4]#REF'!F4642</f>
        <v>#REF!</v>
      </c>
      <c r="G4642" s="12" t="e">
        <f>'[4]#REF'!G4642</f>
        <v>#REF!</v>
      </c>
      <c r="H4642" s="31" t="e">
        <f>'[4]#REF'!I4642</f>
        <v>#REF!</v>
      </c>
      <c r="I4642" s="32" t="e">
        <f t="shared" si="103"/>
        <v>#REF!</v>
      </c>
    </row>
    <row r="4643" ht="15.75" spans="6:9">
      <c r="F4643" s="12" t="e">
        <f>'[4]#REF'!F4643</f>
        <v>#REF!</v>
      </c>
      <c r="G4643" s="12" t="e">
        <f>'[4]#REF'!G4643</f>
        <v>#REF!</v>
      </c>
      <c r="H4643" s="31" t="e">
        <f>'[4]#REF'!I4643</f>
        <v>#REF!</v>
      </c>
      <c r="I4643" s="32" t="e">
        <f t="shared" si="103"/>
        <v>#REF!</v>
      </c>
    </row>
    <row r="4644" ht="15.75" spans="6:9">
      <c r="F4644" s="12" t="e">
        <f>'[4]#REF'!F4644</f>
        <v>#REF!</v>
      </c>
      <c r="G4644" s="12" t="e">
        <f>'[4]#REF'!G4644</f>
        <v>#REF!</v>
      </c>
      <c r="H4644" s="31" t="e">
        <f>'[4]#REF'!I4644</f>
        <v>#REF!</v>
      </c>
      <c r="I4644" s="32" t="e">
        <f t="shared" si="103"/>
        <v>#REF!</v>
      </c>
    </row>
    <row r="4645" ht="15.75" spans="6:9">
      <c r="F4645" s="12" t="e">
        <f>'[4]#REF'!F4645</f>
        <v>#REF!</v>
      </c>
      <c r="G4645" s="12" t="e">
        <f>'[4]#REF'!G4645</f>
        <v>#REF!</v>
      </c>
      <c r="H4645" s="31" t="e">
        <f>'[4]#REF'!I4645</f>
        <v>#REF!</v>
      </c>
      <c r="I4645" s="32" t="e">
        <f t="shared" si="103"/>
        <v>#REF!</v>
      </c>
    </row>
    <row r="4646" ht="15.75" spans="6:9">
      <c r="F4646" s="12" t="e">
        <f>'[4]#REF'!F4646</f>
        <v>#REF!</v>
      </c>
      <c r="G4646" s="12" t="e">
        <f>'[4]#REF'!G4646</f>
        <v>#REF!</v>
      </c>
      <c r="H4646" s="31" t="e">
        <f>'[4]#REF'!I4646</f>
        <v>#REF!</v>
      </c>
      <c r="I4646" s="32" t="e">
        <f t="shared" si="103"/>
        <v>#REF!</v>
      </c>
    </row>
    <row r="4647" ht="15.75" spans="6:9">
      <c r="F4647" s="12" t="e">
        <f>'[4]#REF'!F4647</f>
        <v>#REF!</v>
      </c>
      <c r="G4647" s="12" t="e">
        <f>'[4]#REF'!G4647</f>
        <v>#REF!</v>
      </c>
      <c r="H4647" s="31" t="e">
        <f>'[4]#REF'!I4647</f>
        <v>#REF!</v>
      </c>
      <c r="I4647" s="32" t="e">
        <f t="shared" si="103"/>
        <v>#REF!</v>
      </c>
    </row>
    <row r="4648" ht="15.75" spans="6:9">
      <c r="F4648" s="12" t="e">
        <f>'[4]#REF'!F4648</f>
        <v>#REF!</v>
      </c>
      <c r="G4648" s="12" t="e">
        <f>'[4]#REF'!G4648</f>
        <v>#REF!</v>
      </c>
      <c r="H4648" s="31" t="e">
        <f>'[4]#REF'!I4648</f>
        <v>#REF!</v>
      </c>
      <c r="I4648" s="32" t="e">
        <f t="shared" si="103"/>
        <v>#REF!</v>
      </c>
    </row>
    <row r="4649" ht="15.75" spans="6:9">
      <c r="F4649" s="12" t="e">
        <f>'[4]#REF'!F4649</f>
        <v>#REF!</v>
      </c>
      <c r="G4649" s="12" t="e">
        <f>'[4]#REF'!G4649</f>
        <v>#REF!</v>
      </c>
      <c r="H4649" s="31" t="e">
        <f>'[4]#REF'!I4649</f>
        <v>#REF!</v>
      </c>
      <c r="I4649" s="32" t="e">
        <f t="shared" si="103"/>
        <v>#REF!</v>
      </c>
    </row>
    <row r="4650" ht="15.75" spans="6:9">
      <c r="F4650" s="12" t="e">
        <f>'[4]#REF'!F4650</f>
        <v>#REF!</v>
      </c>
      <c r="G4650" s="12" t="e">
        <f>'[4]#REF'!G4650</f>
        <v>#REF!</v>
      </c>
      <c r="H4650" s="31" t="e">
        <f>'[4]#REF'!I4650</f>
        <v>#REF!</v>
      </c>
      <c r="I4650" s="32" t="e">
        <f t="shared" si="103"/>
        <v>#REF!</v>
      </c>
    </row>
    <row r="4651" ht="15.75" spans="6:9">
      <c r="F4651" s="12" t="e">
        <f>'[4]#REF'!F4651</f>
        <v>#REF!</v>
      </c>
      <c r="G4651" s="12" t="e">
        <f>'[4]#REF'!G4651</f>
        <v>#REF!</v>
      </c>
      <c r="H4651" s="31" t="e">
        <f>'[4]#REF'!I4651</f>
        <v>#REF!</v>
      </c>
      <c r="I4651" s="32" t="e">
        <f t="shared" si="103"/>
        <v>#REF!</v>
      </c>
    </row>
    <row r="4652" ht="15.75" spans="6:9">
      <c r="F4652" s="12" t="e">
        <f>'[4]#REF'!F4652</f>
        <v>#REF!</v>
      </c>
      <c r="G4652" s="12" t="e">
        <f>'[4]#REF'!G4652</f>
        <v>#REF!</v>
      </c>
      <c r="H4652" s="31" t="e">
        <f>'[4]#REF'!I4652</f>
        <v>#REF!</v>
      </c>
      <c r="I4652" s="32" t="e">
        <f t="shared" si="103"/>
        <v>#REF!</v>
      </c>
    </row>
    <row r="4653" ht="15.75" spans="6:9">
      <c r="F4653" s="12" t="e">
        <f>'[4]#REF'!F4653</f>
        <v>#REF!</v>
      </c>
      <c r="G4653" s="12" t="e">
        <f>'[4]#REF'!G4653</f>
        <v>#REF!</v>
      </c>
      <c r="H4653" s="31" t="e">
        <f>'[4]#REF'!I4653</f>
        <v>#REF!</v>
      </c>
      <c r="I4653" s="32" t="e">
        <f t="shared" si="103"/>
        <v>#REF!</v>
      </c>
    </row>
    <row r="4654" ht="15.75" spans="6:9">
      <c r="F4654" s="12" t="e">
        <f>'[4]#REF'!F4654</f>
        <v>#REF!</v>
      </c>
      <c r="G4654" s="12" t="e">
        <f>'[4]#REF'!G4654</f>
        <v>#REF!</v>
      </c>
      <c r="H4654" s="31" t="e">
        <f>'[4]#REF'!I4654</f>
        <v>#REF!</v>
      </c>
      <c r="I4654" s="32" t="e">
        <f t="shared" si="103"/>
        <v>#REF!</v>
      </c>
    </row>
    <row r="4655" ht="15.75" spans="6:9">
      <c r="F4655" s="12" t="e">
        <f>'[4]#REF'!F4655</f>
        <v>#REF!</v>
      </c>
      <c r="G4655" s="12" t="e">
        <f>'[4]#REF'!G4655</f>
        <v>#REF!</v>
      </c>
      <c r="H4655" s="31" t="e">
        <f>'[4]#REF'!I4655</f>
        <v>#REF!</v>
      </c>
      <c r="I4655" s="32" t="e">
        <f t="shared" si="103"/>
        <v>#REF!</v>
      </c>
    </row>
    <row r="4656" ht="15.75" spans="6:9">
      <c r="F4656" s="12" t="e">
        <f>'[4]#REF'!F4656</f>
        <v>#REF!</v>
      </c>
      <c r="G4656" s="12" t="e">
        <f>'[4]#REF'!G4656</f>
        <v>#REF!</v>
      </c>
      <c r="H4656" s="31" t="e">
        <f>'[4]#REF'!I4656</f>
        <v>#REF!</v>
      </c>
      <c r="I4656" s="32" t="e">
        <f t="shared" si="103"/>
        <v>#REF!</v>
      </c>
    </row>
    <row r="4657" ht="15.75" spans="6:9">
      <c r="F4657" s="12" t="e">
        <f>'[4]#REF'!F4657</f>
        <v>#REF!</v>
      </c>
      <c r="G4657" s="12" t="e">
        <f>'[4]#REF'!G4657</f>
        <v>#REF!</v>
      </c>
      <c r="H4657" s="31" t="e">
        <f>'[4]#REF'!I4657</f>
        <v>#REF!</v>
      </c>
      <c r="I4657" s="32" t="e">
        <f t="shared" si="103"/>
        <v>#REF!</v>
      </c>
    </row>
    <row r="4658" ht="15.75" spans="6:9">
      <c r="F4658" s="12" t="e">
        <f>'[4]#REF'!F4658</f>
        <v>#REF!</v>
      </c>
      <c r="G4658" s="12" t="e">
        <f>'[4]#REF'!G4658</f>
        <v>#REF!</v>
      </c>
      <c r="H4658" s="31" t="e">
        <f>'[4]#REF'!I4658</f>
        <v>#REF!</v>
      </c>
      <c r="I4658" s="32" t="e">
        <f t="shared" si="103"/>
        <v>#REF!</v>
      </c>
    </row>
    <row r="4659" ht="15.75" spans="6:9">
      <c r="F4659" s="12" t="e">
        <f>'[4]#REF'!F4659</f>
        <v>#REF!</v>
      </c>
      <c r="G4659" s="12" t="e">
        <f>'[4]#REF'!G4659</f>
        <v>#REF!</v>
      </c>
      <c r="H4659" s="31" t="e">
        <f>'[4]#REF'!I4659</f>
        <v>#REF!</v>
      </c>
      <c r="I4659" s="32" t="e">
        <f t="shared" si="103"/>
        <v>#REF!</v>
      </c>
    </row>
    <row r="4660" ht="15.75" spans="6:9">
      <c r="F4660" s="12" t="e">
        <f>'[4]#REF'!F4660</f>
        <v>#REF!</v>
      </c>
      <c r="G4660" s="12" t="e">
        <f>'[4]#REF'!G4660</f>
        <v>#REF!</v>
      </c>
      <c r="H4660" s="31" t="e">
        <f>'[4]#REF'!I4660</f>
        <v>#REF!</v>
      </c>
      <c r="I4660" s="32" t="e">
        <f t="shared" si="103"/>
        <v>#REF!</v>
      </c>
    </row>
    <row r="4661" ht="15.75" spans="6:9">
      <c r="F4661" s="12" t="e">
        <f>'[4]#REF'!F4661</f>
        <v>#REF!</v>
      </c>
      <c r="G4661" s="12" t="e">
        <f>'[4]#REF'!G4661</f>
        <v>#REF!</v>
      </c>
      <c r="H4661" s="31" t="e">
        <f>'[4]#REF'!I4661</f>
        <v>#REF!</v>
      </c>
      <c r="I4661" s="32" t="e">
        <f t="shared" si="103"/>
        <v>#REF!</v>
      </c>
    </row>
    <row r="4662" ht="15.75" spans="6:9">
      <c r="F4662" s="12" t="e">
        <f>'[4]#REF'!F4662</f>
        <v>#REF!</v>
      </c>
      <c r="G4662" s="12" t="e">
        <f>'[4]#REF'!G4662</f>
        <v>#REF!</v>
      </c>
      <c r="H4662" s="31" t="e">
        <f>'[4]#REF'!I4662</f>
        <v>#REF!</v>
      </c>
      <c r="I4662" s="32" t="e">
        <f t="shared" si="103"/>
        <v>#REF!</v>
      </c>
    </row>
    <row r="4663" ht="15.75" spans="6:9">
      <c r="F4663" s="12" t="e">
        <f>'[4]#REF'!F4663</f>
        <v>#REF!</v>
      </c>
      <c r="G4663" s="12" t="e">
        <f>'[4]#REF'!G4663</f>
        <v>#REF!</v>
      </c>
      <c r="H4663" s="31" t="e">
        <f>'[4]#REF'!I4663</f>
        <v>#REF!</v>
      </c>
      <c r="I4663" s="32" t="e">
        <f t="shared" si="103"/>
        <v>#REF!</v>
      </c>
    </row>
    <row r="4664" ht="15.75" spans="6:9">
      <c r="F4664" s="12" t="e">
        <f>'[4]#REF'!F4664</f>
        <v>#REF!</v>
      </c>
      <c r="G4664" s="12" t="e">
        <f>'[4]#REF'!G4664</f>
        <v>#REF!</v>
      </c>
      <c r="H4664" s="31" t="e">
        <f>'[4]#REF'!I4664</f>
        <v>#REF!</v>
      </c>
      <c r="I4664" s="32" t="e">
        <f t="shared" si="103"/>
        <v>#REF!</v>
      </c>
    </row>
    <row r="4665" ht="15.75" spans="6:9">
      <c r="F4665" s="12" t="e">
        <f>'[4]#REF'!F4665</f>
        <v>#REF!</v>
      </c>
      <c r="G4665" s="12" t="e">
        <f>'[4]#REF'!G4665</f>
        <v>#REF!</v>
      </c>
      <c r="H4665" s="31" t="e">
        <f>'[4]#REF'!I4665</f>
        <v>#REF!</v>
      </c>
      <c r="I4665" s="32" t="e">
        <f t="shared" si="103"/>
        <v>#REF!</v>
      </c>
    </row>
    <row r="4666" ht="15.75" spans="6:9">
      <c r="F4666" s="12" t="e">
        <f>'[4]#REF'!F4666</f>
        <v>#REF!</v>
      </c>
      <c r="G4666" s="12" t="e">
        <f>'[4]#REF'!G4666</f>
        <v>#REF!</v>
      </c>
      <c r="H4666" s="31" t="e">
        <f>'[4]#REF'!I4666</f>
        <v>#REF!</v>
      </c>
      <c r="I4666" s="32" t="e">
        <f t="shared" si="103"/>
        <v>#REF!</v>
      </c>
    </row>
    <row r="4667" ht="15.75" spans="6:9">
      <c r="F4667" s="12" t="e">
        <f>'[4]#REF'!F4667</f>
        <v>#REF!</v>
      </c>
      <c r="G4667" s="12" t="e">
        <f>'[4]#REF'!G4667</f>
        <v>#REF!</v>
      </c>
      <c r="H4667" s="31" t="e">
        <f>'[4]#REF'!I4667</f>
        <v>#REF!</v>
      </c>
      <c r="I4667" s="32" t="e">
        <f t="shared" si="103"/>
        <v>#REF!</v>
      </c>
    </row>
    <row r="4668" ht="15.75" spans="6:9">
      <c r="F4668" s="12" t="e">
        <f>'[4]#REF'!F4668</f>
        <v>#REF!</v>
      </c>
      <c r="G4668" s="12" t="e">
        <f>'[4]#REF'!G4668</f>
        <v>#REF!</v>
      </c>
      <c r="H4668" s="31" t="e">
        <f>'[4]#REF'!I4668</f>
        <v>#REF!</v>
      </c>
      <c r="I4668" s="32" t="e">
        <f t="shared" si="103"/>
        <v>#REF!</v>
      </c>
    </row>
    <row r="4669" ht="15.75" spans="6:9">
      <c r="F4669" s="12" t="e">
        <f>'[4]#REF'!F4669</f>
        <v>#REF!</v>
      </c>
      <c r="G4669" s="12" t="e">
        <f>'[4]#REF'!G4669</f>
        <v>#REF!</v>
      </c>
      <c r="H4669" s="31" t="e">
        <f>'[4]#REF'!I4669</f>
        <v>#REF!</v>
      </c>
      <c r="I4669" s="32" t="e">
        <f t="shared" si="103"/>
        <v>#REF!</v>
      </c>
    </row>
    <row r="4670" ht="15.75" spans="6:9">
      <c r="F4670" s="12" t="e">
        <f>'[4]#REF'!F4670</f>
        <v>#REF!</v>
      </c>
      <c r="G4670" s="12" t="e">
        <f>'[4]#REF'!G4670</f>
        <v>#REF!</v>
      </c>
      <c r="H4670" s="31" t="e">
        <f>'[4]#REF'!I4670</f>
        <v>#REF!</v>
      </c>
      <c r="I4670" s="32" t="e">
        <f t="shared" si="103"/>
        <v>#REF!</v>
      </c>
    </row>
    <row r="4671" ht="15.75" spans="6:9">
      <c r="F4671" s="12" t="e">
        <f>'[4]#REF'!F4671</f>
        <v>#REF!</v>
      </c>
      <c r="G4671" s="12" t="e">
        <f>'[4]#REF'!G4671</f>
        <v>#REF!</v>
      </c>
      <c r="H4671" s="31" t="e">
        <f>'[4]#REF'!I4671</f>
        <v>#REF!</v>
      </c>
      <c r="I4671" s="32" t="e">
        <f t="shared" si="103"/>
        <v>#REF!</v>
      </c>
    </row>
    <row r="4672" ht="15.75" spans="6:9">
      <c r="F4672" s="12" t="e">
        <f>'[4]#REF'!F4672</f>
        <v>#REF!</v>
      </c>
      <c r="G4672" s="12" t="e">
        <f>'[4]#REF'!G4672</f>
        <v>#REF!</v>
      </c>
      <c r="H4672" s="31" t="e">
        <f>'[4]#REF'!I4672</f>
        <v>#REF!</v>
      </c>
      <c r="I4672" s="32" t="e">
        <f t="shared" si="103"/>
        <v>#REF!</v>
      </c>
    </row>
    <row r="4673" ht="15.75" spans="6:9">
      <c r="F4673" s="12" t="e">
        <f>'[4]#REF'!F4673</f>
        <v>#REF!</v>
      </c>
      <c r="G4673" s="12" t="e">
        <f>'[4]#REF'!G4673</f>
        <v>#REF!</v>
      </c>
      <c r="H4673" s="31" t="e">
        <f>'[4]#REF'!I4673</f>
        <v>#REF!</v>
      </c>
      <c r="I4673" s="32" t="e">
        <f t="shared" si="103"/>
        <v>#REF!</v>
      </c>
    </row>
    <row r="4674" ht="15.75" spans="6:9">
      <c r="F4674" s="12" t="e">
        <f>'[4]#REF'!F4674</f>
        <v>#REF!</v>
      </c>
      <c r="G4674" s="12" t="e">
        <f>'[4]#REF'!G4674</f>
        <v>#REF!</v>
      </c>
      <c r="H4674" s="31" t="e">
        <f>'[4]#REF'!I4674</f>
        <v>#REF!</v>
      </c>
      <c r="I4674" s="32" t="e">
        <f t="shared" si="103"/>
        <v>#REF!</v>
      </c>
    </row>
    <row r="4675" ht="15.75" spans="6:9">
      <c r="F4675" s="12" t="e">
        <f>'[4]#REF'!F4675</f>
        <v>#REF!</v>
      </c>
      <c r="G4675" s="12" t="e">
        <f>'[4]#REF'!G4675</f>
        <v>#REF!</v>
      </c>
      <c r="H4675" s="31" t="e">
        <f>'[4]#REF'!I4675</f>
        <v>#REF!</v>
      </c>
      <c r="I4675" s="32" t="e">
        <f t="shared" si="103"/>
        <v>#REF!</v>
      </c>
    </row>
    <row r="4676" ht="15.75" spans="6:9">
      <c r="F4676" s="12" t="e">
        <f>'[4]#REF'!F4676</f>
        <v>#REF!</v>
      </c>
      <c r="G4676" s="12" t="e">
        <f>'[4]#REF'!G4676</f>
        <v>#REF!</v>
      </c>
      <c r="H4676" s="31" t="e">
        <f>'[4]#REF'!I4676</f>
        <v>#REF!</v>
      </c>
      <c r="I4676" s="32" t="e">
        <f t="shared" si="103"/>
        <v>#REF!</v>
      </c>
    </row>
    <row r="4677" ht="15.75" spans="6:9">
      <c r="F4677" s="12" t="e">
        <f>'[4]#REF'!F4677</f>
        <v>#REF!</v>
      </c>
      <c r="G4677" s="12" t="e">
        <f>'[4]#REF'!G4677</f>
        <v>#REF!</v>
      </c>
      <c r="H4677" s="31" t="e">
        <f>'[4]#REF'!I4677</f>
        <v>#REF!</v>
      </c>
      <c r="I4677" s="32" t="e">
        <f t="shared" si="103"/>
        <v>#REF!</v>
      </c>
    </row>
    <row r="4678" ht="15.75" spans="6:9">
      <c r="F4678" s="12" t="e">
        <f>'[4]#REF'!F4678</f>
        <v>#REF!</v>
      </c>
      <c r="G4678" s="12" t="e">
        <f>'[4]#REF'!G4678</f>
        <v>#REF!</v>
      </c>
      <c r="H4678" s="31" t="e">
        <f>'[4]#REF'!I4678</f>
        <v>#REF!</v>
      </c>
      <c r="I4678" s="32" t="e">
        <f t="shared" ref="I4678:I4741" si="104">ROUND(H4678/$I$4*100,2)</f>
        <v>#REF!</v>
      </c>
    </row>
    <row r="4679" ht="15.75" spans="6:9">
      <c r="F4679" s="12" t="e">
        <f>'[4]#REF'!F4679</f>
        <v>#REF!</v>
      </c>
      <c r="G4679" s="12" t="e">
        <f>'[4]#REF'!G4679</f>
        <v>#REF!</v>
      </c>
      <c r="H4679" s="31" t="e">
        <f>'[4]#REF'!I4679</f>
        <v>#REF!</v>
      </c>
      <c r="I4679" s="32" t="e">
        <f t="shared" si="104"/>
        <v>#REF!</v>
      </c>
    </row>
    <row r="4680" ht="15.75" spans="6:9">
      <c r="F4680" s="12" t="e">
        <f>'[4]#REF'!F4680</f>
        <v>#REF!</v>
      </c>
      <c r="G4680" s="12" t="e">
        <f>'[4]#REF'!G4680</f>
        <v>#REF!</v>
      </c>
      <c r="H4680" s="31" t="e">
        <f>'[4]#REF'!I4680</f>
        <v>#REF!</v>
      </c>
      <c r="I4680" s="32" t="e">
        <f t="shared" si="104"/>
        <v>#REF!</v>
      </c>
    </row>
    <row r="4681" ht="15.75" spans="6:9">
      <c r="F4681" s="12" t="e">
        <f>'[4]#REF'!F4681</f>
        <v>#REF!</v>
      </c>
      <c r="G4681" s="12" t="e">
        <f>'[4]#REF'!G4681</f>
        <v>#REF!</v>
      </c>
      <c r="H4681" s="31" t="e">
        <f>'[4]#REF'!I4681</f>
        <v>#REF!</v>
      </c>
      <c r="I4681" s="32" t="e">
        <f t="shared" si="104"/>
        <v>#REF!</v>
      </c>
    </row>
    <row r="4682" ht="15.75" spans="6:9">
      <c r="F4682" s="12" t="e">
        <f>'[4]#REF'!F4682</f>
        <v>#REF!</v>
      </c>
      <c r="G4682" s="12" t="e">
        <f>'[4]#REF'!G4682</f>
        <v>#REF!</v>
      </c>
      <c r="H4682" s="31" t="e">
        <f>'[4]#REF'!I4682</f>
        <v>#REF!</v>
      </c>
      <c r="I4682" s="32" t="e">
        <f t="shared" si="104"/>
        <v>#REF!</v>
      </c>
    </row>
    <row r="4683" ht="15.75" spans="6:9">
      <c r="F4683" s="12" t="e">
        <f>'[4]#REF'!F4683</f>
        <v>#REF!</v>
      </c>
      <c r="G4683" s="12" t="e">
        <f>'[4]#REF'!G4683</f>
        <v>#REF!</v>
      </c>
      <c r="H4683" s="31" t="e">
        <f>'[4]#REF'!I4683</f>
        <v>#REF!</v>
      </c>
      <c r="I4683" s="32" t="e">
        <f t="shared" si="104"/>
        <v>#REF!</v>
      </c>
    </row>
    <row r="4684" ht="15.75" spans="6:9">
      <c r="F4684" s="12" t="e">
        <f>'[4]#REF'!F4684</f>
        <v>#REF!</v>
      </c>
      <c r="G4684" s="12" t="e">
        <f>'[4]#REF'!G4684</f>
        <v>#REF!</v>
      </c>
      <c r="H4684" s="31" t="e">
        <f>'[4]#REF'!I4684</f>
        <v>#REF!</v>
      </c>
      <c r="I4684" s="32" t="e">
        <f t="shared" si="104"/>
        <v>#REF!</v>
      </c>
    </row>
    <row r="4685" ht="15.75" spans="6:9">
      <c r="F4685" s="12" t="e">
        <f>'[4]#REF'!F4685</f>
        <v>#REF!</v>
      </c>
      <c r="G4685" s="12" t="e">
        <f>'[4]#REF'!G4685</f>
        <v>#REF!</v>
      </c>
      <c r="H4685" s="31" t="e">
        <f>'[4]#REF'!I4685</f>
        <v>#REF!</v>
      </c>
      <c r="I4685" s="32" t="e">
        <f t="shared" si="104"/>
        <v>#REF!</v>
      </c>
    </row>
    <row r="4686" ht="15.75" spans="6:9">
      <c r="F4686" s="12" t="e">
        <f>'[4]#REF'!F4686</f>
        <v>#REF!</v>
      </c>
      <c r="G4686" s="12" t="e">
        <f>'[4]#REF'!G4686</f>
        <v>#REF!</v>
      </c>
      <c r="H4686" s="31" t="e">
        <f>'[4]#REF'!I4686</f>
        <v>#REF!</v>
      </c>
      <c r="I4686" s="32" t="e">
        <f t="shared" si="104"/>
        <v>#REF!</v>
      </c>
    </row>
    <row r="4687" ht="15.75" spans="6:9">
      <c r="F4687" s="12" t="e">
        <f>'[4]#REF'!F4687</f>
        <v>#REF!</v>
      </c>
      <c r="G4687" s="12" t="e">
        <f>'[4]#REF'!G4687</f>
        <v>#REF!</v>
      </c>
      <c r="H4687" s="31" t="e">
        <f>'[4]#REF'!I4687</f>
        <v>#REF!</v>
      </c>
      <c r="I4687" s="32" t="e">
        <f t="shared" si="104"/>
        <v>#REF!</v>
      </c>
    </row>
    <row r="4688" ht="15.75" spans="6:9">
      <c r="F4688" s="12" t="e">
        <f>'[4]#REF'!F4688</f>
        <v>#REF!</v>
      </c>
      <c r="G4688" s="12" t="e">
        <f>'[4]#REF'!G4688</f>
        <v>#REF!</v>
      </c>
      <c r="H4688" s="31" t="e">
        <f>'[4]#REF'!I4688</f>
        <v>#REF!</v>
      </c>
      <c r="I4688" s="32" t="e">
        <f t="shared" si="104"/>
        <v>#REF!</v>
      </c>
    </row>
    <row r="4689" ht="15.75" spans="6:9">
      <c r="F4689" s="12" t="e">
        <f>'[4]#REF'!F4689</f>
        <v>#REF!</v>
      </c>
      <c r="G4689" s="12" t="e">
        <f>'[4]#REF'!G4689</f>
        <v>#REF!</v>
      </c>
      <c r="H4689" s="31" t="e">
        <f>'[4]#REF'!I4689</f>
        <v>#REF!</v>
      </c>
      <c r="I4689" s="32" t="e">
        <f t="shared" si="104"/>
        <v>#REF!</v>
      </c>
    </row>
    <row r="4690" ht="15.75" spans="6:9">
      <c r="F4690" s="12" t="e">
        <f>'[4]#REF'!F4690</f>
        <v>#REF!</v>
      </c>
      <c r="G4690" s="12" t="e">
        <f>'[4]#REF'!G4690</f>
        <v>#REF!</v>
      </c>
      <c r="H4690" s="31" t="e">
        <f>'[4]#REF'!I4690</f>
        <v>#REF!</v>
      </c>
      <c r="I4690" s="32" t="e">
        <f t="shared" si="104"/>
        <v>#REF!</v>
      </c>
    </row>
    <row r="4691" ht="15.75" spans="6:9">
      <c r="F4691" s="12" t="e">
        <f>'[4]#REF'!F4691</f>
        <v>#REF!</v>
      </c>
      <c r="G4691" s="12" t="e">
        <f>'[4]#REF'!G4691</f>
        <v>#REF!</v>
      </c>
      <c r="H4691" s="31" t="e">
        <f>'[4]#REF'!I4691</f>
        <v>#REF!</v>
      </c>
      <c r="I4691" s="32" t="e">
        <f t="shared" si="104"/>
        <v>#REF!</v>
      </c>
    </row>
    <row r="4692" ht="15.75" spans="6:9">
      <c r="F4692" s="12" t="e">
        <f>'[4]#REF'!F4692</f>
        <v>#REF!</v>
      </c>
      <c r="G4692" s="12" t="e">
        <f>'[4]#REF'!G4692</f>
        <v>#REF!</v>
      </c>
      <c r="H4692" s="31" t="e">
        <f>'[4]#REF'!I4692</f>
        <v>#REF!</v>
      </c>
      <c r="I4692" s="32" t="e">
        <f t="shared" si="104"/>
        <v>#REF!</v>
      </c>
    </row>
    <row r="4693" ht="15.75" spans="6:9">
      <c r="F4693" s="12" t="e">
        <f>'[4]#REF'!F4693</f>
        <v>#REF!</v>
      </c>
      <c r="G4693" s="12" t="e">
        <f>'[4]#REF'!G4693</f>
        <v>#REF!</v>
      </c>
      <c r="H4693" s="31" t="e">
        <f>'[4]#REF'!I4693</f>
        <v>#REF!</v>
      </c>
      <c r="I4693" s="32" t="e">
        <f t="shared" si="104"/>
        <v>#REF!</v>
      </c>
    </row>
    <row r="4694" ht="15.75" spans="6:9">
      <c r="F4694" s="12" t="e">
        <f>'[4]#REF'!F4694</f>
        <v>#REF!</v>
      </c>
      <c r="G4694" s="12" t="e">
        <f>'[4]#REF'!G4694</f>
        <v>#REF!</v>
      </c>
      <c r="H4694" s="31" t="e">
        <f>'[4]#REF'!I4694</f>
        <v>#REF!</v>
      </c>
      <c r="I4694" s="32" t="e">
        <f t="shared" si="104"/>
        <v>#REF!</v>
      </c>
    </row>
    <row r="4695" ht="15.75" spans="6:9">
      <c r="F4695" s="12" t="e">
        <f>'[4]#REF'!F4695</f>
        <v>#REF!</v>
      </c>
      <c r="G4695" s="12" t="e">
        <f>'[4]#REF'!G4695</f>
        <v>#REF!</v>
      </c>
      <c r="H4695" s="31" t="e">
        <f>'[4]#REF'!I4695</f>
        <v>#REF!</v>
      </c>
      <c r="I4695" s="32" t="e">
        <f t="shared" si="104"/>
        <v>#REF!</v>
      </c>
    </row>
    <row r="4696" ht="15.75" spans="6:9">
      <c r="F4696" s="12" t="e">
        <f>'[4]#REF'!F4696</f>
        <v>#REF!</v>
      </c>
      <c r="G4696" s="12" t="e">
        <f>'[4]#REF'!G4696</f>
        <v>#REF!</v>
      </c>
      <c r="H4696" s="31" t="e">
        <f>'[4]#REF'!I4696</f>
        <v>#REF!</v>
      </c>
      <c r="I4696" s="32" t="e">
        <f t="shared" si="104"/>
        <v>#REF!</v>
      </c>
    </row>
    <row r="4697" ht="15.75" spans="6:9">
      <c r="F4697" s="12" t="e">
        <f>'[4]#REF'!F4697</f>
        <v>#REF!</v>
      </c>
      <c r="G4697" s="12" t="e">
        <f>'[4]#REF'!G4697</f>
        <v>#REF!</v>
      </c>
      <c r="H4697" s="31" t="e">
        <f>'[4]#REF'!I4697</f>
        <v>#REF!</v>
      </c>
      <c r="I4697" s="32" t="e">
        <f t="shared" si="104"/>
        <v>#REF!</v>
      </c>
    </row>
    <row r="4698" ht="15.75" spans="6:9">
      <c r="F4698" s="12" t="e">
        <f>'[4]#REF'!F4698</f>
        <v>#REF!</v>
      </c>
      <c r="G4698" s="12" t="e">
        <f>'[4]#REF'!G4698</f>
        <v>#REF!</v>
      </c>
      <c r="H4698" s="31" t="e">
        <f>'[4]#REF'!I4698</f>
        <v>#REF!</v>
      </c>
      <c r="I4698" s="32" t="e">
        <f t="shared" si="104"/>
        <v>#REF!</v>
      </c>
    </row>
    <row r="4699" ht="15.75" spans="6:9">
      <c r="F4699" s="12" t="e">
        <f>'[4]#REF'!F4699</f>
        <v>#REF!</v>
      </c>
      <c r="G4699" s="12" t="e">
        <f>'[4]#REF'!G4699</f>
        <v>#REF!</v>
      </c>
      <c r="H4699" s="31" t="e">
        <f>'[4]#REF'!I4699</f>
        <v>#REF!</v>
      </c>
      <c r="I4699" s="32" t="e">
        <f t="shared" si="104"/>
        <v>#REF!</v>
      </c>
    </row>
    <row r="4700" ht="15.75" spans="6:9">
      <c r="F4700" s="12" t="e">
        <f>'[4]#REF'!F4700</f>
        <v>#REF!</v>
      </c>
      <c r="G4700" s="12" t="e">
        <f>'[4]#REF'!G4700</f>
        <v>#REF!</v>
      </c>
      <c r="H4700" s="31" t="e">
        <f>'[4]#REF'!I4700</f>
        <v>#REF!</v>
      </c>
      <c r="I4700" s="32" t="e">
        <f t="shared" si="104"/>
        <v>#REF!</v>
      </c>
    </row>
    <row r="4701" ht="15.75" spans="6:9">
      <c r="F4701" s="12" t="e">
        <f>'[4]#REF'!F4701</f>
        <v>#REF!</v>
      </c>
      <c r="G4701" s="12" t="e">
        <f>'[4]#REF'!G4701</f>
        <v>#REF!</v>
      </c>
      <c r="H4701" s="31" t="e">
        <f>'[4]#REF'!I4701</f>
        <v>#REF!</v>
      </c>
      <c r="I4701" s="32" t="e">
        <f t="shared" si="104"/>
        <v>#REF!</v>
      </c>
    </row>
    <row r="4702" ht="15.75" spans="6:9">
      <c r="F4702" s="12" t="e">
        <f>'[4]#REF'!F4702</f>
        <v>#REF!</v>
      </c>
      <c r="G4702" s="12" t="e">
        <f>'[4]#REF'!G4702</f>
        <v>#REF!</v>
      </c>
      <c r="H4702" s="31" t="e">
        <f>'[4]#REF'!I4702</f>
        <v>#REF!</v>
      </c>
      <c r="I4702" s="32" t="e">
        <f t="shared" si="104"/>
        <v>#REF!</v>
      </c>
    </row>
    <row r="4703" ht="15.75" spans="6:9">
      <c r="F4703" s="12" t="e">
        <f>'[4]#REF'!F4703</f>
        <v>#REF!</v>
      </c>
      <c r="G4703" s="12" t="e">
        <f>'[4]#REF'!G4703</f>
        <v>#REF!</v>
      </c>
      <c r="H4703" s="31" t="e">
        <f>'[4]#REF'!I4703</f>
        <v>#REF!</v>
      </c>
      <c r="I4703" s="32" t="e">
        <f t="shared" si="104"/>
        <v>#REF!</v>
      </c>
    </row>
    <row r="4704" ht="15.75" spans="6:9">
      <c r="F4704" s="12" t="e">
        <f>'[4]#REF'!F4704</f>
        <v>#REF!</v>
      </c>
      <c r="G4704" s="12" t="e">
        <f>'[4]#REF'!G4704</f>
        <v>#REF!</v>
      </c>
      <c r="H4704" s="31" t="e">
        <f>'[4]#REF'!I4704</f>
        <v>#REF!</v>
      </c>
      <c r="I4704" s="32" t="e">
        <f t="shared" si="104"/>
        <v>#REF!</v>
      </c>
    </row>
    <row r="4705" ht="15.75" spans="6:9">
      <c r="F4705" s="12" t="e">
        <f>'[4]#REF'!F4705</f>
        <v>#REF!</v>
      </c>
      <c r="G4705" s="12" t="e">
        <f>'[4]#REF'!G4705</f>
        <v>#REF!</v>
      </c>
      <c r="H4705" s="31" t="e">
        <f>'[4]#REF'!I4705</f>
        <v>#REF!</v>
      </c>
      <c r="I4705" s="32" t="e">
        <f t="shared" si="104"/>
        <v>#REF!</v>
      </c>
    </row>
    <row r="4706" ht="15.75" spans="6:9">
      <c r="F4706" s="12" t="e">
        <f>'[4]#REF'!F4706</f>
        <v>#REF!</v>
      </c>
      <c r="G4706" s="12" t="e">
        <f>'[4]#REF'!G4706</f>
        <v>#REF!</v>
      </c>
      <c r="H4706" s="31" t="e">
        <f>'[4]#REF'!I4706</f>
        <v>#REF!</v>
      </c>
      <c r="I4706" s="32" t="e">
        <f t="shared" si="104"/>
        <v>#REF!</v>
      </c>
    </row>
    <row r="4707" ht="15.75" spans="6:9">
      <c r="F4707" s="12" t="e">
        <f>'[4]#REF'!F4707</f>
        <v>#REF!</v>
      </c>
      <c r="G4707" s="12" t="e">
        <f>'[4]#REF'!G4707</f>
        <v>#REF!</v>
      </c>
      <c r="H4707" s="31" t="e">
        <f>'[4]#REF'!I4707</f>
        <v>#REF!</v>
      </c>
      <c r="I4707" s="32" t="e">
        <f t="shared" si="104"/>
        <v>#REF!</v>
      </c>
    </row>
    <row r="4708" ht="15.75" spans="6:9">
      <c r="F4708" s="12" t="e">
        <f>'[4]#REF'!F4708</f>
        <v>#REF!</v>
      </c>
      <c r="G4708" s="12" t="e">
        <f>'[4]#REF'!G4708</f>
        <v>#REF!</v>
      </c>
      <c r="H4708" s="31" t="e">
        <f>'[4]#REF'!I4708</f>
        <v>#REF!</v>
      </c>
      <c r="I4708" s="32" t="e">
        <f t="shared" si="104"/>
        <v>#REF!</v>
      </c>
    </row>
    <row r="4709" ht="15.75" spans="6:9">
      <c r="F4709" s="12" t="e">
        <f>'[4]#REF'!F4709</f>
        <v>#REF!</v>
      </c>
      <c r="G4709" s="12" t="e">
        <f>'[4]#REF'!G4709</f>
        <v>#REF!</v>
      </c>
      <c r="H4709" s="31" t="e">
        <f>'[4]#REF'!I4709</f>
        <v>#REF!</v>
      </c>
      <c r="I4709" s="32" t="e">
        <f t="shared" si="104"/>
        <v>#REF!</v>
      </c>
    </row>
    <row r="4710" ht="15.75" spans="6:9">
      <c r="F4710" s="12" t="e">
        <f>'[4]#REF'!F4710</f>
        <v>#REF!</v>
      </c>
      <c r="G4710" s="12" t="e">
        <f>'[4]#REF'!G4710</f>
        <v>#REF!</v>
      </c>
      <c r="H4710" s="31" t="e">
        <f>'[4]#REF'!I4710</f>
        <v>#REF!</v>
      </c>
      <c r="I4710" s="32" t="e">
        <f t="shared" si="104"/>
        <v>#REF!</v>
      </c>
    </row>
    <row r="4711" ht="15.75" spans="6:9">
      <c r="F4711" s="12" t="e">
        <f>'[4]#REF'!F4711</f>
        <v>#REF!</v>
      </c>
      <c r="G4711" s="12" t="e">
        <f>'[4]#REF'!G4711</f>
        <v>#REF!</v>
      </c>
      <c r="H4711" s="31" t="e">
        <f>'[4]#REF'!I4711</f>
        <v>#REF!</v>
      </c>
      <c r="I4711" s="32" t="e">
        <f t="shared" si="104"/>
        <v>#REF!</v>
      </c>
    </row>
    <row r="4712" ht="15.75" spans="6:9">
      <c r="F4712" s="12" t="e">
        <f>'[4]#REF'!F4712</f>
        <v>#REF!</v>
      </c>
      <c r="G4712" s="12" t="e">
        <f>'[4]#REF'!G4712</f>
        <v>#REF!</v>
      </c>
      <c r="H4712" s="31" t="e">
        <f>'[4]#REF'!I4712</f>
        <v>#REF!</v>
      </c>
      <c r="I4712" s="32" t="e">
        <f t="shared" si="104"/>
        <v>#REF!</v>
      </c>
    </row>
    <row r="4713" ht="15.75" spans="6:9">
      <c r="F4713" s="12" t="e">
        <f>'[4]#REF'!F4713</f>
        <v>#REF!</v>
      </c>
      <c r="G4713" s="12" t="e">
        <f>'[4]#REF'!G4713</f>
        <v>#REF!</v>
      </c>
      <c r="H4713" s="31" t="e">
        <f>'[4]#REF'!I4713</f>
        <v>#REF!</v>
      </c>
      <c r="I4713" s="32" t="e">
        <f t="shared" si="104"/>
        <v>#REF!</v>
      </c>
    </row>
    <row r="4714" ht="15.75" spans="6:9">
      <c r="F4714" s="12" t="e">
        <f>'[4]#REF'!F4714</f>
        <v>#REF!</v>
      </c>
      <c r="G4714" s="12" t="e">
        <f>'[4]#REF'!G4714</f>
        <v>#REF!</v>
      </c>
      <c r="H4714" s="31" t="e">
        <f>'[4]#REF'!I4714</f>
        <v>#REF!</v>
      </c>
      <c r="I4714" s="32" t="e">
        <f t="shared" si="104"/>
        <v>#REF!</v>
      </c>
    </row>
    <row r="4715" ht="15.75" spans="6:9">
      <c r="F4715" s="12" t="e">
        <f>'[4]#REF'!F4715</f>
        <v>#REF!</v>
      </c>
      <c r="G4715" s="12" t="e">
        <f>'[4]#REF'!G4715</f>
        <v>#REF!</v>
      </c>
      <c r="H4715" s="31" t="e">
        <f>'[4]#REF'!I4715</f>
        <v>#REF!</v>
      </c>
      <c r="I4715" s="32" t="e">
        <f t="shared" si="104"/>
        <v>#REF!</v>
      </c>
    </row>
    <row r="4716" ht="15.75" spans="6:9">
      <c r="F4716" s="12" t="e">
        <f>'[4]#REF'!F4716</f>
        <v>#REF!</v>
      </c>
      <c r="G4716" s="12" t="e">
        <f>'[4]#REF'!G4716</f>
        <v>#REF!</v>
      </c>
      <c r="H4716" s="31" t="e">
        <f>'[4]#REF'!I4716</f>
        <v>#REF!</v>
      </c>
      <c r="I4716" s="32" t="e">
        <f t="shared" si="104"/>
        <v>#REF!</v>
      </c>
    </row>
    <row r="4717" ht="15.75" spans="6:9">
      <c r="F4717" s="12" t="e">
        <f>'[4]#REF'!F4717</f>
        <v>#REF!</v>
      </c>
      <c r="G4717" s="12" t="e">
        <f>'[4]#REF'!G4717</f>
        <v>#REF!</v>
      </c>
      <c r="H4717" s="31" t="e">
        <f>'[4]#REF'!I4717</f>
        <v>#REF!</v>
      </c>
      <c r="I4717" s="32" t="e">
        <f t="shared" si="104"/>
        <v>#REF!</v>
      </c>
    </row>
    <row r="4718" ht="15.75" spans="6:9">
      <c r="F4718" s="12" t="e">
        <f>'[4]#REF'!F4718</f>
        <v>#REF!</v>
      </c>
      <c r="G4718" s="12" t="e">
        <f>'[4]#REF'!G4718</f>
        <v>#REF!</v>
      </c>
      <c r="H4718" s="31" t="e">
        <f>'[4]#REF'!I4718</f>
        <v>#REF!</v>
      </c>
      <c r="I4718" s="32" t="e">
        <f t="shared" si="104"/>
        <v>#REF!</v>
      </c>
    </row>
    <row r="4719" ht="15.75" spans="6:9">
      <c r="F4719" s="12" t="e">
        <f>'[4]#REF'!F4719</f>
        <v>#REF!</v>
      </c>
      <c r="G4719" s="12" t="e">
        <f>'[4]#REF'!G4719</f>
        <v>#REF!</v>
      </c>
      <c r="H4719" s="31" t="e">
        <f>'[4]#REF'!I4719</f>
        <v>#REF!</v>
      </c>
      <c r="I4719" s="32" t="e">
        <f t="shared" si="104"/>
        <v>#REF!</v>
      </c>
    </row>
    <row r="4720" ht="15.75" spans="6:9">
      <c r="F4720" s="12" t="e">
        <f>'[4]#REF'!F4720</f>
        <v>#REF!</v>
      </c>
      <c r="G4720" s="12" t="e">
        <f>'[4]#REF'!G4720</f>
        <v>#REF!</v>
      </c>
      <c r="H4720" s="31" t="e">
        <f>'[4]#REF'!I4720</f>
        <v>#REF!</v>
      </c>
      <c r="I4720" s="32" t="e">
        <f t="shared" si="104"/>
        <v>#REF!</v>
      </c>
    </row>
    <row r="4721" ht="15.75" spans="6:9">
      <c r="F4721" s="12" t="e">
        <f>'[4]#REF'!F4721</f>
        <v>#REF!</v>
      </c>
      <c r="G4721" s="12" t="e">
        <f>'[4]#REF'!G4721</f>
        <v>#REF!</v>
      </c>
      <c r="H4721" s="31" t="e">
        <f>'[4]#REF'!I4721</f>
        <v>#REF!</v>
      </c>
      <c r="I4721" s="32" t="e">
        <f t="shared" si="104"/>
        <v>#REF!</v>
      </c>
    </row>
    <row r="4722" ht="15.75" spans="6:9">
      <c r="F4722" s="12" t="e">
        <f>'[4]#REF'!F4722</f>
        <v>#REF!</v>
      </c>
      <c r="G4722" s="12" t="e">
        <f>'[4]#REF'!G4722</f>
        <v>#REF!</v>
      </c>
      <c r="H4722" s="31" t="e">
        <f>'[4]#REF'!I4722</f>
        <v>#REF!</v>
      </c>
      <c r="I4722" s="32" t="e">
        <f t="shared" si="104"/>
        <v>#REF!</v>
      </c>
    </row>
    <row r="4723" ht="15.75" spans="6:9">
      <c r="F4723" s="12" t="e">
        <f>'[4]#REF'!F4723</f>
        <v>#REF!</v>
      </c>
      <c r="G4723" s="12" t="e">
        <f>'[4]#REF'!G4723</f>
        <v>#REF!</v>
      </c>
      <c r="H4723" s="31" t="e">
        <f>'[4]#REF'!I4723</f>
        <v>#REF!</v>
      </c>
      <c r="I4723" s="32" t="e">
        <f t="shared" si="104"/>
        <v>#REF!</v>
      </c>
    </row>
    <row r="4724" ht="15.75" spans="6:9">
      <c r="F4724" s="12" t="e">
        <f>'[4]#REF'!F4724</f>
        <v>#REF!</v>
      </c>
      <c r="G4724" s="12" t="e">
        <f>'[4]#REF'!G4724</f>
        <v>#REF!</v>
      </c>
      <c r="H4724" s="31" t="e">
        <f>'[4]#REF'!I4724</f>
        <v>#REF!</v>
      </c>
      <c r="I4724" s="32" t="e">
        <f t="shared" si="104"/>
        <v>#REF!</v>
      </c>
    </row>
    <row r="4725" ht="15.75" spans="6:9">
      <c r="F4725" s="12" t="e">
        <f>'[4]#REF'!F4725</f>
        <v>#REF!</v>
      </c>
      <c r="G4725" s="12" t="e">
        <f>'[4]#REF'!G4725</f>
        <v>#REF!</v>
      </c>
      <c r="H4725" s="31" t="e">
        <f>'[4]#REF'!I4725</f>
        <v>#REF!</v>
      </c>
      <c r="I4725" s="32" t="e">
        <f t="shared" si="104"/>
        <v>#REF!</v>
      </c>
    </row>
    <row r="4726" ht="15.75" spans="6:9">
      <c r="F4726" s="12" t="e">
        <f>'[4]#REF'!F4726</f>
        <v>#REF!</v>
      </c>
      <c r="G4726" s="12" t="e">
        <f>'[4]#REF'!G4726</f>
        <v>#REF!</v>
      </c>
      <c r="H4726" s="31" t="e">
        <f>'[4]#REF'!I4726</f>
        <v>#REF!</v>
      </c>
      <c r="I4726" s="32" t="e">
        <f t="shared" si="104"/>
        <v>#REF!</v>
      </c>
    </row>
    <row r="4727" ht="15.75" spans="6:9">
      <c r="F4727" s="12" t="e">
        <f>'[4]#REF'!F4727</f>
        <v>#REF!</v>
      </c>
      <c r="G4727" s="12" t="e">
        <f>'[4]#REF'!G4727</f>
        <v>#REF!</v>
      </c>
      <c r="H4727" s="31" t="e">
        <f>'[4]#REF'!I4727</f>
        <v>#REF!</v>
      </c>
      <c r="I4727" s="32" t="e">
        <f t="shared" si="104"/>
        <v>#REF!</v>
      </c>
    </row>
    <row r="4728" ht="15.75" spans="6:9">
      <c r="F4728" s="12" t="e">
        <f>'[4]#REF'!F4728</f>
        <v>#REF!</v>
      </c>
      <c r="G4728" s="12" t="e">
        <f>'[4]#REF'!G4728</f>
        <v>#REF!</v>
      </c>
      <c r="H4728" s="31" t="e">
        <f>'[4]#REF'!I4728</f>
        <v>#REF!</v>
      </c>
      <c r="I4728" s="32" t="e">
        <f t="shared" si="104"/>
        <v>#REF!</v>
      </c>
    </row>
    <row r="4729" ht="15.75" spans="6:9">
      <c r="F4729" s="12" t="e">
        <f>'[4]#REF'!F4729</f>
        <v>#REF!</v>
      </c>
      <c r="G4729" s="12" t="e">
        <f>'[4]#REF'!G4729</f>
        <v>#REF!</v>
      </c>
      <c r="H4729" s="31" t="e">
        <f>'[4]#REF'!I4729</f>
        <v>#REF!</v>
      </c>
      <c r="I4729" s="32" t="e">
        <f t="shared" si="104"/>
        <v>#REF!</v>
      </c>
    </row>
    <row r="4730" ht="15.75" spans="6:9">
      <c r="F4730" s="12" t="e">
        <f>'[4]#REF'!F4730</f>
        <v>#REF!</v>
      </c>
      <c r="G4730" s="12" t="e">
        <f>'[4]#REF'!G4730</f>
        <v>#REF!</v>
      </c>
      <c r="H4730" s="31" t="e">
        <f>'[4]#REF'!I4730</f>
        <v>#REF!</v>
      </c>
      <c r="I4730" s="32" t="e">
        <f t="shared" si="104"/>
        <v>#REF!</v>
      </c>
    </row>
    <row r="4731" ht="15.75" spans="6:9">
      <c r="F4731" s="12" t="e">
        <f>'[4]#REF'!F4731</f>
        <v>#REF!</v>
      </c>
      <c r="G4731" s="12" t="e">
        <f>'[4]#REF'!G4731</f>
        <v>#REF!</v>
      </c>
      <c r="H4731" s="31" t="e">
        <f>'[4]#REF'!I4731</f>
        <v>#REF!</v>
      </c>
      <c r="I4731" s="32" t="e">
        <f t="shared" si="104"/>
        <v>#REF!</v>
      </c>
    </row>
    <row r="4732" ht="15.75" spans="6:9">
      <c r="F4732" s="12" t="e">
        <f>'[4]#REF'!F4732</f>
        <v>#REF!</v>
      </c>
      <c r="G4732" s="12" t="e">
        <f>'[4]#REF'!G4732</f>
        <v>#REF!</v>
      </c>
      <c r="H4732" s="31" t="e">
        <f>'[4]#REF'!I4732</f>
        <v>#REF!</v>
      </c>
      <c r="I4732" s="32" t="e">
        <f t="shared" si="104"/>
        <v>#REF!</v>
      </c>
    </row>
    <row r="4733" ht="15.75" spans="6:9">
      <c r="F4733" s="12" t="e">
        <f>'[4]#REF'!F4733</f>
        <v>#REF!</v>
      </c>
      <c r="G4733" s="12" t="e">
        <f>'[4]#REF'!G4733</f>
        <v>#REF!</v>
      </c>
      <c r="H4733" s="31" t="e">
        <f>'[4]#REF'!I4733</f>
        <v>#REF!</v>
      </c>
      <c r="I4733" s="32" t="e">
        <f t="shared" si="104"/>
        <v>#REF!</v>
      </c>
    </row>
    <row r="4734" ht="15.75" spans="6:9">
      <c r="F4734" s="12" t="e">
        <f>'[4]#REF'!F4734</f>
        <v>#REF!</v>
      </c>
      <c r="G4734" s="12" t="e">
        <f>'[4]#REF'!G4734</f>
        <v>#REF!</v>
      </c>
      <c r="H4734" s="31" t="e">
        <f>'[4]#REF'!I4734</f>
        <v>#REF!</v>
      </c>
      <c r="I4734" s="32" t="e">
        <f t="shared" si="104"/>
        <v>#REF!</v>
      </c>
    </row>
    <row r="4735" ht="15.75" spans="6:9">
      <c r="F4735" s="12" t="e">
        <f>'[4]#REF'!F4735</f>
        <v>#REF!</v>
      </c>
      <c r="G4735" s="12" t="e">
        <f>'[4]#REF'!G4735</f>
        <v>#REF!</v>
      </c>
      <c r="H4735" s="31" t="e">
        <f>'[4]#REF'!I4735</f>
        <v>#REF!</v>
      </c>
      <c r="I4735" s="32" t="e">
        <f t="shared" si="104"/>
        <v>#REF!</v>
      </c>
    </row>
    <row r="4736" ht="15.75" spans="6:9">
      <c r="F4736" s="12" t="e">
        <f>'[4]#REF'!F4736</f>
        <v>#REF!</v>
      </c>
      <c r="G4736" s="12" t="e">
        <f>'[4]#REF'!G4736</f>
        <v>#REF!</v>
      </c>
      <c r="H4736" s="31" t="e">
        <f>'[4]#REF'!I4736</f>
        <v>#REF!</v>
      </c>
      <c r="I4736" s="32" t="e">
        <f t="shared" si="104"/>
        <v>#REF!</v>
      </c>
    </row>
    <row r="4737" ht="15.75" spans="6:9">
      <c r="F4737" s="12" t="e">
        <f>'[4]#REF'!F4737</f>
        <v>#REF!</v>
      </c>
      <c r="G4737" s="12" t="e">
        <f>'[4]#REF'!G4737</f>
        <v>#REF!</v>
      </c>
      <c r="H4737" s="31" t="e">
        <f>'[4]#REF'!I4737</f>
        <v>#REF!</v>
      </c>
      <c r="I4737" s="32" t="e">
        <f t="shared" si="104"/>
        <v>#REF!</v>
      </c>
    </row>
    <row r="4738" ht="15.75" spans="6:9">
      <c r="F4738" s="12" t="e">
        <f>'[4]#REF'!F4738</f>
        <v>#REF!</v>
      </c>
      <c r="G4738" s="12" t="e">
        <f>'[4]#REF'!G4738</f>
        <v>#REF!</v>
      </c>
      <c r="H4738" s="31" t="e">
        <f>'[4]#REF'!I4738</f>
        <v>#REF!</v>
      </c>
      <c r="I4738" s="32" t="e">
        <f t="shared" si="104"/>
        <v>#REF!</v>
      </c>
    </row>
    <row r="4739" ht="15.75" spans="6:9">
      <c r="F4739" s="12" t="e">
        <f>'[4]#REF'!F4739</f>
        <v>#REF!</v>
      </c>
      <c r="G4739" s="12" t="e">
        <f>'[4]#REF'!G4739</f>
        <v>#REF!</v>
      </c>
      <c r="H4739" s="31" t="e">
        <f>'[4]#REF'!I4739</f>
        <v>#REF!</v>
      </c>
      <c r="I4739" s="32" t="e">
        <f t="shared" si="104"/>
        <v>#REF!</v>
      </c>
    </row>
    <row r="4740" ht="15.75" spans="6:9">
      <c r="F4740" s="12" t="e">
        <f>'[4]#REF'!F4740</f>
        <v>#REF!</v>
      </c>
      <c r="G4740" s="12" t="e">
        <f>'[4]#REF'!G4740</f>
        <v>#REF!</v>
      </c>
      <c r="H4740" s="31" t="e">
        <f>'[4]#REF'!I4740</f>
        <v>#REF!</v>
      </c>
      <c r="I4740" s="32" t="e">
        <f t="shared" si="104"/>
        <v>#REF!</v>
      </c>
    </row>
    <row r="4741" ht="15.75" spans="6:9">
      <c r="F4741" s="12" t="e">
        <f>'[4]#REF'!F4741</f>
        <v>#REF!</v>
      </c>
      <c r="G4741" s="12" t="e">
        <f>'[4]#REF'!G4741</f>
        <v>#REF!</v>
      </c>
      <c r="H4741" s="31" t="e">
        <f>'[4]#REF'!I4741</f>
        <v>#REF!</v>
      </c>
      <c r="I4741" s="32" t="e">
        <f t="shared" si="104"/>
        <v>#REF!</v>
      </c>
    </row>
    <row r="4742" ht="15.75" spans="6:9">
      <c r="F4742" s="12" t="e">
        <f>'[4]#REF'!F4742</f>
        <v>#REF!</v>
      </c>
      <c r="G4742" s="12" t="e">
        <f>'[4]#REF'!G4742</f>
        <v>#REF!</v>
      </c>
      <c r="H4742" s="31" t="e">
        <f>'[4]#REF'!I4742</f>
        <v>#REF!</v>
      </c>
      <c r="I4742" s="32" t="e">
        <f t="shared" ref="I4742:I4805" si="105">ROUND(H4742/$I$4*100,2)</f>
        <v>#REF!</v>
      </c>
    </row>
    <row r="4743" ht="15.75" spans="6:9">
      <c r="F4743" s="12" t="e">
        <f>'[4]#REF'!F4743</f>
        <v>#REF!</v>
      </c>
      <c r="G4743" s="12" t="e">
        <f>'[4]#REF'!G4743</f>
        <v>#REF!</v>
      </c>
      <c r="H4743" s="31" t="e">
        <f>'[4]#REF'!I4743</f>
        <v>#REF!</v>
      </c>
      <c r="I4743" s="32" t="e">
        <f t="shared" si="105"/>
        <v>#REF!</v>
      </c>
    </row>
    <row r="4744" ht="15.75" spans="6:9">
      <c r="F4744" s="12" t="e">
        <f>'[4]#REF'!F4744</f>
        <v>#REF!</v>
      </c>
      <c r="G4744" s="12" t="e">
        <f>'[4]#REF'!G4744</f>
        <v>#REF!</v>
      </c>
      <c r="H4744" s="31" t="e">
        <f>'[4]#REF'!I4744</f>
        <v>#REF!</v>
      </c>
      <c r="I4744" s="32" t="e">
        <f t="shared" si="105"/>
        <v>#REF!</v>
      </c>
    </row>
    <row r="4745" ht="15.75" spans="6:9">
      <c r="F4745" s="12" t="e">
        <f>'[4]#REF'!F4745</f>
        <v>#REF!</v>
      </c>
      <c r="G4745" s="12" t="e">
        <f>'[4]#REF'!G4745</f>
        <v>#REF!</v>
      </c>
      <c r="H4745" s="31" t="e">
        <f>'[4]#REF'!I4745</f>
        <v>#REF!</v>
      </c>
      <c r="I4745" s="32" t="e">
        <f t="shared" si="105"/>
        <v>#REF!</v>
      </c>
    </row>
    <row r="4746" ht="15.75" spans="6:9">
      <c r="F4746" s="12" t="e">
        <f>'[4]#REF'!F4746</f>
        <v>#REF!</v>
      </c>
      <c r="G4746" s="12" t="e">
        <f>'[4]#REF'!G4746</f>
        <v>#REF!</v>
      </c>
      <c r="H4746" s="31" t="e">
        <f>'[4]#REF'!I4746</f>
        <v>#REF!</v>
      </c>
      <c r="I4746" s="32" t="e">
        <f t="shared" si="105"/>
        <v>#REF!</v>
      </c>
    </row>
    <row r="4747" ht="15.75" spans="6:9">
      <c r="F4747" s="12" t="e">
        <f>'[4]#REF'!F4747</f>
        <v>#REF!</v>
      </c>
      <c r="G4747" s="12" t="e">
        <f>'[4]#REF'!G4747</f>
        <v>#REF!</v>
      </c>
      <c r="H4747" s="31" t="e">
        <f>'[4]#REF'!I4747</f>
        <v>#REF!</v>
      </c>
      <c r="I4747" s="32" t="e">
        <f t="shared" si="105"/>
        <v>#REF!</v>
      </c>
    </row>
    <row r="4748" ht="15.75" spans="6:9">
      <c r="F4748" s="12" t="e">
        <f>'[4]#REF'!F4748</f>
        <v>#REF!</v>
      </c>
      <c r="G4748" s="12" t="e">
        <f>'[4]#REF'!G4748</f>
        <v>#REF!</v>
      </c>
      <c r="H4748" s="31" t="e">
        <f>'[4]#REF'!I4748</f>
        <v>#REF!</v>
      </c>
      <c r="I4748" s="32" t="e">
        <f t="shared" si="105"/>
        <v>#REF!</v>
      </c>
    </row>
    <row r="4749" ht="15.75" spans="6:9">
      <c r="F4749" s="12" t="e">
        <f>'[4]#REF'!F4749</f>
        <v>#REF!</v>
      </c>
      <c r="G4749" s="12" t="e">
        <f>'[4]#REF'!G4749</f>
        <v>#REF!</v>
      </c>
      <c r="H4749" s="31" t="e">
        <f>'[4]#REF'!I4749</f>
        <v>#REF!</v>
      </c>
      <c r="I4749" s="32" t="e">
        <f t="shared" si="105"/>
        <v>#REF!</v>
      </c>
    </row>
    <row r="4750" ht="15.75" spans="6:9">
      <c r="F4750" s="12" t="e">
        <f>'[4]#REF'!F4750</f>
        <v>#REF!</v>
      </c>
      <c r="G4750" s="12" t="e">
        <f>'[4]#REF'!G4750</f>
        <v>#REF!</v>
      </c>
      <c r="H4750" s="31" t="e">
        <f>'[4]#REF'!I4750</f>
        <v>#REF!</v>
      </c>
      <c r="I4750" s="32" t="e">
        <f t="shared" si="105"/>
        <v>#REF!</v>
      </c>
    </row>
    <row r="4751" ht="15.75" spans="6:9">
      <c r="F4751" s="12" t="e">
        <f>'[4]#REF'!F4751</f>
        <v>#REF!</v>
      </c>
      <c r="G4751" s="12" t="e">
        <f>'[4]#REF'!G4751</f>
        <v>#REF!</v>
      </c>
      <c r="H4751" s="31" t="e">
        <f>'[4]#REF'!I4751</f>
        <v>#REF!</v>
      </c>
      <c r="I4751" s="32" t="e">
        <f t="shared" si="105"/>
        <v>#REF!</v>
      </c>
    </row>
    <row r="4752" ht="15.75" spans="6:9">
      <c r="F4752" s="12" t="e">
        <f>'[4]#REF'!F4752</f>
        <v>#REF!</v>
      </c>
      <c r="G4752" s="12" t="e">
        <f>'[4]#REF'!G4752</f>
        <v>#REF!</v>
      </c>
      <c r="H4752" s="31" t="e">
        <f>'[4]#REF'!I4752</f>
        <v>#REF!</v>
      </c>
      <c r="I4752" s="32" t="e">
        <f t="shared" si="105"/>
        <v>#REF!</v>
      </c>
    </row>
    <row r="4753" ht="15.75" spans="6:9">
      <c r="F4753" s="12" t="e">
        <f>'[4]#REF'!F4753</f>
        <v>#REF!</v>
      </c>
      <c r="G4753" s="12" t="e">
        <f>'[4]#REF'!G4753</f>
        <v>#REF!</v>
      </c>
      <c r="H4753" s="31" t="e">
        <f>'[4]#REF'!I4753</f>
        <v>#REF!</v>
      </c>
      <c r="I4753" s="32" t="e">
        <f t="shared" si="105"/>
        <v>#REF!</v>
      </c>
    </row>
    <row r="4754" ht="15.75" spans="6:9">
      <c r="F4754" s="12" t="e">
        <f>'[4]#REF'!F4754</f>
        <v>#REF!</v>
      </c>
      <c r="G4754" s="12" t="e">
        <f>'[4]#REF'!G4754</f>
        <v>#REF!</v>
      </c>
      <c r="H4754" s="31" t="e">
        <f>'[4]#REF'!I4754</f>
        <v>#REF!</v>
      </c>
      <c r="I4754" s="32" t="e">
        <f t="shared" si="105"/>
        <v>#REF!</v>
      </c>
    </row>
    <row r="4755" ht="15.75" spans="6:9">
      <c r="F4755" s="12" t="e">
        <f>'[4]#REF'!F4755</f>
        <v>#REF!</v>
      </c>
      <c r="G4755" s="12" t="e">
        <f>'[4]#REF'!G4755</f>
        <v>#REF!</v>
      </c>
      <c r="H4755" s="31" t="e">
        <f>'[4]#REF'!I4755</f>
        <v>#REF!</v>
      </c>
      <c r="I4755" s="32" t="e">
        <f t="shared" si="105"/>
        <v>#REF!</v>
      </c>
    </row>
    <row r="4756" ht="15.75" spans="6:9">
      <c r="F4756" s="12" t="e">
        <f>'[4]#REF'!F4756</f>
        <v>#REF!</v>
      </c>
      <c r="G4756" s="12" t="e">
        <f>'[4]#REF'!G4756</f>
        <v>#REF!</v>
      </c>
      <c r="H4756" s="31" t="e">
        <f>'[4]#REF'!I4756</f>
        <v>#REF!</v>
      </c>
      <c r="I4756" s="32" t="e">
        <f t="shared" si="105"/>
        <v>#REF!</v>
      </c>
    </row>
    <row r="4757" ht="15.75" spans="6:9">
      <c r="F4757" s="12" t="e">
        <f>'[4]#REF'!F4757</f>
        <v>#REF!</v>
      </c>
      <c r="G4757" s="12" t="e">
        <f>'[4]#REF'!G4757</f>
        <v>#REF!</v>
      </c>
      <c r="H4757" s="31" t="e">
        <f>'[4]#REF'!I4757</f>
        <v>#REF!</v>
      </c>
      <c r="I4757" s="32" t="e">
        <f t="shared" si="105"/>
        <v>#REF!</v>
      </c>
    </row>
    <row r="4758" ht="15.75" spans="6:9">
      <c r="F4758" s="12" t="e">
        <f>'[4]#REF'!F4758</f>
        <v>#REF!</v>
      </c>
      <c r="G4758" s="12" t="e">
        <f>'[4]#REF'!G4758</f>
        <v>#REF!</v>
      </c>
      <c r="H4758" s="31" t="e">
        <f>'[4]#REF'!I4758</f>
        <v>#REF!</v>
      </c>
      <c r="I4758" s="32" t="e">
        <f t="shared" si="105"/>
        <v>#REF!</v>
      </c>
    </row>
    <row r="4759" ht="15.75" spans="6:9">
      <c r="F4759" s="12" t="e">
        <f>'[4]#REF'!F4759</f>
        <v>#REF!</v>
      </c>
      <c r="G4759" s="12" t="e">
        <f>'[4]#REF'!G4759</f>
        <v>#REF!</v>
      </c>
      <c r="H4759" s="31" t="e">
        <f>'[4]#REF'!I4759</f>
        <v>#REF!</v>
      </c>
      <c r="I4759" s="32" t="e">
        <f t="shared" si="105"/>
        <v>#REF!</v>
      </c>
    </row>
    <row r="4760" ht="15.75" spans="6:9">
      <c r="F4760" s="12" t="e">
        <f>'[4]#REF'!F4760</f>
        <v>#REF!</v>
      </c>
      <c r="G4760" s="12" t="e">
        <f>'[4]#REF'!G4760</f>
        <v>#REF!</v>
      </c>
      <c r="H4760" s="31" t="e">
        <f>'[4]#REF'!I4760</f>
        <v>#REF!</v>
      </c>
      <c r="I4760" s="32" t="e">
        <f t="shared" si="105"/>
        <v>#REF!</v>
      </c>
    </row>
    <row r="4761" ht="15.75" spans="6:9">
      <c r="F4761" s="12" t="e">
        <f>'[4]#REF'!F4761</f>
        <v>#REF!</v>
      </c>
      <c r="G4761" s="12" t="e">
        <f>'[4]#REF'!G4761</f>
        <v>#REF!</v>
      </c>
      <c r="H4761" s="31" t="e">
        <f>'[4]#REF'!I4761</f>
        <v>#REF!</v>
      </c>
      <c r="I4761" s="32" t="e">
        <f t="shared" si="105"/>
        <v>#REF!</v>
      </c>
    </row>
    <row r="4762" ht="15.75" spans="6:9">
      <c r="F4762" s="12" t="e">
        <f>'[4]#REF'!F4762</f>
        <v>#REF!</v>
      </c>
      <c r="G4762" s="12" t="e">
        <f>'[4]#REF'!G4762</f>
        <v>#REF!</v>
      </c>
      <c r="H4762" s="31" t="e">
        <f>'[4]#REF'!I4762</f>
        <v>#REF!</v>
      </c>
      <c r="I4762" s="32" t="e">
        <f t="shared" si="105"/>
        <v>#REF!</v>
      </c>
    </row>
    <row r="4763" ht="15.75" spans="6:9">
      <c r="F4763" s="12" t="e">
        <f>'[4]#REF'!F4763</f>
        <v>#REF!</v>
      </c>
      <c r="G4763" s="12" t="e">
        <f>'[4]#REF'!G4763</f>
        <v>#REF!</v>
      </c>
      <c r="H4763" s="31" t="e">
        <f>'[4]#REF'!I4763</f>
        <v>#REF!</v>
      </c>
      <c r="I4763" s="32" t="e">
        <f t="shared" si="105"/>
        <v>#REF!</v>
      </c>
    </row>
    <row r="4764" ht="15.75" spans="6:9">
      <c r="F4764" s="12" t="e">
        <f>'[4]#REF'!F4764</f>
        <v>#REF!</v>
      </c>
      <c r="G4764" s="12" t="e">
        <f>'[4]#REF'!G4764</f>
        <v>#REF!</v>
      </c>
      <c r="H4764" s="31" t="e">
        <f>'[4]#REF'!I4764</f>
        <v>#REF!</v>
      </c>
      <c r="I4764" s="32" t="e">
        <f t="shared" si="105"/>
        <v>#REF!</v>
      </c>
    </row>
    <row r="4765" ht="15.75" spans="6:9">
      <c r="F4765" s="12" t="e">
        <f>'[4]#REF'!F4765</f>
        <v>#REF!</v>
      </c>
      <c r="G4765" s="12" t="e">
        <f>'[4]#REF'!G4765</f>
        <v>#REF!</v>
      </c>
      <c r="H4765" s="31" t="e">
        <f>'[4]#REF'!I4765</f>
        <v>#REF!</v>
      </c>
      <c r="I4765" s="32" t="e">
        <f t="shared" si="105"/>
        <v>#REF!</v>
      </c>
    </row>
    <row r="4766" ht="15.75" spans="6:9">
      <c r="F4766" s="12" t="e">
        <f>'[4]#REF'!F4766</f>
        <v>#REF!</v>
      </c>
      <c r="G4766" s="12" t="e">
        <f>'[4]#REF'!G4766</f>
        <v>#REF!</v>
      </c>
      <c r="H4766" s="31" t="e">
        <f>'[4]#REF'!I4766</f>
        <v>#REF!</v>
      </c>
      <c r="I4766" s="32" t="e">
        <f t="shared" si="105"/>
        <v>#REF!</v>
      </c>
    </row>
    <row r="4767" ht="15.75" spans="6:9">
      <c r="F4767" s="12" t="e">
        <f>'[4]#REF'!F4767</f>
        <v>#REF!</v>
      </c>
      <c r="G4767" s="12" t="e">
        <f>'[4]#REF'!G4767</f>
        <v>#REF!</v>
      </c>
      <c r="H4767" s="31" t="e">
        <f>'[4]#REF'!I4767</f>
        <v>#REF!</v>
      </c>
      <c r="I4767" s="32" t="e">
        <f t="shared" si="105"/>
        <v>#REF!</v>
      </c>
    </row>
    <row r="4768" ht="15.75" spans="6:9">
      <c r="F4768" s="12" t="e">
        <f>'[4]#REF'!F4768</f>
        <v>#REF!</v>
      </c>
      <c r="G4768" s="12" t="e">
        <f>'[4]#REF'!G4768</f>
        <v>#REF!</v>
      </c>
      <c r="H4768" s="31" t="e">
        <f>'[4]#REF'!I4768</f>
        <v>#REF!</v>
      </c>
      <c r="I4768" s="32" t="e">
        <f t="shared" si="105"/>
        <v>#REF!</v>
      </c>
    </row>
    <row r="4769" ht="15.75" spans="6:9">
      <c r="F4769" s="12" t="e">
        <f>'[4]#REF'!F4769</f>
        <v>#REF!</v>
      </c>
      <c r="G4769" s="12" t="e">
        <f>'[4]#REF'!G4769</f>
        <v>#REF!</v>
      </c>
      <c r="H4769" s="31" t="e">
        <f>'[4]#REF'!I4769</f>
        <v>#REF!</v>
      </c>
      <c r="I4769" s="32" t="e">
        <f t="shared" si="105"/>
        <v>#REF!</v>
      </c>
    </row>
    <row r="4770" ht="15.75" spans="6:9">
      <c r="F4770" s="12" t="e">
        <f>'[4]#REF'!F4770</f>
        <v>#REF!</v>
      </c>
      <c r="G4770" s="12" t="e">
        <f>'[4]#REF'!G4770</f>
        <v>#REF!</v>
      </c>
      <c r="H4770" s="31" t="e">
        <f>'[4]#REF'!I4770</f>
        <v>#REF!</v>
      </c>
      <c r="I4770" s="32" t="e">
        <f t="shared" si="105"/>
        <v>#REF!</v>
      </c>
    </row>
    <row r="4771" ht="15.75" spans="6:9">
      <c r="F4771" s="12" t="e">
        <f>'[4]#REF'!F4771</f>
        <v>#REF!</v>
      </c>
      <c r="G4771" s="12" t="e">
        <f>'[4]#REF'!G4771</f>
        <v>#REF!</v>
      </c>
      <c r="H4771" s="31" t="e">
        <f>'[4]#REF'!I4771</f>
        <v>#REF!</v>
      </c>
      <c r="I4771" s="32" t="e">
        <f t="shared" si="105"/>
        <v>#REF!</v>
      </c>
    </row>
    <row r="4772" ht="15.75" spans="6:9">
      <c r="F4772" s="12" t="e">
        <f>'[4]#REF'!F4772</f>
        <v>#REF!</v>
      </c>
      <c r="G4772" s="12" t="e">
        <f>'[4]#REF'!G4772</f>
        <v>#REF!</v>
      </c>
      <c r="H4772" s="31" t="e">
        <f>'[4]#REF'!I4772</f>
        <v>#REF!</v>
      </c>
      <c r="I4772" s="32" t="e">
        <f t="shared" si="105"/>
        <v>#REF!</v>
      </c>
    </row>
    <row r="4773" ht="15.75" spans="6:9">
      <c r="F4773" s="12" t="e">
        <f>'[4]#REF'!F4773</f>
        <v>#REF!</v>
      </c>
      <c r="G4773" s="12" t="e">
        <f>'[4]#REF'!G4773</f>
        <v>#REF!</v>
      </c>
      <c r="H4773" s="31" t="e">
        <f>'[4]#REF'!I4773</f>
        <v>#REF!</v>
      </c>
      <c r="I4773" s="32" t="e">
        <f t="shared" si="105"/>
        <v>#REF!</v>
      </c>
    </row>
    <row r="4774" ht="15.75" spans="6:9">
      <c r="F4774" s="12" t="e">
        <f>'[4]#REF'!F4774</f>
        <v>#REF!</v>
      </c>
      <c r="G4774" s="12" t="e">
        <f>'[4]#REF'!G4774</f>
        <v>#REF!</v>
      </c>
      <c r="H4774" s="31" t="e">
        <f>'[4]#REF'!I4774</f>
        <v>#REF!</v>
      </c>
      <c r="I4774" s="32" t="e">
        <f t="shared" si="105"/>
        <v>#REF!</v>
      </c>
    </row>
    <row r="4775" ht="15.75" spans="6:9">
      <c r="F4775" s="12" t="e">
        <f>'[4]#REF'!F4775</f>
        <v>#REF!</v>
      </c>
      <c r="G4775" s="12" t="e">
        <f>'[4]#REF'!G4775</f>
        <v>#REF!</v>
      </c>
      <c r="H4775" s="31" t="e">
        <f>'[4]#REF'!I4775</f>
        <v>#REF!</v>
      </c>
      <c r="I4775" s="32" t="e">
        <f t="shared" si="105"/>
        <v>#REF!</v>
      </c>
    </row>
    <row r="4776" ht="15.75" spans="6:9">
      <c r="F4776" s="12" t="e">
        <f>'[4]#REF'!F4776</f>
        <v>#REF!</v>
      </c>
      <c r="G4776" s="12" t="e">
        <f>'[4]#REF'!G4776</f>
        <v>#REF!</v>
      </c>
      <c r="H4776" s="31" t="e">
        <f>'[4]#REF'!I4776</f>
        <v>#REF!</v>
      </c>
      <c r="I4776" s="32" t="e">
        <f t="shared" si="105"/>
        <v>#REF!</v>
      </c>
    </row>
    <row r="4777" ht="15.75" spans="6:9">
      <c r="F4777" s="12" t="e">
        <f>'[4]#REF'!F4777</f>
        <v>#REF!</v>
      </c>
      <c r="G4777" s="12" t="e">
        <f>'[4]#REF'!G4777</f>
        <v>#REF!</v>
      </c>
      <c r="H4777" s="31" t="e">
        <f>'[4]#REF'!I4777</f>
        <v>#REF!</v>
      </c>
      <c r="I4777" s="32" t="e">
        <f t="shared" si="105"/>
        <v>#REF!</v>
      </c>
    </row>
    <row r="4778" ht="15.75" spans="6:9">
      <c r="F4778" s="12" t="e">
        <f>'[4]#REF'!F4778</f>
        <v>#REF!</v>
      </c>
      <c r="G4778" s="12" t="e">
        <f>'[4]#REF'!G4778</f>
        <v>#REF!</v>
      </c>
      <c r="H4778" s="31" t="e">
        <f>'[4]#REF'!I4778</f>
        <v>#REF!</v>
      </c>
      <c r="I4778" s="32" t="e">
        <f t="shared" si="105"/>
        <v>#REF!</v>
      </c>
    </row>
    <row r="4779" ht="15.75" spans="6:9">
      <c r="F4779" s="12" t="e">
        <f>'[4]#REF'!F4779</f>
        <v>#REF!</v>
      </c>
      <c r="G4779" s="12" t="e">
        <f>'[4]#REF'!G4779</f>
        <v>#REF!</v>
      </c>
      <c r="H4779" s="31" t="e">
        <f>'[4]#REF'!I4779</f>
        <v>#REF!</v>
      </c>
      <c r="I4779" s="32" t="e">
        <f t="shared" si="105"/>
        <v>#REF!</v>
      </c>
    </row>
    <row r="4780" ht="15.75" spans="6:9">
      <c r="F4780" s="12" t="e">
        <f>'[4]#REF'!F4780</f>
        <v>#REF!</v>
      </c>
      <c r="G4780" s="12" t="e">
        <f>'[4]#REF'!G4780</f>
        <v>#REF!</v>
      </c>
      <c r="H4780" s="31" t="e">
        <f>'[4]#REF'!I4780</f>
        <v>#REF!</v>
      </c>
      <c r="I4780" s="32" t="e">
        <f t="shared" si="105"/>
        <v>#REF!</v>
      </c>
    </row>
    <row r="4781" ht="15.75" spans="6:9">
      <c r="F4781" s="12" t="e">
        <f>'[4]#REF'!F4781</f>
        <v>#REF!</v>
      </c>
      <c r="G4781" s="12" t="e">
        <f>'[4]#REF'!G4781</f>
        <v>#REF!</v>
      </c>
      <c r="H4781" s="31" t="e">
        <f>'[4]#REF'!I4781</f>
        <v>#REF!</v>
      </c>
      <c r="I4781" s="32" t="e">
        <f t="shared" si="105"/>
        <v>#REF!</v>
      </c>
    </row>
    <row r="4782" ht="15.75" spans="6:9">
      <c r="F4782" s="12" t="e">
        <f>'[4]#REF'!F4782</f>
        <v>#REF!</v>
      </c>
      <c r="G4782" s="12" t="e">
        <f>'[4]#REF'!G4782</f>
        <v>#REF!</v>
      </c>
      <c r="H4782" s="31" t="e">
        <f>'[4]#REF'!I4782</f>
        <v>#REF!</v>
      </c>
      <c r="I4782" s="32" t="e">
        <f t="shared" si="105"/>
        <v>#REF!</v>
      </c>
    </row>
    <row r="4783" ht="15.75" spans="6:9">
      <c r="F4783" s="12" t="e">
        <f>'[4]#REF'!F4783</f>
        <v>#REF!</v>
      </c>
      <c r="G4783" s="12" t="e">
        <f>'[4]#REF'!G4783</f>
        <v>#REF!</v>
      </c>
      <c r="H4783" s="31" t="e">
        <f>'[4]#REF'!I4783</f>
        <v>#REF!</v>
      </c>
      <c r="I4783" s="32" t="e">
        <f t="shared" si="105"/>
        <v>#REF!</v>
      </c>
    </row>
    <row r="4784" ht="15.75" spans="6:9">
      <c r="F4784" s="12" t="e">
        <f>'[4]#REF'!F4784</f>
        <v>#REF!</v>
      </c>
      <c r="G4784" s="12" t="e">
        <f>'[4]#REF'!G4784</f>
        <v>#REF!</v>
      </c>
      <c r="H4784" s="31" t="e">
        <f>'[4]#REF'!I4784</f>
        <v>#REF!</v>
      </c>
      <c r="I4784" s="32" t="e">
        <f t="shared" si="105"/>
        <v>#REF!</v>
      </c>
    </row>
    <row r="4785" ht="15.75" spans="6:9">
      <c r="F4785" s="12" t="e">
        <f>'[4]#REF'!F4785</f>
        <v>#REF!</v>
      </c>
      <c r="G4785" s="12" t="e">
        <f>'[4]#REF'!G4785</f>
        <v>#REF!</v>
      </c>
      <c r="H4785" s="31" t="e">
        <f>'[4]#REF'!I4785</f>
        <v>#REF!</v>
      </c>
      <c r="I4785" s="32" t="e">
        <f t="shared" si="105"/>
        <v>#REF!</v>
      </c>
    </row>
    <row r="4786" ht="15.75" spans="6:9">
      <c r="F4786" s="12" t="e">
        <f>'[4]#REF'!F4786</f>
        <v>#REF!</v>
      </c>
      <c r="G4786" s="12" t="e">
        <f>'[4]#REF'!G4786</f>
        <v>#REF!</v>
      </c>
      <c r="H4786" s="31" t="e">
        <f>'[4]#REF'!I4786</f>
        <v>#REF!</v>
      </c>
      <c r="I4786" s="32" t="e">
        <f t="shared" si="105"/>
        <v>#REF!</v>
      </c>
    </row>
    <row r="4787" ht="15.75" spans="6:9">
      <c r="F4787" s="12" t="e">
        <f>'[4]#REF'!F4787</f>
        <v>#REF!</v>
      </c>
      <c r="G4787" s="12" t="e">
        <f>'[4]#REF'!G4787</f>
        <v>#REF!</v>
      </c>
      <c r="H4787" s="31" t="e">
        <f>'[4]#REF'!I4787</f>
        <v>#REF!</v>
      </c>
      <c r="I4787" s="32" t="e">
        <f t="shared" si="105"/>
        <v>#REF!</v>
      </c>
    </row>
    <row r="4788" ht="15.75" spans="6:9">
      <c r="F4788" s="12" t="e">
        <f>'[4]#REF'!F4788</f>
        <v>#REF!</v>
      </c>
      <c r="G4788" s="12" t="e">
        <f>'[4]#REF'!G4788</f>
        <v>#REF!</v>
      </c>
      <c r="H4788" s="31" t="e">
        <f>'[4]#REF'!I4788</f>
        <v>#REF!</v>
      </c>
      <c r="I4788" s="32" t="e">
        <f t="shared" si="105"/>
        <v>#REF!</v>
      </c>
    </row>
    <row r="4789" ht="15.75" spans="6:9">
      <c r="F4789" s="12" t="e">
        <f>'[4]#REF'!F4789</f>
        <v>#REF!</v>
      </c>
      <c r="G4789" s="12" t="e">
        <f>'[4]#REF'!G4789</f>
        <v>#REF!</v>
      </c>
      <c r="H4789" s="31" t="e">
        <f>'[4]#REF'!I4789</f>
        <v>#REF!</v>
      </c>
      <c r="I4789" s="32" t="e">
        <f t="shared" si="105"/>
        <v>#REF!</v>
      </c>
    </row>
    <row r="4790" ht="15.75" spans="6:9">
      <c r="F4790" s="12" t="e">
        <f>'[4]#REF'!F4790</f>
        <v>#REF!</v>
      </c>
      <c r="G4790" s="12" t="e">
        <f>'[4]#REF'!G4790</f>
        <v>#REF!</v>
      </c>
      <c r="H4790" s="31" t="e">
        <f>'[4]#REF'!I4790</f>
        <v>#REF!</v>
      </c>
      <c r="I4790" s="32" t="e">
        <f t="shared" si="105"/>
        <v>#REF!</v>
      </c>
    </row>
    <row r="4791" ht="15.75" spans="6:9">
      <c r="F4791" s="12" t="e">
        <f>'[4]#REF'!F4791</f>
        <v>#REF!</v>
      </c>
      <c r="G4791" s="12" t="e">
        <f>'[4]#REF'!G4791</f>
        <v>#REF!</v>
      </c>
      <c r="H4791" s="31" t="e">
        <f>'[4]#REF'!I4791</f>
        <v>#REF!</v>
      </c>
      <c r="I4791" s="32" t="e">
        <f t="shared" si="105"/>
        <v>#REF!</v>
      </c>
    </row>
    <row r="4792" ht="15.75" spans="6:9">
      <c r="F4792" s="12" t="e">
        <f>'[4]#REF'!F4792</f>
        <v>#REF!</v>
      </c>
      <c r="G4792" s="12" t="e">
        <f>'[4]#REF'!G4792</f>
        <v>#REF!</v>
      </c>
      <c r="H4792" s="31" t="e">
        <f>'[4]#REF'!I4792</f>
        <v>#REF!</v>
      </c>
      <c r="I4792" s="32" t="e">
        <f t="shared" si="105"/>
        <v>#REF!</v>
      </c>
    </row>
    <row r="4793" ht="15.75" spans="6:9">
      <c r="F4793" s="12" t="e">
        <f>'[4]#REF'!F4793</f>
        <v>#REF!</v>
      </c>
      <c r="G4793" s="12" t="e">
        <f>'[4]#REF'!G4793</f>
        <v>#REF!</v>
      </c>
      <c r="H4793" s="31" t="e">
        <f>'[4]#REF'!I4793</f>
        <v>#REF!</v>
      </c>
      <c r="I4793" s="32" t="e">
        <f t="shared" si="105"/>
        <v>#REF!</v>
      </c>
    </row>
    <row r="4794" ht="15.75" spans="6:9">
      <c r="F4794" s="12" t="e">
        <f>'[4]#REF'!F4794</f>
        <v>#REF!</v>
      </c>
      <c r="G4794" s="12" t="e">
        <f>'[4]#REF'!G4794</f>
        <v>#REF!</v>
      </c>
      <c r="H4794" s="31" t="e">
        <f>'[4]#REF'!I4794</f>
        <v>#REF!</v>
      </c>
      <c r="I4794" s="32" t="e">
        <f t="shared" si="105"/>
        <v>#REF!</v>
      </c>
    </row>
    <row r="4795" ht="15.75" spans="6:9">
      <c r="F4795" s="12" t="e">
        <f>'[4]#REF'!F4795</f>
        <v>#REF!</v>
      </c>
      <c r="G4795" s="12" t="e">
        <f>'[4]#REF'!G4795</f>
        <v>#REF!</v>
      </c>
      <c r="H4795" s="31" t="e">
        <f>'[4]#REF'!I4795</f>
        <v>#REF!</v>
      </c>
      <c r="I4795" s="32" t="e">
        <f t="shared" si="105"/>
        <v>#REF!</v>
      </c>
    </row>
    <row r="4796" ht="15.75" spans="6:9">
      <c r="F4796" s="12" t="e">
        <f>'[4]#REF'!F4796</f>
        <v>#REF!</v>
      </c>
      <c r="G4796" s="12" t="e">
        <f>'[4]#REF'!G4796</f>
        <v>#REF!</v>
      </c>
      <c r="H4796" s="31" t="e">
        <f>'[4]#REF'!I4796</f>
        <v>#REF!</v>
      </c>
      <c r="I4796" s="32" t="e">
        <f t="shared" si="105"/>
        <v>#REF!</v>
      </c>
    </row>
    <row r="4797" ht="15.75" spans="6:9">
      <c r="F4797" s="12" t="e">
        <f>'[4]#REF'!F4797</f>
        <v>#REF!</v>
      </c>
      <c r="G4797" s="12" t="e">
        <f>'[4]#REF'!G4797</f>
        <v>#REF!</v>
      </c>
      <c r="H4797" s="31" t="e">
        <f>'[4]#REF'!I4797</f>
        <v>#REF!</v>
      </c>
      <c r="I4797" s="32" t="e">
        <f t="shared" si="105"/>
        <v>#REF!</v>
      </c>
    </row>
    <row r="4798" ht="15.75" spans="6:9">
      <c r="F4798" s="12" t="e">
        <f>'[4]#REF'!F4798</f>
        <v>#REF!</v>
      </c>
      <c r="G4798" s="12" t="e">
        <f>'[4]#REF'!G4798</f>
        <v>#REF!</v>
      </c>
      <c r="H4798" s="31" t="e">
        <f>'[4]#REF'!I4798</f>
        <v>#REF!</v>
      </c>
      <c r="I4798" s="32" t="e">
        <f t="shared" si="105"/>
        <v>#REF!</v>
      </c>
    </row>
    <row r="4799" ht="15.75" spans="6:9">
      <c r="F4799" s="12" t="e">
        <f>'[4]#REF'!F4799</f>
        <v>#REF!</v>
      </c>
      <c r="G4799" s="12" t="e">
        <f>'[4]#REF'!G4799</f>
        <v>#REF!</v>
      </c>
      <c r="H4799" s="31" t="e">
        <f>'[4]#REF'!I4799</f>
        <v>#REF!</v>
      </c>
      <c r="I4799" s="32" t="e">
        <f t="shared" si="105"/>
        <v>#REF!</v>
      </c>
    </row>
    <row r="4800" ht="15.75" spans="6:9">
      <c r="F4800" s="12" t="e">
        <f>'[4]#REF'!F4800</f>
        <v>#REF!</v>
      </c>
      <c r="G4800" s="12" t="e">
        <f>'[4]#REF'!G4800</f>
        <v>#REF!</v>
      </c>
      <c r="H4800" s="31" t="e">
        <f>'[4]#REF'!I4800</f>
        <v>#REF!</v>
      </c>
      <c r="I4800" s="32" t="e">
        <f t="shared" si="105"/>
        <v>#REF!</v>
      </c>
    </row>
    <row r="4801" ht="15.75" spans="6:9">
      <c r="F4801" s="12" t="e">
        <f>'[4]#REF'!F4801</f>
        <v>#REF!</v>
      </c>
      <c r="G4801" s="12" t="e">
        <f>'[4]#REF'!G4801</f>
        <v>#REF!</v>
      </c>
      <c r="H4801" s="31" t="e">
        <f>'[4]#REF'!I4801</f>
        <v>#REF!</v>
      </c>
      <c r="I4801" s="32" t="e">
        <f t="shared" si="105"/>
        <v>#REF!</v>
      </c>
    </row>
    <row r="4802" ht="15.75" spans="6:9">
      <c r="F4802" s="12" t="e">
        <f>'[4]#REF'!F4802</f>
        <v>#REF!</v>
      </c>
      <c r="G4802" s="12" t="e">
        <f>'[4]#REF'!G4802</f>
        <v>#REF!</v>
      </c>
      <c r="H4802" s="31" t="e">
        <f>'[4]#REF'!I4802</f>
        <v>#REF!</v>
      </c>
      <c r="I4802" s="32" t="e">
        <f t="shared" si="105"/>
        <v>#REF!</v>
      </c>
    </row>
    <row r="4803" ht="15.75" spans="6:9">
      <c r="F4803" s="12" t="e">
        <f>'[4]#REF'!F4803</f>
        <v>#REF!</v>
      </c>
      <c r="G4803" s="12" t="e">
        <f>'[4]#REF'!G4803</f>
        <v>#REF!</v>
      </c>
      <c r="H4803" s="31" t="e">
        <f>'[4]#REF'!I4803</f>
        <v>#REF!</v>
      </c>
      <c r="I4803" s="32" t="e">
        <f t="shared" si="105"/>
        <v>#REF!</v>
      </c>
    </row>
    <row r="4804" ht="15.75" spans="6:9">
      <c r="F4804" s="12" t="e">
        <f>'[4]#REF'!F4804</f>
        <v>#REF!</v>
      </c>
      <c r="G4804" s="12" t="e">
        <f>'[4]#REF'!G4804</f>
        <v>#REF!</v>
      </c>
      <c r="H4804" s="31" t="e">
        <f>'[4]#REF'!I4804</f>
        <v>#REF!</v>
      </c>
      <c r="I4804" s="32" t="e">
        <f t="shared" si="105"/>
        <v>#REF!</v>
      </c>
    </row>
    <row r="4805" ht="15.75" spans="6:9">
      <c r="F4805" s="12" t="e">
        <f>'[4]#REF'!F4805</f>
        <v>#REF!</v>
      </c>
      <c r="G4805" s="12" t="e">
        <f>'[4]#REF'!G4805</f>
        <v>#REF!</v>
      </c>
      <c r="H4805" s="31" t="e">
        <f>'[4]#REF'!I4805</f>
        <v>#REF!</v>
      </c>
      <c r="I4805" s="32" t="e">
        <f t="shared" si="105"/>
        <v>#REF!</v>
      </c>
    </row>
    <row r="4806" ht="15.75" spans="6:9">
      <c r="F4806" s="12" t="e">
        <f>'[4]#REF'!F4806</f>
        <v>#REF!</v>
      </c>
      <c r="G4806" s="12" t="e">
        <f>'[4]#REF'!G4806</f>
        <v>#REF!</v>
      </c>
      <c r="H4806" s="31" t="e">
        <f>'[4]#REF'!I4806</f>
        <v>#REF!</v>
      </c>
      <c r="I4806" s="32" t="e">
        <f t="shared" ref="I4806:I4869" si="106">ROUND(H4806/$I$4*100,2)</f>
        <v>#REF!</v>
      </c>
    </row>
    <row r="4807" ht="15.75" spans="6:9">
      <c r="F4807" s="12" t="e">
        <f>'[4]#REF'!F4807</f>
        <v>#REF!</v>
      </c>
      <c r="G4807" s="12" t="e">
        <f>'[4]#REF'!G4807</f>
        <v>#REF!</v>
      </c>
      <c r="H4807" s="31" t="e">
        <f>'[4]#REF'!I4807</f>
        <v>#REF!</v>
      </c>
      <c r="I4807" s="32" t="e">
        <f t="shared" si="106"/>
        <v>#REF!</v>
      </c>
    </row>
    <row r="4808" ht="15.75" spans="6:9">
      <c r="F4808" s="12" t="e">
        <f>'[4]#REF'!F4808</f>
        <v>#REF!</v>
      </c>
      <c r="G4808" s="12" t="e">
        <f>'[4]#REF'!G4808</f>
        <v>#REF!</v>
      </c>
      <c r="H4808" s="31" t="e">
        <f>'[4]#REF'!I4808</f>
        <v>#REF!</v>
      </c>
      <c r="I4808" s="32" t="e">
        <f t="shared" si="106"/>
        <v>#REF!</v>
      </c>
    </row>
    <row r="4809" ht="15.75" spans="6:9">
      <c r="F4809" s="12" t="e">
        <f>'[4]#REF'!F4809</f>
        <v>#REF!</v>
      </c>
      <c r="G4809" s="12" t="e">
        <f>'[4]#REF'!G4809</f>
        <v>#REF!</v>
      </c>
      <c r="H4809" s="31" t="e">
        <f>'[4]#REF'!I4809</f>
        <v>#REF!</v>
      </c>
      <c r="I4809" s="32" t="e">
        <f t="shared" si="106"/>
        <v>#REF!</v>
      </c>
    </row>
    <row r="4810" ht="15.75" spans="6:9">
      <c r="F4810" s="12" t="e">
        <f>'[4]#REF'!F4810</f>
        <v>#REF!</v>
      </c>
      <c r="G4810" s="12" t="e">
        <f>'[4]#REF'!G4810</f>
        <v>#REF!</v>
      </c>
      <c r="H4810" s="31" t="e">
        <f>'[4]#REF'!I4810</f>
        <v>#REF!</v>
      </c>
      <c r="I4810" s="32" t="e">
        <f t="shared" si="106"/>
        <v>#REF!</v>
      </c>
    </row>
    <row r="4811" ht="15.75" spans="6:9">
      <c r="F4811" s="12" t="e">
        <f>'[4]#REF'!F4811</f>
        <v>#REF!</v>
      </c>
      <c r="G4811" s="12" t="e">
        <f>'[4]#REF'!G4811</f>
        <v>#REF!</v>
      </c>
      <c r="H4811" s="31" t="e">
        <f>'[4]#REF'!I4811</f>
        <v>#REF!</v>
      </c>
      <c r="I4811" s="32" t="e">
        <f t="shared" si="106"/>
        <v>#REF!</v>
      </c>
    </row>
    <row r="4812" ht="15.75" spans="6:9">
      <c r="F4812" s="12" t="e">
        <f>'[4]#REF'!F4812</f>
        <v>#REF!</v>
      </c>
      <c r="G4812" s="12" t="e">
        <f>'[4]#REF'!G4812</f>
        <v>#REF!</v>
      </c>
      <c r="H4812" s="31" t="e">
        <f>'[4]#REF'!I4812</f>
        <v>#REF!</v>
      </c>
      <c r="I4812" s="32" t="e">
        <f t="shared" si="106"/>
        <v>#REF!</v>
      </c>
    </row>
    <row r="4813" ht="15.75" spans="6:9">
      <c r="F4813" s="12" t="e">
        <f>'[4]#REF'!F4813</f>
        <v>#REF!</v>
      </c>
      <c r="G4813" s="12" t="e">
        <f>'[4]#REF'!G4813</f>
        <v>#REF!</v>
      </c>
      <c r="H4813" s="31" t="e">
        <f>'[4]#REF'!I4813</f>
        <v>#REF!</v>
      </c>
      <c r="I4813" s="32" t="e">
        <f t="shared" si="106"/>
        <v>#REF!</v>
      </c>
    </row>
    <row r="4814" ht="15.75" spans="6:9">
      <c r="F4814" s="12" t="e">
        <f>'[4]#REF'!F4814</f>
        <v>#REF!</v>
      </c>
      <c r="G4814" s="12" t="e">
        <f>'[4]#REF'!G4814</f>
        <v>#REF!</v>
      </c>
      <c r="H4814" s="31" t="e">
        <f>'[4]#REF'!I4814</f>
        <v>#REF!</v>
      </c>
      <c r="I4814" s="32" t="e">
        <f t="shared" si="106"/>
        <v>#REF!</v>
      </c>
    </row>
    <row r="4815" ht="15.75" spans="6:9">
      <c r="F4815" s="12" t="e">
        <f>'[4]#REF'!F4815</f>
        <v>#REF!</v>
      </c>
      <c r="G4815" s="12" t="e">
        <f>'[4]#REF'!G4815</f>
        <v>#REF!</v>
      </c>
      <c r="H4815" s="31" t="e">
        <f>'[4]#REF'!I4815</f>
        <v>#REF!</v>
      </c>
      <c r="I4815" s="32" t="e">
        <f t="shared" si="106"/>
        <v>#REF!</v>
      </c>
    </row>
    <row r="4816" ht="15.75" spans="6:9">
      <c r="F4816" s="12" t="e">
        <f>'[4]#REF'!F4816</f>
        <v>#REF!</v>
      </c>
      <c r="G4816" s="12" t="e">
        <f>'[4]#REF'!G4816</f>
        <v>#REF!</v>
      </c>
      <c r="H4816" s="31" t="e">
        <f>'[4]#REF'!I4816</f>
        <v>#REF!</v>
      </c>
      <c r="I4816" s="32" t="e">
        <f t="shared" si="106"/>
        <v>#REF!</v>
      </c>
    </row>
    <row r="4817" ht="15.75" spans="6:9">
      <c r="F4817" s="12" t="e">
        <f>'[4]#REF'!F4817</f>
        <v>#REF!</v>
      </c>
      <c r="G4817" s="12" t="e">
        <f>'[4]#REF'!G4817</f>
        <v>#REF!</v>
      </c>
      <c r="H4817" s="31" t="e">
        <f>'[4]#REF'!I4817</f>
        <v>#REF!</v>
      </c>
      <c r="I4817" s="32" t="e">
        <f t="shared" si="106"/>
        <v>#REF!</v>
      </c>
    </row>
    <row r="4818" ht="15.75" spans="6:9">
      <c r="F4818" s="12" t="e">
        <f>'[4]#REF'!F4818</f>
        <v>#REF!</v>
      </c>
      <c r="G4818" s="12" t="e">
        <f>'[4]#REF'!G4818</f>
        <v>#REF!</v>
      </c>
      <c r="H4818" s="31" t="e">
        <f>'[4]#REF'!I4818</f>
        <v>#REF!</v>
      </c>
      <c r="I4818" s="32" t="e">
        <f t="shared" si="106"/>
        <v>#REF!</v>
      </c>
    </row>
    <row r="4819" ht="15.75" spans="6:9">
      <c r="F4819" s="12" t="e">
        <f>'[4]#REF'!F4819</f>
        <v>#REF!</v>
      </c>
      <c r="G4819" s="12" t="e">
        <f>'[4]#REF'!G4819</f>
        <v>#REF!</v>
      </c>
      <c r="H4819" s="31" t="e">
        <f>'[4]#REF'!I4819</f>
        <v>#REF!</v>
      </c>
      <c r="I4819" s="32" t="e">
        <f t="shared" si="106"/>
        <v>#REF!</v>
      </c>
    </row>
    <row r="4820" ht="15.75" spans="6:9">
      <c r="F4820" s="12" t="e">
        <f>'[4]#REF'!F4820</f>
        <v>#REF!</v>
      </c>
      <c r="G4820" s="12" t="e">
        <f>'[4]#REF'!G4820</f>
        <v>#REF!</v>
      </c>
      <c r="H4820" s="31" t="e">
        <f>'[4]#REF'!I4820</f>
        <v>#REF!</v>
      </c>
      <c r="I4820" s="32" t="e">
        <f t="shared" si="106"/>
        <v>#REF!</v>
      </c>
    </row>
    <row r="4821" ht="15.75" spans="6:9">
      <c r="F4821" s="12" t="e">
        <f>'[4]#REF'!F4821</f>
        <v>#REF!</v>
      </c>
      <c r="G4821" s="12" t="e">
        <f>'[4]#REF'!G4821</f>
        <v>#REF!</v>
      </c>
      <c r="H4821" s="31" t="e">
        <f>'[4]#REF'!I4821</f>
        <v>#REF!</v>
      </c>
      <c r="I4821" s="32" t="e">
        <f t="shared" si="106"/>
        <v>#REF!</v>
      </c>
    </row>
    <row r="4822" ht="15.75" spans="6:9">
      <c r="F4822" s="12" t="e">
        <f>'[4]#REF'!F4822</f>
        <v>#REF!</v>
      </c>
      <c r="G4822" s="12" t="e">
        <f>'[4]#REF'!G4822</f>
        <v>#REF!</v>
      </c>
      <c r="H4822" s="31" t="e">
        <f>'[4]#REF'!I4822</f>
        <v>#REF!</v>
      </c>
      <c r="I4822" s="32" t="e">
        <f t="shared" si="106"/>
        <v>#REF!</v>
      </c>
    </row>
    <row r="4823" ht="15.75" spans="6:9">
      <c r="F4823" s="12" t="e">
        <f>'[4]#REF'!F4823</f>
        <v>#REF!</v>
      </c>
      <c r="G4823" s="12" t="e">
        <f>'[4]#REF'!G4823</f>
        <v>#REF!</v>
      </c>
      <c r="H4823" s="31" t="e">
        <f>'[4]#REF'!I4823</f>
        <v>#REF!</v>
      </c>
      <c r="I4823" s="32" t="e">
        <f t="shared" si="106"/>
        <v>#REF!</v>
      </c>
    </row>
    <row r="4824" ht="15.75" spans="6:9">
      <c r="F4824" s="12" t="e">
        <f>'[4]#REF'!F4824</f>
        <v>#REF!</v>
      </c>
      <c r="G4824" s="12" t="e">
        <f>'[4]#REF'!G4824</f>
        <v>#REF!</v>
      </c>
      <c r="H4824" s="31" t="e">
        <f>'[4]#REF'!I4824</f>
        <v>#REF!</v>
      </c>
      <c r="I4824" s="32" t="e">
        <f t="shared" si="106"/>
        <v>#REF!</v>
      </c>
    </row>
    <row r="4825" ht="15.75" spans="6:9">
      <c r="F4825" s="12" t="e">
        <f>'[4]#REF'!F4825</f>
        <v>#REF!</v>
      </c>
      <c r="G4825" s="12" t="e">
        <f>'[4]#REF'!G4825</f>
        <v>#REF!</v>
      </c>
      <c r="H4825" s="31" t="e">
        <f>'[4]#REF'!I4825</f>
        <v>#REF!</v>
      </c>
      <c r="I4825" s="32" t="e">
        <f t="shared" si="106"/>
        <v>#REF!</v>
      </c>
    </row>
    <row r="4826" ht="15.75" spans="6:9">
      <c r="F4826" s="12" t="e">
        <f>'[4]#REF'!F4826</f>
        <v>#REF!</v>
      </c>
      <c r="G4826" s="12" t="e">
        <f>'[4]#REF'!G4826</f>
        <v>#REF!</v>
      </c>
      <c r="H4826" s="31" t="e">
        <f>'[4]#REF'!I4826</f>
        <v>#REF!</v>
      </c>
      <c r="I4826" s="32" t="e">
        <f t="shared" si="106"/>
        <v>#REF!</v>
      </c>
    </row>
    <row r="4827" ht="15.75" spans="6:9">
      <c r="F4827" s="12" t="e">
        <f>'[4]#REF'!F4827</f>
        <v>#REF!</v>
      </c>
      <c r="G4827" s="12" t="e">
        <f>'[4]#REF'!G4827</f>
        <v>#REF!</v>
      </c>
      <c r="H4827" s="31" t="e">
        <f>'[4]#REF'!I4827</f>
        <v>#REF!</v>
      </c>
      <c r="I4827" s="32" t="e">
        <f t="shared" si="106"/>
        <v>#REF!</v>
      </c>
    </row>
    <row r="4828" ht="15.75" spans="6:9">
      <c r="F4828" s="12" t="e">
        <f>'[4]#REF'!F4828</f>
        <v>#REF!</v>
      </c>
      <c r="G4828" s="12" t="e">
        <f>'[4]#REF'!G4828</f>
        <v>#REF!</v>
      </c>
      <c r="H4828" s="31" t="e">
        <f>'[4]#REF'!I4828</f>
        <v>#REF!</v>
      </c>
      <c r="I4828" s="32" t="e">
        <f t="shared" si="106"/>
        <v>#REF!</v>
      </c>
    </row>
    <row r="4829" ht="15.75" spans="6:9">
      <c r="F4829" s="12" t="e">
        <f>'[4]#REF'!F4829</f>
        <v>#REF!</v>
      </c>
      <c r="G4829" s="12" t="e">
        <f>'[4]#REF'!G4829</f>
        <v>#REF!</v>
      </c>
      <c r="H4829" s="31" t="e">
        <f>'[4]#REF'!I4829</f>
        <v>#REF!</v>
      </c>
      <c r="I4829" s="32" t="e">
        <f t="shared" si="106"/>
        <v>#REF!</v>
      </c>
    </row>
    <row r="4830" ht="15.75" spans="6:9">
      <c r="F4830" s="12" t="e">
        <f>'[4]#REF'!F4830</f>
        <v>#REF!</v>
      </c>
      <c r="G4830" s="12" t="e">
        <f>'[4]#REF'!G4830</f>
        <v>#REF!</v>
      </c>
      <c r="H4830" s="31" t="e">
        <f>'[4]#REF'!I4830</f>
        <v>#REF!</v>
      </c>
      <c r="I4830" s="32" t="e">
        <f t="shared" si="106"/>
        <v>#REF!</v>
      </c>
    </row>
    <row r="4831" ht="15.75" spans="6:9">
      <c r="F4831" s="12" t="e">
        <f>'[4]#REF'!F4831</f>
        <v>#REF!</v>
      </c>
      <c r="G4831" s="12" t="e">
        <f>'[4]#REF'!G4831</f>
        <v>#REF!</v>
      </c>
      <c r="H4831" s="31" t="e">
        <f>'[4]#REF'!I4831</f>
        <v>#REF!</v>
      </c>
      <c r="I4831" s="32" t="e">
        <f t="shared" si="106"/>
        <v>#REF!</v>
      </c>
    </row>
    <row r="4832" ht="15.75" spans="6:9">
      <c r="F4832" s="12" t="e">
        <f>'[4]#REF'!F4832</f>
        <v>#REF!</v>
      </c>
      <c r="G4832" s="12" t="e">
        <f>'[4]#REF'!G4832</f>
        <v>#REF!</v>
      </c>
      <c r="H4832" s="31" t="e">
        <f>'[4]#REF'!I4832</f>
        <v>#REF!</v>
      </c>
      <c r="I4832" s="32" t="e">
        <f t="shared" si="106"/>
        <v>#REF!</v>
      </c>
    </row>
    <row r="4833" ht="15.75" spans="6:9">
      <c r="F4833" s="12" t="e">
        <f>'[4]#REF'!F4833</f>
        <v>#REF!</v>
      </c>
      <c r="G4833" s="12" t="e">
        <f>'[4]#REF'!G4833</f>
        <v>#REF!</v>
      </c>
      <c r="H4833" s="31" t="e">
        <f>'[4]#REF'!I4833</f>
        <v>#REF!</v>
      </c>
      <c r="I4833" s="32" t="e">
        <f t="shared" si="106"/>
        <v>#REF!</v>
      </c>
    </row>
    <row r="4834" ht="15.75" spans="6:9">
      <c r="F4834" s="12" t="e">
        <f>'[4]#REF'!F4834</f>
        <v>#REF!</v>
      </c>
      <c r="G4834" s="12" t="e">
        <f>'[4]#REF'!G4834</f>
        <v>#REF!</v>
      </c>
      <c r="H4834" s="31" t="e">
        <f>'[4]#REF'!I4834</f>
        <v>#REF!</v>
      </c>
      <c r="I4834" s="32" t="e">
        <f t="shared" si="106"/>
        <v>#REF!</v>
      </c>
    </row>
    <row r="4835" ht="15.75" spans="6:9">
      <c r="F4835" s="12" t="e">
        <f>'[4]#REF'!F4835</f>
        <v>#REF!</v>
      </c>
      <c r="G4835" s="12" t="e">
        <f>'[4]#REF'!G4835</f>
        <v>#REF!</v>
      </c>
      <c r="H4835" s="31" t="e">
        <f>'[4]#REF'!I4835</f>
        <v>#REF!</v>
      </c>
      <c r="I4835" s="32" t="e">
        <f t="shared" si="106"/>
        <v>#REF!</v>
      </c>
    </row>
    <row r="4836" ht="15.75" spans="6:9">
      <c r="F4836" s="12" t="e">
        <f>'[4]#REF'!F4836</f>
        <v>#REF!</v>
      </c>
      <c r="G4836" s="12" t="e">
        <f>'[4]#REF'!G4836</f>
        <v>#REF!</v>
      </c>
      <c r="H4836" s="31" t="e">
        <f>'[4]#REF'!I4836</f>
        <v>#REF!</v>
      </c>
      <c r="I4836" s="32" t="e">
        <f t="shared" si="106"/>
        <v>#REF!</v>
      </c>
    </row>
    <row r="4837" ht="15.75" spans="6:9">
      <c r="F4837" s="12" t="e">
        <f>'[4]#REF'!F4837</f>
        <v>#REF!</v>
      </c>
      <c r="G4837" s="12" t="e">
        <f>'[4]#REF'!G4837</f>
        <v>#REF!</v>
      </c>
      <c r="H4837" s="31" t="e">
        <f>'[4]#REF'!I4837</f>
        <v>#REF!</v>
      </c>
      <c r="I4837" s="32" t="e">
        <f t="shared" si="106"/>
        <v>#REF!</v>
      </c>
    </row>
    <row r="4838" ht="15.75" spans="6:9">
      <c r="F4838" s="12" t="e">
        <f>'[4]#REF'!F4838</f>
        <v>#REF!</v>
      </c>
      <c r="G4838" s="12" t="e">
        <f>'[4]#REF'!G4838</f>
        <v>#REF!</v>
      </c>
      <c r="H4838" s="31" t="e">
        <f>'[4]#REF'!I4838</f>
        <v>#REF!</v>
      </c>
      <c r="I4838" s="32" t="e">
        <f t="shared" si="106"/>
        <v>#REF!</v>
      </c>
    </row>
    <row r="4839" ht="15.75" spans="6:9">
      <c r="F4839" s="12" t="e">
        <f>'[4]#REF'!F4839</f>
        <v>#REF!</v>
      </c>
      <c r="G4839" s="12" t="e">
        <f>'[4]#REF'!G4839</f>
        <v>#REF!</v>
      </c>
      <c r="H4839" s="31" t="e">
        <f>'[4]#REF'!I4839</f>
        <v>#REF!</v>
      </c>
      <c r="I4839" s="32" t="e">
        <f t="shared" si="106"/>
        <v>#REF!</v>
      </c>
    </row>
    <row r="4840" ht="15.75" spans="6:9">
      <c r="F4840" s="12" t="e">
        <f>'[4]#REF'!F4840</f>
        <v>#REF!</v>
      </c>
      <c r="G4840" s="12" t="e">
        <f>'[4]#REF'!G4840</f>
        <v>#REF!</v>
      </c>
      <c r="H4840" s="31" t="e">
        <f>'[4]#REF'!I4840</f>
        <v>#REF!</v>
      </c>
      <c r="I4840" s="32" t="e">
        <f t="shared" si="106"/>
        <v>#REF!</v>
      </c>
    </row>
    <row r="4841" ht="15.75" spans="6:9">
      <c r="F4841" s="12" t="e">
        <f>'[4]#REF'!F4841</f>
        <v>#REF!</v>
      </c>
      <c r="G4841" s="12" t="e">
        <f>'[4]#REF'!G4841</f>
        <v>#REF!</v>
      </c>
      <c r="H4841" s="31" t="e">
        <f>'[4]#REF'!I4841</f>
        <v>#REF!</v>
      </c>
      <c r="I4841" s="32" t="e">
        <f t="shared" si="106"/>
        <v>#REF!</v>
      </c>
    </row>
    <row r="4842" ht="15.75" spans="6:9">
      <c r="F4842" s="12" t="e">
        <f>'[4]#REF'!F4842</f>
        <v>#REF!</v>
      </c>
      <c r="G4842" s="12" t="e">
        <f>'[4]#REF'!G4842</f>
        <v>#REF!</v>
      </c>
      <c r="H4842" s="31" t="e">
        <f>'[4]#REF'!I4842</f>
        <v>#REF!</v>
      </c>
      <c r="I4842" s="32" t="e">
        <f t="shared" si="106"/>
        <v>#REF!</v>
      </c>
    </row>
    <row r="4843" ht="15.75" spans="6:9">
      <c r="F4843" s="12" t="e">
        <f>'[4]#REF'!F4843</f>
        <v>#REF!</v>
      </c>
      <c r="G4843" s="12" t="e">
        <f>'[4]#REF'!G4843</f>
        <v>#REF!</v>
      </c>
      <c r="H4843" s="31" t="e">
        <f>'[4]#REF'!I4843</f>
        <v>#REF!</v>
      </c>
      <c r="I4843" s="32" t="e">
        <f t="shared" si="106"/>
        <v>#REF!</v>
      </c>
    </row>
    <row r="4844" ht="15.75" spans="6:9">
      <c r="F4844" s="12" t="e">
        <f>'[4]#REF'!F4844</f>
        <v>#REF!</v>
      </c>
      <c r="G4844" s="12" t="e">
        <f>'[4]#REF'!G4844</f>
        <v>#REF!</v>
      </c>
      <c r="H4844" s="31" t="e">
        <f>'[4]#REF'!I4844</f>
        <v>#REF!</v>
      </c>
      <c r="I4844" s="32" t="e">
        <f t="shared" si="106"/>
        <v>#REF!</v>
      </c>
    </row>
    <row r="4845" ht="15.75" spans="6:9">
      <c r="F4845" s="12" t="e">
        <f>'[4]#REF'!F4845</f>
        <v>#REF!</v>
      </c>
      <c r="G4845" s="12" t="e">
        <f>'[4]#REF'!G4845</f>
        <v>#REF!</v>
      </c>
      <c r="H4845" s="31" t="e">
        <f>'[4]#REF'!I4845</f>
        <v>#REF!</v>
      </c>
      <c r="I4845" s="32" t="e">
        <f t="shared" si="106"/>
        <v>#REF!</v>
      </c>
    </row>
    <row r="4846" ht="15.75" spans="6:9">
      <c r="F4846" s="12" t="e">
        <f>'[4]#REF'!F4846</f>
        <v>#REF!</v>
      </c>
      <c r="G4846" s="12" t="e">
        <f>'[4]#REF'!G4846</f>
        <v>#REF!</v>
      </c>
      <c r="H4846" s="31" t="e">
        <f>'[4]#REF'!I4846</f>
        <v>#REF!</v>
      </c>
      <c r="I4846" s="32" t="e">
        <f t="shared" si="106"/>
        <v>#REF!</v>
      </c>
    </row>
    <row r="4847" ht="15.75" spans="6:9">
      <c r="F4847" s="12" t="e">
        <f>'[4]#REF'!F4847</f>
        <v>#REF!</v>
      </c>
      <c r="G4847" s="12" t="e">
        <f>'[4]#REF'!G4847</f>
        <v>#REF!</v>
      </c>
      <c r="H4847" s="31" t="e">
        <f>'[4]#REF'!I4847</f>
        <v>#REF!</v>
      </c>
      <c r="I4847" s="32" t="e">
        <f t="shared" si="106"/>
        <v>#REF!</v>
      </c>
    </row>
    <row r="4848" ht="15.75" spans="6:9">
      <c r="F4848" s="12" t="e">
        <f>'[4]#REF'!F4848</f>
        <v>#REF!</v>
      </c>
      <c r="G4848" s="12" t="e">
        <f>'[4]#REF'!G4848</f>
        <v>#REF!</v>
      </c>
      <c r="H4848" s="31" t="e">
        <f>'[4]#REF'!I4848</f>
        <v>#REF!</v>
      </c>
      <c r="I4848" s="32" t="e">
        <f t="shared" si="106"/>
        <v>#REF!</v>
      </c>
    </row>
    <row r="4849" ht="15.75" spans="6:9">
      <c r="F4849" s="12" t="e">
        <f>'[4]#REF'!F4849</f>
        <v>#REF!</v>
      </c>
      <c r="G4849" s="12" t="e">
        <f>'[4]#REF'!G4849</f>
        <v>#REF!</v>
      </c>
      <c r="H4849" s="31" t="e">
        <f>'[4]#REF'!I4849</f>
        <v>#REF!</v>
      </c>
      <c r="I4849" s="32" t="e">
        <f t="shared" si="106"/>
        <v>#REF!</v>
      </c>
    </row>
    <row r="4850" ht="15.75" spans="6:9">
      <c r="F4850" s="12" t="e">
        <f>'[4]#REF'!F4850</f>
        <v>#REF!</v>
      </c>
      <c r="G4850" s="12" t="e">
        <f>'[4]#REF'!G4850</f>
        <v>#REF!</v>
      </c>
      <c r="H4850" s="31" t="e">
        <f>'[4]#REF'!I4850</f>
        <v>#REF!</v>
      </c>
      <c r="I4850" s="32" t="e">
        <f t="shared" si="106"/>
        <v>#REF!</v>
      </c>
    </row>
    <row r="4851" ht="15.75" spans="6:9">
      <c r="F4851" s="12" t="e">
        <f>'[4]#REF'!F4851</f>
        <v>#REF!</v>
      </c>
      <c r="G4851" s="12" t="e">
        <f>'[4]#REF'!G4851</f>
        <v>#REF!</v>
      </c>
      <c r="H4851" s="31" t="e">
        <f>'[4]#REF'!I4851</f>
        <v>#REF!</v>
      </c>
      <c r="I4851" s="32" t="e">
        <f t="shared" si="106"/>
        <v>#REF!</v>
      </c>
    </row>
    <row r="4852" ht="15.75" spans="6:9">
      <c r="F4852" s="12" t="e">
        <f>'[4]#REF'!F4852</f>
        <v>#REF!</v>
      </c>
      <c r="G4852" s="12" t="e">
        <f>'[4]#REF'!G4852</f>
        <v>#REF!</v>
      </c>
      <c r="H4852" s="31" t="e">
        <f>'[4]#REF'!I4852</f>
        <v>#REF!</v>
      </c>
      <c r="I4852" s="32" t="e">
        <f t="shared" si="106"/>
        <v>#REF!</v>
      </c>
    </row>
    <row r="4853" ht="15.75" spans="6:9">
      <c r="F4853" s="12" t="e">
        <f>'[4]#REF'!F4853</f>
        <v>#REF!</v>
      </c>
      <c r="G4853" s="12" t="e">
        <f>'[4]#REF'!G4853</f>
        <v>#REF!</v>
      </c>
      <c r="H4853" s="31" t="e">
        <f>'[4]#REF'!I4853</f>
        <v>#REF!</v>
      </c>
      <c r="I4853" s="32" t="e">
        <f t="shared" si="106"/>
        <v>#REF!</v>
      </c>
    </row>
    <row r="4854" ht="15.75" spans="6:9">
      <c r="F4854" s="12" t="e">
        <f>'[4]#REF'!F4854</f>
        <v>#REF!</v>
      </c>
      <c r="G4854" s="12" t="e">
        <f>'[4]#REF'!G4854</f>
        <v>#REF!</v>
      </c>
      <c r="H4854" s="31" t="e">
        <f>'[4]#REF'!I4854</f>
        <v>#REF!</v>
      </c>
      <c r="I4854" s="32" t="e">
        <f t="shared" si="106"/>
        <v>#REF!</v>
      </c>
    </row>
    <row r="4855" ht="15.75" spans="6:9">
      <c r="F4855" s="12" t="e">
        <f>'[4]#REF'!F4855</f>
        <v>#REF!</v>
      </c>
      <c r="G4855" s="12" t="e">
        <f>'[4]#REF'!G4855</f>
        <v>#REF!</v>
      </c>
      <c r="H4855" s="31" t="e">
        <f>'[4]#REF'!I4855</f>
        <v>#REF!</v>
      </c>
      <c r="I4855" s="32" t="e">
        <f t="shared" si="106"/>
        <v>#REF!</v>
      </c>
    </row>
    <row r="4856" ht="15.75" spans="6:9">
      <c r="F4856" s="12" t="e">
        <f>'[4]#REF'!F4856</f>
        <v>#REF!</v>
      </c>
      <c r="G4856" s="12" t="e">
        <f>'[4]#REF'!G4856</f>
        <v>#REF!</v>
      </c>
      <c r="H4856" s="31" t="e">
        <f>'[4]#REF'!I4856</f>
        <v>#REF!</v>
      </c>
      <c r="I4856" s="32" t="e">
        <f t="shared" si="106"/>
        <v>#REF!</v>
      </c>
    </row>
    <row r="4857" ht="15.75" spans="6:9">
      <c r="F4857" s="12" t="e">
        <f>'[4]#REF'!F4857</f>
        <v>#REF!</v>
      </c>
      <c r="G4857" s="12" t="e">
        <f>'[4]#REF'!G4857</f>
        <v>#REF!</v>
      </c>
      <c r="H4857" s="31" t="e">
        <f>'[4]#REF'!I4857</f>
        <v>#REF!</v>
      </c>
      <c r="I4857" s="32" t="e">
        <f t="shared" si="106"/>
        <v>#REF!</v>
      </c>
    </row>
    <row r="4858" ht="15.75" spans="6:9">
      <c r="F4858" s="12" t="e">
        <f>'[4]#REF'!F4858</f>
        <v>#REF!</v>
      </c>
      <c r="G4858" s="12" t="e">
        <f>'[4]#REF'!G4858</f>
        <v>#REF!</v>
      </c>
      <c r="H4858" s="31" t="e">
        <f>'[4]#REF'!I4858</f>
        <v>#REF!</v>
      </c>
      <c r="I4858" s="32" t="e">
        <f t="shared" si="106"/>
        <v>#REF!</v>
      </c>
    </row>
    <row r="4859" ht="15.75" spans="6:9">
      <c r="F4859" s="12" t="e">
        <f>'[4]#REF'!F4859</f>
        <v>#REF!</v>
      </c>
      <c r="G4859" s="12" t="e">
        <f>'[4]#REF'!G4859</f>
        <v>#REF!</v>
      </c>
      <c r="H4859" s="31" t="e">
        <f>'[4]#REF'!I4859</f>
        <v>#REF!</v>
      </c>
      <c r="I4859" s="32" t="e">
        <f t="shared" si="106"/>
        <v>#REF!</v>
      </c>
    </row>
    <row r="4860" ht="15.75" spans="6:9">
      <c r="F4860" s="12" t="e">
        <f>'[4]#REF'!F4860</f>
        <v>#REF!</v>
      </c>
      <c r="G4860" s="12" t="e">
        <f>'[4]#REF'!G4860</f>
        <v>#REF!</v>
      </c>
      <c r="H4860" s="31" t="e">
        <f>'[4]#REF'!I4860</f>
        <v>#REF!</v>
      </c>
      <c r="I4860" s="32" t="e">
        <f t="shared" si="106"/>
        <v>#REF!</v>
      </c>
    </row>
    <row r="4861" ht="15.75" spans="6:9">
      <c r="F4861" s="12" t="e">
        <f>'[4]#REF'!F4861</f>
        <v>#REF!</v>
      </c>
      <c r="G4861" s="12" t="e">
        <f>'[4]#REF'!G4861</f>
        <v>#REF!</v>
      </c>
      <c r="H4861" s="31" t="e">
        <f>'[4]#REF'!I4861</f>
        <v>#REF!</v>
      </c>
      <c r="I4861" s="32" t="e">
        <f t="shared" si="106"/>
        <v>#REF!</v>
      </c>
    </row>
    <row r="4862" ht="15.75" spans="6:9">
      <c r="F4862" s="12" t="e">
        <f>'[4]#REF'!F4862</f>
        <v>#REF!</v>
      </c>
      <c r="G4862" s="12" t="e">
        <f>'[4]#REF'!G4862</f>
        <v>#REF!</v>
      </c>
      <c r="H4862" s="31" t="e">
        <f>'[4]#REF'!I4862</f>
        <v>#REF!</v>
      </c>
      <c r="I4862" s="32" t="e">
        <f t="shared" si="106"/>
        <v>#REF!</v>
      </c>
    </row>
    <row r="4863" ht="15.75" spans="6:9">
      <c r="F4863" s="12" t="e">
        <f>'[4]#REF'!F4863</f>
        <v>#REF!</v>
      </c>
      <c r="G4863" s="12" t="e">
        <f>'[4]#REF'!G4863</f>
        <v>#REF!</v>
      </c>
      <c r="H4863" s="31" t="e">
        <f>'[4]#REF'!I4863</f>
        <v>#REF!</v>
      </c>
      <c r="I4863" s="32" t="e">
        <f t="shared" si="106"/>
        <v>#REF!</v>
      </c>
    </row>
    <row r="4864" ht="15.75" spans="6:9">
      <c r="F4864" s="12" t="e">
        <f>'[4]#REF'!F4864</f>
        <v>#REF!</v>
      </c>
      <c r="G4864" s="12" t="e">
        <f>'[4]#REF'!G4864</f>
        <v>#REF!</v>
      </c>
      <c r="H4864" s="31" t="e">
        <f>'[4]#REF'!I4864</f>
        <v>#REF!</v>
      </c>
      <c r="I4864" s="32" t="e">
        <f t="shared" si="106"/>
        <v>#REF!</v>
      </c>
    </row>
    <row r="4865" ht="15.75" spans="6:9">
      <c r="F4865" s="12" t="e">
        <f>'[4]#REF'!F4865</f>
        <v>#REF!</v>
      </c>
      <c r="G4865" s="12" t="e">
        <f>'[4]#REF'!G4865</f>
        <v>#REF!</v>
      </c>
      <c r="H4865" s="31" t="e">
        <f>'[4]#REF'!I4865</f>
        <v>#REF!</v>
      </c>
      <c r="I4865" s="32" t="e">
        <f t="shared" si="106"/>
        <v>#REF!</v>
      </c>
    </row>
    <row r="4866" ht="15.75" spans="6:9">
      <c r="F4866" s="12" t="e">
        <f>'[4]#REF'!F4866</f>
        <v>#REF!</v>
      </c>
      <c r="G4866" s="12" t="e">
        <f>'[4]#REF'!G4866</f>
        <v>#REF!</v>
      </c>
      <c r="H4866" s="31" t="e">
        <f>'[4]#REF'!I4866</f>
        <v>#REF!</v>
      </c>
      <c r="I4866" s="32" t="e">
        <f t="shared" si="106"/>
        <v>#REF!</v>
      </c>
    </row>
    <row r="4867" ht="15.75" spans="6:9">
      <c r="F4867" s="12" t="e">
        <f>'[4]#REF'!F4867</f>
        <v>#REF!</v>
      </c>
      <c r="G4867" s="12" t="e">
        <f>'[4]#REF'!G4867</f>
        <v>#REF!</v>
      </c>
      <c r="H4867" s="31" t="e">
        <f>'[4]#REF'!I4867</f>
        <v>#REF!</v>
      </c>
      <c r="I4867" s="32" t="e">
        <f t="shared" si="106"/>
        <v>#REF!</v>
      </c>
    </row>
    <row r="4868" ht="15.75" spans="6:9">
      <c r="F4868" s="12" t="e">
        <f>'[4]#REF'!F4868</f>
        <v>#REF!</v>
      </c>
      <c r="G4868" s="12" t="e">
        <f>'[4]#REF'!G4868</f>
        <v>#REF!</v>
      </c>
      <c r="H4868" s="31" t="e">
        <f>'[4]#REF'!I4868</f>
        <v>#REF!</v>
      </c>
      <c r="I4868" s="32" t="e">
        <f t="shared" si="106"/>
        <v>#REF!</v>
      </c>
    </row>
    <row r="4869" ht="15.75" spans="6:9">
      <c r="F4869" s="12" t="e">
        <f>'[4]#REF'!F4869</f>
        <v>#REF!</v>
      </c>
      <c r="G4869" s="12" t="e">
        <f>'[4]#REF'!G4869</f>
        <v>#REF!</v>
      </c>
      <c r="H4869" s="31" t="e">
        <f>'[4]#REF'!I4869</f>
        <v>#REF!</v>
      </c>
      <c r="I4869" s="32" t="e">
        <f t="shared" si="106"/>
        <v>#REF!</v>
      </c>
    </row>
    <row r="4870" ht="15.75" spans="6:9">
      <c r="F4870" s="12" t="e">
        <f>'[4]#REF'!F4870</f>
        <v>#REF!</v>
      </c>
      <c r="G4870" s="12" t="e">
        <f>'[4]#REF'!G4870</f>
        <v>#REF!</v>
      </c>
      <c r="H4870" s="31" t="e">
        <f>'[4]#REF'!I4870</f>
        <v>#REF!</v>
      </c>
      <c r="I4870" s="32" t="e">
        <f t="shared" ref="I4870:I4933" si="107">ROUND(H4870/$I$4*100,2)</f>
        <v>#REF!</v>
      </c>
    </row>
    <row r="4871" ht="15.75" spans="6:9">
      <c r="F4871" s="12" t="e">
        <f>'[4]#REF'!F4871</f>
        <v>#REF!</v>
      </c>
      <c r="G4871" s="12" t="e">
        <f>'[4]#REF'!G4871</f>
        <v>#REF!</v>
      </c>
      <c r="H4871" s="31" t="e">
        <f>'[4]#REF'!I4871</f>
        <v>#REF!</v>
      </c>
      <c r="I4871" s="32" t="e">
        <f t="shared" si="107"/>
        <v>#REF!</v>
      </c>
    </row>
    <row r="4872" ht="15.75" spans="6:9">
      <c r="F4872" s="12" t="e">
        <f>'[4]#REF'!F4872</f>
        <v>#REF!</v>
      </c>
      <c r="G4872" s="12" t="e">
        <f>'[4]#REF'!G4872</f>
        <v>#REF!</v>
      </c>
      <c r="H4872" s="31" t="e">
        <f>'[4]#REF'!I4872</f>
        <v>#REF!</v>
      </c>
      <c r="I4872" s="32" t="e">
        <f t="shared" si="107"/>
        <v>#REF!</v>
      </c>
    </row>
    <row r="4873" ht="15.75" spans="6:9">
      <c r="F4873" s="12" t="e">
        <f>'[4]#REF'!F4873</f>
        <v>#REF!</v>
      </c>
      <c r="G4873" s="12" t="e">
        <f>'[4]#REF'!G4873</f>
        <v>#REF!</v>
      </c>
      <c r="H4873" s="31" t="e">
        <f>'[4]#REF'!I4873</f>
        <v>#REF!</v>
      </c>
      <c r="I4873" s="32" t="e">
        <f t="shared" si="107"/>
        <v>#REF!</v>
      </c>
    </row>
    <row r="4874" ht="15.75" spans="6:9">
      <c r="F4874" s="12" t="e">
        <f>'[4]#REF'!F4874</f>
        <v>#REF!</v>
      </c>
      <c r="G4874" s="12" t="e">
        <f>'[4]#REF'!G4874</f>
        <v>#REF!</v>
      </c>
      <c r="H4874" s="31" t="e">
        <f>'[4]#REF'!I4874</f>
        <v>#REF!</v>
      </c>
      <c r="I4874" s="32" t="e">
        <f t="shared" si="107"/>
        <v>#REF!</v>
      </c>
    </row>
    <row r="4875" ht="15.75" spans="6:9">
      <c r="F4875" s="12" t="e">
        <f>'[4]#REF'!F4875</f>
        <v>#REF!</v>
      </c>
      <c r="G4875" s="12" t="e">
        <f>'[4]#REF'!G4875</f>
        <v>#REF!</v>
      </c>
      <c r="H4875" s="31" t="e">
        <f>'[4]#REF'!I4875</f>
        <v>#REF!</v>
      </c>
      <c r="I4875" s="32" t="e">
        <f t="shared" si="107"/>
        <v>#REF!</v>
      </c>
    </row>
    <row r="4876" ht="15.75" spans="6:9">
      <c r="F4876" s="12" t="e">
        <f>'[4]#REF'!F4876</f>
        <v>#REF!</v>
      </c>
      <c r="G4876" s="12" t="e">
        <f>'[4]#REF'!G4876</f>
        <v>#REF!</v>
      </c>
      <c r="H4876" s="31" t="e">
        <f>'[4]#REF'!I4876</f>
        <v>#REF!</v>
      </c>
      <c r="I4876" s="32" t="e">
        <f t="shared" si="107"/>
        <v>#REF!</v>
      </c>
    </row>
    <row r="4877" ht="15.75" spans="6:9">
      <c r="F4877" s="12" t="e">
        <f>'[4]#REF'!F4877</f>
        <v>#REF!</v>
      </c>
      <c r="G4877" s="12" t="e">
        <f>'[4]#REF'!G4877</f>
        <v>#REF!</v>
      </c>
      <c r="H4877" s="31" t="e">
        <f>'[4]#REF'!I4877</f>
        <v>#REF!</v>
      </c>
      <c r="I4877" s="32" t="e">
        <f t="shared" si="107"/>
        <v>#REF!</v>
      </c>
    </row>
    <row r="4878" ht="15.75" spans="6:9">
      <c r="F4878" s="12" t="e">
        <f>'[4]#REF'!F4878</f>
        <v>#REF!</v>
      </c>
      <c r="G4878" s="12" t="e">
        <f>'[4]#REF'!G4878</f>
        <v>#REF!</v>
      </c>
      <c r="H4878" s="31" t="e">
        <f>'[4]#REF'!I4878</f>
        <v>#REF!</v>
      </c>
      <c r="I4878" s="32" t="e">
        <f t="shared" si="107"/>
        <v>#REF!</v>
      </c>
    </row>
    <row r="4879" ht="15.75" spans="6:9">
      <c r="F4879" s="12" t="e">
        <f>'[4]#REF'!F4879</f>
        <v>#REF!</v>
      </c>
      <c r="G4879" s="12" t="e">
        <f>'[4]#REF'!G4879</f>
        <v>#REF!</v>
      </c>
      <c r="H4879" s="31" t="e">
        <f>'[4]#REF'!I4879</f>
        <v>#REF!</v>
      </c>
      <c r="I4879" s="32" t="e">
        <f t="shared" si="107"/>
        <v>#REF!</v>
      </c>
    </row>
    <row r="4880" ht="15.75" spans="6:9">
      <c r="F4880" s="12" t="e">
        <f>'[4]#REF'!F4880</f>
        <v>#REF!</v>
      </c>
      <c r="G4880" s="12" t="e">
        <f>'[4]#REF'!G4880</f>
        <v>#REF!</v>
      </c>
      <c r="H4880" s="31" t="e">
        <f>'[4]#REF'!I4880</f>
        <v>#REF!</v>
      </c>
      <c r="I4880" s="32" t="e">
        <f t="shared" si="107"/>
        <v>#REF!</v>
      </c>
    </row>
    <row r="4881" ht="15.75" spans="6:9">
      <c r="F4881" s="12" t="e">
        <f>'[4]#REF'!F4881</f>
        <v>#REF!</v>
      </c>
      <c r="G4881" s="12" t="e">
        <f>'[4]#REF'!G4881</f>
        <v>#REF!</v>
      </c>
      <c r="H4881" s="31" t="e">
        <f>'[4]#REF'!I4881</f>
        <v>#REF!</v>
      </c>
      <c r="I4881" s="32" t="e">
        <f t="shared" si="107"/>
        <v>#REF!</v>
      </c>
    </row>
    <row r="4882" ht="15.75" spans="6:9">
      <c r="F4882" s="12" t="e">
        <f>'[4]#REF'!F4882</f>
        <v>#REF!</v>
      </c>
      <c r="G4882" s="12" t="e">
        <f>'[4]#REF'!G4882</f>
        <v>#REF!</v>
      </c>
      <c r="H4882" s="31" t="e">
        <f>'[4]#REF'!I4882</f>
        <v>#REF!</v>
      </c>
      <c r="I4882" s="32" t="e">
        <f t="shared" si="107"/>
        <v>#REF!</v>
      </c>
    </row>
    <row r="4883" ht="15.75" spans="6:9">
      <c r="F4883" s="12" t="e">
        <f>'[4]#REF'!F4883</f>
        <v>#REF!</v>
      </c>
      <c r="G4883" s="12" t="e">
        <f>'[4]#REF'!G4883</f>
        <v>#REF!</v>
      </c>
      <c r="H4883" s="31" t="e">
        <f>'[4]#REF'!I4883</f>
        <v>#REF!</v>
      </c>
      <c r="I4883" s="32" t="e">
        <f t="shared" si="107"/>
        <v>#REF!</v>
      </c>
    </row>
    <row r="4884" ht="15.75" spans="6:9">
      <c r="F4884" s="12" t="e">
        <f>'[4]#REF'!F4884</f>
        <v>#REF!</v>
      </c>
      <c r="G4884" s="12" t="e">
        <f>'[4]#REF'!G4884</f>
        <v>#REF!</v>
      </c>
      <c r="H4884" s="31" t="e">
        <f>'[4]#REF'!I4884</f>
        <v>#REF!</v>
      </c>
      <c r="I4884" s="32" t="e">
        <f t="shared" si="107"/>
        <v>#REF!</v>
      </c>
    </row>
    <row r="4885" ht="15.75" spans="6:9">
      <c r="F4885" s="12" t="e">
        <f>'[4]#REF'!F4885</f>
        <v>#REF!</v>
      </c>
      <c r="G4885" s="12" t="e">
        <f>'[4]#REF'!G4885</f>
        <v>#REF!</v>
      </c>
      <c r="H4885" s="31" t="e">
        <f>'[4]#REF'!I4885</f>
        <v>#REF!</v>
      </c>
      <c r="I4885" s="32" t="e">
        <f t="shared" si="107"/>
        <v>#REF!</v>
      </c>
    </row>
    <row r="4886" ht="15.75" spans="6:9">
      <c r="F4886" s="12" t="e">
        <f>'[4]#REF'!F4886</f>
        <v>#REF!</v>
      </c>
      <c r="G4886" s="12" t="e">
        <f>'[4]#REF'!G4886</f>
        <v>#REF!</v>
      </c>
      <c r="H4886" s="31" t="e">
        <f>'[4]#REF'!I4886</f>
        <v>#REF!</v>
      </c>
      <c r="I4886" s="32" t="e">
        <f t="shared" si="107"/>
        <v>#REF!</v>
      </c>
    </row>
    <row r="4887" ht="15.75" spans="6:9">
      <c r="F4887" s="12" t="e">
        <f>'[4]#REF'!F4887</f>
        <v>#REF!</v>
      </c>
      <c r="G4887" s="12" t="e">
        <f>'[4]#REF'!G4887</f>
        <v>#REF!</v>
      </c>
      <c r="H4887" s="31" t="e">
        <f>'[4]#REF'!I4887</f>
        <v>#REF!</v>
      </c>
      <c r="I4887" s="32" t="e">
        <f t="shared" si="107"/>
        <v>#REF!</v>
      </c>
    </row>
    <row r="4888" ht="15.75" spans="6:9">
      <c r="F4888" s="12" t="e">
        <f>'[4]#REF'!F4888</f>
        <v>#REF!</v>
      </c>
      <c r="G4888" s="12" t="e">
        <f>'[4]#REF'!G4888</f>
        <v>#REF!</v>
      </c>
      <c r="H4888" s="31" t="e">
        <f>'[4]#REF'!I4888</f>
        <v>#REF!</v>
      </c>
      <c r="I4888" s="32" t="e">
        <f t="shared" si="107"/>
        <v>#REF!</v>
      </c>
    </row>
    <row r="4889" ht="15.75" spans="6:9">
      <c r="F4889" s="12" t="e">
        <f>'[4]#REF'!F4889</f>
        <v>#REF!</v>
      </c>
      <c r="G4889" s="12" t="e">
        <f>'[4]#REF'!G4889</f>
        <v>#REF!</v>
      </c>
      <c r="H4889" s="31" t="e">
        <f>'[4]#REF'!I4889</f>
        <v>#REF!</v>
      </c>
      <c r="I4889" s="32" t="e">
        <f t="shared" si="107"/>
        <v>#REF!</v>
      </c>
    </row>
    <row r="4890" ht="15.75" spans="6:9">
      <c r="F4890" s="12" t="e">
        <f>'[4]#REF'!F4890</f>
        <v>#REF!</v>
      </c>
      <c r="G4890" s="12" t="e">
        <f>'[4]#REF'!G4890</f>
        <v>#REF!</v>
      </c>
      <c r="H4890" s="31" t="e">
        <f>'[4]#REF'!I4890</f>
        <v>#REF!</v>
      </c>
      <c r="I4890" s="32" t="e">
        <f t="shared" si="107"/>
        <v>#REF!</v>
      </c>
    </row>
    <row r="4891" ht="15.75" spans="6:9">
      <c r="F4891" s="12" t="e">
        <f>'[4]#REF'!F4891</f>
        <v>#REF!</v>
      </c>
      <c r="G4891" s="12" t="e">
        <f>'[4]#REF'!G4891</f>
        <v>#REF!</v>
      </c>
      <c r="H4891" s="31" t="e">
        <f>'[4]#REF'!I4891</f>
        <v>#REF!</v>
      </c>
      <c r="I4891" s="32" t="e">
        <f t="shared" si="107"/>
        <v>#REF!</v>
      </c>
    </row>
    <row r="4892" ht="15.75" spans="6:9">
      <c r="F4892" s="12" t="e">
        <f>'[4]#REF'!F4892</f>
        <v>#REF!</v>
      </c>
      <c r="G4892" s="12" t="e">
        <f>'[4]#REF'!G4892</f>
        <v>#REF!</v>
      </c>
      <c r="H4892" s="31" t="e">
        <f>'[4]#REF'!I4892</f>
        <v>#REF!</v>
      </c>
      <c r="I4892" s="32" t="e">
        <f t="shared" si="107"/>
        <v>#REF!</v>
      </c>
    </row>
    <row r="4893" ht="15.75" spans="6:9">
      <c r="F4893" s="12" t="e">
        <f>'[4]#REF'!F4893</f>
        <v>#REF!</v>
      </c>
      <c r="G4893" s="12" t="e">
        <f>'[4]#REF'!G4893</f>
        <v>#REF!</v>
      </c>
      <c r="H4893" s="31" t="e">
        <f>'[4]#REF'!I4893</f>
        <v>#REF!</v>
      </c>
      <c r="I4893" s="32" t="e">
        <f t="shared" si="107"/>
        <v>#REF!</v>
      </c>
    </row>
    <row r="4894" ht="15.75" spans="6:9">
      <c r="F4894" s="12" t="e">
        <f>'[4]#REF'!F4894</f>
        <v>#REF!</v>
      </c>
      <c r="G4894" s="12" t="e">
        <f>'[4]#REF'!G4894</f>
        <v>#REF!</v>
      </c>
      <c r="H4894" s="31" t="e">
        <f>'[4]#REF'!I4894</f>
        <v>#REF!</v>
      </c>
      <c r="I4894" s="32" t="e">
        <f t="shared" si="107"/>
        <v>#REF!</v>
      </c>
    </row>
    <row r="4895" ht="15.75" spans="6:9">
      <c r="F4895" s="12" t="e">
        <f>'[4]#REF'!F4895</f>
        <v>#REF!</v>
      </c>
      <c r="G4895" s="12" t="e">
        <f>'[4]#REF'!G4895</f>
        <v>#REF!</v>
      </c>
      <c r="H4895" s="31" t="e">
        <f>'[4]#REF'!I4895</f>
        <v>#REF!</v>
      </c>
      <c r="I4895" s="32" t="e">
        <f t="shared" si="107"/>
        <v>#REF!</v>
      </c>
    </row>
    <row r="4896" ht="15.75" spans="6:9">
      <c r="F4896" s="12" t="e">
        <f>'[4]#REF'!F4896</f>
        <v>#REF!</v>
      </c>
      <c r="G4896" s="12" t="e">
        <f>'[4]#REF'!G4896</f>
        <v>#REF!</v>
      </c>
      <c r="H4896" s="31" t="e">
        <f>'[4]#REF'!I4896</f>
        <v>#REF!</v>
      </c>
      <c r="I4896" s="32" t="e">
        <f t="shared" si="107"/>
        <v>#REF!</v>
      </c>
    </row>
    <row r="4897" ht="15.75" spans="6:9">
      <c r="F4897" s="12" t="e">
        <f>'[4]#REF'!F4897</f>
        <v>#REF!</v>
      </c>
      <c r="G4897" s="12" t="e">
        <f>'[4]#REF'!G4897</f>
        <v>#REF!</v>
      </c>
      <c r="H4897" s="31" t="e">
        <f>'[4]#REF'!I4897</f>
        <v>#REF!</v>
      </c>
      <c r="I4897" s="32" t="e">
        <f t="shared" si="107"/>
        <v>#REF!</v>
      </c>
    </row>
    <row r="4898" ht="15.75" spans="6:9">
      <c r="F4898" s="12" t="e">
        <f>'[4]#REF'!F4898</f>
        <v>#REF!</v>
      </c>
      <c r="G4898" s="12" t="e">
        <f>'[4]#REF'!G4898</f>
        <v>#REF!</v>
      </c>
      <c r="H4898" s="31" t="e">
        <f>'[4]#REF'!I4898</f>
        <v>#REF!</v>
      </c>
      <c r="I4898" s="32" t="e">
        <f t="shared" si="107"/>
        <v>#REF!</v>
      </c>
    </row>
    <row r="4899" ht="15.75" spans="6:9">
      <c r="F4899" s="12" t="e">
        <f>'[4]#REF'!F4899</f>
        <v>#REF!</v>
      </c>
      <c r="G4899" s="12" t="e">
        <f>'[4]#REF'!G4899</f>
        <v>#REF!</v>
      </c>
      <c r="H4899" s="31" t="e">
        <f>'[4]#REF'!I4899</f>
        <v>#REF!</v>
      </c>
      <c r="I4899" s="32" t="e">
        <f t="shared" si="107"/>
        <v>#REF!</v>
      </c>
    </row>
    <row r="4900" ht="15.75" spans="6:9">
      <c r="F4900" s="12" t="e">
        <f>'[4]#REF'!F4900</f>
        <v>#REF!</v>
      </c>
      <c r="G4900" s="12" t="e">
        <f>'[4]#REF'!G4900</f>
        <v>#REF!</v>
      </c>
      <c r="H4900" s="31" t="e">
        <f>'[4]#REF'!I4900</f>
        <v>#REF!</v>
      </c>
      <c r="I4900" s="32" t="e">
        <f t="shared" si="107"/>
        <v>#REF!</v>
      </c>
    </row>
    <row r="4901" ht="15.75" spans="6:9">
      <c r="F4901" s="12" t="e">
        <f>'[4]#REF'!F4901</f>
        <v>#REF!</v>
      </c>
      <c r="G4901" s="12" t="e">
        <f>'[4]#REF'!G4901</f>
        <v>#REF!</v>
      </c>
      <c r="H4901" s="31" t="e">
        <f>'[4]#REF'!I4901</f>
        <v>#REF!</v>
      </c>
      <c r="I4901" s="32" t="e">
        <f t="shared" si="107"/>
        <v>#REF!</v>
      </c>
    </row>
    <row r="4902" ht="15.75" spans="6:9">
      <c r="F4902" s="12" t="e">
        <f>'[4]#REF'!F4902</f>
        <v>#REF!</v>
      </c>
      <c r="G4902" s="12" t="e">
        <f>'[4]#REF'!G4902</f>
        <v>#REF!</v>
      </c>
      <c r="H4902" s="31" t="e">
        <f>'[4]#REF'!I4902</f>
        <v>#REF!</v>
      </c>
      <c r="I4902" s="32" t="e">
        <f t="shared" si="107"/>
        <v>#REF!</v>
      </c>
    </row>
    <row r="4903" ht="15.75" spans="6:9">
      <c r="F4903" s="12" t="e">
        <f>'[4]#REF'!F4903</f>
        <v>#REF!</v>
      </c>
      <c r="G4903" s="12" t="e">
        <f>'[4]#REF'!G4903</f>
        <v>#REF!</v>
      </c>
      <c r="H4903" s="31" t="e">
        <f>'[4]#REF'!I4903</f>
        <v>#REF!</v>
      </c>
      <c r="I4903" s="32" t="e">
        <f t="shared" si="107"/>
        <v>#REF!</v>
      </c>
    </row>
    <row r="4904" ht="15.75" spans="6:9">
      <c r="F4904" s="12" t="e">
        <f>'[4]#REF'!F4904</f>
        <v>#REF!</v>
      </c>
      <c r="G4904" s="12" t="e">
        <f>'[4]#REF'!G4904</f>
        <v>#REF!</v>
      </c>
      <c r="H4904" s="31" t="e">
        <f>'[4]#REF'!I4904</f>
        <v>#REF!</v>
      </c>
      <c r="I4904" s="32" t="e">
        <f t="shared" si="107"/>
        <v>#REF!</v>
      </c>
    </row>
    <row r="4905" ht="15.75" spans="6:9">
      <c r="F4905" s="12" t="e">
        <f>'[4]#REF'!F4905</f>
        <v>#REF!</v>
      </c>
      <c r="G4905" s="12" t="e">
        <f>'[4]#REF'!G4905</f>
        <v>#REF!</v>
      </c>
      <c r="H4905" s="31" t="e">
        <f>'[4]#REF'!I4905</f>
        <v>#REF!</v>
      </c>
      <c r="I4905" s="32" t="e">
        <f t="shared" si="107"/>
        <v>#REF!</v>
      </c>
    </row>
    <row r="4906" ht="15.75" spans="6:9">
      <c r="F4906" s="12" t="e">
        <f>'[4]#REF'!F4906</f>
        <v>#REF!</v>
      </c>
      <c r="G4906" s="12" t="e">
        <f>'[4]#REF'!G4906</f>
        <v>#REF!</v>
      </c>
      <c r="H4906" s="31" t="e">
        <f>'[4]#REF'!I4906</f>
        <v>#REF!</v>
      </c>
      <c r="I4906" s="32" t="e">
        <f t="shared" si="107"/>
        <v>#REF!</v>
      </c>
    </row>
    <row r="4907" ht="15.75" spans="6:9">
      <c r="F4907" s="12" t="e">
        <f>'[4]#REF'!F4907</f>
        <v>#REF!</v>
      </c>
      <c r="G4907" s="12" t="e">
        <f>'[4]#REF'!G4907</f>
        <v>#REF!</v>
      </c>
      <c r="H4907" s="31" t="e">
        <f>'[4]#REF'!I4907</f>
        <v>#REF!</v>
      </c>
      <c r="I4907" s="32" t="e">
        <f t="shared" si="107"/>
        <v>#REF!</v>
      </c>
    </row>
    <row r="4908" ht="15.75" spans="6:9">
      <c r="F4908" s="12" t="e">
        <f>'[4]#REF'!F4908</f>
        <v>#REF!</v>
      </c>
      <c r="G4908" s="12" t="e">
        <f>'[4]#REF'!G4908</f>
        <v>#REF!</v>
      </c>
      <c r="H4908" s="31" t="e">
        <f>'[4]#REF'!I4908</f>
        <v>#REF!</v>
      </c>
      <c r="I4908" s="32" t="e">
        <f t="shared" si="107"/>
        <v>#REF!</v>
      </c>
    </row>
    <row r="4909" ht="15.75" spans="6:9">
      <c r="F4909" s="12" t="e">
        <f>'[4]#REF'!F4909</f>
        <v>#REF!</v>
      </c>
      <c r="G4909" s="12" t="e">
        <f>'[4]#REF'!G4909</f>
        <v>#REF!</v>
      </c>
      <c r="H4909" s="31" t="e">
        <f>'[4]#REF'!I4909</f>
        <v>#REF!</v>
      </c>
      <c r="I4909" s="32" t="e">
        <f t="shared" si="107"/>
        <v>#REF!</v>
      </c>
    </row>
    <row r="4910" ht="15.75" spans="6:9">
      <c r="F4910" s="12" t="e">
        <f>'[4]#REF'!F4910</f>
        <v>#REF!</v>
      </c>
      <c r="G4910" s="12" t="e">
        <f>'[4]#REF'!G4910</f>
        <v>#REF!</v>
      </c>
      <c r="H4910" s="31" t="e">
        <f>'[4]#REF'!I4910</f>
        <v>#REF!</v>
      </c>
      <c r="I4910" s="32" t="e">
        <f t="shared" si="107"/>
        <v>#REF!</v>
      </c>
    </row>
    <row r="4911" ht="15.75" spans="6:9">
      <c r="F4911" s="12" t="e">
        <f>'[4]#REF'!F4911</f>
        <v>#REF!</v>
      </c>
      <c r="G4911" s="12" t="e">
        <f>'[4]#REF'!G4911</f>
        <v>#REF!</v>
      </c>
      <c r="H4911" s="31" t="e">
        <f>'[4]#REF'!I4911</f>
        <v>#REF!</v>
      </c>
      <c r="I4911" s="32" t="e">
        <f t="shared" si="107"/>
        <v>#REF!</v>
      </c>
    </row>
    <row r="4912" ht="15.75" spans="6:9">
      <c r="F4912" s="12" t="e">
        <f>'[4]#REF'!F4912</f>
        <v>#REF!</v>
      </c>
      <c r="G4912" s="12" t="e">
        <f>'[4]#REF'!G4912</f>
        <v>#REF!</v>
      </c>
      <c r="H4912" s="31" t="e">
        <f>'[4]#REF'!I4912</f>
        <v>#REF!</v>
      </c>
      <c r="I4912" s="32" t="e">
        <f t="shared" si="107"/>
        <v>#REF!</v>
      </c>
    </row>
    <row r="4913" ht="15.75" spans="6:9">
      <c r="F4913" s="12" t="e">
        <f>'[4]#REF'!F4913</f>
        <v>#REF!</v>
      </c>
      <c r="G4913" s="12" t="e">
        <f>'[4]#REF'!G4913</f>
        <v>#REF!</v>
      </c>
      <c r="H4913" s="31" t="e">
        <f>'[4]#REF'!I4913</f>
        <v>#REF!</v>
      </c>
      <c r="I4913" s="32" t="e">
        <f t="shared" si="107"/>
        <v>#REF!</v>
      </c>
    </row>
    <row r="4914" ht="15.75" spans="6:9">
      <c r="F4914" s="12" t="e">
        <f>'[4]#REF'!F4914</f>
        <v>#REF!</v>
      </c>
      <c r="G4914" s="12" t="e">
        <f>'[4]#REF'!G4914</f>
        <v>#REF!</v>
      </c>
      <c r="H4914" s="31" t="e">
        <f>'[4]#REF'!I4914</f>
        <v>#REF!</v>
      </c>
      <c r="I4914" s="32" t="e">
        <f t="shared" si="107"/>
        <v>#REF!</v>
      </c>
    </row>
    <row r="4915" ht="15.75" spans="6:9">
      <c r="F4915" s="12" t="e">
        <f>'[4]#REF'!F4915</f>
        <v>#REF!</v>
      </c>
      <c r="G4915" s="12" t="e">
        <f>'[4]#REF'!G4915</f>
        <v>#REF!</v>
      </c>
      <c r="H4915" s="31" t="e">
        <f>'[4]#REF'!I4915</f>
        <v>#REF!</v>
      </c>
      <c r="I4915" s="32" t="e">
        <f t="shared" si="107"/>
        <v>#REF!</v>
      </c>
    </row>
    <row r="4916" ht="15.75" spans="6:9">
      <c r="F4916" s="12" t="e">
        <f>'[4]#REF'!F4916</f>
        <v>#REF!</v>
      </c>
      <c r="G4916" s="12" t="e">
        <f>'[4]#REF'!G4916</f>
        <v>#REF!</v>
      </c>
      <c r="H4916" s="31" t="e">
        <f>'[4]#REF'!I4916</f>
        <v>#REF!</v>
      </c>
      <c r="I4916" s="32" t="e">
        <f t="shared" si="107"/>
        <v>#REF!</v>
      </c>
    </row>
    <row r="4917" ht="15.75" spans="6:9">
      <c r="F4917" s="12" t="e">
        <f>'[4]#REF'!F4917</f>
        <v>#REF!</v>
      </c>
      <c r="G4917" s="12" t="e">
        <f>'[4]#REF'!G4917</f>
        <v>#REF!</v>
      </c>
      <c r="H4917" s="31" t="e">
        <f>'[4]#REF'!I4917</f>
        <v>#REF!</v>
      </c>
      <c r="I4917" s="32" t="e">
        <f t="shared" si="107"/>
        <v>#REF!</v>
      </c>
    </row>
    <row r="4918" ht="15.75" spans="6:9">
      <c r="F4918" s="12" t="e">
        <f>'[4]#REF'!F4918</f>
        <v>#REF!</v>
      </c>
      <c r="G4918" s="12" t="e">
        <f>'[4]#REF'!G4918</f>
        <v>#REF!</v>
      </c>
      <c r="H4918" s="31" t="e">
        <f>'[4]#REF'!I4918</f>
        <v>#REF!</v>
      </c>
      <c r="I4918" s="32" t="e">
        <f t="shared" si="107"/>
        <v>#REF!</v>
      </c>
    </row>
    <row r="4919" ht="15.75" spans="6:9">
      <c r="F4919" s="12" t="e">
        <f>'[4]#REF'!F4919</f>
        <v>#REF!</v>
      </c>
      <c r="G4919" s="12" t="e">
        <f>'[4]#REF'!G4919</f>
        <v>#REF!</v>
      </c>
      <c r="H4919" s="31" t="e">
        <f>'[4]#REF'!I4919</f>
        <v>#REF!</v>
      </c>
      <c r="I4919" s="32" t="e">
        <f t="shared" si="107"/>
        <v>#REF!</v>
      </c>
    </row>
    <row r="4920" ht="15.75" spans="6:9">
      <c r="F4920" s="12" t="e">
        <f>'[4]#REF'!F4920</f>
        <v>#REF!</v>
      </c>
      <c r="G4920" s="12" t="e">
        <f>'[4]#REF'!G4920</f>
        <v>#REF!</v>
      </c>
      <c r="H4920" s="31" t="e">
        <f>'[4]#REF'!I4920</f>
        <v>#REF!</v>
      </c>
      <c r="I4920" s="32" t="e">
        <f t="shared" si="107"/>
        <v>#REF!</v>
      </c>
    </row>
    <row r="4921" ht="15.75" spans="6:9">
      <c r="F4921" s="12" t="e">
        <f>'[4]#REF'!F4921</f>
        <v>#REF!</v>
      </c>
      <c r="G4921" s="12" t="e">
        <f>'[4]#REF'!G4921</f>
        <v>#REF!</v>
      </c>
      <c r="H4921" s="31" t="e">
        <f>'[4]#REF'!I4921</f>
        <v>#REF!</v>
      </c>
      <c r="I4921" s="32" t="e">
        <f t="shared" si="107"/>
        <v>#REF!</v>
      </c>
    </row>
    <row r="4922" ht="15.75" spans="6:9">
      <c r="F4922" s="12" t="e">
        <f>'[4]#REF'!F4922</f>
        <v>#REF!</v>
      </c>
      <c r="G4922" s="12" t="e">
        <f>'[4]#REF'!G4922</f>
        <v>#REF!</v>
      </c>
      <c r="H4922" s="31" t="e">
        <f>'[4]#REF'!I4922</f>
        <v>#REF!</v>
      </c>
      <c r="I4922" s="32" t="e">
        <f t="shared" si="107"/>
        <v>#REF!</v>
      </c>
    </row>
    <row r="4923" ht="15.75" spans="6:9">
      <c r="F4923" s="12" t="e">
        <f>'[4]#REF'!F4923</f>
        <v>#REF!</v>
      </c>
      <c r="G4923" s="12" t="e">
        <f>'[4]#REF'!G4923</f>
        <v>#REF!</v>
      </c>
      <c r="H4923" s="31" t="e">
        <f>'[4]#REF'!I4923</f>
        <v>#REF!</v>
      </c>
      <c r="I4923" s="32" t="e">
        <f t="shared" si="107"/>
        <v>#REF!</v>
      </c>
    </row>
    <row r="4924" ht="15.75" spans="6:9">
      <c r="F4924" s="12" t="e">
        <f>'[4]#REF'!F4924</f>
        <v>#REF!</v>
      </c>
      <c r="G4924" s="12" t="e">
        <f>'[4]#REF'!G4924</f>
        <v>#REF!</v>
      </c>
      <c r="H4924" s="31" t="e">
        <f>'[4]#REF'!I4924</f>
        <v>#REF!</v>
      </c>
      <c r="I4924" s="32" t="e">
        <f t="shared" si="107"/>
        <v>#REF!</v>
      </c>
    </row>
    <row r="4925" ht="15.75" spans="6:9">
      <c r="F4925" s="12" t="e">
        <f>'[4]#REF'!F4925</f>
        <v>#REF!</v>
      </c>
      <c r="G4925" s="12" t="e">
        <f>'[4]#REF'!G4925</f>
        <v>#REF!</v>
      </c>
      <c r="H4925" s="31" t="e">
        <f>'[4]#REF'!I4925</f>
        <v>#REF!</v>
      </c>
      <c r="I4925" s="32" t="e">
        <f t="shared" si="107"/>
        <v>#REF!</v>
      </c>
    </row>
    <row r="4926" ht="15.75" spans="6:9">
      <c r="F4926" s="12" t="e">
        <f>'[4]#REF'!F4926</f>
        <v>#REF!</v>
      </c>
      <c r="G4926" s="12" t="e">
        <f>'[4]#REF'!G4926</f>
        <v>#REF!</v>
      </c>
      <c r="H4926" s="31" t="e">
        <f>'[4]#REF'!I4926</f>
        <v>#REF!</v>
      </c>
      <c r="I4926" s="32" t="e">
        <f t="shared" si="107"/>
        <v>#REF!</v>
      </c>
    </row>
    <row r="4927" ht="15.75" spans="6:9">
      <c r="F4927" s="12" t="e">
        <f>'[4]#REF'!F4927</f>
        <v>#REF!</v>
      </c>
      <c r="G4927" s="12" t="e">
        <f>'[4]#REF'!G4927</f>
        <v>#REF!</v>
      </c>
      <c r="H4927" s="31" t="e">
        <f>'[4]#REF'!I4927</f>
        <v>#REF!</v>
      </c>
      <c r="I4927" s="32" t="e">
        <f t="shared" si="107"/>
        <v>#REF!</v>
      </c>
    </row>
    <row r="4928" ht="15.75" spans="6:9">
      <c r="F4928" s="12" t="e">
        <f>'[4]#REF'!F4928</f>
        <v>#REF!</v>
      </c>
      <c r="G4928" s="12" t="e">
        <f>'[4]#REF'!G4928</f>
        <v>#REF!</v>
      </c>
      <c r="H4928" s="31" t="e">
        <f>'[4]#REF'!I4928</f>
        <v>#REF!</v>
      </c>
      <c r="I4928" s="32" t="e">
        <f t="shared" si="107"/>
        <v>#REF!</v>
      </c>
    </row>
    <row r="4929" ht="15.75" spans="6:9">
      <c r="F4929" s="12" t="e">
        <f>'[4]#REF'!F4929</f>
        <v>#REF!</v>
      </c>
      <c r="G4929" s="12" t="e">
        <f>'[4]#REF'!G4929</f>
        <v>#REF!</v>
      </c>
      <c r="H4929" s="31" t="e">
        <f>'[4]#REF'!I4929</f>
        <v>#REF!</v>
      </c>
      <c r="I4929" s="32" t="e">
        <f t="shared" si="107"/>
        <v>#REF!</v>
      </c>
    </row>
    <row r="4930" ht="15.75" spans="6:9">
      <c r="F4930" s="12" t="e">
        <f>'[4]#REF'!F4930</f>
        <v>#REF!</v>
      </c>
      <c r="G4930" s="12" t="e">
        <f>'[4]#REF'!G4930</f>
        <v>#REF!</v>
      </c>
      <c r="H4930" s="31" t="e">
        <f>'[4]#REF'!I4930</f>
        <v>#REF!</v>
      </c>
      <c r="I4930" s="32" t="e">
        <f t="shared" si="107"/>
        <v>#REF!</v>
      </c>
    </row>
    <row r="4931" ht="15.75" spans="6:9">
      <c r="F4931" s="12" t="e">
        <f>'[4]#REF'!F4931</f>
        <v>#REF!</v>
      </c>
      <c r="G4931" s="12" t="e">
        <f>'[4]#REF'!G4931</f>
        <v>#REF!</v>
      </c>
      <c r="H4931" s="31" t="e">
        <f>'[4]#REF'!I4931</f>
        <v>#REF!</v>
      </c>
      <c r="I4931" s="32" t="e">
        <f t="shared" si="107"/>
        <v>#REF!</v>
      </c>
    </row>
    <row r="4932" ht="15.75" spans="6:9">
      <c r="F4932" s="12" t="e">
        <f>'[4]#REF'!F4932</f>
        <v>#REF!</v>
      </c>
      <c r="G4932" s="12" t="e">
        <f>'[4]#REF'!G4932</f>
        <v>#REF!</v>
      </c>
      <c r="H4932" s="31" t="e">
        <f>'[4]#REF'!I4932</f>
        <v>#REF!</v>
      </c>
      <c r="I4932" s="32" t="e">
        <f t="shared" si="107"/>
        <v>#REF!</v>
      </c>
    </row>
    <row r="4933" ht="15.75" spans="6:9">
      <c r="F4933" s="12" t="e">
        <f>'[4]#REF'!F4933</f>
        <v>#REF!</v>
      </c>
      <c r="G4933" s="12" t="e">
        <f>'[4]#REF'!G4933</f>
        <v>#REF!</v>
      </c>
      <c r="H4933" s="31" t="e">
        <f>'[4]#REF'!I4933</f>
        <v>#REF!</v>
      </c>
      <c r="I4933" s="32" t="e">
        <f t="shared" si="107"/>
        <v>#REF!</v>
      </c>
    </row>
    <row r="4934" ht="15.75" spans="6:9">
      <c r="F4934" s="12" t="e">
        <f>'[4]#REF'!F4934</f>
        <v>#REF!</v>
      </c>
      <c r="G4934" s="12" t="e">
        <f>'[4]#REF'!G4934</f>
        <v>#REF!</v>
      </c>
      <c r="H4934" s="31" t="e">
        <f>'[4]#REF'!I4934</f>
        <v>#REF!</v>
      </c>
      <c r="I4934" s="32" t="e">
        <f t="shared" ref="I4934:I4997" si="108">ROUND(H4934/$I$4*100,2)</f>
        <v>#REF!</v>
      </c>
    </row>
    <row r="4935" ht="15.75" spans="6:9">
      <c r="F4935" s="12" t="e">
        <f>'[4]#REF'!F4935</f>
        <v>#REF!</v>
      </c>
      <c r="G4935" s="12" t="e">
        <f>'[4]#REF'!G4935</f>
        <v>#REF!</v>
      </c>
      <c r="H4935" s="31" t="e">
        <f>'[4]#REF'!I4935</f>
        <v>#REF!</v>
      </c>
      <c r="I4935" s="32" t="e">
        <f t="shared" si="108"/>
        <v>#REF!</v>
      </c>
    </row>
    <row r="4936" ht="15.75" spans="6:9">
      <c r="F4936" s="12" t="e">
        <f>'[4]#REF'!F4936</f>
        <v>#REF!</v>
      </c>
      <c r="G4936" s="12" t="e">
        <f>'[4]#REF'!G4936</f>
        <v>#REF!</v>
      </c>
      <c r="H4936" s="31" t="e">
        <f>'[4]#REF'!I4936</f>
        <v>#REF!</v>
      </c>
      <c r="I4936" s="32" t="e">
        <f t="shared" si="108"/>
        <v>#REF!</v>
      </c>
    </row>
    <row r="4937" ht="15.75" spans="6:9">
      <c r="F4937" s="12" t="e">
        <f>'[4]#REF'!F4937</f>
        <v>#REF!</v>
      </c>
      <c r="G4937" s="12" t="e">
        <f>'[4]#REF'!G4937</f>
        <v>#REF!</v>
      </c>
      <c r="H4937" s="31" t="e">
        <f>'[4]#REF'!I4937</f>
        <v>#REF!</v>
      </c>
      <c r="I4937" s="32" t="e">
        <f t="shared" si="108"/>
        <v>#REF!</v>
      </c>
    </row>
    <row r="4938" ht="15.75" spans="6:9">
      <c r="F4938" s="12" t="e">
        <f>'[4]#REF'!F4938</f>
        <v>#REF!</v>
      </c>
      <c r="G4938" s="12" t="e">
        <f>'[4]#REF'!G4938</f>
        <v>#REF!</v>
      </c>
      <c r="H4938" s="31" t="e">
        <f>'[4]#REF'!I4938</f>
        <v>#REF!</v>
      </c>
      <c r="I4938" s="32" t="e">
        <f t="shared" si="108"/>
        <v>#REF!</v>
      </c>
    </row>
    <row r="4939" ht="15.75" spans="6:9">
      <c r="F4939" s="12" t="e">
        <f>'[4]#REF'!F4939</f>
        <v>#REF!</v>
      </c>
      <c r="G4939" s="12" t="e">
        <f>'[4]#REF'!G4939</f>
        <v>#REF!</v>
      </c>
      <c r="H4939" s="31" t="e">
        <f>'[4]#REF'!I4939</f>
        <v>#REF!</v>
      </c>
      <c r="I4939" s="32" t="e">
        <f t="shared" si="108"/>
        <v>#REF!</v>
      </c>
    </row>
    <row r="4940" ht="15.75" spans="6:9">
      <c r="F4940" s="12" t="e">
        <f>'[4]#REF'!F4940</f>
        <v>#REF!</v>
      </c>
      <c r="G4940" s="12" t="e">
        <f>'[4]#REF'!G4940</f>
        <v>#REF!</v>
      </c>
      <c r="H4940" s="31" t="e">
        <f>'[4]#REF'!I4940</f>
        <v>#REF!</v>
      </c>
      <c r="I4940" s="32" t="e">
        <f t="shared" si="108"/>
        <v>#REF!</v>
      </c>
    </row>
    <row r="4941" ht="15.75" spans="6:9">
      <c r="F4941" s="12" t="e">
        <f>'[4]#REF'!F4941</f>
        <v>#REF!</v>
      </c>
      <c r="G4941" s="12" t="e">
        <f>'[4]#REF'!G4941</f>
        <v>#REF!</v>
      </c>
      <c r="H4941" s="31" t="e">
        <f>'[4]#REF'!I4941</f>
        <v>#REF!</v>
      </c>
      <c r="I4941" s="32" t="e">
        <f t="shared" si="108"/>
        <v>#REF!</v>
      </c>
    </row>
    <row r="4942" ht="15.75" spans="6:9">
      <c r="F4942" s="12" t="e">
        <f>'[4]#REF'!F4942</f>
        <v>#REF!</v>
      </c>
      <c r="G4942" s="12" t="e">
        <f>'[4]#REF'!G4942</f>
        <v>#REF!</v>
      </c>
      <c r="H4942" s="31" t="e">
        <f>'[4]#REF'!I4942</f>
        <v>#REF!</v>
      </c>
      <c r="I4942" s="32" t="e">
        <f t="shared" si="108"/>
        <v>#REF!</v>
      </c>
    </row>
    <row r="4943" ht="15.75" spans="6:9">
      <c r="F4943" s="12" t="e">
        <f>'[4]#REF'!F4943</f>
        <v>#REF!</v>
      </c>
      <c r="G4943" s="12" t="e">
        <f>'[4]#REF'!G4943</f>
        <v>#REF!</v>
      </c>
      <c r="H4943" s="31" t="e">
        <f>'[4]#REF'!I4943</f>
        <v>#REF!</v>
      </c>
      <c r="I4943" s="32" t="e">
        <f t="shared" si="108"/>
        <v>#REF!</v>
      </c>
    </row>
    <row r="4944" ht="15.75" spans="6:9">
      <c r="F4944" s="12" t="e">
        <f>'[4]#REF'!F4944</f>
        <v>#REF!</v>
      </c>
      <c r="G4944" s="12" t="e">
        <f>'[4]#REF'!G4944</f>
        <v>#REF!</v>
      </c>
      <c r="H4944" s="31" t="e">
        <f>'[4]#REF'!I4944</f>
        <v>#REF!</v>
      </c>
      <c r="I4944" s="32" t="e">
        <f t="shared" si="108"/>
        <v>#REF!</v>
      </c>
    </row>
    <row r="4945" ht="15.75" spans="6:9">
      <c r="F4945" s="12" t="e">
        <f>'[4]#REF'!F4945</f>
        <v>#REF!</v>
      </c>
      <c r="G4945" s="12" t="e">
        <f>'[4]#REF'!G4945</f>
        <v>#REF!</v>
      </c>
      <c r="H4945" s="31" t="e">
        <f>'[4]#REF'!I4945</f>
        <v>#REF!</v>
      </c>
      <c r="I4945" s="32" t="e">
        <f t="shared" si="108"/>
        <v>#REF!</v>
      </c>
    </row>
    <row r="4946" ht="15.75" spans="6:9">
      <c r="F4946" s="12" t="e">
        <f>'[4]#REF'!F4946</f>
        <v>#REF!</v>
      </c>
      <c r="G4946" s="12" t="e">
        <f>'[4]#REF'!G4946</f>
        <v>#REF!</v>
      </c>
      <c r="H4946" s="31" t="e">
        <f>'[4]#REF'!I4946</f>
        <v>#REF!</v>
      </c>
      <c r="I4946" s="32" t="e">
        <f t="shared" si="108"/>
        <v>#REF!</v>
      </c>
    </row>
    <row r="4947" ht="15.75" spans="6:9">
      <c r="F4947" s="12" t="e">
        <f>'[4]#REF'!F4947</f>
        <v>#REF!</v>
      </c>
      <c r="G4947" s="12" t="e">
        <f>'[4]#REF'!G4947</f>
        <v>#REF!</v>
      </c>
      <c r="H4947" s="31" t="e">
        <f>'[4]#REF'!I4947</f>
        <v>#REF!</v>
      </c>
      <c r="I4947" s="32" t="e">
        <f t="shared" si="108"/>
        <v>#REF!</v>
      </c>
    </row>
    <row r="4948" ht="15.75" spans="6:9">
      <c r="F4948" s="12" t="e">
        <f>'[4]#REF'!F4948</f>
        <v>#REF!</v>
      </c>
      <c r="G4948" s="12" t="e">
        <f>'[4]#REF'!G4948</f>
        <v>#REF!</v>
      </c>
      <c r="H4948" s="31" t="e">
        <f>'[4]#REF'!I4948</f>
        <v>#REF!</v>
      </c>
      <c r="I4948" s="32" t="e">
        <f t="shared" si="108"/>
        <v>#REF!</v>
      </c>
    </row>
    <row r="4949" ht="15.75" spans="6:9">
      <c r="F4949" s="12" t="e">
        <f>'[4]#REF'!F4949</f>
        <v>#REF!</v>
      </c>
      <c r="G4949" s="12" t="e">
        <f>'[4]#REF'!G4949</f>
        <v>#REF!</v>
      </c>
      <c r="H4949" s="31" t="e">
        <f>'[4]#REF'!I4949</f>
        <v>#REF!</v>
      </c>
      <c r="I4949" s="32" t="e">
        <f t="shared" si="108"/>
        <v>#REF!</v>
      </c>
    </row>
    <row r="4950" ht="15.75" spans="6:9">
      <c r="F4950" s="12" t="e">
        <f>'[4]#REF'!F4950</f>
        <v>#REF!</v>
      </c>
      <c r="G4950" s="12" t="e">
        <f>'[4]#REF'!G4950</f>
        <v>#REF!</v>
      </c>
      <c r="H4950" s="31" t="e">
        <f>'[4]#REF'!I4950</f>
        <v>#REF!</v>
      </c>
      <c r="I4950" s="32" t="e">
        <f t="shared" si="108"/>
        <v>#REF!</v>
      </c>
    </row>
    <row r="4951" ht="15.75" spans="6:9">
      <c r="F4951" s="12" t="e">
        <f>'[4]#REF'!F4951</f>
        <v>#REF!</v>
      </c>
      <c r="G4951" s="12" t="e">
        <f>'[4]#REF'!G4951</f>
        <v>#REF!</v>
      </c>
      <c r="H4951" s="31" t="e">
        <f>'[4]#REF'!I4951</f>
        <v>#REF!</v>
      </c>
      <c r="I4951" s="32" t="e">
        <f t="shared" si="108"/>
        <v>#REF!</v>
      </c>
    </row>
    <row r="4952" ht="15.75" spans="6:9">
      <c r="F4952" s="12" t="e">
        <f>'[4]#REF'!F4952</f>
        <v>#REF!</v>
      </c>
      <c r="G4952" s="12" t="e">
        <f>'[4]#REF'!G4952</f>
        <v>#REF!</v>
      </c>
      <c r="H4952" s="31" t="e">
        <f>'[4]#REF'!I4952</f>
        <v>#REF!</v>
      </c>
      <c r="I4952" s="32" t="e">
        <f t="shared" si="108"/>
        <v>#REF!</v>
      </c>
    </row>
    <row r="4953" ht="15.75" spans="6:9">
      <c r="F4953" s="12" t="e">
        <f>'[4]#REF'!F4953</f>
        <v>#REF!</v>
      </c>
      <c r="G4953" s="12" t="e">
        <f>'[4]#REF'!G4953</f>
        <v>#REF!</v>
      </c>
      <c r="H4953" s="31" t="e">
        <f>'[4]#REF'!I4953</f>
        <v>#REF!</v>
      </c>
      <c r="I4953" s="32" t="e">
        <f t="shared" si="108"/>
        <v>#REF!</v>
      </c>
    </row>
    <row r="4954" ht="15.75" spans="6:9">
      <c r="F4954" s="12" t="e">
        <f>'[4]#REF'!F4954</f>
        <v>#REF!</v>
      </c>
      <c r="G4954" s="12" t="e">
        <f>'[4]#REF'!G4954</f>
        <v>#REF!</v>
      </c>
      <c r="H4954" s="31" t="e">
        <f>'[4]#REF'!I4954</f>
        <v>#REF!</v>
      </c>
      <c r="I4954" s="32" t="e">
        <f t="shared" si="108"/>
        <v>#REF!</v>
      </c>
    </row>
    <row r="4955" ht="15.75" spans="6:9">
      <c r="F4955" s="12" t="e">
        <f>'[4]#REF'!F4955</f>
        <v>#REF!</v>
      </c>
      <c r="G4955" s="12" t="e">
        <f>'[4]#REF'!G4955</f>
        <v>#REF!</v>
      </c>
      <c r="H4955" s="31" t="e">
        <f>'[4]#REF'!I4955</f>
        <v>#REF!</v>
      </c>
      <c r="I4955" s="32" t="e">
        <f t="shared" si="108"/>
        <v>#REF!</v>
      </c>
    </row>
    <row r="4956" ht="15.75" spans="6:9">
      <c r="F4956" s="12" t="e">
        <f>'[4]#REF'!F4956</f>
        <v>#REF!</v>
      </c>
      <c r="G4956" s="12" t="e">
        <f>'[4]#REF'!G4956</f>
        <v>#REF!</v>
      </c>
      <c r="H4956" s="31" t="e">
        <f>'[4]#REF'!I4956</f>
        <v>#REF!</v>
      </c>
      <c r="I4956" s="32" t="e">
        <f t="shared" si="108"/>
        <v>#REF!</v>
      </c>
    </row>
    <row r="4957" ht="15.75" spans="6:9">
      <c r="F4957" s="12" t="e">
        <f>'[4]#REF'!F4957</f>
        <v>#REF!</v>
      </c>
      <c r="G4957" s="12" t="e">
        <f>'[4]#REF'!G4957</f>
        <v>#REF!</v>
      </c>
      <c r="H4957" s="31" t="e">
        <f>'[4]#REF'!I4957</f>
        <v>#REF!</v>
      </c>
      <c r="I4957" s="32" t="e">
        <f t="shared" si="108"/>
        <v>#REF!</v>
      </c>
    </row>
    <row r="4958" ht="15.75" spans="6:9">
      <c r="F4958" s="12" t="e">
        <f>'[4]#REF'!F4958</f>
        <v>#REF!</v>
      </c>
      <c r="G4958" s="12" t="e">
        <f>'[4]#REF'!G4958</f>
        <v>#REF!</v>
      </c>
      <c r="H4958" s="31" t="e">
        <f>'[4]#REF'!I4958</f>
        <v>#REF!</v>
      </c>
      <c r="I4958" s="32" t="e">
        <f t="shared" si="108"/>
        <v>#REF!</v>
      </c>
    </row>
    <row r="4959" ht="15.75" spans="6:9">
      <c r="F4959" s="12" t="e">
        <f>'[4]#REF'!F4959</f>
        <v>#REF!</v>
      </c>
      <c r="G4959" s="12" t="e">
        <f>'[4]#REF'!G4959</f>
        <v>#REF!</v>
      </c>
      <c r="H4959" s="31" t="e">
        <f>'[4]#REF'!I4959</f>
        <v>#REF!</v>
      </c>
      <c r="I4959" s="32" t="e">
        <f t="shared" si="108"/>
        <v>#REF!</v>
      </c>
    </row>
    <row r="4960" ht="15.75" spans="6:9">
      <c r="F4960" s="12" t="e">
        <f>'[4]#REF'!F4960</f>
        <v>#REF!</v>
      </c>
      <c r="G4960" s="12" t="e">
        <f>'[4]#REF'!G4960</f>
        <v>#REF!</v>
      </c>
      <c r="H4960" s="31" t="e">
        <f>'[4]#REF'!I4960</f>
        <v>#REF!</v>
      </c>
      <c r="I4960" s="32" t="e">
        <f t="shared" si="108"/>
        <v>#REF!</v>
      </c>
    </row>
    <row r="4961" ht="15.75" spans="6:9">
      <c r="F4961" s="12" t="e">
        <f>'[4]#REF'!F4961</f>
        <v>#REF!</v>
      </c>
      <c r="G4961" s="12" t="e">
        <f>'[4]#REF'!G4961</f>
        <v>#REF!</v>
      </c>
      <c r="H4961" s="31" t="e">
        <f>'[4]#REF'!I4961</f>
        <v>#REF!</v>
      </c>
      <c r="I4961" s="32" t="e">
        <f t="shared" si="108"/>
        <v>#REF!</v>
      </c>
    </row>
    <row r="4962" ht="15.75" spans="6:9">
      <c r="F4962" s="12" t="e">
        <f>'[4]#REF'!F4962</f>
        <v>#REF!</v>
      </c>
      <c r="G4962" s="12" t="e">
        <f>'[4]#REF'!G4962</f>
        <v>#REF!</v>
      </c>
      <c r="H4962" s="31" t="e">
        <f>'[4]#REF'!I4962</f>
        <v>#REF!</v>
      </c>
      <c r="I4962" s="32" t="e">
        <f t="shared" si="108"/>
        <v>#REF!</v>
      </c>
    </row>
    <row r="4963" ht="15.75" spans="6:9">
      <c r="F4963" s="12" t="e">
        <f>'[4]#REF'!F4963</f>
        <v>#REF!</v>
      </c>
      <c r="G4963" s="12" t="e">
        <f>'[4]#REF'!G4963</f>
        <v>#REF!</v>
      </c>
      <c r="H4963" s="31" t="e">
        <f>'[4]#REF'!I4963</f>
        <v>#REF!</v>
      </c>
      <c r="I4963" s="32" t="e">
        <f t="shared" si="108"/>
        <v>#REF!</v>
      </c>
    </row>
    <row r="4964" ht="15.75" spans="6:9">
      <c r="F4964" s="12" t="e">
        <f>'[4]#REF'!F4964</f>
        <v>#REF!</v>
      </c>
      <c r="G4964" s="12" t="e">
        <f>'[4]#REF'!G4964</f>
        <v>#REF!</v>
      </c>
      <c r="H4964" s="31" t="e">
        <f>'[4]#REF'!I4964</f>
        <v>#REF!</v>
      </c>
      <c r="I4964" s="32" t="e">
        <f t="shared" si="108"/>
        <v>#REF!</v>
      </c>
    </row>
    <row r="4965" ht="15.75" spans="6:9">
      <c r="F4965" s="12" t="e">
        <f>'[4]#REF'!F4965</f>
        <v>#REF!</v>
      </c>
      <c r="G4965" s="12" t="e">
        <f>'[4]#REF'!G4965</f>
        <v>#REF!</v>
      </c>
      <c r="H4965" s="31" t="e">
        <f>'[4]#REF'!I4965</f>
        <v>#REF!</v>
      </c>
      <c r="I4965" s="32" t="e">
        <f t="shared" si="108"/>
        <v>#REF!</v>
      </c>
    </row>
    <row r="4966" ht="15.75" spans="6:9">
      <c r="F4966" s="12" t="e">
        <f>'[4]#REF'!F4966</f>
        <v>#REF!</v>
      </c>
      <c r="G4966" s="12" t="e">
        <f>'[4]#REF'!G4966</f>
        <v>#REF!</v>
      </c>
      <c r="H4966" s="31" t="e">
        <f>'[4]#REF'!I4966</f>
        <v>#REF!</v>
      </c>
      <c r="I4966" s="32" t="e">
        <f t="shared" si="108"/>
        <v>#REF!</v>
      </c>
    </row>
    <row r="4967" ht="15.75" spans="6:9">
      <c r="F4967" s="12" t="e">
        <f>'[4]#REF'!F4967</f>
        <v>#REF!</v>
      </c>
      <c r="G4967" s="12" t="e">
        <f>'[4]#REF'!G4967</f>
        <v>#REF!</v>
      </c>
      <c r="H4967" s="31" t="e">
        <f>'[4]#REF'!I4967</f>
        <v>#REF!</v>
      </c>
      <c r="I4967" s="32" t="e">
        <f t="shared" si="108"/>
        <v>#REF!</v>
      </c>
    </row>
    <row r="4968" ht="15.75" spans="6:9">
      <c r="F4968" s="12" t="e">
        <f>'[4]#REF'!F4968</f>
        <v>#REF!</v>
      </c>
      <c r="G4968" s="12" t="e">
        <f>'[4]#REF'!G4968</f>
        <v>#REF!</v>
      </c>
      <c r="H4968" s="31" t="e">
        <f>'[4]#REF'!I4968</f>
        <v>#REF!</v>
      </c>
      <c r="I4968" s="32" t="e">
        <f t="shared" si="108"/>
        <v>#REF!</v>
      </c>
    </row>
    <row r="4969" ht="15.75" spans="6:9">
      <c r="F4969" s="12" t="e">
        <f>'[4]#REF'!F4969</f>
        <v>#REF!</v>
      </c>
      <c r="G4969" s="12" t="e">
        <f>'[4]#REF'!G4969</f>
        <v>#REF!</v>
      </c>
      <c r="H4969" s="31" t="e">
        <f>'[4]#REF'!I4969</f>
        <v>#REF!</v>
      </c>
      <c r="I4969" s="32" t="e">
        <f t="shared" si="108"/>
        <v>#REF!</v>
      </c>
    </row>
    <row r="4970" ht="15.75" spans="6:9">
      <c r="F4970" s="12" t="e">
        <f>'[4]#REF'!F4970</f>
        <v>#REF!</v>
      </c>
      <c r="G4970" s="12" t="e">
        <f>'[4]#REF'!G4970</f>
        <v>#REF!</v>
      </c>
      <c r="H4970" s="31" t="e">
        <f>'[4]#REF'!I4970</f>
        <v>#REF!</v>
      </c>
      <c r="I4970" s="32" t="e">
        <f t="shared" si="108"/>
        <v>#REF!</v>
      </c>
    </row>
    <row r="4971" ht="15.75" spans="6:9">
      <c r="F4971" s="12" t="e">
        <f>'[4]#REF'!F4971</f>
        <v>#REF!</v>
      </c>
      <c r="G4971" s="12" t="e">
        <f>'[4]#REF'!G4971</f>
        <v>#REF!</v>
      </c>
      <c r="H4971" s="31" t="e">
        <f>'[4]#REF'!I4971</f>
        <v>#REF!</v>
      </c>
      <c r="I4971" s="32" t="e">
        <f t="shared" si="108"/>
        <v>#REF!</v>
      </c>
    </row>
    <row r="4972" ht="15.75" spans="6:9">
      <c r="F4972" s="12" t="e">
        <f>'[4]#REF'!F4972</f>
        <v>#REF!</v>
      </c>
      <c r="G4972" s="12" t="e">
        <f>'[4]#REF'!G4972</f>
        <v>#REF!</v>
      </c>
      <c r="H4972" s="31" t="e">
        <f>'[4]#REF'!I4972</f>
        <v>#REF!</v>
      </c>
      <c r="I4972" s="32" t="e">
        <f t="shared" si="108"/>
        <v>#REF!</v>
      </c>
    </row>
    <row r="4973" ht="15.75" spans="6:9">
      <c r="F4973" s="12" t="e">
        <f>'[4]#REF'!F4973</f>
        <v>#REF!</v>
      </c>
      <c r="G4973" s="12" t="e">
        <f>'[4]#REF'!G4973</f>
        <v>#REF!</v>
      </c>
      <c r="H4973" s="31" t="e">
        <f>'[4]#REF'!I4973</f>
        <v>#REF!</v>
      </c>
      <c r="I4973" s="32" t="e">
        <f t="shared" si="108"/>
        <v>#REF!</v>
      </c>
    </row>
    <row r="4974" ht="15.75" spans="6:9">
      <c r="F4974" s="12" t="e">
        <f>'[4]#REF'!F4974</f>
        <v>#REF!</v>
      </c>
      <c r="G4974" s="12" t="e">
        <f>'[4]#REF'!G4974</f>
        <v>#REF!</v>
      </c>
      <c r="H4974" s="31" t="e">
        <f>'[4]#REF'!I4974</f>
        <v>#REF!</v>
      </c>
      <c r="I4974" s="32" t="e">
        <f t="shared" si="108"/>
        <v>#REF!</v>
      </c>
    </row>
    <row r="4975" ht="15.75" spans="6:9">
      <c r="F4975" s="12" t="e">
        <f>'[4]#REF'!F4975</f>
        <v>#REF!</v>
      </c>
      <c r="G4975" s="12" t="e">
        <f>'[4]#REF'!G4975</f>
        <v>#REF!</v>
      </c>
      <c r="H4975" s="31" t="e">
        <f>'[4]#REF'!I4975</f>
        <v>#REF!</v>
      </c>
      <c r="I4975" s="32" t="e">
        <f t="shared" si="108"/>
        <v>#REF!</v>
      </c>
    </row>
    <row r="4976" ht="15.75" spans="6:9">
      <c r="F4976" s="12" t="e">
        <f>'[4]#REF'!F4976</f>
        <v>#REF!</v>
      </c>
      <c r="G4976" s="12" t="e">
        <f>'[4]#REF'!G4976</f>
        <v>#REF!</v>
      </c>
      <c r="H4976" s="31" t="e">
        <f>'[4]#REF'!I4976</f>
        <v>#REF!</v>
      </c>
      <c r="I4976" s="32" t="e">
        <f t="shared" si="108"/>
        <v>#REF!</v>
      </c>
    </row>
    <row r="4977" ht="15.75" spans="6:9">
      <c r="F4977" s="12" t="e">
        <f>'[4]#REF'!F4977</f>
        <v>#REF!</v>
      </c>
      <c r="G4977" s="12" t="e">
        <f>'[4]#REF'!G4977</f>
        <v>#REF!</v>
      </c>
      <c r="H4977" s="31" t="e">
        <f>'[4]#REF'!I4977</f>
        <v>#REF!</v>
      </c>
      <c r="I4977" s="32" t="e">
        <f t="shared" si="108"/>
        <v>#REF!</v>
      </c>
    </row>
    <row r="4978" ht="15.75" spans="6:9">
      <c r="F4978" s="12" t="e">
        <f>'[4]#REF'!F4978</f>
        <v>#REF!</v>
      </c>
      <c r="G4978" s="12" t="e">
        <f>'[4]#REF'!G4978</f>
        <v>#REF!</v>
      </c>
      <c r="H4978" s="31" t="e">
        <f>'[4]#REF'!I4978</f>
        <v>#REF!</v>
      </c>
      <c r="I4978" s="32" t="e">
        <f t="shared" si="108"/>
        <v>#REF!</v>
      </c>
    </row>
    <row r="4979" ht="15.75" spans="6:9">
      <c r="F4979" s="12" t="e">
        <f>'[4]#REF'!F4979</f>
        <v>#REF!</v>
      </c>
      <c r="G4979" s="12" t="e">
        <f>'[4]#REF'!G4979</f>
        <v>#REF!</v>
      </c>
      <c r="H4979" s="31" t="e">
        <f>'[4]#REF'!I4979</f>
        <v>#REF!</v>
      </c>
      <c r="I4979" s="32" t="e">
        <f t="shared" si="108"/>
        <v>#REF!</v>
      </c>
    </row>
    <row r="4980" ht="15.75" spans="6:9">
      <c r="F4980" s="12" t="e">
        <f>'[4]#REF'!F4980</f>
        <v>#REF!</v>
      </c>
      <c r="G4980" s="12" t="e">
        <f>'[4]#REF'!G4980</f>
        <v>#REF!</v>
      </c>
      <c r="H4980" s="31" t="e">
        <f>'[4]#REF'!I4980</f>
        <v>#REF!</v>
      </c>
      <c r="I4980" s="32" t="e">
        <f t="shared" si="108"/>
        <v>#REF!</v>
      </c>
    </row>
    <row r="4981" ht="15.75" spans="6:9">
      <c r="F4981" s="12" t="e">
        <f>'[4]#REF'!F4981</f>
        <v>#REF!</v>
      </c>
      <c r="G4981" s="12" t="e">
        <f>'[4]#REF'!G4981</f>
        <v>#REF!</v>
      </c>
      <c r="H4981" s="31" t="e">
        <f>'[4]#REF'!I4981</f>
        <v>#REF!</v>
      </c>
      <c r="I4981" s="32" t="e">
        <f t="shared" si="108"/>
        <v>#REF!</v>
      </c>
    </row>
    <row r="4982" ht="15.75" spans="6:9">
      <c r="F4982" s="12" t="e">
        <f>'[4]#REF'!F4982</f>
        <v>#REF!</v>
      </c>
      <c r="G4982" s="12" t="e">
        <f>'[4]#REF'!G4982</f>
        <v>#REF!</v>
      </c>
      <c r="H4982" s="31" t="e">
        <f>'[4]#REF'!I4982</f>
        <v>#REF!</v>
      </c>
      <c r="I4982" s="32" t="e">
        <f t="shared" si="108"/>
        <v>#REF!</v>
      </c>
    </row>
    <row r="4983" ht="15.75" spans="6:9">
      <c r="F4983" s="12" t="e">
        <f>'[4]#REF'!F4983</f>
        <v>#REF!</v>
      </c>
      <c r="G4983" s="12" t="e">
        <f>'[4]#REF'!G4983</f>
        <v>#REF!</v>
      </c>
      <c r="H4983" s="31" t="e">
        <f>'[4]#REF'!I4983</f>
        <v>#REF!</v>
      </c>
      <c r="I4983" s="32" t="e">
        <f t="shared" si="108"/>
        <v>#REF!</v>
      </c>
    </row>
    <row r="4984" ht="15.75" spans="6:9">
      <c r="F4984" s="12" t="e">
        <f>'[4]#REF'!F4984</f>
        <v>#REF!</v>
      </c>
      <c r="G4984" s="12" t="e">
        <f>'[4]#REF'!G4984</f>
        <v>#REF!</v>
      </c>
      <c r="H4984" s="31" t="e">
        <f>'[4]#REF'!I4984</f>
        <v>#REF!</v>
      </c>
      <c r="I4984" s="32" t="e">
        <f t="shared" si="108"/>
        <v>#REF!</v>
      </c>
    </row>
    <row r="4985" ht="15.75" spans="6:9">
      <c r="F4985" s="12" t="e">
        <f>'[4]#REF'!F4985</f>
        <v>#REF!</v>
      </c>
      <c r="G4985" s="12" t="e">
        <f>'[4]#REF'!G4985</f>
        <v>#REF!</v>
      </c>
      <c r="H4985" s="31" t="e">
        <f>'[4]#REF'!I4985</f>
        <v>#REF!</v>
      </c>
      <c r="I4985" s="32" t="e">
        <f t="shared" si="108"/>
        <v>#REF!</v>
      </c>
    </row>
    <row r="4986" ht="15.75" spans="6:9">
      <c r="F4986" s="12" t="e">
        <f>'[4]#REF'!F4986</f>
        <v>#REF!</v>
      </c>
      <c r="G4986" s="12" t="e">
        <f>'[4]#REF'!G4986</f>
        <v>#REF!</v>
      </c>
      <c r="H4986" s="31" t="e">
        <f>'[4]#REF'!I4986</f>
        <v>#REF!</v>
      </c>
      <c r="I4986" s="32" t="e">
        <f t="shared" si="108"/>
        <v>#REF!</v>
      </c>
    </row>
    <row r="4987" ht="15.75" spans="6:9">
      <c r="F4987" s="12" t="e">
        <f>'[4]#REF'!F4987</f>
        <v>#REF!</v>
      </c>
      <c r="G4987" s="12" t="e">
        <f>'[4]#REF'!G4987</f>
        <v>#REF!</v>
      </c>
      <c r="H4987" s="31" t="e">
        <f>'[4]#REF'!I4987</f>
        <v>#REF!</v>
      </c>
      <c r="I4987" s="32" t="e">
        <f t="shared" si="108"/>
        <v>#REF!</v>
      </c>
    </row>
    <row r="4988" ht="15.75" spans="6:9">
      <c r="F4988" s="12" t="e">
        <f>'[4]#REF'!F4988</f>
        <v>#REF!</v>
      </c>
      <c r="G4988" s="12" t="e">
        <f>'[4]#REF'!G4988</f>
        <v>#REF!</v>
      </c>
      <c r="H4988" s="31" t="e">
        <f>'[4]#REF'!I4988</f>
        <v>#REF!</v>
      </c>
      <c r="I4988" s="32" t="e">
        <f t="shared" si="108"/>
        <v>#REF!</v>
      </c>
    </row>
    <row r="4989" ht="15.75" spans="6:9">
      <c r="F4989" s="12" t="e">
        <f>'[4]#REF'!F4989</f>
        <v>#REF!</v>
      </c>
      <c r="G4989" s="12" t="e">
        <f>'[4]#REF'!G4989</f>
        <v>#REF!</v>
      </c>
      <c r="H4989" s="31" t="e">
        <f>'[4]#REF'!I4989</f>
        <v>#REF!</v>
      </c>
      <c r="I4989" s="32" t="e">
        <f t="shared" si="108"/>
        <v>#REF!</v>
      </c>
    </row>
    <row r="4990" ht="15.75" spans="6:9">
      <c r="F4990" s="12" t="e">
        <f>'[4]#REF'!F4990</f>
        <v>#REF!</v>
      </c>
      <c r="G4990" s="12" t="e">
        <f>'[4]#REF'!G4990</f>
        <v>#REF!</v>
      </c>
      <c r="H4990" s="31" t="e">
        <f>'[4]#REF'!I4990</f>
        <v>#REF!</v>
      </c>
      <c r="I4990" s="32" t="e">
        <f t="shared" si="108"/>
        <v>#REF!</v>
      </c>
    </row>
    <row r="4991" ht="15.75" spans="6:9">
      <c r="F4991" s="12" t="e">
        <f>'[4]#REF'!F4991</f>
        <v>#REF!</v>
      </c>
      <c r="G4991" s="12" t="e">
        <f>'[4]#REF'!G4991</f>
        <v>#REF!</v>
      </c>
      <c r="H4991" s="31" t="e">
        <f>'[4]#REF'!I4991</f>
        <v>#REF!</v>
      </c>
      <c r="I4991" s="32" t="e">
        <f t="shared" si="108"/>
        <v>#REF!</v>
      </c>
    </row>
    <row r="4992" ht="15.75" spans="6:9">
      <c r="F4992" s="12" t="e">
        <f>'[4]#REF'!F4992</f>
        <v>#REF!</v>
      </c>
      <c r="G4992" s="12" t="e">
        <f>'[4]#REF'!G4992</f>
        <v>#REF!</v>
      </c>
      <c r="H4992" s="31" t="e">
        <f>'[4]#REF'!I4992</f>
        <v>#REF!</v>
      </c>
      <c r="I4992" s="32" t="e">
        <f t="shared" si="108"/>
        <v>#REF!</v>
      </c>
    </row>
    <row r="4993" ht="15.75" spans="6:9">
      <c r="F4993" s="12" t="e">
        <f>'[4]#REF'!F4993</f>
        <v>#REF!</v>
      </c>
      <c r="G4993" s="12" t="e">
        <f>'[4]#REF'!G4993</f>
        <v>#REF!</v>
      </c>
      <c r="H4993" s="31" t="e">
        <f>'[4]#REF'!I4993</f>
        <v>#REF!</v>
      </c>
      <c r="I4993" s="32" t="e">
        <f t="shared" si="108"/>
        <v>#REF!</v>
      </c>
    </row>
    <row r="4994" ht="15.75" spans="6:9">
      <c r="F4994" s="12" t="e">
        <f>'[4]#REF'!F4994</f>
        <v>#REF!</v>
      </c>
      <c r="G4994" s="12" t="e">
        <f>'[4]#REF'!G4994</f>
        <v>#REF!</v>
      </c>
      <c r="H4994" s="31" t="e">
        <f>'[4]#REF'!I4994</f>
        <v>#REF!</v>
      </c>
      <c r="I4994" s="32" t="e">
        <f t="shared" si="108"/>
        <v>#REF!</v>
      </c>
    </row>
    <row r="4995" ht="15.75" spans="6:9">
      <c r="F4995" s="12" t="e">
        <f>'[4]#REF'!F4995</f>
        <v>#REF!</v>
      </c>
      <c r="G4995" s="12" t="e">
        <f>'[4]#REF'!G4995</f>
        <v>#REF!</v>
      </c>
      <c r="H4995" s="31" t="e">
        <f>'[4]#REF'!I4995</f>
        <v>#REF!</v>
      </c>
      <c r="I4995" s="32" t="e">
        <f t="shared" si="108"/>
        <v>#REF!</v>
      </c>
    </row>
    <row r="4996" ht="15.75" spans="6:9">
      <c r="F4996" s="12" t="e">
        <f>'[4]#REF'!F4996</f>
        <v>#REF!</v>
      </c>
      <c r="G4996" s="12" t="e">
        <f>'[4]#REF'!G4996</f>
        <v>#REF!</v>
      </c>
      <c r="H4996" s="31" t="e">
        <f>'[4]#REF'!I4996</f>
        <v>#REF!</v>
      </c>
      <c r="I4996" s="32" t="e">
        <f t="shared" si="108"/>
        <v>#REF!</v>
      </c>
    </row>
    <row r="4997" ht="15.75" spans="6:9">
      <c r="F4997" s="12" t="e">
        <f>'[4]#REF'!F4997</f>
        <v>#REF!</v>
      </c>
      <c r="G4997" s="12" t="e">
        <f>'[4]#REF'!G4997</f>
        <v>#REF!</v>
      </c>
      <c r="H4997" s="31" t="e">
        <f>'[4]#REF'!I4997</f>
        <v>#REF!</v>
      </c>
      <c r="I4997" s="32" t="e">
        <f t="shared" si="108"/>
        <v>#REF!</v>
      </c>
    </row>
    <row r="4998" ht="15.75" spans="6:9">
      <c r="F4998" s="12" t="e">
        <f>'[4]#REF'!F4998</f>
        <v>#REF!</v>
      </c>
      <c r="G4998" s="12" t="e">
        <f>'[4]#REF'!G4998</f>
        <v>#REF!</v>
      </c>
      <c r="H4998" s="31" t="e">
        <f>'[4]#REF'!I4998</f>
        <v>#REF!</v>
      </c>
      <c r="I4998" s="32" t="e">
        <f t="shared" ref="I4998:I5061" si="109">ROUND(H4998/$I$4*100,2)</f>
        <v>#REF!</v>
      </c>
    </row>
    <row r="4999" ht="15.75" spans="6:9">
      <c r="F4999" s="12" t="e">
        <f>'[4]#REF'!F4999</f>
        <v>#REF!</v>
      </c>
      <c r="G4999" s="12" t="e">
        <f>'[4]#REF'!G4999</f>
        <v>#REF!</v>
      </c>
      <c r="H4999" s="31" t="e">
        <f>'[4]#REF'!I4999</f>
        <v>#REF!</v>
      </c>
      <c r="I4999" s="32" t="e">
        <f t="shared" si="109"/>
        <v>#REF!</v>
      </c>
    </row>
    <row r="5000" ht="15.75" spans="6:9">
      <c r="F5000" s="12" t="e">
        <f>'[4]#REF'!F5000</f>
        <v>#REF!</v>
      </c>
      <c r="G5000" s="12" t="e">
        <f>'[4]#REF'!G5000</f>
        <v>#REF!</v>
      </c>
      <c r="H5000" s="31" t="e">
        <f>'[4]#REF'!I5000</f>
        <v>#REF!</v>
      </c>
      <c r="I5000" s="32" t="e">
        <f t="shared" si="109"/>
        <v>#REF!</v>
      </c>
    </row>
    <row r="5001" ht="15.75" spans="6:9">
      <c r="F5001" s="12" t="e">
        <f>'[4]#REF'!F5001</f>
        <v>#REF!</v>
      </c>
      <c r="G5001" s="12" t="e">
        <f>'[4]#REF'!G5001</f>
        <v>#REF!</v>
      </c>
      <c r="H5001" s="31" t="e">
        <f>'[4]#REF'!I5001</f>
        <v>#REF!</v>
      </c>
      <c r="I5001" s="32" t="e">
        <f t="shared" si="109"/>
        <v>#REF!</v>
      </c>
    </row>
    <row r="5002" ht="15.75" spans="6:9">
      <c r="F5002" s="12" t="e">
        <f>'[4]#REF'!F5002</f>
        <v>#REF!</v>
      </c>
      <c r="G5002" s="12" t="e">
        <f>'[4]#REF'!G5002</f>
        <v>#REF!</v>
      </c>
      <c r="H5002" s="31" t="e">
        <f>'[4]#REF'!I5002</f>
        <v>#REF!</v>
      </c>
      <c r="I5002" s="32" t="e">
        <f t="shared" si="109"/>
        <v>#REF!</v>
      </c>
    </row>
    <row r="5003" ht="15.75" spans="6:9">
      <c r="F5003" s="12" t="e">
        <f>'[4]#REF'!F5003</f>
        <v>#REF!</v>
      </c>
      <c r="G5003" s="12" t="e">
        <f>'[4]#REF'!G5003</f>
        <v>#REF!</v>
      </c>
      <c r="H5003" s="31" t="e">
        <f>'[4]#REF'!I5003</f>
        <v>#REF!</v>
      </c>
      <c r="I5003" s="32" t="e">
        <f t="shared" si="109"/>
        <v>#REF!</v>
      </c>
    </row>
    <row r="5004" ht="15.75" spans="6:9">
      <c r="F5004" s="12" t="e">
        <f>'[4]#REF'!F5004</f>
        <v>#REF!</v>
      </c>
      <c r="G5004" s="12" t="e">
        <f>'[4]#REF'!G5004</f>
        <v>#REF!</v>
      </c>
      <c r="H5004" s="31" t="e">
        <f>'[4]#REF'!I5004</f>
        <v>#REF!</v>
      </c>
      <c r="I5004" s="32" t="e">
        <f t="shared" si="109"/>
        <v>#REF!</v>
      </c>
    </row>
    <row r="5005" ht="15.75" spans="6:9">
      <c r="F5005" s="12" t="e">
        <f>'[4]#REF'!F5005</f>
        <v>#REF!</v>
      </c>
      <c r="G5005" s="12" t="e">
        <f>'[4]#REF'!G5005</f>
        <v>#REF!</v>
      </c>
      <c r="H5005" s="31" t="e">
        <f>'[4]#REF'!I5005</f>
        <v>#REF!</v>
      </c>
      <c r="I5005" s="32" t="e">
        <f t="shared" si="109"/>
        <v>#REF!</v>
      </c>
    </row>
    <row r="5006" ht="15.75" spans="6:9">
      <c r="F5006" s="12" t="e">
        <f>'[4]#REF'!F5006</f>
        <v>#REF!</v>
      </c>
      <c r="G5006" s="12" t="e">
        <f>'[4]#REF'!G5006</f>
        <v>#REF!</v>
      </c>
      <c r="H5006" s="31" t="e">
        <f>'[4]#REF'!I5006</f>
        <v>#REF!</v>
      </c>
      <c r="I5006" s="32" t="e">
        <f t="shared" si="109"/>
        <v>#REF!</v>
      </c>
    </row>
    <row r="5007" ht="15.75" spans="6:9">
      <c r="F5007" s="12" t="e">
        <f>'[4]#REF'!F5007</f>
        <v>#REF!</v>
      </c>
      <c r="G5007" s="12" t="e">
        <f>'[4]#REF'!G5007</f>
        <v>#REF!</v>
      </c>
      <c r="H5007" s="31" t="e">
        <f>'[4]#REF'!I5007</f>
        <v>#REF!</v>
      </c>
      <c r="I5007" s="32" t="e">
        <f t="shared" si="109"/>
        <v>#REF!</v>
      </c>
    </row>
    <row r="5008" ht="15.75" spans="6:9">
      <c r="F5008" s="12" t="e">
        <f>'[4]#REF'!F5008</f>
        <v>#REF!</v>
      </c>
      <c r="G5008" s="12" t="e">
        <f>'[4]#REF'!G5008</f>
        <v>#REF!</v>
      </c>
      <c r="H5008" s="31" t="e">
        <f>'[4]#REF'!I5008</f>
        <v>#REF!</v>
      </c>
      <c r="I5008" s="32" t="e">
        <f t="shared" si="109"/>
        <v>#REF!</v>
      </c>
    </row>
    <row r="5009" ht="15.75" spans="6:9">
      <c r="F5009" s="12" t="e">
        <f>'[4]#REF'!F5009</f>
        <v>#REF!</v>
      </c>
      <c r="G5009" s="12" t="e">
        <f>'[4]#REF'!G5009</f>
        <v>#REF!</v>
      </c>
      <c r="H5009" s="31" t="e">
        <f>'[4]#REF'!I5009</f>
        <v>#REF!</v>
      </c>
      <c r="I5009" s="32" t="e">
        <f t="shared" si="109"/>
        <v>#REF!</v>
      </c>
    </row>
    <row r="5010" ht="15.75" spans="6:9">
      <c r="F5010" s="12" t="e">
        <f>'[4]#REF'!F5010</f>
        <v>#REF!</v>
      </c>
      <c r="G5010" s="12" t="e">
        <f>'[4]#REF'!G5010</f>
        <v>#REF!</v>
      </c>
      <c r="H5010" s="31" t="e">
        <f>'[4]#REF'!I5010</f>
        <v>#REF!</v>
      </c>
      <c r="I5010" s="32" t="e">
        <f t="shared" si="109"/>
        <v>#REF!</v>
      </c>
    </row>
    <row r="5011" ht="15.75" spans="6:9">
      <c r="F5011" s="12" t="e">
        <f>'[4]#REF'!F5011</f>
        <v>#REF!</v>
      </c>
      <c r="G5011" s="12" t="e">
        <f>'[4]#REF'!G5011</f>
        <v>#REF!</v>
      </c>
      <c r="H5011" s="31" t="e">
        <f>'[4]#REF'!I5011</f>
        <v>#REF!</v>
      </c>
      <c r="I5011" s="32" t="e">
        <f t="shared" si="109"/>
        <v>#REF!</v>
      </c>
    </row>
    <row r="5012" ht="15.75" spans="6:9">
      <c r="F5012" s="12" t="e">
        <f>'[4]#REF'!F5012</f>
        <v>#REF!</v>
      </c>
      <c r="G5012" s="12" t="e">
        <f>'[4]#REF'!G5012</f>
        <v>#REF!</v>
      </c>
      <c r="H5012" s="31" t="e">
        <f>'[4]#REF'!I5012</f>
        <v>#REF!</v>
      </c>
      <c r="I5012" s="32" t="e">
        <f t="shared" si="109"/>
        <v>#REF!</v>
      </c>
    </row>
    <row r="5013" ht="15.75" spans="6:9">
      <c r="F5013" s="12" t="e">
        <f>'[4]#REF'!F5013</f>
        <v>#REF!</v>
      </c>
      <c r="G5013" s="12" t="e">
        <f>'[4]#REF'!G5013</f>
        <v>#REF!</v>
      </c>
      <c r="H5013" s="31" t="e">
        <f>'[4]#REF'!I5013</f>
        <v>#REF!</v>
      </c>
      <c r="I5013" s="32" t="e">
        <f t="shared" si="109"/>
        <v>#REF!</v>
      </c>
    </row>
    <row r="5014" ht="15.75" spans="6:9">
      <c r="F5014" s="12" t="e">
        <f>'[4]#REF'!F5014</f>
        <v>#REF!</v>
      </c>
      <c r="G5014" s="12" t="e">
        <f>'[4]#REF'!G5014</f>
        <v>#REF!</v>
      </c>
      <c r="H5014" s="31" t="e">
        <f>'[4]#REF'!I5014</f>
        <v>#REF!</v>
      </c>
      <c r="I5014" s="32" t="e">
        <f t="shared" si="109"/>
        <v>#REF!</v>
      </c>
    </row>
    <row r="5015" ht="15.75" spans="6:9">
      <c r="F5015" s="12" t="e">
        <f>'[4]#REF'!F5015</f>
        <v>#REF!</v>
      </c>
      <c r="G5015" s="12" t="e">
        <f>'[4]#REF'!G5015</f>
        <v>#REF!</v>
      </c>
      <c r="H5015" s="31" t="e">
        <f>'[4]#REF'!I5015</f>
        <v>#REF!</v>
      </c>
      <c r="I5015" s="32" t="e">
        <f t="shared" si="109"/>
        <v>#REF!</v>
      </c>
    </row>
    <row r="5016" ht="15.75" spans="6:9">
      <c r="F5016" s="12" t="e">
        <f>'[4]#REF'!F5016</f>
        <v>#REF!</v>
      </c>
      <c r="G5016" s="12" t="e">
        <f>'[4]#REF'!G5016</f>
        <v>#REF!</v>
      </c>
      <c r="H5016" s="31" t="e">
        <f>'[4]#REF'!I5016</f>
        <v>#REF!</v>
      </c>
      <c r="I5016" s="32" t="e">
        <f t="shared" si="109"/>
        <v>#REF!</v>
      </c>
    </row>
    <row r="5017" ht="15.75" spans="6:9">
      <c r="F5017" s="12" t="e">
        <f>'[4]#REF'!F5017</f>
        <v>#REF!</v>
      </c>
      <c r="G5017" s="12" t="e">
        <f>'[4]#REF'!G5017</f>
        <v>#REF!</v>
      </c>
      <c r="H5017" s="31" t="e">
        <f>'[4]#REF'!I5017</f>
        <v>#REF!</v>
      </c>
      <c r="I5017" s="32" t="e">
        <f t="shared" si="109"/>
        <v>#REF!</v>
      </c>
    </row>
    <row r="5018" ht="15.75" spans="6:9">
      <c r="F5018" s="12" t="e">
        <f>'[4]#REF'!F5018</f>
        <v>#REF!</v>
      </c>
      <c r="G5018" s="12" t="e">
        <f>'[4]#REF'!G5018</f>
        <v>#REF!</v>
      </c>
      <c r="H5018" s="31" t="e">
        <f>'[4]#REF'!I5018</f>
        <v>#REF!</v>
      </c>
      <c r="I5018" s="32" t="e">
        <f t="shared" si="109"/>
        <v>#REF!</v>
      </c>
    </row>
    <row r="5019" ht="15.75" spans="6:9">
      <c r="F5019" s="12" t="e">
        <f>'[4]#REF'!F5019</f>
        <v>#REF!</v>
      </c>
      <c r="G5019" s="12" t="e">
        <f>'[4]#REF'!G5019</f>
        <v>#REF!</v>
      </c>
      <c r="H5019" s="31" t="e">
        <f>'[4]#REF'!I5019</f>
        <v>#REF!</v>
      </c>
      <c r="I5019" s="32" t="e">
        <f t="shared" si="109"/>
        <v>#REF!</v>
      </c>
    </row>
    <row r="5020" ht="15.75" spans="6:9">
      <c r="F5020" s="12" t="e">
        <f>'[4]#REF'!F5020</f>
        <v>#REF!</v>
      </c>
      <c r="G5020" s="12" t="e">
        <f>'[4]#REF'!G5020</f>
        <v>#REF!</v>
      </c>
      <c r="H5020" s="31" t="e">
        <f>'[4]#REF'!I5020</f>
        <v>#REF!</v>
      </c>
      <c r="I5020" s="32" t="e">
        <f t="shared" si="109"/>
        <v>#REF!</v>
      </c>
    </row>
    <row r="5021" ht="15.75" spans="6:9">
      <c r="F5021" s="12" t="e">
        <f>'[4]#REF'!F5021</f>
        <v>#REF!</v>
      </c>
      <c r="G5021" s="12" t="e">
        <f>'[4]#REF'!G5021</f>
        <v>#REF!</v>
      </c>
      <c r="H5021" s="31" t="e">
        <f>'[4]#REF'!I5021</f>
        <v>#REF!</v>
      </c>
      <c r="I5021" s="32" t="e">
        <f t="shared" si="109"/>
        <v>#REF!</v>
      </c>
    </row>
    <row r="5022" ht="15.75" spans="6:9">
      <c r="F5022" s="12" t="e">
        <f>'[4]#REF'!F5022</f>
        <v>#REF!</v>
      </c>
      <c r="G5022" s="12" t="e">
        <f>'[4]#REF'!G5022</f>
        <v>#REF!</v>
      </c>
      <c r="H5022" s="31" t="e">
        <f>'[4]#REF'!I5022</f>
        <v>#REF!</v>
      </c>
      <c r="I5022" s="32" t="e">
        <f t="shared" si="109"/>
        <v>#REF!</v>
      </c>
    </row>
    <row r="5023" ht="15.75" spans="6:9">
      <c r="F5023" s="12" t="e">
        <f>'[4]#REF'!F5023</f>
        <v>#REF!</v>
      </c>
      <c r="G5023" s="12" t="e">
        <f>'[4]#REF'!G5023</f>
        <v>#REF!</v>
      </c>
      <c r="H5023" s="31" t="e">
        <f>'[4]#REF'!I5023</f>
        <v>#REF!</v>
      </c>
      <c r="I5023" s="32" t="e">
        <f t="shared" si="109"/>
        <v>#REF!</v>
      </c>
    </row>
    <row r="5024" ht="15.75" spans="6:9">
      <c r="F5024" s="12" t="e">
        <f>'[4]#REF'!F5024</f>
        <v>#REF!</v>
      </c>
      <c r="G5024" s="12" t="e">
        <f>'[4]#REF'!G5024</f>
        <v>#REF!</v>
      </c>
      <c r="H5024" s="31" t="e">
        <f>'[4]#REF'!I5024</f>
        <v>#REF!</v>
      </c>
      <c r="I5024" s="32" t="e">
        <f t="shared" si="109"/>
        <v>#REF!</v>
      </c>
    </row>
    <row r="5025" ht="15.75" spans="6:9">
      <c r="F5025" s="12" t="e">
        <f>'[4]#REF'!F5025</f>
        <v>#REF!</v>
      </c>
      <c r="G5025" s="12" t="e">
        <f>'[4]#REF'!G5025</f>
        <v>#REF!</v>
      </c>
      <c r="H5025" s="31" t="e">
        <f>'[4]#REF'!I5025</f>
        <v>#REF!</v>
      </c>
      <c r="I5025" s="32" t="e">
        <f t="shared" si="109"/>
        <v>#REF!</v>
      </c>
    </row>
    <row r="5026" ht="15.75" spans="6:9">
      <c r="F5026" s="12" t="e">
        <f>'[4]#REF'!F5026</f>
        <v>#REF!</v>
      </c>
      <c r="G5026" s="12" t="e">
        <f>'[4]#REF'!G5026</f>
        <v>#REF!</v>
      </c>
      <c r="H5026" s="31" t="e">
        <f>'[4]#REF'!I5026</f>
        <v>#REF!</v>
      </c>
      <c r="I5026" s="32" t="e">
        <f t="shared" si="109"/>
        <v>#REF!</v>
      </c>
    </row>
    <row r="5027" ht="15.75" spans="6:9">
      <c r="F5027" s="12" t="e">
        <f>'[4]#REF'!F5027</f>
        <v>#REF!</v>
      </c>
      <c r="G5027" s="12" t="e">
        <f>'[4]#REF'!G5027</f>
        <v>#REF!</v>
      </c>
      <c r="H5027" s="31" t="e">
        <f>'[4]#REF'!I5027</f>
        <v>#REF!</v>
      </c>
      <c r="I5027" s="32" t="e">
        <f t="shared" si="109"/>
        <v>#REF!</v>
      </c>
    </row>
    <row r="5028" ht="15.75" spans="6:9">
      <c r="F5028" s="12" t="e">
        <f>'[4]#REF'!F5028</f>
        <v>#REF!</v>
      </c>
      <c r="G5028" s="12" t="e">
        <f>'[4]#REF'!G5028</f>
        <v>#REF!</v>
      </c>
      <c r="H5028" s="31" t="e">
        <f>'[4]#REF'!I5028</f>
        <v>#REF!</v>
      </c>
      <c r="I5028" s="32" t="e">
        <f t="shared" si="109"/>
        <v>#REF!</v>
      </c>
    </row>
    <row r="5029" ht="15.75" spans="6:9">
      <c r="F5029" s="12" t="e">
        <f>'[4]#REF'!F5029</f>
        <v>#REF!</v>
      </c>
      <c r="G5029" s="12" t="e">
        <f>'[4]#REF'!G5029</f>
        <v>#REF!</v>
      </c>
      <c r="H5029" s="31" t="e">
        <f>'[4]#REF'!I5029</f>
        <v>#REF!</v>
      </c>
      <c r="I5029" s="32" t="e">
        <f t="shared" si="109"/>
        <v>#REF!</v>
      </c>
    </row>
    <row r="5030" ht="15.75" spans="6:9">
      <c r="F5030" s="12" t="e">
        <f>'[4]#REF'!F5030</f>
        <v>#REF!</v>
      </c>
      <c r="G5030" s="12" t="e">
        <f>'[4]#REF'!G5030</f>
        <v>#REF!</v>
      </c>
      <c r="H5030" s="31" t="e">
        <f>'[4]#REF'!I5030</f>
        <v>#REF!</v>
      </c>
      <c r="I5030" s="32" t="e">
        <f t="shared" si="109"/>
        <v>#REF!</v>
      </c>
    </row>
    <row r="5031" ht="15.75" spans="6:9">
      <c r="F5031" s="12" t="e">
        <f>'[4]#REF'!F5031</f>
        <v>#REF!</v>
      </c>
      <c r="G5031" s="12" t="e">
        <f>'[4]#REF'!G5031</f>
        <v>#REF!</v>
      </c>
      <c r="H5031" s="31" t="e">
        <f>'[4]#REF'!I5031</f>
        <v>#REF!</v>
      </c>
      <c r="I5031" s="32" t="e">
        <f t="shared" si="109"/>
        <v>#REF!</v>
      </c>
    </row>
    <row r="5032" ht="15.75" spans="6:9">
      <c r="F5032" s="12" t="e">
        <f>'[4]#REF'!F5032</f>
        <v>#REF!</v>
      </c>
      <c r="G5032" s="12" t="e">
        <f>'[4]#REF'!G5032</f>
        <v>#REF!</v>
      </c>
      <c r="H5032" s="31" t="e">
        <f>'[4]#REF'!I5032</f>
        <v>#REF!</v>
      </c>
      <c r="I5032" s="32" t="e">
        <f t="shared" si="109"/>
        <v>#REF!</v>
      </c>
    </row>
    <row r="5033" ht="15.75" spans="6:9">
      <c r="F5033" s="12" t="e">
        <f>'[4]#REF'!F5033</f>
        <v>#REF!</v>
      </c>
      <c r="G5033" s="12" t="e">
        <f>'[4]#REF'!G5033</f>
        <v>#REF!</v>
      </c>
      <c r="H5033" s="31" t="e">
        <f>'[4]#REF'!I5033</f>
        <v>#REF!</v>
      </c>
      <c r="I5033" s="32" t="e">
        <f t="shared" si="109"/>
        <v>#REF!</v>
      </c>
    </row>
    <row r="5034" ht="15.75" spans="6:9">
      <c r="F5034" s="12" t="e">
        <f>'[4]#REF'!F5034</f>
        <v>#REF!</v>
      </c>
      <c r="G5034" s="12" t="e">
        <f>'[4]#REF'!G5034</f>
        <v>#REF!</v>
      </c>
      <c r="H5034" s="31" t="e">
        <f>'[4]#REF'!I5034</f>
        <v>#REF!</v>
      </c>
      <c r="I5034" s="32" t="e">
        <f t="shared" si="109"/>
        <v>#REF!</v>
      </c>
    </row>
    <row r="5035" ht="15.75" spans="6:9">
      <c r="F5035" s="12" t="e">
        <f>'[4]#REF'!F5035</f>
        <v>#REF!</v>
      </c>
      <c r="G5035" s="12" t="e">
        <f>'[4]#REF'!G5035</f>
        <v>#REF!</v>
      </c>
      <c r="H5035" s="31" t="e">
        <f>'[4]#REF'!I5035</f>
        <v>#REF!</v>
      </c>
      <c r="I5035" s="32" t="e">
        <f t="shared" si="109"/>
        <v>#REF!</v>
      </c>
    </row>
    <row r="5036" ht="15.75" spans="6:9">
      <c r="F5036" s="12" t="e">
        <f>'[4]#REF'!F5036</f>
        <v>#REF!</v>
      </c>
      <c r="G5036" s="12" t="e">
        <f>'[4]#REF'!G5036</f>
        <v>#REF!</v>
      </c>
      <c r="H5036" s="31" t="e">
        <f>'[4]#REF'!I5036</f>
        <v>#REF!</v>
      </c>
      <c r="I5036" s="32" t="e">
        <f t="shared" si="109"/>
        <v>#REF!</v>
      </c>
    </row>
    <row r="5037" ht="15.75" spans="6:9">
      <c r="F5037" s="12" t="e">
        <f>'[4]#REF'!F5037</f>
        <v>#REF!</v>
      </c>
      <c r="G5037" s="12" t="e">
        <f>'[4]#REF'!G5037</f>
        <v>#REF!</v>
      </c>
      <c r="H5037" s="31" t="e">
        <f>'[4]#REF'!I5037</f>
        <v>#REF!</v>
      </c>
      <c r="I5037" s="32" t="e">
        <f t="shared" si="109"/>
        <v>#REF!</v>
      </c>
    </row>
    <row r="5038" ht="15.75" spans="6:9">
      <c r="F5038" s="12" t="e">
        <f>'[4]#REF'!F5038</f>
        <v>#REF!</v>
      </c>
      <c r="G5038" s="12" t="e">
        <f>'[4]#REF'!G5038</f>
        <v>#REF!</v>
      </c>
      <c r="H5038" s="31" t="e">
        <f>'[4]#REF'!I5038</f>
        <v>#REF!</v>
      </c>
      <c r="I5038" s="32" t="e">
        <f t="shared" si="109"/>
        <v>#REF!</v>
      </c>
    </row>
    <row r="5039" ht="15.75" spans="6:9">
      <c r="F5039" s="12" t="e">
        <f>'[4]#REF'!F5039</f>
        <v>#REF!</v>
      </c>
      <c r="G5039" s="12" t="e">
        <f>'[4]#REF'!G5039</f>
        <v>#REF!</v>
      </c>
      <c r="H5039" s="31" t="e">
        <f>'[4]#REF'!I5039</f>
        <v>#REF!</v>
      </c>
      <c r="I5039" s="32" t="e">
        <f t="shared" si="109"/>
        <v>#REF!</v>
      </c>
    </row>
    <row r="5040" ht="15.75" spans="6:9">
      <c r="F5040" s="12" t="e">
        <f>'[4]#REF'!F5040</f>
        <v>#REF!</v>
      </c>
      <c r="G5040" s="12" t="e">
        <f>'[4]#REF'!G5040</f>
        <v>#REF!</v>
      </c>
      <c r="H5040" s="31" t="e">
        <f>'[4]#REF'!I5040</f>
        <v>#REF!</v>
      </c>
      <c r="I5040" s="32" t="e">
        <f t="shared" si="109"/>
        <v>#REF!</v>
      </c>
    </row>
    <row r="5041" ht="15.75" spans="6:9">
      <c r="F5041" s="12" t="e">
        <f>'[4]#REF'!F5041</f>
        <v>#REF!</v>
      </c>
      <c r="G5041" s="12" t="e">
        <f>'[4]#REF'!G5041</f>
        <v>#REF!</v>
      </c>
      <c r="H5041" s="31" t="e">
        <f>'[4]#REF'!I5041</f>
        <v>#REF!</v>
      </c>
      <c r="I5041" s="32" t="e">
        <f t="shared" si="109"/>
        <v>#REF!</v>
      </c>
    </row>
    <row r="5042" ht="15.75" spans="6:9">
      <c r="F5042" s="12" t="e">
        <f>'[4]#REF'!F5042</f>
        <v>#REF!</v>
      </c>
      <c r="G5042" s="12" t="e">
        <f>'[4]#REF'!G5042</f>
        <v>#REF!</v>
      </c>
      <c r="H5042" s="31" t="e">
        <f>'[4]#REF'!I5042</f>
        <v>#REF!</v>
      </c>
      <c r="I5042" s="32" t="e">
        <f t="shared" si="109"/>
        <v>#REF!</v>
      </c>
    </row>
    <row r="5043" ht="15.75" spans="6:9">
      <c r="F5043" s="12" t="e">
        <f>'[4]#REF'!F5043</f>
        <v>#REF!</v>
      </c>
      <c r="G5043" s="12" t="e">
        <f>'[4]#REF'!G5043</f>
        <v>#REF!</v>
      </c>
      <c r="H5043" s="31" t="e">
        <f>'[4]#REF'!I5043</f>
        <v>#REF!</v>
      </c>
      <c r="I5043" s="32" t="e">
        <f t="shared" si="109"/>
        <v>#REF!</v>
      </c>
    </row>
    <row r="5044" ht="15.75" spans="6:9">
      <c r="F5044" s="12" t="e">
        <f>'[4]#REF'!F5044</f>
        <v>#REF!</v>
      </c>
      <c r="G5044" s="12" t="e">
        <f>'[4]#REF'!G5044</f>
        <v>#REF!</v>
      </c>
      <c r="H5044" s="31" t="e">
        <f>'[4]#REF'!I5044</f>
        <v>#REF!</v>
      </c>
      <c r="I5044" s="32" t="e">
        <f t="shared" si="109"/>
        <v>#REF!</v>
      </c>
    </row>
    <row r="5045" ht="15.75" spans="6:9">
      <c r="F5045" s="12" t="e">
        <f>'[4]#REF'!F5045</f>
        <v>#REF!</v>
      </c>
      <c r="G5045" s="12" t="e">
        <f>'[4]#REF'!G5045</f>
        <v>#REF!</v>
      </c>
      <c r="H5045" s="31" t="e">
        <f>'[4]#REF'!I5045</f>
        <v>#REF!</v>
      </c>
      <c r="I5045" s="32" t="e">
        <f t="shared" si="109"/>
        <v>#REF!</v>
      </c>
    </row>
    <row r="5046" ht="15.75" spans="6:9">
      <c r="F5046" s="12" t="e">
        <f>'[4]#REF'!F5046</f>
        <v>#REF!</v>
      </c>
      <c r="G5046" s="12" t="e">
        <f>'[4]#REF'!G5046</f>
        <v>#REF!</v>
      </c>
      <c r="H5046" s="31" t="e">
        <f>'[4]#REF'!I5046</f>
        <v>#REF!</v>
      </c>
      <c r="I5046" s="32" t="e">
        <f t="shared" si="109"/>
        <v>#REF!</v>
      </c>
    </row>
    <row r="5047" ht="15.75" spans="6:9">
      <c r="F5047" s="12" t="e">
        <f>'[4]#REF'!F5047</f>
        <v>#REF!</v>
      </c>
      <c r="G5047" s="12" t="e">
        <f>'[4]#REF'!G5047</f>
        <v>#REF!</v>
      </c>
      <c r="H5047" s="31" t="e">
        <f>'[4]#REF'!I5047</f>
        <v>#REF!</v>
      </c>
      <c r="I5047" s="32" t="e">
        <f t="shared" si="109"/>
        <v>#REF!</v>
      </c>
    </row>
    <row r="5048" ht="15.75" spans="6:9">
      <c r="F5048" s="12" t="e">
        <f>'[4]#REF'!F5048</f>
        <v>#REF!</v>
      </c>
      <c r="G5048" s="12" t="e">
        <f>'[4]#REF'!G5048</f>
        <v>#REF!</v>
      </c>
      <c r="H5048" s="31" t="e">
        <f>'[4]#REF'!I5048</f>
        <v>#REF!</v>
      </c>
      <c r="I5048" s="32" t="e">
        <f t="shared" si="109"/>
        <v>#REF!</v>
      </c>
    </row>
    <row r="5049" ht="15.75" spans="6:9">
      <c r="F5049" s="12" t="e">
        <f>'[4]#REF'!F5049</f>
        <v>#REF!</v>
      </c>
      <c r="G5049" s="12" t="e">
        <f>'[4]#REF'!G5049</f>
        <v>#REF!</v>
      </c>
      <c r="H5049" s="31" t="e">
        <f>'[4]#REF'!I5049</f>
        <v>#REF!</v>
      </c>
      <c r="I5049" s="32" t="e">
        <f t="shared" si="109"/>
        <v>#REF!</v>
      </c>
    </row>
    <row r="5050" ht="15.75" spans="6:9">
      <c r="F5050" s="12" t="e">
        <f>'[4]#REF'!F5050</f>
        <v>#REF!</v>
      </c>
      <c r="G5050" s="12" t="e">
        <f>'[4]#REF'!G5050</f>
        <v>#REF!</v>
      </c>
      <c r="H5050" s="31" t="e">
        <f>'[4]#REF'!I5050</f>
        <v>#REF!</v>
      </c>
      <c r="I5050" s="32" t="e">
        <f t="shared" si="109"/>
        <v>#REF!</v>
      </c>
    </row>
    <row r="5051" ht="15.75" spans="6:9">
      <c r="F5051" s="12" t="e">
        <f>'[4]#REF'!F5051</f>
        <v>#REF!</v>
      </c>
      <c r="G5051" s="12" t="e">
        <f>'[4]#REF'!G5051</f>
        <v>#REF!</v>
      </c>
      <c r="H5051" s="31" t="e">
        <f>'[4]#REF'!I5051</f>
        <v>#REF!</v>
      </c>
      <c r="I5051" s="32" t="e">
        <f t="shared" si="109"/>
        <v>#REF!</v>
      </c>
    </row>
    <row r="5052" ht="15.75" spans="6:9">
      <c r="F5052" s="12" t="e">
        <f>'[4]#REF'!F5052</f>
        <v>#REF!</v>
      </c>
      <c r="G5052" s="12" t="e">
        <f>'[4]#REF'!G5052</f>
        <v>#REF!</v>
      </c>
      <c r="H5052" s="31" t="e">
        <f>'[4]#REF'!I5052</f>
        <v>#REF!</v>
      </c>
      <c r="I5052" s="32" t="e">
        <f t="shared" si="109"/>
        <v>#REF!</v>
      </c>
    </row>
    <row r="5053" ht="15.75" spans="6:9">
      <c r="F5053" s="12" t="e">
        <f>'[4]#REF'!F5053</f>
        <v>#REF!</v>
      </c>
      <c r="G5053" s="12" t="e">
        <f>'[4]#REF'!G5053</f>
        <v>#REF!</v>
      </c>
      <c r="H5053" s="31" t="e">
        <f>'[4]#REF'!I5053</f>
        <v>#REF!</v>
      </c>
      <c r="I5053" s="32" t="e">
        <f t="shared" si="109"/>
        <v>#REF!</v>
      </c>
    </row>
    <row r="5054" ht="15.75" spans="6:9">
      <c r="F5054" s="12" t="e">
        <f>'[4]#REF'!F5054</f>
        <v>#REF!</v>
      </c>
      <c r="G5054" s="12" t="e">
        <f>'[4]#REF'!G5054</f>
        <v>#REF!</v>
      </c>
      <c r="H5054" s="31" t="e">
        <f>'[4]#REF'!I5054</f>
        <v>#REF!</v>
      </c>
      <c r="I5054" s="32" t="e">
        <f t="shared" si="109"/>
        <v>#REF!</v>
      </c>
    </row>
    <row r="5055" ht="15.75" spans="6:9">
      <c r="F5055" s="12" t="e">
        <f>'[4]#REF'!F5055</f>
        <v>#REF!</v>
      </c>
      <c r="G5055" s="12" t="e">
        <f>'[4]#REF'!G5055</f>
        <v>#REF!</v>
      </c>
      <c r="H5055" s="31" t="e">
        <f>'[4]#REF'!I5055</f>
        <v>#REF!</v>
      </c>
      <c r="I5055" s="32" t="e">
        <f t="shared" si="109"/>
        <v>#REF!</v>
      </c>
    </row>
    <row r="5056" ht="15.75" spans="6:9">
      <c r="F5056" s="12" t="e">
        <f>'[4]#REF'!F5056</f>
        <v>#REF!</v>
      </c>
      <c r="G5056" s="12" t="e">
        <f>'[4]#REF'!G5056</f>
        <v>#REF!</v>
      </c>
      <c r="H5056" s="31" t="e">
        <f>'[4]#REF'!I5056</f>
        <v>#REF!</v>
      </c>
      <c r="I5056" s="32" t="e">
        <f t="shared" si="109"/>
        <v>#REF!</v>
      </c>
    </row>
    <row r="5057" ht="15.75" spans="6:9">
      <c r="F5057" s="12" t="e">
        <f>'[4]#REF'!F5057</f>
        <v>#REF!</v>
      </c>
      <c r="G5057" s="12" t="e">
        <f>'[4]#REF'!G5057</f>
        <v>#REF!</v>
      </c>
      <c r="H5057" s="31" t="e">
        <f>'[4]#REF'!I5057</f>
        <v>#REF!</v>
      </c>
      <c r="I5057" s="32" t="e">
        <f t="shared" si="109"/>
        <v>#REF!</v>
      </c>
    </row>
    <row r="5058" ht="15.75" spans="6:9">
      <c r="F5058" s="12" t="e">
        <f>'[4]#REF'!F5058</f>
        <v>#REF!</v>
      </c>
      <c r="G5058" s="12" t="e">
        <f>'[4]#REF'!G5058</f>
        <v>#REF!</v>
      </c>
      <c r="H5058" s="31" t="e">
        <f>'[4]#REF'!I5058</f>
        <v>#REF!</v>
      </c>
      <c r="I5058" s="32" t="e">
        <f t="shared" si="109"/>
        <v>#REF!</v>
      </c>
    </row>
    <row r="5059" ht="15.75" spans="6:9">
      <c r="F5059" s="12" t="e">
        <f>'[4]#REF'!F5059</f>
        <v>#REF!</v>
      </c>
      <c r="G5059" s="12" t="e">
        <f>'[4]#REF'!G5059</f>
        <v>#REF!</v>
      </c>
      <c r="H5059" s="31" t="e">
        <f>'[4]#REF'!I5059</f>
        <v>#REF!</v>
      </c>
      <c r="I5059" s="32" t="e">
        <f t="shared" si="109"/>
        <v>#REF!</v>
      </c>
    </row>
    <row r="5060" ht="15.75" spans="6:9">
      <c r="F5060" s="12" t="e">
        <f>'[4]#REF'!F5060</f>
        <v>#REF!</v>
      </c>
      <c r="G5060" s="12" t="e">
        <f>'[4]#REF'!G5060</f>
        <v>#REF!</v>
      </c>
      <c r="H5060" s="31" t="e">
        <f>'[4]#REF'!I5060</f>
        <v>#REF!</v>
      </c>
      <c r="I5060" s="32" t="e">
        <f t="shared" si="109"/>
        <v>#REF!</v>
      </c>
    </row>
    <row r="5061" ht="15.75" spans="6:9">
      <c r="F5061" s="12" t="e">
        <f>'[4]#REF'!F5061</f>
        <v>#REF!</v>
      </c>
      <c r="G5061" s="12" t="e">
        <f>'[4]#REF'!G5061</f>
        <v>#REF!</v>
      </c>
      <c r="H5061" s="31" t="e">
        <f>'[4]#REF'!I5061</f>
        <v>#REF!</v>
      </c>
      <c r="I5061" s="32" t="e">
        <f t="shared" si="109"/>
        <v>#REF!</v>
      </c>
    </row>
    <row r="5062" ht="15.75" spans="6:9">
      <c r="F5062" s="12" t="e">
        <f>'[4]#REF'!F5062</f>
        <v>#REF!</v>
      </c>
      <c r="G5062" s="12" t="e">
        <f>'[4]#REF'!G5062</f>
        <v>#REF!</v>
      </c>
      <c r="H5062" s="31" t="e">
        <f>'[4]#REF'!I5062</f>
        <v>#REF!</v>
      </c>
      <c r="I5062" s="32" t="e">
        <f t="shared" ref="I5062:I5120" si="110">ROUND(H5062/$I$4*100,2)</f>
        <v>#REF!</v>
      </c>
    </row>
    <row r="5063" ht="15.75" spans="6:9">
      <c r="F5063" s="12" t="e">
        <f>'[4]#REF'!F5063</f>
        <v>#REF!</v>
      </c>
      <c r="G5063" s="12" t="e">
        <f>'[4]#REF'!G5063</f>
        <v>#REF!</v>
      </c>
      <c r="H5063" s="31" t="e">
        <f>'[4]#REF'!I5063</f>
        <v>#REF!</v>
      </c>
      <c r="I5063" s="32" t="e">
        <f t="shared" si="110"/>
        <v>#REF!</v>
      </c>
    </row>
    <row r="5064" ht="15.75" spans="6:9">
      <c r="F5064" s="12" t="e">
        <f>'[4]#REF'!F5064</f>
        <v>#REF!</v>
      </c>
      <c r="G5064" s="12" t="e">
        <f>'[4]#REF'!G5064</f>
        <v>#REF!</v>
      </c>
      <c r="H5064" s="31" t="e">
        <f>'[4]#REF'!I5064</f>
        <v>#REF!</v>
      </c>
      <c r="I5064" s="32" t="e">
        <f t="shared" si="110"/>
        <v>#REF!</v>
      </c>
    </row>
    <row r="5065" ht="15.75" spans="6:9">
      <c r="F5065" s="12" t="e">
        <f>'[4]#REF'!F5065</f>
        <v>#REF!</v>
      </c>
      <c r="G5065" s="12" t="e">
        <f>'[4]#REF'!G5065</f>
        <v>#REF!</v>
      </c>
      <c r="H5065" s="31" t="e">
        <f>'[4]#REF'!I5065</f>
        <v>#REF!</v>
      </c>
      <c r="I5065" s="32" t="e">
        <f t="shared" si="110"/>
        <v>#REF!</v>
      </c>
    </row>
    <row r="5066" ht="15.75" spans="6:9">
      <c r="F5066" s="12" t="e">
        <f>'[4]#REF'!F5066</f>
        <v>#REF!</v>
      </c>
      <c r="G5066" s="12" t="e">
        <f>'[4]#REF'!G5066</f>
        <v>#REF!</v>
      </c>
      <c r="H5066" s="31" t="e">
        <f>'[4]#REF'!I5066</f>
        <v>#REF!</v>
      </c>
      <c r="I5066" s="32" t="e">
        <f t="shared" si="110"/>
        <v>#REF!</v>
      </c>
    </row>
    <row r="5067" ht="15.75" spans="6:9">
      <c r="F5067" s="12" t="e">
        <f>'[4]#REF'!F5067</f>
        <v>#REF!</v>
      </c>
      <c r="G5067" s="12" t="e">
        <f>'[4]#REF'!G5067</f>
        <v>#REF!</v>
      </c>
      <c r="H5067" s="31" t="e">
        <f>'[4]#REF'!I5067</f>
        <v>#REF!</v>
      </c>
      <c r="I5067" s="32" t="e">
        <f t="shared" si="110"/>
        <v>#REF!</v>
      </c>
    </row>
    <row r="5068" ht="15.75" spans="6:9">
      <c r="F5068" s="12" t="e">
        <f>'[4]#REF'!F5068</f>
        <v>#REF!</v>
      </c>
      <c r="G5068" s="12" t="e">
        <f>'[4]#REF'!G5068</f>
        <v>#REF!</v>
      </c>
      <c r="H5068" s="31" t="e">
        <f>'[4]#REF'!I5068</f>
        <v>#REF!</v>
      </c>
      <c r="I5068" s="32" t="e">
        <f t="shared" si="110"/>
        <v>#REF!</v>
      </c>
    </row>
    <row r="5069" ht="15.75" spans="6:9">
      <c r="F5069" s="12" t="e">
        <f>'[4]#REF'!F5069</f>
        <v>#REF!</v>
      </c>
      <c r="G5069" s="12" t="e">
        <f>'[4]#REF'!G5069</f>
        <v>#REF!</v>
      </c>
      <c r="H5069" s="31" t="e">
        <f>'[4]#REF'!I5069</f>
        <v>#REF!</v>
      </c>
      <c r="I5069" s="32" t="e">
        <f t="shared" si="110"/>
        <v>#REF!</v>
      </c>
    </row>
    <row r="5070" ht="15.75" spans="6:9">
      <c r="F5070" s="12" t="e">
        <f>'[4]#REF'!F5070</f>
        <v>#REF!</v>
      </c>
      <c r="G5070" s="12" t="e">
        <f>'[4]#REF'!G5070</f>
        <v>#REF!</v>
      </c>
      <c r="H5070" s="31" t="e">
        <f>'[4]#REF'!I5070</f>
        <v>#REF!</v>
      </c>
      <c r="I5070" s="32" t="e">
        <f t="shared" si="110"/>
        <v>#REF!</v>
      </c>
    </row>
    <row r="5071" ht="15.75" spans="6:9">
      <c r="F5071" s="12" t="e">
        <f>'[4]#REF'!F5071</f>
        <v>#REF!</v>
      </c>
      <c r="G5071" s="12" t="e">
        <f>'[4]#REF'!G5071</f>
        <v>#REF!</v>
      </c>
      <c r="H5071" s="31" t="e">
        <f>'[4]#REF'!I5071</f>
        <v>#REF!</v>
      </c>
      <c r="I5071" s="32" t="e">
        <f t="shared" si="110"/>
        <v>#REF!</v>
      </c>
    </row>
    <row r="5072" ht="15.75" spans="6:9">
      <c r="F5072" s="12" t="e">
        <f>'[4]#REF'!F5072</f>
        <v>#REF!</v>
      </c>
      <c r="G5072" s="12" t="e">
        <f>'[4]#REF'!G5072</f>
        <v>#REF!</v>
      </c>
      <c r="H5072" s="31" t="e">
        <f>'[4]#REF'!I5072</f>
        <v>#REF!</v>
      </c>
      <c r="I5072" s="32" t="e">
        <f t="shared" si="110"/>
        <v>#REF!</v>
      </c>
    </row>
    <row r="5073" ht="15.75" spans="6:9">
      <c r="F5073" s="12" t="e">
        <f>'[4]#REF'!F5073</f>
        <v>#REF!</v>
      </c>
      <c r="G5073" s="12" t="e">
        <f>'[4]#REF'!G5073</f>
        <v>#REF!</v>
      </c>
      <c r="H5073" s="31" t="e">
        <f>'[4]#REF'!I5073</f>
        <v>#REF!</v>
      </c>
      <c r="I5073" s="32" t="e">
        <f t="shared" si="110"/>
        <v>#REF!</v>
      </c>
    </row>
    <row r="5074" ht="15.75" spans="6:9">
      <c r="F5074" s="12" t="e">
        <f>'[4]#REF'!F5074</f>
        <v>#REF!</v>
      </c>
      <c r="G5074" s="12" t="e">
        <f>'[4]#REF'!G5074</f>
        <v>#REF!</v>
      </c>
      <c r="H5074" s="31" t="e">
        <f>'[4]#REF'!I5074</f>
        <v>#REF!</v>
      </c>
      <c r="I5074" s="32" t="e">
        <f t="shared" si="110"/>
        <v>#REF!</v>
      </c>
    </row>
    <row r="5075" ht="15.75" spans="6:9">
      <c r="F5075" s="12" t="e">
        <f>'[4]#REF'!F5075</f>
        <v>#REF!</v>
      </c>
      <c r="G5075" s="12" t="e">
        <f>'[4]#REF'!G5075</f>
        <v>#REF!</v>
      </c>
      <c r="H5075" s="31" t="e">
        <f>'[4]#REF'!I5075</f>
        <v>#REF!</v>
      </c>
      <c r="I5075" s="32" t="e">
        <f t="shared" si="110"/>
        <v>#REF!</v>
      </c>
    </row>
    <row r="5076" ht="15.75" spans="6:9">
      <c r="F5076" s="12" t="e">
        <f>'[4]#REF'!F5076</f>
        <v>#REF!</v>
      </c>
      <c r="G5076" s="12" t="e">
        <f>'[4]#REF'!G5076</f>
        <v>#REF!</v>
      </c>
      <c r="H5076" s="31" t="e">
        <f>'[4]#REF'!I5076</f>
        <v>#REF!</v>
      </c>
      <c r="I5076" s="32" t="e">
        <f t="shared" si="110"/>
        <v>#REF!</v>
      </c>
    </row>
    <row r="5077" ht="15.75" spans="6:9">
      <c r="F5077" s="12" t="e">
        <f>'[4]#REF'!F5077</f>
        <v>#REF!</v>
      </c>
      <c r="G5077" s="12" t="e">
        <f>'[4]#REF'!G5077</f>
        <v>#REF!</v>
      </c>
      <c r="H5077" s="31" t="e">
        <f>'[4]#REF'!I5077</f>
        <v>#REF!</v>
      </c>
      <c r="I5077" s="32" t="e">
        <f t="shared" si="110"/>
        <v>#REF!</v>
      </c>
    </row>
    <row r="5078" ht="15.75" spans="6:9">
      <c r="F5078" s="12" t="e">
        <f>'[4]#REF'!F5078</f>
        <v>#REF!</v>
      </c>
      <c r="G5078" s="12" t="e">
        <f>'[4]#REF'!G5078</f>
        <v>#REF!</v>
      </c>
      <c r="H5078" s="31" t="e">
        <f>'[4]#REF'!I5078</f>
        <v>#REF!</v>
      </c>
      <c r="I5078" s="32" t="e">
        <f t="shared" si="110"/>
        <v>#REF!</v>
      </c>
    </row>
    <row r="5079" ht="15.75" spans="6:9">
      <c r="F5079" s="12" t="e">
        <f>'[4]#REF'!F5079</f>
        <v>#REF!</v>
      </c>
      <c r="G5079" s="12" t="e">
        <f>'[4]#REF'!G5079</f>
        <v>#REF!</v>
      </c>
      <c r="H5079" s="31" t="e">
        <f>'[4]#REF'!I5079</f>
        <v>#REF!</v>
      </c>
      <c r="I5079" s="32" t="e">
        <f t="shared" si="110"/>
        <v>#REF!</v>
      </c>
    </row>
    <row r="5080" ht="15.75" spans="6:9">
      <c r="F5080" s="12" t="e">
        <f>'[4]#REF'!F5080</f>
        <v>#REF!</v>
      </c>
      <c r="G5080" s="12" t="e">
        <f>'[4]#REF'!G5080</f>
        <v>#REF!</v>
      </c>
      <c r="H5080" s="31" t="e">
        <f>'[4]#REF'!I5080</f>
        <v>#REF!</v>
      </c>
      <c r="I5080" s="32" t="e">
        <f t="shared" si="110"/>
        <v>#REF!</v>
      </c>
    </row>
    <row r="5081" ht="15.75" spans="6:9">
      <c r="F5081" s="12" t="e">
        <f>'[4]#REF'!F5081</f>
        <v>#REF!</v>
      </c>
      <c r="G5081" s="12" t="e">
        <f>'[4]#REF'!G5081</f>
        <v>#REF!</v>
      </c>
      <c r="H5081" s="31" t="e">
        <f>'[4]#REF'!I5081</f>
        <v>#REF!</v>
      </c>
      <c r="I5081" s="32" t="e">
        <f t="shared" si="110"/>
        <v>#REF!</v>
      </c>
    </row>
    <row r="5082" ht="15.75" spans="6:9">
      <c r="F5082" s="12" t="e">
        <f>'[4]#REF'!F5082</f>
        <v>#REF!</v>
      </c>
      <c r="G5082" s="12" t="e">
        <f>'[4]#REF'!G5082</f>
        <v>#REF!</v>
      </c>
      <c r="H5082" s="31" t="e">
        <f>'[4]#REF'!I5082</f>
        <v>#REF!</v>
      </c>
      <c r="I5082" s="32" t="e">
        <f t="shared" si="110"/>
        <v>#REF!</v>
      </c>
    </row>
    <row r="5083" ht="15.75" spans="6:9">
      <c r="F5083" s="12" t="e">
        <f>'[4]#REF'!F5083</f>
        <v>#REF!</v>
      </c>
      <c r="G5083" s="12" t="e">
        <f>'[4]#REF'!G5083</f>
        <v>#REF!</v>
      </c>
      <c r="H5083" s="31" t="e">
        <f>'[4]#REF'!I5083</f>
        <v>#REF!</v>
      </c>
      <c r="I5083" s="32" t="e">
        <f t="shared" si="110"/>
        <v>#REF!</v>
      </c>
    </row>
    <row r="5084" ht="15.75" spans="6:9">
      <c r="F5084" s="12" t="e">
        <f>'[4]#REF'!F5084</f>
        <v>#REF!</v>
      </c>
      <c r="G5084" s="12" t="e">
        <f>'[4]#REF'!G5084</f>
        <v>#REF!</v>
      </c>
      <c r="H5084" s="31" t="e">
        <f>'[4]#REF'!I5084</f>
        <v>#REF!</v>
      </c>
      <c r="I5084" s="32" t="e">
        <f t="shared" si="110"/>
        <v>#REF!</v>
      </c>
    </row>
    <row r="5085" ht="15.75" spans="6:9">
      <c r="F5085" s="12" t="e">
        <f>'[4]#REF'!F5085</f>
        <v>#REF!</v>
      </c>
      <c r="G5085" s="12" t="e">
        <f>'[4]#REF'!G5085</f>
        <v>#REF!</v>
      </c>
      <c r="H5085" s="31" t="e">
        <f>'[4]#REF'!I5085</f>
        <v>#REF!</v>
      </c>
      <c r="I5085" s="32" t="e">
        <f t="shared" si="110"/>
        <v>#REF!</v>
      </c>
    </row>
    <row r="5086" ht="15.75" spans="6:9">
      <c r="F5086" s="12" t="e">
        <f>'[4]#REF'!F5086</f>
        <v>#REF!</v>
      </c>
      <c r="G5086" s="12" t="e">
        <f>'[4]#REF'!G5086</f>
        <v>#REF!</v>
      </c>
      <c r="H5086" s="31" t="e">
        <f>'[4]#REF'!I5086</f>
        <v>#REF!</v>
      </c>
      <c r="I5086" s="32" t="e">
        <f t="shared" si="110"/>
        <v>#REF!</v>
      </c>
    </row>
    <row r="5087" ht="15.75" spans="6:9">
      <c r="F5087" s="12" t="e">
        <f>'[4]#REF'!F5087</f>
        <v>#REF!</v>
      </c>
      <c r="G5087" s="12" t="e">
        <f>'[4]#REF'!G5087</f>
        <v>#REF!</v>
      </c>
      <c r="H5087" s="31" t="e">
        <f>'[4]#REF'!I5087</f>
        <v>#REF!</v>
      </c>
      <c r="I5087" s="32" t="e">
        <f t="shared" si="110"/>
        <v>#REF!</v>
      </c>
    </row>
    <row r="5088" ht="15.75" spans="6:9">
      <c r="F5088" s="12" t="e">
        <f>'[4]#REF'!F5088</f>
        <v>#REF!</v>
      </c>
      <c r="G5088" s="12" t="e">
        <f>'[4]#REF'!G5088</f>
        <v>#REF!</v>
      </c>
      <c r="H5088" s="31" t="e">
        <f>'[4]#REF'!I5088</f>
        <v>#REF!</v>
      </c>
      <c r="I5088" s="32" t="e">
        <f t="shared" si="110"/>
        <v>#REF!</v>
      </c>
    </row>
    <row r="5089" ht="15.75" spans="6:9">
      <c r="F5089" s="12" t="e">
        <f>'[4]#REF'!F5089</f>
        <v>#REF!</v>
      </c>
      <c r="G5089" s="12" t="e">
        <f>'[4]#REF'!G5089</f>
        <v>#REF!</v>
      </c>
      <c r="H5089" s="31" t="e">
        <f>'[4]#REF'!I5089</f>
        <v>#REF!</v>
      </c>
      <c r="I5089" s="32" t="e">
        <f t="shared" si="110"/>
        <v>#REF!</v>
      </c>
    </row>
    <row r="5090" ht="15.75" spans="6:9">
      <c r="F5090" s="12" t="e">
        <f>'[4]#REF'!F5090</f>
        <v>#REF!</v>
      </c>
      <c r="G5090" s="12" t="e">
        <f>'[4]#REF'!G5090</f>
        <v>#REF!</v>
      </c>
      <c r="H5090" s="31" t="e">
        <f>'[4]#REF'!I5090</f>
        <v>#REF!</v>
      </c>
      <c r="I5090" s="32" t="e">
        <f t="shared" si="110"/>
        <v>#REF!</v>
      </c>
    </row>
    <row r="5091" ht="15.75" spans="6:9">
      <c r="F5091" s="12" t="e">
        <f>'[4]#REF'!F5091</f>
        <v>#REF!</v>
      </c>
      <c r="G5091" s="12" t="e">
        <f>'[4]#REF'!G5091</f>
        <v>#REF!</v>
      </c>
      <c r="H5091" s="31" t="e">
        <f>'[4]#REF'!I5091</f>
        <v>#REF!</v>
      </c>
      <c r="I5091" s="32" t="e">
        <f t="shared" si="110"/>
        <v>#REF!</v>
      </c>
    </row>
    <row r="5092" ht="15.75" spans="6:9">
      <c r="F5092" s="12" t="e">
        <f>'[4]#REF'!F5092</f>
        <v>#REF!</v>
      </c>
      <c r="G5092" s="12" t="e">
        <f>'[4]#REF'!G5092</f>
        <v>#REF!</v>
      </c>
      <c r="H5092" s="31" t="e">
        <f>'[4]#REF'!I5092</f>
        <v>#REF!</v>
      </c>
      <c r="I5092" s="32" t="e">
        <f t="shared" si="110"/>
        <v>#REF!</v>
      </c>
    </row>
    <row r="5093" ht="15.75" spans="6:9">
      <c r="F5093" s="12" t="e">
        <f>'[4]#REF'!F5093</f>
        <v>#REF!</v>
      </c>
      <c r="G5093" s="12" t="e">
        <f>'[4]#REF'!G5093</f>
        <v>#REF!</v>
      </c>
      <c r="H5093" s="31" t="e">
        <f>'[4]#REF'!I5093</f>
        <v>#REF!</v>
      </c>
      <c r="I5093" s="32" t="e">
        <f t="shared" si="110"/>
        <v>#REF!</v>
      </c>
    </row>
    <row r="5094" ht="15.75" spans="6:9">
      <c r="F5094" s="12" t="e">
        <f>'[4]#REF'!F5094</f>
        <v>#REF!</v>
      </c>
      <c r="G5094" s="12" t="e">
        <f>'[4]#REF'!G5094</f>
        <v>#REF!</v>
      </c>
      <c r="H5094" s="31" t="e">
        <f>'[4]#REF'!I5094</f>
        <v>#REF!</v>
      </c>
      <c r="I5094" s="32" t="e">
        <f t="shared" si="110"/>
        <v>#REF!</v>
      </c>
    </row>
    <row r="5095" ht="15.75" spans="6:9">
      <c r="F5095" s="12" t="e">
        <f>'[4]#REF'!F5095</f>
        <v>#REF!</v>
      </c>
      <c r="G5095" s="12" t="e">
        <f>'[4]#REF'!G5095</f>
        <v>#REF!</v>
      </c>
      <c r="H5095" s="31" t="e">
        <f>'[4]#REF'!I5095</f>
        <v>#REF!</v>
      </c>
      <c r="I5095" s="32" t="e">
        <f t="shared" si="110"/>
        <v>#REF!</v>
      </c>
    </row>
    <row r="5096" ht="15.75" spans="6:9">
      <c r="F5096" s="12" t="e">
        <f>'[4]#REF'!F5096</f>
        <v>#REF!</v>
      </c>
      <c r="G5096" s="12" t="e">
        <f>'[4]#REF'!G5096</f>
        <v>#REF!</v>
      </c>
      <c r="H5096" s="31" t="e">
        <f>'[4]#REF'!I5096</f>
        <v>#REF!</v>
      </c>
      <c r="I5096" s="32" t="e">
        <f t="shared" si="110"/>
        <v>#REF!</v>
      </c>
    </row>
    <row r="5097" ht="15.75" spans="6:9">
      <c r="F5097" s="12" t="e">
        <f>'[4]#REF'!F5097</f>
        <v>#REF!</v>
      </c>
      <c r="G5097" s="12" t="e">
        <f>'[4]#REF'!G5097</f>
        <v>#REF!</v>
      </c>
      <c r="H5097" s="31" t="e">
        <f>'[4]#REF'!I5097</f>
        <v>#REF!</v>
      </c>
      <c r="I5097" s="32" t="e">
        <f t="shared" si="110"/>
        <v>#REF!</v>
      </c>
    </row>
    <row r="5098" ht="15.75" spans="6:9">
      <c r="F5098" s="12" t="e">
        <f>'[4]#REF'!F5098</f>
        <v>#REF!</v>
      </c>
      <c r="G5098" s="12" t="e">
        <f>'[4]#REF'!G5098</f>
        <v>#REF!</v>
      </c>
      <c r="H5098" s="31" t="e">
        <f>'[4]#REF'!I5098</f>
        <v>#REF!</v>
      </c>
      <c r="I5098" s="32" t="e">
        <f t="shared" si="110"/>
        <v>#REF!</v>
      </c>
    </row>
    <row r="5099" ht="15.75" spans="6:9">
      <c r="F5099" s="12" t="e">
        <f>'[4]#REF'!F5099</f>
        <v>#REF!</v>
      </c>
      <c r="G5099" s="12" t="e">
        <f>'[4]#REF'!G5099</f>
        <v>#REF!</v>
      </c>
      <c r="H5099" s="31" t="e">
        <f>'[4]#REF'!I5099</f>
        <v>#REF!</v>
      </c>
      <c r="I5099" s="32" t="e">
        <f t="shared" si="110"/>
        <v>#REF!</v>
      </c>
    </row>
    <row r="5100" ht="15.75" spans="6:9">
      <c r="F5100" s="12" t="e">
        <f>'[4]#REF'!F5100</f>
        <v>#REF!</v>
      </c>
      <c r="G5100" s="12" t="e">
        <f>'[4]#REF'!G5100</f>
        <v>#REF!</v>
      </c>
      <c r="H5100" s="31" t="e">
        <f>'[4]#REF'!I5100</f>
        <v>#REF!</v>
      </c>
      <c r="I5100" s="32" t="e">
        <f t="shared" si="110"/>
        <v>#REF!</v>
      </c>
    </row>
    <row r="5101" ht="15.75" spans="6:9">
      <c r="F5101" s="12" t="e">
        <f>'[4]#REF'!F5101</f>
        <v>#REF!</v>
      </c>
      <c r="G5101" s="12" t="e">
        <f>'[4]#REF'!G5101</f>
        <v>#REF!</v>
      </c>
      <c r="H5101" s="31" t="e">
        <f>'[4]#REF'!I5101</f>
        <v>#REF!</v>
      </c>
      <c r="I5101" s="32" t="e">
        <f t="shared" si="110"/>
        <v>#REF!</v>
      </c>
    </row>
    <row r="5102" ht="15.75" spans="6:9">
      <c r="F5102" s="12" t="e">
        <f>'[4]#REF'!F5102</f>
        <v>#REF!</v>
      </c>
      <c r="G5102" s="12" t="e">
        <f>'[4]#REF'!G5102</f>
        <v>#REF!</v>
      </c>
      <c r="H5102" s="31" t="e">
        <f>'[4]#REF'!I5102</f>
        <v>#REF!</v>
      </c>
      <c r="I5102" s="32" t="e">
        <f t="shared" si="110"/>
        <v>#REF!</v>
      </c>
    </row>
    <row r="5103" ht="15.75" spans="6:9">
      <c r="F5103" s="12" t="e">
        <f>'[4]#REF'!F5103</f>
        <v>#REF!</v>
      </c>
      <c r="G5103" s="12" t="e">
        <f>'[4]#REF'!G5103</f>
        <v>#REF!</v>
      </c>
      <c r="H5103" s="31" t="e">
        <f>'[4]#REF'!I5103</f>
        <v>#REF!</v>
      </c>
      <c r="I5103" s="32" t="e">
        <f t="shared" si="110"/>
        <v>#REF!</v>
      </c>
    </row>
    <row r="5104" ht="15.75" spans="6:9">
      <c r="F5104" s="12" t="e">
        <f>'[4]#REF'!F5104</f>
        <v>#REF!</v>
      </c>
      <c r="G5104" s="12" t="e">
        <f>'[4]#REF'!G5104</f>
        <v>#REF!</v>
      </c>
      <c r="H5104" s="31" t="e">
        <f>'[4]#REF'!I5104</f>
        <v>#REF!</v>
      </c>
      <c r="I5104" s="32" t="e">
        <f t="shared" si="110"/>
        <v>#REF!</v>
      </c>
    </row>
    <row r="5105" ht="15.75" spans="6:9">
      <c r="F5105" s="12" t="e">
        <f>'[4]#REF'!F5105</f>
        <v>#REF!</v>
      </c>
      <c r="G5105" s="12" t="e">
        <f>'[4]#REF'!G5105</f>
        <v>#REF!</v>
      </c>
      <c r="H5105" s="31" t="e">
        <f>'[4]#REF'!I5105</f>
        <v>#REF!</v>
      </c>
      <c r="I5105" s="32" t="e">
        <f t="shared" si="110"/>
        <v>#REF!</v>
      </c>
    </row>
    <row r="5106" ht="15.75" spans="6:9">
      <c r="F5106" s="12" t="e">
        <f>'[4]#REF'!F5106</f>
        <v>#REF!</v>
      </c>
      <c r="G5106" s="12" t="e">
        <f>'[4]#REF'!G5106</f>
        <v>#REF!</v>
      </c>
      <c r="H5106" s="31" t="e">
        <f>'[4]#REF'!I5106</f>
        <v>#REF!</v>
      </c>
      <c r="I5106" s="32" t="e">
        <f t="shared" si="110"/>
        <v>#REF!</v>
      </c>
    </row>
    <row r="5107" ht="15.75" spans="6:9">
      <c r="F5107" s="12" t="e">
        <f>'[4]#REF'!F5107</f>
        <v>#REF!</v>
      </c>
      <c r="G5107" s="12" t="e">
        <f>'[4]#REF'!G5107</f>
        <v>#REF!</v>
      </c>
      <c r="H5107" s="31" t="e">
        <f>'[4]#REF'!I5107</f>
        <v>#REF!</v>
      </c>
      <c r="I5107" s="32" t="e">
        <f t="shared" si="110"/>
        <v>#REF!</v>
      </c>
    </row>
    <row r="5108" ht="15.75" spans="6:9">
      <c r="F5108" s="12" t="e">
        <f>'[4]#REF'!F5108</f>
        <v>#REF!</v>
      </c>
      <c r="G5108" s="12" t="e">
        <f>'[4]#REF'!G5108</f>
        <v>#REF!</v>
      </c>
      <c r="H5108" s="31" t="e">
        <f>'[4]#REF'!I5108</f>
        <v>#REF!</v>
      </c>
      <c r="I5108" s="32" t="e">
        <f t="shared" si="110"/>
        <v>#REF!</v>
      </c>
    </row>
    <row r="5109" ht="15.75" spans="6:9">
      <c r="F5109" s="12" t="e">
        <f>'[4]#REF'!F5109</f>
        <v>#REF!</v>
      </c>
      <c r="G5109" s="12" t="e">
        <f>'[4]#REF'!G5109</f>
        <v>#REF!</v>
      </c>
      <c r="H5109" s="31" t="e">
        <f>'[4]#REF'!I5109</f>
        <v>#REF!</v>
      </c>
      <c r="I5109" s="32" t="e">
        <f t="shared" si="110"/>
        <v>#REF!</v>
      </c>
    </row>
    <row r="5110" ht="15.75" spans="6:9">
      <c r="F5110" s="12" t="e">
        <f>'[4]#REF'!F5110</f>
        <v>#REF!</v>
      </c>
      <c r="G5110" s="12" t="e">
        <f>'[4]#REF'!G5110</f>
        <v>#REF!</v>
      </c>
      <c r="H5110" s="31" t="e">
        <f>'[4]#REF'!I5110</f>
        <v>#REF!</v>
      </c>
      <c r="I5110" s="32" t="e">
        <f t="shared" si="110"/>
        <v>#REF!</v>
      </c>
    </row>
    <row r="5111" ht="15.75" spans="6:9">
      <c r="F5111" s="12" t="e">
        <f>'[4]#REF'!F5111</f>
        <v>#REF!</v>
      </c>
      <c r="G5111" s="12" t="e">
        <f>'[4]#REF'!G5111</f>
        <v>#REF!</v>
      </c>
      <c r="H5111" s="31" t="e">
        <f>'[4]#REF'!I5111</f>
        <v>#REF!</v>
      </c>
      <c r="I5111" s="32" t="e">
        <f t="shared" si="110"/>
        <v>#REF!</v>
      </c>
    </row>
    <row r="5112" ht="15.75" spans="6:9">
      <c r="F5112" s="12" t="e">
        <f>'[4]#REF'!F5112</f>
        <v>#REF!</v>
      </c>
      <c r="G5112" s="12" t="e">
        <f>'[4]#REF'!G5112</f>
        <v>#REF!</v>
      </c>
      <c r="H5112" s="31" t="e">
        <f>'[4]#REF'!I5112</f>
        <v>#REF!</v>
      </c>
      <c r="I5112" s="32" t="e">
        <f t="shared" si="110"/>
        <v>#REF!</v>
      </c>
    </row>
    <row r="5113" ht="15.75" spans="6:9">
      <c r="F5113" s="12" t="e">
        <f>'[4]#REF'!F5113</f>
        <v>#REF!</v>
      </c>
      <c r="G5113" s="12" t="e">
        <f>'[4]#REF'!G5113</f>
        <v>#REF!</v>
      </c>
      <c r="H5113" s="31" t="e">
        <f>'[4]#REF'!I5113</f>
        <v>#REF!</v>
      </c>
      <c r="I5113" s="32" t="e">
        <f t="shared" si="110"/>
        <v>#REF!</v>
      </c>
    </row>
    <row r="5114" ht="15.75" spans="6:9">
      <c r="F5114" s="12" t="e">
        <f>'[4]#REF'!F5114</f>
        <v>#REF!</v>
      </c>
      <c r="G5114" s="12" t="e">
        <f>'[4]#REF'!G5114</f>
        <v>#REF!</v>
      </c>
      <c r="H5114" s="31" t="e">
        <f>'[4]#REF'!I5114</f>
        <v>#REF!</v>
      </c>
      <c r="I5114" s="32" t="e">
        <f t="shared" si="110"/>
        <v>#REF!</v>
      </c>
    </row>
    <row r="5115" ht="15.75" spans="6:9">
      <c r="F5115" s="12" t="e">
        <f>'[4]#REF'!F5115</f>
        <v>#REF!</v>
      </c>
      <c r="G5115" s="12" t="e">
        <f>'[4]#REF'!G5115</f>
        <v>#REF!</v>
      </c>
      <c r="H5115" s="31" t="e">
        <f>'[4]#REF'!I5115</f>
        <v>#REF!</v>
      </c>
      <c r="I5115" s="32" t="e">
        <f t="shared" si="110"/>
        <v>#REF!</v>
      </c>
    </row>
    <row r="5116" ht="15.75" spans="6:9">
      <c r="F5116" s="12" t="e">
        <f>'[4]#REF'!F5116</f>
        <v>#REF!</v>
      </c>
      <c r="G5116" s="12" t="e">
        <f>'[4]#REF'!G5116</f>
        <v>#REF!</v>
      </c>
      <c r="H5116" s="31" t="e">
        <f>'[4]#REF'!I5116</f>
        <v>#REF!</v>
      </c>
      <c r="I5116" s="32" t="e">
        <f t="shared" si="110"/>
        <v>#REF!</v>
      </c>
    </row>
    <row r="5117" ht="15.75" spans="6:9">
      <c r="F5117" s="12" t="e">
        <f>'[4]#REF'!F5117</f>
        <v>#REF!</v>
      </c>
      <c r="G5117" s="12" t="e">
        <f>'[4]#REF'!G5117</f>
        <v>#REF!</v>
      </c>
      <c r="H5117" s="31" t="e">
        <f>'[4]#REF'!I5117</f>
        <v>#REF!</v>
      </c>
      <c r="I5117" s="32" t="e">
        <f t="shared" si="110"/>
        <v>#REF!</v>
      </c>
    </row>
    <row r="5118" ht="15.75" spans="6:9">
      <c r="F5118" s="12" t="e">
        <f>'[4]#REF'!F5118</f>
        <v>#REF!</v>
      </c>
      <c r="G5118" s="12" t="e">
        <f>'[4]#REF'!G5118</f>
        <v>#REF!</v>
      </c>
      <c r="H5118" s="31" t="e">
        <f>'[4]#REF'!I5118</f>
        <v>#REF!</v>
      </c>
      <c r="I5118" s="32" t="e">
        <f t="shared" si="110"/>
        <v>#REF!</v>
      </c>
    </row>
    <row r="5119" ht="15.75" spans="6:9">
      <c r="F5119" s="12" t="e">
        <f>'[4]#REF'!F5119</f>
        <v>#REF!</v>
      </c>
      <c r="G5119" s="12" t="e">
        <f>'[4]#REF'!G5119</f>
        <v>#REF!</v>
      </c>
      <c r="H5119" s="31" t="e">
        <f>'[4]#REF'!I5119</f>
        <v>#REF!</v>
      </c>
      <c r="I5119" s="32" t="e">
        <f t="shared" si="110"/>
        <v>#REF!</v>
      </c>
    </row>
    <row r="5120" ht="15.75" spans="6:9">
      <c r="F5120" s="12" t="e">
        <f>'[4]#REF'!F5120</f>
        <v>#REF!</v>
      </c>
      <c r="G5120" s="12" t="e">
        <f>'[4]#REF'!G5120</f>
        <v>#REF!</v>
      </c>
      <c r="H5120" s="31" t="e">
        <f>'[4]#REF'!I5120</f>
        <v>#REF!</v>
      </c>
      <c r="I5120" s="32" t="e">
        <f t="shared" si="110"/>
        <v>#REF!</v>
      </c>
    </row>
  </sheetData>
  <mergeCells count="5">
    <mergeCell ref="A1:O1"/>
    <mergeCell ref="A2:O2"/>
    <mergeCell ref="A4:C4"/>
    <mergeCell ref="F4:H4"/>
    <mergeCell ref="K4:M4"/>
  </mergeCells>
  <pageMargins left="0.7" right="0.7" top="0.75" bottom="0.75" header="0.3" footer="0.3"/>
  <pageSetup paperSize="1" orientation="portrait"/>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9"/>
  <sheetViews>
    <sheetView workbookViewId="0">
      <pane ySplit="4" topLeftCell="A5" activePane="bottomLeft" state="frozen"/>
      <selection/>
      <selection pane="bottomLeft" activeCell="A1" sqref="A1:K1"/>
    </sheetView>
  </sheetViews>
  <sheetFormatPr defaultColWidth="9" defaultRowHeight="15"/>
  <cols>
    <col min="1" max="1" width="14" customWidth="1"/>
    <col min="2" max="2" width="16" customWidth="1"/>
    <col min="3" max="3" width="17" customWidth="1"/>
    <col min="4" max="4" width="32" customWidth="1"/>
    <col min="5" max="6" width="15" customWidth="1"/>
    <col min="7" max="7" width="13" customWidth="1"/>
    <col min="8" max="8" width="12" customWidth="1"/>
    <col min="9" max="9" width="86" customWidth="1"/>
    <col min="10" max="13" width="11" customWidth="1"/>
  </cols>
  <sheetData>
    <row r="1" ht="24" customHeight="1" spans="1:11">
      <c r="A1" s="3" t="s">
        <v>8300</v>
      </c>
    </row>
    <row r="2" ht="30" customHeight="1" spans="1:11">
      <c r="A2" s="4" t="s">
        <v>8301</v>
      </c>
    </row>
    <row r="4" ht="24" customHeight="1" spans="1:11">
      <c r="A4" s="5" t="s">
        <v>3161</v>
      </c>
      <c r="B4" s="5" t="s">
        <v>750</v>
      </c>
      <c r="C4" s="5" t="s">
        <v>8302</v>
      </c>
      <c r="D4" s="5" t="s">
        <v>8303</v>
      </c>
      <c r="E4" s="5" t="s">
        <v>8304</v>
      </c>
      <c r="F4" s="5" t="s">
        <v>8305</v>
      </c>
      <c r="G4" s="5" t="s">
        <v>8306</v>
      </c>
      <c r="H4" s="5" t="s">
        <v>8307</v>
      </c>
      <c r="I4" s="5" t="s">
        <v>8308</v>
      </c>
      <c r="J4" s="5" t="s">
        <v>8309</v>
      </c>
      <c r="K4" s="5" t="s">
        <v>8310</v>
      </c>
    </row>
    <row r="5" ht="15.75" spans="1:11">
      <c r="A5" s="7" t="s">
        <v>3165</v>
      </c>
      <c r="B5" s="19" t="s">
        <v>2521</v>
      </c>
      <c r="C5" s="19" t="s">
        <v>8311</v>
      </c>
      <c r="D5" s="20">
        <f>COUNT('[4]#REF'!$D$6:$D$1248)</f>
        <v>0</v>
      </c>
      <c r="E5" s="21" t="e">
        <f>MIN('[4]#REF'!$D$6:$D$1248)</f>
        <v>#REF!</v>
      </c>
      <c r="F5" s="21" t="e">
        <f>MAX('[4]#REF'!$D$6:$D$1248)</f>
        <v>#REF!</v>
      </c>
      <c r="G5" s="22" t="e">
        <f>AVERAGE('[4]#REF'!$D$6:$D$1248)</f>
        <v>#REF!</v>
      </c>
      <c r="H5" s="22" t="e">
        <f>MEDIAN('[4]#REF'!$D$6:$D$1248)</f>
        <v>#REF!</v>
      </c>
      <c r="I5" s="22" t="e">
        <f>_xlfn.STDEV.S('[4]#REF'!$D$6:$D$1248)</f>
        <v>#REF!</v>
      </c>
      <c r="J5" s="22" t="e">
        <f>_xlfn.PERCENTILE.INC('[4]#REF'!$D$6:$D$1248,0.25)</f>
        <v>#REF!</v>
      </c>
      <c r="K5" s="22" t="e">
        <f>_xlfn.PERCENTILE.INC('[4]#REF'!$D$6:$D$1248,0.75)</f>
        <v>#REF!</v>
      </c>
    </row>
    <row r="6" ht="15.75" spans="1:11">
      <c r="A6" s="7" t="s">
        <v>3165</v>
      </c>
      <c r="B6" s="19" t="s">
        <v>2521</v>
      </c>
      <c r="C6" s="7" t="s">
        <v>8312</v>
      </c>
      <c r="D6" s="20">
        <f>COUNT('[5]#REF'!$D$6:$D$1248)</f>
        <v>0</v>
      </c>
      <c r="E6" s="22" t="e">
        <f>MIN('[5]#REF'!$D$6:$D$1248)</f>
        <v>#REF!</v>
      </c>
      <c r="F6" s="22" t="e">
        <f>MAX('[5]#REF'!$D$6:$D$1248)</f>
        <v>#REF!</v>
      </c>
      <c r="G6" s="22" t="e">
        <f>AVERAGE('[5]#REF'!$D$6:$D$1248)</f>
        <v>#REF!</v>
      </c>
      <c r="H6" s="22" t="e">
        <f>MEDIAN('[5]#REF'!$D$6:$D$1248)</f>
        <v>#REF!</v>
      </c>
      <c r="I6" s="22" t="e">
        <f>_xlfn.STDEV.S('[5]#REF'!$D$6:$D$1248)</f>
        <v>#REF!</v>
      </c>
      <c r="J6" s="22" t="e">
        <f>_xlfn.PERCENTILE.INC('[5]#REF'!$D$6:$D$1248,0.25)</f>
        <v>#REF!</v>
      </c>
      <c r="K6" s="22" t="e">
        <f>_xlfn.PERCENTILE.INC('[5]#REF'!$D$6:$D$1248,0.75)</f>
        <v>#REF!</v>
      </c>
    </row>
    <row r="7" ht="15.75" spans="1:11">
      <c r="A7" s="7" t="s">
        <v>3167</v>
      </c>
      <c r="B7" s="19" t="s">
        <v>2522</v>
      </c>
      <c r="C7" s="19" t="s">
        <v>8311</v>
      </c>
      <c r="D7" s="20">
        <f>COUNT('[4]#REF'!$I$6:$I$5120)</f>
        <v>0</v>
      </c>
      <c r="E7" s="21" t="e">
        <f>MIN('[4]#REF'!$I$6:$I$5120)</f>
        <v>#REF!</v>
      </c>
      <c r="F7" s="21" t="e">
        <f>MAX('[4]#REF'!$I$6:$I$5120)</f>
        <v>#REF!</v>
      </c>
      <c r="G7" s="22" t="e">
        <f>AVERAGE('[4]#REF'!$I$6:$I$5120)</f>
        <v>#REF!</v>
      </c>
      <c r="H7" s="22" t="e">
        <f>MEDIAN('[4]#REF'!$I$6:$I$5120)</f>
        <v>#REF!</v>
      </c>
      <c r="I7" s="22" t="e">
        <f>_xlfn.STDEV.S('[4]#REF'!$I$6:$I$5120)</f>
        <v>#REF!</v>
      </c>
      <c r="J7" s="22" t="e">
        <f>_xlfn.PERCENTILE.INC('[4]#REF'!$I$6:$I$5120,0.25)</f>
        <v>#REF!</v>
      </c>
      <c r="K7" s="22" t="e">
        <f>_xlfn.PERCENTILE.INC('[4]#REF'!$I$6:$I$5120,0.75)</f>
        <v>#REF!</v>
      </c>
    </row>
    <row r="8" ht="15.75" spans="1:11">
      <c r="A8" s="7" t="s">
        <v>3167</v>
      </c>
      <c r="B8" s="19" t="s">
        <v>2522</v>
      </c>
      <c r="C8" s="7" t="s">
        <v>8312</v>
      </c>
      <c r="D8" s="20">
        <f>COUNT('[5]#REF'!$I$6:$I$5120)</f>
        <v>0</v>
      </c>
      <c r="E8" s="22" t="e">
        <f>MIN('[5]#REF'!$I$6:$I$5120)</f>
        <v>#REF!</v>
      </c>
      <c r="F8" s="22" t="e">
        <f>MAX('[5]#REF'!$I$6:$I$5120)</f>
        <v>#REF!</v>
      </c>
      <c r="G8" s="22" t="e">
        <f>AVERAGE('[5]#REF'!$I$6:$I$5120)</f>
        <v>#REF!</v>
      </c>
      <c r="H8" s="22" t="e">
        <f>MEDIAN('[5]#REF'!$I$6:$I$5120)</f>
        <v>#REF!</v>
      </c>
      <c r="I8" s="22" t="e">
        <f>_xlfn.STDEV.S('[5]#REF'!$I$6:$I$5120)</f>
        <v>#REF!</v>
      </c>
      <c r="J8" s="22" t="e">
        <f>_xlfn.PERCENTILE.INC('[5]#REF'!$I$6:$I$5120,0.25)</f>
        <v>#REF!</v>
      </c>
      <c r="K8" s="22" t="e">
        <f>_xlfn.PERCENTILE.INC('[5]#REF'!$I$6:$I$5120,0.75)</f>
        <v>#REF!</v>
      </c>
    </row>
    <row r="9" ht="15.75" spans="1:11">
      <c r="A9" s="7" t="s">
        <v>3169</v>
      </c>
      <c r="B9" s="19" t="s">
        <v>2520</v>
      </c>
      <c r="C9" s="19" t="s">
        <v>8311</v>
      </c>
      <c r="D9" s="20">
        <f>COUNT('[4]#REF'!$N$6:$N$692)</f>
        <v>0</v>
      </c>
      <c r="E9" s="21" t="e">
        <f>MIN('[4]#REF'!$N$6:$N$692)</f>
        <v>#REF!</v>
      </c>
      <c r="F9" s="21" t="e">
        <f>MAX('[4]#REF'!$N$6:$N$692)</f>
        <v>#REF!</v>
      </c>
      <c r="G9" s="22" t="e">
        <f>AVERAGE('[4]#REF'!$N$6:$N$692)</f>
        <v>#REF!</v>
      </c>
      <c r="H9" s="22" t="e">
        <f>MEDIAN('[4]#REF'!$N$6:$N$692)</f>
        <v>#REF!</v>
      </c>
      <c r="I9" s="22" t="e">
        <f>_xlfn.STDEV.S('[4]#REF'!$N$6:$N$692)</f>
        <v>#REF!</v>
      </c>
      <c r="J9" s="22" t="e">
        <f>_xlfn.PERCENTILE.INC('[4]#REF'!$N$6:$N$692,0.25)</f>
        <v>#REF!</v>
      </c>
      <c r="K9" s="22" t="e">
        <f>_xlfn.PERCENTILE.INC('[4]#REF'!$N$6:$N$692,0.75)</f>
        <v>#REF!</v>
      </c>
    </row>
    <row r="10" ht="15.75" spans="1:11">
      <c r="A10" s="7" t="s">
        <v>3169</v>
      </c>
      <c r="B10" s="19" t="s">
        <v>2520</v>
      </c>
      <c r="C10" s="7" t="s">
        <v>8312</v>
      </c>
      <c r="D10" s="20">
        <f>COUNT('[5]#REF'!$N$6:$N$692)</f>
        <v>0</v>
      </c>
      <c r="E10" s="22" t="e">
        <f>MIN('[5]#REF'!$N$6:$N$692)</f>
        <v>#REF!</v>
      </c>
      <c r="F10" s="22" t="e">
        <f>MAX('[5]#REF'!$N$6:$N$692)</f>
        <v>#REF!</v>
      </c>
      <c r="G10" s="22" t="e">
        <f>AVERAGE('[5]#REF'!$N$6:$N$692)</f>
        <v>#REF!</v>
      </c>
      <c r="H10" s="22" t="e">
        <f>MEDIAN('[5]#REF'!$N$6:$N$692)</f>
        <v>#REF!</v>
      </c>
      <c r="I10" s="22" t="e">
        <f>_xlfn.STDEV.S('[5]#REF'!$N$6:$N$692)</f>
        <v>#REF!</v>
      </c>
      <c r="J10" s="22" t="e">
        <f>_xlfn.PERCENTILE.INC('[5]#REF'!$N$6:$N$692,0.25)</f>
        <v>#REF!</v>
      </c>
      <c r="K10" s="22" t="e">
        <f>_xlfn.PERCENTILE.INC('[5]#REF'!$N$6:$N$692,0.75)</f>
        <v>#REF!</v>
      </c>
    </row>
    <row r="12" ht="18" customHeight="1" spans="1:11">
      <c r="A12" s="23" t="s">
        <v>8313</v>
      </c>
    </row>
    <row r="13" ht="26" customHeight="1" spans="1:11">
      <c r="A13" s="5" t="s">
        <v>3161</v>
      </c>
      <c r="B13" s="5" t="s">
        <v>8302</v>
      </c>
      <c r="C13" s="5" t="s">
        <v>8314</v>
      </c>
      <c r="D13" s="5" t="s">
        <v>8315</v>
      </c>
      <c r="E13" s="5" t="s">
        <v>8316</v>
      </c>
      <c r="F13" s="5" t="s">
        <v>8317</v>
      </c>
      <c r="G13" s="5" t="s">
        <v>8318</v>
      </c>
      <c r="H13" s="5" t="s">
        <v>8319</v>
      </c>
      <c r="I13" s="5" t="s">
        <v>8320</v>
      </c>
    </row>
    <row r="14" ht="30" customHeight="1" spans="1:11">
      <c r="A14" s="7" t="s">
        <v>3165</v>
      </c>
      <c r="B14" s="19" t="s">
        <v>8311</v>
      </c>
      <c r="C14" s="24" t="e">
        <f>SKEW('[4]#REF'!$D$6:$D$1248)</f>
        <v>#REF!</v>
      </c>
      <c r="D14" s="12" t="e">
        <f t="shared" ref="D14:D19" si="0">IF(ABS(C14)&lt;0.25,"approximately symmetric",IF(C14&gt;0,"right-skewed — a thin upper tail","left-skewed — a thin lower tail"))</f>
        <v>#REF!</v>
      </c>
      <c r="E14" s="22" t="e">
        <f t="shared" ref="E14:E19" si="1">F5-E5</f>
        <v>#REF!</v>
      </c>
      <c r="F14" s="22" t="e">
        <f t="shared" ref="F14:F19" si="2">K5-J5</f>
        <v>#REF!</v>
      </c>
      <c r="G14" s="22" t="e">
        <f>MODE('[4]#REF'!$D$6:$D$1248)</f>
        <v>#REF!</v>
      </c>
      <c r="H14" s="25" t="e">
        <f>COUNTIF('[4]#REF'!$D$6:$D$1248,G14)/COUNT('[4]#REF'!$D$6:$D$1248)</f>
        <v>#VALUE!</v>
      </c>
      <c r="I14" s="26" t="e">
        <f>"P25 "&amp;TEXT(J5,"0")&amp;" · median "&amp;TEXT(H5,"0")&amp;" · P75 "&amp;TEXT(K5,"0")&amp;" — the middle half spans "&amp;TEXT(K5-J5,"0")&amp;" points of a "&amp;TEXT(F5-E5,"0")&amp;"-point range, "&amp;"and "&amp;TEXT(COUNTIF('[4]#REF'!$D$6:$D$1248,G14)/COUNT('[4]#REF'!$D$6:$D$1248),"0%")&amp;" of the population sits on the single most common value."</f>
        <v>#REF!</v>
      </c>
    </row>
    <row r="15" ht="30" customHeight="1" spans="1:11">
      <c r="A15" s="7" t="s">
        <v>3165</v>
      </c>
      <c r="B15" s="19" t="s">
        <v>8312</v>
      </c>
      <c r="C15" s="24" t="e">
        <f>SKEW('[5]#REF'!$D$6:$D$1248)</f>
        <v>#REF!</v>
      </c>
      <c r="D15" s="12" t="e">
        <f t="shared" si="0"/>
        <v>#REF!</v>
      </c>
      <c r="E15" s="22" t="e">
        <f t="shared" si="1"/>
        <v>#REF!</v>
      </c>
      <c r="F15" s="22" t="e">
        <f t="shared" si="2"/>
        <v>#REF!</v>
      </c>
      <c r="G15" s="22" t="e">
        <f>MODE('[5]#REF'!$D$6:$D$1248)</f>
        <v>#REF!</v>
      </c>
      <c r="H15" s="25" t="e">
        <f>COUNTIF('[5]#REF'!$D$6:$D$1248,G15)/COUNT('[5]#REF'!$D$6:$D$1248)</f>
        <v>#VALUE!</v>
      </c>
      <c r="I15" s="26" t="e">
        <f>"P25 "&amp;TEXT(J6,"0")&amp;" · median "&amp;TEXT(H6,"0")&amp;" · P75 "&amp;TEXT(K6,"0")&amp;" — the middle half spans "&amp;TEXT(K6-J6,"0")&amp;" points of a "&amp;TEXT(F6-E6,"0")&amp;"-point range, "&amp;"and "&amp;TEXT(COUNTIF('[5]#REF'!$D$6:$D$1248,G15)/COUNT('[5]#REF'!$D$6:$D$1248),"0%")&amp;" of the population sits on the single most common value."</f>
        <v>#REF!</v>
      </c>
    </row>
    <row r="16" ht="30" customHeight="1" spans="1:11">
      <c r="A16" s="7" t="s">
        <v>3167</v>
      </c>
      <c r="B16" s="19" t="s">
        <v>8311</v>
      </c>
      <c r="C16" s="24" t="e">
        <f>SKEW('[4]#REF'!$I$6:$I$5120)</f>
        <v>#REF!</v>
      </c>
      <c r="D16" s="12" t="e">
        <f t="shared" si="0"/>
        <v>#REF!</v>
      </c>
      <c r="E16" s="22" t="e">
        <f t="shared" si="1"/>
        <v>#REF!</v>
      </c>
      <c r="F16" s="22" t="e">
        <f t="shared" si="2"/>
        <v>#REF!</v>
      </c>
      <c r="G16" s="22" t="e">
        <f>MODE('[4]#REF'!$I$6:$I$5120)</f>
        <v>#REF!</v>
      </c>
      <c r="H16" s="25" t="e">
        <f>COUNTIF('[4]#REF'!$I$6:$I$5120,G16)/COUNT('[4]#REF'!$I$6:$I$5120)</f>
        <v>#VALUE!</v>
      </c>
      <c r="I16" s="26" t="e">
        <f>"P25 "&amp;TEXT(J7,"0")&amp;" · median "&amp;TEXT(H7,"0")&amp;" · P75 "&amp;TEXT(K7,"0")&amp;" — the middle half spans "&amp;TEXT(K7-J7,"0")&amp;" points of a "&amp;TEXT(F7-E7,"0")&amp;"-point range, "&amp;"and "&amp;TEXT(COUNTIF('[4]#REF'!$I$6:$I$5120,G16)/COUNT('[4]#REF'!$I$6:$I$5120),"0%")&amp;" of the population sits on the single most common value."</f>
        <v>#REF!</v>
      </c>
    </row>
    <row r="17" ht="30" customHeight="1" spans="1:9">
      <c r="A17" s="7" t="s">
        <v>3167</v>
      </c>
      <c r="B17" s="19" t="s">
        <v>8312</v>
      </c>
      <c r="C17" s="24" t="e">
        <f>SKEW('[5]#REF'!$I$6:$I$5120)</f>
        <v>#REF!</v>
      </c>
      <c r="D17" s="12" t="e">
        <f t="shared" si="0"/>
        <v>#REF!</v>
      </c>
      <c r="E17" s="22" t="e">
        <f t="shared" si="1"/>
        <v>#REF!</v>
      </c>
      <c r="F17" s="22" t="e">
        <f t="shared" si="2"/>
        <v>#REF!</v>
      </c>
      <c r="G17" s="22" t="e">
        <f>MODE('[5]#REF'!$I$6:$I$5120)</f>
        <v>#REF!</v>
      </c>
      <c r="H17" s="25" t="e">
        <f>COUNTIF('[5]#REF'!$I$6:$I$5120,G17)/COUNT('[5]#REF'!$I$6:$I$5120)</f>
        <v>#VALUE!</v>
      </c>
      <c r="I17" s="26" t="e">
        <f>"P25 "&amp;TEXT(J8,"0")&amp;" · median "&amp;TEXT(H8,"0")&amp;" · P75 "&amp;TEXT(K8,"0")&amp;" — the middle half spans "&amp;TEXT(K8-J8,"0")&amp;" points of a "&amp;TEXT(F8-E8,"0")&amp;"-point range, "&amp;"and "&amp;TEXT(COUNTIF('[5]#REF'!$I$6:$I$5120,G17)/COUNT('[5]#REF'!$I$6:$I$5120),"0%")&amp;" of the population sits on the single most common value."</f>
        <v>#REF!</v>
      </c>
    </row>
    <row r="18" ht="30" customHeight="1" spans="1:9">
      <c r="A18" s="7" t="s">
        <v>3169</v>
      </c>
      <c r="B18" s="19" t="s">
        <v>8311</v>
      </c>
      <c r="C18" s="24" t="e">
        <f>SKEW('[4]#REF'!$N$6:$N$692)</f>
        <v>#REF!</v>
      </c>
      <c r="D18" s="12" t="e">
        <f t="shared" si="0"/>
        <v>#REF!</v>
      </c>
      <c r="E18" s="22" t="e">
        <f t="shared" si="1"/>
        <v>#REF!</v>
      </c>
      <c r="F18" s="22" t="e">
        <f t="shared" si="2"/>
        <v>#REF!</v>
      </c>
      <c r="G18" s="22" t="e">
        <f>MODE('[4]#REF'!$N$6:$N$692)</f>
        <v>#REF!</v>
      </c>
      <c r="H18" s="25" t="e">
        <f>COUNTIF('[4]#REF'!$N$6:$N$692,G18)/COUNT('[4]#REF'!$N$6:$N$692)</f>
        <v>#VALUE!</v>
      </c>
      <c r="I18" s="26" t="e">
        <f>"P25 "&amp;TEXT(J9,"0")&amp;" · median "&amp;TEXT(H9,"0")&amp;" · P75 "&amp;TEXT(K9,"0")&amp;" — the middle half spans "&amp;TEXT(K9-J9,"0")&amp;" points of a "&amp;TEXT(F9-E9,"0")&amp;"-point range, "&amp;"and "&amp;TEXT(COUNTIF('[4]#REF'!$N$6:$N$692,G18)/COUNT('[4]#REF'!$N$6:$N$692),"0%")&amp;" of the population sits on the single most common value."</f>
        <v>#REF!</v>
      </c>
    </row>
    <row r="19" ht="30" customHeight="1" spans="1:9">
      <c r="A19" s="7" t="s">
        <v>3169</v>
      </c>
      <c r="B19" s="19" t="s">
        <v>8312</v>
      </c>
      <c r="C19" s="24" t="e">
        <f>SKEW('[5]#REF'!$N$6:$N$692)</f>
        <v>#REF!</v>
      </c>
      <c r="D19" s="12" t="e">
        <f t="shared" si="0"/>
        <v>#REF!</v>
      </c>
      <c r="E19" s="22" t="e">
        <f t="shared" si="1"/>
        <v>#REF!</v>
      </c>
      <c r="F19" s="22" t="e">
        <f t="shared" si="2"/>
        <v>#REF!</v>
      </c>
      <c r="G19" s="22" t="e">
        <f>MODE('[5]#REF'!$N$6:$N$692)</f>
        <v>#REF!</v>
      </c>
      <c r="H19" s="25" t="e">
        <f>COUNTIF('[5]#REF'!$N$6:$N$692,G19)/COUNT('[5]#REF'!$N$6:$N$692)</f>
        <v>#VALUE!</v>
      </c>
      <c r="I19" s="26" t="e">
        <f>"P25 "&amp;TEXT(J10,"0")&amp;" · median "&amp;TEXT(H10,"0")&amp;" · P75 "&amp;TEXT(K10,"0")&amp;" — the middle half spans "&amp;TEXT(K10-J10,"0")&amp;" points of a "&amp;TEXT(F10-E10,"0")&amp;"-point range, "&amp;"and "&amp;TEXT(COUNTIF('[5]#REF'!$N$6:$N$692,G19)/COUNT('[5]#REF'!$N$6:$N$692),"0%")&amp;" of the population sits on the single most common value."</f>
        <v>#REF!</v>
      </c>
    </row>
  </sheetData>
  <mergeCells count="3">
    <mergeCell ref="A1:K1"/>
    <mergeCell ref="A2:K2"/>
    <mergeCell ref="A12:K12"/>
  </mergeCells>
  <pageMargins left="0.7" right="0.7" top="0.75" bottom="0.75" header="0.3" footer="0.3"/>
  <pageSetup paperSize="1" orientation="portrait"/>
  <headerFoot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6"/>
  <sheetViews>
    <sheetView workbookViewId="0">
      <pane xSplit="1" ySplit="5" topLeftCell="B6" activePane="bottomRight" state="frozen"/>
      <selection/>
      <selection pane="topRight"/>
      <selection pane="bottomLeft"/>
      <selection pane="bottomRight" activeCell="A1" sqref="A1:I1"/>
    </sheetView>
  </sheetViews>
  <sheetFormatPr defaultColWidth="9" defaultRowHeight="15"/>
  <cols>
    <col min="1" max="1" width="14" customWidth="1"/>
    <col min="2" max="7" width="20" customWidth="1"/>
  </cols>
  <sheetData>
    <row r="1" ht="24" customHeight="1" spans="1:7">
      <c r="A1" s="3" t="s">
        <v>8321</v>
      </c>
    </row>
    <row r="2" ht="30" customHeight="1" spans="1:7">
      <c r="A2" s="4" t="s">
        <v>8322</v>
      </c>
    </row>
    <row r="4" spans="1:7">
      <c r="A4" s="10" t="s">
        <v>8323</v>
      </c>
    </row>
    <row r="5" ht="30" customHeight="1" spans="1:7">
      <c r="A5" s="5" t="s">
        <v>8324</v>
      </c>
      <c r="B5" s="5" t="s">
        <v>8325</v>
      </c>
      <c r="C5" s="5" t="s">
        <v>8326</v>
      </c>
      <c r="D5" s="5" t="s">
        <v>8327</v>
      </c>
      <c r="E5" s="5" t="s">
        <v>8328</v>
      </c>
      <c r="F5" s="5" t="s">
        <v>8329</v>
      </c>
      <c r="G5" s="5" t="s">
        <v>8330</v>
      </c>
    </row>
    <row r="6" ht="15.75" spans="1:7">
      <c r="A6" s="7" t="s">
        <v>8331</v>
      </c>
      <c r="B6" s="15" t="e">
        <f>COUNTIFS('[4]#REF'!$D$6:$D$1248,"&gt;=0",'[4]#REF'!$D$6:$D$1248,"&lt;5")</f>
        <v>#VALUE!</v>
      </c>
      <c r="C6" s="15" t="e">
        <f>COUNTIFS('[5]#REF'!$D$6:$D$1248,"&gt;=0",'[5]#REF'!$D$6:$D$1248,"&lt;5")</f>
        <v>#VALUE!</v>
      </c>
      <c r="D6" s="15" t="e">
        <f>COUNTIFS('[4]#REF'!$I$6:$I$5120,"&gt;=0",'[4]#REF'!$I$6:$I$5120,"&lt;5")</f>
        <v>#VALUE!</v>
      </c>
      <c r="E6" s="15" t="e">
        <f>COUNTIFS('[5]#REF'!$I$6:$I$5120,"&gt;=0",'[5]#REF'!$I$6:$I$5120,"&lt;5")</f>
        <v>#VALUE!</v>
      </c>
      <c r="F6" s="15" t="e">
        <f>COUNTIFS('[4]#REF'!$N$6:$N$692,"&gt;=0",'[4]#REF'!$N$6:$N$692,"&lt;5")</f>
        <v>#VALUE!</v>
      </c>
      <c r="G6" s="15" t="e">
        <f>COUNTIFS('[5]#REF'!$N$6:$N$692,"&gt;=0",'[5]#REF'!$N$6:$N$692,"&lt;5")</f>
        <v>#VALUE!</v>
      </c>
    </row>
    <row r="7" ht="15.75" spans="1:7">
      <c r="A7" s="7" t="s">
        <v>8332</v>
      </c>
      <c r="B7" s="15" t="e">
        <f>COUNTIFS('[4]#REF'!$D$6:$D$1248,"&gt;=5",'[4]#REF'!$D$6:$D$1248,"&lt;10")</f>
        <v>#VALUE!</v>
      </c>
      <c r="C7" s="15" t="e">
        <f>COUNTIFS('[5]#REF'!$D$6:$D$1248,"&gt;=5",'[5]#REF'!$D$6:$D$1248,"&lt;10")</f>
        <v>#VALUE!</v>
      </c>
      <c r="D7" s="15" t="e">
        <f>COUNTIFS('[4]#REF'!$I$6:$I$5120,"&gt;=5",'[4]#REF'!$I$6:$I$5120,"&lt;10")</f>
        <v>#VALUE!</v>
      </c>
      <c r="E7" s="15" t="e">
        <f>COUNTIFS('[5]#REF'!$I$6:$I$5120,"&gt;=5",'[5]#REF'!$I$6:$I$5120,"&lt;10")</f>
        <v>#VALUE!</v>
      </c>
      <c r="F7" s="15" t="e">
        <f>COUNTIFS('[4]#REF'!$N$6:$N$692,"&gt;=5",'[4]#REF'!$N$6:$N$692,"&lt;10")</f>
        <v>#VALUE!</v>
      </c>
      <c r="G7" s="15" t="e">
        <f>COUNTIFS('[5]#REF'!$N$6:$N$692,"&gt;=5",'[5]#REF'!$N$6:$N$692,"&lt;10")</f>
        <v>#VALUE!</v>
      </c>
    </row>
    <row r="8" ht="15.75" spans="1:7">
      <c r="A8" s="7" t="s">
        <v>8333</v>
      </c>
      <c r="B8" s="15" t="e">
        <f>COUNTIFS('[4]#REF'!$D$6:$D$1248,"&gt;=10",'[4]#REF'!$D$6:$D$1248,"&lt;15")</f>
        <v>#VALUE!</v>
      </c>
      <c r="C8" s="15" t="e">
        <f>COUNTIFS('[5]#REF'!$D$6:$D$1248,"&gt;=10",'[5]#REF'!$D$6:$D$1248,"&lt;15")</f>
        <v>#VALUE!</v>
      </c>
      <c r="D8" s="15" t="e">
        <f>COUNTIFS('[4]#REF'!$I$6:$I$5120,"&gt;=10",'[4]#REF'!$I$6:$I$5120,"&lt;15")</f>
        <v>#VALUE!</v>
      </c>
      <c r="E8" s="15" t="e">
        <f>COUNTIFS('[5]#REF'!$I$6:$I$5120,"&gt;=10",'[5]#REF'!$I$6:$I$5120,"&lt;15")</f>
        <v>#VALUE!</v>
      </c>
      <c r="F8" s="15" t="e">
        <f>COUNTIFS('[4]#REF'!$N$6:$N$692,"&gt;=10",'[4]#REF'!$N$6:$N$692,"&lt;15")</f>
        <v>#VALUE!</v>
      </c>
      <c r="G8" s="15" t="e">
        <f>COUNTIFS('[5]#REF'!$N$6:$N$692,"&gt;=10",'[5]#REF'!$N$6:$N$692,"&lt;15")</f>
        <v>#VALUE!</v>
      </c>
    </row>
    <row r="9" ht="15.75" spans="1:7">
      <c r="A9" s="7" t="s">
        <v>8334</v>
      </c>
      <c r="B9" s="15" t="e">
        <f>COUNTIFS('[4]#REF'!$D$6:$D$1248,"&gt;=15",'[4]#REF'!$D$6:$D$1248,"&lt;20")</f>
        <v>#VALUE!</v>
      </c>
      <c r="C9" s="15" t="e">
        <f>COUNTIFS('[5]#REF'!$D$6:$D$1248,"&gt;=15",'[5]#REF'!$D$6:$D$1248,"&lt;20")</f>
        <v>#VALUE!</v>
      </c>
      <c r="D9" s="15" t="e">
        <f>COUNTIFS('[4]#REF'!$I$6:$I$5120,"&gt;=15",'[4]#REF'!$I$6:$I$5120,"&lt;20")</f>
        <v>#VALUE!</v>
      </c>
      <c r="E9" s="15" t="e">
        <f>COUNTIFS('[5]#REF'!$I$6:$I$5120,"&gt;=15",'[5]#REF'!$I$6:$I$5120,"&lt;20")</f>
        <v>#VALUE!</v>
      </c>
      <c r="F9" s="15" t="e">
        <f>COUNTIFS('[4]#REF'!$N$6:$N$692,"&gt;=15",'[4]#REF'!$N$6:$N$692,"&lt;20")</f>
        <v>#VALUE!</v>
      </c>
      <c r="G9" s="15" t="e">
        <f>COUNTIFS('[5]#REF'!$N$6:$N$692,"&gt;=15",'[5]#REF'!$N$6:$N$692,"&lt;20")</f>
        <v>#VALUE!</v>
      </c>
    </row>
    <row r="10" ht="15.75" spans="1:7">
      <c r="A10" s="7" t="s">
        <v>8335</v>
      </c>
      <c r="B10" s="15" t="e">
        <f>COUNTIFS('[4]#REF'!$D$6:$D$1248,"&gt;=20",'[4]#REF'!$D$6:$D$1248,"&lt;25")</f>
        <v>#VALUE!</v>
      </c>
      <c r="C10" s="15" t="e">
        <f>COUNTIFS('[5]#REF'!$D$6:$D$1248,"&gt;=20",'[5]#REF'!$D$6:$D$1248,"&lt;25")</f>
        <v>#VALUE!</v>
      </c>
      <c r="D10" s="15" t="e">
        <f>COUNTIFS('[4]#REF'!$I$6:$I$5120,"&gt;=20",'[4]#REF'!$I$6:$I$5120,"&lt;25")</f>
        <v>#VALUE!</v>
      </c>
      <c r="E10" s="15" t="e">
        <f>COUNTIFS('[5]#REF'!$I$6:$I$5120,"&gt;=20",'[5]#REF'!$I$6:$I$5120,"&lt;25")</f>
        <v>#VALUE!</v>
      </c>
      <c r="F10" s="15" t="e">
        <f>COUNTIFS('[4]#REF'!$N$6:$N$692,"&gt;=20",'[4]#REF'!$N$6:$N$692,"&lt;25")</f>
        <v>#VALUE!</v>
      </c>
      <c r="G10" s="15" t="e">
        <f>COUNTIFS('[5]#REF'!$N$6:$N$692,"&gt;=20",'[5]#REF'!$N$6:$N$692,"&lt;25")</f>
        <v>#VALUE!</v>
      </c>
    </row>
    <row r="11" ht="15.75" spans="1:7">
      <c r="A11" s="7" t="s">
        <v>8336</v>
      </c>
      <c r="B11" s="15" t="e">
        <f>COUNTIFS('[4]#REF'!$D$6:$D$1248,"&gt;=25",'[4]#REF'!$D$6:$D$1248,"&lt;30")</f>
        <v>#VALUE!</v>
      </c>
      <c r="C11" s="15" t="e">
        <f>COUNTIFS('[5]#REF'!$D$6:$D$1248,"&gt;=25",'[5]#REF'!$D$6:$D$1248,"&lt;30")</f>
        <v>#VALUE!</v>
      </c>
      <c r="D11" s="15" t="e">
        <f>COUNTIFS('[4]#REF'!$I$6:$I$5120,"&gt;=25",'[4]#REF'!$I$6:$I$5120,"&lt;30")</f>
        <v>#VALUE!</v>
      </c>
      <c r="E11" s="15" t="e">
        <f>COUNTIFS('[5]#REF'!$I$6:$I$5120,"&gt;=25",'[5]#REF'!$I$6:$I$5120,"&lt;30")</f>
        <v>#VALUE!</v>
      </c>
      <c r="F11" s="15" t="e">
        <f>COUNTIFS('[4]#REF'!$N$6:$N$692,"&gt;=25",'[4]#REF'!$N$6:$N$692,"&lt;30")</f>
        <v>#VALUE!</v>
      </c>
      <c r="G11" s="15" t="e">
        <f>COUNTIFS('[5]#REF'!$N$6:$N$692,"&gt;=25",'[5]#REF'!$N$6:$N$692,"&lt;30")</f>
        <v>#VALUE!</v>
      </c>
    </row>
    <row r="12" ht="15.75" spans="1:7">
      <c r="A12" s="7" t="s">
        <v>8337</v>
      </c>
      <c r="B12" s="15" t="e">
        <f>COUNTIFS('[4]#REF'!$D$6:$D$1248,"&gt;=30",'[4]#REF'!$D$6:$D$1248,"&lt;35")</f>
        <v>#VALUE!</v>
      </c>
      <c r="C12" s="15" t="e">
        <f>COUNTIFS('[5]#REF'!$D$6:$D$1248,"&gt;=30",'[5]#REF'!$D$6:$D$1248,"&lt;35")</f>
        <v>#VALUE!</v>
      </c>
      <c r="D12" s="15" t="e">
        <f>COUNTIFS('[4]#REF'!$I$6:$I$5120,"&gt;=30",'[4]#REF'!$I$6:$I$5120,"&lt;35")</f>
        <v>#VALUE!</v>
      </c>
      <c r="E12" s="15" t="e">
        <f>COUNTIFS('[5]#REF'!$I$6:$I$5120,"&gt;=30",'[5]#REF'!$I$6:$I$5120,"&lt;35")</f>
        <v>#VALUE!</v>
      </c>
      <c r="F12" s="15" t="e">
        <f>COUNTIFS('[4]#REF'!$N$6:$N$692,"&gt;=30",'[4]#REF'!$N$6:$N$692,"&lt;35")</f>
        <v>#VALUE!</v>
      </c>
      <c r="G12" s="15" t="e">
        <f>COUNTIFS('[5]#REF'!$N$6:$N$692,"&gt;=30",'[5]#REF'!$N$6:$N$692,"&lt;35")</f>
        <v>#VALUE!</v>
      </c>
    </row>
    <row r="13" ht="15.75" spans="1:7">
      <c r="A13" s="7" t="s">
        <v>8338</v>
      </c>
      <c r="B13" s="15" t="e">
        <f>COUNTIFS('[4]#REF'!$D$6:$D$1248,"&gt;=35",'[4]#REF'!$D$6:$D$1248,"&lt;40")</f>
        <v>#VALUE!</v>
      </c>
      <c r="C13" s="15" t="e">
        <f>COUNTIFS('[5]#REF'!$D$6:$D$1248,"&gt;=35",'[5]#REF'!$D$6:$D$1248,"&lt;40")</f>
        <v>#VALUE!</v>
      </c>
      <c r="D13" s="15" t="e">
        <f>COUNTIFS('[4]#REF'!$I$6:$I$5120,"&gt;=35",'[4]#REF'!$I$6:$I$5120,"&lt;40")</f>
        <v>#VALUE!</v>
      </c>
      <c r="E13" s="15" t="e">
        <f>COUNTIFS('[5]#REF'!$I$6:$I$5120,"&gt;=35",'[5]#REF'!$I$6:$I$5120,"&lt;40")</f>
        <v>#VALUE!</v>
      </c>
      <c r="F13" s="15" t="e">
        <f>COUNTIFS('[4]#REF'!$N$6:$N$692,"&gt;=35",'[4]#REF'!$N$6:$N$692,"&lt;40")</f>
        <v>#VALUE!</v>
      </c>
      <c r="G13" s="15" t="e">
        <f>COUNTIFS('[5]#REF'!$N$6:$N$692,"&gt;=35",'[5]#REF'!$N$6:$N$692,"&lt;40")</f>
        <v>#VALUE!</v>
      </c>
    </row>
    <row r="14" ht="15.75" spans="1:7">
      <c r="A14" s="7" t="s">
        <v>8339</v>
      </c>
      <c r="B14" s="15" t="e">
        <f>COUNTIFS('[4]#REF'!$D$6:$D$1248,"&gt;=40",'[4]#REF'!$D$6:$D$1248,"&lt;45")</f>
        <v>#VALUE!</v>
      </c>
      <c r="C14" s="15" t="e">
        <f>COUNTIFS('[5]#REF'!$D$6:$D$1248,"&gt;=40",'[5]#REF'!$D$6:$D$1248,"&lt;45")</f>
        <v>#VALUE!</v>
      </c>
      <c r="D14" s="15" t="e">
        <f>COUNTIFS('[4]#REF'!$I$6:$I$5120,"&gt;=40",'[4]#REF'!$I$6:$I$5120,"&lt;45")</f>
        <v>#VALUE!</v>
      </c>
      <c r="E14" s="15" t="e">
        <f>COUNTIFS('[5]#REF'!$I$6:$I$5120,"&gt;=40",'[5]#REF'!$I$6:$I$5120,"&lt;45")</f>
        <v>#VALUE!</v>
      </c>
      <c r="F14" s="15" t="e">
        <f>COUNTIFS('[4]#REF'!$N$6:$N$692,"&gt;=40",'[4]#REF'!$N$6:$N$692,"&lt;45")</f>
        <v>#VALUE!</v>
      </c>
      <c r="G14" s="15" t="e">
        <f>COUNTIFS('[5]#REF'!$N$6:$N$692,"&gt;=40",'[5]#REF'!$N$6:$N$692,"&lt;45")</f>
        <v>#VALUE!</v>
      </c>
    </row>
    <row r="15" ht="15.75" spans="1:7">
      <c r="A15" s="7" t="s">
        <v>8340</v>
      </c>
      <c r="B15" s="15" t="e">
        <f>COUNTIFS('[4]#REF'!$D$6:$D$1248,"&gt;=45",'[4]#REF'!$D$6:$D$1248,"&lt;50")</f>
        <v>#VALUE!</v>
      </c>
      <c r="C15" s="15" t="e">
        <f>COUNTIFS('[5]#REF'!$D$6:$D$1248,"&gt;=45",'[5]#REF'!$D$6:$D$1248,"&lt;50")</f>
        <v>#VALUE!</v>
      </c>
      <c r="D15" s="15" t="e">
        <f>COUNTIFS('[4]#REF'!$I$6:$I$5120,"&gt;=45",'[4]#REF'!$I$6:$I$5120,"&lt;50")</f>
        <v>#VALUE!</v>
      </c>
      <c r="E15" s="15" t="e">
        <f>COUNTIFS('[5]#REF'!$I$6:$I$5120,"&gt;=45",'[5]#REF'!$I$6:$I$5120,"&lt;50")</f>
        <v>#VALUE!</v>
      </c>
      <c r="F15" s="15" t="e">
        <f>COUNTIFS('[4]#REF'!$N$6:$N$692,"&gt;=45",'[4]#REF'!$N$6:$N$692,"&lt;50")</f>
        <v>#VALUE!</v>
      </c>
      <c r="G15" s="15" t="e">
        <f>COUNTIFS('[5]#REF'!$N$6:$N$692,"&gt;=45",'[5]#REF'!$N$6:$N$692,"&lt;50")</f>
        <v>#VALUE!</v>
      </c>
    </row>
    <row r="16" ht="15.75" spans="1:7">
      <c r="A16" s="7" t="s">
        <v>8341</v>
      </c>
      <c r="B16" s="15" t="e">
        <f>COUNTIFS('[4]#REF'!$D$6:$D$1248,"&gt;=50",'[4]#REF'!$D$6:$D$1248,"&lt;55")</f>
        <v>#VALUE!</v>
      </c>
      <c r="C16" s="15" t="e">
        <f>COUNTIFS('[5]#REF'!$D$6:$D$1248,"&gt;=50",'[5]#REF'!$D$6:$D$1248,"&lt;55")</f>
        <v>#VALUE!</v>
      </c>
      <c r="D16" s="15" t="e">
        <f>COUNTIFS('[4]#REF'!$I$6:$I$5120,"&gt;=50",'[4]#REF'!$I$6:$I$5120,"&lt;55")</f>
        <v>#VALUE!</v>
      </c>
      <c r="E16" s="15" t="e">
        <f>COUNTIFS('[5]#REF'!$I$6:$I$5120,"&gt;=50",'[5]#REF'!$I$6:$I$5120,"&lt;55")</f>
        <v>#VALUE!</v>
      </c>
      <c r="F16" s="15" t="e">
        <f>COUNTIFS('[4]#REF'!$N$6:$N$692,"&gt;=50",'[4]#REF'!$N$6:$N$692,"&lt;55")</f>
        <v>#VALUE!</v>
      </c>
      <c r="G16" s="15" t="e">
        <f>COUNTIFS('[5]#REF'!$N$6:$N$692,"&gt;=50",'[5]#REF'!$N$6:$N$692,"&lt;55")</f>
        <v>#VALUE!</v>
      </c>
    </row>
    <row r="17" ht="15.75" spans="1:7">
      <c r="A17" s="7" t="s">
        <v>8342</v>
      </c>
      <c r="B17" s="15" t="e">
        <f>COUNTIFS('[4]#REF'!$D$6:$D$1248,"&gt;=55",'[4]#REF'!$D$6:$D$1248,"&lt;60")</f>
        <v>#VALUE!</v>
      </c>
      <c r="C17" s="15" t="e">
        <f>COUNTIFS('[5]#REF'!$D$6:$D$1248,"&gt;=55",'[5]#REF'!$D$6:$D$1248,"&lt;60")</f>
        <v>#VALUE!</v>
      </c>
      <c r="D17" s="15" t="e">
        <f>COUNTIFS('[4]#REF'!$I$6:$I$5120,"&gt;=55",'[4]#REF'!$I$6:$I$5120,"&lt;60")</f>
        <v>#VALUE!</v>
      </c>
      <c r="E17" s="15" t="e">
        <f>COUNTIFS('[5]#REF'!$I$6:$I$5120,"&gt;=55",'[5]#REF'!$I$6:$I$5120,"&lt;60")</f>
        <v>#VALUE!</v>
      </c>
      <c r="F17" s="15" t="e">
        <f>COUNTIFS('[4]#REF'!$N$6:$N$692,"&gt;=55",'[4]#REF'!$N$6:$N$692,"&lt;60")</f>
        <v>#VALUE!</v>
      </c>
      <c r="G17" s="15" t="e">
        <f>COUNTIFS('[5]#REF'!$N$6:$N$692,"&gt;=55",'[5]#REF'!$N$6:$N$692,"&lt;60")</f>
        <v>#VALUE!</v>
      </c>
    </row>
    <row r="18" ht="15.75" spans="1:7">
      <c r="A18" s="7" t="s">
        <v>8343</v>
      </c>
      <c r="B18" s="15" t="e">
        <f>COUNTIFS('[4]#REF'!$D$6:$D$1248,"&gt;=60",'[4]#REF'!$D$6:$D$1248,"&lt;65")</f>
        <v>#VALUE!</v>
      </c>
      <c r="C18" s="15" t="e">
        <f>COUNTIFS('[5]#REF'!$D$6:$D$1248,"&gt;=60",'[5]#REF'!$D$6:$D$1248,"&lt;65")</f>
        <v>#VALUE!</v>
      </c>
      <c r="D18" s="15" t="e">
        <f>COUNTIFS('[4]#REF'!$I$6:$I$5120,"&gt;=60",'[4]#REF'!$I$6:$I$5120,"&lt;65")</f>
        <v>#VALUE!</v>
      </c>
      <c r="E18" s="15" t="e">
        <f>COUNTIFS('[5]#REF'!$I$6:$I$5120,"&gt;=60",'[5]#REF'!$I$6:$I$5120,"&lt;65")</f>
        <v>#VALUE!</v>
      </c>
      <c r="F18" s="15" t="e">
        <f>COUNTIFS('[4]#REF'!$N$6:$N$692,"&gt;=60",'[4]#REF'!$N$6:$N$692,"&lt;65")</f>
        <v>#VALUE!</v>
      </c>
      <c r="G18" s="15" t="e">
        <f>COUNTIFS('[5]#REF'!$N$6:$N$692,"&gt;=60",'[5]#REF'!$N$6:$N$692,"&lt;65")</f>
        <v>#VALUE!</v>
      </c>
    </row>
    <row r="19" ht="15.75" spans="1:7">
      <c r="A19" s="7" t="s">
        <v>8344</v>
      </c>
      <c r="B19" s="15" t="e">
        <f>COUNTIFS('[4]#REF'!$D$6:$D$1248,"&gt;=65",'[4]#REF'!$D$6:$D$1248,"&lt;70")</f>
        <v>#VALUE!</v>
      </c>
      <c r="C19" s="15" t="e">
        <f>COUNTIFS('[5]#REF'!$D$6:$D$1248,"&gt;=65",'[5]#REF'!$D$6:$D$1248,"&lt;70")</f>
        <v>#VALUE!</v>
      </c>
      <c r="D19" s="15" t="e">
        <f>COUNTIFS('[4]#REF'!$I$6:$I$5120,"&gt;=65",'[4]#REF'!$I$6:$I$5120,"&lt;70")</f>
        <v>#VALUE!</v>
      </c>
      <c r="E19" s="15" t="e">
        <f>COUNTIFS('[5]#REF'!$I$6:$I$5120,"&gt;=65",'[5]#REF'!$I$6:$I$5120,"&lt;70")</f>
        <v>#VALUE!</v>
      </c>
      <c r="F19" s="15" t="e">
        <f>COUNTIFS('[4]#REF'!$N$6:$N$692,"&gt;=65",'[4]#REF'!$N$6:$N$692,"&lt;70")</f>
        <v>#VALUE!</v>
      </c>
      <c r="G19" s="15" t="e">
        <f>COUNTIFS('[5]#REF'!$N$6:$N$692,"&gt;=65",'[5]#REF'!$N$6:$N$692,"&lt;70")</f>
        <v>#VALUE!</v>
      </c>
    </row>
    <row r="20" ht="15.75" spans="1:7">
      <c r="A20" s="7" t="s">
        <v>8345</v>
      </c>
      <c r="B20" s="15" t="e">
        <f>COUNTIFS('[4]#REF'!$D$6:$D$1248,"&gt;=70",'[4]#REF'!$D$6:$D$1248,"&lt;75")</f>
        <v>#VALUE!</v>
      </c>
      <c r="C20" s="15" t="e">
        <f>COUNTIFS('[5]#REF'!$D$6:$D$1248,"&gt;=70",'[5]#REF'!$D$6:$D$1248,"&lt;75")</f>
        <v>#VALUE!</v>
      </c>
      <c r="D20" s="15" t="e">
        <f>COUNTIFS('[4]#REF'!$I$6:$I$5120,"&gt;=70",'[4]#REF'!$I$6:$I$5120,"&lt;75")</f>
        <v>#VALUE!</v>
      </c>
      <c r="E20" s="15" t="e">
        <f>COUNTIFS('[5]#REF'!$I$6:$I$5120,"&gt;=70",'[5]#REF'!$I$6:$I$5120,"&lt;75")</f>
        <v>#VALUE!</v>
      </c>
      <c r="F20" s="15" t="e">
        <f>COUNTIFS('[4]#REF'!$N$6:$N$692,"&gt;=70",'[4]#REF'!$N$6:$N$692,"&lt;75")</f>
        <v>#VALUE!</v>
      </c>
      <c r="G20" s="15" t="e">
        <f>COUNTIFS('[5]#REF'!$N$6:$N$692,"&gt;=70",'[5]#REF'!$N$6:$N$692,"&lt;75")</f>
        <v>#VALUE!</v>
      </c>
    </row>
    <row r="21" ht="15.75" spans="1:7">
      <c r="A21" s="7" t="s">
        <v>8346</v>
      </c>
      <c r="B21" s="15" t="e">
        <f>COUNTIFS('[4]#REF'!$D$6:$D$1248,"&gt;=75",'[4]#REF'!$D$6:$D$1248,"&lt;80")</f>
        <v>#VALUE!</v>
      </c>
      <c r="C21" s="15" t="e">
        <f>COUNTIFS('[5]#REF'!$D$6:$D$1248,"&gt;=75",'[5]#REF'!$D$6:$D$1248,"&lt;80")</f>
        <v>#VALUE!</v>
      </c>
      <c r="D21" s="15" t="e">
        <f>COUNTIFS('[4]#REF'!$I$6:$I$5120,"&gt;=75",'[4]#REF'!$I$6:$I$5120,"&lt;80")</f>
        <v>#VALUE!</v>
      </c>
      <c r="E21" s="15" t="e">
        <f>COUNTIFS('[5]#REF'!$I$6:$I$5120,"&gt;=75",'[5]#REF'!$I$6:$I$5120,"&lt;80")</f>
        <v>#VALUE!</v>
      </c>
      <c r="F21" s="15" t="e">
        <f>COUNTIFS('[4]#REF'!$N$6:$N$692,"&gt;=75",'[4]#REF'!$N$6:$N$692,"&lt;80")</f>
        <v>#VALUE!</v>
      </c>
      <c r="G21" s="15" t="e">
        <f>COUNTIFS('[5]#REF'!$N$6:$N$692,"&gt;=75",'[5]#REF'!$N$6:$N$692,"&lt;80")</f>
        <v>#VALUE!</v>
      </c>
    </row>
    <row r="22" ht="15.75" spans="1:7">
      <c r="A22" s="7" t="s">
        <v>8347</v>
      </c>
      <c r="B22" s="15" t="e">
        <f>COUNTIFS('[4]#REF'!$D$6:$D$1248,"&gt;=80",'[4]#REF'!$D$6:$D$1248,"&lt;85")</f>
        <v>#VALUE!</v>
      </c>
      <c r="C22" s="15" t="e">
        <f>COUNTIFS('[5]#REF'!$D$6:$D$1248,"&gt;=80",'[5]#REF'!$D$6:$D$1248,"&lt;85")</f>
        <v>#VALUE!</v>
      </c>
      <c r="D22" s="15" t="e">
        <f>COUNTIFS('[4]#REF'!$I$6:$I$5120,"&gt;=80",'[4]#REF'!$I$6:$I$5120,"&lt;85")</f>
        <v>#VALUE!</v>
      </c>
      <c r="E22" s="15" t="e">
        <f>COUNTIFS('[5]#REF'!$I$6:$I$5120,"&gt;=80",'[5]#REF'!$I$6:$I$5120,"&lt;85")</f>
        <v>#VALUE!</v>
      </c>
      <c r="F22" s="15" t="e">
        <f>COUNTIFS('[4]#REF'!$N$6:$N$692,"&gt;=80",'[4]#REF'!$N$6:$N$692,"&lt;85")</f>
        <v>#VALUE!</v>
      </c>
      <c r="G22" s="15" t="e">
        <f>COUNTIFS('[5]#REF'!$N$6:$N$692,"&gt;=80",'[5]#REF'!$N$6:$N$692,"&lt;85")</f>
        <v>#VALUE!</v>
      </c>
    </row>
    <row r="23" ht="15.75" spans="1:7">
      <c r="A23" s="7" t="s">
        <v>8348</v>
      </c>
      <c r="B23" s="15" t="e">
        <f>COUNTIFS('[4]#REF'!$D$6:$D$1248,"&gt;=85",'[4]#REF'!$D$6:$D$1248,"&lt;90")</f>
        <v>#VALUE!</v>
      </c>
      <c r="C23" s="15" t="e">
        <f>COUNTIFS('[5]#REF'!$D$6:$D$1248,"&gt;=85",'[5]#REF'!$D$6:$D$1248,"&lt;90")</f>
        <v>#VALUE!</v>
      </c>
      <c r="D23" s="15" t="e">
        <f>COUNTIFS('[4]#REF'!$I$6:$I$5120,"&gt;=85",'[4]#REF'!$I$6:$I$5120,"&lt;90")</f>
        <v>#VALUE!</v>
      </c>
      <c r="E23" s="15" t="e">
        <f>COUNTIFS('[5]#REF'!$I$6:$I$5120,"&gt;=85",'[5]#REF'!$I$6:$I$5120,"&lt;90")</f>
        <v>#VALUE!</v>
      </c>
      <c r="F23" s="15" t="e">
        <f>COUNTIFS('[4]#REF'!$N$6:$N$692,"&gt;=85",'[4]#REF'!$N$6:$N$692,"&lt;90")</f>
        <v>#VALUE!</v>
      </c>
      <c r="G23" s="15" t="e">
        <f>COUNTIFS('[5]#REF'!$N$6:$N$692,"&gt;=85",'[5]#REF'!$N$6:$N$692,"&lt;90")</f>
        <v>#VALUE!</v>
      </c>
    </row>
    <row r="24" ht="15.75" spans="1:7">
      <c r="A24" s="7" t="s">
        <v>8349</v>
      </c>
      <c r="B24" s="15" t="e">
        <f>COUNTIFS('[4]#REF'!$D$6:$D$1248,"&gt;=90",'[4]#REF'!$D$6:$D$1248,"&lt;95")</f>
        <v>#VALUE!</v>
      </c>
      <c r="C24" s="15" t="e">
        <f>COUNTIFS('[5]#REF'!$D$6:$D$1248,"&gt;=90",'[5]#REF'!$D$6:$D$1248,"&lt;95")</f>
        <v>#VALUE!</v>
      </c>
      <c r="D24" s="15" t="e">
        <f>COUNTIFS('[4]#REF'!$I$6:$I$5120,"&gt;=90",'[4]#REF'!$I$6:$I$5120,"&lt;95")</f>
        <v>#VALUE!</v>
      </c>
      <c r="E24" s="15" t="e">
        <f>COUNTIFS('[5]#REF'!$I$6:$I$5120,"&gt;=90",'[5]#REF'!$I$6:$I$5120,"&lt;95")</f>
        <v>#VALUE!</v>
      </c>
      <c r="F24" s="15" t="e">
        <f>COUNTIFS('[4]#REF'!$N$6:$N$692,"&gt;=90",'[4]#REF'!$N$6:$N$692,"&lt;95")</f>
        <v>#VALUE!</v>
      </c>
      <c r="G24" s="15" t="e">
        <f>COUNTIFS('[5]#REF'!$N$6:$N$692,"&gt;=90",'[5]#REF'!$N$6:$N$692,"&lt;95")</f>
        <v>#VALUE!</v>
      </c>
    </row>
    <row r="25" ht="15.75" spans="1:7">
      <c r="A25" s="7" t="s">
        <v>8350</v>
      </c>
      <c r="B25" s="15" t="e">
        <f>COUNTIFS('[4]#REF'!$D$6:$D$1248,"&gt;=95",'[4]#REF'!$D$6:$D$1248,"&lt;=100")</f>
        <v>#VALUE!</v>
      </c>
      <c r="C25" s="15" t="e">
        <f>COUNTIFS('[5]#REF'!$D$6:$D$1248,"&gt;=95",'[5]#REF'!$D$6:$D$1248,"&lt;=100")</f>
        <v>#VALUE!</v>
      </c>
      <c r="D25" s="15" t="e">
        <f>COUNTIFS('[4]#REF'!$I$6:$I$5120,"&gt;=95",'[4]#REF'!$I$6:$I$5120,"&lt;=100")</f>
        <v>#VALUE!</v>
      </c>
      <c r="E25" s="15" t="e">
        <f>COUNTIFS('[5]#REF'!$I$6:$I$5120,"&gt;=95",'[5]#REF'!$I$6:$I$5120,"&lt;=100")</f>
        <v>#VALUE!</v>
      </c>
      <c r="F25" s="15" t="e">
        <f>COUNTIFS('[4]#REF'!$N$6:$N$692,"&gt;=95",'[4]#REF'!$N$6:$N$692,"&lt;=100")</f>
        <v>#VALUE!</v>
      </c>
      <c r="G25" s="15" t="e">
        <f>COUNTIFS('[5]#REF'!$N$6:$N$692,"&gt;=95",'[5]#REF'!$N$6:$N$692,"&lt;=100")</f>
        <v>#VALUE!</v>
      </c>
    </row>
    <row r="26" spans="1:7">
      <c r="A26" s="17" t="s">
        <v>8351</v>
      </c>
      <c r="B26" s="18" t="e">
        <f t="shared" ref="B26:G26" si="0">SUM(B6:B25)</f>
        <v>#VALUE!</v>
      </c>
      <c r="C26" s="18" t="e">
        <f t="shared" si="0"/>
        <v>#VALUE!</v>
      </c>
      <c r="D26" s="18" t="e">
        <f t="shared" si="0"/>
        <v>#VALUE!</v>
      </c>
      <c r="E26" s="18" t="e">
        <f t="shared" si="0"/>
        <v>#VALUE!</v>
      </c>
      <c r="F26" s="18" t="e">
        <f t="shared" si="0"/>
        <v>#VALUE!</v>
      </c>
      <c r="G26" s="18" t="e">
        <f t="shared" si="0"/>
        <v>#VALUE!</v>
      </c>
    </row>
  </sheetData>
  <mergeCells count="2">
    <mergeCell ref="A1:I1"/>
    <mergeCell ref="A2:I2"/>
  </mergeCells>
  <pageMargins left="0.7" right="0.7" top="0.75" bottom="0.75" header="0.3" footer="0.3"/>
  <pageSetup paperSize="1" orientation="portrait"/>
  <headerFooter/>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99"/>
  <sheetViews>
    <sheetView workbookViewId="0">
      <pane xSplit="1" ySplit="5" topLeftCell="B6" activePane="bottomRight" state="frozen"/>
      <selection/>
      <selection pane="topRight"/>
      <selection pane="bottomLeft"/>
      <selection pane="bottomRight" activeCell="A1" sqref="A1:I1"/>
    </sheetView>
  </sheetViews>
  <sheetFormatPr defaultColWidth="9" defaultRowHeight="15"/>
  <cols>
    <col min="1" max="1" width="24" customWidth="1"/>
    <col min="2" max="2" width="15" customWidth="1"/>
    <col min="3" max="11" width="13" customWidth="1"/>
    <col min="12" max="12" width="20" customWidth="1"/>
  </cols>
  <sheetData>
    <row r="1" ht="24" customHeight="1" spans="1:12">
      <c r="A1" s="3" t="s">
        <v>8352</v>
      </c>
    </row>
    <row r="2" ht="30" customHeight="1" spans="1:12">
      <c r="A2" s="4" t="s">
        <v>8353</v>
      </c>
    </row>
    <row r="4" spans="1:12">
      <c r="A4" s="10" t="s">
        <v>8354</v>
      </c>
    </row>
    <row r="5" ht="30" customHeight="1" spans="1:12">
      <c r="A5" s="5" t="s">
        <v>1031</v>
      </c>
      <c r="B5" s="5" t="s">
        <v>416</v>
      </c>
      <c r="C5" s="5" t="s">
        <v>8355</v>
      </c>
      <c r="D5" s="5" t="s">
        <v>8356</v>
      </c>
      <c r="E5" s="5" t="s">
        <v>8357</v>
      </c>
      <c r="F5" s="5" t="s">
        <v>8358</v>
      </c>
      <c r="G5" s="5" t="s">
        <v>8359</v>
      </c>
      <c r="H5" s="5" t="s">
        <v>8360</v>
      </c>
      <c r="I5" s="5" t="s">
        <v>8361</v>
      </c>
      <c r="J5" s="5" t="s">
        <v>8362</v>
      </c>
      <c r="K5" s="5" t="s">
        <v>8363</v>
      </c>
      <c r="L5" s="5" t="s">
        <v>8364</v>
      </c>
    </row>
    <row r="6" ht="15.75" spans="1:12">
      <c r="A6" s="11" t="s">
        <v>3222</v>
      </c>
      <c r="B6" s="12" t="s">
        <v>245</v>
      </c>
      <c r="C6" s="13">
        <v>50</v>
      </c>
      <c r="D6" s="14">
        <v>62.5</v>
      </c>
      <c r="E6" s="15">
        <v>220</v>
      </c>
      <c r="F6" s="13">
        <v>67</v>
      </c>
      <c r="G6" s="14">
        <v>83.75</v>
      </c>
      <c r="H6" s="15">
        <v>7</v>
      </c>
      <c r="I6" s="13">
        <v>48</v>
      </c>
      <c r="J6" s="14">
        <v>71.64</v>
      </c>
      <c r="K6" s="15">
        <v>147</v>
      </c>
      <c r="L6" s="16">
        <v>213</v>
      </c>
    </row>
    <row r="7" ht="15.75" spans="1:12">
      <c r="A7" s="11" t="s">
        <v>3229</v>
      </c>
      <c r="B7" s="12" t="s">
        <v>245</v>
      </c>
      <c r="C7" s="13">
        <v>50</v>
      </c>
      <c r="D7" s="14">
        <v>62.5</v>
      </c>
      <c r="E7" s="15">
        <v>420</v>
      </c>
      <c r="F7" s="13">
        <v>67</v>
      </c>
      <c r="G7" s="14">
        <v>83.75</v>
      </c>
      <c r="H7" s="15">
        <v>10</v>
      </c>
      <c r="I7" s="13">
        <v>48</v>
      </c>
      <c r="J7" s="14">
        <v>71.64</v>
      </c>
      <c r="K7" s="15">
        <v>161</v>
      </c>
      <c r="L7" s="16">
        <v>410</v>
      </c>
    </row>
    <row r="8" ht="15.75" spans="1:12">
      <c r="A8" s="11" t="s">
        <v>3237</v>
      </c>
      <c r="B8" s="12" t="s">
        <v>613</v>
      </c>
      <c r="C8" s="13">
        <v>64</v>
      </c>
      <c r="D8" s="14">
        <v>80</v>
      </c>
      <c r="E8" s="15">
        <v>17</v>
      </c>
      <c r="F8" s="13">
        <v>64</v>
      </c>
      <c r="G8" s="14">
        <v>80</v>
      </c>
      <c r="H8" s="15">
        <v>13</v>
      </c>
      <c r="I8" s="13">
        <v>51</v>
      </c>
      <c r="J8" s="14">
        <v>76.12</v>
      </c>
      <c r="K8" s="15">
        <v>112</v>
      </c>
      <c r="L8" s="16">
        <v>99</v>
      </c>
    </row>
    <row r="9" ht="15.75" spans="1:12">
      <c r="A9" s="11" t="s">
        <v>3240</v>
      </c>
      <c r="B9" s="12" t="s">
        <v>613</v>
      </c>
      <c r="C9" s="13">
        <v>60</v>
      </c>
      <c r="D9" s="14">
        <v>75</v>
      </c>
      <c r="E9" s="15">
        <v>32</v>
      </c>
      <c r="F9" s="13">
        <v>64</v>
      </c>
      <c r="G9" s="14">
        <v>80</v>
      </c>
      <c r="H9" s="15">
        <v>14</v>
      </c>
      <c r="I9" s="13">
        <v>53</v>
      </c>
      <c r="J9" s="14">
        <v>79.1</v>
      </c>
      <c r="K9" s="15">
        <v>95</v>
      </c>
      <c r="L9" s="16">
        <v>81</v>
      </c>
    </row>
    <row r="10" ht="15.75" spans="1:12">
      <c r="A10" s="11" t="s">
        <v>3230</v>
      </c>
      <c r="B10" s="12" t="s">
        <v>613</v>
      </c>
      <c r="C10" s="13">
        <v>63</v>
      </c>
      <c r="D10" s="14">
        <v>78.75</v>
      </c>
      <c r="E10" s="15">
        <v>18</v>
      </c>
      <c r="F10" s="13">
        <v>63</v>
      </c>
      <c r="G10" s="14">
        <v>78.75</v>
      </c>
      <c r="H10" s="15">
        <v>16</v>
      </c>
      <c r="I10" s="13">
        <v>56</v>
      </c>
      <c r="J10" s="14">
        <v>83.58</v>
      </c>
      <c r="K10" s="15">
        <v>10</v>
      </c>
      <c r="L10" s="16">
        <v>8</v>
      </c>
    </row>
    <row r="11" ht="15.75" spans="1:12">
      <c r="A11" s="11" t="s">
        <v>3249</v>
      </c>
      <c r="B11" s="12" t="s">
        <v>245</v>
      </c>
      <c r="C11" s="13">
        <v>43</v>
      </c>
      <c r="D11" s="14">
        <v>53.75</v>
      </c>
      <c r="E11" s="15">
        <v>993</v>
      </c>
      <c r="F11" s="13">
        <v>62</v>
      </c>
      <c r="G11" s="14">
        <v>77.5</v>
      </c>
      <c r="H11" s="15">
        <v>18</v>
      </c>
      <c r="I11" s="13">
        <v>41</v>
      </c>
      <c r="J11" s="14">
        <v>61.19</v>
      </c>
      <c r="K11" s="15">
        <v>381</v>
      </c>
      <c r="L11" s="16">
        <v>975</v>
      </c>
    </row>
    <row r="12" ht="15.75" spans="1:12">
      <c r="A12" s="11" t="s">
        <v>3252</v>
      </c>
      <c r="B12" s="12" t="s">
        <v>613</v>
      </c>
      <c r="C12" s="13">
        <v>62</v>
      </c>
      <c r="D12" s="14">
        <v>77.5</v>
      </c>
      <c r="E12" s="15">
        <v>23</v>
      </c>
      <c r="F12" s="13">
        <v>62</v>
      </c>
      <c r="G12" s="14">
        <v>77.5</v>
      </c>
      <c r="H12" s="15">
        <v>19</v>
      </c>
      <c r="I12" s="13">
        <v>49</v>
      </c>
      <c r="J12" s="14">
        <v>73.13</v>
      </c>
      <c r="K12" s="15">
        <v>137</v>
      </c>
      <c r="L12" s="16">
        <v>118</v>
      </c>
    </row>
    <row r="13" ht="15.75" spans="1:12">
      <c r="A13" s="11" t="s">
        <v>3263</v>
      </c>
      <c r="B13" s="12" t="s">
        <v>245</v>
      </c>
      <c r="C13" s="13">
        <v>45</v>
      </c>
      <c r="D13" s="14">
        <v>56.25</v>
      </c>
      <c r="E13" s="15">
        <v>689</v>
      </c>
      <c r="F13" s="13">
        <v>61</v>
      </c>
      <c r="G13" s="14">
        <v>76.25</v>
      </c>
      <c r="H13" s="15">
        <v>24</v>
      </c>
      <c r="I13" s="13">
        <v>42</v>
      </c>
      <c r="J13" s="14">
        <v>62.69</v>
      </c>
      <c r="K13" s="15">
        <v>362</v>
      </c>
      <c r="L13" s="16">
        <v>665</v>
      </c>
    </row>
    <row r="14" ht="15.75" spans="1:12">
      <c r="A14" s="11" t="s">
        <v>3266</v>
      </c>
      <c r="B14" s="12" t="s">
        <v>613</v>
      </c>
      <c r="C14" s="13">
        <v>60</v>
      </c>
      <c r="D14" s="14">
        <v>75</v>
      </c>
      <c r="E14" s="15">
        <v>26</v>
      </c>
      <c r="F14" s="13">
        <v>60</v>
      </c>
      <c r="G14" s="14">
        <v>75</v>
      </c>
      <c r="H14" s="15">
        <v>25</v>
      </c>
      <c r="I14" s="13">
        <v>53</v>
      </c>
      <c r="J14" s="14">
        <v>79.1</v>
      </c>
      <c r="K14" s="15">
        <v>89</v>
      </c>
      <c r="L14" s="16">
        <v>64</v>
      </c>
    </row>
    <row r="15" ht="15.75" spans="1:12">
      <c r="A15" s="11" t="s">
        <v>3271</v>
      </c>
      <c r="B15" s="12" t="s">
        <v>613</v>
      </c>
      <c r="C15" s="13">
        <v>60</v>
      </c>
      <c r="D15" s="14">
        <v>75</v>
      </c>
      <c r="E15" s="15">
        <v>28</v>
      </c>
      <c r="F15" s="13">
        <v>60</v>
      </c>
      <c r="G15" s="14">
        <v>75</v>
      </c>
      <c r="H15" s="15">
        <v>27</v>
      </c>
      <c r="I15" s="13">
        <v>53</v>
      </c>
      <c r="J15" s="14">
        <v>79.1</v>
      </c>
      <c r="K15" s="15">
        <v>90</v>
      </c>
      <c r="L15" s="16">
        <v>63</v>
      </c>
    </row>
    <row r="16" ht="15.75" spans="1:12">
      <c r="A16" s="11" t="s">
        <v>3275</v>
      </c>
      <c r="B16" s="12" t="s">
        <v>613</v>
      </c>
      <c r="C16" s="13">
        <v>60</v>
      </c>
      <c r="D16" s="14">
        <v>75</v>
      </c>
      <c r="E16" s="15">
        <v>29</v>
      </c>
      <c r="F16" s="13">
        <v>60</v>
      </c>
      <c r="G16" s="14">
        <v>75</v>
      </c>
      <c r="H16" s="15">
        <v>34</v>
      </c>
      <c r="I16" s="13">
        <v>53</v>
      </c>
      <c r="J16" s="14">
        <v>79.1</v>
      </c>
      <c r="K16" s="15">
        <v>92</v>
      </c>
      <c r="L16" s="16">
        <v>63</v>
      </c>
    </row>
    <row r="17" ht="15.75" spans="1:12">
      <c r="A17" s="11" t="s">
        <v>3278</v>
      </c>
      <c r="B17" s="12" t="s">
        <v>613</v>
      </c>
      <c r="C17" s="13">
        <v>60</v>
      </c>
      <c r="D17" s="14">
        <v>75</v>
      </c>
      <c r="E17" s="15">
        <v>30</v>
      </c>
      <c r="F17" s="13">
        <v>60</v>
      </c>
      <c r="G17" s="14">
        <v>75</v>
      </c>
      <c r="H17" s="15">
        <v>49</v>
      </c>
      <c r="I17" s="13">
        <v>53</v>
      </c>
      <c r="J17" s="14">
        <v>79.1</v>
      </c>
      <c r="K17" s="15">
        <v>93</v>
      </c>
      <c r="L17" s="16">
        <v>63</v>
      </c>
    </row>
    <row r="18" ht="15.75" spans="1:12">
      <c r="A18" s="11" t="s">
        <v>3281</v>
      </c>
      <c r="B18" s="12" t="s">
        <v>613</v>
      </c>
      <c r="C18" s="13">
        <v>60</v>
      </c>
      <c r="D18" s="14">
        <v>75</v>
      </c>
      <c r="E18" s="15">
        <v>31</v>
      </c>
      <c r="F18" s="13">
        <v>60</v>
      </c>
      <c r="G18" s="14">
        <v>75</v>
      </c>
      <c r="H18" s="15">
        <v>62</v>
      </c>
      <c r="I18" s="13">
        <v>53</v>
      </c>
      <c r="J18" s="14">
        <v>79.1</v>
      </c>
      <c r="K18" s="15">
        <v>94</v>
      </c>
      <c r="L18" s="16">
        <v>63</v>
      </c>
    </row>
    <row r="19" ht="15.75" spans="1:12">
      <c r="A19" s="11" t="s">
        <v>3286</v>
      </c>
      <c r="B19" s="12" t="s">
        <v>613</v>
      </c>
      <c r="C19" s="13">
        <v>60</v>
      </c>
      <c r="D19" s="14">
        <v>75</v>
      </c>
      <c r="E19" s="15">
        <v>33</v>
      </c>
      <c r="F19" s="13">
        <v>60</v>
      </c>
      <c r="G19" s="14">
        <v>75</v>
      </c>
      <c r="H19" s="15">
        <v>70</v>
      </c>
      <c r="I19" s="13">
        <v>53</v>
      </c>
      <c r="J19" s="14">
        <v>79.1</v>
      </c>
      <c r="K19" s="15">
        <v>96</v>
      </c>
      <c r="L19" s="16">
        <v>63</v>
      </c>
    </row>
    <row r="20" ht="15.75" spans="1:12">
      <c r="A20" s="11" t="s">
        <v>3289</v>
      </c>
      <c r="B20" s="12" t="s">
        <v>613</v>
      </c>
      <c r="C20" s="13">
        <v>60</v>
      </c>
      <c r="D20" s="14">
        <v>75</v>
      </c>
      <c r="E20" s="15">
        <v>34</v>
      </c>
      <c r="F20" s="13">
        <v>60</v>
      </c>
      <c r="G20" s="14">
        <v>75</v>
      </c>
      <c r="H20" s="15">
        <v>73</v>
      </c>
      <c r="I20" s="13">
        <v>53</v>
      </c>
      <c r="J20" s="14">
        <v>79.1</v>
      </c>
      <c r="K20" s="15">
        <v>97</v>
      </c>
      <c r="L20" s="16">
        <v>63</v>
      </c>
    </row>
    <row r="21" ht="15.75" spans="1:12">
      <c r="A21" s="11" t="s">
        <v>3291</v>
      </c>
      <c r="B21" s="12" t="s">
        <v>613</v>
      </c>
      <c r="C21" s="13">
        <v>60</v>
      </c>
      <c r="D21" s="14">
        <v>75</v>
      </c>
      <c r="E21" s="15">
        <v>35</v>
      </c>
      <c r="F21" s="13">
        <v>60</v>
      </c>
      <c r="G21" s="14">
        <v>75</v>
      </c>
      <c r="H21" s="15">
        <v>74</v>
      </c>
      <c r="I21" s="13">
        <v>53</v>
      </c>
      <c r="J21" s="14">
        <v>79.1</v>
      </c>
      <c r="K21" s="15">
        <v>98</v>
      </c>
      <c r="L21" s="16">
        <v>63</v>
      </c>
    </row>
    <row r="22" ht="15.75" spans="1:12">
      <c r="A22" s="11" t="s">
        <v>3449</v>
      </c>
      <c r="B22" s="12" t="s">
        <v>245</v>
      </c>
      <c r="C22" s="13">
        <v>42</v>
      </c>
      <c r="D22" s="14">
        <v>52.5</v>
      </c>
      <c r="E22" s="15">
        <v>1024</v>
      </c>
      <c r="F22" s="13">
        <v>59</v>
      </c>
      <c r="G22" s="14">
        <v>73.75</v>
      </c>
      <c r="H22" s="15">
        <v>91</v>
      </c>
      <c r="I22" s="13">
        <v>40</v>
      </c>
      <c r="J22" s="14">
        <v>59.7</v>
      </c>
      <c r="K22" s="15">
        <v>404</v>
      </c>
      <c r="L22" s="16">
        <v>933</v>
      </c>
    </row>
    <row r="23" ht="15.75" spans="1:12">
      <c r="A23" s="11" t="s">
        <v>3312</v>
      </c>
      <c r="B23" s="12" t="s">
        <v>613</v>
      </c>
      <c r="C23" s="13">
        <v>59</v>
      </c>
      <c r="D23" s="14">
        <v>73.75</v>
      </c>
      <c r="E23" s="15">
        <v>42</v>
      </c>
      <c r="F23" s="13">
        <v>59</v>
      </c>
      <c r="G23" s="14">
        <v>73.75</v>
      </c>
      <c r="H23" s="15">
        <v>92</v>
      </c>
      <c r="I23" s="13">
        <v>52</v>
      </c>
      <c r="J23" s="14">
        <v>77.61</v>
      </c>
      <c r="K23" s="15">
        <v>101</v>
      </c>
      <c r="L23" s="16">
        <v>59</v>
      </c>
    </row>
    <row r="24" ht="15.75" spans="1:12">
      <c r="A24" s="11" t="s">
        <v>3454</v>
      </c>
      <c r="B24" s="12" t="s">
        <v>245</v>
      </c>
      <c r="C24" s="13">
        <v>42</v>
      </c>
      <c r="D24" s="14">
        <v>52.5</v>
      </c>
      <c r="E24" s="15">
        <v>1045</v>
      </c>
      <c r="F24" s="13">
        <v>59</v>
      </c>
      <c r="G24" s="14">
        <v>73.75</v>
      </c>
      <c r="H24" s="15">
        <v>94</v>
      </c>
      <c r="I24" s="13">
        <v>40</v>
      </c>
      <c r="J24" s="14">
        <v>59.7</v>
      </c>
      <c r="K24" s="15">
        <v>429</v>
      </c>
      <c r="L24" s="16">
        <v>951</v>
      </c>
    </row>
    <row r="25" ht="15.75" spans="1:12">
      <c r="A25" s="11" t="s">
        <v>3336</v>
      </c>
      <c r="B25" s="12" t="s">
        <v>666</v>
      </c>
      <c r="C25" s="13">
        <v>59</v>
      </c>
      <c r="D25" s="14">
        <v>73.75</v>
      </c>
      <c r="E25" s="15">
        <v>51</v>
      </c>
      <c r="F25" s="13">
        <v>59</v>
      </c>
      <c r="G25" s="14">
        <v>73.75</v>
      </c>
      <c r="H25" s="15">
        <v>96</v>
      </c>
      <c r="I25" s="13">
        <v>48</v>
      </c>
      <c r="J25" s="14">
        <v>71.64</v>
      </c>
      <c r="K25" s="15">
        <v>170</v>
      </c>
      <c r="L25" s="16">
        <v>119</v>
      </c>
    </row>
    <row r="26" ht="15.75" spans="1:12">
      <c r="A26" s="11" t="s">
        <v>3415</v>
      </c>
      <c r="B26" s="12" t="s">
        <v>613</v>
      </c>
      <c r="C26" s="13">
        <v>58</v>
      </c>
      <c r="D26" s="14">
        <v>72.5</v>
      </c>
      <c r="E26" s="15">
        <v>79</v>
      </c>
      <c r="F26" s="13">
        <v>58</v>
      </c>
      <c r="G26" s="14">
        <v>72.5</v>
      </c>
      <c r="H26" s="15">
        <v>122</v>
      </c>
      <c r="I26" s="13">
        <v>51</v>
      </c>
      <c r="J26" s="14">
        <v>76.12</v>
      </c>
      <c r="K26" s="15">
        <v>114</v>
      </c>
      <c r="L26" s="16">
        <v>43</v>
      </c>
    </row>
    <row r="27" ht="15.75" spans="1:12">
      <c r="A27" s="11" t="s">
        <v>3418</v>
      </c>
      <c r="B27" s="12" t="s">
        <v>613</v>
      </c>
      <c r="C27" s="13">
        <v>58</v>
      </c>
      <c r="D27" s="14">
        <v>72.5</v>
      </c>
      <c r="E27" s="15">
        <v>80</v>
      </c>
      <c r="F27" s="13">
        <v>58</v>
      </c>
      <c r="G27" s="14">
        <v>72.5</v>
      </c>
      <c r="H27" s="15">
        <v>123</v>
      </c>
      <c r="I27" s="13">
        <v>51</v>
      </c>
      <c r="J27" s="14">
        <v>76.12</v>
      </c>
      <c r="K27" s="15">
        <v>115</v>
      </c>
      <c r="L27" s="16">
        <v>43</v>
      </c>
    </row>
    <row r="28" ht="15.75" spans="1:12">
      <c r="A28" s="11" t="s">
        <v>3626</v>
      </c>
      <c r="B28" s="12" t="s">
        <v>245</v>
      </c>
      <c r="C28" s="13">
        <v>41</v>
      </c>
      <c r="D28" s="14">
        <v>51.25</v>
      </c>
      <c r="E28" s="15">
        <v>1069</v>
      </c>
      <c r="F28" s="13">
        <v>58</v>
      </c>
      <c r="G28" s="14">
        <v>72.5</v>
      </c>
      <c r="H28" s="15">
        <v>168</v>
      </c>
      <c r="I28" s="13">
        <v>33</v>
      </c>
      <c r="J28" s="14">
        <v>49.25</v>
      </c>
      <c r="K28" s="15">
        <v>585</v>
      </c>
      <c r="L28" s="16">
        <v>901</v>
      </c>
    </row>
    <row r="29" ht="15.75" spans="1:12">
      <c r="A29" s="11" t="s">
        <v>3518</v>
      </c>
      <c r="B29" s="12" t="s">
        <v>666</v>
      </c>
      <c r="C29" s="13">
        <v>55</v>
      </c>
      <c r="D29" s="14">
        <v>68.75</v>
      </c>
      <c r="E29" s="15">
        <v>142</v>
      </c>
      <c r="F29" s="13">
        <v>57</v>
      </c>
      <c r="G29" s="14">
        <v>71.25</v>
      </c>
      <c r="H29" s="15">
        <v>171</v>
      </c>
      <c r="I29" s="13">
        <v>50</v>
      </c>
      <c r="J29" s="14">
        <v>74.63</v>
      </c>
      <c r="K29" s="15">
        <v>121</v>
      </c>
      <c r="L29" s="16">
        <v>50</v>
      </c>
    </row>
    <row r="30" ht="15.75" spans="1:12">
      <c r="A30" s="11" t="s">
        <v>3586</v>
      </c>
      <c r="B30" s="12" t="s">
        <v>613</v>
      </c>
      <c r="C30" s="13">
        <v>54</v>
      </c>
      <c r="D30" s="14">
        <v>67.5</v>
      </c>
      <c r="E30" s="15">
        <v>151</v>
      </c>
      <c r="F30" s="13">
        <v>57</v>
      </c>
      <c r="G30" s="14">
        <v>71.25</v>
      </c>
      <c r="H30" s="15">
        <v>172</v>
      </c>
      <c r="I30" s="13">
        <v>47</v>
      </c>
      <c r="J30" s="14">
        <v>70.15</v>
      </c>
      <c r="K30" s="15">
        <v>184</v>
      </c>
      <c r="L30" s="16">
        <v>33</v>
      </c>
    </row>
    <row r="31" ht="15.75" spans="1:12">
      <c r="A31" s="11" t="s">
        <v>3532</v>
      </c>
      <c r="B31" s="12" t="s">
        <v>613</v>
      </c>
      <c r="C31" s="13">
        <v>57</v>
      </c>
      <c r="D31" s="14">
        <v>71.25</v>
      </c>
      <c r="E31" s="15">
        <v>135</v>
      </c>
      <c r="F31" s="13">
        <v>57</v>
      </c>
      <c r="G31" s="14">
        <v>71.25</v>
      </c>
      <c r="H31" s="15">
        <v>175</v>
      </c>
      <c r="I31" s="13">
        <v>50</v>
      </c>
      <c r="J31" s="14">
        <v>74.63</v>
      </c>
      <c r="K31" s="15">
        <v>127</v>
      </c>
      <c r="L31" s="16">
        <v>48</v>
      </c>
    </row>
    <row r="32" ht="15.75" spans="1:12">
      <c r="A32" s="11" t="s">
        <v>3535</v>
      </c>
      <c r="B32" s="12" t="s">
        <v>613</v>
      </c>
      <c r="C32" s="13">
        <v>57</v>
      </c>
      <c r="D32" s="14">
        <v>71.25</v>
      </c>
      <c r="E32" s="15">
        <v>136</v>
      </c>
      <c r="F32" s="13">
        <v>57</v>
      </c>
      <c r="G32" s="14">
        <v>71.25</v>
      </c>
      <c r="H32" s="15">
        <v>177</v>
      </c>
      <c r="I32" s="13">
        <v>50</v>
      </c>
      <c r="J32" s="14">
        <v>74.63</v>
      </c>
      <c r="K32" s="15">
        <v>128</v>
      </c>
      <c r="L32" s="16">
        <v>49</v>
      </c>
    </row>
    <row r="33" ht="15.75" spans="1:12">
      <c r="A33" s="11" t="s">
        <v>3579</v>
      </c>
      <c r="B33" s="12" t="s">
        <v>1867</v>
      </c>
      <c r="C33" s="13">
        <v>55</v>
      </c>
      <c r="D33" s="14">
        <v>68.75</v>
      </c>
      <c r="E33" s="15">
        <v>148</v>
      </c>
      <c r="F33" s="13">
        <v>57</v>
      </c>
      <c r="G33" s="14">
        <v>71.25</v>
      </c>
      <c r="H33" s="15">
        <v>178</v>
      </c>
      <c r="I33" s="13">
        <v>48</v>
      </c>
      <c r="J33" s="14">
        <v>71.64</v>
      </c>
      <c r="K33" s="15">
        <v>173</v>
      </c>
      <c r="L33" s="16">
        <v>30</v>
      </c>
    </row>
    <row r="34" ht="15.75" spans="1:12">
      <c r="A34" s="11" t="s">
        <v>3538</v>
      </c>
      <c r="B34" s="12" t="s">
        <v>613</v>
      </c>
      <c r="C34" s="13">
        <v>57</v>
      </c>
      <c r="D34" s="14">
        <v>71.25</v>
      </c>
      <c r="E34" s="15">
        <v>137</v>
      </c>
      <c r="F34" s="13">
        <v>57</v>
      </c>
      <c r="G34" s="14">
        <v>71.25</v>
      </c>
      <c r="H34" s="15">
        <v>179</v>
      </c>
      <c r="I34" s="13">
        <v>50</v>
      </c>
      <c r="J34" s="14">
        <v>74.63</v>
      </c>
      <c r="K34" s="15">
        <v>129</v>
      </c>
      <c r="L34" s="16">
        <v>50</v>
      </c>
    </row>
    <row r="35" ht="15.75" spans="1:12">
      <c r="A35" s="11" t="s">
        <v>3549</v>
      </c>
      <c r="B35" s="12" t="s">
        <v>613</v>
      </c>
      <c r="C35" s="13">
        <v>56</v>
      </c>
      <c r="D35" s="14">
        <v>70</v>
      </c>
      <c r="E35" s="15">
        <v>138</v>
      </c>
      <c r="F35" s="13">
        <v>56</v>
      </c>
      <c r="G35" s="14">
        <v>70</v>
      </c>
      <c r="H35" s="15">
        <v>180</v>
      </c>
      <c r="I35" s="13">
        <v>49</v>
      </c>
      <c r="J35" s="14">
        <v>73.13</v>
      </c>
      <c r="K35" s="15">
        <v>133</v>
      </c>
      <c r="L35" s="16">
        <v>47</v>
      </c>
    </row>
    <row r="36" ht="15.75" spans="1:12">
      <c r="A36" s="11" t="s">
        <v>3552</v>
      </c>
      <c r="B36" s="12" t="s">
        <v>613</v>
      </c>
      <c r="C36" s="13">
        <v>56</v>
      </c>
      <c r="D36" s="14">
        <v>70</v>
      </c>
      <c r="E36" s="15">
        <v>139</v>
      </c>
      <c r="F36" s="13">
        <v>56</v>
      </c>
      <c r="G36" s="14">
        <v>70</v>
      </c>
      <c r="H36" s="15">
        <v>181</v>
      </c>
      <c r="I36" s="13">
        <v>49</v>
      </c>
      <c r="J36" s="14">
        <v>73.13</v>
      </c>
      <c r="K36" s="15">
        <v>134</v>
      </c>
      <c r="L36" s="16">
        <v>47</v>
      </c>
    </row>
    <row r="37" ht="15.75" spans="1:12">
      <c r="A37" s="11" t="s">
        <v>3554</v>
      </c>
      <c r="B37" s="12" t="s">
        <v>613</v>
      </c>
      <c r="C37" s="13">
        <v>56</v>
      </c>
      <c r="D37" s="14">
        <v>70</v>
      </c>
      <c r="E37" s="15">
        <v>140</v>
      </c>
      <c r="F37" s="13">
        <v>56</v>
      </c>
      <c r="G37" s="14">
        <v>70</v>
      </c>
      <c r="H37" s="15">
        <v>182</v>
      </c>
      <c r="I37" s="13">
        <v>49</v>
      </c>
      <c r="J37" s="14">
        <v>73.13</v>
      </c>
      <c r="K37" s="15">
        <v>135</v>
      </c>
      <c r="L37" s="16">
        <v>47</v>
      </c>
    </row>
    <row r="38" ht="15.75" spans="1:12">
      <c r="A38" s="11" t="s">
        <v>3656</v>
      </c>
      <c r="B38" s="12" t="s">
        <v>245</v>
      </c>
      <c r="C38" s="13">
        <v>40</v>
      </c>
      <c r="D38" s="14">
        <v>50</v>
      </c>
      <c r="E38" s="15">
        <v>1075</v>
      </c>
      <c r="F38" s="13">
        <v>56</v>
      </c>
      <c r="G38" s="14">
        <v>70</v>
      </c>
      <c r="H38" s="15">
        <v>186</v>
      </c>
      <c r="I38" s="13">
        <v>37</v>
      </c>
      <c r="J38" s="14">
        <v>55.22</v>
      </c>
      <c r="K38" s="15">
        <v>493</v>
      </c>
      <c r="L38" s="16">
        <v>889</v>
      </c>
    </row>
    <row r="39" ht="15.75" spans="1:12">
      <c r="A39" s="11" t="s">
        <v>3644</v>
      </c>
      <c r="B39" s="12" t="s">
        <v>613</v>
      </c>
      <c r="C39" s="13">
        <v>52</v>
      </c>
      <c r="D39" s="14">
        <v>65</v>
      </c>
      <c r="E39" s="15">
        <v>179</v>
      </c>
      <c r="F39" s="13">
        <v>56</v>
      </c>
      <c r="G39" s="14">
        <v>70</v>
      </c>
      <c r="H39" s="15">
        <v>187</v>
      </c>
      <c r="I39" s="13">
        <v>45</v>
      </c>
      <c r="J39" s="14">
        <v>67.16</v>
      </c>
      <c r="K39" s="15">
        <v>252</v>
      </c>
      <c r="L39" s="16">
        <v>73</v>
      </c>
    </row>
    <row r="40" ht="15.75" spans="1:12">
      <c r="A40" s="11" t="s">
        <v>3564</v>
      </c>
      <c r="B40" s="12" t="s">
        <v>613</v>
      </c>
      <c r="C40" s="13">
        <v>55</v>
      </c>
      <c r="D40" s="14">
        <v>68.75</v>
      </c>
      <c r="E40" s="15">
        <v>141</v>
      </c>
      <c r="F40" s="13">
        <v>55</v>
      </c>
      <c r="G40" s="14">
        <v>68.75</v>
      </c>
      <c r="H40" s="15">
        <v>199</v>
      </c>
      <c r="I40" s="13">
        <v>48</v>
      </c>
      <c r="J40" s="14">
        <v>71.64</v>
      </c>
      <c r="K40" s="15">
        <v>150</v>
      </c>
      <c r="L40" s="16">
        <v>58</v>
      </c>
    </row>
    <row r="41" ht="15.75" spans="1:12">
      <c r="A41" s="11" t="s">
        <v>3588</v>
      </c>
      <c r="B41" s="12" t="s">
        <v>579</v>
      </c>
      <c r="C41" s="13">
        <v>53</v>
      </c>
      <c r="D41" s="14">
        <v>66.25</v>
      </c>
      <c r="E41" s="15">
        <v>155</v>
      </c>
      <c r="F41" s="13">
        <v>55</v>
      </c>
      <c r="G41" s="14">
        <v>68.75</v>
      </c>
      <c r="H41" s="15">
        <v>202</v>
      </c>
      <c r="I41" s="13">
        <v>48</v>
      </c>
      <c r="J41" s="14">
        <v>71.64</v>
      </c>
      <c r="K41" s="15">
        <v>151</v>
      </c>
      <c r="L41" s="16">
        <v>51</v>
      </c>
    </row>
    <row r="42" ht="15.75" spans="1:12">
      <c r="A42" s="11" t="s">
        <v>3592</v>
      </c>
      <c r="B42" s="12" t="s">
        <v>579</v>
      </c>
      <c r="C42" s="13">
        <v>53</v>
      </c>
      <c r="D42" s="14">
        <v>66.25</v>
      </c>
      <c r="E42" s="15">
        <v>156</v>
      </c>
      <c r="F42" s="13">
        <v>55</v>
      </c>
      <c r="G42" s="14">
        <v>68.75</v>
      </c>
      <c r="H42" s="15">
        <v>205</v>
      </c>
      <c r="I42" s="13">
        <v>48</v>
      </c>
      <c r="J42" s="14">
        <v>71.64</v>
      </c>
      <c r="K42" s="15">
        <v>153</v>
      </c>
      <c r="L42" s="16">
        <v>52</v>
      </c>
    </row>
    <row r="43" ht="15.75" spans="1:12">
      <c r="A43" s="11" t="s">
        <v>3261</v>
      </c>
      <c r="B43" s="12" t="s">
        <v>2360</v>
      </c>
      <c r="C43" s="13">
        <v>55</v>
      </c>
      <c r="D43" s="14">
        <v>68.75</v>
      </c>
      <c r="E43" s="15">
        <v>143</v>
      </c>
      <c r="F43" s="13">
        <v>55</v>
      </c>
      <c r="G43" s="14">
        <v>68.75</v>
      </c>
      <c r="H43" s="15">
        <v>207</v>
      </c>
      <c r="I43" s="13">
        <v>55</v>
      </c>
      <c r="J43" s="14">
        <v>82.09</v>
      </c>
      <c r="K43" s="15">
        <v>23</v>
      </c>
      <c r="L43" s="16">
        <v>184</v>
      </c>
    </row>
    <row r="44" ht="15.75" spans="1:12">
      <c r="A44" s="11" t="s">
        <v>3522</v>
      </c>
      <c r="B44" s="12" t="s">
        <v>666</v>
      </c>
      <c r="C44" s="13">
        <v>55</v>
      </c>
      <c r="D44" s="14">
        <v>68.75</v>
      </c>
      <c r="E44" s="15">
        <v>144</v>
      </c>
      <c r="F44" s="13">
        <v>55</v>
      </c>
      <c r="G44" s="14">
        <v>68.75</v>
      </c>
      <c r="H44" s="15">
        <v>211</v>
      </c>
      <c r="I44" s="13">
        <v>50</v>
      </c>
      <c r="J44" s="14">
        <v>74.63</v>
      </c>
      <c r="K44" s="15">
        <v>123</v>
      </c>
      <c r="L44" s="16">
        <v>88</v>
      </c>
    </row>
    <row r="45" ht="15.75" spans="1:12">
      <c r="A45" s="11" t="s">
        <v>3600</v>
      </c>
      <c r="B45" s="12" t="s">
        <v>579</v>
      </c>
      <c r="C45" s="13">
        <v>53</v>
      </c>
      <c r="D45" s="14">
        <v>66.25</v>
      </c>
      <c r="E45" s="15">
        <v>159</v>
      </c>
      <c r="F45" s="13">
        <v>55</v>
      </c>
      <c r="G45" s="14">
        <v>68.75</v>
      </c>
      <c r="H45" s="15">
        <v>221</v>
      </c>
      <c r="I45" s="13">
        <v>48</v>
      </c>
      <c r="J45" s="14">
        <v>71.64</v>
      </c>
      <c r="K45" s="15">
        <v>157</v>
      </c>
      <c r="L45" s="16">
        <v>64</v>
      </c>
    </row>
    <row r="46" ht="15.75" spans="1:12">
      <c r="A46" s="11" t="s">
        <v>3622</v>
      </c>
      <c r="B46" s="12" t="s">
        <v>579</v>
      </c>
      <c r="C46" s="13">
        <v>53</v>
      </c>
      <c r="D46" s="14">
        <v>66.25</v>
      </c>
      <c r="E46" s="15">
        <v>167</v>
      </c>
      <c r="F46" s="13">
        <v>55</v>
      </c>
      <c r="G46" s="14">
        <v>68.75</v>
      </c>
      <c r="H46" s="15">
        <v>256</v>
      </c>
      <c r="I46" s="13">
        <v>48</v>
      </c>
      <c r="J46" s="14">
        <v>71.64</v>
      </c>
      <c r="K46" s="15">
        <v>168</v>
      </c>
      <c r="L46" s="16">
        <v>89</v>
      </c>
    </row>
    <row r="47" ht="15.75" spans="1:12">
      <c r="A47" s="11" t="s">
        <v>3575</v>
      </c>
      <c r="B47" s="12" t="s">
        <v>613</v>
      </c>
      <c r="C47" s="13">
        <v>55</v>
      </c>
      <c r="D47" s="14">
        <v>68.75</v>
      </c>
      <c r="E47" s="15">
        <v>146</v>
      </c>
      <c r="F47" s="13">
        <v>55</v>
      </c>
      <c r="G47" s="14">
        <v>68.75</v>
      </c>
      <c r="H47" s="15">
        <v>258</v>
      </c>
      <c r="I47" s="13">
        <v>42</v>
      </c>
      <c r="J47" s="14">
        <v>62.69</v>
      </c>
      <c r="K47" s="15">
        <v>369</v>
      </c>
      <c r="L47" s="16">
        <v>223</v>
      </c>
    </row>
    <row r="48" ht="15.75" spans="1:12">
      <c r="A48" s="11" t="s">
        <v>3625</v>
      </c>
      <c r="B48" s="12" t="s">
        <v>579</v>
      </c>
      <c r="C48" s="13">
        <v>53</v>
      </c>
      <c r="D48" s="14">
        <v>66.25</v>
      </c>
      <c r="E48" s="15">
        <v>168</v>
      </c>
      <c r="F48" s="13">
        <v>55</v>
      </c>
      <c r="G48" s="14">
        <v>68.75</v>
      </c>
      <c r="H48" s="15">
        <v>263</v>
      </c>
      <c r="I48" s="13">
        <v>48</v>
      </c>
      <c r="J48" s="14">
        <v>71.64</v>
      </c>
      <c r="K48" s="15">
        <v>169</v>
      </c>
      <c r="L48" s="16">
        <v>95</v>
      </c>
    </row>
    <row r="49" ht="15.75" spans="1:12">
      <c r="A49" s="11" t="s">
        <v>3582</v>
      </c>
      <c r="B49" s="12" t="s">
        <v>613</v>
      </c>
      <c r="C49" s="13">
        <v>54</v>
      </c>
      <c r="D49" s="14">
        <v>67.5</v>
      </c>
      <c r="E49" s="15">
        <v>149</v>
      </c>
      <c r="F49" s="13">
        <v>54</v>
      </c>
      <c r="G49" s="14">
        <v>67.5</v>
      </c>
      <c r="H49" s="15">
        <v>279</v>
      </c>
      <c r="I49" s="13">
        <v>47</v>
      </c>
      <c r="J49" s="14">
        <v>70.15</v>
      </c>
      <c r="K49" s="15">
        <v>179</v>
      </c>
      <c r="L49" s="16">
        <v>130</v>
      </c>
    </row>
    <row r="50" ht="15.75" spans="1:12">
      <c r="A50" s="11" t="s">
        <v>3584</v>
      </c>
      <c r="B50" s="12" t="s">
        <v>613</v>
      </c>
      <c r="C50" s="13">
        <v>54</v>
      </c>
      <c r="D50" s="14">
        <v>67.5</v>
      </c>
      <c r="E50" s="15">
        <v>150</v>
      </c>
      <c r="F50" s="13">
        <v>54</v>
      </c>
      <c r="G50" s="14">
        <v>67.5</v>
      </c>
      <c r="H50" s="15">
        <v>280</v>
      </c>
      <c r="I50" s="13">
        <v>47</v>
      </c>
      <c r="J50" s="14">
        <v>70.15</v>
      </c>
      <c r="K50" s="15">
        <v>180</v>
      </c>
      <c r="L50" s="16">
        <v>130</v>
      </c>
    </row>
    <row r="51" ht="15.75" spans="1:12">
      <c r="A51" s="11" t="s">
        <v>3559</v>
      </c>
      <c r="B51" s="12" t="s">
        <v>666</v>
      </c>
      <c r="C51" s="13">
        <v>54</v>
      </c>
      <c r="D51" s="14">
        <v>67.5</v>
      </c>
      <c r="E51" s="15">
        <v>152</v>
      </c>
      <c r="F51" s="13">
        <v>54</v>
      </c>
      <c r="G51" s="14">
        <v>67.5</v>
      </c>
      <c r="H51" s="15">
        <v>289</v>
      </c>
      <c r="I51" s="13">
        <v>49</v>
      </c>
      <c r="J51" s="14">
        <v>73.13</v>
      </c>
      <c r="K51" s="15">
        <v>138</v>
      </c>
      <c r="L51" s="16">
        <v>151</v>
      </c>
    </row>
    <row r="52" ht="15.75" spans="1:12">
      <c r="A52" s="11" t="s">
        <v>3590</v>
      </c>
      <c r="B52" s="12" t="s">
        <v>613</v>
      </c>
      <c r="C52" s="13">
        <v>54</v>
      </c>
      <c r="D52" s="14">
        <v>67.5</v>
      </c>
      <c r="E52" s="15">
        <v>153</v>
      </c>
      <c r="F52" s="13">
        <v>54</v>
      </c>
      <c r="G52" s="14">
        <v>67.5</v>
      </c>
      <c r="H52" s="15">
        <v>300</v>
      </c>
      <c r="I52" s="13">
        <v>47</v>
      </c>
      <c r="J52" s="14">
        <v>70.15</v>
      </c>
      <c r="K52" s="15">
        <v>208</v>
      </c>
      <c r="L52" s="16">
        <v>147</v>
      </c>
    </row>
    <row r="53" ht="15.75" spans="1:12">
      <c r="A53" s="11" t="s">
        <v>3598</v>
      </c>
      <c r="B53" s="12" t="s">
        <v>613</v>
      </c>
      <c r="C53" s="13">
        <v>53</v>
      </c>
      <c r="D53" s="14">
        <v>66.25</v>
      </c>
      <c r="E53" s="15">
        <v>157</v>
      </c>
      <c r="F53" s="13">
        <v>53</v>
      </c>
      <c r="G53" s="14">
        <v>66.25</v>
      </c>
      <c r="H53" s="15">
        <v>306</v>
      </c>
      <c r="I53" s="13">
        <v>46</v>
      </c>
      <c r="J53" s="14">
        <v>68.66</v>
      </c>
      <c r="K53" s="15">
        <v>225</v>
      </c>
      <c r="L53" s="16">
        <v>149</v>
      </c>
    </row>
    <row r="54" ht="15.75" spans="1:12">
      <c r="A54" s="11" t="s">
        <v>3570</v>
      </c>
      <c r="B54" s="12" t="s">
        <v>666</v>
      </c>
      <c r="C54" s="13">
        <v>53</v>
      </c>
      <c r="D54" s="14">
        <v>66.25</v>
      </c>
      <c r="E54" s="15">
        <v>165</v>
      </c>
      <c r="F54" s="13">
        <v>53</v>
      </c>
      <c r="G54" s="14">
        <v>66.25</v>
      </c>
      <c r="H54" s="15">
        <v>307</v>
      </c>
      <c r="I54" s="13">
        <v>49</v>
      </c>
      <c r="J54" s="14">
        <v>73.13</v>
      </c>
      <c r="K54" s="15">
        <v>143</v>
      </c>
      <c r="L54" s="16">
        <v>164</v>
      </c>
    </row>
    <row r="55" ht="15.75" spans="1:12">
      <c r="A55" s="11" t="s">
        <v>2419</v>
      </c>
      <c r="B55" s="12" t="s">
        <v>613</v>
      </c>
      <c r="C55" s="13">
        <v>48</v>
      </c>
      <c r="D55" s="14">
        <v>60</v>
      </c>
      <c r="E55" s="15">
        <v>646</v>
      </c>
      <c r="F55" s="13">
        <v>53</v>
      </c>
      <c r="G55" s="14">
        <v>66.25</v>
      </c>
      <c r="H55" s="15">
        <v>309</v>
      </c>
      <c r="I55" s="13">
        <v>48</v>
      </c>
      <c r="J55" s="14">
        <v>71.64</v>
      </c>
      <c r="K55" s="15">
        <v>165</v>
      </c>
      <c r="L55" s="16">
        <v>481</v>
      </c>
    </row>
    <row r="56" ht="15.75" spans="1:12">
      <c r="A56" s="11" t="s">
        <v>3915</v>
      </c>
      <c r="B56" s="12" t="s">
        <v>245</v>
      </c>
      <c r="C56" s="13">
        <v>36</v>
      </c>
      <c r="D56" s="14">
        <v>45</v>
      </c>
      <c r="E56" s="15">
        <v>1170</v>
      </c>
      <c r="F56" s="13">
        <v>52</v>
      </c>
      <c r="G56" s="14">
        <v>65</v>
      </c>
      <c r="H56" s="15">
        <v>317</v>
      </c>
      <c r="I56" s="13">
        <v>33</v>
      </c>
      <c r="J56" s="14">
        <v>49.25</v>
      </c>
      <c r="K56" s="15">
        <v>573</v>
      </c>
      <c r="L56" s="16">
        <v>853</v>
      </c>
    </row>
    <row r="57" ht="15.75" spans="1:12">
      <c r="A57" s="11" t="s">
        <v>3642</v>
      </c>
      <c r="B57" s="12" t="s">
        <v>613</v>
      </c>
      <c r="C57" s="13">
        <v>52</v>
      </c>
      <c r="D57" s="14">
        <v>65</v>
      </c>
      <c r="E57" s="15">
        <v>178</v>
      </c>
      <c r="F57" s="13">
        <v>52</v>
      </c>
      <c r="G57" s="14">
        <v>65</v>
      </c>
      <c r="H57" s="15">
        <v>322</v>
      </c>
      <c r="I57" s="13">
        <v>45</v>
      </c>
      <c r="J57" s="14">
        <v>67.16</v>
      </c>
      <c r="K57" s="15">
        <v>251</v>
      </c>
      <c r="L57" s="16">
        <v>144</v>
      </c>
    </row>
    <row r="58" ht="15.75" spans="1:12">
      <c r="A58" s="11" t="s">
        <v>3648</v>
      </c>
      <c r="B58" s="12" t="s">
        <v>613</v>
      </c>
      <c r="C58" s="13">
        <v>52</v>
      </c>
      <c r="D58" s="14">
        <v>65</v>
      </c>
      <c r="E58" s="15">
        <v>182</v>
      </c>
      <c r="F58" s="13">
        <v>52</v>
      </c>
      <c r="G58" s="14">
        <v>65</v>
      </c>
      <c r="H58" s="15">
        <v>323</v>
      </c>
      <c r="I58" s="13">
        <v>45</v>
      </c>
      <c r="J58" s="14">
        <v>67.16</v>
      </c>
      <c r="K58" s="15">
        <v>256</v>
      </c>
      <c r="L58" s="16">
        <v>141</v>
      </c>
    </row>
    <row r="59" ht="15.75" spans="1:12">
      <c r="A59" s="11" t="s">
        <v>3652</v>
      </c>
      <c r="B59" s="12" t="s">
        <v>613</v>
      </c>
      <c r="C59" s="13">
        <v>52</v>
      </c>
      <c r="D59" s="14">
        <v>65</v>
      </c>
      <c r="E59" s="15">
        <v>184</v>
      </c>
      <c r="F59" s="13">
        <v>52</v>
      </c>
      <c r="G59" s="14">
        <v>65</v>
      </c>
      <c r="H59" s="15">
        <v>324</v>
      </c>
      <c r="I59" s="13">
        <v>45</v>
      </c>
      <c r="J59" s="14">
        <v>67.16</v>
      </c>
      <c r="K59" s="15">
        <v>258</v>
      </c>
      <c r="L59" s="16">
        <v>140</v>
      </c>
    </row>
    <row r="60" ht="15.75" spans="1:12">
      <c r="A60" s="11" t="s">
        <v>3653</v>
      </c>
      <c r="B60" s="12" t="s">
        <v>613</v>
      </c>
      <c r="C60" s="13">
        <v>52</v>
      </c>
      <c r="D60" s="14">
        <v>65</v>
      </c>
      <c r="E60" s="15">
        <v>185</v>
      </c>
      <c r="F60" s="13">
        <v>52</v>
      </c>
      <c r="G60" s="14">
        <v>65</v>
      </c>
      <c r="H60" s="15">
        <v>326</v>
      </c>
      <c r="I60" s="13">
        <v>45</v>
      </c>
      <c r="J60" s="14">
        <v>67.16</v>
      </c>
      <c r="K60" s="15">
        <v>260</v>
      </c>
      <c r="L60" s="16">
        <v>141</v>
      </c>
    </row>
    <row r="61" ht="15.75" spans="1:12">
      <c r="A61" s="11" t="s">
        <v>3658</v>
      </c>
      <c r="B61" s="12" t="s">
        <v>613</v>
      </c>
      <c r="C61" s="13">
        <v>51</v>
      </c>
      <c r="D61" s="14">
        <v>63.75</v>
      </c>
      <c r="E61" s="15">
        <v>187</v>
      </c>
      <c r="F61" s="13">
        <v>51</v>
      </c>
      <c r="G61" s="14">
        <v>63.75</v>
      </c>
      <c r="H61" s="15">
        <v>329</v>
      </c>
      <c r="I61" s="13">
        <v>44</v>
      </c>
      <c r="J61" s="14">
        <v>65.67</v>
      </c>
      <c r="K61" s="15">
        <v>266</v>
      </c>
      <c r="L61" s="16">
        <v>142</v>
      </c>
    </row>
    <row r="62" ht="15.75" spans="1:12">
      <c r="A62" s="11" t="s">
        <v>3660</v>
      </c>
      <c r="B62" s="12" t="s">
        <v>613</v>
      </c>
      <c r="C62" s="13">
        <v>51</v>
      </c>
      <c r="D62" s="14">
        <v>63.75</v>
      </c>
      <c r="E62" s="15">
        <v>188</v>
      </c>
      <c r="F62" s="13">
        <v>51</v>
      </c>
      <c r="G62" s="14">
        <v>63.75</v>
      </c>
      <c r="H62" s="15">
        <v>332</v>
      </c>
      <c r="I62" s="13">
        <v>44</v>
      </c>
      <c r="J62" s="14">
        <v>65.67</v>
      </c>
      <c r="K62" s="15">
        <v>268</v>
      </c>
      <c r="L62" s="16">
        <v>144</v>
      </c>
    </row>
    <row r="63" ht="15.75" spans="1:12">
      <c r="A63" s="11" t="s">
        <v>3664</v>
      </c>
      <c r="B63" s="12" t="s">
        <v>613</v>
      </c>
      <c r="C63" s="13">
        <v>51</v>
      </c>
      <c r="D63" s="14">
        <v>63.75</v>
      </c>
      <c r="E63" s="15">
        <v>190</v>
      </c>
      <c r="F63" s="13">
        <v>51</v>
      </c>
      <c r="G63" s="14">
        <v>63.75</v>
      </c>
      <c r="H63" s="15">
        <v>333</v>
      </c>
      <c r="I63" s="13">
        <v>44</v>
      </c>
      <c r="J63" s="14">
        <v>65.67</v>
      </c>
      <c r="K63" s="15">
        <v>270</v>
      </c>
      <c r="L63" s="16">
        <v>143</v>
      </c>
    </row>
    <row r="64" ht="15.75" spans="1:12">
      <c r="A64" s="11" t="s">
        <v>3668</v>
      </c>
      <c r="B64" s="12" t="s">
        <v>613</v>
      </c>
      <c r="C64" s="13">
        <v>51</v>
      </c>
      <c r="D64" s="14">
        <v>63.75</v>
      </c>
      <c r="E64" s="15">
        <v>192</v>
      </c>
      <c r="F64" s="13">
        <v>51</v>
      </c>
      <c r="G64" s="14">
        <v>63.75</v>
      </c>
      <c r="H64" s="15">
        <v>335</v>
      </c>
      <c r="I64" s="13">
        <v>38</v>
      </c>
      <c r="J64" s="14">
        <v>56.72</v>
      </c>
      <c r="K64" s="15">
        <v>465</v>
      </c>
      <c r="L64" s="16">
        <v>273</v>
      </c>
    </row>
    <row r="65" ht="15.75" spans="1:12">
      <c r="A65" s="11" t="s">
        <v>3672</v>
      </c>
      <c r="B65" s="12" t="s">
        <v>613</v>
      </c>
      <c r="C65" s="13">
        <v>51</v>
      </c>
      <c r="D65" s="14">
        <v>63.75</v>
      </c>
      <c r="E65" s="15">
        <v>194</v>
      </c>
      <c r="F65" s="13">
        <v>51</v>
      </c>
      <c r="G65" s="14">
        <v>63.75</v>
      </c>
      <c r="H65" s="15">
        <v>337</v>
      </c>
      <c r="I65" s="13">
        <v>44</v>
      </c>
      <c r="J65" s="14">
        <v>65.67</v>
      </c>
      <c r="K65" s="15">
        <v>275</v>
      </c>
      <c r="L65" s="16">
        <v>143</v>
      </c>
    </row>
    <row r="66" ht="15.75" spans="1:12">
      <c r="A66" s="11" t="s">
        <v>3971</v>
      </c>
      <c r="B66" s="12" t="s">
        <v>1867</v>
      </c>
      <c r="C66" s="13">
        <v>49</v>
      </c>
      <c r="D66" s="14">
        <v>61.25</v>
      </c>
      <c r="E66" s="15">
        <v>637</v>
      </c>
      <c r="F66" s="13">
        <v>51</v>
      </c>
      <c r="G66" s="14">
        <v>63.75</v>
      </c>
      <c r="H66" s="15">
        <v>343</v>
      </c>
      <c r="I66" s="13">
        <v>42</v>
      </c>
      <c r="J66" s="14">
        <v>62.69</v>
      </c>
      <c r="K66" s="15">
        <v>358</v>
      </c>
      <c r="L66" s="16">
        <v>294</v>
      </c>
    </row>
    <row r="67" ht="15.75" spans="1:12">
      <c r="A67" s="11" t="s">
        <v>3688</v>
      </c>
      <c r="B67" s="12" t="s">
        <v>613</v>
      </c>
      <c r="C67" s="13">
        <v>51</v>
      </c>
      <c r="D67" s="14">
        <v>63.75</v>
      </c>
      <c r="E67" s="15">
        <v>202</v>
      </c>
      <c r="F67" s="13">
        <v>51</v>
      </c>
      <c r="G67" s="14">
        <v>63.75</v>
      </c>
      <c r="H67" s="15">
        <v>344</v>
      </c>
      <c r="I67" s="13">
        <v>44</v>
      </c>
      <c r="J67" s="14">
        <v>65.67</v>
      </c>
      <c r="K67" s="15">
        <v>288</v>
      </c>
      <c r="L67" s="16">
        <v>142</v>
      </c>
    </row>
    <row r="68" ht="15.75" spans="1:12">
      <c r="A68" s="11" t="s">
        <v>3690</v>
      </c>
      <c r="B68" s="12" t="s">
        <v>613</v>
      </c>
      <c r="C68" s="13">
        <v>51</v>
      </c>
      <c r="D68" s="14">
        <v>63.75</v>
      </c>
      <c r="E68" s="15">
        <v>203</v>
      </c>
      <c r="F68" s="13">
        <v>51</v>
      </c>
      <c r="G68" s="14">
        <v>63.75</v>
      </c>
      <c r="H68" s="15">
        <v>345</v>
      </c>
      <c r="I68" s="13">
        <v>44</v>
      </c>
      <c r="J68" s="14">
        <v>65.67</v>
      </c>
      <c r="K68" s="15">
        <v>289</v>
      </c>
      <c r="L68" s="16">
        <v>142</v>
      </c>
    </row>
    <row r="69" ht="15.75" spans="1:12">
      <c r="A69" s="11" t="s">
        <v>3697</v>
      </c>
      <c r="B69" s="12" t="s">
        <v>613</v>
      </c>
      <c r="C69" s="13">
        <v>51</v>
      </c>
      <c r="D69" s="14">
        <v>63.75</v>
      </c>
      <c r="E69" s="15">
        <v>206</v>
      </c>
      <c r="F69" s="13">
        <v>51</v>
      </c>
      <c r="G69" s="14">
        <v>63.75</v>
      </c>
      <c r="H69" s="15">
        <v>347</v>
      </c>
      <c r="I69" s="13">
        <v>44</v>
      </c>
      <c r="J69" s="14">
        <v>65.67</v>
      </c>
      <c r="K69" s="15">
        <v>294</v>
      </c>
      <c r="L69" s="16">
        <v>141</v>
      </c>
    </row>
    <row r="70" ht="15.75" spans="1:12">
      <c r="A70" s="11" t="s">
        <v>3699</v>
      </c>
      <c r="B70" s="12" t="s">
        <v>613</v>
      </c>
      <c r="C70" s="13">
        <v>51</v>
      </c>
      <c r="D70" s="14">
        <v>63.75</v>
      </c>
      <c r="E70" s="15">
        <v>207</v>
      </c>
      <c r="F70" s="13">
        <v>51</v>
      </c>
      <c r="G70" s="14">
        <v>63.75</v>
      </c>
      <c r="H70" s="15">
        <v>348</v>
      </c>
      <c r="I70" s="13">
        <v>44</v>
      </c>
      <c r="J70" s="14">
        <v>65.67</v>
      </c>
      <c r="K70" s="15">
        <v>295</v>
      </c>
      <c r="L70" s="16">
        <v>141</v>
      </c>
    </row>
    <row r="71" ht="15.75" spans="1:12">
      <c r="A71" s="11" t="s">
        <v>3703</v>
      </c>
      <c r="B71" s="12" t="s">
        <v>613</v>
      </c>
      <c r="C71" s="13">
        <v>51</v>
      </c>
      <c r="D71" s="14">
        <v>63.75</v>
      </c>
      <c r="E71" s="15">
        <v>209</v>
      </c>
      <c r="F71" s="13">
        <v>51</v>
      </c>
      <c r="G71" s="14">
        <v>63.75</v>
      </c>
      <c r="H71" s="15">
        <v>350</v>
      </c>
      <c r="I71" s="13">
        <v>44</v>
      </c>
      <c r="J71" s="14">
        <v>65.67</v>
      </c>
      <c r="K71" s="15">
        <v>299</v>
      </c>
      <c r="L71" s="16">
        <v>141</v>
      </c>
    </row>
    <row r="72" ht="15.75" spans="1:12">
      <c r="A72" s="11" t="s">
        <v>3705</v>
      </c>
      <c r="B72" s="12" t="s">
        <v>613</v>
      </c>
      <c r="C72" s="13">
        <v>51</v>
      </c>
      <c r="D72" s="14">
        <v>63.75</v>
      </c>
      <c r="E72" s="15">
        <v>210</v>
      </c>
      <c r="F72" s="13">
        <v>51</v>
      </c>
      <c r="G72" s="14">
        <v>63.75</v>
      </c>
      <c r="H72" s="15">
        <v>351</v>
      </c>
      <c r="I72" s="13">
        <v>44</v>
      </c>
      <c r="J72" s="14">
        <v>65.67</v>
      </c>
      <c r="K72" s="15">
        <v>300</v>
      </c>
      <c r="L72" s="16">
        <v>141</v>
      </c>
    </row>
    <row r="73" ht="15.75" spans="1:12">
      <c r="A73" s="11" t="s">
        <v>3990</v>
      </c>
      <c r="B73" s="12" t="s">
        <v>245</v>
      </c>
      <c r="C73" s="13">
        <v>34</v>
      </c>
      <c r="D73" s="14">
        <v>42.5</v>
      </c>
      <c r="E73" s="15">
        <v>1215</v>
      </c>
      <c r="F73" s="13">
        <v>51</v>
      </c>
      <c r="G73" s="14">
        <v>63.75</v>
      </c>
      <c r="H73" s="15">
        <v>352</v>
      </c>
      <c r="I73" s="13">
        <v>32</v>
      </c>
      <c r="J73" s="14">
        <v>47.76</v>
      </c>
      <c r="K73" s="15">
        <v>603</v>
      </c>
      <c r="L73" s="16">
        <v>863</v>
      </c>
    </row>
    <row r="74" ht="15.75" spans="1:12">
      <c r="A74" s="11" t="s">
        <v>3212</v>
      </c>
      <c r="B74" s="12" t="s">
        <v>244</v>
      </c>
      <c r="C74" s="13">
        <v>67</v>
      </c>
      <c r="D74" s="14">
        <v>83.75</v>
      </c>
      <c r="E74" s="15">
        <v>4</v>
      </c>
      <c r="F74" s="13">
        <v>50</v>
      </c>
      <c r="G74" s="14">
        <v>62.5</v>
      </c>
      <c r="H74" s="15">
        <v>358</v>
      </c>
      <c r="I74" s="13">
        <v>48</v>
      </c>
      <c r="J74" s="14">
        <v>71.64</v>
      </c>
      <c r="K74" s="15">
        <v>146</v>
      </c>
      <c r="L74" s="16">
        <v>354</v>
      </c>
    </row>
    <row r="75" ht="15.75" spans="1:12">
      <c r="A75" s="11" t="s">
        <v>3215</v>
      </c>
      <c r="B75" s="12" t="s">
        <v>244</v>
      </c>
      <c r="C75" s="13">
        <v>67</v>
      </c>
      <c r="D75" s="14">
        <v>83.75</v>
      </c>
      <c r="E75" s="15">
        <v>5</v>
      </c>
      <c r="F75" s="13">
        <v>50</v>
      </c>
      <c r="G75" s="14">
        <v>62.5</v>
      </c>
      <c r="H75" s="15">
        <v>519</v>
      </c>
      <c r="I75" s="13">
        <v>48</v>
      </c>
      <c r="J75" s="14">
        <v>71.64</v>
      </c>
      <c r="K75" s="15">
        <v>149</v>
      </c>
      <c r="L75" s="16">
        <v>514</v>
      </c>
    </row>
    <row r="76" ht="15.75" spans="1:12">
      <c r="A76" s="11" t="s">
        <v>3221</v>
      </c>
      <c r="B76" s="12" t="s">
        <v>244</v>
      </c>
      <c r="C76" s="13">
        <v>67</v>
      </c>
      <c r="D76" s="14">
        <v>83.75</v>
      </c>
      <c r="E76" s="15">
        <v>7</v>
      </c>
      <c r="F76" s="13">
        <v>50</v>
      </c>
      <c r="G76" s="14">
        <v>62.5</v>
      </c>
      <c r="H76" s="15">
        <v>781</v>
      </c>
      <c r="I76" s="13">
        <v>48</v>
      </c>
      <c r="J76" s="14">
        <v>71.64</v>
      </c>
      <c r="K76" s="15">
        <v>155</v>
      </c>
      <c r="L76" s="16">
        <v>774</v>
      </c>
    </row>
    <row r="77" ht="15.75" spans="1:12">
      <c r="A77" s="11" t="s">
        <v>3908</v>
      </c>
      <c r="B77" s="12" t="s">
        <v>613</v>
      </c>
      <c r="C77" s="13">
        <v>50</v>
      </c>
      <c r="D77" s="14">
        <v>62.5</v>
      </c>
      <c r="E77" s="15">
        <v>329</v>
      </c>
      <c r="F77" s="13">
        <v>50</v>
      </c>
      <c r="G77" s="14">
        <v>62.5</v>
      </c>
      <c r="H77" s="15">
        <v>1013</v>
      </c>
      <c r="I77" s="13">
        <v>43</v>
      </c>
      <c r="J77" s="14">
        <v>64.18</v>
      </c>
      <c r="K77" s="15">
        <v>314</v>
      </c>
      <c r="L77" s="16">
        <v>699</v>
      </c>
    </row>
    <row r="78" ht="15.75" spans="1:12">
      <c r="A78" s="11" t="s">
        <v>3224</v>
      </c>
      <c r="B78" s="12" t="s">
        <v>244</v>
      </c>
      <c r="C78" s="13">
        <v>67</v>
      </c>
      <c r="D78" s="14">
        <v>83.75</v>
      </c>
      <c r="E78" s="15">
        <v>8</v>
      </c>
      <c r="F78" s="13">
        <v>50</v>
      </c>
      <c r="G78" s="14">
        <v>62.5</v>
      </c>
      <c r="H78" s="15">
        <v>1568</v>
      </c>
      <c r="I78" s="13">
        <v>48</v>
      </c>
      <c r="J78" s="14">
        <v>71.64</v>
      </c>
      <c r="K78" s="15">
        <v>162</v>
      </c>
      <c r="L78" s="16">
        <v>1560</v>
      </c>
    </row>
    <row r="79" ht="15.75" spans="1:12">
      <c r="A79" s="11" t="s">
        <v>3930</v>
      </c>
      <c r="B79" s="12" t="s">
        <v>613</v>
      </c>
      <c r="C79" s="13">
        <v>50</v>
      </c>
      <c r="D79" s="14">
        <v>62.5</v>
      </c>
      <c r="E79" s="15">
        <v>499</v>
      </c>
      <c r="F79" s="13">
        <v>50</v>
      </c>
      <c r="G79" s="14">
        <v>62.5</v>
      </c>
      <c r="H79" s="15">
        <v>1906</v>
      </c>
      <c r="I79" s="13">
        <v>43</v>
      </c>
      <c r="J79" s="14">
        <v>64.18</v>
      </c>
      <c r="K79" s="15">
        <v>324</v>
      </c>
      <c r="L79" s="16">
        <v>1582</v>
      </c>
    </row>
    <row r="80" ht="15.75" spans="1:12">
      <c r="A80" s="11" t="s">
        <v>3226</v>
      </c>
      <c r="B80" s="12" t="s">
        <v>244</v>
      </c>
      <c r="C80" s="13">
        <v>67</v>
      </c>
      <c r="D80" s="14">
        <v>83.75</v>
      </c>
      <c r="E80" s="15">
        <v>9</v>
      </c>
      <c r="F80" s="13">
        <v>50</v>
      </c>
      <c r="G80" s="14">
        <v>62.5</v>
      </c>
      <c r="H80" s="15">
        <v>2046</v>
      </c>
      <c r="I80" s="13">
        <v>48</v>
      </c>
      <c r="J80" s="14">
        <v>71.64</v>
      </c>
      <c r="K80" s="15">
        <v>166</v>
      </c>
      <c r="L80" s="16">
        <v>2037</v>
      </c>
    </row>
    <row r="81" ht="15.75" spans="1:12">
      <c r="A81" s="11" t="s">
        <v>3228</v>
      </c>
      <c r="B81" s="12" t="s">
        <v>244</v>
      </c>
      <c r="C81" s="13">
        <v>67</v>
      </c>
      <c r="D81" s="14">
        <v>83.75</v>
      </c>
      <c r="E81" s="15">
        <v>10</v>
      </c>
      <c r="F81" s="13">
        <v>50</v>
      </c>
      <c r="G81" s="14">
        <v>62.5</v>
      </c>
      <c r="H81" s="15">
        <v>2415</v>
      </c>
      <c r="I81" s="13">
        <v>48</v>
      </c>
      <c r="J81" s="14">
        <v>71.64</v>
      </c>
      <c r="K81" s="15">
        <v>171</v>
      </c>
      <c r="L81" s="16">
        <v>2405</v>
      </c>
    </row>
    <row r="82" ht="15.75" spans="1:12">
      <c r="A82" s="11" t="s">
        <v>3239</v>
      </c>
      <c r="B82" s="12" t="s">
        <v>244</v>
      </c>
      <c r="C82" s="13">
        <v>66</v>
      </c>
      <c r="D82" s="14">
        <v>82.5</v>
      </c>
      <c r="E82" s="15">
        <v>14</v>
      </c>
      <c r="F82" s="13">
        <v>50</v>
      </c>
      <c r="G82" s="14">
        <v>62.5</v>
      </c>
      <c r="H82" s="15">
        <v>2418</v>
      </c>
      <c r="I82" s="13">
        <v>47</v>
      </c>
      <c r="J82" s="14">
        <v>70.15</v>
      </c>
      <c r="K82" s="15">
        <v>216</v>
      </c>
      <c r="L82" s="16">
        <v>2404</v>
      </c>
    </row>
    <row r="83" ht="15.75" spans="1:12">
      <c r="A83" s="11" t="s">
        <v>3231</v>
      </c>
      <c r="B83" s="12" t="s">
        <v>244</v>
      </c>
      <c r="C83" s="13">
        <v>67</v>
      </c>
      <c r="D83" s="14">
        <v>83.75</v>
      </c>
      <c r="E83" s="15">
        <v>11</v>
      </c>
      <c r="F83" s="13">
        <v>50</v>
      </c>
      <c r="G83" s="14">
        <v>62.5</v>
      </c>
      <c r="H83" s="15">
        <v>2495</v>
      </c>
      <c r="I83" s="13">
        <v>48</v>
      </c>
      <c r="J83" s="14">
        <v>71.64</v>
      </c>
      <c r="K83" s="15">
        <v>172</v>
      </c>
      <c r="L83" s="16">
        <v>2484</v>
      </c>
    </row>
    <row r="84" ht="15.75" spans="1:12">
      <c r="A84" s="11" t="s">
        <v>3233</v>
      </c>
      <c r="B84" s="12" t="s">
        <v>244</v>
      </c>
      <c r="C84" s="13">
        <v>67</v>
      </c>
      <c r="D84" s="14">
        <v>83.75</v>
      </c>
      <c r="E84" s="15">
        <v>12</v>
      </c>
      <c r="F84" s="13">
        <v>50</v>
      </c>
      <c r="G84" s="14">
        <v>62.5</v>
      </c>
      <c r="H84" s="15">
        <v>2613</v>
      </c>
      <c r="I84" s="13">
        <v>48</v>
      </c>
      <c r="J84" s="14">
        <v>71.64</v>
      </c>
      <c r="K84" s="15">
        <v>174</v>
      </c>
      <c r="L84" s="16">
        <v>2601</v>
      </c>
    </row>
    <row r="85" ht="15.75" spans="1:12">
      <c r="A85" s="11" t="s">
        <v>3955</v>
      </c>
      <c r="B85" s="12" t="s">
        <v>613</v>
      </c>
      <c r="C85" s="13">
        <v>49</v>
      </c>
      <c r="D85" s="14">
        <v>61.25</v>
      </c>
      <c r="E85" s="15">
        <v>630</v>
      </c>
      <c r="F85" s="13">
        <v>49</v>
      </c>
      <c r="G85" s="14">
        <v>61.25</v>
      </c>
      <c r="H85" s="15">
        <v>2662</v>
      </c>
      <c r="I85" s="13">
        <v>42</v>
      </c>
      <c r="J85" s="14">
        <v>62.69</v>
      </c>
      <c r="K85" s="15">
        <v>336</v>
      </c>
      <c r="L85" s="16">
        <v>2326</v>
      </c>
    </row>
    <row r="86" ht="15.75" spans="1:12">
      <c r="A86" s="11" t="s">
        <v>3978</v>
      </c>
      <c r="B86" s="12" t="s">
        <v>613</v>
      </c>
      <c r="C86" s="13">
        <v>49</v>
      </c>
      <c r="D86" s="14">
        <v>61.25</v>
      </c>
      <c r="E86" s="15">
        <v>633</v>
      </c>
      <c r="F86" s="13">
        <v>49</v>
      </c>
      <c r="G86" s="14">
        <v>61.25</v>
      </c>
      <c r="H86" s="15">
        <v>2669</v>
      </c>
      <c r="I86" s="13">
        <v>42</v>
      </c>
      <c r="J86" s="14">
        <v>62.69</v>
      </c>
      <c r="K86" s="15">
        <v>346</v>
      </c>
      <c r="L86" s="16">
        <v>2323</v>
      </c>
    </row>
    <row r="87" ht="15.75" spans="1:12">
      <c r="A87" s="11" t="s">
        <v>3998</v>
      </c>
      <c r="B87" s="12" t="s">
        <v>613</v>
      </c>
      <c r="C87" s="13">
        <v>49</v>
      </c>
      <c r="D87" s="14">
        <v>61.25</v>
      </c>
      <c r="E87" s="15">
        <v>635</v>
      </c>
      <c r="F87" s="13">
        <v>49</v>
      </c>
      <c r="G87" s="14">
        <v>61.25</v>
      </c>
      <c r="H87" s="15">
        <v>2673</v>
      </c>
      <c r="I87" s="13">
        <v>42</v>
      </c>
      <c r="J87" s="14">
        <v>62.69</v>
      </c>
      <c r="K87" s="15">
        <v>355</v>
      </c>
      <c r="L87" s="16">
        <v>2318</v>
      </c>
    </row>
    <row r="88" ht="15.75" spans="1:12">
      <c r="A88" s="11" t="s">
        <v>4202</v>
      </c>
      <c r="B88" s="12" t="s">
        <v>1867</v>
      </c>
      <c r="C88" s="13">
        <v>47</v>
      </c>
      <c r="D88" s="14">
        <v>58.75</v>
      </c>
      <c r="E88" s="15">
        <v>665</v>
      </c>
      <c r="F88" s="13">
        <v>49</v>
      </c>
      <c r="G88" s="14">
        <v>61.25</v>
      </c>
      <c r="H88" s="15">
        <v>2675</v>
      </c>
      <c r="I88" s="13">
        <v>40</v>
      </c>
      <c r="J88" s="14">
        <v>59.7</v>
      </c>
      <c r="K88" s="15">
        <v>432</v>
      </c>
      <c r="L88" s="16">
        <v>2243</v>
      </c>
    </row>
    <row r="89" ht="15.75" spans="1:12">
      <c r="A89" s="11" t="s">
        <v>4060</v>
      </c>
      <c r="B89" s="12" t="s">
        <v>613</v>
      </c>
      <c r="C89" s="13">
        <v>48</v>
      </c>
      <c r="D89" s="14">
        <v>60</v>
      </c>
      <c r="E89" s="15">
        <v>641</v>
      </c>
      <c r="F89" s="13">
        <v>48</v>
      </c>
      <c r="G89" s="14">
        <v>60</v>
      </c>
      <c r="H89" s="15">
        <v>2677</v>
      </c>
      <c r="I89" s="13">
        <v>41</v>
      </c>
      <c r="J89" s="14">
        <v>61.19</v>
      </c>
      <c r="K89" s="15">
        <v>378</v>
      </c>
      <c r="L89" s="16">
        <v>2299</v>
      </c>
    </row>
    <row r="90" ht="15.75" spans="1:12">
      <c r="A90" s="11" t="s">
        <v>4063</v>
      </c>
      <c r="B90" s="12" t="s">
        <v>613</v>
      </c>
      <c r="C90" s="13">
        <v>48</v>
      </c>
      <c r="D90" s="14">
        <v>60</v>
      </c>
      <c r="E90" s="15">
        <v>642</v>
      </c>
      <c r="F90" s="13">
        <v>48</v>
      </c>
      <c r="G90" s="14">
        <v>60</v>
      </c>
      <c r="H90" s="15">
        <v>2678</v>
      </c>
      <c r="I90" s="13">
        <v>41</v>
      </c>
      <c r="J90" s="14">
        <v>61.19</v>
      </c>
      <c r="K90" s="15">
        <v>379</v>
      </c>
      <c r="L90" s="16">
        <v>2299</v>
      </c>
    </row>
    <row r="91" ht="15.75" spans="1:12">
      <c r="A91" s="11" t="s">
        <v>3257</v>
      </c>
      <c r="B91" s="12" t="s">
        <v>597</v>
      </c>
      <c r="C91" s="13">
        <v>62</v>
      </c>
      <c r="D91" s="14">
        <v>77.5</v>
      </c>
      <c r="E91" s="15">
        <v>21</v>
      </c>
      <c r="F91" s="13">
        <v>48</v>
      </c>
      <c r="G91" s="14">
        <v>60</v>
      </c>
      <c r="H91" s="15">
        <v>2680</v>
      </c>
      <c r="I91" s="13">
        <v>48</v>
      </c>
      <c r="J91" s="14">
        <v>71.64</v>
      </c>
      <c r="K91" s="15">
        <v>152</v>
      </c>
      <c r="L91" s="16">
        <v>2659</v>
      </c>
    </row>
    <row r="92" ht="15.75" spans="1:12">
      <c r="A92" s="11" t="s">
        <v>3259</v>
      </c>
      <c r="B92" s="12" t="s">
        <v>597</v>
      </c>
      <c r="C92" s="13">
        <v>62</v>
      </c>
      <c r="D92" s="14">
        <v>77.5</v>
      </c>
      <c r="E92" s="15">
        <v>22</v>
      </c>
      <c r="F92" s="13">
        <v>48</v>
      </c>
      <c r="G92" s="14">
        <v>60</v>
      </c>
      <c r="H92" s="15">
        <v>2681</v>
      </c>
      <c r="I92" s="13">
        <v>48</v>
      </c>
      <c r="J92" s="14">
        <v>71.64</v>
      </c>
      <c r="K92" s="15">
        <v>154</v>
      </c>
      <c r="L92" s="16">
        <v>2659</v>
      </c>
    </row>
    <row r="93" ht="15.75" spans="1:12">
      <c r="A93" s="11" t="s">
        <v>4478</v>
      </c>
      <c r="B93" s="12" t="s">
        <v>613</v>
      </c>
      <c r="C93" s="13">
        <v>48</v>
      </c>
      <c r="D93" s="14">
        <v>60</v>
      </c>
      <c r="E93" s="15">
        <v>645</v>
      </c>
      <c r="F93" s="13">
        <v>48</v>
      </c>
      <c r="G93" s="14">
        <v>60</v>
      </c>
      <c r="H93" s="15">
        <v>2687</v>
      </c>
      <c r="I93" s="13">
        <v>35</v>
      </c>
      <c r="J93" s="14">
        <v>52.24</v>
      </c>
      <c r="K93" s="15">
        <v>531</v>
      </c>
      <c r="L93" s="16">
        <v>2156</v>
      </c>
    </row>
    <row r="94" ht="15.75" spans="1:12">
      <c r="A94" s="11" t="s">
        <v>3242</v>
      </c>
      <c r="B94" s="12" t="s">
        <v>244</v>
      </c>
      <c r="C94" s="13">
        <v>65</v>
      </c>
      <c r="D94" s="14">
        <v>81.25</v>
      </c>
      <c r="E94" s="15">
        <v>15</v>
      </c>
      <c r="F94" s="13">
        <v>48</v>
      </c>
      <c r="G94" s="14">
        <v>60</v>
      </c>
      <c r="H94" s="15">
        <v>2695</v>
      </c>
      <c r="I94" s="13">
        <v>46</v>
      </c>
      <c r="J94" s="14">
        <v>68.66</v>
      </c>
      <c r="K94" s="15">
        <v>229</v>
      </c>
      <c r="L94" s="16">
        <v>2680</v>
      </c>
    </row>
    <row r="95" ht="15.75" spans="1:12">
      <c r="A95" s="11" t="s">
        <v>2387</v>
      </c>
      <c r="B95" s="12" t="s">
        <v>244</v>
      </c>
      <c r="C95" s="13">
        <v>59</v>
      </c>
      <c r="D95" s="14">
        <v>73.75</v>
      </c>
      <c r="E95" s="15">
        <v>47</v>
      </c>
      <c r="F95" s="13">
        <v>48</v>
      </c>
      <c r="G95" s="14">
        <v>60</v>
      </c>
      <c r="H95" s="15">
        <v>2700</v>
      </c>
      <c r="I95" s="13">
        <v>55</v>
      </c>
      <c r="J95" s="14">
        <v>82.09</v>
      </c>
      <c r="K95" s="15">
        <v>45</v>
      </c>
      <c r="L95" s="16">
        <v>2655</v>
      </c>
    </row>
    <row r="96" ht="15.75" spans="1:12">
      <c r="A96" s="11" t="s">
        <v>4115</v>
      </c>
      <c r="B96" s="12" t="s">
        <v>613</v>
      </c>
      <c r="C96" s="13">
        <v>48</v>
      </c>
      <c r="D96" s="14">
        <v>60</v>
      </c>
      <c r="E96" s="15">
        <v>649</v>
      </c>
      <c r="F96" s="13">
        <v>48</v>
      </c>
      <c r="G96" s="14">
        <v>60</v>
      </c>
      <c r="H96" s="15">
        <v>2708</v>
      </c>
      <c r="I96" s="13">
        <v>41</v>
      </c>
      <c r="J96" s="14">
        <v>61.19</v>
      </c>
      <c r="K96" s="15">
        <v>398</v>
      </c>
      <c r="L96" s="16">
        <v>2310</v>
      </c>
    </row>
    <row r="97" ht="15.75" spans="1:12">
      <c r="A97" s="11" t="s">
        <v>4790</v>
      </c>
      <c r="B97" s="12" t="s">
        <v>613</v>
      </c>
      <c r="C97" s="13">
        <v>43</v>
      </c>
      <c r="D97" s="14">
        <v>53.75</v>
      </c>
      <c r="E97" s="15">
        <v>1021</v>
      </c>
      <c r="F97" s="13">
        <v>48</v>
      </c>
      <c r="G97" s="14">
        <v>60</v>
      </c>
      <c r="H97" s="15">
        <v>2710</v>
      </c>
      <c r="I97" s="13">
        <v>30</v>
      </c>
      <c r="J97" s="14">
        <v>44.78</v>
      </c>
      <c r="K97" s="15">
        <v>652</v>
      </c>
      <c r="L97" s="16">
        <v>2058</v>
      </c>
    </row>
    <row r="98" ht="15.75" spans="1:12">
      <c r="A98" s="11" t="s">
        <v>4142</v>
      </c>
      <c r="B98" s="12" t="s">
        <v>613</v>
      </c>
      <c r="C98" s="13">
        <v>47</v>
      </c>
      <c r="D98" s="14">
        <v>58.75</v>
      </c>
      <c r="E98" s="15">
        <v>651</v>
      </c>
      <c r="F98" s="13">
        <v>47</v>
      </c>
      <c r="G98" s="14">
        <v>58.75</v>
      </c>
      <c r="H98" s="15">
        <v>2731</v>
      </c>
      <c r="I98" s="13">
        <v>40</v>
      </c>
      <c r="J98" s="14">
        <v>59.7</v>
      </c>
      <c r="K98" s="15">
        <v>408</v>
      </c>
      <c r="L98" s="16">
        <v>2323</v>
      </c>
    </row>
    <row r="99" ht="15.75" spans="1:12">
      <c r="A99" s="11" t="s">
        <v>4145</v>
      </c>
      <c r="B99" s="12" t="s">
        <v>613</v>
      </c>
      <c r="C99" s="13">
        <v>47</v>
      </c>
      <c r="D99" s="14">
        <v>58.75</v>
      </c>
      <c r="E99" s="15">
        <v>652</v>
      </c>
      <c r="F99" s="13">
        <v>47</v>
      </c>
      <c r="G99" s="14">
        <v>58.75</v>
      </c>
      <c r="H99" s="15">
        <v>2733</v>
      </c>
      <c r="I99" s="13">
        <v>40</v>
      </c>
      <c r="J99" s="14">
        <v>59.7</v>
      </c>
      <c r="K99" s="15">
        <v>409</v>
      </c>
      <c r="L99" s="16">
        <v>2324</v>
      </c>
    </row>
    <row r="100" ht="15.75" spans="1:12">
      <c r="A100" s="11" t="s">
        <v>4847</v>
      </c>
      <c r="B100" s="12" t="s">
        <v>245</v>
      </c>
      <c r="C100" s="13">
        <v>26</v>
      </c>
      <c r="D100" s="14">
        <v>32.5</v>
      </c>
      <c r="E100" s="15">
        <v>1240</v>
      </c>
      <c r="F100" s="13">
        <v>47</v>
      </c>
      <c r="G100" s="14">
        <v>58.75</v>
      </c>
      <c r="H100" s="15">
        <v>2749</v>
      </c>
      <c r="I100" s="13">
        <v>24</v>
      </c>
      <c r="J100" s="14">
        <v>35.82</v>
      </c>
      <c r="K100" s="15">
        <v>678</v>
      </c>
      <c r="L100" s="16">
        <v>2071</v>
      </c>
    </row>
    <row r="101" ht="15.75" spans="1:12">
      <c r="A101" s="11" t="s">
        <v>3661</v>
      </c>
      <c r="B101" s="12" t="s">
        <v>2360</v>
      </c>
      <c r="C101" s="13">
        <v>47</v>
      </c>
      <c r="D101" s="14">
        <v>58.75</v>
      </c>
      <c r="E101" s="15">
        <v>656</v>
      </c>
      <c r="F101" s="13">
        <v>47</v>
      </c>
      <c r="G101" s="14">
        <v>58.75</v>
      </c>
      <c r="H101" s="15">
        <v>2756</v>
      </c>
      <c r="I101" s="13">
        <v>47</v>
      </c>
      <c r="J101" s="14">
        <v>70.15</v>
      </c>
      <c r="K101" s="15">
        <v>188</v>
      </c>
      <c r="L101" s="16">
        <v>2568</v>
      </c>
    </row>
    <row r="102" ht="15.75" spans="1:12">
      <c r="A102" s="11" t="s">
        <v>2355</v>
      </c>
      <c r="B102" s="12" t="s">
        <v>613</v>
      </c>
      <c r="C102" s="13">
        <v>47</v>
      </c>
      <c r="D102" s="14">
        <v>58.75</v>
      </c>
      <c r="E102" s="15">
        <v>659</v>
      </c>
      <c r="F102" s="13">
        <v>47</v>
      </c>
      <c r="G102" s="14">
        <v>58.75</v>
      </c>
      <c r="H102" s="15">
        <v>2777</v>
      </c>
      <c r="I102" s="13">
        <v>40</v>
      </c>
      <c r="J102" s="14">
        <v>59.7</v>
      </c>
      <c r="K102" s="15">
        <v>421</v>
      </c>
      <c r="L102" s="16">
        <v>2356</v>
      </c>
    </row>
    <row r="103" ht="15.75" spans="1:12">
      <c r="A103" s="11" t="s">
        <v>4182</v>
      </c>
      <c r="B103" s="12" t="s">
        <v>613</v>
      </c>
      <c r="C103" s="13">
        <v>47</v>
      </c>
      <c r="D103" s="14">
        <v>58.75</v>
      </c>
      <c r="E103" s="15">
        <v>660</v>
      </c>
      <c r="F103" s="13">
        <v>47</v>
      </c>
      <c r="G103" s="14">
        <v>58.75</v>
      </c>
      <c r="H103" s="15">
        <v>2784</v>
      </c>
      <c r="I103" s="13">
        <v>40</v>
      </c>
      <c r="J103" s="14">
        <v>59.7</v>
      </c>
      <c r="K103" s="15">
        <v>424</v>
      </c>
      <c r="L103" s="16">
        <v>2360</v>
      </c>
    </row>
    <row r="104" ht="15.75" spans="1:12">
      <c r="A104" s="11" t="s">
        <v>4188</v>
      </c>
      <c r="B104" s="12" t="s">
        <v>613</v>
      </c>
      <c r="C104" s="13">
        <v>47</v>
      </c>
      <c r="D104" s="14">
        <v>58.75</v>
      </c>
      <c r="E104" s="15">
        <v>661</v>
      </c>
      <c r="F104" s="13">
        <v>47</v>
      </c>
      <c r="G104" s="14">
        <v>58.75</v>
      </c>
      <c r="H104" s="15">
        <v>2788</v>
      </c>
      <c r="I104" s="13">
        <v>40</v>
      </c>
      <c r="J104" s="14">
        <v>59.7</v>
      </c>
      <c r="K104" s="15">
        <v>426</v>
      </c>
      <c r="L104" s="16">
        <v>2362</v>
      </c>
    </row>
    <row r="105" ht="15.75" spans="1:12">
      <c r="A105" s="11" t="s">
        <v>4028</v>
      </c>
      <c r="B105" s="12" t="s">
        <v>666</v>
      </c>
      <c r="C105" s="13">
        <v>47</v>
      </c>
      <c r="D105" s="14">
        <v>58.75</v>
      </c>
      <c r="E105" s="15">
        <v>663</v>
      </c>
      <c r="F105" s="13">
        <v>47</v>
      </c>
      <c r="G105" s="14">
        <v>58.75</v>
      </c>
      <c r="H105" s="15">
        <v>2820</v>
      </c>
      <c r="I105" s="13">
        <v>42</v>
      </c>
      <c r="J105" s="14">
        <v>62.69</v>
      </c>
      <c r="K105" s="15">
        <v>366</v>
      </c>
      <c r="L105" s="16">
        <v>2454</v>
      </c>
    </row>
    <row r="106" ht="15.75" spans="1:12">
      <c r="A106" s="11" t="s">
        <v>4205</v>
      </c>
      <c r="B106" s="12" t="s">
        <v>613</v>
      </c>
      <c r="C106" s="13">
        <v>47</v>
      </c>
      <c r="D106" s="14">
        <v>58.75</v>
      </c>
      <c r="E106" s="15">
        <v>666</v>
      </c>
      <c r="F106" s="13">
        <v>47</v>
      </c>
      <c r="G106" s="14">
        <v>58.75</v>
      </c>
      <c r="H106" s="15">
        <v>2827</v>
      </c>
      <c r="I106" s="13">
        <v>40</v>
      </c>
      <c r="J106" s="14">
        <v>59.7</v>
      </c>
      <c r="K106" s="15">
        <v>433</v>
      </c>
      <c r="L106" s="16">
        <v>2394</v>
      </c>
    </row>
    <row r="107" ht="15.75" spans="1:12">
      <c r="A107" s="11" t="s">
        <v>4216</v>
      </c>
      <c r="B107" s="12" t="s">
        <v>613</v>
      </c>
      <c r="C107" s="13">
        <v>47</v>
      </c>
      <c r="D107" s="14">
        <v>58.75</v>
      </c>
      <c r="E107" s="15">
        <v>667</v>
      </c>
      <c r="F107" s="13">
        <v>47</v>
      </c>
      <c r="G107" s="14">
        <v>58.75</v>
      </c>
      <c r="H107" s="15">
        <v>2833</v>
      </c>
      <c r="I107" s="13">
        <v>40</v>
      </c>
      <c r="J107" s="14">
        <v>59.7</v>
      </c>
      <c r="K107" s="15">
        <v>437</v>
      </c>
      <c r="L107" s="16">
        <v>2396</v>
      </c>
    </row>
    <row r="108" ht="15.75" spans="1:12">
      <c r="A108" s="11" t="s">
        <v>4219</v>
      </c>
      <c r="B108" s="12" t="s">
        <v>613</v>
      </c>
      <c r="C108" s="13">
        <v>47</v>
      </c>
      <c r="D108" s="14">
        <v>58.75</v>
      </c>
      <c r="E108" s="15">
        <v>669</v>
      </c>
      <c r="F108" s="13">
        <v>47</v>
      </c>
      <c r="G108" s="14">
        <v>58.75</v>
      </c>
      <c r="H108" s="15">
        <v>2839</v>
      </c>
      <c r="I108" s="13">
        <v>40</v>
      </c>
      <c r="J108" s="14">
        <v>59.7</v>
      </c>
      <c r="K108" s="15">
        <v>438</v>
      </c>
      <c r="L108" s="16">
        <v>2401</v>
      </c>
    </row>
    <row r="109" ht="15.75" spans="1:12">
      <c r="A109" s="11" t="s">
        <v>4228</v>
      </c>
      <c r="B109" s="12" t="s">
        <v>613</v>
      </c>
      <c r="C109" s="13">
        <v>46</v>
      </c>
      <c r="D109" s="14">
        <v>57.5</v>
      </c>
      <c r="E109" s="15">
        <v>671</v>
      </c>
      <c r="F109" s="13">
        <v>46</v>
      </c>
      <c r="G109" s="14">
        <v>57.5</v>
      </c>
      <c r="H109" s="15">
        <v>2850</v>
      </c>
      <c r="I109" s="13">
        <v>39</v>
      </c>
      <c r="J109" s="14">
        <v>58.21</v>
      </c>
      <c r="K109" s="15">
        <v>441</v>
      </c>
      <c r="L109" s="16">
        <v>2409</v>
      </c>
    </row>
    <row r="110" ht="15.75" spans="1:12">
      <c r="A110" s="11" t="s">
        <v>4232</v>
      </c>
      <c r="B110" s="12" t="s">
        <v>613</v>
      </c>
      <c r="C110" s="13">
        <v>46</v>
      </c>
      <c r="D110" s="14">
        <v>57.5</v>
      </c>
      <c r="E110" s="15">
        <v>673</v>
      </c>
      <c r="F110" s="13">
        <v>46</v>
      </c>
      <c r="G110" s="14">
        <v>57.5</v>
      </c>
      <c r="H110" s="15">
        <v>2852</v>
      </c>
      <c r="I110" s="13">
        <v>39</v>
      </c>
      <c r="J110" s="14">
        <v>58.21</v>
      </c>
      <c r="K110" s="15">
        <v>443</v>
      </c>
      <c r="L110" s="16">
        <v>2409</v>
      </c>
    </row>
    <row r="111" ht="15.75" spans="1:12">
      <c r="A111" s="11" t="s">
        <v>2496</v>
      </c>
      <c r="B111" s="12" t="s">
        <v>613</v>
      </c>
      <c r="C111" s="13">
        <v>44</v>
      </c>
      <c r="D111" s="14">
        <v>55</v>
      </c>
      <c r="E111" s="15">
        <v>736</v>
      </c>
      <c r="F111" s="13">
        <v>46</v>
      </c>
      <c r="G111" s="14">
        <v>57.5</v>
      </c>
      <c r="H111" s="15">
        <v>2853</v>
      </c>
      <c r="I111" s="13">
        <v>44</v>
      </c>
      <c r="J111" s="14">
        <v>65.67</v>
      </c>
      <c r="K111" s="15">
        <v>265</v>
      </c>
      <c r="L111" s="16">
        <v>2588</v>
      </c>
    </row>
    <row r="112" ht="15.75" spans="1:12">
      <c r="A112" s="11" t="s">
        <v>4241</v>
      </c>
      <c r="B112" s="12" t="s">
        <v>613</v>
      </c>
      <c r="C112" s="13">
        <v>46</v>
      </c>
      <c r="D112" s="14">
        <v>57.5</v>
      </c>
      <c r="E112" s="15">
        <v>676</v>
      </c>
      <c r="F112" s="13">
        <v>46</v>
      </c>
      <c r="G112" s="14">
        <v>57.5</v>
      </c>
      <c r="H112" s="15">
        <v>2861</v>
      </c>
      <c r="I112" s="13">
        <v>39</v>
      </c>
      <c r="J112" s="14">
        <v>58.21</v>
      </c>
      <c r="K112" s="15">
        <v>446</v>
      </c>
      <c r="L112" s="16">
        <v>2415</v>
      </c>
    </row>
    <row r="113" ht="15.75" spans="1:12">
      <c r="A113" s="11" t="s">
        <v>4769</v>
      </c>
      <c r="B113" s="12" t="s">
        <v>613</v>
      </c>
      <c r="C113" s="13">
        <v>42</v>
      </c>
      <c r="D113" s="14">
        <v>52.5</v>
      </c>
      <c r="E113" s="15">
        <v>1037</v>
      </c>
      <c r="F113" s="13">
        <v>46</v>
      </c>
      <c r="G113" s="14">
        <v>57.5</v>
      </c>
      <c r="H113" s="15">
        <v>2865</v>
      </c>
      <c r="I113" s="13">
        <v>30</v>
      </c>
      <c r="J113" s="14">
        <v>44.78</v>
      </c>
      <c r="K113" s="15">
        <v>642</v>
      </c>
      <c r="L113" s="16">
        <v>2223</v>
      </c>
    </row>
    <row r="114" ht="15.75" spans="1:12">
      <c r="A114" s="11" t="s">
        <v>3776</v>
      </c>
      <c r="B114" s="12" t="s">
        <v>666</v>
      </c>
      <c r="C114" s="13">
        <v>46</v>
      </c>
      <c r="D114" s="14">
        <v>57.5</v>
      </c>
      <c r="E114" s="15">
        <v>677</v>
      </c>
      <c r="F114" s="13">
        <v>46</v>
      </c>
      <c r="G114" s="14">
        <v>57.5</v>
      </c>
      <c r="H114" s="15">
        <v>2869</v>
      </c>
      <c r="I114" s="13">
        <v>45</v>
      </c>
      <c r="J114" s="14">
        <v>67.16</v>
      </c>
      <c r="K114" s="15">
        <v>245</v>
      </c>
      <c r="L114" s="16">
        <v>2624</v>
      </c>
    </row>
    <row r="115" ht="15.75" spans="1:12">
      <c r="A115" s="11" t="s">
        <v>4601</v>
      </c>
      <c r="B115" s="12" t="s">
        <v>613</v>
      </c>
      <c r="C115" s="13">
        <v>46</v>
      </c>
      <c r="D115" s="14">
        <v>57.5</v>
      </c>
      <c r="E115" s="15">
        <v>678</v>
      </c>
      <c r="F115" s="13">
        <v>46</v>
      </c>
      <c r="G115" s="14">
        <v>57.5</v>
      </c>
      <c r="H115" s="15">
        <v>2874</v>
      </c>
      <c r="I115" s="13">
        <v>33</v>
      </c>
      <c r="J115" s="14">
        <v>49.25</v>
      </c>
      <c r="K115" s="15">
        <v>577</v>
      </c>
      <c r="L115" s="16">
        <v>2297</v>
      </c>
    </row>
    <row r="116" ht="15.75" spans="1:12">
      <c r="A116" s="11" t="s">
        <v>4276</v>
      </c>
      <c r="B116" s="12" t="s">
        <v>613</v>
      </c>
      <c r="C116" s="13">
        <v>46</v>
      </c>
      <c r="D116" s="14">
        <v>57.5</v>
      </c>
      <c r="E116" s="15">
        <v>679</v>
      </c>
      <c r="F116" s="13">
        <v>46</v>
      </c>
      <c r="G116" s="14">
        <v>57.5</v>
      </c>
      <c r="H116" s="15">
        <v>2876</v>
      </c>
      <c r="I116" s="13">
        <v>39</v>
      </c>
      <c r="J116" s="14">
        <v>58.21</v>
      </c>
      <c r="K116" s="15">
        <v>458</v>
      </c>
      <c r="L116" s="16">
        <v>2418</v>
      </c>
    </row>
    <row r="117" ht="15.75" spans="1:12">
      <c r="A117" s="11" t="s">
        <v>4279</v>
      </c>
      <c r="B117" s="12" t="s">
        <v>613</v>
      </c>
      <c r="C117" s="13">
        <v>46</v>
      </c>
      <c r="D117" s="14">
        <v>57.5</v>
      </c>
      <c r="E117" s="15">
        <v>680</v>
      </c>
      <c r="F117" s="13">
        <v>46</v>
      </c>
      <c r="G117" s="14">
        <v>57.5</v>
      </c>
      <c r="H117" s="15">
        <v>2878</v>
      </c>
      <c r="I117" s="13">
        <v>39</v>
      </c>
      <c r="J117" s="14">
        <v>58.21</v>
      </c>
      <c r="K117" s="15">
        <v>459</v>
      </c>
      <c r="L117" s="16">
        <v>2419</v>
      </c>
    </row>
    <row r="118" ht="15.75" spans="1:12">
      <c r="A118" s="11" t="s">
        <v>3254</v>
      </c>
      <c r="B118" s="12" t="s">
        <v>244</v>
      </c>
      <c r="C118" s="13">
        <v>63</v>
      </c>
      <c r="D118" s="14">
        <v>78.75</v>
      </c>
      <c r="E118" s="15">
        <v>20</v>
      </c>
      <c r="F118" s="13">
        <v>46</v>
      </c>
      <c r="G118" s="14">
        <v>57.5</v>
      </c>
      <c r="H118" s="15">
        <v>2884</v>
      </c>
      <c r="I118" s="13">
        <v>44</v>
      </c>
      <c r="J118" s="14">
        <v>65.67</v>
      </c>
      <c r="K118" s="15">
        <v>303</v>
      </c>
      <c r="L118" s="16">
        <v>2864</v>
      </c>
    </row>
    <row r="119" ht="15.75" spans="1:12">
      <c r="A119" s="11" t="s">
        <v>4291</v>
      </c>
      <c r="B119" s="12" t="s">
        <v>613</v>
      </c>
      <c r="C119" s="13">
        <v>45</v>
      </c>
      <c r="D119" s="14">
        <v>56.25</v>
      </c>
      <c r="E119" s="15">
        <v>684</v>
      </c>
      <c r="F119" s="13">
        <v>45</v>
      </c>
      <c r="G119" s="14">
        <v>56.25</v>
      </c>
      <c r="H119" s="15">
        <v>2894</v>
      </c>
      <c r="I119" s="13">
        <v>38</v>
      </c>
      <c r="J119" s="14">
        <v>56.72</v>
      </c>
      <c r="K119" s="15">
        <v>463</v>
      </c>
      <c r="L119" s="16">
        <v>2431</v>
      </c>
    </row>
    <row r="120" ht="15.75" spans="1:12">
      <c r="A120" s="11" t="s">
        <v>4164</v>
      </c>
      <c r="B120" s="12" t="s">
        <v>666</v>
      </c>
      <c r="C120" s="13">
        <v>45</v>
      </c>
      <c r="D120" s="14">
        <v>56.25</v>
      </c>
      <c r="E120" s="15">
        <v>685</v>
      </c>
      <c r="F120" s="13">
        <v>45</v>
      </c>
      <c r="G120" s="14">
        <v>56.25</v>
      </c>
      <c r="H120" s="15">
        <v>2898</v>
      </c>
      <c r="I120" s="13">
        <v>40</v>
      </c>
      <c r="J120" s="14">
        <v>59.7</v>
      </c>
      <c r="K120" s="15">
        <v>416</v>
      </c>
      <c r="L120" s="16">
        <v>2482</v>
      </c>
    </row>
    <row r="121" ht="15.75" spans="1:12">
      <c r="A121" s="11" t="s">
        <v>4301</v>
      </c>
      <c r="B121" s="12" t="s">
        <v>613</v>
      </c>
      <c r="C121" s="13">
        <v>45</v>
      </c>
      <c r="D121" s="14">
        <v>56.25</v>
      </c>
      <c r="E121" s="15">
        <v>687</v>
      </c>
      <c r="F121" s="13">
        <v>45</v>
      </c>
      <c r="G121" s="14">
        <v>56.25</v>
      </c>
      <c r="H121" s="15">
        <v>2902</v>
      </c>
      <c r="I121" s="13">
        <v>38</v>
      </c>
      <c r="J121" s="14">
        <v>56.72</v>
      </c>
      <c r="K121" s="15">
        <v>467</v>
      </c>
      <c r="L121" s="16">
        <v>2435</v>
      </c>
    </row>
    <row r="122" ht="15.75" spans="1:12">
      <c r="A122" s="11" t="s">
        <v>4309</v>
      </c>
      <c r="B122" s="12" t="s">
        <v>613</v>
      </c>
      <c r="C122" s="13">
        <v>45</v>
      </c>
      <c r="D122" s="14">
        <v>56.25</v>
      </c>
      <c r="E122" s="15">
        <v>688</v>
      </c>
      <c r="F122" s="13">
        <v>45</v>
      </c>
      <c r="G122" s="14">
        <v>56.25</v>
      </c>
      <c r="H122" s="15">
        <v>2905</v>
      </c>
      <c r="I122" s="13">
        <v>38</v>
      </c>
      <c r="J122" s="14">
        <v>56.72</v>
      </c>
      <c r="K122" s="15">
        <v>470</v>
      </c>
      <c r="L122" s="16">
        <v>2435</v>
      </c>
    </row>
    <row r="123" ht="15.75" spans="1:12">
      <c r="A123" s="11" t="s">
        <v>4322</v>
      </c>
      <c r="B123" s="12" t="s">
        <v>613</v>
      </c>
      <c r="C123" s="13">
        <v>45</v>
      </c>
      <c r="D123" s="14">
        <v>56.25</v>
      </c>
      <c r="E123" s="15">
        <v>691</v>
      </c>
      <c r="F123" s="13">
        <v>45</v>
      </c>
      <c r="G123" s="14">
        <v>56.25</v>
      </c>
      <c r="H123" s="15">
        <v>2917</v>
      </c>
      <c r="I123" s="13">
        <v>38</v>
      </c>
      <c r="J123" s="14">
        <v>56.72</v>
      </c>
      <c r="K123" s="15">
        <v>475</v>
      </c>
      <c r="L123" s="16">
        <v>2442</v>
      </c>
    </row>
    <row r="124" ht="15.75" spans="1:12">
      <c r="A124" s="11" t="s">
        <v>4325</v>
      </c>
      <c r="B124" s="12" t="s">
        <v>613</v>
      </c>
      <c r="C124" s="13">
        <v>45</v>
      </c>
      <c r="D124" s="14">
        <v>56.25</v>
      </c>
      <c r="E124" s="15">
        <v>692</v>
      </c>
      <c r="F124" s="13">
        <v>45</v>
      </c>
      <c r="G124" s="14">
        <v>56.25</v>
      </c>
      <c r="H124" s="15">
        <v>2919</v>
      </c>
      <c r="I124" s="13">
        <v>38</v>
      </c>
      <c r="J124" s="14">
        <v>56.72</v>
      </c>
      <c r="K124" s="15">
        <v>476</v>
      </c>
      <c r="L124" s="16">
        <v>2443</v>
      </c>
    </row>
    <row r="125" ht="15.75" spans="1:12">
      <c r="A125" s="11" t="s">
        <v>4336</v>
      </c>
      <c r="B125" s="12" t="s">
        <v>613</v>
      </c>
      <c r="C125" s="13">
        <v>45</v>
      </c>
      <c r="D125" s="14">
        <v>56.25</v>
      </c>
      <c r="E125" s="15">
        <v>693</v>
      </c>
      <c r="F125" s="13">
        <v>45</v>
      </c>
      <c r="G125" s="14">
        <v>56.25</v>
      </c>
      <c r="H125" s="15">
        <v>2924</v>
      </c>
      <c r="I125" s="13">
        <v>38</v>
      </c>
      <c r="J125" s="14">
        <v>56.72</v>
      </c>
      <c r="K125" s="15">
        <v>480</v>
      </c>
      <c r="L125" s="16">
        <v>2444</v>
      </c>
    </row>
    <row r="126" ht="15.75" spans="1:12">
      <c r="A126" s="11" t="s">
        <v>4339</v>
      </c>
      <c r="B126" s="12" t="s">
        <v>613</v>
      </c>
      <c r="C126" s="13">
        <v>45</v>
      </c>
      <c r="D126" s="14">
        <v>56.25</v>
      </c>
      <c r="E126" s="15">
        <v>694</v>
      </c>
      <c r="F126" s="13">
        <v>45</v>
      </c>
      <c r="G126" s="14">
        <v>56.25</v>
      </c>
      <c r="H126" s="15">
        <v>2926</v>
      </c>
      <c r="I126" s="13">
        <v>38</v>
      </c>
      <c r="J126" s="14">
        <v>56.72</v>
      </c>
      <c r="K126" s="15">
        <v>481</v>
      </c>
      <c r="L126" s="16">
        <v>2445</v>
      </c>
    </row>
    <row r="127" ht="15.75" spans="1:12">
      <c r="A127" s="11" t="s">
        <v>3204</v>
      </c>
      <c r="B127" s="12" t="s">
        <v>244</v>
      </c>
      <c r="C127" s="13">
        <v>80</v>
      </c>
      <c r="D127" s="14">
        <v>100</v>
      </c>
      <c r="E127" s="15">
        <v>1</v>
      </c>
      <c r="F127" s="13">
        <v>44</v>
      </c>
      <c r="G127" s="14">
        <v>55</v>
      </c>
      <c r="H127" s="15">
        <v>2963</v>
      </c>
      <c r="I127" s="13">
        <v>39</v>
      </c>
      <c r="J127" s="14">
        <v>58.21</v>
      </c>
      <c r="K127" s="15">
        <v>442</v>
      </c>
      <c r="L127" s="16">
        <v>2962</v>
      </c>
    </row>
    <row r="128" ht="15.75" spans="1:12">
      <c r="A128" s="11" t="s">
        <v>4350</v>
      </c>
      <c r="B128" s="12" t="s">
        <v>613</v>
      </c>
      <c r="C128" s="13">
        <v>44</v>
      </c>
      <c r="D128" s="14">
        <v>55</v>
      </c>
      <c r="E128" s="15">
        <v>754</v>
      </c>
      <c r="F128" s="13">
        <v>44</v>
      </c>
      <c r="G128" s="14">
        <v>55</v>
      </c>
      <c r="H128" s="15">
        <v>3017</v>
      </c>
      <c r="I128" s="13">
        <v>37</v>
      </c>
      <c r="J128" s="14">
        <v>55.22</v>
      </c>
      <c r="K128" s="15">
        <v>485</v>
      </c>
      <c r="L128" s="16">
        <v>2532</v>
      </c>
    </row>
    <row r="129" ht="15.75" spans="1:12">
      <c r="A129" s="11" t="s">
        <v>4244</v>
      </c>
      <c r="B129" s="12" t="s">
        <v>666</v>
      </c>
      <c r="C129" s="13">
        <v>44</v>
      </c>
      <c r="D129" s="14">
        <v>55</v>
      </c>
      <c r="E129" s="15">
        <v>782</v>
      </c>
      <c r="F129" s="13">
        <v>44</v>
      </c>
      <c r="G129" s="14">
        <v>55</v>
      </c>
      <c r="H129" s="15">
        <v>3058</v>
      </c>
      <c r="I129" s="13">
        <v>39</v>
      </c>
      <c r="J129" s="14">
        <v>58.21</v>
      </c>
      <c r="K129" s="15">
        <v>447</v>
      </c>
      <c r="L129" s="16">
        <v>2611</v>
      </c>
    </row>
    <row r="130" ht="15.75" spans="1:12">
      <c r="A130" s="11" t="s">
        <v>4352</v>
      </c>
      <c r="B130" s="12" t="s">
        <v>613</v>
      </c>
      <c r="C130" s="13">
        <v>44</v>
      </c>
      <c r="D130" s="14">
        <v>55</v>
      </c>
      <c r="E130" s="15">
        <v>796</v>
      </c>
      <c r="F130" s="13">
        <v>44</v>
      </c>
      <c r="G130" s="14">
        <v>55</v>
      </c>
      <c r="H130" s="15">
        <v>3079</v>
      </c>
      <c r="I130" s="13">
        <v>37</v>
      </c>
      <c r="J130" s="14">
        <v>55.22</v>
      </c>
      <c r="K130" s="15">
        <v>486</v>
      </c>
      <c r="L130" s="16">
        <v>2593</v>
      </c>
    </row>
    <row r="131" ht="15.75" spans="1:12">
      <c r="A131" s="11" t="s">
        <v>4355</v>
      </c>
      <c r="B131" s="12" t="s">
        <v>613</v>
      </c>
      <c r="C131" s="13">
        <v>44</v>
      </c>
      <c r="D131" s="14">
        <v>55</v>
      </c>
      <c r="E131" s="15">
        <v>802</v>
      </c>
      <c r="F131" s="13">
        <v>44</v>
      </c>
      <c r="G131" s="14">
        <v>55</v>
      </c>
      <c r="H131" s="15">
        <v>3090</v>
      </c>
      <c r="I131" s="13">
        <v>37</v>
      </c>
      <c r="J131" s="14">
        <v>55.22</v>
      </c>
      <c r="K131" s="15">
        <v>487</v>
      </c>
      <c r="L131" s="16">
        <v>2603</v>
      </c>
    </row>
    <row r="132" ht="15.75" spans="1:12">
      <c r="A132" s="11" t="s">
        <v>4369</v>
      </c>
      <c r="B132" s="12" t="s">
        <v>613</v>
      </c>
      <c r="C132" s="13">
        <v>44</v>
      </c>
      <c r="D132" s="14">
        <v>55</v>
      </c>
      <c r="E132" s="15">
        <v>841</v>
      </c>
      <c r="F132" s="13">
        <v>44</v>
      </c>
      <c r="G132" s="14">
        <v>55</v>
      </c>
      <c r="H132" s="15">
        <v>3179</v>
      </c>
      <c r="I132" s="13">
        <v>37</v>
      </c>
      <c r="J132" s="14">
        <v>55.22</v>
      </c>
      <c r="K132" s="15">
        <v>492</v>
      </c>
      <c r="L132" s="16">
        <v>2687</v>
      </c>
    </row>
    <row r="133" ht="15.75" spans="1:12">
      <c r="A133" s="11" t="s">
        <v>2474</v>
      </c>
      <c r="B133" s="12" t="s">
        <v>666</v>
      </c>
      <c r="C133" s="13">
        <v>43</v>
      </c>
      <c r="D133" s="14">
        <v>53.75</v>
      </c>
      <c r="E133" s="15">
        <v>1006</v>
      </c>
      <c r="F133" s="13">
        <v>44</v>
      </c>
      <c r="G133" s="14">
        <v>55</v>
      </c>
      <c r="H133" s="15">
        <v>3189</v>
      </c>
      <c r="I133" s="13">
        <v>51</v>
      </c>
      <c r="J133" s="14">
        <v>76.12</v>
      </c>
      <c r="K133" s="15">
        <v>117</v>
      </c>
      <c r="L133" s="16">
        <v>3072</v>
      </c>
    </row>
    <row r="134" ht="15.75" spans="1:12">
      <c r="A134" s="11" t="s">
        <v>4377</v>
      </c>
      <c r="B134" s="12" t="s">
        <v>613</v>
      </c>
      <c r="C134" s="13">
        <v>44</v>
      </c>
      <c r="D134" s="14">
        <v>55</v>
      </c>
      <c r="E134" s="15">
        <v>886</v>
      </c>
      <c r="F134" s="13">
        <v>44</v>
      </c>
      <c r="G134" s="14">
        <v>55</v>
      </c>
      <c r="H134" s="15">
        <v>3244</v>
      </c>
      <c r="I134" s="13">
        <v>37</v>
      </c>
      <c r="J134" s="14">
        <v>55.22</v>
      </c>
      <c r="K134" s="15">
        <v>495</v>
      </c>
      <c r="L134" s="16">
        <v>2749</v>
      </c>
    </row>
    <row r="135" ht="15.75" spans="1:12">
      <c r="A135" s="11" t="s">
        <v>3270</v>
      </c>
      <c r="B135" s="12" t="s">
        <v>244</v>
      </c>
      <c r="C135" s="13">
        <v>60</v>
      </c>
      <c r="D135" s="14">
        <v>75</v>
      </c>
      <c r="E135" s="15">
        <v>27</v>
      </c>
      <c r="F135" s="13">
        <v>43</v>
      </c>
      <c r="G135" s="14">
        <v>53.75</v>
      </c>
      <c r="H135" s="15">
        <v>3426</v>
      </c>
      <c r="I135" s="13">
        <v>41</v>
      </c>
      <c r="J135" s="14">
        <v>61.19</v>
      </c>
      <c r="K135" s="15">
        <v>377</v>
      </c>
      <c r="L135" s="16">
        <v>3399</v>
      </c>
    </row>
    <row r="136" ht="15.75" spans="1:12">
      <c r="A136" s="11" t="s">
        <v>4441</v>
      </c>
      <c r="B136" s="12" t="s">
        <v>613</v>
      </c>
      <c r="C136" s="13">
        <v>43</v>
      </c>
      <c r="D136" s="14">
        <v>53.75</v>
      </c>
      <c r="E136" s="15">
        <v>1007</v>
      </c>
      <c r="F136" s="13">
        <v>43</v>
      </c>
      <c r="G136" s="14">
        <v>53.75</v>
      </c>
      <c r="H136" s="15">
        <v>3512</v>
      </c>
      <c r="I136" s="13">
        <v>36</v>
      </c>
      <c r="J136" s="14">
        <v>53.73</v>
      </c>
      <c r="K136" s="15">
        <v>517</v>
      </c>
      <c r="L136" s="16">
        <v>2995</v>
      </c>
    </row>
    <row r="137" ht="15.75" spans="1:12">
      <c r="A137" s="11" t="s">
        <v>4444</v>
      </c>
      <c r="B137" s="12" t="s">
        <v>613</v>
      </c>
      <c r="C137" s="13">
        <v>43</v>
      </c>
      <c r="D137" s="14">
        <v>53.75</v>
      </c>
      <c r="E137" s="15">
        <v>1008</v>
      </c>
      <c r="F137" s="13">
        <v>43</v>
      </c>
      <c r="G137" s="14">
        <v>53.75</v>
      </c>
      <c r="H137" s="15">
        <v>3515</v>
      </c>
      <c r="I137" s="13">
        <v>36</v>
      </c>
      <c r="J137" s="14">
        <v>53.73</v>
      </c>
      <c r="K137" s="15">
        <v>518</v>
      </c>
      <c r="L137" s="16">
        <v>2997</v>
      </c>
    </row>
    <row r="138" ht="15.75" spans="1:12">
      <c r="A138" s="11" t="s">
        <v>4850</v>
      </c>
      <c r="B138" s="12" t="s">
        <v>245</v>
      </c>
      <c r="C138" s="13">
        <v>26</v>
      </c>
      <c r="D138" s="14">
        <v>32.5</v>
      </c>
      <c r="E138" s="15">
        <v>1242</v>
      </c>
      <c r="F138" s="13">
        <v>43</v>
      </c>
      <c r="G138" s="14">
        <v>53.75</v>
      </c>
      <c r="H138" s="15">
        <v>3534</v>
      </c>
      <c r="I138" s="13">
        <v>24</v>
      </c>
      <c r="J138" s="14">
        <v>35.82</v>
      </c>
      <c r="K138" s="15">
        <v>680</v>
      </c>
      <c r="L138" s="16">
        <v>2854</v>
      </c>
    </row>
    <row r="139" ht="15.75" spans="1:12">
      <c r="A139" s="11" t="s">
        <v>4449</v>
      </c>
      <c r="B139" s="12" t="s">
        <v>613</v>
      </c>
      <c r="C139" s="13">
        <v>43</v>
      </c>
      <c r="D139" s="14">
        <v>53.75</v>
      </c>
      <c r="E139" s="15">
        <v>1016</v>
      </c>
      <c r="F139" s="13">
        <v>43</v>
      </c>
      <c r="G139" s="14">
        <v>53.75</v>
      </c>
      <c r="H139" s="15">
        <v>3553</v>
      </c>
      <c r="I139" s="13">
        <v>36</v>
      </c>
      <c r="J139" s="14">
        <v>53.73</v>
      </c>
      <c r="K139" s="15">
        <v>520</v>
      </c>
      <c r="L139" s="16">
        <v>3033</v>
      </c>
    </row>
    <row r="140" ht="15.75" spans="1:12">
      <c r="A140" s="11" t="s">
        <v>3297</v>
      </c>
      <c r="B140" s="12" t="s">
        <v>244</v>
      </c>
      <c r="C140" s="13">
        <v>59</v>
      </c>
      <c r="D140" s="14">
        <v>73.75</v>
      </c>
      <c r="E140" s="15">
        <v>37</v>
      </c>
      <c r="F140" s="13">
        <v>42</v>
      </c>
      <c r="G140" s="14">
        <v>52.5</v>
      </c>
      <c r="H140" s="15">
        <v>3599</v>
      </c>
      <c r="I140" s="13">
        <v>40</v>
      </c>
      <c r="J140" s="14">
        <v>59.7</v>
      </c>
      <c r="K140" s="15">
        <v>405</v>
      </c>
      <c r="L140" s="16">
        <v>3562</v>
      </c>
    </row>
    <row r="141" ht="15.75" spans="1:12">
      <c r="A141" s="11" t="s">
        <v>3306</v>
      </c>
      <c r="B141" s="12" t="s">
        <v>244</v>
      </c>
      <c r="C141" s="13">
        <v>59</v>
      </c>
      <c r="D141" s="14">
        <v>73.75</v>
      </c>
      <c r="E141" s="15">
        <v>40</v>
      </c>
      <c r="F141" s="13">
        <v>42</v>
      </c>
      <c r="G141" s="14">
        <v>52.5</v>
      </c>
      <c r="H141" s="15">
        <v>3621</v>
      </c>
      <c r="I141" s="13">
        <v>40</v>
      </c>
      <c r="J141" s="14">
        <v>59.7</v>
      </c>
      <c r="K141" s="15">
        <v>410</v>
      </c>
      <c r="L141" s="16">
        <v>3581</v>
      </c>
    </row>
    <row r="142" ht="15.75" spans="1:12">
      <c r="A142" s="11" t="s">
        <v>3321</v>
      </c>
      <c r="B142" s="12" t="s">
        <v>244</v>
      </c>
      <c r="C142" s="13">
        <v>59</v>
      </c>
      <c r="D142" s="14">
        <v>73.75</v>
      </c>
      <c r="E142" s="15">
        <v>45</v>
      </c>
      <c r="F142" s="13">
        <v>42</v>
      </c>
      <c r="G142" s="14">
        <v>52.5</v>
      </c>
      <c r="H142" s="15">
        <v>3666</v>
      </c>
      <c r="I142" s="13">
        <v>40</v>
      </c>
      <c r="J142" s="14">
        <v>59.7</v>
      </c>
      <c r="K142" s="15">
        <v>420</v>
      </c>
      <c r="L142" s="16">
        <v>3621</v>
      </c>
    </row>
    <row r="143" ht="15.75" spans="1:12">
      <c r="A143" s="11" t="s">
        <v>3984</v>
      </c>
      <c r="B143" s="12" t="s">
        <v>2360</v>
      </c>
      <c r="C143" s="13">
        <v>42</v>
      </c>
      <c r="D143" s="14">
        <v>52.5</v>
      </c>
      <c r="E143" s="15">
        <v>1038</v>
      </c>
      <c r="F143" s="13">
        <v>42</v>
      </c>
      <c r="G143" s="14">
        <v>52.5</v>
      </c>
      <c r="H143" s="15">
        <v>3680</v>
      </c>
      <c r="I143" s="13">
        <v>42</v>
      </c>
      <c r="J143" s="14">
        <v>62.69</v>
      </c>
      <c r="K143" s="15">
        <v>349</v>
      </c>
      <c r="L143" s="16">
        <v>3331</v>
      </c>
    </row>
    <row r="144" ht="15.75" spans="1:12">
      <c r="A144" s="11" t="s">
        <v>4312</v>
      </c>
      <c r="B144" s="12" t="s">
        <v>666</v>
      </c>
      <c r="C144" s="13">
        <v>42</v>
      </c>
      <c r="D144" s="14">
        <v>52.5</v>
      </c>
      <c r="E144" s="15">
        <v>1040</v>
      </c>
      <c r="F144" s="13">
        <v>42</v>
      </c>
      <c r="G144" s="14">
        <v>52.5</v>
      </c>
      <c r="H144" s="15">
        <v>3686</v>
      </c>
      <c r="I144" s="13">
        <v>38</v>
      </c>
      <c r="J144" s="14">
        <v>56.72</v>
      </c>
      <c r="K144" s="15">
        <v>471</v>
      </c>
      <c r="L144" s="16">
        <v>3215</v>
      </c>
    </row>
    <row r="145" ht="15.75" spans="1:12">
      <c r="A145" s="11" t="s">
        <v>4859</v>
      </c>
      <c r="B145" s="12" t="s">
        <v>245</v>
      </c>
      <c r="C145" s="13">
        <v>26</v>
      </c>
      <c r="D145" s="14">
        <v>32.5</v>
      </c>
      <c r="E145" s="15">
        <v>1241</v>
      </c>
      <c r="F145" s="13">
        <v>42</v>
      </c>
      <c r="G145" s="14">
        <v>52.5</v>
      </c>
      <c r="H145" s="15">
        <v>3699</v>
      </c>
      <c r="I145" s="13">
        <v>23</v>
      </c>
      <c r="J145" s="14">
        <v>34.33</v>
      </c>
      <c r="K145" s="15">
        <v>683</v>
      </c>
      <c r="L145" s="16">
        <v>3016</v>
      </c>
    </row>
    <row r="146" ht="15.75" spans="1:12">
      <c r="A146" s="11" t="s">
        <v>4497</v>
      </c>
      <c r="B146" s="12" t="s">
        <v>579</v>
      </c>
      <c r="C146" s="13">
        <v>40</v>
      </c>
      <c r="D146" s="14">
        <v>50</v>
      </c>
      <c r="E146" s="15">
        <v>1080</v>
      </c>
      <c r="F146" s="13">
        <v>42</v>
      </c>
      <c r="G146" s="14">
        <v>52.5</v>
      </c>
      <c r="H146" s="15">
        <v>3731</v>
      </c>
      <c r="I146" s="13">
        <v>35</v>
      </c>
      <c r="J146" s="14">
        <v>52.24</v>
      </c>
      <c r="K146" s="15">
        <v>538</v>
      </c>
      <c r="L146" s="16">
        <v>3193</v>
      </c>
    </row>
    <row r="147" ht="15.75" spans="1:12">
      <c r="A147" s="11" t="s">
        <v>3333</v>
      </c>
      <c r="B147" s="12" t="s">
        <v>244</v>
      </c>
      <c r="C147" s="13">
        <v>59</v>
      </c>
      <c r="D147" s="14">
        <v>73.75</v>
      </c>
      <c r="E147" s="15">
        <v>50</v>
      </c>
      <c r="F147" s="13">
        <v>42</v>
      </c>
      <c r="G147" s="14">
        <v>52.5</v>
      </c>
      <c r="H147" s="15">
        <v>3733</v>
      </c>
      <c r="I147" s="13">
        <v>40</v>
      </c>
      <c r="J147" s="14">
        <v>59.7</v>
      </c>
      <c r="K147" s="15">
        <v>431</v>
      </c>
      <c r="L147" s="16">
        <v>3683</v>
      </c>
    </row>
    <row r="148" ht="15.75" spans="1:12">
      <c r="A148" s="11" t="s">
        <v>4861</v>
      </c>
      <c r="B148" s="12" t="s">
        <v>245</v>
      </c>
      <c r="C148" s="13">
        <v>25</v>
      </c>
      <c r="D148" s="14">
        <v>31.25</v>
      </c>
      <c r="E148" s="15">
        <v>1243</v>
      </c>
      <c r="F148" s="13">
        <v>42</v>
      </c>
      <c r="G148" s="14">
        <v>52.5</v>
      </c>
      <c r="H148" s="15">
        <v>3762</v>
      </c>
      <c r="I148" s="13">
        <v>23</v>
      </c>
      <c r="J148" s="14">
        <v>34.33</v>
      </c>
      <c r="K148" s="15">
        <v>684</v>
      </c>
      <c r="L148" s="16">
        <v>3078</v>
      </c>
    </row>
    <row r="149" ht="15.75" spans="1:12">
      <c r="A149" s="11" t="s">
        <v>4396</v>
      </c>
      <c r="B149" s="12" t="s">
        <v>666</v>
      </c>
      <c r="C149" s="13">
        <v>42</v>
      </c>
      <c r="D149" s="14">
        <v>52.5</v>
      </c>
      <c r="E149" s="15">
        <v>1051</v>
      </c>
      <c r="F149" s="13">
        <v>42</v>
      </c>
      <c r="G149" s="14">
        <v>52.5</v>
      </c>
      <c r="H149" s="15">
        <v>3772</v>
      </c>
      <c r="I149" s="13">
        <v>37</v>
      </c>
      <c r="J149" s="14">
        <v>55.22</v>
      </c>
      <c r="K149" s="15">
        <v>502</v>
      </c>
      <c r="L149" s="16">
        <v>3270</v>
      </c>
    </row>
    <row r="150" ht="15.75" spans="1:12">
      <c r="A150" s="11" t="s">
        <v>4516</v>
      </c>
      <c r="B150" s="12" t="s">
        <v>613</v>
      </c>
      <c r="C150" s="13">
        <v>42</v>
      </c>
      <c r="D150" s="14">
        <v>52.5</v>
      </c>
      <c r="E150" s="15">
        <v>1055</v>
      </c>
      <c r="F150" s="13">
        <v>42</v>
      </c>
      <c r="G150" s="14">
        <v>52.5</v>
      </c>
      <c r="H150" s="15">
        <v>3789</v>
      </c>
      <c r="I150" s="13">
        <v>35</v>
      </c>
      <c r="J150" s="14">
        <v>52.24</v>
      </c>
      <c r="K150" s="15">
        <v>545</v>
      </c>
      <c r="L150" s="16">
        <v>3244</v>
      </c>
    </row>
    <row r="151" ht="15.75" spans="1:12">
      <c r="A151" s="11" t="s">
        <v>4524</v>
      </c>
      <c r="B151" s="12" t="s">
        <v>613</v>
      </c>
      <c r="C151" s="13">
        <v>41</v>
      </c>
      <c r="D151" s="14">
        <v>51.25</v>
      </c>
      <c r="E151" s="15">
        <v>1058</v>
      </c>
      <c r="F151" s="13">
        <v>41</v>
      </c>
      <c r="G151" s="14">
        <v>51.25</v>
      </c>
      <c r="H151" s="15">
        <v>3816</v>
      </c>
      <c r="I151" s="13">
        <v>34</v>
      </c>
      <c r="J151" s="14">
        <v>50.75</v>
      </c>
      <c r="K151" s="15">
        <v>548</v>
      </c>
      <c r="L151" s="16">
        <v>3268</v>
      </c>
    </row>
    <row r="152" ht="15.75" spans="1:12">
      <c r="A152" s="11" t="s">
        <v>2372</v>
      </c>
      <c r="B152" s="12" t="s">
        <v>2360</v>
      </c>
      <c r="C152" s="13">
        <v>35</v>
      </c>
      <c r="D152" s="14">
        <v>43.75</v>
      </c>
      <c r="E152" s="15">
        <v>1194</v>
      </c>
      <c r="F152" s="13">
        <v>41</v>
      </c>
      <c r="G152" s="14">
        <v>51.25</v>
      </c>
      <c r="H152" s="15">
        <v>3849</v>
      </c>
      <c r="I152" s="13">
        <v>44</v>
      </c>
      <c r="J152" s="14">
        <v>65.67</v>
      </c>
      <c r="K152" s="15">
        <v>286</v>
      </c>
      <c r="L152" s="16">
        <v>3563</v>
      </c>
    </row>
    <row r="153" ht="15.75" spans="1:12">
      <c r="A153" s="11" t="s">
        <v>4555</v>
      </c>
      <c r="B153" s="12" t="s">
        <v>613</v>
      </c>
      <c r="C153" s="13">
        <v>41</v>
      </c>
      <c r="D153" s="14">
        <v>51.25</v>
      </c>
      <c r="E153" s="15">
        <v>1066</v>
      </c>
      <c r="F153" s="13">
        <v>41</v>
      </c>
      <c r="G153" s="14">
        <v>51.25</v>
      </c>
      <c r="H153" s="15">
        <v>3887</v>
      </c>
      <c r="I153" s="13">
        <v>34</v>
      </c>
      <c r="J153" s="14">
        <v>50.75</v>
      </c>
      <c r="K153" s="15">
        <v>560</v>
      </c>
      <c r="L153" s="16">
        <v>3327</v>
      </c>
    </row>
    <row r="154" ht="15.75" spans="1:12">
      <c r="A154" s="11" t="s">
        <v>4121</v>
      </c>
      <c r="B154" s="12" t="s">
        <v>2360</v>
      </c>
      <c r="C154" s="13">
        <v>41</v>
      </c>
      <c r="D154" s="14">
        <v>51.25</v>
      </c>
      <c r="E154" s="15">
        <v>1068</v>
      </c>
      <c r="F154" s="13">
        <v>41</v>
      </c>
      <c r="G154" s="14">
        <v>51.25</v>
      </c>
      <c r="H154" s="15">
        <v>3889</v>
      </c>
      <c r="I154" s="13">
        <v>41</v>
      </c>
      <c r="J154" s="14">
        <v>61.19</v>
      </c>
      <c r="K154" s="15">
        <v>400</v>
      </c>
      <c r="L154" s="16">
        <v>3489</v>
      </c>
    </row>
    <row r="155" ht="15.75" spans="1:12">
      <c r="A155" s="11" t="s">
        <v>4399</v>
      </c>
      <c r="B155" s="12" t="s">
        <v>666</v>
      </c>
      <c r="C155" s="13">
        <v>41</v>
      </c>
      <c r="D155" s="14">
        <v>51.25</v>
      </c>
      <c r="E155" s="15">
        <v>1070</v>
      </c>
      <c r="F155" s="13">
        <v>41</v>
      </c>
      <c r="G155" s="14">
        <v>51.25</v>
      </c>
      <c r="H155" s="15">
        <v>3894</v>
      </c>
      <c r="I155" s="13">
        <v>37</v>
      </c>
      <c r="J155" s="14">
        <v>55.22</v>
      </c>
      <c r="K155" s="15">
        <v>503</v>
      </c>
      <c r="L155" s="16">
        <v>3391</v>
      </c>
    </row>
    <row r="156" ht="15.75" spans="1:12">
      <c r="A156" s="11" t="s">
        <v>4611</v>
      </c>
      <c r="B156" s="12" t="s">
        <v>613</v>
      </c>
      <c r="C156" s="13">
        <v>40</v>
      </c>
      <c r="D156" s="14">
        <v>50</v>
      </c>
      <c r="E156" s="15">
        <v>1083</v>
      </c>
      <c r="F156" s="13">
        <v>40</v>
      </c>
      <c r="G156" s="14">
        <v>50</v>
      </c>
      <c r="H156" s="15">
        <v>3936</v>
      </c>
      <c r="I156" s="13">
        <v>33</v>
      </c>
      <c r="J156" s="14">
        <v>49.25</v>
      </c>
      <c r="K156" s="15">
        <v>581</v>
      </c>
      <c r="L156" s="16">
        <v>3355</v>
      </c>
    </row>
    <row r="157" ht="15.75" spans="1:12">
      <c r="A157" s="11" t="s">
        <v>4222</v>
      </c>
      <c r="B157" s="12" t="s">
        <v>2360</v>
      </c>
      <c r="C157" s="13">
        <v>40</v>
      </c>
      <c r="D157" s="14">
        <v>50</v>
      </c>
      <c r="E157" s="15">
        <v>1084</v>
      </c>
      <c r="F157" s="13">
        <v>40</v>
      </c>
      <c r="G157" s="14">
        <v>50</v>
      </c>
      <c r="H157" s="15">
        <v>3940</v>
      </c>
      <c r="I157" s="13">
        <v>40</v>
      </c>
      <c r="J157" s="14">
        <v>59.7</v>
      </c>
      <c r="K157" s="15">
        <v>439</v>
      </c>
      <c r="L157" s="16">
        <v>3501</v>
      </c>
    </row>
    <row r="158" ht="15.75" spans="1:12">
      <c r="A158" s="11" t="s">
        <v>2365</v>
      </c>
      <c r="B158" s="12" t="s">
        <v>579</v>
      </c>
      <c r="C158" s="13">
        <v>36</v>
      </c>
      <c r="D158" s="14">
        <v>45</v>
      </c>
      <c r="E158" s="15">
        <v>1165</v>
      </c>
      <c r="F158" s="13">
        <v>39</v>
      </c>
      <c r="G158" s="14">
        <v>48.75</v>
      </c>
      <c r="H158" s="15">
        <v>3951</v>
      </c>
      <c r="I158" s="13">
        <v>51</v>
      </c>
      <c r="J158" s="14">
        <v>76.12</v>
      </c>
      <c r="K158" s="15">
        <v>110</v>
      </c>
      <c r="L158" s="16">
        <v>3841</v>
      </c>
    </row>
    <row r="159" ht="15.75" spans="1:12">
      <c r="A159" s="11" t="s">
        <v>4532</v>
      </c>
      <c r="B159" s="12" t="s">
        <v>666</v>
      </c>
      <c r="C159" s="13">
        <v>39</v>
      </c>
      <c r="D159" s="14">
        <v>48.75</v>
      </c>
      <c r="E159" s="15">
        <v>1088</v>
      </c>
      <c r="F159" s="13">
        <v>39</v>
      </c>
      <c r="G159" s="14">
        <v>48.75</v>
      </c>
      <c r="H159" s="15">
        <v>3958</v>
      </c>
      <c r="I159" s="13">
        <v>34</v>
      </c>
      <c r="J159" s="14">
        <v>50.75</v>
      </c>
      <c r="K159" s="15">
        <v>551</v>
      </c>
      <c r="L159" s="16">
        <v>3407</v>
      </c>
    </row>
    <row r="160" ht="15.75" spans="1:12">
      <c r="A160" s="11" t="s">
        <v>4766</v>
      </c>
      <c r="B160" s="12" t="s">
        <v>1867</v>
      </c>
      <c r="C160" s="13">
        <v>37</v>
      </c>
      <c r="D160" s="14">
        <v>46.25</v>
      </c>
      <c r="E160" s="15">
        <v>1148</v>
      </c>
      <c r="F160" s="13">
        <v>39</v>
      </c>
      <c r="G160" s="14">
        <v>48.75</v>
      </c>
      <c r="H160" s="15">
        <v>3959</v>
      </c>
      <c r="I160" s="13">
        <v>30</v>
      </c>
      <c r="J160" s="14">
        <v>44.78</v>
      </c>
      <c r="K160" s="15">
        <v>640</v>
      </c>
      <c r="L160" s="16">
        <v>3319</v>
      </c>
    </row>
    <row r="161" ht="15.75" spans="1:12">
      <c r="A161" s="11" t="s">
        <v>4644</v>
      </c>
      <c r="B161" s="12" t="s">
        <v>613</v>
      </c>
      <c r="C161" s="13">
        <v>39</v>
      </c>
      <c r="D161" s="14">
        <v>48.75</v>
      </c>
      <c r="E161" s="15">
        <v>1089</v>
      </c>
      <c r="F161" s="13">
        <v>39</v>
      </c>
      <c r="G161" s="14">
        <v>48.75</v>
      </c>
      <c r="H161" s="15">
        <v>3960</v>
      </c>
      <c r="I161" s="13">
        <v>32</v>
      </c>
      <c r="J161" s="14">
        <v>47.76</v>
      </c>
      <c r="K161" s="15">
        <v>593</v>
      </c>
      <c r="L161" s="16">
        <v>3367</v>
      </c>
    </row>
    <row r="162" ht="15.75" spans="1:12">
      <c r="A162" s="11" t="s">
        <v>4667</v>
      </c>
      <c r="B162" s="12" t="s">
        <v>613</v>
      </c>
      <c r="C162" s="13">
        <v>39</v>
      </c>
      <c r="D162" s="14">
        <v>48.75</v>
      </c>
      <c r="E162" s="15">
        <v>1098</v>
      </c>
      <c r="F162" s="13">
        <v>39</v>
      </c>
      <c r="G162" s="14">
        <v>48.75</v>
      </c>
      <c r="H162" s="15">
        <v>3994</v>
      </c>
      <c r="I162" s="13">
        <v>32</v>
      </c>
      <c r="J162" s="14">
        <v>47.76</v>
      </c>
      <c r="K162" s="15">
        <v>602</v>
      </c>
      <c r="L162" s="16">
        <v>3392</v>
      </c>
    </row>
    <row r="163" ht="15.75" spans="1:12">
      <c r="A163" s="11" t="s">
        <v>4565</v>
      </c>
      <c r="B163" s="12" t="s">
        <v>666</v>
      </c>
      <c r="C163" s="13">
        <v>39</v>
      </c>
      <c r="D163" s="14">
        <v>48.75</v>
      </c>
      <c r="E163" s="15">
        <v>1099</v>
      </c>
      <c r="F163" s="13">
        <v>39</v>
      </c>
      <c r="G163" s="14">
        <v>48.75</v>
      </c>
      <c r="H163" s="15">
        <v>4002</v>
      </c>
      <c r="I163" s="13">
        <v>34</v>
      </c>
      <c r="J163" s="14">
        <v>50.75</v>
      </c>
      <c r="K163" s="15">
        <v>564</v>
      </c>
      <c r="L163" s="16">
        <v>3438</v>
      </c>
    </row>
    <row r="164" ht="15.75" spans="1:12">
      <c r="A164" s="11" t="s">
        <v>4678</v>
      </c>
      <c r="B164" s="12" t="s">
        <v>613</v>
      </c>
      <c r="C164" s="13">
        <v>39</v>
      </c>
      <c r="D164" s="14">
        <v>48.75</v>
      </c>
      <c r="E164" s="15">
        <v>1101</v>
      </c>
      <c r="F164" s="13">
        <v>39</v>
      </c>
      <c r="G164" s="14">
        <v>48.75</v>
      </c>
      <c r="H164" s="15">
        <v>4005</v>
      </c>
      <c r="I164" s="13">
        <v>32</v>
      </c>
      <c r="J164" s="14">
        <v>47.76</v>
      </c>
      <c r="K164" s="15">
        <v>606</v>
      </c>
      <c r="L164" s="16">
        <v>3399</v>
      </c>
    </row>
    <row r="165" ht="15.75" spans="1:12">
      <c r="A165" s="11" t="s">
        <v>4683</v>
      </c>
      <c r="B165" s="12" t="s">
        <v>613</v>
      </c>
      <c r="C165" s="13">
        <v>38</v>
      </c>
      <c r="D165" s="14">
        <v>47.5</v>
      </c>
      <c r="E165" s="15">
        <v>1106</v>
      </c>
      <c r="F165" s="13">
        <v>38</v>
      </c>
      <c r="G165" s="14">
        <v>47.5</v>
      </c>
      <c r="H165" s="15">
        <v>4068</v>
      </c>
      <c r="I165" s="13">
        <v>31</v>
      </c>
      <c r="J165" s="14">
        <v>46.27</v>
      </c>
      <c r="K165" s="15">
        <v>608</v>
      </c>
      <c r="L165" s="16">
        <v>3460</v>
      </c>
    </row>
    <row r="166" ht="15.75" spans="1:12">
      <c r="A166" s="11" t="s">
        <v>4701</v>
      </c>
      <c r="B166" s="12" t="s">
        <v>613</v>
      </c>
      <c r="C166" s="13">
        <v>38</v>
      </c>
      <c r="D166" s="14">
        <v>47.5</v>
      </c>
      <c r="E166" s="15">
        <v>1111</v>
      </c>
      <c r="F166" s="13">
        <v>38</v>
      </c>
      <c r="G166" s="14">
        <v>47.5</v>
      </c>
      <c r="H166" s="15">
        <v>4174</v>
      </c>
      <c r="I166" s="13">
        <v>31</v>
      </c>
      <c r="J166" s="14">
        <v>46.27</v>
      </c>
      <c r="K166" s="15">
        <v>615</v>
      </c>
      <c r="L166" s="16">
        <v>3559</v>
      </c>
    </row>
    <row r="167" ht="15.75" spans="1:12">
      <c r="A167" s="11" t="s">
        <v>4800</v>
      </c>
      <c r="B167" s="12" t="s">
        <v>1867</v>
      </c>
      <c r="C167" s="13">
        <v>36</v>
      </c>
      <c r="D167" s="14">
        <v>45</v>
      </c>
      <c r="E167" s="15">
        <v>1167</v>
      </c>
      <c r="F167" s="13">
        <v>38</v>
      </c>
      <c r="G167" s="14">
        <v>47.5</v>
      </c>
      <c r="H167" s="15">
        <v>4235</v>
      </c>
      <c r="I167" s="13">
        <v>29</v>
      </c>
      <c r="J167" s="14">
        <v>43.28</v>
      </c>
      <c r="K167" s="15">
        <v>656</v>
      </c>
      <c r="L167" s="16">
        <v>3579</v>
      </c>
    </row>
    <row r="168" ht="15.75" spans="1:12">
      <c r="A168" s="11" t="s">
        <v>4738</v>
      </c>
      <c r="B168" s="12" t="s">
        <v>613</v>
      </c>
      <c r="C168" s="13">
        <v>38</v>
      </c>
      <c r="D168" s="14">
        <v>47.5</v>
      </c>
      <c r="E168" s="15">
        <v>1124</v>
      </c>
      <c r="F168" s="13">
        <v>38</v>
      </c>
      <c r="G168" s="14">
        <v>47.5</v>
      </c>
      <c r="H168" s="15">
        <v>4422</v>
      </c>
      <c r="I168" s="13">
        <v>31</v>
      </c>
      <c r="J168" s="14">
        <v>46.27</v>
      </c>
      <c r="K168" s="15">
        <v>628</v>
      </c>
      <c r="L168" s="16">
        <v>3794</v>
      </c>
    </row>
    <row r="169" ht="15.75" spans="1:12">
      <c r="A169" s="11" t="s">
        <v>4747</v>
      </c>
      <c r="B169" s="12" t="s">
        <v>613</v>
      </c>
      <c r="C169" s="13">
        <v>38</v>
      </c>
      <c r="D169" s="14">
        <v>47.5</v>
      </c>
      <c r="E169" s="15">
        <v>1128</v>
      </c>
      <c r="F169" s="13">
        <v>38</v>
      </c>
      <c r="G169" s="14">
        <v>47.5</v>
      </c>
      <c r="H169" s="15">
        <v>4542</v>
      </c>
      <c r="I169" s="13">
        <v>31</v>
      </c>
      <c r="J169" s="14">
        <v>46.27</v>
      </c>
      <c r="K169" s="15">
        <v>632</v>
      </c>
      <c r="L169" s="16">
        <v>3910</v>
      </c>
    </row>
    <row r="170" ht="15.75" spans="1:12">
      <c r="A170" s="11" t="s">
        <v>4753</v>
      </c>
      <c r="B170" s="12" t="s">
        <v>613</v>
      </c>
      <c r="C170" s="13">
        <v>38</v>
      </c>
      <c r="D170" s="14">
        <v>47.5</v>
      </c>
      <c r="E170" s="15">
        <v>1135</v>
      </c>
      <c r="F170" s="13">
        <v>38</v>
      </c>
      <c r="G170" s="14">
        <v>47.5</v>
      </c>
      <c r="H170" s="15">
        <v>4639</v>
      </c>
      <c r="I170" s="13">
        <v>31</v>
      </c>
      <c r="J170" s="14">
        <v>46.27</v>
      </c>
      <c r="K170" s="15">
        <v>635</v>
      </c>
      <c r="L170" s="16">
        <v>4004</v>
      </c>
    </row>
    <row r="171" ht="15.75" spans="1:12">
      <c r="A171" s="11" t="s">
        <v>4756</v>
      </c>
      <c r="B171" s="12" t="s">
        <v>613</v>
      </c>
      <c r="C171" s="13">
        <v>38</v>
      </c>
      <c r="D171" s="14">
        <v>47.5</v>
      </c>
      <c r="E171" s="15">
        <v>1137</v>
      </c>
      <c r="F171" s="13">
        <v>38</v>
      </c>
      <c r="G171" s="14">
        <v>47.5</v>
      </c>
      <c r="H171" s="15">
        <v>4677</v>
      </c>
      <c r="I171" s="13">
        <v>31</v>
      </c>
      <c r="J171" s="14">
        <v>46.27</v>
      </c>
      <c r="K171" s="15">
        <v>636</v>
      </c>
      <c r="L171" s="16">
        <v>4041</v>
      </c>
    </row>
    <row r="172" ht="15.75" spans="1:12">
      <c r="A172" s="11" t="s">
        <v>4776</v>
      </c>
      <c r="B172" s="12" t="s">
        <v>613</v>
      </c>
      <c r="C172" s="13">
        <v>37</v>
      </c>
      <c r="D172" s="14">
        <v>46.25</v>
      </c>
      <c r="E172" s="15">
        <v>1150</v>
      </c>
      <c r="F172" s="13">
        <v>37</v>
      </c>
      <c r="G172" s="14">
        <v>46.25</v>
      </c>
      <c r="H172" s="15">
        <v>4721</v>
      </c>
      <c r="I172" s="13">
        <v>30</v>
      </c>
      <c r="J172" s="14">
        <v>44.78</v>
      </c>
      <c r="K172" s="15">
        <v>645</v>
      </c>
      <c r="L172" s="16">
        <v>4076</v>
      </c>
    </row>
    <row r="173" ht="15.75" spans="1:12">
      <c r="A173" s="11" t="s">
        <v>4781</v>
      </c>
      <c r="B173" s="12" t="s">
        <v>613</v>
      </c>
      <c r="C173" s="13">
        <v>37</v>
      </c>
      <c r="D173" s="14">
        <v>46.25</v>
      </c>
      <c r="E173" s="15">
        <v>1154</v>
      </c>
      <c r="F173" s="13">
        <v>37</v>
      </c>
      <c r="G173" s="14">
        <v>46.25</v>
      </c>
      <c r="H173" s="15">
        <v>4727</v>
      </c>
      <c r="I173" s="13">
        <v>30</v>
      </c>
      <c r="J173" s="14">
        <v>44.78</v>
      </c>
      <c r="K173" s="15">
        <v>647</v>
      </c>
      <c r="L173" s="16">
        <v>4080</v>
      </c>
    </row>
    <row r="174" ht="15.75" spans="1:12">
      <c r="A174" s="11" t="s">
        <v>4793</v>
      </c>
      <c r="B174" s="12" t="s">
        <v>613</v>
      </c>
      <c r="C174" s="13">
        <v>37</v>
      </c>
      <c r="D174" s="14">
        <v>46.25</v>
      </c>
      <c r="E174" s="15">
        <v>1161</v>
      </c>
      <c r="F174" s="13">
        <v>37</v>
      </c>
      <c r="G174" s="14">
        <v>46.25</v>
      </c>
      <c r="H174" s="15">
        <v>4741</v>
      </c>
      <c r="I174" s="13">
        <v>30</v>
      </c>
      <c r="J174" s="14">
        <v>44.78</v>
      </c>
      <c r="K174" s="15">
        <v>653</v>
      </c>
      <c r="L174" s="16">
        <v>4088</v>
      </c>
    </row>
    <row r="175" ht="15.75" spans="1:12">
      <c r="A175" s="11" t="s">
        <v>4825</v>
      </c>
      <c r="B175" s="12" t="s">
        <v>1867</v>
      </c>
      <c r="C175" s="13">
        <v>34</v>
      </c>
      <c r="D175" s="14">
        <v>42.5</v>
      </c>
      <c r="E175" s="15">
        <v>1206</v>
      </c>
      <c r="F175" s="13">
        <v>36</v>
      </c>
      <c r="G175" s="14">
        <v>45</v>
      </c>
      <c r="H175" s="15">
        <v>4755</v>
      </c>
      <c r="I175" s="13">
        <v>27</v>
      </c>
      <c r="J175" s="14">
        <v>40.3</v>
      </c>
      <c r="K175" s="15">
        <v>668</v>
      </c>
      <c r="L175" s="16">
        <v>4087</v>
      </c>
    </row>
    <row r="176" ht="15.75" spans="1:12">
      <c r="A176" s="11" t="s">
        <v>3616</v>
      </c>
      <c r="B176" s="12" t="s">
        <v>244</v>
      </c>
      <c r="C176" s="13">
        <v>53</v>
      </c>
      <c r="D176" s="14">
        <v>66.25</v>
      </c>
      <c r="E176" s="15">
        <v>164</v>
      </c>
      <c r="F176" s="13">
        <v>36</v>
      </c>
      <c r="G176" s="14">
        <v>45</v>
      </c>
      <c r="H176" s="15">
        <v>4792</v>
      </c>
      <c r="I176" s="13">
        <v>34</v>
      </c>
      <c r="J176" s="14">
        <v>50.75</v>
      </c>
      <c r="K176" s="15">
        <v>554</v>
      </c>
      <c r="L176" s="16">
        <v>4628</v>
      </c>
    </row>
    <row r="177" ht="15.75" spans="1:12">
      <c r="A177" s="11" t="s">
        <v>3646</v>
      </c>
      <c r="B177" s="12" t="s">
        <v>244</v>
      </c>
      <c r="C177" s="13">
        <v>52</v>
      </c>
      <c r="D177" s="14">
        <v>65</v>
      </c>
      <c r="E177" s="15">
        <v>181</v>
      </c>
      <c r="F177" s="13">
        <v>36</v>
      </c>
      <c r="G177" s="14">
        <v>45</v>
      </c>
      <c r="H177" s="15">
        <v>4800</v>
      </c>
      <c r="I177" s="13">
        <v>33</v>
      </c>
      <c r="J177" s="14">
        <v>49.25</v>
      </c>
      <c r="K177" s="15">
        <v>580</v>
      </c>
      <c r="L177" s="16">
        <v>4619</v>
      </c>
    </row>
    <row r="178" ht="15.75" spans="1:12">
      <c r="A178" s="11" t="s">
        <v>3627</v>
      </c>
      <c r="B178" s="12" t="s">
        <v>244</v>
      </c>
      <c r="C178" s="13">
        <v>53</v>
      </c>
      <c r="D178" s="14">
        <v>66.25</v>
      </c>
      <c r="E178" s="15">
        <v>169</v>
      </c>
      <c r="F178" s="13">
        <v>36</v>
      </c>
      <c r="G178" s="14">
        <v>45</v>
      </c>
      <c r="H178" s="15">
        <v>4808</v>
      </c>
      <c r="I178" s="13">
        <v>34</v>
      </c>
      <c r="J178" s="14">
        <v>50.75</v>
      </c>
      <c r="K178" s="15">
        <v>561</v>
      </c>
      <c r="L178" s="16">
        <v>4639</v>
      </c>
    </row>
    <row r="179" ht="15.75" spans="1:12">
      <c r="A179" s="11" t="s">
        <v>4808</v>
      </c>
      <c r="B179" s="12" t="s">
        <v>613</v>
      </c>
      <c r="C179" s="13">
        <v>35</v>
      </c>
      <c r="D179" s="14">
        <v>43.75</v>
      </c>
      <c r="E179" s="15">
        <v>1188</v>
      </c>
      <c r="F179" s="13">
        <v>35</v>
      </c>
      <c r="G179" s="14">
        <v>43.75</v>
      </c>
      <c r="H179" s="15">
        <v>4831</v>
      </c>
      <c r="I179" s="13">
        <v>28</v>
      </c>
      <c r="J179" s="14">
        <v>41.79</v>
      </c>
      <c r="K179" s="15">
        <v>660</v>
      </c>
      <c r="L179" s="16">
        <v>4171</v>
      </c>
    </row>
    <row r="180" ht="15.75" spans="1:12">
      <c r="A180" s="11" t="s">
        <v>2469</v>
      </c>
      <c r="B180" s="12" t="s">
        <v>597</v>
      </c>
      <c r="C180" s="13">
        <v>37</v>
      </c>
      <c r="D180" s="14">
        <v>46.25</v>
      </c>
      <c r="E180" s="15">
        <v>1149</v>
      </c>
      <c r="F180" s="13">
        <v>35</v>
      </c>
      <c r="G180" s="14">
        <v>43.75</v>
      </c>
      <c r="H180" s="15">
        <v>4845</v>
      </c>
      <c r="I180" s="13">
        <v>37</v>
      </c>
      <c r="J180" s="14">
        <v>55.22</v>
      </c>
      <c r="K180" s="15">
        <v>489</v>
      </c>
      <c r="L180" s="16">
        <v>4356</v>
      </c>
    </row>
    <row r="181" ht="15.75" spans="1:12">
      <c r="A181" s="11" t="s">
        <v>4813</v>
      </c>
      <c r="B181" s="12" t="s">
        <v>613</v>
      </c>
      <c r="C181" s="13">
        <v>35</v>
      </c>
      <c r="D181" s="14">
        <v>43.75</v>
      </c>
      <c r="E181" s="15">
        <v>1195</v>
      </c>
      <c r="F181" s="13">
        <v>35</v>
      </c>
      <c r="G181" s="14">
        <v>43.75</v>
      </c>
      <c r="H181" s="15">
        <v>4857</v>
      </c>
      <c r="I181" s="13">
        <v>28</v>
      </c>
      <c r="J181" s="14">
        <v>41.79</v>
      </c>
      <c r="K181" s="15">
        <v>662</v>
      </c>
      <c r="L181" s="16">
        <v>4195</v>
      </c>
    </row>
    <row r="182" ht="15.75" spans="1:12">
      <c r="A182" s="11" t="s">
        <v>4818</v>
      </c>
      <c r="B182" s="12" t="s">
        <v>613</v>
      </c>
      <c r="C182" s="13">
        <v>35</v>
      </c>
      <c r="D182" s="14">
        <v>43.75</v>
      </c>
      <c r="E182" s="15">
        <v>1198</v>
      </c>
      <c r="F182" s="13">
        <v>35</v>
      </c>
      <c r="G182" s="14">
        <v>43.75</v>
      </c>
      <c r="H182" s="15">
        <v>4859</v>
      </c>
      <c r="I182" s="13">
        <v>28</v>
      </c>
      <c r="J182" s="14">
        <v>41.79</v>
      </c>
      <c r="K182" s="15">
        <v>664</v>
      </c>
      <c r="L182" s="16">
        <v>4195</v>
      </c>
    </row>
    <row r="183" ht="15.75" spans="1:12">
      <c r="A183" s="11" t="s">
        <v>3645</v>
      </c>
      <c r="B183" s="12" t="s">
        <v>244</v>
      </c>
      <c r="C183" s="13">
        <v>52</v>
      </c>
      <c r="D183" s="14">
        <v>65</v>
      </c>
      <c r="E183" s="15">
        <v>180</v>
      </c>
      <c r="F183" s="13">
        <v>35</v>
      </c>
      <c r="G183" s="14">
        <v>43.75</v>
      </c>
      <c r="H183" s="15">
        <v>4866</v>
      </c>
      <c r="I183" s="13">
        <v>33</v>
      </c>
      <c r="J183" s="14">
        <v>49.25</v>
      </c>
      <c r="K183" s="15">
        <v>579</v>
      </c>
      <c r="L183" s="16">
        <v>4686</v>
      </c>
    </row>
    <row r="184" ht="15.75" spans="1:12">
      <c r="A184" s="11" t="s">
        <v>4839</v>
      </c>
      <c r="B184" s="12" t="s">
        <v>1867</v>
      </c>
      <c r="C184" s="13">
        <v>33</v>
      </c>
      <c r="D184" s="14">
        <v>41.25</v>
      </c>
      <c r="E184" s="15">
        <v>1217</v>
      </c>
      <c r="F184" s="13">
        <v>35</v>
      </c>
      <c r="G184" s="14">
        <v>43.75</v>
      </c>
      <c r="H184" s="15">
        <v>4867</v>
      </c>
      <c r="I184" s="13">
        <v>26</v>
      </c>
      <c r="J184" s="14">
        <v>38.81</v>
      </c>
      <c r="K184" s="15">
        <v>674</v>
      </c>
      <c r="L184" s="16">
        <v>4193</v>
      </c>
    </row>
    <row r="185" ht="15.75" spans="1:12">
      <c r="A185" s="11" t="s">
        <v>4519</v>
      </c>
      <c r="B185" s="12" t="s">
        <v>597</v>
      </c>
      <c r="C185" s="13">
        <v>48</v>
      </c>
      <c r="D185" s="14">
        <v>60</v>
      </c>
      <c r="E185" s="15">
        <v>643</v>
      </c>
      <c r="F185" s="13">
        <v>34</v>
      </c>
      <c r="G185" s="14">
        <v>42.5</v>
      </c>
      <c r="H185" s="15">
        <v>4881</v>
      </c>
      <c r="I185" s="13">
        <v>34</v>
      </c>
      <c r="J185" s="14">
        <v>50.75</v>
      </c>
      <c r="K185" s="15">
        <v>546</v>
      </c>
      <c r="L185" s="16">
        <v>4335</v>
      </c>
    </row>
    <row r="186" ht="15.75" spans="1:12">
      <c r="A186" s="11" t="s">
        <v>4845</v>
      </c>
      <c r="B186" s="12" t="s">
        <v>1867</v>
      </c>
      <c r="C186" s="13">
        <v>34</v>
      </c>
      <c r="D186" s="14">
        <v>42.5</v>
      </c>
      <c r="E186" s="15">
        <v>1208</v>
      </c>
      <c r="F186" s="13">
        <v>34</v>
      </c>
      <c r="G186" s="14">
        <v>42.5</v>
      </c>
      <c r="H186" s="15">
        <v>4888</v>
      </c>
      <c r="I186" s="13">
        <v>25</v>
      </c>
      <c r="J186" s="14">
        <v>37.31</v>
      </c>
      <c r="K186" s="15">
        <v>677</v>
      </c>
      <c r="L186" s="16">
        <v>4211</v>
      </c>
    </row>
    <row r="187" ht="15.75" spans="1:12">
      <c r="A187" s="11" t="s">
        <v>4849</v>
      </c>
      <c r="B187" s="12" t="s">
        <v>1867</v>
      </c>
      <c r="C187" s="13">
        <v>31</v>
      </c>
      <c r="D187" s="14">
        <v>38.75</v>
      </c>
      <c r="E187" s="15">
        <v>1232</v>
      </c>
      <c r="F187" s="13">
        <v>34</v>
      </c>
      <c r="G187" s="14">
        <v>42.5</v>
      </c>
      <c r="H187" s="15">
        <v>4896</v>
      </c>
      <c r="I187" s="13">
        <v>24</v>
      </c>
      <c r="J187" s="14">
        <v>35.82</v>
      </c>
      <c r="K187" s="15">
        <v>679</v>
      </c>
      <c r="L187" s="16">
        <v>4217</v>
      </c>
    </row>
    <row r="188" ht="15.75" spans="1:12">
      <c r="A188" s="11" t="s">
        <v>3685</v>
      </c>
      <c r="B188" s="12" t="s">
        <v>244</v>
      </c>
      <c r="C188" s="13">
        <v>51</v>
      </c>
      <c r="D188" s="14">
        <v>63.75</v>
      </c>
      <c r="E188" s="15">
        <v>201</v>
      </c>
      <c r="F188" s="13">
        <v>34</v>
      </c>
      <c r="G188" s="14">
        <v>42.5</v>
      </c>
      <c r="H188" s="15">
        <v>4901</v>
      </c>
      <c r="I188" s="13">
        <v>32</v>
      </c>
      <c r="J188" s="14">
        <v>47.76</v>
      </c>
      <c r="K188" s="15">
        <v>599</v>
      </c>
      <c r="L188" s="16">
        <v>4700</v>
      </c>
    </row>
    <row r="189" ht="15.75" spans="1:12">
      <c r="A189" s="11" t="s">
        <v>3693</v>
      </c>
      <c r="B189" s="12" t="s">
        <v>244</v>
      </c>
      <c r="C189" s="13">
        <v>51</v>
      </c>
      <c r="D189" s="14">
        <v>63.75</v>
      </c>
      <c r="E189" s="15">
        <v>204</v>
      </c>
      <c r="F189" s="13">
        <v>34</v>
      </c>
      <c r="G189" s="14">
        <v>42.5</v>
      </c>
      <c r="H189" s="15">
        <v>4906</v>
      </c>
      <c r="I189" s="13">
        <v>32</v>
      </c>
      <c r="J189" s="14">
        <v>47.76</v>
      </c>
      <c r="K189" s="15">
        <v>601</v>
      </c>
      <c r="L189" s="16">
        <v>4702</v>
      </c>
    </row>
    <row r="190" ht="15.75" spans="1:12">
      <c r="A190" s="11" t="s">
        <v>4549</v>
      </c>
      <c r="B190" s="12" t="s">
        <v>2360</v>
      </c>
      <c r="C190" s="13">
        <v>34</v>
      </c>
      <c r="D190" s="14">
        <v>42.5</v>
      </c>
      <c r="E190" s="15">
        <v>1212</v>
      </c>
      <c r="F190" s="13">
        <v>34</v>
      </c>
      <c r="G190" s="14">
        <v>42.5</v>
      </c>
      <c r="H190" s="15">
        <v>4911</v>
      </c>
      <c r="I190" s="13">
        <v>34</v>
      </c>
      <c r="J190" s="14">
        <v>50.75</v>
      </c>
      <c r="K190" s="15">
        <v>558</v>
      </c>
      <c r="L190" s="16">
        <v>4353</v>
      </c>
    </row>
    <row r="191" ht="15.75" spans="1:12">
      <c r="A191" s="11" t="s">
        <v>4822</v>
      </c>
      <c r="B191" s="12" t="s">
        <v>666</v>
      </c>
      <c r="C191" s="13">
        <v>32</v>
      </c>
      <c r="D191" s="14">
        <v>40</v>
      </c>
      <c r="E191" s="15">
        <v>1222</v>
      </c>
      <c r="F191" s="13">
        <v>32</v>
      </c>
      <c r="G191" s="14">
        <v>40</v>
      </c>
      <c r="H191" s="15">
        <v>4990</v>
      </c>
      <c r="I191" s="13">
        <v>27</v>
      </c>
      <c r="J191" s="14">
        <v>40.3</v>
      </c>
      <c r="K191" s="15">
        <v>667</v>
      </c>
      <c r="L191" s="16">
        <v>4323</v>
      </c>
    </row>
    <row r="192" ht="15.75" spans="1:12">
      <c r="A192" s="11" t="s">
        <v>4863</v>
      </c>
      <c r="B192" s="12" t="s">
        <v>666</v>
      </c>
      <c r="C192" s="13">
        <v>30</v>
      </c>
      <c r="D192" s="14">
        <v>37.5</v>
      </c>
      <c r="E192" s="15">
        <v>1236</v>
      </c>
      <c r="F192" s="13">
        <v>32</v>
      </c>
      <c r="G192" s="14">
        <v>40</v>
      </c>
      <c r="H192" s="15">
        <v>4997</v>
      </c>
      <c r="I192" s="13">
        <v>20</v>
      </c>
      <c r="J192" s="14">
        <v>29.85</v>
      </c>
      <c r="K192" s="15">
        <v>685</v>
      </c>
      <c r="L192" s="16">
        <v>4312</v>
      </c>
    </row>
    <row r="193" ht="15.75" spans="1:12">
      <c r="A193" s="11" t="s">
        <v>4810</v>
      </c>
      <c r="B193" s="12" t="s">
        <v>666</v>
      </c>
      <c r="C193" s="13">
        <v>32</v>
      </c>
      <c r="D193" s="14">
        <v>40</v>
      </c>
      <c r="E193" s="15">
        <v>1223</v>
      </c>
      <c r="F193" s="13">
        <v>32</v>
      </c>
      <c r="G193" s="14">
        <v>40</v>
      </c>
      <c r="H193" s="15">
        <v>5000</v>
      </c>
      <c r="I193" s="13">
        <v>28</v>
      </c>
      <c r="J193" s="14">
        <v>41.79</v>
      </c>
      <c r="K193" s="15">
        <v>661</v>
      </c>
      <c r="L193" s="16">
        <v>4339</v>
      </c>
    </row>
    <row r="194" ht="15.75" spans="1:12">
      <c r="A194" s="11" t="s">
        <v>4646</v>
      </c>
      <c r="B194" s="12" t="s">
        <v>2360</v>
      </c>
      <c r="C194" s="13">
        <v>32</v>
      </c>
      <c r="D194" s="14">
        <v>40</v>
      </c>
      <c r="E194" s="15">
        <v>1226</v>
      </c>
      <c r="F194" s="13">
        <v>32</v>
      </c>
      <c r="G194" s="14">
        <v>40</v>
      </c>
      <c r="H194" s="15">
        <v>5005</v>
      </c>
      <c r="I194" s="13">
        <v>32</v>
      </c>
      <c r="J194" s="14">
        <v>47.76</v>
      </c>
      <c r="K194" s="15">
        <v>594</v>
      </c>
      <c r="L194" s="16">
        <v>4411</v>
      </c>
    </row>
    <row r="195" ht="15.75" spans="1:12">
      <c r="A195" s="11" t="s">
        <v>4791</v>
      </c>
      <c r="B195" s="12" t="s">
        <v>244</v>
      </c>
      <c r="C195" s="13">
        <v>47</v>
      </c>
      <c r="D195" s="14">
        <v>58.75</v>
      </c>
      <c r="E195" s="15">
        <v>653</v>
      </c>
      <c r="F195" s="13">
        <v>31</v>
      </c>
      <c r="G195" s="14">
        <v>38.75</v>
      </c>
      <c r="H195" s="15">
        <v>5047</v>
      </c>
      <c r="I195" s="13">
        <v>28</v>
      </c>
      <c r="J195" s="14">
        <v>41.79</v>
      </c>
      <c r="K195" s="15">
        <v>659</v>
      </c>
      <c r="L195" s="16">
        <v>4394</v>
      </c>
    </row>
    <row r="196" ht="15.75" spans="1:12">
      <c r="A196" s="11" t="s">
        <v>4779</v>
      </c>
      <c r="B196" s="12" t="s">
        <v>244</v>
      </c>
      <c r="C196" s="13">
        <v>48</v>
      </c>
      <c r="D196" s="14">
        <v>60</v>
      </c>
      <c r="E196" s="15">
        <v>647</v>
      </c>
      <c r="F196" s="13">
        <v>31</v>
      </c>
      <c r="G196" s="14">
        <v>38.75</v>
      </c>
      <c r="H196" s="15">
        <v>5076</v>
      </c>
      <c r="I196" s="13">
        <v>29</v>
      </c>
      <c r="J196" s="14">
        <v>43.28</v>
      </c>
      <c r="K196" s="15">
        <v>657</v>
      </c>
      <c r="L196" s="16">
        <v>4429</v>
      </c>
    </row>
    <row r="197" ht="15.75" spans="1:12">
      <c r="A197" s="11" t="s">
        <v>3265</v>
      </c>
      <c r="B197" s="12" t="s">
        <v>597</v>
      </c>
      <c r="C197" s="13">
        <v>61</v>
      </c>
      <c r="D197" s="14">
        <v>76.25</v>
      </c>
      <c r="E197" s="15">
        <v>25</v>
      </c>
      <c r="F197" s="13">
        <v>28</v>
      </c>
      <c r="G197" s="14">
        <v>35</v>
      </c>
      <c r="H197" s="15">
        <v>5107</v>
      </c>
      <c r="I197" s="13">
        <v>26</v>
      </c>
      <c r="J197" s="14">
        <v>38.81</v>
      </c>
      <c r="K197" s="15">
        <v>676</v>
      </c>
      <c r="L197" s="16">
        <v>5082</v>
      </c>
    </row>
    <row r="198" ht="15.75" spans="1:12">
      <c r="A198" s="11" t="s">
        <v>4853</v>
      </c>
      <c r="B198" s="12" t="s">
        <v>244</v>
      </c>
      <c r="C198" s="13">
        <v>43</v>
      </c>
      <c r="D198" s="14">
        <v>53.75</v>
      </c>
      <c r="E198" s="15">
        <v>1017</v>
      </c>
      <c r="F198" s="13">
        <v>27</v>
      </c>
      <c r="G198" s="14">
        <v>33.75</v>
      </c>
      <c r="H198" s="15">
        <v>5109</v>
      </c>
      <c r="I198" s="13">
        <v>24</v>
      </c>
      <c r="J198" s="14">
        <v>35.82</v>
      </c>
      <c r="K198" s="15">
        <v>681</v>
      </c>
      <c r="L198" s="16">
        <v>4428</v>
      </c>
    </row>
    <row r="199" ht="15.75" spans="1:12">
      <c r="A199" s="11" t="s">
        <v>4856</v>
      </c>
      <c r="B199" s="12" t="s">
        <v>244</v>
      </c>
      <c r="C199" s="13">
        <v>43</v>
      </c>
      <c r="D199" s="14">
        <v>53.75</v>
      </c>
      <c r="E199" s="15">
        <v>1020</v>
      </c>
      <c r="F199" s="13">
        <v>27</v>
      </c>
      <c r="G199" s="14">
        <v>33.75</v>
      </c>
      <c r="H199" s="15">
        <v>5110</v>
      </c>
      <c r="I199" s="13">
        <v>24</v>
      </c>
      <c r="J199" s="14">
        <v>35.82</v>
      </c>
      <c r="K199" s="15">
        <v>682</v>
      </c>
      <c r="L199" s="16">
        <v>4428</v>
      </c>
    </row>
  </sheetData>
  <mergeCells count="2">
    <mergeCell ref="A1:I1"/>
    <mergeCell ref="A2:I2"/>
  </mergeCells>
  <pageMargins left="0.7" right="0.7" top="0.75" bottom="0.75" header="0.3" footer="0.3"/>
  <pageSetup paperSize="1" orientation="portrait"/>
  <headerFooter/>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9"/>
  <sheetViews>
    <sheetView workbookViewId="0">
      <pane ySplit="4" topLeftCell="A5" activePane="bottomLeft" state="frozen"/>
      <selection/>
      <selection pane="bottomLeft" activeCell="A1" sqref="A1:D1"/>
    </sheetView>
  </sheetViews>
  <sheetFormatPr defaultColWidth="9" defaultRowHeight="15" outlineLevelCol="3"/>
  <cols>
    <col min="1" max="1" width="5" customWidth="1"/>
    <col min="2" max="2" width="42" customWidth="1"/>
    <col min="3" max="3" width="14" customWidth="1"/>
    <col min="4" max="4" width="104" customWidth="1"/>
  </cols>
  <sheetData>
    <row r="1" ht="24" customHeight="1" spans="1:4">
      <c r="A1" s="3" t="s">
        <v>8365</v>
      </c>
    </row>
    <row r="2" ht="30" customHeight="1" spans="1:4">
      <c r="A2" s="4" t="s">
        <v>8366</v>
      </c>
    </row>
    <row r="4" ht="24" customHeight="1" spans="1:4">
      <c r="A4" s="5" t="s">
        <v>1951</v>
      </c>
      <c r="B4" s="5" t="s">
        <v>2865</v>
      </c>
      <c r="C4" s="5" t="s">
        <v>2866</v>
      </c>
      <c r="D4" s="5" t="s">
        <v>1879</v>
      </c>
    </row>
    <row r="5" ht="28" customHeight="1" spans="1:4">
      <c r="A5" s="6">
        <v>1</v>
      </c>
      <c r="B5" s="7" t="s">
        <v>8367</v>
      </c>
      <c r="C5" s="8" t="s">
        <v>8368</v>
      </c>
      <c r="D5" s="9" t="s">
        <v>8369</v>
      </c>
    </row>
    <row r="6" ht="28" customHeight="1" spans="1:4">
      <c r="A6" s="6">
        <v>2</v>
      </c>
      <c r="B6" s="7" t="s">
        <v>8370</v>
      </c>
      <c r="C6" s="8" t="s">
        <v>8368</v>
      </c>
      <c r="D6" s="9" t="s">
        <v>8371</v>
      </c>
    </row>
    <row r="7" ht="28" customHeight="1" spans="1:4">
      <c r="A7" s="6">
        <v>3</v>
      </c>
      <c r="B7" s="7" t="s">
        <v>8372</v>
      </c>
      <c r="C7" s="8" t="s">
        <v>8368</v>
      </c>
      <c r="D7" s="9" t="s">
        <v>8373</v>
      </c>
    </row>
    <row r="8" ht="28" customHeight="1" spans="1:4">
      <c r="A8" s="6">
        <v>4</v>
      </c>
      <c r="B8" s="7" t="s">
        <v>8374</v>
      </c>
      <c r="C8" s="8">
        <v>6991</v>
      </c>
      <c r="D8" s="9" t="s">
        <v>8375</v>
      </c>
    </row>
    <row r="9" ht="28" customHeight="1" spans="1:4">
      <c r="A9" s="6">
        <v>5</v>
      </c>
      <c r="B9" s="7" t="s">
        <v>8376</v>
      </c>
      <c r="C9" s="8">
        <v>3</v>
      </c>
      <c r="D9" s="9" t="s">
        <v>8377</v>
      </c>
    </row>
    <row r="10" ht="28" customHeight="1" spans="1:4">
      <c r="A10" s="6">
        <v>6</v>
      </c>
      <c r="B10" s="7" t="s">
        <v>8378</v>
      </c>
      <c r="C10" s="8" t="s">
        <v>8368</v>
      </c>
      <c r="D10" s="9" t="s">
        <v>8379</v>
      </c>
    </row>
    <row r="11" ht="28" customHeight="1" spans="1:4">
      <c r="A11" s="6">
        <v>7</v>
      </c>
      <c r="B11" s="7" t="s">
        <v>8380</v>
      </c>
      <c r="C11" s="8" t="s">
        <v>8381</v>
      </c>
      <c r="D11" s="9" t="s">
        <v>8382</v>
      </c>
    </row>
    <row r="12" ht="28" customHeight="1" spans="1:4">
      <c r="A12" s="6">
        <v>8</v>
      </c>
      <c r="B12" s="7" t="s">
        <v>8383</v>
      </c>
      <c r="C12" s="8" t="e">
        <f>IF(AND(MAX('[5]#REF'!$D$6:$D$1248)=100,MAX('[5]#REF'!$I$6:$I$5120)=100,MAX('[5]#REF'!$N$6:$N$692)=100),"PASS","FAIL")</f>
        <v>#REF!</v>
      </c>
      <c r="D12" s="9" t="s">
        <v>8384</v>
      </c>
    </row>
    <row r="13" ht="28" customHeight="1" spans="1:4">
      <c r="A13" s="6">
        <v>9</v>
      </c>
      <c r="B13" s="7" t="s">
        <v>8385</v>
      </c>
      <c r="C13" s="8" t="e">
        <f>IF(AND(MIN('[5]#REF'!$D$6:$D$1248)&gt;=0,MAX('[5]#REF'!$D$6:$D$1248)&lt;=100,MIN('[5]#REF'!$I$6:$I$5120)&gt;=0,MAX('[5]#REF'!$I$6:$I$5120)&lt;=100,MIN('[5]#REF'!$N$6:$N$692)&gt;=0,MAX('[5]#REF'!$N$6:$N$692)&lt;=100),"PASS","FAIL")</f>
        <v>#REF!</v>
      </c>
      <c r="D13" s="9"/>
    </row>
    <row r="14" ht="28" customHeight="1" spans="1:4">
      <c r="A14" s="6">
        <v>10</v>
      </c>
      <c r="B14" s="7" t="s">
        <v>8386</v>
      </c>
      <c r="C14" s="8" t="s">
        <v>8368</v>
      </c>
      <c r="D14" s="9" t="s">
        <v>8387</v>
      </c>
    </row>
    <row r="15" ht="28" customHeight="1" spans="1:4">
      <c r="A15" s="6">
        <v>11</v>
      </c>
      <c r="B15" s="7" t="s">
        <v>8388</v>
      </c>
      <c r="C15" s="8" t="e">
        <f>IF(AND('[6]#REF'!B26=COUNT('[4]#REF'!$D$6:$D$1248),'[6]#REF'!C26=COUNT('[5]#REF'!$D$6:$D$1248),'[6]#REF'!D26=COUNT('[4]#REF'!$I$6:$I$5120),'[6]#REF'!E26=COUNT('[5]#REF'!$I$6:$I$5120),'[6]#REF'!F26=COUNT('[4]#REF'!$N$6:$N$692),'[6]#REF'!G26=COUNT('[5]#REF'!$N$6:$N$692)),"PASS","FAIL")</f>
        <v>#REF!</v>
      </c>
      <c r="D15" s="9" t="s">
        <v>8389</v>
      </c>
    </row>
    <row r="16" ht="28" customHeight="1" spans="1:4">
      <c r="A16" s="6">
        <v>12</v>
      </c>
      <c r="B16" s="7" t="s">
        <v>8390</v>
      </c>
      <c r="C16" s="8" t="s">
        <v>8368</v>
      </c>
      <c r="D16" s="9" t="s">
        <v>8391</v>
      </c>
    </row>
    <row r="17" ht="28" customHeight="1" spans="1:4">
      <c r="A17" s="6">
        <v>13</v>
      </c>
      <c r="B17" s="7" t="s">
        <v>8392</v>
      </c>
      <c r="C17" s="8" t="s">
        <v>8368</v>
      </c>
      <c r="D17" s="9" t="s">
        <v>8393</v>
      </c>
    </row>
    <row r="18" ht="28" customHeight="1" spans="1:4">
      <c r="A18" s="6">
        <v>14</v>
      </c>
      <c r="B18" s="7" t="s">
        <v>8394</v>
      </c>
      <c r="C18" s="8" t="s">
        <v>8368</v>
      </c>
      <c r="D18" s="9" t="s">
        <v>8395</v>
      </c>
    </row>
    <row r="19" ht="28" customHeight="1" spans="1:4">
      <c r="A19" s="6">
        <v>15</v>
      </c>
      <c r="B19" s="7" t="s">
        <v>8396</v>
      </c>
      <c r="C19" s="8">
        <v>194</v>
      </c>
      <c r="D19" s="9" t="s">
        <v>8397</v>
      </c>
    </row>
  </sheetData>
  <mergeCells count="2">
    <mergeCell ref="A1:D1"/>
    <mergeCell ref="A2:D2"/>
  </mergeCells>
  <pageMargins left="0.7" right="0.7" top="0.75" bottom="0.75" header="0.3" footer="0.3"/>
  <pageSetup paperSize="1" orientation="portrait"/>
  <headerFooter/>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2"/>
  <sheetViews>
    <sheetView workbookViewId="0">
      <selection activeCell="A1" sqref="A1"/>
    </sheetView>
  </sheetViews>
  <sheetFormatPr defaultColWidth="9" defaultRowHeight="15" outlineLevelRow="1"/>
  <sheetData>
    <row r="1" ht="18" customHeight="1" spans="1:1">
      <c r="A1" s="1" t="s">
        <v>8398</v>
      </c>
    </row>
    <row r="2" spans="1:1">
      <c r="A2" s="2" t="s">
        <v>8399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38</vt:i4>
      </vt:variant>
    </vt:vector>
  </HeadingPairs>
  <TitlesOfParts>
    <vt:vector size="38" baseType="lpstr">
      <vt:lpstr>Unified_Spec</vt:lpstr>
      <vt:lpstr>README</vt:lpstr>
      <vt:lpstr>Brand_Profile</vt:lpstr>
      <vt:lpstr>Campaign_Profile</vt:lpstr>
      <vt:lpstr>Campaign_Match</vt:lpstr>
      <vt:lpstr>Unified_Match</vt:lpstr>
      <vt:lpstr>KOL_Database</vt:lpstr>
      <vt:lpstr>Matching_Engine</vt:lpstr>
      <vt:lpstr>Match_Explanation</vt:lpstr>
      <vt:lpstr>Discovery_Filters</vt:lpstr>
      <vt:lpstr>Discovery_Ranking</vt:lpstr>
      <vt:lpstr>Filter_Logic</vt:lpstr>
      <vt:lpstr>Taxonomy</vt:lpstr>
      <vt:lpstr>Sample_Brands</vt:lpstr>
      <vt:lpstr>Sample_Output</vt:lpstr>
      <vt:lpstr>Lookup_Lists</vt:lpstr>
      <vt:lpstr>CMP_README</vt:lpstr>
      <vt:lpstr>CMP_KOL_Source_Data</vt:lpstr>
      <vt:lpstr>CMP_Brand_Profile</vt:lpstr>
      <vt:lpstr>CMP_Matching_Engine</vt:lpstr>
      <vt:lpstr>CMP_Score_Breakdown</vt:lpstr>
      <vt:lpstr>CMP_Match_Explanation</vt:lpstr>
      <vt:lpstr>CMP_Brand_Comparison</vt:lpstr>
      <vt:lpstr>CMP_Brand_Ranking</vt:lpstr>
      <vt:lpstr>CMP_Top_Matches</vt:lpstr>
      <vt:lpstr>CMP_Hard_vs_Soft_Filter</vt:lpstr>
      <vt:lpstr>CMP_Validation</vt:lpstr>
      <vt:lpstr>CMP_Lookup_Lists</vt:lpstr>
      <vt:lpstr>DIST_README</vt:lpstr>
      <vt:lpstr>DIST_Population</vt:lpstr>
      <vt:lpstr>DIST_Preference_Profiles</vt:lpstr>
      <vt:lpstr>DIST_Absolute_Scores</vt:lpstr>
      <vt:lpstr>DIST_Normalized_Scores</vt:lpstr>
      <vt:lpstr>DIST_Distribution_Summary</vt:lpstr>
      <vt:lpstr>DIST_Histogram_Data</vt:lpstr>
      <vt:lpstr>DIST_Preference_Comparison</vt:lpstr>
      <vt:lpstr>DIST_Validation</vt:lpstr>
      <vt:lpstr>DIST_Histograms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Autometric — Brand Match Engine generator</dc:creator>
  <cp:lastModifiedBy>user</cp:lastModifiedBy>
  <dcterms:created xsi:type="dcterms:W3CDTF">2026-09-09T14:17:00Z</dcterms:created>
  <dcterms:modified xsi:type="dcterms:W3CDTF">2026-09-12T04:23:02Z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F8C12E901BD141B8956FFF73C298E546_13</vt:lpwstr>
  </property>
  <property fmtid="{D5CDD505-2E9C-101B-9397-08002B2CF9AE}" pid="3" name="KSOProductBuildVer">
    <vt:lpwstr>1033-12.1.0.28485</vt:lpwstr>
  </property>
  <property fmtid="{D5CDD505-2E9C-101B-9397-08002B2CF9AE}" pid="4" name="CalculationRule">
    <vt:i4>0</vt:i4>
  </property>
</Properties>
</file>